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d.docs.live.net/60eaa06694d4e409/Desktop/"/>
    </mc:Choice>
  </mc:AlternateContent>
  <xr:revisionPtr revIDLastSave="0" documentId="8_{8BA4C59C-834B-4F6B-A1D8-43C65C6FE54B}" xr6:coauthVersionLast="47" xr6:coauthVersionMax="47" xr10:uidLastSave="{00000000-0000-0000-0000-000000000000}"/>
  <bookViews>
    <workbookView xWindow="-120" yWindow="-120" windowWidth="29040" windowHeight="15720" activeTab="11" xr2:uid="{00000000-000D-0000-FFFF-FFFF00000000}"/>
  </bookViews>
  <sheets>
    <sheet name="pool" sheetId="1" r:id="rId1"/>
    <sheet name="OHW" sheetId="2" r:id="rId2"/>
    <sheet name="OLHW" sheetId="3" r:id="rId3"/>
    <sheet name="OWFW" sheetId="4" r:id="rId4"/>
    <sheet name="OMW" sheetId="5" r:id="rId5"/>
    <sheet name="OBW" sheetId="6" r:id="rId6"/>
    <sheet name="OWSW" sheetId="7" r:id="rId7"/>
    <sheet name="OLW" sheetId="8" r:id="rId8"/>
    <sheet name="OFLW" sheetId="9" r:id="rId9"/>
    <sheet name="OWW" sheetId="10" r:id="rId10"/>
    <sheet name="OWBW" sheetId="11" r:id="rId11"/>
    <sheet name="OFW" sheetId="12" r:id="rId12"/>
    <sheet name="Stats" sheetId="13" r:id="rId13"/>
    <sheet name="Full List" sheetId="14" r:id="rId14"/>
    <sheet name="Full List Title Fights" sheetId="15" r:id="rId15"/>
    <sheet name="Heavyweight" sheetId="16" r:id="rId16"/>
    <sheet name="Light Heavyweight" sheetId="17" r:id="rId17"/>
    <sheet name="MiddleWeight" sheetId="18" r:id="rId18"/>
    <sheet name="Welterweight" sheetId="19" r:id="rId19"/>
    <sheet name="Lightweight" sheetId="20" r:id="rId20"/>
    <sheet name="Featherweight" sheetId="21" r:id="rId21"/>
    <sheet name="Bantamweight" sheetId="22" r:id="rId22"/>
    <sheet name="Flyweight" sheetId="23" r:id="rId23"/>
    <sheet name="Catchweight" sheetId="24" r:id="rId24"/>
    <sheet name="Women FeatherWeight" sheetId="25" r:id="rId25"/>
    <sheet name="Women Bantamweight" sheetId="26" r:id="rId26"/>
    <sheet name="Women Flyweight" sheetId="27" r:id="rId27"/>
    <sheet name="Women StrawWeight" sheetId="28" r:id="rId28"/>
  </sheets>
  <calcPr calcId="191029"/>
</workbook>
</file>

<file path=xl/calcChain.xml><?xml version="1.0" encoding="utf-8"?>
<calcChain xmlns="http://schemas.openxmlformats.org/spreadsheetml/2006/main">
  <c r="J2" i="11" l="1"/>
  <c r="J2" i="10"/>
  <c r="J2" i="9"/>
  <c r="J2" i="8"/>
  <c r="J2" i="7"/>
  <c r="J2" i="5"/>
  <c r="K2" i="4"/>
  <c r="J2" i="4"/>
  <c r="K2" i="3"/>
  <c r="J2" i="3"/>
  <c r="K2" i="12"/>
  <c r="J2" i="12"/>
  <c r="K2" i="6"/>
  <c r="J2" i="6"/>
  <c r="J2" i="2"/>
  <c r="G2" i="2"/>
  <c r="J2" i="28"/>
  <c r="I2" i="28"/>
  <c r="H2" i="28"/>
  <c r="G2" i="28"/>
  <c r="F2" i="28"/>
  <c r="E2" i="28"/>
  <c r="D2" i="28"/>
  <c r="C2" i="28"/>
  <c r="B2" i="28"/>
  <c r="A2" i="28"/>
  <c r="J2" i="27"/>
  <c r="I2" i="27"/>
  <c r="H2" i="27"/>
  <c r="E2" i="27" s="1"/>
  <c r="G2" i="27"/>
  <c r="D2" i="27" s="1"/>
  <c r="F2" i="27"/>
  <c r="C2" i="27"/>
  <c r="B2" i="27"/>
  <c r="A2" i="27"/>
  <c r="J2" i="26"/>
  <c r="I2" i="26"/>
  <c r="H2" i="26"/>
  <c r="E2" i="26" s="1"/>
  <c r="G2" i="26"/>
  <c r="D2" i="26" s="1"/>
  <c r="F2" i="26"/>
  <c r="B2" i="26"/>
  <c r="C2" i="26" s="1"/>
  <c r="A2" i="26"/>
  <c r="J2" i="25"/>
  <c r="I2" i="25"/>
  <c r="H2" i="25"/>
  <c r="G2" i="25"/>
  <c r="F2" i="25"/>
  <c r="B2" i="25"/>
  <c r="C2" i="25" s="1"/>
  <c r="A2" i="25"/>
  <c r="E2" i="25" s="1"/>
  <c r="J2" i="24"/>
  <c r="I2" i="24"/>
  <c r="H2" i="24"/>
  <c r="G2" i="24"/>
  <c r="F2" i="24"/>
  <c r="E2" i="24"/>
  <c r="D2" i="24"/>
  <c r="B2" i="24"/>
  <c r="A2" i="24"/>
  <c r="C2" i="24" s="1"/>
  <c r="J2" i="23"/>
  <c r="I2" i="23"/>
  <c r="H2" i="23"/>
  <c r="G2" i="23"/>
  <c r="F2" i="23"/>
  <c r="E2" i="23"/>
  <c r="D2" i="23"/>
  <c r="B2" i="23"/>
  <c r="C2" i="23" s="1"/>
  <c r="A2" i="23"/>
  <c r="J2" i="22"/>
  <c r="I2" i="22"/>
  <c r="H2" i="22"/>
  <c r="E2" i="22" s="1"/>
  <c r="G2" i="22"/>
  <c r="D2" i="22" s="1"/>
  <c r="F2" i="22"/>
  <c r="B2" i="22"/>
  <c r="C2" i="22" s="1"/>
  <c r="A2" i="22"/>
  <c r="J2" i="21"/>
  <c r="I2" i="21"/>
  <c r="H2" i="21"/>
  <c r="E2" i="21" s="1"/>
  <c r="G2" i="21"/>
  <c r="F2" i="21"/>
  <c r="B2" i="21"/>
  <c r="C2" i="21" s="1"/>
  <c r="A2" i="21"/>
  <c r="D2" i="21" s="1"/>
  <c r="J2" i="20"/>
  <c r="I2" i="20"/>
  <c r="H2" i="20"/>
  <c r="G2" i="20"/>
  <c r="F2" i="20"/>
  <c r="E2" i="20"/>
  <c r="D2" i="20"/>
  <c r="B2" i="20"/>
  <c r="C2" i="20" s="1"/>
  <c r="A2" i="20"/>
  <c r="J2" i="19"/>
  <c r="I2" i="19"/>
  <c r="H2" i="19"/>
  <c r="G2" i="19"/>
  <c r="D2" i="19" s="1"/>
  <c r="F2" i="19"/>
  <c r="C2" i="19"/>
  <c r="B2" i="19"/>
  <c r="A2" i="19"/>
  <c r="E2" i="19" s="1"/>
  <c r="J2" i="18"/>
  <c r="I2" i="18"/>
  <c r="H2" i="18"/>
  <c r="E2" i="18" s="1"/>
  <c r="G2" i="18"/>
  <c r="D2" i="18" s="1"/>
  <c r="F2" i="18"/>
  <c r="B2" i="18"/>
  <c r="C2" i="18" s="1"/>
  <c r="A2" i="18"/>
  <c r="J2" i="17"/>
  <c r="I2" i="17"/>
  <c r="H2" i="17"/>
  <c r="G2" i="17"/>
  <c r="F2" i="17"/>
  <c r="B2" i="17"/>
  <c r="C2" i="17" s="1"/>
  <c r="A2" i="17"/>
  <c r="E2" i="17" s="1"/>
  <c r="J2" i="16"/>
  <c r="I2" i="16"/>
  <c r="H2" i="16"/>
  <c r="G2" i="16"/>
  <c r="F2" i="16"/>
  <c r="E2" i="16"/>
  <c r="D2" i="16"/>
  <c r="B2" i="16"/>
  <c r="A2" i="16"/>
  <c r="C2" i="16" s="1"/>
  <c r="H2" i="15"/>
  <c r="I2" i="15" s="1"/>
  <c r="F2" i="15"/>
  <c r="G2" i="15" s="1"/>
  <c r="E2" i="15"/>
  <c r="B2" i="15" s="1"/>
  <c r="C2" i="15" s="1"/>
  <c r="D2" i="15"/>
  <c r="A2" i="15"/>
  <c r="AM693" i="13"/>
  <c r="AL693" i="13"/>
  <c r="AK693" i="13"/>
  <c r="AJ693" i="13"/>
  <c r="O693" i="13"/>
  <c r="AN692" i="13"/>
  <c r="AM692" i="13"/>
  <c r="AL692" i="13"/>
  <c r="AK692" i="13"/>
  <c r="AJ692" i="13"/>
  <c r="AI692" i="13"/>
  <c r="AG692" i="13"/>
  <c r="AN691" i="13"/>
  <c r="AM691" i="13"/>
  <c r="AL691" i="13"/>
  <c r="AK691" i="13"/>
  <c r="AI691" i="13"/>
  <c r="AG691" i="13"/>
  <c r="O691" i="13"/>
  <c r="AN690" i="13"/>
  <c r="AM690" i="13"/>
  <c r="AL690" i="13"/>
  <c r="AK690" i="13"/>
  <c r="O690" i="13"/>
  <c r="AN689" i="13"/>
  <c r="AM689" i="13"/>
  <c r="AL689" i="13"/>
  <c r="AK689" i="13"/>
  <c r="AJ689" i="13"/>
  <c r="AI689" i="13"/>
  <c r="O689" i="13"/>
  <c r="AN688" i="13"/>
  <c r="AM688" i="13"/>
  <c r="AL688" i="13"/>
  <c r="AK688" i="13"/>
  <c r="AJ688" i="13"/>
  <c r="AG688" i="13"/>
  <c r="AN687" i="13"/>
  <c r="AM687" i="13"/>
  <c r="AL687" i="13"/>
  <c r="AK687" i="13"/>
  <c r="AJ687" i="13"/>
  <c r="AI687" i="13"/>
  <c r="AN686" i="13"/>
  <c r="AM686" i="13"/>
  <c r="AL686" i="13"/>
  <c r="AK686" i="13"/>
  <c r="AJ686" i="13"/>
  <c r="O686" i="13"/>
  <c r="AN685" i="13"/>
  <c r="AM685" i="13"/>
  <c r="AL685" i="13"/>
  <c r="AK685" i="13"/>
  <c r="AI685" i="13"/>
  <c r="AG685" i="13"/>
  <c r="O685" i="13"/>
  <c r="AN684" i="13"/>
  <c r="AM684" i="13"/>
  <c r="AL684" i="13"/>
  <c r="AK684" i="13"/>
  <c r="O684" i="13"/>
  <c r="AN683" i="13"/>
  <c r="AM683" i="13"/>
  <c r="AL683" i="13"/>
  <c r="AK683" i="13"/>
  <c r="AI683" i="13"/>
  <c r="AG683" i="13"/>
  <c r="O683" i="13"/>
  <c r="AN682" i="13"/>
  <c r="AM682" i="13"/>
  <c r="AL682" i="13"/>
  <c r="O682" i="13"/>
  <c r="AN681" i="13"/>
  <c r="AM681" i="13"/>
  <c r="AL681" i="13"/>
  <c r="AK681" i="13"/>
  <c r="AJ681" i="13"/>
  <c r="O681" i="13"/>
  <c r="AN680" i="13"/>
  <c r="AM680" i="13"/>
  <c r="AL680" i="13"/>
  <c r="AK680" i="13"/>
  <c r="AJ680" i="13"/>
  <c r="AI680" i="13"/>
  <c r="AG680" i="13"/>
  <c r="AN679" i="13"/>
  <c r="AM679" i="13"/>
  <c r="AL679" i="13"/>
  <c r="AK679" i="13"/>
  <c r="AI679" i="13"/>
  <c r="AG679" i="13"/>
  <c r="O679" i="13"/>
  <c r="AN678" i="13"/>
  <c r="AM678" i="13"/>
  <c r="AL678" i="13"/>
  <c r="AK678" i="13"/>
  <c r="O678" i="13"/>
  <c r="AN677" i="13"/>
  <c r="AM677" i="13"/>
  <c r="AL677" i="13"/>
  <c r="AK677" i="13"/>
  <c r="O677" i="13"/>
  <c r="AN676" i="13"/>
  <c r="AM676" i="13"/>
  <c r="AL676" i="13"/>
  <c r="AK676" i="13"/>
  <c r="AN675" i="13"/>
  <c r="AM675" i="13"/>
  <c r="AL675" i="13"/>
  <c r="O675" i="13"/>
  <c r="AN674" i="13"/>
  <c r="AM674" i="13"/>
  <c r="AL674" i="13"/>
  <c r="AK674" i="13"/>
  <c r="AI674" i="13"/>
  <c r="AG674" i="13"/>
  <c r="O674" i="13"/>
  <c r="AN673" i="13"/>
  <c r="AM673" i="13"/>
  <c r="AL673" i="13"/>
  <c r="AN672" i="13"/>
  <c r="AM672" i="13"/>
  <c r="AL672" i="13"/>
  <c r="AK672" i="13"/>
  <c r="AI672" i="13"/>
  <c r="AG672" i="13"/>
  <c r="O672" i="13"/>
  <c r="AN671" i="13"/>
  <c r="AM671" i="13"/>
  <c r="AL671" i="13"/>
  <c r="AG671" i="13"/>
  <c r="O671" i="13"/>
  <c r="AN670" i="13"/>
  <c r="AM670" i="13"/>
  <c r="AL670" i="13"/>
  <c r="O670" i="13"/>
  <c r="AN669" i="13"/>
  <c r="AM669" i="13"/>
  <c r="AL669" i="13"/>
  <c r="AK669" i="13"/>
  <c r="O669" i="13"/>
  <c r="AN668" i="13"/>
  <c r="AM668" i="13"/>
  <c r="AL668" i="13"/>
  <c r="AK668" i="13"/>
  <c r="AI668" i="13"/>
  <c r="AG668" i="13"/>
  <c r="O668" i="13"/>
  <c r="O660" i="13"/>
  <c r="O659" i="13"/>
  <c r="O656" i="13"/>
  <c r="O655" i="13"/>
  <c r="O654" i="13"/>
  <c r="O653" i="13"/>
  <c r="O652" i="13"/>
  <c r="O651" i="13"/>
  <c r="O648" i="13"/>
  <c r="O647" i="13"/>
  <c r="O646" i="13"/>
  <c r="O645" i="13"/>
  <c r="O644" i="13"/>
  <c r="O642" i="13"/>
  <c r="O641" i="13"/>
  <c r="O639" i="13"/>
  <c r="O638" i="13"/>
  <c r="O637" i="13"/>
  <c r="O636" i="13"/>
  <c r="O635" i="13"/>
  <c r="O633" i="13"/>
  <c r="AN626" i="13"/>
  <c r="AM626" i="13"/>
  <c r="AL626" i="13"/>
  <c r="AK626" i="13"/>
  <c r="AJ626" i="13"/>
  <c r="O626" i="13"/>
  <c r="AN625" i="13"/>
  <c r="AM625" i="13"/>
  <c r="AL625" i="13"/>
  <c r="AK625" i="13"/>
  <c r="AJ625" i="13"/>
  <c r="AI625" i="13"/>
  <c r="AG625" i="13"/>
  <c r="AN624" i="13"/>
  <c r="AM624" i="13"/>
  <c r="AL624" i="13"/>
  <c r="AK624" i="13"/>
  <c r="AJ624" i="13"/>
  <c r="AI624" i="13"/>
  <c r="AG624" i="13"/>
  <c r="AN623" i="13"/>
  <c r="AM623" i="13"/>
  <c r="AL623" i="13"/>
  <c r="AK623" i="13"/>
  <c r="AJ623" i="13"/>
  <c r="AN622" i="13"/>
  <c r="AM622" i="13"/>
  <c r="AL622" i="13"/>
  <c r="AK622" i="13"/>
  <c r="AI622" i="13"/>
  <c r="AG622" i="13"/>
  <c r="AN621" i="13"/>
  <c r="AM621" i="13"/>
  <c r="AL621" i="13"/>
  <c r="O621" i="13"/>
  <c r="AN620" i="13"/>
  <c r="AM620" i="13"/>
  <c r="AL620" i="13"/>
  <c r="AK620" i="13"/>
  <c r="O620" i="13"/>
  <c r="AN619" i="13"/>
  <c r="AM619" i="13"/>
  <c r="AL619" i="13"/>
  <c r="AK619" i="13"/>
  <c r="AI619" i="13"/>
  <c r="O619" i="13"/>
  <c r="AN618" i="13"/>
  <c r="AM618" i="13"/>
  <c r="AL618" i="13"/>
  <c r="AK618" i="13"/>
  <c r="AJ618" i="13"/>
  <c r="AI618" i="13"/>
  <c r="O618" i="13"/>
  <c r="AN617" i="13"/>
  <c r="AM617" i="13"/>
  <c r="AL617" i="13"/>
  <c r="AK617" i="13"/>
  <c r="AJ617" i="13"/>
  <c r="AG617" i="13"/>
  <c r="O617" i="13"/>
  <c r="AN616" i="13"/>
  <c r="AM616" i="13"/>
  <c r="AL616" i="13"/>
  <c r="AK616" i="13"/>
  <c r="AI616" i="13"/>
  <c r="AN615" i="13"/>
  <c r="AM615" i="13"/>
  <c r="AL615" i="13"/>
  <c r="AG615" i="13"/>
  <c r="AN614" i="13"/>
  <c r="AM614" i="13"/>
  <c r="AL614" i="13"/>
  <c r="AK614" i="13"/>
  <c r="AJ614" i="13"/>
  <c r="O614" i="13"/>
  <c r="AN613" i="13"/>
  <c r="AM613" i="13"/>
  <c r="AL613" i="13"/>
  <c r="AK613" i="13"/>
  <c r="AJ613" i="13"/>
  <c r="AI613" i="13"/>
  <c r="AG613" i="13"/>
  <c r="AN612" i="13"/>
  <c r="AM612" i="13"/>
  <c r="AL612" i="13"/>
  <c r="AN611" i="13"/>
  <c r="AM611" i="13"/>
  <c r="AL611" i="13"/>
  <c r="AK611" i="13"/>
  <c r="AI611" i="13"/>
  <c r="AG611" i="13"/>
  <c r="AN610" i="13"/>
  <c r="AM610" i="13"/>
  <c r="AL610" i="13"/>
  <c r="AK610" i="13"/>
  <c r="AI610" i="13"/>
  <c r="AG610" i="13"/>
  <c r="AN609" i="13"/>
  <c r="AM609" i="13"/>
  <c r="AL609" i="13"/>
  <c r="AN608" i="13"/>
  <c r="AM608" i="13"/>
  <c r="AL608" i="13"/>
  <c r="AK608" i="13"/>
  <c r="AI608" i="13"/>
  <c r="AG608" i="13"/>
  <c r="O608" i="13"/>
  <c r="AN607" i="13"/>
  <c r="AM607" i="13"/>
  <c r="AL607" i="13"/>
  <c r="AK607" i="13"/>
  <c r="O607" i="13"/>
  <c r="AN606" i="13"/>
  <c r="AM606" i="13"/>
  <c r="AL606" i="13"/>
  <c r="AK606" i="13"/>
  <c r="AI606" i="13"/>
  <c r="AG606" i="13"/>
  <c r="AN605" i="13"/>
  <c r="AM605" i="13"/>
  <c r="AL605" i="13"/>
  <c r="AK605" i="13"/>
  <c r="O605" i="13"/>
  <c r="AN604" i="13"/>
  <c r="AM604" i="13"/>
  <c r="AL604" i="13"/>
  <c r="AK604" i="13"/>
  <c r="AI604" i="13"/>
  <c r="AG604" i="13"/>
  <c r="O604" i="13"/>
  <c r="AN603" i="13"/>
  <c r="AM603" i="13"/>
  <c r="AL603" i="13"/>
  <c r="AK603" i="13"/>
  <c r="O603" i="13"/>
  <c r="AN602" i="13"/>
  <c r="AM602" i="13"/>
  <c r="AL602" i="13"/>
  <c r="O602" i="13"/>
  <c r="AN601" i="13"/>
  <c r="AM601" i="13"/>
  <c r="AL601" i="13"/>
  <c r="AK601" i="13"/>
  <c r="AI601" i="13"/>
  <c r="AG601" i="13"/>
  <c r="O601" i="13"/>
  <c r="AI592" i="13"/>
  <c r="AG592" i="13"/>
  <c r="O591" i="13"/>
  <c r="O590" i="13"/>
  <c r="AI589" i="13"/>
  <c r="AG589" i="13"/>
  <c r="O589" i="13"/>
  <c r="AI588" i="13"/>
  <c r="AG587" i="13"/>
  <c r="AI586" i="13"/>
  <c r="AG586" i="13"/>
  <c r="O586" i="13"/>
  <c r="O585" i="13"/>
  <c r="AI584" i="13"/>
  <c r="AG584" i="13"/>
  <c r="O583" i="13"/>
  <c r="AN582" i="13"/>
  <c r="AM582" i="13"/>
  <c r="AL582" i="13"/>
  <c r="AK582" i="13"/>
  <c r="AI582" i="13"/>
  <c r="AG582" i="13"/>
  <c r="AN581" i="13"/>
  <c r="AM581" i="13"/>
  <c r="AL581" i="13"/>
  <c r="O581" i="13"/>
  <c r="AI579" i="13"/>
  <c r="AG579" i="13"/>
  <c r="AN578" i="13"/>
  <c r="AM578" i="13"/>
  <c r="AL578" i="13"/>
  <c r="AK578" i="13"/>
  <c r="AI578" i="13"/>
  <c r="AG578" i="13"/>
  <c r="O578" i="13"/>
  <c r="AN577" i="13"/>
  <c r="AM577" i="13"/>
  <c r="AL577" i="13"/>
  <c r="AK577" i="13"/>
  <c r="O577" i="13"/>
  <c r="AN576" i="13"/>
  <c r="AM576" i="13"/>
  <c r="AL576" i="13"/>
  <c r="AK576" i="13"/>
  <c r="AJ576" i="13"/>
  <c r="AI576" i="13"/>
  <c r="AG576" i="13"/>
  <c r="O576" i="13"/>
  <c r="AM575" i="13"/>
  <c r="AL575" i="13"/>
  <c r="AK575" i="13"/>
  <c r="AJ575" i="13"/>
  <c r="O575" i="13"/>
  <c r="AN574" i="13"/>
  <c r="AM574" i="13"/>
  <c r="AL574" i="13"/>
  <c r="AK574" i="13"/>
  <c r="O574" i="13"/>
  <c r="AN573" i="13"/>
  <c r="AM573" i="13"/>
  <c r="AL573" i="13"/>
  <c r="AK573" i="13"/>
  <c r="AI573" i="13"/>
  <c r="AG573" i="13"/>
  <c r="O573" i="13"/>
  <c r="AN572" i="13"/>
  <c r="AM572" i="13"/>
  <c r="AG572" i="13"/>
  <c r="AN571" i="13"/>
  <c r="AM571" i="13"/>
  <c r="AL571" i="13"/>
  <c r="AK571" i="13"/>
  <c r="AI571" i="13"/>
  <c r="AN570" i="13"/>
  <c r="AM570" i="13"/>
  <c r="AL570" i="13"/>
  <c r="AK570" i="13"/>
  <c r="AI570" i="13"/>
  <c r="AG570" i="13"/>
  <c r="O570" i="13"/>
  <c r="AN569" i="13"/>
  <c r="AM569" i="13"/>
  <c r="AL569" i="13"/>
  <c r="AK569" i="13"/>
  <c r="O569" i="13"/>
  <c r="AN563" i="13"/>
  <c r="AM563" i="13"/>
  <c r="AL563" i="13"/>
  <c r="AK563" i="13"/>
  <c r="AI563" i="13"/>
  <c r="AG563" i="13"/>
  <c r="O563" i="13"/>
  <c r="AN562" i="13"/>
  <c r="AM562" i="13"/>
  <c r="AL562" i="13"/>
  <c r="AK562" i="13"/>
  <c r="O562" i="13"/>
  <c r="AN561" i="13"/>
  <c r="AM561" i="13"/>
  <c r="AL561" i="13"/>
  <c r="AK561" i="13"/>
  <c r="AI561" i="13"/>
  <c r="AG561" i="13"/>
  <c r="O561" i="13"/>
  <c r="AN560" i="13"/>
  <c r="AM560" i="13"/>
  <c r="AL560" i="13"/>
  <c r="AK560" i="13"/>
  <c r="O560" i="13"/>
  <c r="AN559" i="13"/>
  <c r="AM559" i="13"/>
  <c r="AL559" i="13"/>
  <c r="AK559" i="13"/>
  <c r="AI559" i="13"/>
  <c r="AG559" i="13"/>
  <c r="AN558" i="13"/>
  <c r="AM558" i="13"/>
  <c r="AL558" i="13"/>
  <c r="AK558" i="13"/>
  <c r="AN557" i="13"/>
  <c r="AM557" i="13"/>
  <c r="AL557" i="13"/>
  <c r="AK557" i="13"/>
  <c r="AJ557" i="13"/>
  <c r="AI557" i="13"/>
  <c r="AG557" i="13"/>
  <c r="O557" i="13"/>
  <c r="AN556" i="13"/>
  <c r="AM556" i="13"/>
  <c r="AL556" i="13"/>
  <c r="AK556" i="13"/>
  <c r="AJ556" i="13"/>
  <c r="O556" i="13"/>
  <c r="AN555" i="13"/>
  <c r="AM555" i="13"/>
  <c r="AL555" i="13"/>
  <c r="AK555" i="13"/>
  <c r="O555" i="13"/>
  <c r="AN554" i="13"/>
  <c r="AM554" i="13"/>
  <c r="AL554" i="13"/>
  <c r="AK554" i="13"/>
  <c r="AI554" i="13"/>
  <c r="AG554" i="13"/>
  <c r="O554" i="13"/>
  <c r="AN553" i="13"/>
  <c r="AM553" i="13"/>
  <c r="AL553" i="13"/>
  <c r="AK553" i="13"/>
  <c r="AJ553" i="13"/>
  <c r="AI553" i="13"/>
  <c r="AG553" i="13"/>
  <c r="AN552" i="13"/>
  <c r="AM552" i="13"/>
  <c r="AL552" i="13"/>
  <c r="AK552" i="13"/>
  <c r="AJ552" i="13"/>
  <c r="O552" i="13"/>
  <c r="AN551" i="13"/>
  <c r="AM551" i="13"/>
  <c r="AL551" i="13"/>
  <c r="AK551" i="13"/>
  <c r="AI551" i="13"/>
  <c r="AG551" i="13"/>
  <c r="AN550" i="13"/>
  <c r="AM550" i="13"/>
  <c r="AL550" i="13"/>
  <c r="AK550" i="13"/>
  <c r="AN549" i="13"/>
  <c r="AM549" i="13"/>
  <c r="AL549" i="13"/>
  <c r="AK549" i="13"/>
  <c r="AI549" i="13"/>
  <c r="AG549" i="13"/>
  <c r="O549" i="13"/>
  <c r="AM548" i="13"/>
  <c r="AL548" i="13"/>
  <c r="AK548" i="13"/>
  <c r="AN547" i="13"/>
  <c r="AM547" i="13"/>
  <c r="AL547" i="13"/>
  <c r="AK547" i="13"/>
  <c r="AJ547" i="13"/>
  <c r="O547" i="13"/>
  <c r="AN546" i="13"/>
  <c r="AM546" i="13"/>
  <c r="AL546" i="13"/>
  <c r="AK546" i="13"/>
  <c r="AJ546" i="13"/>
  <c r="AI546" i="13"/>
  <c r="AG546" i="13"/>
  <c r="AN545" i="13"/>
  <c r="AM545" i="13"/>
  <c r="AL545" i="13"/>
  <c r="AK545" i="13"/>
  <c r="O545" i="13"/>
  <c r="AN544" i="13"/>
  <c r="AM544" i="13"/>
  <c r="AL544" i="13"/>
  <c r="AK544" i="13"/>
  <c r="AI544" i="13"/>
  <c r="AG544" i="13"/>
  <c r="O544" i="13"/>
  <c r="AN543" i="13"/>
  <c r="AM543" i="13"/>
  <c r="AL543" i="13"/>
  <c r="O543" i="13"/>
  <c r="AN542" i="13"/>
  <c r="AM542" i="13"/>
  <c r="AL542" i="13"/>
  <c r="AK542" i="13"/>
  <c r="AI542" i="13"/>
  <c r="AG542" i="13"/>
  <c r="O542" i="13"/>
  <c r="AN541" i="13"/>
  <c r="AM541" i="13"/>
  <c r="AL541" i="13"/>
  <c r="AK541" i="13"/>
  <c r="AI541" i="13"/>
  <c r="AG541" i="13"/>
  <c r="O541" i="13"/>
  <c r="AN540" i="13"/>
  <c r="AM540" i="13"/>
  <c r="AL540" i="13"/>
  <c r="O540" i="13"/>
  <c r="AN539" i="13"/>
  <c r="AM539" i="13"/>
  <c r="AL539" i="13"/>
  <c r="AK539" i="13"/>
  <c r="AI539" i="13"/>
  <c r="AG539" i="13"/>
  <c r="O539" i="13"/>
  <c r="AN538" i="13"/>
  <c r="AM538" i="13"/>
  <c r="AL538" i="13"/>
  <c r="O538" i="13"/>
  <c r="AN537" i="13"/>
  <c r="AM537" i="13"/>
  <c r="AL537" i="13"/>
  <c r="AK537" i="13"/>
  <c r="AJ537" i="13"/>
  <c r="AI537" i="13"/>
  <c r="AG537" i="13"/>
  <c r="O537" i="13"/>
  <c r="AN536" i="13"/>
  <c r="AM536" i="13"/>
  <c r="AL536" i="13"/>
  <c r="AK536" i="13"/>
  <c r="AJ536" i="13"/>
  <c r="O536" i="13"/>
  <c r="O526" i="13"/>
  <c r="O525" i="13"/>
  <c r="O522" i="13"/>
  <c r="O521" i="13"/>
  <c r="O520" i="13"/>
  <c r="O519" i="13"/>
  <c r="O518" i="13"/>
  <c r="O517" i="13"/>
  <c r="O515" i="13"/>
  <c r="O514" i="13"/>
  <c r="O513" i="13"/>
  <c r="O512" i="13"/>
  <c r="O511" i="13"/>
  <c r="O509" i="13"/>
  <c r="O507" i="13"/>
  <c r="O506" i="13"/>
  <c r="O505" i="13"/>
  <c r="O504" i="13"/>
  <c r="AG491" i="13"/>
  <c r="AI489" i="13"/>
  <c r="AG489" i="13"/>
  <c r="AI487" i="13"/>
  <c r="AG487" i="13"/>
  <c r="O487" i="13"/>
  <c r="AI485" i="13"/>
  <c r="AG485" i="13"/>
  <c r="O485" i="13"/>
  <c r="AI483" i="13"/>
  <c r="AG483" i="13"/>
  <c r="O483" i="13"/>
  <c r="O482" i="13"/>
  <c r="AI481" i="13"/>
  <c r="AG481" i="13"/>
  <c r="O481" i="13"/>
  <c r="O480" i="13"/>
  <c r="O479" i="13"/>
  <c r="AI478" i="13"/>
  <c r="AG478" i="13"/>
  <c r="O478" i="13"/>
  <c r="AI477" i="13"/>
  <c r="AG477" i="13"/>
  <c r="O477" i="13"/>
  <c r="O475" i="13"/>
  <c r="AI474" i="13"/>
  <c r="AG474" i="13"/>
  <c r="O474" i="13"/>
  <c r="AI472" i="13"/>
  <c r="AG472" i="13"/>
  <c r="O472" i="13"/>
  <c r="AI471" i="13"/>
  <c r="AG471" i="13"/>
  <c r="O471" i="13"/>
  <c r="O470" i="13"/>
  <c r="AG461" i="13"/>
  <c r="O460" i="13"/>
  <c r="O459" i="13"/>
  <c r="AI458" i="13"/>
  <c r="AG458" i="13"/>
  <c r="AG457" i="13"/>
  <c r="O456" i="13"/>
  <c r="AI455" i="13"/>
  <c r="AG455" i="13"/>
  <c r="O455" i="13"/>
  <c r="O454" i="13"/>
  <c r="AI453" i="13"/>
  <c r="AG453" i="13"/>
  <c r="O452" i="13"/>
  <c r="AI451" i="13"/>
  <c r="AG451" i="13"/>
  <c r="O451" i="13"/>
  <c r="AI449" i="13"/>
  <c r="AG449" i="13"/>
  <c r="O449" i="13"/>
  <c r="O448" i="13"/>
  <c r="AI447" i="13"/>
  <c r="AG447" i="13"/>
  <c r="O446" i="13"/>
  <c r="AI445" i="13"/>
  <c r="AG445" i="13"/>
  <c r="O445" i="13"/>
  <c r="O444" i="13"/>
  <c r="O443" i="13"/>
  <c r="AI442" i="13"/>
  <c r="AG442" i="13"/>
  <c r="AI441" i="13"/>
  <c r="AG441" i="13"/>
  <c r="O441" i="13"/>
  <c r="O440" i="13"/>
  <c r="AI439" i="13"/>
  <c r="O439" i="13"/>
  <c r="AG438" i="13"/>
  <c r="O438" i="13"/>
  <c r="O437" i="13"/>
  <c r="AI436" i="13"/>
  <c r="AG436" i="13"/>
  <c r="O436" i="13"/>
  <c r="AI427" i="13"/>
  <c r="AG427" i="13"/>
  <c r="O426" i="13"/>
  <c r="O425" i="13"/>
  <c r="AI424" i="13"/>
  <c r="AG424" i="13"/>
  <c r="AI423" i="13"/>
  <c r="AG423" i="13"/>
  <c r="O422" i="13"/>
  <c r="O421" i="13"/>
  <c r="AI420" i="13"/>
  <c r="AG420" i="13"/>
  <c r="O420" i="13"/>
  <c r="AI419" i="13"/>
  <c r="AG419" i="13"/>
  <c r="O419" i="13"/>
  <c r="O418" i="13"/>
  <c r="AI417" i="13"/>
  <c r="AG417" i="13"/>
  <c r="O416" i="13"/>
  <c r="O415" i="13"/>
  <c r="AI414" i="13"/>
  <c r="AG414" i="13"/>
  <c r="O414" i="13"/>
  <c r="O413" i="13"/>
  <c r="AI412" i="13"/>
  <c r="AG412" i="13"/>
  <c r="O412" i="13"/>
  <c r="AG411" i="13"/>
  <c r="O411" i="13"/>
  <c r="AI409" i="13"/>
  <c r="AG409" i="13"/>
  <c r="O408" i="13"/>
  <c r="O407" i="13"/>
  <c r="AI406" i="13"/>
  <c r="AG406" i="13"/>
  <c r="O406" i="13"/>
  <c r="AI405" i="13"/>
  <c r="AG405" i="13"/>
  <c r="AI403" i="13"/>
  <c r="AG403" i="13"/>
  <c r="O402" i="13"/>
  <c r="O401" i="13"/>
  <c r="AI400" i="13"/>
  <c r="AG400" i="13"/>
  <c r="O400" i="13"/>
  <c r="AN391" i="13"/>
  <c r="AM391" i="13"/>
  <c r="AL391" i="13"/>
  <c r="AK391" i="13"/>
  <c r="AJ391" i="13"/>
  <c r="O391" i="13"/>
  <c r="AN390" i="13"/>
  <c r="AM390" i="13"/>
  <c r="AL390" i="13"/>
  <c r="AK390" i="13"/>
  <c r="AJ390" i="13"/>
  <c r="AI390" i="13"/>
  <c r="AG390" i="13"/>
  <c r="O390" i="13"/>
  <c r="AN389" i="13"/>
  <c r="AM389" i="13"/>
  <c r="AL389" i="13"/>
  <c r="AK389" i="13"/>
  <c r="AI389" i="13"/>
  <c r="AG389" i="13"/>
  <c r="AN388" i="13"/>
  <c r="AM388" i="13"/>
  <c r="AL388" i="13"/>
  <c r="AK388" i="13"/>
  <c r="O388" i="13"/>
  <c r="AN387" i="13"/>
  <c r="AM387" i="13"/>
  <c r="AL387" i="13"/>
  <c r="AK387" i="13"/>
  <c r="O387" i="13"/>
  <c r="AN386" i="13"/>
  <c r="AM386" i="13"/>
  <c r="AL386" i="13"/>
  <c r="AK386" i="13"/>
  <c r="AI386" i="13"/>
  <c r="AG386" i="13"/>
  <c r="AN385" i="13"/>
  <c r="AM385" i="13"/>
  <c r="AL385" i="13"/>
  <c r="AK385" i="13"/>
  <c r="AI385" i="13"/>
  <c r="O385" i="13"/>
  <c r="AN384" i="13"/>
  <c r="AM384" i="13"/>
  <c r="AL384" i="13"/>
  <c r="O384" i="13"/>
  <c r="AN383" i="13"/>
  <c r="AM383" i="13"/>
  <c r="AL383" i="13"/>
  <c r="AK383" i="13"/>
  <c r="AI383" i="13"/>
  <c r="AG383" i="13"/>
  <c r="AN382" i="13"/>
  <c r="AM382" i="13"/>
  <c r="O382" i="13"/>
  <c r="AN381" i="13"/>
  <c r="AM381" i="13"/>
  <c r="AL381" i="13"/>
  <c r="AK381" i="13"/>
  <c r="AI381" i="13"/>
  <c r="AG381" i="13"/>
  <c r="AN380" i="13"/>
  <c r="AM380" i="13"/>
  <c r="AL380" i="13"/>
  <c r="AK380" i="13"/>
  <c r="O380" i="13"/>
  <c r="AN379" i="13"/>
  <c r="AM379" i="13"/>
  <c r="AL379" i="13"/>
  <c r="AK379" i="13"/>
  <c r="AI379" i="13"/>
  <c r="AG379" i="13"/>
  <c r="AN378" i="13"/>
  <c r="AM378" i="13"/>
  <c r="AL378" i="13"/>
  <c r="AK378" i="13"/>
  <c r="AN377" i="13"/>
  <c r="AM377" i="13"/>
  <c r="AL377" i="13"/>
  <c r="AK377" i="13"/>
  <c r="AI377" i="13"/>
  <c r="AG377" i="13"/>
  <c r="O377" i="13"/>
  <c r="AN376" i="13"/>
  <c r="AM376" i="13"/>
  <c r="AL376" i="13"/>
  <c r="AK376" i="13"/>
  <c r="O376" i="13"/>
  <c r="AN375" i="13"/>
  <c r="AM375" i="13"/>
  <c r="AL375" i="13"/>
  <c r="AK375" i="13"/>
  <c r="AJ375" i="13"/>
  <c r="AI375" i="13"/>
  <c r="AG375" i="13"/>
  <c r="O375" i="13"/>
  <c r="AM374" i="13"/>
  <c r="AL374" i="13"/>
  <c r="AK374" i="13"/>
  <c r="AJ374" i="13"/>
  <c r="O374" i="13"/>
  <c r="AN373" i="13"/>
  <c r="AM373" i="13"/>
  <c r="AL373" i="13"/>
  <c r="AK373" i="13"/>
  <c r="O373" i="13"/>
  <c r="AN372" i="13"/>
  <c r="AM372" i="13"/>
  <c r="AL372" i="13"/>
  <c r="AK372" i="13"/>
  <c r="AI372" i="13"/>
  <c r="AG372" i="13"/>
  <c r="AN371" i="13"/>
  <c r="AM371" i="13"/>
  <c r="AL371" i="13"/>
  <c r="AK371" i="13"/>
  <c r="AI371" i="13"/>
  <c r="AG371" i="13"/>
  <c r="O371" i="13"/>
  <c r="AN370" i="13"/>
  <c r="AM370" i="13"/>
  <c r="AL370" i="13"/>
  <c r="AK370" i="13"/>
  <c r="O370" i="13"/>
  <c r="AN369" i="13"/>
  <c r="AM369" i="13"/>
  <c r="AL369" i="13"/>
  <c r="AK369" i="13"/>
  <c r="AI369" i="13"/>
  <c r="AG369" i="13"/>
  <c r="O369" i="13"/>
  <c r="AN368" i="13"/>
  <c r="AM368" i="13"/>
  <c r="AL368" i="13"/>
  <c r="AK368" i="13"/>
  <c r="O368" i="13"/>
  <c r="AI358" i="13"/>
  <c r="AG358" i="13"/>
  <c r="O358" i="13"/>
  <c r="AJ357" i="13"/>
  <c r="AJ356" i="13"/>
  <c r="AI356" i="13"/>
  <c r="AG356" i="13"/>
  <c r="O356" i="13"/>
  <c r="AJ355" i="13"/>
  <c r="AI355" i="13"/>
  <c r="AJ354" i="13"/>
  <c r="AG354" i="13"/>
  <c r="O353" i="13"/>
  <c r="AI352" i="13"/>
  <c r="AG352" i="13"/>
  <c r="AI351" i="13"/>
  <c r="AG351" i="13"/>
  <c r="AI348" i="13"/>
  <c r="O348" i="13"/>
  <c r="O347" i="13"/>
  <c r="AI346" i="13"/>
  <c r="AG346" i="13"/>
  <c r="O346" i="13"/>
  <c r="AI345" i="13"/>
  <c r="AG345" i="13"/>
  <c r="O345" i="13"/>
  <c r="O344" i="13"/>
  <c r="AJ343" i="13"/>
  <c r="AI343" i="13"/>
  <c r="AG343" i="13"/>
  <c r="AJ342" i="13"/>
  <c r="O342" i="13"/>
  <c r="AI341" i="13"/>
  <c r="AG341" i="13"/>
  <c r="O341" i="13"/>
  <c r="AI339" i="13"/>
  <c r="AG339" i="13"/>
  <c r="O338" i="13"/>
  <c r="AI337" i="13"/>
  <c r="AG336" i="13"/>
  <c r="O336" i="13"/>
  <c r="AI335" i="13"/>
  <c r="AG335" i="13"/>
  <c r="O335" i="13"/>
  <c r="O334" i="13"/>
  <c r="AN325" i="13"/>
  <c r="AM325" i="13"/>
  <c r="AL325" i="13"/>
  <c r="AK325" i="13"/>
  <c r="AJ325" i="13"/>
  <c r="AI325" i="13"/>
  <c r="AN324" i="13"/>
  <c r="AM324" i="13"/>
  <c r="AL324" i="13"/>
  <c r="AK324" i="13"/>
  <c r="AJ324" i="13"/>
  <c r="AG324" i="13"/>
  <c r="O324" i="13"/>
  <c r="AI323" i="13"/>
  <c r="AG323" i="13"/>
  <c r="AN321" i="13"/>
  <c r="AM321" i="13"/>
  <c r="AL321" i="13"/>
  <c r="AK321" i="13"/>
  <c r="AI321" i="13"/>
  <c r="O321" i="13"/>
  <c r="AN320" i="13"/>
  <c r="AM320" i="13"/>
  <c r="AG320" i="13"/>
  <c r="O320" i="13"/>
  <c r="AM319" i="13"/>
  <c r="AL319" i="13"/>
  <c r="AK319" i="13"/>
  <c r="AJ319" i="13"/>
  <c r="O319" i="13"/>
  <c r="AN318" i="13"/>
  <c r="AM318" i="13"/>
  <c r="AL318" i="13"/>
  <c r="AK318" i="13"/>
  <c r="AJ318" i="13"/>
  <c r="AI318" i="13"/>
  <c r="AG318" i="13"/>
  <c r="AI317" i="13"/>
  <c r="AG317" i="13"/>
  <c r="O316" i="13"/>
  <c r="AN315" i="13"/>
  <c r="AM315" i="13"/>
  <c r="AL315" i="13"/>
  <c r="AK315" i="13"/>
  <c r="AI315" i="13"/>
  <c r="AG315" i="13"/>
  <c r="AN314" i="13"/>
  <c r="AM314" i="13"/>
  <c r="AL314" i="13"/>
  <c r="AK314" i="13"/>
  <c r="AN313" i="13"/>
  <c r="AM313" i="13"/>
  <c r="AL313" i="13"/>
  <c r="O313" i="13"/>
  <c r="AN312" i="13"/>
  <c r="AM312" i="13"/>
  <c r="AL312" i="13"/>
  <c r="AK312" i="13"/>
  <c r="AI312" i="13"/>
  <c r="AG312" i="13"/>
  <c r="AN311" i="13"/>
  <c r="AM311" i="13"/>
  <c r="AL311" i="13"/>
  <c r="AK311" i="13"/>
  <c r="AI311" i="13"/>
  <c r="AG311" i="13"/>
  <c r="AN310" i="13"/>
  <c r="AM310" i="13"/>
  <c r="AL310" i="13"/>
  <c r="O310" i="13"/>
  <c r="AN309" i="13"/>
  <c r="AM309" i="13"/>
  <c r="AL309" i="13"/>
  <c r="AN308" i="13"/>
  <c r="AM308" i="13"/>
  <c r="AL308" i="13"/>
  <c r="AK308" i="13"/>
  <c r="AI308" i="13"/>
  <c r="AG308" i="13"/>
  <c r="O308" i="13"/>
  <c r="AN307" i="13"/>
  <c r="AM307" i="13"/>
  <c r="AL307" i="13"/>
  <c r="AK307" i="13"/>
  <c r="AI307" i="13"/>
  <c r="AG307" i="13"/>
  <c r="O307" i="13"/>
  <c r="AN306" i="13"/>
  <c r="AM306" i="13"/>
  <c r="AL306" i="13"/>
  <c r="O306" i="13"/>
  <c r="AN305" i="13"/>
  <c r="AM305" i="13"/>
  <c r="AL305" i="13"/>
  <c r="O305" i="13"/>
  <c r="AN304" i="13"/>
  <c r="AM304" i="13"/>
  <c r="AL304" i="13"/>
  <c r="AK304" i="13"/>
  <c r="AI304" i="13"/>
  <c r="AG304" i="13"/>
  <c r="AI296" i="13"/>
  <c r="AG296" i="13"/>
  <c r="O295" i="13"/>
  <c r="O294" i="13"/>
  <c r="AI293" i="13"/>
  <c r="AG293" i="13"/>
  <c r="O293" i="13"/>
  <c r="AI291" i="13"/>
  <c r="AG291" i="13"/>
  <c r="AI290" i="13"/>
  <c r="AG290" i="13"/>
  <c r="O290" i="13"/>
  <c r="O289" i="13"/>
  <c r="AI288" i="13"/>
  <c r="AG288" i="13"/>
  <c r="O287" i="13"/>
  <c r="O286" i="13"/>
  <c r="AI285" i="13"/>
  <c r="AG285" i="13"/>
  <c r="AI284" i="13"/>
  <c r="AG284" i="13"/>
  <c r="O284" i="13"/>
  <c r="O282" i="13"/>
  <c r="AI281" i="13"/>
  <c r="AG281" i="13"/>
  <c r="O281" i="13"/>
  <c r="O280" i="13"/>
  <c r="AG279" i="13"/>
  <c r="O279" i="13"/>
  <c r="O278" i="13"/>
  <c r="O277" i="13"/>
  <c r="O276" i="13"/>
  <c r="AI275" i="13"/>
  <c r="O275" i="13"/>
  <c r="AI274" i="13"/>
  <c r="AG274" i="13"/>
  <c r="O274" i="13"/>
  <c r="O273" i="13"/>
  <c r="O272" i="13"/>
  <c r="AI271" i="13"/>
  <c r="AG271" i="13"/>
  <c r="O271" i="13"/>
  <c r="AI270" i="13"/>
  <c r="AG270" i="13"/>
  <c r="O269" i="13"/>
  <c r="AI259" i="13"/>
  <c r="AG259" i="13"/>
  <c r="O258" i="13"/>
  <c r="AG257" i="13"/>
  <c r="AI256" i="13"/>
  <c r="O256" i="13"/>
  <c r="AI255" i="13"/>
  <c r="AG255" i="13"/>
  <c r="O255" i="13"/>
  <c r="AI253" i="13"/>
  <c r="AG253" i="13"/>
  <c r="AI251" i="13"/>
  <c r="AG251" i="13"/>
  <c r="AI249" i="13"/>
  <c r="AG249" i="13"/>
  <c r="O249" i="13"/>
  <c r="O248" i="13"/>
  <c r="AI246" i="13"/>
  <c r="AG246" i="13"/>
  <c r="O246" i="13"/>
  <c r="AI245" i="13"/>
  <c r="AG245" i="13"/>
  <c r="O245" i="13"/>
  <c r="O243" i="13"/>
  <c r="AI242" i="13"/>
  <c r="AG242" i="13"/>
  <c r="O242" i="13"/>
  <c r="O241" i="13"/>
  <c r="AI240" i="13"/>
  <c r="AG240" i="13"/>
  <c r="O240" i="13"/>
  <c r="O239" i="13"/>
  <c r="AI238" i="13"/>
  <c r="AG238" i="13"/>
  <c r="AI237" i="13"/>
  <c r="AG237" i="13"/>
  <c r="O236" i="13"/>
  <c r="AI235" i="13"/>
  <c r="AG235" i="13"/>
  <c r="O235" i="13"/>
  <c r="O227" i="13"/>
  <c r="O225" i="13"/>
  <c r="O224" i="13"/>
  <c r="O222" i="13"/>
  <c r="O221" i="13"/>
  <c r="O219" i="13"/>
  <c r="O218" i="13"/>
  <c r="O214" i="13"/>
  <c r="O213" i="13"/>
  <c r="O211" i="13"/>
  <c r="O210" i="13"/>
  <c r="O209" i="13"/>
  <c r="O208" i="13"/>
  <c r="O204" i="13"/>
  <c r="O203" i="13"/>
  <c r="O202" i="13"/>
  <c r="AN196" i="13"/>
  <c r="AM196" i="13"/>
  <c r="AL196" i="13"/>
  <c r="AK196" i="13"/>
  <c r="AN195" i="13"/>
  <c r="AM195" i="13"/>
  <c r="AL195" i="13"/>
  <c r="AK195" i="13"/>
  <c r="AI195" i="13"/>
  <c r="AG195" i="13"/>
  <c r="AN194" i="13"/>
  <c r="AM194" i="13"/>
  <c r="AL194" i="13"/>
  <c r="AK194" i="13"/>
  <c r="AJ194" i="13"/>
  <c r="O194" i="13"/>
  <c r="AN193" i="13"/>
  <c r="AM193" i="13"/>
  <c r="AL193" i="13"/>
  <c r="AK193" i="13"/>
  <c r="AJ193" i="13"/>
  <c r="AI193" i="13"/>
  <c r="AG193" i="13"/>
  <c r="O193" i="13"/>
  <c r="AN192" i="13"/>
  <c r="AM192" i="13"/>
  <c r="AL192" i="13"/>
  <c r="AK192" i="13"/>
  <c r="AJ192" i="13"/>
  <c r="AG192" i="13"/>
  <c r="O192" i="13"/>
  <c r="AN191" i="13"/>
  <c r="AM191" i="13"/>
  <c r="AL191" i="13"/>
  <c r="AK191" i="13"/>
  <c r="AJ191" i="13"/>
  <c r="AI191" i="13"/>
  <c r="O191" i="13"/>
  <c r="AN190" i="13"/>
  <c r="AM190" i="13"/>
  <c r="AL190" i="13"/>
  <c r="AK190" i="13"/>
  <c r="AI190" i="13"/>
  <c r="AG190" i="13"/>
  <c r="AN189" i="13"/>
  <c r="AM189" i="13"/>
  <c r="AL189" i="13"/>
  <c r="O189" i="13"/>
  <c r="AN188" i="13"/>
  <c r="AM188" i="13"/>
  <c r="AL188" i="13"/>
  <c r="AK188" i="13"/>
  <c r="AJ188" i="13"/>
  <c r="AI188" i="13"/>
  <c r="AG188" i="13"/>
  <c r="AN187" i="13"/>
  <c r="AM187" i="13"/>
  <c r="AL187" i="13"/>
  <c r="AK187" i="13"/>
  <c r="AJ187" i="13"/>
  <c r="AI186" i="13"/>
  <c r="AG186" i="13"/>
  <c r="O185" i="13"/>
  <c r="AM184" i="13"/>
  <c r="AL184" i="13"/>
  <c r="AK184" i="13"/>
  <c r="AJ184" i="13"/>
  <c r="O184" i="13"/>
  <c r="AN183" i="13"/>
  <c r="AM183" i="13"/>
  <c r="AL183" i="13"/>
  <c r="AK183" i="13"/>
  <c r="AJ183" i="13"/>
  <c r="AI183" i="13"/>
  <c r="AG183" i="13"/>
  <c r="AN182" i="13"/>
  <c r="AM182" i="13"/>
  <c r="AL182" i="13"/>
  <c r="AK182" i="13"/>
  <c r="O182" i="13"/>
  <c r="AN181" i="13"/>
  <c r="AM181" i="13"/>
  <c r="AL181" i="13"/>
  <c r="AK181" i="13"/>
  <c r="AI181" i="13"/>
  <c r="O181" i="13"/>
  <c r="AN180" i="13"/>
  <c r="AM180" i="13"/>
  <c r="AL180" i="13"/>
  <c r="AK180" i="13"/>
  <c r="AI180" i="13"/>
  <c r="AG180" i="13"/>
  <c r="AN179" i="13"/>
  <c r="AM179" i="13"/>
  <c r="AL179" i="13"/>
  <c r="O179" i="13"/>
  <c r="AJ178" i="13"/>
  <c r="AI178" i="13"/>
  <c r="AG178" i="13"/>
  <c r="AJ177" i="13"/>
  <c r="O177" i="13"/>
  <c r="AN176" i="13"/>
  <c r="AM176" i="13"/>
  <c r="AL176" i="13"/>
  <c r="AK176" i="13"/>
  <c r="AI176" i="13"/>
  <c r="AG176" i="13"/>
  <c r="AN175" i="13"/>
  <c r="AM175" i="13"/>
  <c r="AL175" i="13"/>
  <c r="O175" i="13"/>
  <c r="AN174" i="13"/>
  <c r="AM174" i="13"/>
  <c r="AN173" i="13"/>
  <c r="AM173" i="13"/>
  <c r="AL173" i="13"/>
  <c r="AK173" i="13"/>
  <c r="AI173" i="13"/>
  <c r="AG173" i="13"/>
  <c r="AN172" i="13"/>
  <c r="AM172" i="13"/>
  <c r="AL172" i="13"/>
  <c r="AK172" i="13"/>
  <c r="AI172" i="13"/>
  <c r="AG172" i="13"/>
  <c r="O172" i="13"/>
  <c r="AN171" i="13"/>
  <c r="AM171" i="13"/>
  <c r="AL171" i="13"/>
  <c r="AK171" i="13"/>
  <c r="O171" i="13"/>
  <c r="AN170" i="13"/>
  <c r="AM170" i="13"/>
  <c r="AL170" i="13"/>
  <c r="AK170" i="13"/>
  <c r="AI170" i="13"/>
  <c r="O170" i="13"/>
  <c r="AN169" i="13"/>
  <c r="AM169" i="13"/>
  <c r="AL169" i="13"/>
  <c r="AK169" i="13"/>
  <c r="O169" i="13"/>
  <c r="O161" i="13"/>
  <c r="O160" i="13"/>
  <c r="O159" i="13"/>
  <c r="O158" i="13"/>
  <c r="O157" i="13"/>
  <c r="O156" i="13"/>
  <c r="O155" i="13"/>
  <c r="O154" i="13"/>
  <c r="O153" i="13"/>
  <c r="O152" i="13"/>
  <c r="O151" i="13"/>
  <c r="O150" i="13"/>
  <c r="O149" i="13"/>
  <c r="O148" i="13"/>
  <c r="O147" i="13"/>
  <c r="O145" i="13"/>
  <c r="O144" i="13"/>
  <c r="O143" i="13"/>
  <c r="O142" i="13"/>
  <c r="O138" i="13"/>
  <c r="O129" i="13"/>
  <c r="O128" i="13"/>
  <c r="O127" i="13"/>
  <c r="O126" i="13"/>
  <c r="O125" i="13"/>
  <c r="O123" i="13"/>
  <c r="O121" i="13"/>
  <c r="O120" i="13"/>
  <c r="O118" i="13"/>
  <c r="O117" i="13"/>
  <c r="O115" i="13"/>
  <c r="O114" i="13"/>
  <c r="O113" i="13"/>
  <c r="O112" i="13"/>
  <c r="O110" i="13"/>
  <c r="O109" i="13"/>
  <c r="O108" i="13"/>
  <c r="O107" i="13"/>
  <c r="O94" i="13"/>
  <c r="O90" i="13"/>
  <c r="O87" i="13"/>
  <c r="O84" i="13"/>
  <c r="O83" i="13"/>
  <c r="O81" i="13"/>
  <c r="O80" i="13"/>
  <c r="O78" i="13"/>
  <c r="O77" i="13"/>
  <c r="O76" i="13"/>
  <c r="O74" i="13"/>
  <c r="O71" i="13"/>
  <c r="O70" i="13"/>
  <c r="AH64" i="13"/>
  <c r="AG64" i="13"/>
  <c r="O63" i="13"/>
  <c r="AH62" i="13"/>
  <c r="AG62" i="13"/>
  <c r="O62" i="13"/>
  <c r="O61" i="13"/>
  <c r="AH60" i="13"/>
  <c r="AG60" i="13"/>
  <c r="O60" i="13"/>
  <c r="O59" i="13"/>
  <c r="AH58" i="13"/>
  <c r="AG58" i="13"/>
  <c r="O57" i="13"/>
  <c r="O56" i="13"/>
  <c r="AH55" i="13"/>
  <c r="AG55" i="13"/>
  <c r="AH54" i="13"/>
  <c r="O54" i="13"/>
  <c r="AG53" i="13"/>
  <c r="O53" i="13"/>
  <c r="AH51" i="13"/>
  <c r="AG51" i="13"/>
  <c r="O50" i="13"/>
  <c r="AH49" i="13"/>
  <c r="AG49" i="13"/>
  <c r="O49" i="13"/>
  <c r="O48" i="13"/>
  <c r="AH47" i="13"/>
  <c r="AG47" i="13"/>
  <c r="O47" i="13"/>
  <c r="O46" i="13"/>
  <c r="AH45" i="13"/>
  <c r="AG45" i="13"/>
  <c r="AH44" i="13"/>
  <c r="AG44" i="13"/>
  <c r="O44" i="13"/>
  <c r="O43" i="13"/>
  <c r="O42" i="13"/>
  <c r="AH41" i="13"/>
  <c r="AG41" i="13"/>
  <c r="AH40" i="13"/>
  <c r="AG39" i="13"/>
  <c r="O39" i="13"/>
  <c r="AH38" i="13"/>
  <c r="AG38" i="13"/>
  <c r="O38" i="13"/>
  <c r="O37" i="13"/>
  <c r="AL31" i="13"/>
  <c r="AK31" i="13"/>
  <c r="AJ31" i="13"/>
  <c r="AI31" i="13"/>
  <c r="AG31" i="13"/>
  <c r="AM30" i="13"/>
  <c r="AL30" i="13"/>
  <c r="AK30" i="13"/>
  <c r="AJ30" i="13"/>
  <c r="AI30" i="13"/>
  <c r="AH30" i="13"/>
  <c r="AM29" i="13"/>
  <c r="AL29" i="13"/>
  <c r="AK29" i="13"/>
  <c r="AJ29" i="13"/>
  <c r="O29" i="13"/>
  <c r="AM28" i="13"/>
  <c r="AL28" i="13"/>
  <c r="AK28" i="13"/>
  <c r="AJ28" i="13"/>
  <c r="AH28" i="13"/>
  <c r="AG28" i="13"/>
  <c r="AM27" i="13"/>
  <c r="AL27" i="13"/>
  <c r="AK27" i="13"/>
  <c r="AJ27" i="13"/>
  <c r="AI27" i="13"/>
  <c r="O27" i="13"/>
  <c r="AM26" i="13"/>
  <c r="AL26" i="13"/>
  <c r="AK26" i="13"/>
  <c r="AJ26" i="13"/>
  <c r="AI26" i="13"/>
  <c r="AH26" i="13"/>
  <c r="AG26" i="13"/>
  <c r="O26" i="13"/>
  <c r="AM25" i="13"/>
  <c r="AL25" i="13"/>
  <c r="AK25" i="13"/>
  <c r="AG25" i="13"/>
  <c r="O25" i="13"/>
  <c r="AM24" i="13"/>
  <c r="AL24" i="13"/>
  <c r="AK24" i="13"/>
  <c r="AJ24" i="13"/>
  <c r="AH24" i="13"/>
  <c r="O24" i="13"/>
  <c r="AM23" i="13"/>
  <c r="AL23" i="13"/>
  <c r="AK23" i="13"/>
  <c r="AJ23" i="13"/>
  <c r="AI23" i="13"/>
  <c r="AH23" i="13"/>
  <c r="O23" i="13"/>
  <c r="AM22" i="13"/>
  <c r="AL22" i="13"/>
  <c r="AK22" i="13"/>
  <c r="AJ22" i="13"/>
  <c r="AI22" i="13"/>
  <c r="AG22" i="13"/>
  <c r="AM21" i="13"/>
  <c r="AL21" i="13"/>
  <c r="AK21" i="13"/>
  <c r="O21" i="13"/>
  <c r="AM20" i="13"/>
  <c r="AL20" i="13"/>
  <c r="AK20" i="13"/>
  <c r="AJ20" i="13"/>
  <c r="AH20" i="13"/>
  <c r="AG20" i="13"/>
  <c r="O20" i="13"/>
  <c r="AM19" i="13"/>
  <c r="AL19" i="13"/>
  <c r="AK19" i="13"/>
  <c r="O19" i="13"/>
  <c r="AM18" i="13"/>
  <c r="AL18" i="13"/>
  <c r="AK18" i="13"/>
  <c r="AJ18" i="13"/>
  <c r="AH18" i="13"/>
  <c r="AG18" i="13"/>
  <c r="O18" i="13"/>
  <c r="AM17" i="13"/>
  <c r="AL17" i="13"/>
  <c r="O17" i="13"/>
  <c r="AM16" i="13"/>
  <c r="AL16" i="13"/>
  <c r="AK16" i="13"/>
  <c r="AJ16" i="13"/>
  <c r="AH16" i="13"/>
  <c r="AG16" i="13"/>
  <c r="O16" i="13"/>
  <c r="AM15" i="13"/>
  <c r="AL15" i="13"/>
  <c r="AK15" i="13"/>
  <c r="AJ15" i="13"/>
  <c r="AI15" i="13"/>
  <c r="O15" i="13"/>
  <c r="AM14" i="13"/>
  <c r="AL14" i="13"/>
  <c r="AK14" i="13"/>
  <c r="AJ14" i="13"/>
  <c r="AI14" i="13"/>
  <c r="AH14" i="13"/>
  <c r="O14" i="13"/>
  <c r="O13" i="13"/>
  <c r="AH12" i="13"/>
  <c r="AG12" i="13"/>
  <c r="O12" i="13"/>
  <c r="AM11" i="13"/>
  <c r="AL11" i="13"/>
  <c r="O11" i="13"/>
  <c r="AM10" i="13"/>
  <c r="AL10" i="13"/>
  <c r="AK10" i="13"/>
  <c r="AJ10" i="13"/>
  <c r="AH10" i="13"/>
  <c r="AG10" i="13"/>
  <c r="O10" i="13"/>
  <c r="AM9" i="13"/>
  <c r="AL9" i="13"/>
  <c r="AK9" i="13"/>
  <c r="AJ9" i="13"/>
  <c r="AH9" i="13"/>
  <c r="AG9" i="13"/>
  <c r="O9" i="13"/>
  <c r="AM8" i="13"/>
  <c r="AL8" i="13"/>
  <c r="AK8" i="13"/>
  <c r="O8" i="13"/>
  <c r="AM7" i="13"/>
  <c r="AL7" i="13"/>
  <c r="AK7" i="13"/>
  <c r="AJ7" i="13"/>
  <c r="AH7" i="13"/>
  <c r="AM6" i="13"/>
  <c r="AL6" i="13"/>
  <c r="G36" i="12"/>
  <c r="C36" i="12"/>
  <c r="E35" i="12"/>
  <c r="E34" i="12"/>
  <c r="G33" i="12"/>
  <c r="E33" i="12"/>
  <c r="C32" i="12"/>
  <c r="G31" i="12"/>
  <c r="C31" i="12"/>
  <c r="E30" i="12"/>
  <c r="G29" i="12"/>
  <c r="E29" i="12"/>
  <c r="G28" i="12"/>
  <c r="E28" i="12"/>
  <c r="E27" i="12"/>
  <c r="G26" i="12"/>
  <c r="C26" i="12"/>
  <c r="G25" i="12"/>
  <c r="E25" i="12"/>
  <c r="G24" i="12"/>
  <c r="E24" i="12"/>
  <c r="C23" i="12"/>
  <c r="C22" i="12"/>
  <c r="E21" i="12"/>
  <c r="C20" i="12"/>
  <c r="G19" i="12"/>
  <c r="E19" i="12"/>
  <c r="E18" i="12"/>
  <c r="G17" i="12"/>
  <c r="E17" i="12"/>
  <c r="C16" i="12"/>
  <c r="G15" i="12"/>
  <c r="C15" i="12"/>
  <c r="C14" i="12"/>
  <c r="E13" i="12"/>
  <c r="C12" i="12"/>
  <c r="C11" i="12"/>
  <c r="G10" i="12"/>
  <c r="E10" i="12"/>
  <c r="E9" i="12"/>
  <c r="G8" i="12"/>
  <c r="E8" i="12"/>
  <c r="E7" i="12"/>
  <c r="G6" i="12"/>
  <c r="C6" i="12"/>
  <c r="E5" i="12"/>
  <c r="G4" i="12"/>
  <c r="C4" i="12"/>
  <c r="C3" i="12"/>
  <c r="N2" i="12"/>
  <c r="M2" i="12"/>
  <c r="L2" i="12"/>
  <c r="G2" i="12"/>
  <c r="E2" i="12"/>
  <c r="C2" i="12"/>
  <c r="C15" i="11"/>
  <c r="E14" i="11"/>
  <c r="G13" i="11"/>
  <c r="E13" i="11"/>
  <c r="E12" i="11"/>
  <c r="E11" i="11"/>
  <c r="G9" i="11"/>
  <c r="C9" i="11"/>
  <c r="E8" i="11"/>
  <c r="C7" i="11"/>
  <c r="E6" i="11"/>
  <c r="C5" i="11"/>
  <c r="G4" i="11"/>
  <c r="C4" i="11"/>
  <c r="G3" i="11"/>
  <c r="E3" i="11"/>
  <c r="N2" i="11"/>
  <c r="M2" i="11"/>
  <c r="L2" i="11"/>
  <c r="K2" i="11"/>
  <c r="G2" i="11"/>
  <c r="E2" i="11"/>
  <c r="C2" i="11"/>
  <c r="E31" i="10"/>
  <c r="G30" i="10"/>
  <c r="E30" i="10"/>
  <c r="C29" i="10"/>
  <c r="E28" i="10"/>
  <c r="G27" i="10"/>
  <c r="C27" i="10"/>
  <c r="E26" i="10"/>
  <c r="C25" i="10"/>
  <c r="E24" i="10"/>
  <c r="C23" i="10"/>
  <c r="C22" i="10"/>
  <c r="C21" i="10"/>
  <c r="G20" i="10"/>
  <c r="E20" i="10"/>
  <c r="E19" i="10"/>
  <c r="C18" i="10"/>
  <c r="C17" i="10"/>
  <c r="E16" i="10"/>
  <c r="G15" i="10"/>
  <c r="C15" i="10"/>
  <c r="C14" i="10"/>
  <c r="G13" i="10"/>
  <c r="E13" i="10"/>
  <c r="E12" i="10"/>
  <c r="E11" i="10"/>
  <c r="G10" i="10"/>
  <c r="C10" i="10"/>
  <c r="E9" i="10"/>
  <c r="C8" i="10"/>
  <c r="E7" i="10"/>
  <c r="G6" i="10"/>
  <c r="C6" i="10"/>
  <c r="G5" i="10"/>
  <c r="E5" i="10"/>
  <c r="C4" i="10"/>
  <c r="H3" i="10"/>
  <c r="G2" i="10" s="1"/>
  <c r="C3" i="10"/>
  <c r="N2" i="10"/>
  <c r="M2" i="10"/>
  <c r="L2" i="10"/>
  <c r="K2" i="10"/>
  <c r="G25" i="9"/>
  <c r="C25" i="9"/>
  <c r="G24" i="9"/>
  <c r="C24" i="9"/>
  <c r="G23" i="9"/>
  <c r="E23" i="9"/>
  <c r="G22" i="9"/>
  <c r="E22" i="9"/>
  <c r="E21" i="9"/>
  <c r="E20" i="9"/>
  <c r="E19" i="9"/>
  <c r="G17" i="9"/>
  <c r="C17" i="9"/>
  <c r="G16" i="9"/>
  <c r="E16" i="9"/>
  <c r="G15" i="9"/>
  <c r="C15" i="9"/>
  <c r="C14" i="9"/>
  <c r="C13" i="9"/>
  <c r="C12" i="9"/>
  <c r="G11" i="9"/>
  <c r="C11" i="9"/>
  <c r="G10" i="9"/>
  <c r="C10" i="9"/>
  <c r="G9" i="9"/>
  <c r="E9" i="9"/>
  <c r="E8" i="9"/>
  <c r="G7" i="9"/>
  <c r="E7" i="9"/>
  <c r="E6" i="9"/>
  <c r="G5" i="9"/>
  <c r="E5" i="9"/>
  <c r="C4" i="9"/>
  <c r="G3" i="9"/>
  <c r="C3" i="9"/>
  <c r="N2" i="9"/>
  <c r="M2" i="9"/>
  <c r="L2" i="9"/>
  <c r="K2" i="9"/>
  <c r="G2" i="9"/>
  <c r="E2" i="9"/>
  <c r="C2" i="9"/>
  <c r="E51" i="8"/>
  <c r="C50" i="8"/>
  <c r="G49" i="8"/>
  <c r="C49" i="8"/>
  <c r="C48" i="8"/>
  <c r="G47" i="8"/>
  <c r="E47" i="8"/>
  <c r="G46" i="8"/>
  <c r="C46" i="8"/>
  <c r="G45" i="8"/>
  <c r="E45" i="8"/>
  <c r="G44" i="8"/>
  <c r="E44" i="8"/>
  <c r="C43" i="8"/>
  <c r="E42" i="8"/>
  <c r="C41" i="8"/>
  <c r="E39" i="8"/>
  <c r="E38" i="8"/>
  <c r="C37" i="8"/>
  <c r="E36" i="8"/>
  <c r="G35" i="8"/>
  <c r="C35" i="8"/>
  <c r="E34" i="8"/>
  <c r="E33" i="8"/>
  <c r="E32" i="8"/>
  <c r="E31" i="8"/>
  <c r="G30" i="8"/>
  <c r="C30" i="8"/>
  <c r="G29" i="8"/>
  <c r="C29" i="8"/>
  <c r="C28" i="8"/>
  <c r="E27" i="8"/>
  <c r="E26" i="8"/>
  <c r="G25" i="8"/>
  <c r="E25" i="8"/>
  <c r="G24" i="8"/>
  <c r="C24" i="8"/>
  <c r="E23" i="8"/>
  <c r="E22" i="8"/>
  <c r="C21" i="8"/>
  <c r="C20" i="8"/>
  <c r="G19" i="8"/>
  <c r="C19" i="8"/>
  <c r="G18" i="8"/>
  <c r="C18" i="8"/>
  <c r="G17" i="8"/>
  <c r="E17" i="8"/>
  <c r="G16" i="8"/>
  <c r="C16" i="8"/>
  <c r="C15" i="8"/>
  <c r="E14" i="8"/>
  <c r="G13" i="8"/>
  <c r="C13" i="8"/>
  <c r="E12" i="8"/>
  <c r="E11" i="8"/>
  <c r="G10" i="8"/>
  <c r="C10" i="8"/>
  <c r="G9" i="8"/>
  <c r="C9" i="8"/>
  <c r="E8" i="8"/>
  <c r="G7" i="8"/>
  <c r="C7" i="8"/>
  <c r="C6" i="8"/>
  <c r="G5" i="8"/>
  <c r="C5" i="8"/>
  <c r="C4" i="8"/>
  <c r="E3" i="8"/>
  <c r="N2" i="8"/>
  <c r="M2" i="8"/>
  <c r="L2" i="8"/>
  <c r="K2" i="8"/>
  <c r="G2" i="8"/>
  <c r="E2" i="8"/>
  <c r="C2" i="8"/>
  <c r="G22" i="7"/>
  <c r="E22" i="7"/>
  <c r="G21" i="7"/>
  <c r="C21" i="7"/>
  <c r="G20" i="7"/>
  <c r="E20" i="7"/>
  <c r="G19" i="7"/>
  <c r="C19" i="7"/>
  <c r="E18" i="7"/>
  <c r="E17" i="7"/>
  <c r="E16" i="7"/>
  <c r="E15" i="7"/>
  <c r="G14" i="7"/>
  <c r="E14" i="7"/>
  <c r="G13" i="7"/>
  <c r="C13" i="7"/>
  <c r="E12" i="7"/>
  <c r="C11" i="7"/>
  <c r="C10" i="7"/>
  <c r="C9" i="7"/>
  <c r="E8" i="7"/>
  <c r="G7" i="7"/>
  <c r="E7" i="7"/>
  <c r="G6" i="7"/>
  <c r="C6" i="7"/>
  <c r="G5" i="7"/>
  <c r="E5" i="7"/>
  <c r="G4" i="7"/>
  <c r="C4" i="7"/>
  <c r="G3" i="7"/>
  <c r="E3" i="7"/>
  <c r="N2" i="7"/>
  <c r="M2" i="7"/>
  <c r="L2" i="7"/>
  <c r="K2" i="7"/>
  <c r="G2" i="7"/>
  <c r="E2" i="7"/>
  <c r="C2" i="7"/>
  <c r="E35" i="6"/>
  <c r="G34" i="6"/>
  <c r="C34" i="6"/>
  <c r="E33" i="6"/>
  <c r="G32" i="6"/>
  <c r="E32" i="6"/>
  <c r="E31" i="6"/>
  <c r="E30" i="6"/>
  <c r="G29" i="6"/>
  <c r="E29" i="6"/>
  <c r="G28" i="6"/>
  <c r="E28" i="6"/>
  <c r="E27" i="6"/>
  <c r="E26" i="6"/>
  <c r="E25" i="6"/>
  <c r="C24" i="6"/>
  <c r="E23" i="6"/>
  <c r="E22" i="6"/>
  <c r="C21" i="6"/>
  <c r="E19" i="6"/>
  <c r="E18" i="6"/>
  <c r="C17" i="6"/>
  <c r="C16" i="6"/>
  <c r="E15" i="6"/>
  <c r="C14" i="6"/>
  <c r="G13" i="6"/>
  <c r="E13" i="6"/>
  <c r="E12" i="6"/>
  <c r="E11" i="6"/>
  <c r="G10" i="6"/>
  <c r="C10" i="6"/>
  <c r="E9" i="6"/>
  <c r="G8" i="6"/>
  <c r="E8" i="6"/>
  <c r="E7" i="6"/>
  <c r="E6" i="6"/>
  <c r="C5" i="6"/>
  <c r="E4" i="6"/>
  <c r="E3" i="6"/>
  <c r="N2" i="6"/>
  <c r="M2" i="6"/>
  <c r="L2" i="6"/>
  <c r="G2" i="6"/>
  <c r="E2" i="6"/>
  <c r="C2" i="6"/>
  <c r="E32" i="5"/>
  <c r="G31" i="5"/>
  <c r="C31" i="5"/>
  <c r="G30" i="5"/>
  <c r="E30" i="5"/>
  <c r="E29" i="5"/>
  <c r="C28" i="5"/>
  <c r="C27" i="5"/>
  <c r="G26" i="5"/>
  <c r="E26" i="5"/>
  <c r="E25" i="5"/>
  <c r="C23" i="5"/>
  <c r="G22" i="5"/>
  <c r="E22" i="5"/>
  <c r="E21" i="5"/>
  <c r="E20" i="5"/>
  <c r="E19" i="5"/>
  <c r="E18" i="5"/>
  <c r="E17" i="5"/>
  <c r="E16" i="5"/>
  <c r="E15" i="5"/>
  <c r="E14" i="5"/>
  <c r="G13" i="5"/>
  <c r="E13" i="5"/>
  <c r="E12" i="5"/>
  <c r="E11" i="5"/>
  <c r="C10" i="5"/>
  <c r="E9" i="5"/>
  <c r="G8" i="5"/>
  <c r="C8" i="5"/>
  <c r="G7" i="5"/>
  <c r="E7" i="5"/>
  <c r="C6" i="5"/>
  <c r="G5" i="5"/>
  <c r="C5" i="5"/>
  <c r="C4" i="5"/>
  <c r="E3" i="5"/>
  <c r="N2" i="5"/>
  <c r="M2" i="5"/>
  <c r="L2" i="5"/>
  <c r="K2" i="5"/>
  <c r="G2" i="5"/>
  <c r="E2" i="5"/>
  <c r="C2" i="5"/>
  <c r="E16" i="4"/>
  <c r="C15" i="4"/>
  <c r="E14" i="4"/>
  <c r="C13" i="4"/>
  <c r="C12" i="4"/>
  <c r="E11" i="4"/>
  <c r="C10" i="4"/>
  <c r="E9" i="4"/>
  <c r="C8" i="4"/>
  <c r="G7" i="4"/>
  <c r="C7" i="4"/>
  <c r="E6" i="4"/>
  <c r="G5" i="4"/>
  <c r="E5" i="4"/>
  <c r="G4" i="4"/>
  <c r="C4" i="4"/>
  <c r="C3" i="4"/>
  <c r="G2" i="4"/>
  <c r="E2" i="4"/>
  <c r="C2" i="4"/>
  <c r="G18" i="3"/>
  <c r="C18" i="3"/>
  <c r="E17" i="3"/>
  <c r="E16" i="3"/>
  <c r="G15" i="3"/>
  <c r="E15" i="3"/>
  <c r="E14" i="3"/>
  <c r="E13" i="3"/>
  <c r="E12" i="3"/>
  <c r="G11" i="3"/>
  <c r="C11" i="3"/>
  <c r="C10" i="3"/>
  <c r="G9" i="3"/>
  <c r="E9" i="3"/>
  <c r="G8" i="3"/>
  <c r="C8" i="3"/>
  <c r="E7" i="3"/>
  <c r="E6" i="3"/>
  <c r="C5" i="3"/>
  <c r="E4" i="3"/>
  <c r="C3" i="3"/>
  <c r="N2" i="3"/>
  <c r="M2" i="3"/>
  <c r="L2" i="3"/>
  <c r="G2" i="3"/>
  <c r="E2" i="3"/>
  <c r="C2" i="3"/>
  <c r="G21" i="2"/>
  <c r="C21" i="2"/>
  <c r="G20" i="2"/>
  <c r="C20" i="2"/>
  <c r="E19" i="2"/>
  <c r="G18" i="2"/>
  <c r="C18" i="2"/>
  <c r="G16" i="2"/>
  <c r="E16" i="2"/>
  <c r="C15" i="2"/>
  <c r="E14" i="2"/>
  <c r="C13" i="2"/>
  <c r="C12" i="2"/>
  <c r="G11" i="2"/>
  <c r="C11" i="2"/>
  <c r="C10" i="2"/>
  <c r="E9" i="2"/>
  <c r="G8" i="2"/>
  <c r="C8" i="2"/>
  <c r="C6" i="2"/>
  <c r="G4" i="2"/>
  <c r="E4" i="2"/>
  <c r="N2" i="2"/>
  <c r="M2" i="2"/>
  <c r="L2" i="2"/>
  <c r="K2" i="2"/>
  <c r="E2" i="2"/>
  <c r="C2" i="2"/>
  <c r="C358" i="1"/>
  <c r="G357" i="1"/>
  <c r="E357" i="1"/>
  <c r="G356" i="1"/>
  <c r="C356" i="1"/>
  <c r="G355" i="1"/>
  <c r="E355" i="1"/>
  <c r="G354" i="1"/>
  <c r="C354" i="1"/>
  <c r="E353" i="1"/>
  <c r="E352" i="1"/>
  <c r="E351" i="1"/>
  <c r="E350" i="1"/>
  <c r="G349" i="1"/>
  <c r="E349" i="1"/>
  <c r="G348" i="1"/>
  <c r="C348" i="1"/>
  <c r="E347" i="1"/>
  <c r="C346" i="1"/>
  <c r="C345" i="1"/>
  <c r="C344" i="1"/>
  <c r="E343" i="1"/>
  <c r="G342" i="1"/>
  <c r="E342" i="1"/>
  <c r="G341" i="1"/>
  <c r="C341" i="1"/>
  <c r="G340" i="1"/>
  <c r="E340" i="1"/>
  <c r="H339" i="1"/>
  <c r="C339" i="1"/>
  <c r="H338" i="1"/>
  <c r="E338" i="1"/>
  <c r="E336" i="1"/>
  <c r="C335" i="1"/>
  <c r="E334" i="1"/>
  <c r="C333" i="1"/>
  <c r="C332" i="1"/>
  <c r="E331" i="1"/>
  <c r="C330" i="1"/>
  <c r="E329" i="1"/>
  <c r="C328" i="1"/>
  <c r="G327" i="1"/>
  <c r="C327" i="1"/>
  <c r="E326" i="1"/>
  <c r="G325" i="1"/>
  <c r="E325" i="1"/>
  <c r="G324" i="1"/>
  <c r="C324" i="1"/>
  <c r="C323" i="1"/>
  <c r="C322" i="1"/>
  <c r="E321" i="1"/>
  <c r="G320" i="1"/>
  <c r="E320" i="1"/>
  <c r="E319" i="1"/>
  <c r="E318" i="1"/>
  <c r="G316" i="1"/>
  <c r="C316" i="1"/>
  <c r="E315" i="1"/>
  <c r="C314" i="1"/>
  <c r="E313" i="1"/>
  <c r="C312" i="1"/>
  <c r="G311" i="1"/>
  <c r="C311" i="1"/>
  <c r="G310" i="1"/>
  <c r="E310" i="1"/>
  <c r="E258" i="1"/>
  <c r="G257" i="1"/>
  <c r="E257" i="1"/>
  <c r="C256" i="1"/>
  <c r="E255" i="1"/>
  <c r="G254" i="1"/>
  <c r="C254" i="1"/>
  <c r="E253" i="1"/>
  <c r="C252" i="1"/>
  <c r="E251" i="1"/>
  <c r="C250" i="1"/>
  <c r="C249" i="1"/>
  <c r="C248" i="1"/>
  <c r="G247" i="1"/>
  <c r="E247" i="1"/>
  <c r="E246" i="1"/>
  <c r="C245" i="1"/>
  <c r="C244" i="1"/>
  <c r="E243" i="1"/>
  <c r="G242" i="1"/>
  <c r="C242" i="1"/>
  <c r="C241" i="1"/>
  <c r="G240" i="1"/>
  <c r="E240" i="1"/>
  <c r="E239" i="1"/>
  <c r="E238" i="1"/>
  <c r="G237" i="1"/>
  <c r="C237" i="1"/>
  <c r="E236" i="1"/>
  <c r="C235" i="1"/>
  <c r="E234" i="1"/>
  <c r="G233" i="1"/>
  <c r="C233" i="1"/>
  <c r="G232" i="1"/>
  <c r="E232" i="1"/>
  <c r="C231" i="1"/>
  <c r="H230" i="1"/>
  <c r="C230" i="1"/>
  <c r="E227" i="1"/>
  <c r="G226" i="1"/>
  <c r="C226" i="1"/>
  <c r="G225" i="1"/>
  <c r="E225" i="1"/>
  <c r="E224" i="1"/>
  <c r="G223" i="1"/>
  <c r="E223" i="1"/>
  <c r="G222" i="1"/>
  <c r="E222" i="1"/>
  <c r="C221" i="1"/>
  <c r="E220" i="1"/>
  <c r="E219" i="1"/>
  <c r="E218" i="1"/>
  <c r="E217" i="1"/>
  <c r="E215" i="1"/>
  <c r="G214" i="1"/>
  <c r="C214" i="1"/>
  <c r="G213" i="1"/>
  <c r="E213" i="1"/>
  <c r="E212" i="1"/>
  <c r="C211" i="1"/>
  <c r="C210" i="1"/>
  <c r="G209" i="1"/>
  <c r="E209" i="1"/>
  <c r="E208" i="1"/>
  <c r="C206" i="1"/>
  <c r="G205" i="1"/>
  <c r="E205" i="1"/>
  <c r="E204" i="1"/>
  <c r="E203" i="1"/>
  <c r="E202" i="1"/>
  <c r="E201" i="1"/>
  <c r="E200" i="1"/>
  <c r="E199" i="1"/>
  <c r="E198" i="1"/>
  <c r="E197" i="1"/>
  <c r="G196" i="1"/>
  <c r="E196" i="1"/>
  <c r="E195" i="1"/>
  <c r="E194" i="1"/>
  <c r="C193" i="1"/>
  <c r="E192" i="1"/>
  <c r="G191" i="1"/>
  <c r="C191" i="1"/>
  <c r="G190" i="1"/>
  <c r="E190" i="1"/>
  <c r="C189" i="1"/>
  <c r="G188" i="1"/>
  <c r="C188" i="1"/>
  <c r="C187" i="1"/>
  <c r="E186" i="1"/>
  <c r="E184" i="1"/>
  <c r="C183" i="1"/>
  <c r="G182" i="1"/>
  <c r="C182" i="1"/>
  <c r="C181" i="1"/>
  <c r="G180" i="1"/>
  <c r="E180" i="1"/>
  <c r="G179" i="1"/>
  <c r="C179" i="1"/>
  <c r="G178" i="1"/>
  <c r="E178" i="1"/>
  <c r="G177" i="1"/>
  <c r="E177" i="1"/>
  <c r="C176" i="1"/>
  <c r="E175" i="1"/>
  <c r="C174" i="1"/>
  <c r="E172" i="1"/>
  <c r="E171" i="1"/>
  <c r="C170" i="1"/>
  <c r="E169" i="1"/>
  <c r="G168" i="1"/>
  <c r="C168" i="1"/>
  <c r="E167" i="1"/>
  <c r="E166" i="1"/>
  <c r="E165" i="1"/>
  <c r="E164" i="1"/>
  <c r="G163" i="1"/>
  <c r="C163" i="1"/>
  <c r="G162" i="1"/>
  <c r="C162" i="1"/>
  <c r="C161" i="1"/>
  <c r="E160" i="1"/>
  <c r="E159" i="1"/>
  <c r="G158" i="1"/>
  <c r="E158" i="1"/>
  <c r="G157" i="1"/>
  <c r="C157" i="1"/>
  <c r="E156" i="1"/>
  <c r="E155" i="1"/>
  <c r="C154" i="1"/>
  <c r="C153" i="1"/>
  <c r="G152" i="1"/>
  <c r="C152" i="1"/>
  <c r="G151" i="1"/>
  <c r="C151" i="1"/>
  <c r="G150" i="1"/>
  <c r="E150" i="1"/>
  <c r="G149" i="1"/>
  <c r="C149" i="1"/>
  <c r="C148" i="1"/>
  <c r="E147" i="1"/>
  <c r="G146" i="1"/>
  <c r="C146" i="1"/>
  <c r="E145" i="1"/>
  <c r="E144" i="1"/>
  <c r="G143" i="1"/>
  <c r="C143" i="1"/>
  <c r="G142" i="1"/>
  <c r="C142" i="1"/>
  <c r="E141" i="1"/>
  <c r="G140" i="1"/>
  <c r="C140" i="1"/>
  <c r="C139" i="1"/>
  <c r="G138" i="1"/>
  <c r="C138" i="1"/>
  <c r="C137" i="1"/>
  <c r="E136" i="1"/>
  <c r="G134" i="1"/>
  <c r="C134" i="1"/>
  <c r="E133" i="1"/>
  <c r="E132" i="1"/>
  <c r="G131" i="1"/>
  <c r="E131" i="1"/>
  <c r="E130" i="1"/>
  <c r="E129" i="1"/>
  <c r="E128" i="1"/>
  <c r="G127" i="1"/>
  <c r="C127" i="1"/>
  <c r="C126" i="1"/>
  <c r="G125" i="1"/>
  <c r="E125" i="1"/>
  <c r="G124" i="1"/>
  <c r="C124" i="1"/>
  <c r="E123" i="1"/>
  <c r="E122" i="1"/>
  <c r="C121" i="1"/>
  <c r="E120" i="1"/>
  <c r="C119" i="1"/>
  <c r="G117" i="1"/>
  <c r="C117" i="1"/>
  <c r="G116" i="1"/>
  <c r="C116" i="1"/>
  <c r="E115" i="1"/>
  <c r="G114" i="1"/>
  <c r="C114" i="1"/>
  <c r="G112" i="1"/>
  <c r="E112" i="1"/>
  <c r="C111" i="1"/>
  <c r="E110" i="1"/>
  <c r="C109" i="1"/>
  <c r="C108" i="1"/>
  <c r="G107" i="1"/>
  <c r="C107" i="1"/>
  <c r="C106" i="1"/>
  <c r="E105" i="1"/>
  <c r="G104" i="1"/>
  <c r="C104" i="1"/>
  <c r="C102" i="1"/>
  <c r="G100" i="1"/>
  <c r="E100" i="1"/>
  <c r="G98" i="1"/>
  <c r="C98" i="1"/>
  <c r="G97" i="1"/>
  <c r="C97" i="1"/>
  <c r="G96" i="1"/>
  <c r="E96" i="1"/>
  <c r="G95" i="1"/>
  <c r="E95" i="1"/>
  <c r="E94" i="1"/>
  <c r="E93" i="1"/>
  <c r="E92" i="1"/>
  <c r="G90" i="1"/>
  <c r="C90" i="1"/>
  <c r="G89" i="1"/>
  <c r="E89" i="1"/>
  <c r="G88" i="1"/>
  <c r="C88" i="1"/>
  <c r="C87" i="1"/>
  <c r="C86" i="1"/>
  <c r="C85" i="1"/>
  <c r="G84" i="1"/>
  <c r="C84" i="1"/>
  <c r="G83" i="1"/>
  <c r="C83" i="1"/>
  <c r="G82" i="1"/>
  <c r="E82" i="1"/>
  <c r="E81" i="1"/>
  <c r="G80" i="1"/>
  <c r="E80" i="1"/>
  <c r="E79" i="1"/>
  <c r="G78" i="1"/>
  <c r="E78" i="1"/>
  <c r="C77" i="1"/>
  <c r="G76" i="1"/>
  <c r="C76" i="1"/>
  <c r="G74" i="1"/>
  <c r="C74" i="1"/>
  <c r="E73" i="1"/>
  <c r="E72" i="1"/>
  <c r="G71" i="1"/>
  <c r="E71" i="1"/>
  <c r="C70" i="1"/>
  <c r="G69" i="1"/>
  <c r="C69" i="1"/>
  <c r="E68" i="1"/>
  <c r="G67" i="1"/>
  <c r="E67" i="1"/>
  <c r="G66" i="1"/>
  <c r="E66" i="1"/>
  <c r="E65" i="1"/>
  <c r="G64" i="1"/>
  <c r="C64" i="1"/>
  <c r="G63" i="1"/>
  <c r="E63" i="1"/>
  <c r="G62" i="1"/>
  <c r="E62" i="1"/>
  <c r="C61" i="1"/>
  <c r="C60" i="1"/>
  <c r="E59" i="1"/>
  <c r="C58" i="1"/>
  <c r="G57" i="1"/>
  <c r="E57" i="1"/>
  <c r="E56" i="1"/>
  <c r="G55" i="1"/>
  <c r="E55" i="1"/>
  <c r="C54" i="1"/>
  <c r="G53" i="1"/>
  <c r="C53" i="1"/>
  <c r="C52" i="1"/>
  <c r="E51" i="1"/>
  <c r="C50" i="1"/>
  <c r="C49" i="1"/>
  <c r="G48" i="1"/>
  <c r="E48" i="1"/>
  <c r="E47" i="1"/>
  <c r="G46" i="1"/>
  <c r="E46" i="1"/>
  <c r="E45" i="1"/>
  <c r="G44" i="1"/>
  <c r="C44" i="1"/>
  <c r="E43" i="1"/>
  <c r="G42" i="1"/>
  <c r="C42" i="1"/>
  <c r="C41" i="1"/>
  <c r="G39" i="1"/>
  <c r="E39" i="1"/>
  <c r="G38" i="1"/>
  <c r="C38" i="1"/>
  <c r="E36" i="1"/>
  <c r="G35" i="1"/>
  <c r="C35" i="1"/>
  <c r="E34" i="1"/>
  <c r="G33" i="1"/>
  <c r="E33" i="1"/>
  <c r="E32" i="1"/>
  <c r="E31" i="1"/>
  <c r="G30" i="1"/>
  <c r="E30" i="1"/>
  <c r="G29" i="1"/>
  <c r="E29" i="1"/>
  <c r="E28" i="1"/>
  <c r="E27" i="1"/>
  <c r="E26" i="1"/>
  <c r="C25" i="1"/>
  <c r="E24" i="1"/>
  <c r="E23" i="1"/>
  <c r="C22" i="1"/>
  <c r="E20" i="1"/>
  <c r="E19" i="1"/>
  <c r="C18" i="1"/>
  <c r="C17" i="1"/>
  <c r="E16" i="1"/>
  <c r="C15" i="1"/>
  <c r="G14" i="1"/>
  <c r="E14" i="1"/>
  <c r="E13" i="1"/>
  <c r="E12" i="1"/>
  <c r="G11" i="1"/>
  <c r="C11" i="1"/>
  <c r="E10" i="1"/>
  <c r="G9" i="1"/>
  <c r="E9" i="1"/>
  <c r="E8" i="1"/>
  <c r="E7" i="1"/>
  <c r="C6" i="1"/>
  <c r="E5" i="1"/>
  <c r="E4" i="1"/>
  <c r="G3" i="1"/>
  <c r="E3" i="1"/>
  <c r="C3" i="1"/>
  <c r="E2" i="10" l="1"/>
  <c r="D2" i="17"/>
  <c r="D2" i="25"/>
  <c r="C2" i="10"/>
  <c r="M2" i="4"/>
  <c r="L2" i="4"/>
  <c r="N2" i="4"/>
</calcChain>
</file>

<file path=xl/sharedStrings.xml><?xml version="1.0" encoding="utf-8"?>
<sst xmlns="http://schemas.openxmlformats.org/spreadsheetml/2006/main" count="94430" uniqueCount="13072">
  <si>
    <t>Wins</t>
  </si>
  <si>
    <t>Loss</t>
  </si>
  <si>
    <t>Bantamweight Bout</t>
  </si>
  <si>
    <t>Aoriqileng</t>
  </si>
  <si>
    <t>Johnny Munoz</t>
  </si>
  <si>
    <t>Win</t>
  </si>
  <si>
    <t>UFC Fight Night: Dawson vs. Green</t>
  </si>
  <si>
    <t>Aoriqileng vs. Johnny Munoz</t>
  </si>
  <si>
    <t>W/L</t>
  </si>
  <si>
    <t>Decision - Unanimous</t>
  </si>
  <si>
    <t>3 Rnd (5-5-5)</t>
  </si>
  <si>
    <t>Keith Peterson</t>
  </si>
  <si>
    <t>Junichiro Kamijo 28 - 29.Jacob Montalvo 28 - 29.Chris Lee 28 - 29.</t>
  </si>
  <si>
    <t>Charalampos Grigoriou</t>
  </si>
  <si>
    <t>Chad Anheliger</t>
  </si>
  <si>
    <t>loss</t>
  </si>
  <si>
    <t>M</t>
  </si>
  <si>
    <t>BW</t>
  </si>
  <si>
    <t>Decision</t>
  </si>
  <si>
    <t>Unanimous Decision</t>
  </si>
  <si>
    <t>UFC Fight Night: Tuivasa vs. Tybura</t>
  </si>
  <si>
    <t>Charalampos Grigoriou vs. Chad Anheliger</t>
  </si>
  <si>
    <t>L/W</t>
  </si>
  <si>
    <t>Chris Tognoni</t>
  </si>
  <si>
    <t>Adalaide Byrd 28 - 29.Jerin Valel 28 - 29.Derek Cleary 27 - 30.</t>
  </si>
  <si>
    <t>http://ufcstats.com/fight-details/f1cbd73e7be64d28</t>
  </si>
  <si>
    <t>Aiemann Zahabi</t>
  </si>
  <si>
    <t>Javid Basharat</t>
  </si>
  <si>
    <t>Bantamweight</t>
  </si>
  <si>
    <t>3 Rounds</t>
  </si>
  <si>
    <t>Decision (Unanimous)</t>
  </si>
  <si>
    <t>UFC Fight Night: Rozenstruik vs. Gaziev</t>
  </si>
  <si>
    <t>Aiemann Zahabi vs. Javid Basharat</t>
  </si>
  <si>
    <t>Derek Cleary 28 - 29.Sal D'amato 28 - 29.Bryan Miner 28 - 29.</t>
  </si>
  <si>
    <t>http://ufcstats.com/fight-details/a7d397cd0f2ac93a</t>
  </si>
  <si>
    <t>Ricky Simon</t>
  </si>
  <si>
    <t>Mario Bautista</t>
  </si>
  <si>
    <t>UFC Fight Night: Ankalaev vs. Walker 2</t>
  </si>
  <si>
    <t>Ricky Simon vs. Mario Bautista</t>
  </si>
  <si>
    <t>Mark Smith</t>
  </si>
  <si>
    <t>Sal D'amato 27 - 30.Chris Lee 27 - 30.Derek Cleary 28 - 29.</t>
  </si>
  <si>
    <t>http://ufcstats.com/fight-details/a8239866e1222eae</t>
  </si>
  <si>
    <t>Casey O'Neill</t>
  </si>
  <si>
    <t>Ariane Lipski</t>
  </si>
  <si>
    <t>UFC 296: Edwards vs. Covington</t>
  </si>
  <si>
    <t>Cody Garbrandt vs. Brian Kelleher</t>
  </si>
  <si>
    <t>KO/TKO</t>
  </si>
  <si>
    <t>Marc Goddard</t>
  </si>
  <si>
    <t>Punch to Head At Distance</t>
  </si>
  <si>
    <t>http://ufcstats.com/fight-details/f8a8871d167fc929</t>
  </si>
  <si>
    <t>Song Yadong</t>
  </si>
  <si>
    <t>Chris Gutierrez</t>
  </si>
  <si>
    <t>UFC Fight Night: Song vs. Gutierrez</t>
  </si>
  <si>
    <t>Song Yadong vs. Chris Gutierrez</t>
  </si>
  <si>
    <t>5 Rnd (5-5-5-5-5)</t>
  </si>
  <si>
    <t>Herb Dean</t>
  </si>
  <si>
    <t>Sal D'amato 44 - 50.Junichiro Kamijo 45 - 50.Ron McCarthy 45 - 50.</t>
  </si>
  <si>
    <t>http://ufcstats.com/fight-details/f9ec8bedc15ece93</t>
  </si>
  <si>
    <t>Nasrat Haqparast</t>
  </si>
  <si>
    <t>Jamie Mullarkey</t>
  </si>
  <si>
    <t>Tim Elliott vs. Sumudaerji</t>
  </si>
  <si>
    <t>Submission</t>
  </si>
  <si>
    <t>Arm Triangle From Side Control</t>
  </si>
  <si>
    <t>http://ufcstats.com/fight-details/fbedeb4e4b019b94</t>
  </si>
  <si>
    <t>Jose Johnson</t>
  </si>
  <si>
    <t>UFC Fight Night: Allen vs. Craig</t>
  </si>
  <si>
    <t>Chad Anheliger vs. Jose Johnson</t>
  </si>
  <si>
    <t>Rear Naked Choke</t>
  </si>
  <si>
    <t>http://ufcstats.com/fight-details/c1aef0f60a5b62e3</t>
  </si>
  <si>
    <t>Jonathan Martinez</t>
  </si>
  <si>
    <t>Adrian Yanez</t>
  </si>
  <si>
    <t>UFC Fight Night: Yusuff vs. Barboza</t>
  </si>
  <si>
    <t>Jonathan Martinez vs. Adrian Yanez</t>
  </si>
  <si>
    <t>Kerry Hatley</t>
  </si>
  <si>
    <t>Kicks to Leg At Distance</t>
  </si>
  <si>
    <t>Piera Rodriguez</t>
  </si>
  <si>
    <t>Cynthia Calvillo</t>
  </si>
  <si>
    <t>NC</t>
  </si>
  <si>
    <t>Rodriguez's striking and recent performance give her the edge.</t>
  </si>
  <si>
    <t>UFC Fight Night: Allen vs. Curtis 2</t>
  </si>
  <si>
    <t>Pedro Falcao vs. Victor Hugo</t>
  </si>
  <si>
    <t>Chris Leben 27 - 30.Adalaide Byrd 28 - 29.Bryan Miner 28 - 29.</t>
  </si>
  <si>
    <t>http://ufcstats.com/fight-details/5c3b8819dbe98114</t>
  </si>
  <si>
    <t>Jose Aldo</t>
  </si>
  <si>
    <t>Aldo</t>
  </si>
  <si>
    <t>WIn</t>
  </si>
  <si>
    <t>Aldo's experience and striking defense give him the edge.</t>
  </si>
  <si>
    <t>UFC 301: Pantoja vs. Erceg</t>
  </si>
  <si>
    <t>Jose Aldo vs. Jonathan Martinez</t>
  </si>
  <si>
    <t>Mike Beltran</t>
  </si>
  <si>
    <t>Rafael Ferreira 27 - 30.Ben Cartlidge 27 - 30.David Lethaby 27 - 30.</t>
  </si>
  <si>
    <t>http://ufcstats.com/fight-details/b3d88eaea611a4a8</t>
  </si>
  <si>
    <t>Rani Yahya</t>
  </si>
  <si>
    <t>Victor Henry</t>
  </si>
  <si>
    <t>UFC Fight Night: Nicolau vs. Perez</t>
  </si>
  <si>
    <t>Rani Yahya vs. Victor Henry</t>
  </si>
  <si>
    <t>Jason Herzog</t>
  </si>
  <si>
    <t>Punches to Head At Distance</t>
  </si>
  <si>
    <t>http://ufcstats.com/fight-details/55231cc4112334b4</t>
  </si>
  <si>
    <t>Deiveson Figueiredo</t>
  </si>
  <si>
    <t>Cody Garbrandt</t>
  </si>
  <si>
    <t>Figueiredo -210</t>
  </si>
  <si>
    <t>Figueiredo's power and Garbrandt's vulnerability to KOs suggest a finish.</t>
  </si>
  <si>
    <t>UFC 300: Pereira vs. Hill</t>
  </si>
  <si>
    <t>Deiveson Figueiredo vs. Cody Garbrandt</t>
  </si>
  <si>
    <t>http://ufcstats.com/fight-details/3ab0d8b344d2ebea</t>
  </si>
  <si>
    <t>Dan Argueta</t>
  </si>
  <si>
    <t>Jean Matsumoto</t>
  </si>
  <si>
    <t>Matsumoto's undefeated record and submission skills are key.</t>
  </si>
  <si>
    <t>Dan Argueta vs. Jean Matsumoto</t>
  </si>
  <si>
    <t>Guillotine Choke After Drop to Guard</t>
  </si>
  <si>
    <t>http://ufcstats.com/fight-details/1f7566c90343a680</t>
  </si>
  <si>
    <t>Angel Pacheco</t>
  </si>
  <si>
    <t>Caolan Loughran</t>
  </si>
  <si>
    <t>Loughran's grappling and resilience could outpace Pacheco's striking in a tough fight.</t>
  </si>
  <si>
    <t>UFC Fight Night: Blanchfield vs. Fiorot</t>
  </si>
  <si>
    <t>Angel Pacheco vs. Caolan Loughran</t>
  </si>
  <si>
    <t>Vitor Ribeiro</t>
  </si>
  <si>
    <t>Adrian Castro 27 - 30.Eric Colon 27 - 30.David Tirelli 27 - 30.</t>
  </si>
  <si>
    <t>http://ufcstats.com/fight-details/17e8ab0065e9085f</t>
  </si>
  <si>
    <t>Payton Talbott</t>
  </si>
  <si>
    <t>Cameron Saaiman</t>
  </si>
  <si>
    <t>win</t>
  </si>
  <si>
    <t>R2 0:21</t>
  </si>
  <si>
    <t>TKO (Punches)</t>
  </si>
  <si>
    <t>UFC Fight Night: Ribas vs. Namajunas</t>
  </si>
  <si>
    <t>Payton Talbott vs. Cameron Saaiman</t>
  </si>
  <si>
    <t>Punches to Head On Ground</t>
  </si>
  <si>
    <t>http://ufcstats.com/fight-details/127be512f86618b2</t>
  </si>
  <si>
    <t>Miles Johns</t>
  </si>
  <si>
    <t>Cody Gibson</t>
  </si>
  <si>
    <t>Miles Johns vs. Cody Gibson</t>
  </si>
  <si>
    <t>Sal D'amato 27 - 30.Chris Flores 27 - 30.Chris Leben 27 - 30.</t>
  </si>
  <si>
    <t>http://ufcstats.com/fight-details/48ff3f1bcefbf965</t>
  </si>
  <si>
    <t>Petr Yan</t>
  </si>
  <si>
    <t>UFC 299: O'Malley vs. Vera 2</t>
  </si>
  <si>
    <t>Petr Yan vs. Song Yadong</t>
  </si>
  <si>
    <t>David Tirelli 28 - 29.MichaelTate 28 - 29.Chris Lee 28 - 29.</t>
  </si>
  <si>
    <t>http://ufcstats.com/fight-details/9861b6d04e6ed43c</t>
  </si>
  <si>
    <t>Pedro Munhoz</t>
  </si>
  <si>
    <t>Kyler Phillips</t>
  </si>
  <si>
    <t>Pedro Munhoz vs. Kyler Phillips</t>
  </si>
  <si>
    <t>David Tirelli 27 - 30.Sal D'amato 27 - 30.Eliseo Rodriguez 27 - 30.</t>
  </si>
  <si>
    <t>http://ufcstats.com/fight-details/ebb758b49e82d0ed</t>
  </si>
  <si>
    <t>Umar Nurmagomedov</t>
  </si>
  <si>
    <t>Bekzat Almakhan</t>
  </si>
  <si>
    <t>Umar Nurmagomedov vs. Bekzat Almakhan</t>
  </si>
  <si>
    <t>Mike Bell 25 - 30.Bryan Miner 26 - 30.Jacob Montalvo 26 - 30.</t>
  </si>
  <si>
    <t>http://ufcstats.com/fight-details/dcf5014e56649c2f</t>
  </si>
  <si>
    <t>Vinicius Oliveira</t>
  </si>
  <si>
    <t>Benardo Sopaj</t>
  </si>
  <si>
    <t>R3 4:41</t>
  </si>
  <si>
    <t>KO (Flying Knee)</t>
  </si>
  <si>
    <t>Vinicius Oliveira vs. Benardo Sopaj</t>
  </si>
  <si>
    <t>Flying Knee Head</t>
  </si>
  <si>
    <t>http://ufcstats.com/fight-details/cde2f88251b73305</t>
  </si>
  <si>
    <t>Cristian Quinonez</t>
  </si>
  <si>
    <t>Raoni Barcelos</t>
  </si>
  <si>
    <t>R3 2:04</t>
  </si>
  <si>
    <t>Submission (Rear-Naked Choke)</t>
  </si>
  <si>
    <t>UFC Fight Night: Moreno vs. Royval 2</t>
  </si>
  <si>
    <t>Cristian Quinonez vs. Raoni Barcelos</t>
  </si>
  <si>
    <t>Bladimir Puga</t>
  </si>
  <si>
    <t>http://ufcstats.com/fight-details/063e7ce759c52f81</t>
  </si>
  <si>
    <t>Merab Dvalishvili</t>
  </si>
  <si>
    <t>Henry Cejudo</t>
  </si>
  <si>
    <t>UFC 298: Volkanovski vs. Topuria</t>
  </si>
  <si>
    <t>Merab Dvalishvili vs. Henry Cejudo</t>
  </si>
  <si>
    <t>Jonathan Romero</t>
  </si>
  <si>
    <t>Mike Bell 28 - 29.RaphaelDavis 28 - 29.Chris Leben 28 - 29.</t>
  </si>
  <si>
    <t>http://ufcstats.com/fight-details/9785420602b452f7</t>
  </si>
  <si>
    <t>Rinya Nakamura</t>
  </si>
  <si>
    <t>Carlos Vera</t>
  </si>
  <si>
    <t>Rinya Nakamura vs. Carlos Vera</t>
  </si>
  <si>
    <t>Ron McCarthy 27 - 30.RaphaelDavis 27 - 30.Chris Leben 27 - 30.</t>
  </si>
  <si>
    <t>http://ufcstats.com/fight-details/e92fb5c609e20b49</t>
  </si>
  <si>
    <t>Daniel Marcos</t>
  </si>
  <si>
    <t>UFC Fight Night: Hermansson vs. Pyfer</t>
  </si>
  <si>
    <t>Daniel Marcos vs. Aoriqileng</t>
  </si>
  <si>
    <t>NC/NC</t>
  </si>
  <si>
    <t>Could Not Continue</t>
  </si>
  <si>
    <t>Low Blows to Aoriqileng</t>
  </si>
  <si>
    <t>http://ufcstats.com/fight-details/6cd542650d886c22</t>
  </si>
  <si>
    <t>Brad Katona</t>
  </si>
  <si>
    <t>Garrett Armfield</t>
  </si>
  <si>
    <t>UFC 297: Strickland vs. Du Plessis</t>
  </si>
  <si>
    <t>Brad Katona vs. Garrett Armfield</t>
  </si>
  <si>
    <t>Kevin MacDonald</t>
  </si>
  <si>
    <t>Eric Colon 28 - 29.Kyle Costello 28 - 29.Sal D'amato 28 - 29.</t>
  </si>
  <si>
    <t>http://ufcstats.com/fight-details/670e4754d8d3d172</t>
  </si>
  <si>
    <t>Serhiy Sidey</t>
  </si>
  <si>
    <t>Ramon Taveras</t>
  </si>
  <si>
    <t>Serhiy Sidey vs. Ramon Taveras</t>
  </si>
  <si>
    <t>Decision - Split</t>
  </si>
  <si>
    <t>Todd Ronald Anderson</t>
  </si>
  <si>
    <t>Eric Colon 28 - 29.Derek Cleary 29 - 28.Saleem Haniff 28 - 29.</t>
  </si>
  <si>
    <t>http://ufcstats.com/fight-details/43d90683078fcee5</t>
  </si>
  <si>
    <t>Marcus McGhee</t>
  </si>
  <si>
    <t>Gaston Bolanos</t>
  </si>
  <si>
    <t>Marcus McGhee vs. Gaston Bolanos</t>
  </si>
  <si>
    <t>http://ufcstats.com/fight-details/03de7404decde12f</t>
  </si>
  <si>
    <t>Farid Basharat</t>
  </si>
  <si>
    <t>Taylor Lapilus</t>
  </si>
  <si>
    <t>Farid Basharat vs. Taylor Lapilus</t>
  </si>
  <si>
    <t>Mike Bell 27 - 30.Sal D'amato 27 - 30.Junichiro Kamijo 27 - 30.</t>
  </si>
  <si>
    <t>http://ufcstats.com/fight-details/477c3b9de012e4b3</t>
  </si>
  <si>
    <t>Rob Font</t>
  </si>
  <si>
    <t>UFC Fight Night: Dariush vs. Tsarukyan</t>
  </si>
  <si>
    <t>Rob Font vs. Deiveson Figueiredo</t>
  </si>
  <si>
    <t>Jeff Rexroad</t>
  </si>
  <si>
    <t>Patrick Patlan 27 - 30.Mike Beltran 27 - 30.Gino Garcia 27 - 30.</t>
  </si>
  <si>
    <t>http://ufcstats.com/fight-details/246d06693b5ca1e8</t>
  </si>
  <si>
    <t>Nick Aguirre</t>
  </si>
  <si>
    <t>Payton Talbott vs. Nick Aguirre</t>
  </si>
  <si>
    <t>http://ufcstats.com/fight-details/2ae243f518948794</t>
  </si>
  <si>
    <t>Christian Rodriguez</t>
  </si>
  <si>
    <t>Christian Rodriguez vs. Cameron Saaiman</t>
  </si>
  <si>
    <t>Derek Cleary 27 - 30.Tony Weeks 27 - 30.Sal D'amato 28 - 29.</t>
  </si>
  <si>
    <t>Alatengheili</t>
  </si>
  <si>
    <t>Chris Gutierrez vs. Alatengheili</t>
  </si>
  <si>
    <t>Sal D'amato 27 - 30.Ron McCarthy 27 - 30.Bryan Miner 27 - 30.</t>
  </si>
  <si>
    <t>John Castaneda</t>
  </si>
  <si>
    <t>Kyung Ho Kang</t>
  </si>
  <si>
    <t>UFC 295: Prochazka vs. Pereira</t>
  </si>
  <si>
    <t>John Castaneda vs. Kyung Ho Kang</t>
  </si>
  <si>
    <t>Catch Weight Bout</t>
  </si>
  <si>
    <t>Dan Miragliotta</t>
  </si>
  <si>
    <t>Derek Cleary 27 - 30.Eric Colon 27 - 30.Chris Lee 27 - 30.</t>
  </si>
  <si>
    <t>http://ufcstats.com/fight-details/57333b7bff20ece0</t>
  </si>
  <si>
    <t>Elves Brener</t>
  </si>
  <si>
    <t>Kaynan Kruschewsky</t>
  </si>
  <si>
    <t>UFC Fight Night: Almeida vs. Lewis</t>
  </si>
  <si>
    <t>Elves Brener vs. Kaynan Kruschewsky</t>
  </si>
  <si>
    <t>Osiris Maia</t>
  </si>
  <si>
    <t>Alexander Hernandez</t>
  </si>
  <si>
    <t>Bill Algeo</t>
  </si>
  <si>
    <t>Alexander Hernandez vs. Bill Algeo</t>
  </si>
  <si>
    <t>Featherweight Bout</t>
  </si>
  <si>
    <t>Junichiro Kamijo 27 - 30.Chris Lee 27 - 30.Rick Winter 27 - 30.</t>
  </si>
  <si>
    <t>Jack Shore</t>
  </si>
  <si>
    <t>Joanderson Brito</t>
  </si>
  <si>
    <t>Shore</t>
  </si>
  <si>
    <t>Shore's overall game and grappling stats are stronger.</t>
  </si>
  <si>
    <t>Jack Shore vs. Joanderson Brito</t>
  </si>
  <si>
    <t>TKO - Doctor's Stoppage</t>
  </si>
  <si>
    <t>Joao Claudio Soares</t>
  </si>
  <si>
    <t>Leg cut</t>
  </si>
  <si>
    <t>http://ufcstats.com/fight-details/c456b1950208e0b2</t>
  </si>
  <si>
    <t>Jonathan Pearce</t>
  </si>
  <si>
    <t>David Onama</t>
  </si>
  <si>
    <t>Jonathan Pearce vs. David Onama</t>
  </si>
  <si>
    <t>Eric Colon 28 - 29.Sal D'amato 28 - 29.Jerin Valel 28 - 29.</t>
  </si>
  <si>
    <t>http://ufcstats.com/fight-details/7ca5604d99220e88</t>
  </si>
  <si>
    <t>Sodiq Yusuff</t>
  </si>
  <si>
    <t>Diego Lopes</t>
  </si>
  <si>
    <t>Yusuff -150</t>
  </si>
  <si>
    <t>Yusuff's better striking statistics give him the edge.</t>
  </si>
  <si>
    <t>Sodiq Yusuff vs. Diego Lopes</t>
  </si>
  <si>
    <t>Punches to Head From Back Control</t>
  </si>
  <si>
    <t>http://ufcstats.com/fight-details/538ca98010ed00ec</t>
  </si>
  <si>
    <t>Kyle Nelson</t>
  </si>
  <si>
    <t>Algeo's striking volume and accuracy could control the fight.</t>
  </si>
  <si>
    <t>Bill Algeo vs. Kyle Nelson</t>
  </si>
  <si>
    <t>Gary Copeland</t>
  </si>
  <si>
    <t>http://ufcstats.com/fight-details/91aa08e910fb4412</t>
  </si>
  <si>
    <t>Dennis Buzukja</t>
  </si>
  <si>
    <t>Connor Matthews</t>
  </si>
  <si>
    <t>Matthews' better grappling and slight striking advantage give him the edge.</t>
  </si>
  <si>
    <t>Dennis Buzukja vs. Connor Matthews</t>
  </si>
  <si>
    <t>http://ufcstats.com/fight-details/f59cefe16905d62c</t>
  </si>
  <si>
    <t>Billy Quarantillo</t>
  </si>
  <si>
    <t>Youssef Zalal</t>
  </si>
  <si>
    <t>Featherweight</t>
  </si>
  <si>
    <t>R2 1:50</t>
  </si>
  <si>
    <t>Submission (Rear Naked Choke)</t>
  </si>
  <si>
    <t>Billy Quarantillo vs. Youssef Zalal</t>
  </si>
  <si>
    <t>http://ufcstats.com/fight-details/72f123ddb4cc9d1c</t>
  </si>
  <si>
    <t>Fernando Padilla</t>
  </si>
  <si>
    <t>Luis Pajuelo</t>
  </si>
  <si>
    <t>R1 2:45</t>
  </si>
  <si>
    <t>Submission (Brabo Choke)</t>
  </si>
  <si>
    <t>Fernando Padilla vs. Luis Pajuelo</t>
  </si>
  <si>
    <t>D'Arce Choke In Clinch</t>
  </si>
  <si>
    <t>http://ufcstats.com/fight-details/a1294453a28beda3</t>
  </si>
  <si>
    <t>Jarno Errens</t>
  </si>
  <si>
    <t>Steven Nguyen</t>
  </si>
  <si>
    <t>Jarno Errens vs. Steven Nguyen</t>
  </si>
  <si>
    <t>Mike Bell 27 - 30.Chris Flores 27 - 30.Jacob Montalvo 27 - 30.</t>
  </si>
  <si>
    <t>http://ufcstats.com/fight-details/0e6782b758451063</t>
  </si>
  <si>
    <t>Isaac Dulgarian</t>
  </si>
  <si>
    <t>FW</t>
  </si>
  <si>
    <t>Split Decision</t>
  </si>
  <si>
    <t>Christian Rodriguez vs. Isaac Dulgarian</t>
  </si>
  <si>
    <t>Sal D'amato 27 - 28.Anthony Maness 28 - 27.Ron McCarthy 27 - 28.</t>
  </si>
  <si>
    <t>http://ufcstats.com/fight-details/acc7392d48cc09a0</t>
  </si>
  <si>
    <t>Yair Rodriguez</t>
  </si>
  <si>
    <t>Brian Ortega</t>
  </si>
  <si>
    <t>R3 0:58</t>
  </si>
  <si>
    <t>Submission (Arm-Triangle Choke)</t>
  </si>
  <si>
    <t>Yair Rodriguez vs. Brian Ortega</t>
  </si>
  <si>
    <t>http://ufcstats.com/fight-details/3b05a4ced6dd74f5</t>
  </si>
  <si>
    <t>Erik Silva</t>
  </si>
  <si>
    <t>Muhammad Naimov</t>
  </si>
  <si>
    <t>R1 0:44</t>
  </si>
  <si>
    <t>TKO (Leg Injury)</t>
  </si>
  <si>
    <t>Erik Silva vs. Muhammad Naimov</t>
  </si>
  <si>
    <t>Fernando Salas Navarro</t>
  </si>
  <si>
    <t>to On GroundLeg Injury to Silva</t>
  </si>
  <si>
    <t>http://ufcstats.com/fight-details/50dae6b76c9c6490</t>
  </si>
  <si>
    <t>Blake Bilder</t>
  </si>
  <si>
    <t>JeongYeong Lee</t>
  </si>
  <si>
    <t>UFC Fight Night: Dolidze vs. Imavov</t>
  </si>
  <si>
    <t>JeongYeong Lee vs. Blake Bilder</t>
  </si>
  <si>
    <t>Mike Bell 27 - 30.Adalaide Byrd 27 - 30.Chris Lee 27 - 30.</t>
  </si>
  <si>
    <t>http://ufcstats.com/fight-details/e1930496b33fa636</t>
  </si>
  <si>
    <t>Josh Emmett</t>
  </si>
  <si>
    <t>Bryce Mitchell</t>
  </si>
  <si>
    <t>Josh Emmett vs. Bryce Mitchell</t>
  </si>
  <si>
    <t>http://ufcstats.com/fight-details/3b21a9f48bac4a44</t>
  </si>
  <si>
    <t>Andre Fili</t>
  </si>
  <si>
    <t>Lucas Almeida</t>
  </si>
  <si>
    <t>Andre Fili vs. Lucas Almeida</t>
  </si>
  <si>
    <t>http://ufcstats.com/fight-details/abb6e2169ba580d2</t>
  </si>
  <si>
    <t>Jonathan Pearce vs. Joanderson Brito</t>
  </si>
  <si>
    <t>Guillotine Choke In Clinch</t>
  </si>
  <si>
    <t>http://ufcstats.com/fight-details/62b64802ea49e2fd</t>
  </si>
  <si>
    <t>Jeka Saragih</t>
  </si>
  <si>
    <t>Lucas Alexander</t>
  </si>
  <si>
    <t>Jeka Saragih vs. Lucas Alexander</t>
  </si>
  <si>
    <t>http://ufcstats.com/fight-details/f0fe73e650b746f2</t>
  </si>
  <si>
    <t>Pat Sabatini</t>
  </si>
  <si>
    <t>Diego Lopes vs. Pat Sabatini</t>
  </si>
  <si>
    <t>http://ufcstats.com/fight-details/128ab9aa4802c73f</t>
  </si>
  <si>
    <t>Edson Barboza</t>
  </si>
  <si>
    <t>Sodiq Yusuff vs. Edson Barboza</t>
  </si>
  <si>
    <t>Chris Lee 46 - 49.Derek Cleary 46 - 48.Sal D'amato 46 - 48.</t>
  </si>
  <si>
    <t>Alex Caceres</t>
  </si>
  <si>
    <t>Sean Woodson</t>
  </si>
  <si>
    <t>Woodson's reach and strike differential</t>
  </si>
  <si>
    <t>UFC Fight Night: Lewis vs. Nascimento</t>
  </si>
  <si>
    <t>Alex Caceres vs. Sean Woodson</t>
  </si>
  <si>
    <t>Sal D'amato 28 - 29.Brian Puccillo 28 - 29.Henry Guery 27 - 30.</t>
  </si>
  <si>
    <t>http://ufcstats.com/fight-details/8aa07b6cc40f0cb2</t>
  </si>
  <si>
    <t>Calvin Kattar</t>
  </si>
  <si>
    <t>Aljamain Sterling</t>
  </si>
  <si>
    <t>Sterling -140</t>
  </si>
  <si>
    <t>Sterling's versatility and grappling could edge out Kattar, despite the weight class mismatch.</t>
  </si>
  <si>
    <t>Calvin Kattar vs. Aljamain Sterling</t>
  </si>
  <si>
    <t>Ben Cartlidge 27 - 30.Sal D'amato 27 - 30.Ron McCarthy 27 - 30.</t>
  </si>
  <si>
    <t>http://ufcstats.com/fight-details/d95f21817a56eb05</t>
  </si>
  <si>
    <t>Damon Jackson</t>
  </si>
  <si>
    <t>Jackson's superior grappling could be the deciding factor.</t>
  </si>
  <si>
    <t>Alexander Hernandez vs. Damon Jackson</t>
  </si>
  <si>
    <t>Bryan Miner 30 - 27.Junichiro Kamijo 28 - 29.Derek Cleary 28 - 29.</t>
  </si>
  <si>
    <t>http://ufcstats.com/fight-details/9c22ddb8d8fc1838</t>
  </si>
  <si>
    <t>Morgan Charriere</t>
  </si>
  <si>
    <t>Chepe Mariscal</t>
  </si>
  <si>
    <t>Mariscal's balanced skill set and perfect takedown defense are key.</t>
  </si>
  <si>
    <t>Morgan Charriere vs. Chepe Mariscal</t>
  </si>
  <si>
    <t>Mike Bell 28 - 29.Adalaide Byrd 30 - 27.Eric Colon 28 - 29.</t>
  </si>
  <si>
    <t>http://ufcstats.com/fight-details/32375b4435fea5e6</t>
  </si>
  <si>
    <t>Nate Landwehr</t>
  </si>
  <si>
    <t>Jamall Emmers</t>
  </si>
  <si>
    <t>Landwehr's aggression and striking might edge out Emmers in a closely contested match.</t>
  </si>
  <si>
    <t>Nate Landwehr vs. Jamall Emmers</t>
  </si>
  <si>
    <t>http://ufcstats.com/fight-details/636b01ee49925e49</t>
  </si>
  <si>
    <t>Julio Arce</t>
  </si>
  <si>
    <t>Herbert Burns</t>
  </si>
  <si>
    <t>Arce's striking and defense could mitigate Burns' grappling threats.</t>
  </si>
  <si>
    <t>Julio Arce vs. Herbert Burns</t>
  </si>
  <si>
    <t>http://ufcstats.com/fight-details/976abc27a4e5e26a</t>
  </si>
  <si>
    <t>Ricardo Ramos</t>
  </si>
  <si>
    <t>Julian Erosa</t>
  </si>
  <si>
    <t>R1 2:15</t>
  </si>
  <si>
    <t>Submission (Guillotine Choke)</t>
  </si>
  <si>
    <t>Ricardo Ramos vs. Julian Erosa</t>
  </si>
  <si>
    <t>Guillotine Choke From Guard</t>
  </si>
  <si>
    <t>http://ufcstats.com/fight-details/8c8337ce8437fe2e</t>
  </si>
  <si>
    <t>Thiago Moises</t>
  </si>
  <si>
    <t>Mitch Ramirez</t>
  </si>
  <si>
    <t>LW</t>
  </si>
  <si>
    <t>R3 00:15</t>
  </si>
  <si>
    <t>TKO (Leg Kicks)</t>
  </si>
  <si>
    <t>Josh Culibao vs. Danny Silva</t>
  </si>
  <si>
    <t>Derek Cleary 28 - 29.Sal D'amato 29 - 28.Ron McCarthy 28 - 29.</t>
  </si>
  <si>
    <t>http://ufcstats.com/fight-details/c26f27667c230391</t>
  </si>
  <si>
    <t>Dan Ige</t>
  </si>
  <si>
    <t>Dan Ige vs. Andre Fili</t>
  </si>
  <si>
    <t>http://ufcstats.com/fight-details/25259e230be9cdc9</t>
  </si>
  <si>
    <t>Fernie Garcia</t>
  </si>
  <si>
    <t>Hyder Amil</t>
  </si>
  <si>
    <t>Fernie Garcia vs. Hyder Amil</t>
  </si>
  <si>
    <t>http://ufcstats.com/fight-details/478a637045ad49fb</t>
  </si>
  <si>
    <t>Arnold Allen</t>
  </si>
  <si>
    <t>Movsar Evloev</t>
  </si>
  <si>
    <t>Arnold Allen vs. Movsar Evloev</t>
  </si>
  <si>
    <t>Eric Colon 28 - 29.Patricia Vandermeer 28 - 29.Saleem Haniff 28 - 29.</t>
  </si>
  <si>
    <t>http://ufcstats.com/fight-details/1a7cd191f0cf160c</t>
  </si>
  <si>
    <t>Charles Jourdain</t>
  </si>
  <si>
    <t>Charles Jourdain vs. Sean Woodson</t>
  </si>
  <si>
    <t>Jerin Valel</t>
  </si>
  <si>
    <t>Declan Woods 28 - 29.Patricia Vandermeer 29 - 28.Derek Cleary 28 - 29.</t>
  </si>
  <si>
    <t>http://ufcstats.com/fight-details/331ddc1141e934d1</t>
  </si>
  <si>
    <t>Jean Silva</t>
  </si>
  <si>
    <t>Westin Wilson</t>
  </si>
  <si>
    <t>Westin Wilson vs. Jean Silva</t>
  </si>
  <si>
    <t>Punch to Head In Clinch</t>
  </si>
  <si>
    <t>http://ufcstats.com/fight-details/0494ebcee93e717b</t>
  </si>
  <si>
    <t>Dennis Buzukja vs. Jamall Emmers</t>
  </si>
  <si>
    <t>http://ufcstats.com/fight-details/1cf69de0eea46877</t>
  </si>
  <si>
    <t>Darren Elkins</t>
  </si>
  <si>
    <t>TJ Brown</t>
  </si>
  <si>
    <t>Darren Elkins vs. TJ Brown</t>
  </si>
  <si>
    <t>Nate Maness</t>
  </si>
  <si>
    <t>Mateus Mendonca</t>
  </si>
  <si>
    <t>Nate Maness vs. Mateus Mendonca</t>
  </si>
  <si>
    <t>Flyweight Bout</t>
  </si>
  <si>
    <t>Punches to Head From Guard</t>
  </si>
  <si>
    <t>Charles Johnson</t>
  </si>
  <si>
    <t>Jake Hadley</t>
  </si>
  <si>
    <t>Hadley's grappling and submission skills</t>
  </si>
  <si>
    <t>Charles Johnson vs. Jake Hadley</t>
  </si>
  <si>
    <t>Brian Puccillo 28 - 29.Sal D'amato 28 - 29.Henry Guery 28 - 29.</t>
  </si>
  <si>
    <t>http://ufcstats.com/fight-details/4b45f190122a1ce1</t>
  </si>
  <si>
    <t>Alessandro Costa</t>
  </si>
  <si>
    <t>Kevin Borjas</t>
  </si>
  <si>
    <t>Borjas</t>
  </si>
  <si>
    <t>KO</t>
  </si>
  <si>
    <t>Borjas's knockout rate indicates a potential for finishing the fight.</t>
  </si>
  <si>
    <t>Alessandro Costa vs. Kevin Borjas</t>
  </si>
  <si>
    <t>Punches to Head From Mount</t>
  </si>
  <si>
    <t>http://ufcstats.com/fight-details/fe0f1b418e6d3ecb</t>
  </si>
  <si>
    <t>Matheus Nicolau</t>
  </si>
  <si>
    <t>Alex Perez</t>
  </si>
  <si>
    <t>Matheus Nicolau vs. Alex Perez</t>
  </si>
  <si>
    <t>http://ufcstats.com/fight-details/a0cae57eae875820</t>
  </si>
  <si>
    <t>Jafel Filho</t>
  </si>
  <si>
    <t>Ode Osbourne</t>
  </si>
  <si>
    <t>FLW</t>
  </si>
  <si>
    <t>R1 04:27</t>
  </si>
  <si>
    <t>Sub (Rear Naked Choke)</t>
  </si>
  <si>
    <t>Jafel Filho vs. Ode Osbourne</t>
  </si>
  <si>
    <t>http://ufcstats.com/fight-details/451df53c13185584</t>
  </si>
  <si>
    <t>Brandon Moreno</t>
  </si>
  <si>
    <t>Brandon Royval</t>
  </si>
  <si>
    <t>Flyweight</t>
  </si>
  <si>
    <t>5 Rounds</t>
  </si>
  <si>
    <t>Decision (Split)</t>
  </si>
  <si>
    <t>Brandon Moreno vs. Brandon Royval</t>
  </si>
  <si>
    <t>Mike Bell 47 - 48.Junichiro Kamijo 49 - 46.Chris Lee 47 - 48.</t>
  </si>
  <si>
    <t>http://ufcstats.com/fight-details/74f5cbecac011abb</t>
  </si>
  <si>
    <t>Ronaldo Rodriguez</t>
  </si>
  <si>
    <t>Denys Bondar</t>
  </si>
  <si>
    <t>R2 4:59</t>
  </si>
  <si>
    <t>Ronaldo Rodriguez vs. Denys Bondar</t>
  </si>
  <si>
    <t>http://ufcstats.com/fight-details/5e8c710f9f27aff8</t>
  </si>
  <si>
    <t>Victor Altamirano</t>
  </si>
  <si>
    <t>Felipe dos Santos</t>
  </si>
  <si>
    <t>Victor Altamirano vs. Felipe dos Santos</t>
  </si>
  <si>
    <t>Miguel Jimenez 30 - 27.Mike Bell 28 - 29.Junichiro Kamijo 28 - 29.</t>
  </si>
  <si>
    <t>http://ufcstats.com/fight-details/93ddc6b233d1956a</t>
  </si>
  <si>
    <t>Igor Severino</t>
  </si>
  <si>
    <t>Andre Lima</t>
  </si>
  <si>
    <t>R2 2:52</t>
  </si>
  <si>
    <t>DQ (Biting)</t>
  </si>
  <si>
    <t>Igor Severino vs. Andre Lima</t>
  </si>
  <si>
    <t>DQ</t>
  </si>
  <si>
    <t>Biting by Severino</t>
  </si>
  <si>
    <t>http://ufcstats.com/fight-details/f4ea27d942a390a5</t>
  </si>
  <si>
    <t>CJ Vergara</t>
  </si>
  <si>
    <t>Assu Almabayev</t>
  </si>
  <si>
    <t>Flyweight (Catchweight 127 lb)</t>
  </si>
  <si>
    <t>CJ Vergara vs. Asu Almabayev</t>
  </si>
  <si>
    <t>David Tirelli 27 - 30.MichaelTate 27 - 30.Sal D'amato 27 - 30.</t>
  </si>
  <si>
    <t>http://ufcstats.com/fight-details/3d3dde60e3d59c1c</t>
  </si>
  <si>
    <t>Muhammad Mokaev</t>
  </si>
  <si>
    <t>Alex Perez vs. Muhammad Mokaev</t>
  </si>
  <si>
    <t>Sal D'amato 28 - 29.Chris Lee 28 - 29.Rick Winter 28 - 29.</t>
  </si>
  <si>
    <t>http://ufcstats.com/fight-details/5a82757b553c40fc</t>
  </si>
  <si>
    <t>Matt Schnell</t>
  </si>
  <si>
    <t>Steve Erceg</t>
  </si>
  <si>
    <t>R2 0:26</t>
  </si>
  <si>
    <t>KO (Punch)</t>
  </si>
  <si>
    <t>Matt Schnell vs. Steve Erceg</t>
  </si>
  <si>
    <t>http://ufcstats.com/fight-details/024beecfd3f0ed7a</t>
  </si>
  <si>
    <t>Jesus Aguilar</t>
  </si>
  <si>
    <t>Jesus Aguilar vs. Mateus Mendonca</t>
  </si>
  <si>
    <t>Eric Colon 29 - 28.Mike Bell 28 - 29.Horacio Lopez 28 - 29.</t>
  </si>
  <si>
    <t>http://ufcstats.com/fight-details/d1d3b6ab8a56e973</t>
  </si>
  <si>
    <t>Edgar Chairez</t>
  </si>
  <si>
    <t>Daniel Lacerda</t>
  </si>
  <si>
    <t>Flyweight (Catchweight 131 lb)</t>
  </si>
  <si>
    <t>R1 2:17</t>
  </si>
  <si>
    <t>Submission (Triangle Choke)</t>
  </si>
  <si>
    <t>Edgar Chairez vs. Daniel Lacerda</t>
  </si>
  <si>
    <t>Triangle Choke From Guard</t>
  </si>
  <si>
    <t>http://ufcstats.com/fight-details/1c03c1bb62f3aed6</t>
  </si>
  <si>
    <t>Azat Maksum</t>
  </si>
  <si>
    <t>Azat Maksum vs. Charles Johnson</t>
  </si>
  <si>
    <t>Eric McMahon</t>
  </si>
  <si>
    <t>Derek Cleary 28 - 29.Sal D'amato 28 - 29.Chris Lee 28 - 29.</t>
  </si>
  <si>
    <t>http://ufcstats.com/fight-details/ca7d61e167d7789c</t>
  </si>
  <si>
    <t>Malcolm Gordon</t>
  </si>
  <si>
    <t>Jimmy Flick</t>
  </si>
  <si>
    <t>Malcolm Gordon vs. Jimmy Flick</t>
  </si>
  <si>
    <t>Arm Triangle From Half Guard</t>
  </si>
  <si>
    <t>http://ufcstats.com/fight-details/ab105e5a56b5ee90</t>
  </si>
  <si>
    <t>Joshua Van</t>
  </si>
  <si>
    <t>Felipe Bunes</t>
  </si>
  <si>
    <t>Joshua Van vs. Felipe Bunes</t>
  </si>
  <si>
    <t>http://ufcstats.com/fight-details/fd29123ff92789e4</t>
  </si>
  <si>
    <t>Tagir Ulanbekov</t>
  </si>
  <si>
    <t>Cody Durden</t>
  </si>
  <si>
    <t>Tagir Ulanbekov vs. Cody Durden</t>
  </si>
  <si>
    <t>http://ufcstats.com/fight-details/4ec249e549309b16</t>
  </si>
  <si>
    <t>HyunSung Park</t>
  </si>
  <si>
    <t>Shannon Ross</t>
  </si>
  <si>
    <t>HyunSung Park vs. Shannon Ross</t>
  </si>
  <si>
    <t>Punch to Body At Distance</t>
  </si>
  <si>
    <t>http://ufcstats.com/fight-details/35addc4646509286</t>
  </si>
  <si>
    <t>Rayanne Amanda</t>
  </si>
  <si>
    <t>Talita Alencar</t>
  </si>
  <si>
    <t>Tatsuro Taira vs. Carlos Hernandez</t>
  </si>
  <si>
    <t>http://ufcstats.com/fight-details/84f6de7c99779e5f</t>
  </si>
  <si>
    <t>Rafael Estevam</t>
  </si>
  <si>
    <t>Charles Johnson vs. Rafael Estevam</t>
  </si>
  <si>
    <t>Derek Cleary 28 - 29.Sal D'amato 28 - 29.Chris Flores 28 - 29.</t>
  </si>
  <si>
    <t>http://ufcstats.com/fight-details/9abf0b60a44a82d1</t>
  </si>
  <si>
    <t>Steve Erceg vs. Alessandro Costa</t>
  </si>
  <si>
    <t>Sal D'amato 28 - 29.Chris Lee 28 - 29.Chris Bolinski 28 - 29.</t>
  </si>
  <si>
    <t>http://ufcstats.com/fight-details/5704e73f91b9e7f7</t>
  </si>
  <si>
    <t>Joshua Van vs. Kevin Borjas</t>
  </si>
  <si>
    <t>Dave Tirelli 28 - 29.Bryan Miner 28 - 29.Chris Bolinski 28 - 29.</t>
  </si>
  <si>
    <t>http://ufcstats.com/fight-details/8a0fc4624578a7e4</t>
  </si>
  <si>
    <t>Derrick Lewis</t>
  </si>
  <si>
    <t>Rodrigo Nascimento</t>
  </si>
  <si>
    <t>Nascimento has superior grappling and recent form</t>
  </si>
  <si>
    <t>Derrick Lewis vs. Rodrigo Nascimento</t>
  </si>
  <si>
    <t>Heavyweight Bout</t>
  </si>
  <si>
    <t>http://ufcstats.com/fight-details/6f0f84075fa1a4b0</t>
  </si>
  <si>
    <t>Don'Tale Mayes</t>
  </si>
  <si>
    <t>Caio Machado</t>
  </si>
  <si>
    <t>Don'Tale Mayes vs. Caio Machado</t>
  </si>
  <si>
    <t>Sal D'amato 28 - 29.Junichiro Kamijo 28 - 29.Tony Weeks 28 - 29.</t>
  </si>
  <si>
    <t>http://ufcstats.com/fight-details/417049c7a3d65ccc</t>
  </si>
  <si>
    <t>Jairzinho Rozenstruik</t>
  </si>
  <si>
    <t>Shamil Gaziev</t>
  </si>
  <si>
    <t>Heavyweight</t>
  </si>
  <si>
    <t>R4 5:00</t>
  </si>
  <si>
    <t>TKO (Retirement)</t>
  </si>
  <si>
    <t>Jairzinho Rozenstruik vs. Shamil Gaziev</t>
  </si>
  <si>
    <t>toEye injury to Gaziev</t>
  </si>
  <si>
    <t>http://ufcstats.com/fight-details/838fd9d2b14e0790</t>
  </si>
  <si>
    <t>Thomas Petersen</t>
  </si>
  <si>
    <t>Jamal Pogues</t>
  </si>
  <si>
    <t>Thomas Petersen vs. Jamal Pogues</t>
  </si>
  <si>
    <t>Mike Bell 28 - 29.Anthony Maness 28 - 29.Chris Lee 27 - 30.</t>
  </si>
  <si>
    <t>http://ufcstats.com/fight-details/df9847839c73a678</t>
  </si>
  <si>
    <t>Andrei Arlovski</t>
  </si>
  <si>
    <t>Waldo Cortes-Acosta</t>
  </si>
  <si>
    <t>Andrei Arlovski vs. Waldo Cortes-Acosta</t>
  </si>
  <si>
    <t>http://ufcstats.com/fight-details/6f13fe34cb3ca906</t>
  </si>
  <si>
    <t>Martin Buday</t>
  </si>
  <si>
    <t>Martin Buday vs. Shamil Gaziev</t>
  </si>
  <si>
    <t>http://ufcstats.com/fight-details/fce6522f42b48f18</t>
  </si>
  <si>
    <t>Mick Parkin</t>
  </si>
  <si>
    <t>Mick Parkin vs. Caio Machado</t>
  </si>
  <si>
    <t>Adalaide Byrd 28 - 29.Derek Cleary 28 - 29.Chris Lee 28 - 29.</t>
  </si>
  <si>
    <t>http://ufcstats.com/fight-details/36f10b949b935b8c</t>
  </si>
  <si>
    <t>Robelis Despaigne</t>
  </si>
  <si>
    <t>Despaigne lacks experience against top competition</t>
  </si>
  <si>
    <t>Waldo Cortes-Acosta vs. Robelis Despaigne</t>
  </si>
  <si>
    <t>Josh Stewart</t>
  </si>
  <si>
    <t>Chris Lee 26 - 30.David Huyette 27 - 30.Travis Buesking 27 - 30.</t>
  </si>
  <si>
    <t>http://ufcstats.com/fight-details/e98eb6de29c62c9c</t>
  </si>
  <si>
    <t>Austen Lane</t>
  </si>
  <si>
    <t>Jhonata Diniz</t>
  </si>
  <si>
    <t>Austen Lane vs. Jhonata Diniz</t>
  </si>
  <si>
    <t>http://ufcstats.com/fight-details/dae70ccdf9e7475e</t>
  </si>
  <si>
    <t>Court McGee</t>
  </si>
  <si>
    <t>Alex Morono</t>
  </si>
  <si>
    <t>Morono's striking and versatility could edge out McGee's experience.</t>
  </si>
  <si>
    <t>Valter Walker vs. Lukasz Brzeski</t>
  </si>
  <si>
    <t>Eric Colon 28 - 29.Junichiro Kamijo 28 - 29.Rick Winter 28 - 29.</t>
  </si>
  <si>
    <t>http://ufcstats.com/fight-details/ff5a8078ea85bbc7</t>
  </si>
  <si>
    <t>Karl Williams</t>
  </si>
  <si>
    <t>Justin Tafa</t>
  </si>
  <si>
    <t>Karl Williams vs. Justin Tafa</t>
  </si>
  <si>
    <t>Jacob Montalvo 27 - 30.Mike Bell 28 - 29.Chris Flores 28 - 29.</t>
  </si>
  <si>
    <t>http://ufcstats.com/fight-details/cd6452a463ec8a28</t>
  </si>
  <si>
    <t>Mohammed Usman</t>
  </si>
  <si>
    <t>Mohammed Usman vs. Mick Parkin</t>
  </si>
  <si>
    <t>Mike Bell 28 - 29.Adalaide Byrd 28 - 29.Sal D'amato 28 - 29.</t>
  </si>
  <si>
    <t>http://ufcstats.com/fight-details/3223b7e196a07224</t>
  </si>
  <si>
    <t>Tai Tuivasa</t>
  </si>
  <si>
    <t>Marcin Tybura</t>
  </si>
  <si>
    <t>HW</t>
  </si>
  <si>
    <t>R1 04:08</t>
  </si>
  <si>
    <t>Tai Tuivasa vs. Marcin Tybura</t>
  </si>
  <si>
    <t>http://ufcstats.com/fight-details/8bc0c220f7dcefa7</t>
  </si>
  <si>
    <t>Curtis Blaydes</t>
  </si>
  <si>
    <t>Jailton Almeida</t>
  </si>
  <si>
    <t>R2 0:36</t>
  </si>
  <si>
    <t>KO (Punches)</t>
  </si>
  <si>
    <t>Curtis Blaydes vs. Jailton Almeida</t>
  </si>
  <si>
    <t>http://ufcstats.com/fight-details/0133019a4f1055ee</t>
  </si>
  <si>
    <t>Josh Parisian</t>
  </si>
  <si>
    <t>R1 0:18</t>
  </si>
  <si>
    <t>Robelis Despaigne vs. Josh Parisian</t>
  </si>
  <si>
    <t>Andrew Glenn</t>
  </si>
  <si>
    <t>http://ufcstats.com/fight-details/cbdf29f36b343f6f</t>
  </si>
  <si>
    <t>Marcos Rogerio de Lima</t>
  </si>
  <si>
    <t>R2 1:14</t>
  </si>
  <si>
    <t>TKO (Leg Kick and Punches)</t>
  </si>
  <si>
    <t>Marcos Rogerio de Lima vs. Junior Tafa</t>
  </si>
  <si>
    <t>Frank Trigg</t>
  </si>
  <si>
    <t>Kick to Leg At Distance</t>
  </si>
  <si>
    <t>http://ufcstats.com/fight-details/1456a3f96ac7e35b</t>
  </si>
  <si>
    <t>Jailton Almeida vs. Derrick Lewis</t>
  </si>
  <si>
    <t>Fabio Alves 44 - 50.Sal D'amato 44 - 50.Dave Tirelli 45 - 50.</t>
  </si>
  <si>
    <t>Rodrigo Nascimento vs. Don'Tale Mayes</t>
  </si>
  <si>
    <t>Hallison Pontes 27 - 30.Fabio Alves 28 - 29.Dave Tirelli 28 - 29.</t>
  </si>
  <si>
    <t>Anthony Smith</t>
  </si>
  <si>
    <t>Vitor Petrino</t>
  </si>
  <si>
    <t>Petrino</t>
  </si>
  <si>
    <t>Petrino's striking differential and takedown accuracy are key.</t>
  </si>
  <si>
    <t>Anthony Smith vs. Vitor Petrino</t>
  </si>
  <si>
    <t>Light Heavyweight Bout</t>
  </si>
  <si>
    <t>http://ufcstats.com/fight-details/a8718a3419a11e15</t>
  </si>
  <si>
    <t>Ryan Spann</t>
  </si>
  <si>
    <t>Bogdan Guskov</t>
  </si>
  <si>
    <t>Ryan Spann vs. Bogdan Guskov</t>
  </si>
  <si>
    <t>http://ufcstats.com/fight-details/f41e83de703acf85</t>
  </si>
  <si>
    <t>Ovince Saint Preux</t>
  </si>
  <si>
    <t>Kennedy Nzechukwu</t>
  </si>
  <si>
    <t>LHW</t>
  </si>
  <si>
    <t>Ovince Saint Preux vs. Kennedy Nzechukwu</t>
  </si>
  <si>
    <t>Adalaide Byrd 28 - 29.Derek Cleary 29 - 28.Junichiro Kamijo 28 - 29.</t>
  </si>
  <si>
    <t>http://ufcstats.com/fight-details/35f9beb94b4ef9e2</t>
  </si>
  <si>
    <t>Ion Cutelaba</t>
  </si>
  <si>
    <t>Philipe Lins</t>
  </si>
  <si>
    <t>Light Heavyweight</t>
  </si>
  <si>
    <t>Ion Cutelaba vs. Philipe Lins</t>
  </si>
  <si>
    <t>Chris Lee 28 - 29.David Tirelli 28 - 29.Sal D'amato 28 - 29.</t>
  </si>
  <si>
    <t>http://ufcstats.com/fight-details/7bc7af11050e861b</t>
  </si>
  <si>
    <t>Zac Pauga</t>
  </si>
  <si>
    <t>Zac Pauga vs. Bogdan Guskov</t>
  </si>
  <si>
    <t>http://ufcstats.com/fight-details/ad26bf55ff201f4f</t>
  </si>
  <si>
    <t>Khalil Rountree Jr.</t>
  </si>
  <si>
    <t>Anthony Smith vs. Khalil Rountree Jr.</t>
  </si>
  <si>
    <t>http://ufcstats.com/fight-details/91093a019d32af2e</t>
  </si>
  <si>
    <t>Rodolfo Bellato</t>
  </si>
  <si>
    <t>Ihor Potieria</t>
  </si>
  <si>
    <t>Rodolfo Bellato vs. Ihor Potieria</t>
  </si>
  <si>
    <t>Jacob Montalvo</t>
  </si>
  <si>
    <t>http://ufcstats.com/fight-details/0dc2fc8d39e226a3</t>
  </si>
  <si>
    <t>Alonzo Menifield</t>
  </si>
  <si>
    <t>Carlos Ulberg</t>
  </si>
  <si>
    <t>Ulberg's striking rate and accuracy are superior</t>
  </si>
  <si>
    <t>Alonzo Menifield vs. Carlos Ulberg</t>
  </si>
  <si>
    <t>Nick Berens</t>
  </si>
  <si>
    <t>http://ufcstats.com/fight-details/a049c12f43914449</t>
  </si>
  <si>
    <t>Jiri Prochazka</t>
  </si>
  <si>
    <t>Aleksandar Rakic</t>
  </si>
  <si>
    <t>Prochazka -175</t>
  </si>
  <si>
    <t>Prochazka's aggressive style and high KO rate suggest a finish.</t>
  </si>
  <si>
    <t>Jiri Prochazka vs. Aleksandar Rakic</t>
  </si>
  <si>
    <t>http://ufcstats.com/fight-details/eda1e8c285a0a788</t>
  </si>
  <si>
    <t>Ibo Aslan</t>
  </si>
  <si>
    <t>Anton Turkalj</t>
  </si>
  <si>
    <t>Aslan's striking prowess likely to secure a knockout victory if he keeps the fight standing.</t>
  </si>
  <si>
    <t>Ibo Aslan vs. Anton Turkalj</t>
  </si>
  <si>
    <t>http://ufcstats.com/fight-details/697e38075fd41819</t>
  </si>
  <si>
    <t>Tyson Pedro</t>
  </si>
  <si>
    <t>Vitor Petrino vs. Tyson Pedro</t>
  </si>
  <si>
    <t>Mike Bell 27 - 30.Adalaide Byrd 27 - 30.Junichiro Kamijo 28 - 29.</t>
  </si>
  <si>
    <t>http://ufcstats.com/fight-details/df3cc5ec78d05a71</t>
  </si>
  <si>
    <t>Zhang Mingyang</t>
  </si>
  <si>
    <t>Brendson Ribeiro</t>
  </si>
  <si>
    <t>R1 1:41</t>
  </si>
  <si>
    <t>Zhang Mingyang vs. Brendson Ribeiro</t>
  </si>
  <si>
    <t>http://ufcstats.com/fight-details/aeb3e4d9710207a4</t>
  </si>
  <si>
    <t>Devin Clark</t>
  </si>
  <si>
    <t>Marcin Prachnio</t>
  </si>
  <si>
    <t>Devin Clark vs. Marcin Prachnio</t>
  </si>
  <si>
    <t>Mike Bell 27 - 30.Chris Lee 27 - 30.Jacob Montalvo 27 - 30.</t>
  </si>
  <si>
    <t>http://ufcstats.com/fight-details/dbfd7616dec2b6d5</t>
  </si>
  <si>
    <t>Magomed Ankalaev</t>
  </si>
  <si>
    <t>Johnny Walker</t>
  </si>
  <si>
    <t>Magomed Ankalaev vs. Johnny Walker</t>
  </si>
  <si>
    <t>http://ufcstats.com/fight-details/f2b407019b2a5c15</t>
  </si>
  <si>
    <t>Irene Aldana</t>
  </si>
  <si>
    <t>Karol Rosa</t>
  </si>
  <si>
    <t>Alonzo Menifield vs. Dustin Jacoby</t>
  </si>
  <si>
    <t>Sal D'amato 28 - 29.Chris Lee 28 - 29.Tony Weeks 28 - 29.</t>
  </si>
  <si>
    <t>http://ufcstats.com/fight-details/521a0e016878d174</t>
  </si>
  <si>
    <t>Modestas Bukauskas</t>
  </si>
  <si>
    <t>Vitor Petrino vs. Modestas Bukauskas</t>
  </si>
  <si>
    <t>Drew Dober</t>
  </si>
  <si>
    <t>Ricky Glenn</t>
  </si>
  <si>
    <t>Drew Dober vs. Ricky Glenn</t>
  </si>
  <si>
    <t>Lightweight Bout</t>
  </si>
  <si>
    <t>Grant Dawson</t>
  </si>
  <si>
    <t>Bobby Green</t>
  </si>
  <si>
    <t>Grant Dawson vs. Bobby Green</t>
  </si>
  <si>
    <t>Nazim Sadykhov</t>
  </si>
  <si>
    <t>Viacheslav Borshchev</t>
  </si>
  <si>
    <t>Draw</t>
  </si>
  <si>
    <t>Nazim Sadykhov vs. Viacheslav Borshchev</t>
  </si>
  <si>
    <t>D/D</t>
  </si>
  <si>
    <t>Decision - Majority</t>
  </si>
  <si>
    <t>Bryan Miner 28 - 29.Derek Cleary 28 - 28.Chris Lee 28 - 28.</t>
  </si>
  <si>
    <t>http://ufcstats.com/fight-details/83a0fff04494bfc4</t>
  </si>
  <si>
    <t>Diego Ferreira</t>
  </si>
  <si>
    <t>Mateusz Rebecki</t>
  </si>
  <si>
    <t>Rebecki's grappling and overall momentum</t>
  </si>
  <si>
    <t>Diego Ferreira vs. Mateusz Rebecki</t>
  </si>
  <si>
    <t>http://ufcstats.com/fight-details/6c67aa7063717a0c</t>
  </si>
  <si>
    <t>Terrance McKinney</t>
  </si>
  <si>
    <t>Esteban Ribovics</t>
  </si>
  <si>
    <t>McKinney's aggressive grappling and finish rate</t>
  </si>
  <si>
    <t>Terrance McKinney vs. Esteban Ribovics</t>
  </si>
  <si>
    <t>Kick to Head At Distance</t>
  </si>
  <si>
    <t>http://ufcstats.com/fight-details/8d9bcbb48888a5a3</t>
  </si>
  <si>
    <t>James Llontop</t>
  </si>
  <si>
    <t>Chris Padilla</t>
  </si>
  <si>
    <t>James Llontop vs. Chris Padilla</t>
  </si>
  <si>
    <t>http://ufcstats.com/fight-details/0a85b3ad328205ff</t>
  </si>
  <si>
    <t>Gabriel Benitez</t>
  </si>
  <si>
    <t>Maheshate</t>
  </si>
  <si>
    <t>Gabriel Benitez vs. Maheshate</t>
  </si>
  <si>
    <t>Bryan Miner 28 - 29.Eric Colon 29 - 28.Tony Weeks 28 - 29.</t>
  </si>
  <si>
    <t>http://ufcstats.com/fight-details/0976778a6e6cf8a8</t>
  </si>
  <si>
    <t>Charles Oliveira</t>
  </si>
  <si>
    <t>Arman Tsarukyan</t>
  </si>
  <si>
    <t>Oliveira -220</t>
  </si>
  <si>
    <t>Oliveira's submission prowess and higher finish rate make a submission victory likely.</t>
  </si>
  <si>
    <t>Charles Oliveira vs. Arman Tsarukyan</t>
  </si>
  <si>
    <t>Mike Bell 29 - 28.Adalaide Byrd 28 - 29.Ron McCarthy 28 - 29.</t>
  </si>
  <si>
    <t>http://ufcstats.com/fight-details/01f7c28804746979</t>
  </si>
  <si>
    <t>Jalin Turner</t>
  </si>
  <si>
    <t>Renato Moicano</t>
  </si>
  <si>
    <t>Turner -160</t>
  </si>
  <si>
    <t>Turner's reach and grappling stats suggest a potential for submission.</t>
  </si>
  <si>
    <t>Jalin Turner vs. Renato Moicano</t>
  </si>
  <si>
    <t>http://ufcstats.com/fight-details/18824fa5c15c212f</t>
  </si>
  <si>
    <t>Valter Walker</t>
  </si>
  <si>
    <t>Lukasz Brzeski</t>
  </si>
  <si>
    <t>Walker's undefeated record and reach advantage are significant.</t>
  </si>
  <si>
    <t>Trevor Peek vs. Charlie Campbell</t>
  </si>
  <si>
    <t>Chris Flores 27 - 30.Chris Leben 27 - 30.Bryan Miner 27 - 30.</t>
  </si>
  <si>
    <t>http://ufcstats.com/fight-details/47f8812a335b6ce9</t>
  </si>
  <si>
    <t>Kurt Holobaugh</t>
  </si>
  <si>
    <t>Trey Ogden</t>
  </si>
  <si>
    <t>Lightweight</t>
  </si>
  <si>
    <t>Kurt Holobaugh vs. Trey Ogden</t>
  </si>
  <si>
    <t>Sal D'amato 27 - 30.Chris Leben 27 - 30.Jacob Montalvo 27 - 30.</t>
  </si>
  <si>
    <t>http://ufcstats.com/fight-details/de7cb625bdec0f91</t>
  </si>
  <si>
    <t>Abdul-Kareem Al-Selwady</t>
  </si>
  <si>
    <t>Loik Radzhabov</t>
  </si>
  <si>
    <t>R3 0:49</t>
  </si>
  <si>
    <t>Abdul-Kareem Al-Selwady vs. Loik Radzhabov</t>
  </si>
  <si>
    <t>http://ufcstats.com/fight-details/ba8f219260e212f8</t>
  </si>
  <si>
    <t>Nikolas Motta</t>
  </si>
  <si>
    <t>Tom Nolan</t>
  </si>
  <si>
    <t>Nikolas Motta vs. Tom Nolan</t>
  </si>
  <si>
    <t>http://ufcstats.com/fight-details/5344e76e26503716</t>
  </si>
  <si>
    <t>Sumudaerji</t>
  </si>
  <si>
    <t>Allan Nascimento</t>
  </si>
  <si>
    <t>Nasrat Haqparast vs. Jamie Mullarkey</t>
  </si>
  <si>
    <t>http://ufcstats.com/fight-details/acc57a9c114b694a</t>
  </si>
  <si>
    <t>Drakkar Klose</t>
  </si>
  <si>
    <t>Joe Solecki</t>
  </si>
  <si>
    <t>Drakkar Klose vs. Joe Solecki</t>
  </si>
  <si>
    <t>Slam to On Ground</t>
  </si>
  <si>
    <t>http://ufcstats.com/fight-details/d0602cdc04d2c159</t>
  </si>
  <si>
    <t>Chase Hooper</t>
  </si>
  <si>
    <t>Jordan Leavitt</t>
  </si>
  <si>
    <t>Chase Hooper vs. Jordan Leavitt</t>
  </si>
  <si>
    <t>http://ufcstats.com/fight-details/5be63144ac46f97e</t>
  </si>
  <si>
    <t>Hooper's ground game and submission average</t>
  </si>
  <si>
    <t>Chase Hooper vs. Viacheslav Borshchev</t>
  </si>
  <si>
    <t>D'Arce Choke On Ground</t>
  </si>
  <si>
    <t>http://ufcstats.com/fight-details/420a5e3b4010ebef</t>
  </si>
  <si>
    <t>Myktybek Orolbai</t>
  </si>
  <si>
    <t>Orolbai</t>
  </si>
  <si>
    <t>Orolbai's grappling advantage with high takedown and sub attempts.</t>
  </si>
  <si>
    <t>Elves Brener vs. Myktybek Orolbai</t>
  </si>
  <si>
    <t>Fernando Portella</t>
  </si>
  <si>
    <t>Fabio Alves 27 - 29.Sal D'amato 27 - 29.David Tirelli 27 - 29.</t>
  </si>
  <si>
    <t>http://ufcstats.com/fight-details/8a121f9c48f3773c</t>
  </si>
  <si>
    <t>Joaquim Silva</t>
  </si>
  <si>
    <t>Klose</t>
  </si>
  <si>
    <t>Klose's defensive skills and experience could control the fight.</t>
  </si>
  <si>
    <t>Joaquim Silva vs. Drakkar Klose</t>
  </si>
  <si>
    <t>Rafael Ferreira 28 - 29.Ben Cartlidge 28 - 29.David Lethaby 28 - 29.</t>
  </si>
  <si>
    <t>http://ufcstats.com/fight-details/2faf5b8d708f8e94</t>
  </si>
  <si>
    <t>Mauricio Ruffy</t>
  </si>
  <si>
    <t>Ruffy</t>
  </si>
  <si>
    <t>Ruffy's striking power and perfect KO record stand out.</t>
  </si>
  <si>
    <t>Mauricio Ruffy vs. Jamie Mullarkey</t>
  </si>
  <si>
    <t>http://ufcstats.com/fight-details/b9de363e6b406853</t>
  </si>
  <si>
    <t>Ismael Bonfim</t>
  </si>
  <si>
    <t>Vinc Pichel</t>
  </si>
  <si>
    <t>Bonfim</t>
  </si>
  <si>
    <t>Bonfim's striking accuracy and defense are superior.</t>
  </si>
  <si>
    <t>Ismael Bonfim vs. Vinc Pichel</t>
  </si>
  <si>
    <t>http://ufcstats.com/fight-details/89db7aca37b87711</t>
  </si>
  <si>
    <t>Austin Hubbard</t>
  </si>
  <si>
    <t>Michal Figlak</t>
  </si>
  <si>
    <t>Austin Hubbard vs. Michal Figlak</t>
  </si>
  <si>
    <t>Mike Bell 28 - 29.Eric Colon 28 - 29.Bryan Miner 28 - 29.</t>
  </si>
  <si>
    <t>http://ufcstats.com/fight-details/681cd3cc6299d652</t>
  </si>
  <si>
    <t>Justin Gaethje</t>
  </si>
  <si>
    <t>Max Holloway</t>
  </si>
  <si>
    <t>Holloway -160</t>
  </si>
  <si>
    <t>Holloway's volume striking and superior striking defense give him the advantage in a striking battle.</t>
  </si>
  <si>
    <t>Justin Gaethje vs. Max Holloway</t>
  </si>
  <si>
    <t>http://ufcstats.com/fight-details/cf5e8f98159c3971</t>
  </si>
  <si>
    <t>Jim Miller</t>
  </si>
  <si>
    <t>Green -165</t>
  </si>
  <si>
    <t>Green's striking volume and defense give him the upper hand.</t>
  </si>
  <si>
    <t>Bobby Green vs. Jim Miller</t>
  </si>
  <si>
    <t>Chris Lee 27 - 29.David Lethaby 25 - 30.Tony Weeks 26 - 29.</t>
  </si>
  <si>
    <t>http://ufcstats.com/fight-details/efdad54c8550e6e0</t>
  </si>
  <si>
    <t>Ignacio Bahamondes</t>
  </si>
  <si>
    <t>Christos Giagos</t>
  </si>
  <si>
    <t>Bahamondes has a striking advantage and a higher finish rate.</t>
  </si>
  <si>
    <t>Ignacio Bahamondes vs. Christos Giagos</t>
  </si>
  <si>
    <t>http://ufcstats.com/fight-details/6ff21ea2c75c48ed</t>
  </si>
  <si>
    <t>Natan Levy</t>
  </si>
  <si>
    <t>Mike Davis</t>
  </si>
  <si>
    <t>LW (Catchweight 156.5 lbs)</t>
  </si>
  <si>
    <t>R2 01:43</t>
  </si>
  <si>
    <t>Sub (Arm Triangle Choke)</t>
  </si>
  <si>
    <t>Natan Levy vs. Mike Davis</t>
  </si>
  <si>
    <t>Arm Triangle From Mount</t>
  </si>
  <si>
    <t>http://ufcstats.com/fight-details/4f20f3ada1489823</t>
  </si>
  <si>
    <t>Jaqueline Amorim</t>
  </si>
  <si>
    <t>Cory McKenna</t>
  </si>
  <si>
    <t>F</t>
  </si>
  <si>
    <t>SW</t>
  </si>
  <si>
    <t>R1 01:38</t>
  </si>
  <si>
    <t>Sub (Armbar)</t>
  </si>
  <si>
    <t>Thiago Moises vs. Mitch Ramirez</t>
  </si>
  <si>
    <t>http://ufcstats.com/fight-details/537b3cef39d2d573</t>
  </si>
  <si>
    <t>Dustin Poirier</t>
  </si>
  <si>
    <t>Benoit Saint Denis</t>
  </si>
  <si>
    <t>R2 2:32</t>
  </si>
  <si>
    <t>Dustin Poirier vs. Benoit Saint Denis</t>
  </si>
  <si>
    <t>http://ufcstats.com/fight-details/6e73ebbd089aff5e</t>
  </si>
  <si>
    <t>Mateusz Gamrot</t>
  </si>
  <si>
    <t>Rafael Dos Anjos</t>
  </si>
  <si>
    <t>Mateusz Gamrot vs. Rafael Dos Anjos</t>
  </si>
  <si>
    <t>Jason Grenier 28 - 29.Chris Lee 28 - 29.Eric Colon 27 - 30.</t>
  </si>
  <si>
    <t>http://ufcstats.com/fight-details/8baff440b82afd2b</t>
  </si>
  <si>
    <t>Ludovit Klein</t>
  </si>
  <si>
    <t>AJ Cunningham</t>
  </si>
  <si>
    <t>R1 4:36</t>
  </si>
  <si>
    <t>TKO (Front Kick to the Body and Punches)</t>
  </si>
  <si>
    <t>Ludovit Klein vs. AJ Cunningham</t>
  </si>
  <si>
    <t>Kick to Body At DistanceFront Kick</t>
  </si>
  <si>
    <t>http://ufcstats.com/fight-details/4e566db7d26df001</t>
  </si>
  <si>
    <t>Daniel Zellhuber</t>
  </si>
  <si>
    <t>Francisco Prado</t>
  </si>
  <si>
    <t>Daniel Zellhuber vs. Francisco Prado</t>
  </si>
  <si>
    <t>Miguel Jimenez 28 - 29.Junichiro Kamijo 28 - 29.Rick Winter 26 - 30.</t>
  </si>
  <si>
    <t>http://ufcstats.com/fight-details/ecbece0cbd60029e</t>
  </si>
  <si>
    <t>Manuel Torres</t>
  </si>
  <si>
    <t>Chris Duncan</t>
  </si>
  <si>
    <t>R1 1:46</t>
  </si>
  <si>
    <t>Manuel Torres vs. Chris Duncan</t>
  </si>
  <si>
    <t>http://ufcstats.com/fight-details/673a156925dfb31d</t>
  </si>
  <si>
    <t>Claudio Puelles</t>
  </si>
  <si>
    <t>Fares Ziam</t>
  </si>
  <si>
    <t>Claudio Puelles vs. Fares Ziam</t>
  </si>
  <si>
    <t>Mike Bell 27 - 30.Raul Salas 29 - 28.Chris Lee 28 - 29.</t>
  </si>
  <si>
    <t>http://ufcstats.com/fight-details/a376f6d5806d0c90</t>
  </si>
  <si>
    <t>Michael Johnson</t>
  </si>
  <si>
    <t>Darrius Flowers</t>
  </si>
  <si>
    <t>Michael Johnson vs. Darrius Flowers</t>
  </si>
  <si>
    <t>Eric Colon 27 - 30.Junichiro Kamijo 27 - 30.Chris Lee 27 - 30.</t>
  </si>
  <si>
    <t>http://ufcstats.com/fight-details/5304956aada097e8</t>
  </si>
  <si>
    <t>Damir Hadzovic</t>
  </si>
  <si>
    <t>Bolaji Oki</t>
  </si>
  <si>
    <t>Bolaji Oki vs. Timmy Cuamba</t>
  </si>
  <si>
    <t>Mike Bell 28 - 29.Chris Lee 29 - 28.Chris Leben 28 - 29.</t>
  </si>
  <si>
    <t>http://ufcstats.com/fight-details/edf46d6962be7e8d</t>
  </si>
  <si>
    <t>Renato Moicano vs. Drew Dober</t>
  </si>
  <si>
    <t>Mike Bell 28 - 29.Junichiro Kamijo 28 - 29.Chris Lee 28 - 29.</t>
  </si>
  <si>
    <t>http://ufcstats.com/fight-details/733e675fd7c0052a</t>
  </si>
  <si>
    <t>Marquel Mederos</t>
  </si>
  <si>
    <t>Landon Quinones</t>
  </si>
  <si>
    <t>Landon Quinones vs. MarQuel Mederos</t>
  </si>
  <si>
    <t>Adalaide Byrd 28 - 29.Junichiro Kamijo 28 - 29.Ron McCarthy 28 - 29.</t>
  </si>
  <si>
    <t>http://ufcstats.com/fight-details/e396c509fb47b037</t>
  </si>
  <si>
    <t>Jim Miller vs. Gabriel Benitez</t>
  </si>
  <si>
    <t>Neck Crank From Back Control</t>
  </si>
  <si>
    <t>http://ufcstats.com/fight-details/640f2ae3995b3b4f</t>
  </si>
  <si>
    <t>Tony Ferguson</t>
  </si>
  <si>
    <t>Paddy Pimblett</t>
  </si>
  <si>
    <t>Tony Ferguson vs. Paddy Pimblett</t>
  </si>
  <si>
    <t>Derek Cleary 27 - 30.Sal D'amato 27 - 30.Junichiro Kamijo 27 - 30.</t>
  </si>
  <si>
    <t>http://ufcstats.com/fight-details/ac8628d945a78b03</t>
  </si>
  <si>
    <t>Luana Santos</t>
  </si>
  <si>
    <t>Stephanie Egger</t>
  </si>
  <si>
    <t>Steve Garcia vs. Melquizael Costa</t>
  </si>
  <si>
    <t>Elbows to Head From Mount</t>
  </si>
  <si>
    <t>http://ufcstats.com/fight-details/5ac1725f775c6f00</t>
  </si>
  <si>
    <t>Beneil Dariush</t>
  </si>
  <si>
    <t>Beneil Dariush vs. Arman Tsarukyan</t>
  </si>
  <si>
    <t>http://ufcstats.com/fight-details/9feb9500b0fedfcd</t>
  </si>
  <si>
    <t>Jalin Turner vs. Bobby Green</t>
  </si>
  <si>
    <t>http://ufcstats.com/fight-details/03eecf1926d9c77c</t>
  </si>
  <si>
    <t>Punahele Soriano</t>
  </si>
  <si>
    <t>Dustin Stoltzfus</t>
  </si>
  <si>
    <t>Clay Guida vs. Joaquim Silva</t>
  </si>
  <si>
    <t>Gino Garcia 28 - 29.Sal D'amato 28 - 29.Chris Lee 28 - 29.</t>
  </si>
  <si>
    <t>http://ufcstats.com/fight-details/20bfa549cb2cabe7</t>
  </si>
  <si>
    <t>Trey Ogden vs. Nikolas Motta</t>
  </si>
  <si>
    <t>Overturned</t>
  </si>
  <si>
    <t>Arm Triangle win for Ogden overturned</t>
  </si>
  <si>
    <t>http://ufcstats.com/fight-details/6e5a3d6b6ed84ac3</t>
  </si>
  <si>
    <t>Matt Frevola</t>
  </si>
  <si>
    <t>Matt Frevola vs. Benoit Saint Denis</t>
  </si>
  <si>
    <t>http://ufcstats.com/fight-details/9fe98de1eac21f2e</t>
  </si>
  <si>
    <t>Roosevelt Roberts</t>
  </si>
  <si>
    <t>Mateusz Rebecki vs. Roosevelt Roberts</t>
  </si>
  <si>
    <t>Armbar From Bottom Guard</t>
  </si>
  <si>
    <t>http://ufcstats.com/fight-details/480c4dbd2e792d86</t>
  </si>
  <si>
    <t>Jared Gordon</t>
  </si>
  <si>
    <t>Mark Madsen</t>
  </si>
  <si>
    <t>Jared Gordon vs. Mark Madsen</t>
  </si>
  <si>
    <t>http://ufcstats.com/fight-details/4c025d1fff9e9fce</t>
  </si>
  <si>
    <t>Kaue Fernandes</t>
  </si>
  <si>
    <t>Marc Diakiese</t>
  </si>
  <si>
    <t>Kaue Fernandes vs. Marc Diakiese</t>
  </si>
  <si>
    <t>Dave Tirelli 29 - 28.Fabio Alves 28 - 29.Hallison Pontes 27 - 30.</t>
  </si>
  <si>
    <t>Brendon Marotte</t>
  </si>
  <si>
    <t>Terrance McKinney vs. Brendon Marotte</t>
  </si>
  <si>
    <t>Knee to Head In Clinch</t>
  </si>
  <si>
    <t>Joe Pyfer</t>
  </si>
  <si>
    <t>Abdul Razak Alhassan</t>
  </si>
  <si>
    <t>Joe Pyfer vs. Abdul Razak Alhassan</t>
  </si>
  <si>
    <t>Middleweight Bout</t>
  </si>
  <si>
    <t>Chris Weidman</t>
  </si>
  <si>
    <t>Bruno Silva</t>
  </si>
  <si>
    <t>Silva’s striking power could be decisive against Weidman.</t>
  </si>
  <si>
    <t>Chris Weidman vs. Bruno Silva</t>
  </si>
  <si>
    <t>Technical Decision - Eye poke by WeidmanEric Colon 27 - 30.Sal D'amato 27 - 30.Chris Lee 27 - 30.</t>
  </si>
  <si>
    <t>http://ufcstats.com/fight-details/77992b8727382373</t>
  </si>
  <si>
    <t>Andre Petroski</t>
  </si>
  <si>
    <t>Jacob Malkoun</t>
  </si>
  <si>
    <t>Petroski's grappling and submission attempts could be the key against Malkoun.</t>
  </si>
  <si>
    <t>Andre Petroski vs. Jacob Malkoun</t>
  </si>
  <si>
    <t>Kick to Body On GroundPetroski hit head on takedown attempt</t>
  </si>
  <si>
    <t>http://ufcstats.com/fight-details/ce33085fc5205bab</t>
  </si>
  <si>
    <t>Jack Hermansson</t>
  </si>
  <si>
    <t>Jack Hermansson vs. Joe Pyfer</t>
  </si>
  <si>
    <t>Mike Bell 47 - 48.Sal D'amato 47 - 48.Chris Lee 47 - 48.</t>
  </si>
  <si>
    <t>http://ufcstats.com/fight-details/406f2aacd1d1faf9</t>
  </si>
  <si>
    <t>Chris Curtis</t>
  </si>
  <si>
    <t>Marc-Andre Barriault</t>
  </si>
  <si>
    <t>Chris Curtis vs. Marc-Andre Barriault</t>
  </si>
  <si>
    <t>Declan Woods 27 - 30.Derek Cleary 29 - 28.Eric Colon 27 - 30.</t>
  </si>
  <si>
    <t>http://ufcstats.com/fight-details/ba5005d1116fa45f</t>
  </si>
  <si>
    <t>Phil Hawes</t>
  </si>
  <si>
    <t>Brunno Ferreira</t>
  </si>
  <si>
    <t>Phil Hawes vs. Brunno Ferreira</t>
  </si>
  <si>
    <t>http://ufcstats.com/fight-details/d0d99889c6abd8e1</t>
  </si>
  <si>
    <t>Michel Pereira</t>
  </si>
  <si>
    <t>Pereira</t>
  </si>
  <si>
    <t>Pereira's striking rate and takedown defense are superior.</t>
  </si>
  <si>
    <t>Michel Pereira vs. Ihor Potieria</t>
  </si>
  <si>
    <t>Guillotine Choke Standing</t>
  </si>
  <si>
    <t>http://ufcstats.com/fight-details/3e74caa9fff4a5eb</t>
  </si>
  <si>
    <t>Paul Craig</t>
  </si>
  <si>
    <t>Caio Borralho</t>
  </si>
  <si>
    <t>Borralho</t>
  </si>
  <si>
    <t>Borralho has better striking accuracy and defense.</t>
  </si>
  <si>
    <t>Paul Craig vs. Caio Borralho</t>
  </si>
  <si>
    <t>http://ufcstats.com/fight-details/2db0998b24c11ea0</t>
  </si>
  <si>
    <t>Bo Nickal</t>
  </si>
  <si>
    <t>Cody Brundage</t>
  </si>
  <si>
    <t>Nickal -300</t>
  </si>
  <si>
    <t>Nickal's overwhelming grappling stats and 100% finish rate strongly favor him.</t>
  </si>
  <si>
    <t>Bo Nickal vs. Cody Brundage</t>
  </si>
  <si>
    <t>http://ufcstats.com/fight-details/0c2e3988793b418c</t>
  </si>
  <si>
    <t>Brendan Allen</t>
  </si>
  <si>
    <t>Allen has a significant advantage in grappling and a better recent record.</t>
  </si>
  <si>
    <t>Brendan Allen vs. Chris Curtis</t>
  </si>
  <si>
    <t>Derek Cleary 47 - 48.Mike Bell 48 - 47.Eric Colon 46 - 49.</t>
  </si>
  <si>
    <t>http://ufcstats.com/fight-details/3ce96bb0c69b39be</t>
  </si>
  <si>
    <t>Dylan Budka</t>
  </si>
  <si>
    <t>Cesar Almeida</t>
  </si>
  <si>
    <t>Almeida's striking power and accuracy are likely to be decisive.</t>
  </si>
  <si>
    <t>Dylan Budka vs. Cesar Almeida</t>
  </si>
  <si>
    <t>Elbows to Head In Clinch</t>
  </si>
  <si>
    <t>http://ufcstats.com/fight-details/3cf5e0ebb5f8322c</t>
  </si>
  <si>
    <t>Nursulton Ruziboev</t>
  </si>
  <si>
    <t>Sedriques Dumas</t>
  </si>
  <si>
    <t>Ruziboev's grappling dominance is expected to lead to a submission victory.</t>
  </si>
  <si>
    <t>Nursulton Ruziboev vs. Sedriques Dumas</t>
  </si>
  <si>
    <t>http://ufcstats.com/fight-details/e30250daa73005a8</t>
  </si>
  <si>
    <t>Edmen Shahbazyan</t>
  </si>
  <si>
    <t>AJ Dobson</t>
  </si>
  <si>
    <t>Middleweight</t>
  </si>
  <si>
    <t>R1 4:43</t>
  </si>
  <si>
    <t>Edmen Shahbazyan vs. AJ Dobson</t>
  </si>
  <si>
    <t>http://ufcstats.com/fight-details/d564e3a6c77d0c85</t>
  </si>
  <si>
    <t>Gerald Meerschaert</t>
  </si>
  <si>
    <t>Bryan Barberena</t>
  </si>
  <si>
    <t>MW</t>
  </si>
  <si>
    <t>R2 04:23</t>
  </si>
  <si>
    <t>Sub (Face Crank)</t>
  </si>
  <si>
    <t>Gerald Meerschaert vs. Bryan Barberena</t>
  </si>
  <si>
    <t>http://ufcstats.com/fight-details/569e0ba18701c305</t>
  </si>
  <si>
    <t>Michal Oleksiejczuk</t>
  </si>
  <si>
    <t>R1 1:01</t>
  </si>
  <si>
    <t>Technical Submission (Rear-Naked Choke)</t>
  </si>
  <si>
    <t>Michel Pereira vs. Michal Oleksiejczuk</t>
  </si>
  <si>
    <t>http://ufcstats.com/fight-details/f0a9dfbb6f6ac852</t>
  </si>
  <si>
    <t>Eryk Anders</t>
  </si>
  <si>
    <t>Jamie Pickett</t>
  </si>
  <si>
    <t>Eryk Anders vs. Jamie Pickett</t>
  </si>
  <si>
    <t>Derek Cleary 27 - 29.Sal D'amato 28 - 29.Junichiro Kamijo 28 - 29.</t>
  </si>
  <si>
    <t>http://ufcstats.com/fight-details/32bd7ed48f5aea7e</t>
  </si>
  <si>
    <t>Christian Leroy Duncan</t>
  </si>
  <si>
    <t>Claudio Ribeiro</t>
  </si>
  <si>
    <t>R2 1:57</t>
  </si>
  <si>
    <t>TKO (Elbows and Punches)</t>
  </si>
  <si>
    <t>Christian Leroy Duncan vs. Claudio Ribeiro</t>
  </si>
  <si>
    <t>http://ufcstats.com/fight-details/3ea7d69a1238f26a</t>
  </si>
  <si>
    <t>Robert Whittaker</t>
  </si>
  <si>
    <t>Paulo Costa</t>
  </si>
  <si>
    <t>Robert Whittaker vs. Paulo Costa</t>
  </si>
  <si>
    <t>Ron McCarthy 28 - 29.Eliot Kelly 28 - 29.Mike Bell 27 - 30.</t>
  </si>
  <si>
    <t>http://ufcstats.com/fight-details/01432891260084a4</t>
  </si>
  <si>
    <t>Anthony Hernandez</t>
  </si>
  <si>
    <t>Roman Kopylov</t>
  </si>
  <si>
    <t>R2 3:23</t>
  </si>
  <si>
    <t>Submission (Rear-naked Choke)</t>
  </si>
  <si>
    <t>Anthony Hernandez vs. Roman Kopylov</t>
  </si>
  <si>
    <t>http://ufcstats.com/fight-details/f87a3fa07f0009c9</t>
  </si>
  <si>
    <t>Robert Bryczek</t>
  </si>
  <si>
    <t>Robert Bryczek vs. Ihor Potieria</t>
  </si>
  <si>
    <t>Adalaide Byrd 27 - 30.Jacob Montalvo 27 - 30.Chris Flores 28 - 29.</t>
  </si>
  <si>
    <t>http://ufcstats.com/fight-details/17050a7b673dc49d</t>
  </si>
  <si>
    <t>Brad Tavares</t>
  </si>
  <si>
    <t>Gregory Rodrigues</t>
  </si>
  <si>
    <t>Brad Tavares vs. Gregory Rodrigues</t>
  </si>
  <si>
    <t>http://ufcstats.com/fight-details/e7938bac3ec8b442</t>
  </si>
  <si>
    <t>Rodolfo Vieira</t>
  </si>
  <si>
    <t>Armen Petrosyan</t>
  </si>
  <si>
    <t>Rodolfo Vieira vs. Armen Petrosyan</t>
  </si>
  <si>
    <t>http://ufcstats.com/fight-details/9d8473ae274ed625</t>
  </si>
  <si>
    <t>Nassourdine Imavov</t>
  </si>
  <si>
    <t>Roman Dolidze</t>
  </si>
  <si>
    <t>Roman Dolidze vs. Nassourdine Imavov</t>
  </si>
  <si>
    <t>Derek Cleary 44 - 49.Ron McCarthy 47 - 47.Sal D'amato 46 - 48.</t>
  </si>
  <si>
    <t>http://ufcstats.com/fight-details/767ceb4a0cb43ade</t>
  </si>
  <si>
    <t>JunYong Park</t>
  </si>
  <si>
    <t>Andre Muniz</t>
  </si>
  <si>
    <t>JunYong Park vs. Andre Muniz</t>
  </si>
  <si>
    <t>Chris Flores 28 - 29.Tony Weeks 29 - 28.Jacob Montalvo 28 - 29.</t>
  </si>
  <si>
    <t>http://ufcstats.com/fight-details/1afc4f372a125c74</t>
  </si>
  <si>
    <t>Clay Guida</t>
  </si>
  <si>
    <t>Punahele Soriano vs. Dustin Stoltzfus</t>
  </si>
  <si>
    <t>http://ufcstats.com/fight-details/02713b2d25f74d43</t>
  </si>
  <si>
    <t>Zach Reese</t>
  </si>
  <si>
    <t>Zach Reese vs. Cody Brundage</t>
  </si>
  <si>
    <t>http://ufcstats.com/fight-details/0320a6a967069571</t>
  </si>
  <si>
    <t>Brendan Allen vs. Paul Craig</t>
  </si>
  <si>
    <t>http://ufcstats.com/fight-details/7990b6716a53b2cd</t>
  </si>
  <si>
    <t>Denis Tiuliulin</t>
  </si>
  <si>
    <t>Christian Leroy Duncan vs. Denis Tiuliulin</t>
  </si>
  <si>
    <t>Punches to Head In Clinch</t>
  </si>
  <si>
    <t>http://ufcstats.com/fight-details/16109688429c09de</t>
  </si>
  <si>
    <t>Abus Magomedov</t>
  </si>
  <si>
    <t>Caio Borralho vs. Abus Magomedov</t>
  </si>
  <si>
    <t>Fabio Alves 27 - 30.Sal D'amato 28 - 29.Dave Tirelli 28 - 29.</t>
  </si>
  <si>
    <t>Andre Petroski vs. Michel Pereira</t>
  </si>
  <si>
    <t>Sean O'Malley</t>
  </si>
  <si>
    <t>Marlon Vera</t>
  </si>
  <si>
    <t>Sean O'Malley vs. Marlon Vera</t>
  </si>
  <si>
    <t>UFC Bantamweight Title Bout</t>
  </si>
  <si>
    <t>Eric Colon 45 - 50.Chris Lee 45 - 50.Sal D'amato 44 - 50.</t>
  </si>
  <si>
    <t>http://ufcstats.com/fight-details/894c44c3d04aaf6f</t>
  </si>
  <si>
    <t>Alexander Volkanovski</t>
  </si>
  <si>
    <t>Ilia Topuria</t>
  </si>
  <si>
    <t>R2 3:32</t>
  </si>
  <si>
    <t>Alexander Volkanovski vs. Ilia Topuria</t>
  </si>
  <si>
    <t>UFC Featherweight Title Bout</t>
  </si>
  <si>
    <t>http://ufcstats.com/fight-details/bec3154a11df3299</t>
  </si>
  <si>
    <t>Alexandre Pantoja</t>
  </si>
  <si>
    <t>Pantoja</t>
  </si>
  <si>
    <t>Pantoja has experience advantage and better finish rate.</t>
  </si>
  <si>
    <t>Alexandre Pantoja vs. Steve Erceg</t>
  </si>
  <si>
    <t>UFC Flyweight Title Bout</t>
  </si>
  <si>
    <t>Fabio Alves 47 - 48.Sal D'amato 47 - 48.David Tirelli 46 - 49.</t>
  </si>
  <si>
    <t>http://ufcstats.com/fight-details/3f419fce8ba8aa0e</t>
  </si>
  <si>
    <t>Alexandre Pantoja vs. Brandon Royval</t>
  </si>
  <si>
    <t>Junichiro Kamijo 45 - 50.Ron McCarthy 45 - 50.Eric Colon 46 - 49.</t>
  </si>
  <si>
    <t>http://ufcstats.com/fight-details/4896b36f1333d25c</t>
  </si>
  <si>
    <t>Sergei Pavlovich</t>
  </si>
  <si>
    <t>Tom Aspinall</t>
  </si>
  <si>
    <t>Sergei Pavlovich vs. Tom Aspinall</t>
  </si>
  <si>
    <t>UFC Interim Heavyweight Title Bout</t>
  </si>
  <si>
    <t>http://ufcstats.com/fight-details/db49619221b282af</t>
  </si>
  <si>
    <t>Alex Pereira</t>
  </si>
  <si>
    <t>Jamahal Hill</t>
  </si>
  <si>
    <t>Hill -150</t>
  </si>
  <si>
    <t>Hill's higher output in significant strikes landed per minute and his undefeated record suggest a slight edge.</t>
  </si>
  <si>
    <t>Alex Pereira vs. Jamahal Hill</t>
  </si>
  <si>
    <t>UFC Light Heavyweight Title Bout</t>
  </si>
  <si>
    <t>http://ufcstats.com/fight-details/e4931f3ab3bf4141</t>
  </si>
  <si>
    <t>Jiri Prochazka vs. Alex Pereira</t>
  </si>
  <si>
    <t>Elbows to Head On Ground</t>
  </si>
  <si>
    <t>http://ufcstats.com/fight-details/b1f2ec122beda7a5</t>
  </si>
  <si>
    <t>Sean Strickland</t>
  </si>
  <si>
    <t>Dricus Du Plessis</t>
  </si>
  <si>
    <t>Sean Strickland vs. Dricus Du Plessis</t>
  </si>
  <si>
    <t>UFC Middleweight Title Bout</t>
  </si>
  <si>
    <t>Sal D'amato 48 - 47.Derek Cleary 47 - 48.Eric Colon 47 - 48.</t>
  </si>
  <si>
    <t>http://ufcstats.com/fight-details/14e53999507c76a7</t>
  </si>
  <si>
    <t>Leon Edwards</t>
  </si>
  <si>
    <t>Colby Covington</t>
  </si>
  <si>
    <t>Leon Edwards vs. Colby Covington</t>
  </si>
  <si>
    <t>UFC Welterweight Title Bout</t>
  </si>
  <si>
    <t>Derek Cleary 46 - 49.Sal D'amato 46 - 49.Chris Lee 46 - 49.</t>
  </si>
  <si>
    <t>http://ufcstats.com/fight-details/3fa8ee3fdc04fe36</t>
  </si>
  <si>
    <t>Raquel Pennington</t>
  </si>
  <si>
    <t>Mayra Bueno Silva</t>
  </si>
  <si>
    <t>Raquel Pennington vs. Mayra Bueno Silva</t>
  </si>
  <si>
    <t>UFC Women's Bantamweight Title Bout</t>
  </si>
  <si>
    <t>Eric Colon 46 - 49.Sal D'amato 46 - 49.Saleem Haniff 45 - 49.</t>
  </si>
  <si>
    <t>http://ufcstats.com/fight-details/faf15b752fb8924c</t>
  </si>
  <si>
    <t>Zhang Weili</t>
  </si>
  <si>
    <t>Yan Xiaonan</t>
  </si>
  <si>
    <t>Weili -200</t>
  </si>
  <si>
    <t>Weili's superior grappling and higher finish rate indicate a likely stoppage.</t>
  </si>
  <si>
    <t>Zhang Weili vs. Yan Xiaonan</t>
  </si>
  <si>
    <t>UFC Women's Strawweight Title Bout</t>
  </si>
  <si>
    <t>Mike Bell 45 - 49.Ben Cartlidge 45 - 49.Chris Lee 45 - 49.</t>
  </si>
  <si>
    <t>http://ufcstats.com/fight-details/66eddbe35056c06d</t>
  </si>
  <si>
    <t>Joaquin Buckley</t>
  </si>
  <si>
    <t>Alex Morono vs. Joaquin Buckley</t>
  </si>
  <si>
    <t>Welterweight Bout</t>
  </si>
  <si>
    <t>Sal D'amato 27 - 30.Jacob Montalvo 27 - 30.Junichiro Kamijo 26 - 30.</t>
  </si>
  <si>
    <t>Elizeu Zaleski dos Santos</t>
  </si>
  <si>
    <t>Rinat Fakhretdinov</t>
  </si>
  <si>
    <t>DRAW</t>
  </si>
  <si>
    <t>Rinat Fakhretdinov vs. Elizeu Zaleski dos Santos</t>
  </si>
  <si>
    <t>Fabio Alves 28 - 29.Hallison Pontes 28 - 28.Sal D'amato 28 - 28.</t>
  </si>
  <si>
    <t>Ruziboev's grappling and defense give him the edge</t>
  </si>
  <si>
    <t>Joaquin Buckley vs. Nursulton Ruziboev</t>
  </si>
  <si>
    <t>Henry Guery 27 - 30.Chris Lee 26 - 30.Sal D'amato 27 - 29.</t>
  </si>
  <si>
    <t>http://ufcstats.com/fight-details/b78a222fb448aed4</t>
  </si>
  <si>
    <t>Billy Goff</t>
  </si>
  <si>
    <t>Trey Waters</t>
  </si>
  <si>
    <t>Goff's aggressive striking and finishing ability</t>
  </si>
  <si>
    <t>Billy Ray Goff vs. Trey Waters</t>
  </si>
  <si>
    <t>Sal D'amato 27 - 30.David Huyette 27 - 30.Travis Buesking 28 - 29.</t>
  </si>
  <si>
    <t>http://ufcstats.com/fight-details/ec5d705232983b87</t>
  </si>
  <si>
    <t>Vicente Luque</t>
  </si>
  <si>
    <t>Luque's experience and balanced attack could overwhelm Buckley.</t>
  </si>
  <si>
    <t>Vicente Luque vs. Joaquin Buckley</t>
  </si>
  <si>
    <t>http://ufcstats.com/fight-details/de12349f334c964e</t>
  </si>
  <si>
    <t>Max Griffin</t>
  </si>
  <si>
    <t>Jeremiah Wells</t>
  </si>
  <si>
    <t>Max Griffin vs. Jeremiah Wells</t>
  </si>
  <si>
    <t>Adalaide Byrd 28 - 29.Sal D'amato 29 - 28.Junichiro Kamijo 28 - 29.</t>
  </si>
  <si>
    <t>http://ufcstats.com/fight-details/08f7a60bd84a6b3c</t>
  </si>
  <si>
    <t>Gilbert Urbina</t>
  </si>
  <si>
    <t>Charles Radtke</t>
  </si>
  <si>
    <t>Gilbert Urbina vs. Charles Radtke</t>
  </si>
  <si>
    <t>http://ufcstats.com/fight-details/330d86bfaa4155fe</t>
  </si>
  <si>
    <t>Pete Rodriguez</t>
  </si>
  <si>
    <t>Themba Gorimbo</t>
  </si>
  <si>
    <t>Themba Gorimbo vs. Pete Rodriguez</t>
  </si>
  <si>
    <t>http://ufcstats.com/fight-details/4cff9aeef3ac75c1</t>
  </si>
  <si>
    <t>Yohan Lainesse</t>
  </si>
  <si>
    <t>Sam Patterson</t>
  </si>
  <si>
    <t>Yohan Lainesse vs. Sam Patterson</t>
  </si>
  <si>
    <t>Brian Beauchamp</t>
  </si>
  <si>
    <t>http://ufcstats.com/fight-details/a10e2d5416972b9c</t>
  </si>
  <si>
    <t>Matthew Semelsberger</t>
  </si>
  <si>
    <t>Preston Parsons</t>
  </si>
  <si>
    <t>Matthew Semelsberger vs. Preston Parsons</t>
  </si>
  <si>
    <t>Mike Bell 27 - 30.Junichiro Kamijo 27 - 30.Ron McCarthy 27 - 30.</t>
  </si>
  <si>
    <t>http://ufcstats.com/fight-details/5f622d812b8f407f</t>
  </si>
  <si>
    <t>Sean Brady</t>
  </si>
  <si>
    <t>Kelvin Gastelum</t>
  </si>
  <si>
    <t>Sean Brady vs. Kelvin Gastelum</t>
  </si>
  <si>
    <t>Kimura From Side Control</t>
  </si>
  <si>
    <t>http://ufcstats.com/fight-details/39c4ae4624052f9f</t>
  </si>
  <si>
    <t>Jonny Parsons</t>
  </si>
  <si>
    <t>Uros Medic</t>
  </si>
  <si>
    <t>Uros Medic vs. Myktybek Orolbai</t>
  </si>
  <si>
    <t>http://ufcstats.com/fight-details/b210b99d9c1c9196</t>
  </si>
  <si>
    <t>Gabriel Bonfim</t>
  </si>
  <si>
    <t>Nicolas Dalby</t>
  </si>
  <si>
    <t>Gabriel Bonfim vs. Nicolas Dalby</t>
  </si>
  <si>
    <t>Knees to Head In Clinch</t>
  </si>
  <si>
    <t>Bryan Battle</t>
  </si>
  <si>
    <t>Ange Loosa</t>
  </si>
  <si>
    <t>R2 01:00</t>
  </si>
  <si>
    <t>NC (Eye Poke)</t>
  </si>
  <si>
    <t>Bryan Battle vs. Ange Loosa</t>
  </si>
  <si>
    <t>Eye injury to Loosa</t>
  </si>
  <si>
    <t>http://ufcstats.com/fight-details/a7fd9da657bbce8e</t>
  </si>
  <si>
    <t>Tim Means</t>
  </si>
  <si>
    <t>Tim Means vs. Uros Medic</t>
  </si>
  <si>
    <t>http://ufcstats.com/fight-details/6ea77cb62aa2f276</t>
  </si>
  <si>
    <t>Trevor Peek</t>
  </si>
  <si>
    <t>Charlie Campbell</t>
  </si>
  <si>
    <t>Campbell's aggressive striking is likely to overwhelm Peek.</t>
  </si>
  <si>
    <t>Court McGee vs. Alex Morono</t>
  </si>
  <si>
    <t>Mike Bell 28 - 29.Adalaide Byrd 28 - 29.Derek Cleary 28 - 29.</t>
  </si>
  <si>
    <t>http://ufcstats.com/fight-details/0b9cd718d7e329e8</t>
  </si>
  <si>
    <t>Chidi Njokuani</t>
  </si>
  <si>
    <t>Rhys McKee</t>
  </si>
  <si>
    <t>Njokuani’s accuracy and defense to capitalize on McKee's high strike absorption.</t>
  </si>
  <si>
    <t>Chidi Njokuani vs. Rhys McKee</t>
  </si>
  <si>
    <t>Mamunah Querido 29 - 28.Chris Lee 27 - 30.Sal D'amato 27 - 30.</t>
  </si>
  <si>
    <t>http://ufcstats.com/fight-details/eb9f9f61507497a5</t>
  </si>
  <si>
    <t>Kevin Holland</t>
  </si>
  <si>
    <t>Michael Page</t>
  </si>
  <si>
    <t>Welterweight</t>
  </si>
  <si>
    <t>Kevin Holland vs. Michael Page</t>
  </si>
  <si>
    <t>Eric Colon 28 - 29.David Tirelli 28 - 29.Chris Lee 28 - 29.</t>
  </si>
  <si>
    <t>http://ufcstats.com/fight-details/270edfb687c0d20c</t>
  </si>
  <si>
    <t>Gilbert Burns</t>
  </si>
  <si>
    <t>Jack Della Maddalena</t>
  </si>
  <si>
    <t>R3 3:43</t>
  </si>
  <si>
    <t>KO (Knee and Elbows)</t>
  </si>
  <si>
    <t>Gilbert Burns vs. Jack Della Maddalena</t>
  </si>
  <si>
    <t>http://ufcstats.com/fight-details/68f7f992603192c6</t>
  </si>
  <si>
    <t>Geoff Neal</t>
  </si>
  <si>
    <t>Ian Garry</t>
  </si>
  <si>
    <t>Geoff Neal vs. Ian Machado Garry</t>
  </si>
  <si>
    <t>Felicia Oh 27 - 30.Derek Cleary 29 - 28.Sal D'amato 27 - 30.</t>
  </si>
  <si>
    <t>http://ufcstats.com/fight-details/8fb0092430448368</t>
  </si>
  <si>
    <t>Josh Quinlan</t>
  </si>
  <si>
    <t>Danny Barlow</t>
  </si>
  <si>
    <t>R3 1:18</t>
  </si>
  <si>
    <t>Josh Quinlan vs. Danny Barlow</t>
  </si>
  <si>
    <t>http://ufcstats.com/fight-details/ef13ed466e0b42d8</t>
  </si>
  <si>
    <t>Oban Elliott</t>
  </si>
  <si>
    <t>Val Woodburn</t>
  </si>
  <si>
    <t>Oban Elliott vs. Val Woodburn</t>
  </si>
  <si>
    <t>Mike Bell 27 - 30.Chris Leben 27 - 30.Eliot Kelly 28 - 29.</t>
  </si>
  <si>
    <t>http://ufcstats.com/fight-details/9ddaa62cc806958d</t>
  </si>
  <si>
    <t>Trevin Giles</t>
  </si>
  <si>
    <t>Carlos Prates</t>
  </si>
  <si>
    <t>Trevin Giles vs. Carlos Prates</t>
  </si>
  <si>
    <t>http://ufcstats.com/fight-details/246fef4b19c3a7ed</t>
  </si>
  <si>
    <t>Randy Brown</t>
  </si>
  <si>
    <t>Muslim Salikhov</t>
  </si>
  <si>
    <t>Randy Brown vs. Muslim Salikhov</t>
  </si>
  <si>
    <t>http://ufcstats.com/fight-details/af6d56860ba4d259</t>
  </si>
  <si>
    <t>Neil Magny</t>
  </si>
  <si>
    <t>Mike Malott</t>
  </si>
  <si>
    <t>Neil Magny vs. Mike Malott</t>
  </si>
  <si>
    <t>http://ufcstats.com/fight-details/97817609ed46baa0</t>
  </si>
  <si>
    <t>Shavkat Rakhmonov</t>
  </si>
  <si>
    <t>Stephen Thompson</t>
  </si>
  <si>
    <t>Shavkat Rakhmonov vs. Stephen Thompson</t>
  </si>
  <si>
    <t>http://ufcstats.com/fight-details/1efc813ccd7a5aba</t>
  </si>
  <si>
    <t>Song Kenan</t>
  </si>
  <si>
    <t>Kevin Jousset</t>
  </si>
  <si>
    <t>Song Kenan vs. Kevin Jousset</t>
  </si>
  <si>
    <t>Sal D'amato 27 - 30.Chris Leben 27 - 30.Ron McCarthy 27 - 30.</t>
  </si>
  <si>
    <t>http://ufcstats.com/fight-details/3adab28c5c6a9254</t>
  </si>
  <si>
    <t>Wellington Turman</t>
  </si>
  <si>
    <t>Jared Gooden</t>
  </si>
  <si>
    <t>Wellington Turman vs. Jared Gooden</t>
  </si>
  <si>
    <t>http://ufcstats.com/fight-details/32813f5f46f045e8</t>
  </si>
  <si>
    <t>Michael Morales</t>
  </si>
  <si>
    <t>Jake Matthews</t>
  </si>
  <si>
    <t>Michael Morales vs. Jake Matthews</t>
  </si>
  <si>
    <t>Chris Flores 27 - 30.Derek Cleary 28 - 29.Sal D'amato 28 - 29.</t>
  </si>
  <si>
    <t>http://ufcstats.com/fight-details/73ebbfb998edc1f1</t>
  </si>
  <si>
    <t>Womens</t>
  </si>
  <si>
    <t>Norma Dumont</t>
  </si>
  <si>
    <t>Germaine de Randamie</t>
  </si>
  <si>
    <t>De Randamie's striking experience and defense are crucial.</t>
  </si>
  <si>
    <t>Norma Dumont vs. Germaine de Randamie</t>
  </si>
  <si>
    <t>Women's Bantamweight Bout</t>
  </si>
  <si>
    <t>Mike Bell 28 - 29.Derek Cleary 28 - 29.Chris Flores 28 - 29.</t>
  </si>
  <si>
    <t>http://ufcstats.com/fight-details/188e6416157e5a1f</t>
  </si>
  <si>
    <t>Montserrat Rendon</t>
  </si>
  <si>
    <t>Dariya Zheleznyakova</t>
  </si>
  <si>
    <t>Women's Bantamweight</t>
  </si>
  <si>
    <t>Montserrat Rendon vs. Daria Zhelezniakova</t>
  </si>
  <si>
    <t>Mike Bell 28 - 29.Sal D'amato 28 - 29.Junichiro Kamijo 28 - 29.</t>
  </si>
  <si>
    <t>http://ufcstats.com/fight-details/f1c3abce15ef053e</t>
  </si>
  <si>
    <t>Pannie Kianzad</t>
  </si>
  <si>
    <t>Macy Chiasson</t>
  </si>
  <si>
    <t>Pannie Kianzad  +3.5</t>
  </si>
  <si>
    <t>WBW</t>
  </si>
  <si>
    <t>R1 03:54</t>
  </si>
  <si>
    <t>Pannie Kianzad vs. Macy Chiasson</t>
  </si>
  <si>
    <t>http://ufcstats.com/fight-details/2f414494f2b6f426</t>
  </si>
  <si>
    <t>Josiane Nunes</t>
  </si>
  <si>
    <t>Chelsea Chandler</t>
  </si>
  <si>
    <t>BW (Catchweight 137 lbs)</t>
  </si>
  <si>
    <t>Josiane Nunes vs. Chelsea Chandler</t>
  </si>
  <si>
    <t>http://ufcstats.com/fight-details/711ec0545552455b</t>
  </si>
  <si>
    <t>Miesha Tate</t>
  </si>
  <si>
    <t>Julia Avila</t>
  </si>
  <si>
    <t>Miesha Tate vs. Julia Avila</t>
  </si>
  <si>
    <t>http://ufcstats.com/fight-details/626c82ed45fdcf59</t>
  </si>
  <si>
    <t>Irina Alekseeva</t>
  </si>
  <si>
    <t>Melissa Dixon</t>
  </si>
  <si>
    <t>Irina Alekseeva vs. Melissa Dixon</t>
  </si>
  <si>
    <t>Chris Lee 27 - 30.Derek Cleary 28 - 29.Anthony Maness 28 - 29.</t>
  </si>
  <si>
    <t>Nora Cornolle</t>
  </si>
  <si>
    <t>Melissa Mullins</t>
  </si>
  <si>
    <t>Cornolle's power and finishing rate suggest a KO victory.</t>
  </si>
  <si>
    <t>Melissa Mullins vs. Nora Cornolle</t>
  </si>
  <si>
    <t>Knee to Body In Clinch</t>
  </si>
  <si>
    <t>http://ufcstats.com/fight-details/1685eecc7ef37fb5</t>
  </si>
  <si>
    <t>Jasmine Jasudavicius</t>
  </si>
  <si>
    <t>Priscila Cachoeira</t>
  </si>
  <si>
    <t>Jasmine Jasudavicius vs. Priscila Cachoeira</t>
  </si>
  <si>
    <t>MathewRocca</t>
  </si>
  <si>
    <t>Anaconda Choke On Ground</t>
  </si>
  <si>
    <t>http://ufcstats.com/fight-details/7736eb6bd5c1ff4a</t>
  </si>
  <si>
    <t>Brian Kelleher</t>
  </si>
  <si>
    <t>Irene Aldana vs. Karol Rosa</t>
  </si>
  <si>
    <t>Derek Cleary 28 - 29.Ron McCarthy 28 - 29.Jacob Montalvo 28 - 29.</t>
  </si>
  <si>
    <t>http://ufcstats.com/fight-details/609d994bfe440ec3</t>
  </si>
  <si>
    <t>Tatsuro Taira</t>
  </si>
  <si>
    <t>Carlos Hernandez</t>
  </si>
  <si>
    <t>Luana Santos vs. Stephanie Egger</t>
  </si>
  <si>
    <t>Jacob Montalvo 27 - 30.Junichiro Kamijo 28 - 29.Tony Weeks 28 - 29.</t>
  </si>
  <si>
    <t>http://ufcstats.com/fight-details/5a6e894e4b6cc703</t>
  </si>
  <si>
    <t>Lucie Pudilova</t>
  </si>
  <si>
    <t>Ailin Perez</t>
  </si>
  <si>
    <t>Lucie Pudilova vs. Ailin Perez</t>
  </si>
  <si>
    <t>Derek Cleary 27 - 29.Sal D'amato 28 - 29.Chris Flores 28 - 29.</t>
  </si>
  <si>
    <t>http://ufcstats.com/fight-details/6997693d552600dd</t>
  </si>
  <si>
    <t>Tainara Lisboa</t>
  </si>
  <si>
    <t>Ravena Oliveira</t>
  </si>
  <si>
    <t>Tainara Lisboa vs. Ravena Oliveira</t>
  </si>
  <si>
    <t>Eric Colon 28 - 29.Junichiro Kamijo 28 - 29.Anthony Maness 28 - 29.</t>
  </si>
  <si>
    <t>Holly Holm</t>
  </si>
  <si>
    <t>Kayla Harrison</t>
  </si>
  <si>
    <t>Not enough data</t>
  </si>
  <si>
    <t>Holm -130</t>
  </si>
  <si>
    <t>Lack of data for Harrison; Holm's experience and striking could prevail.</t>
  </si>
  <si>
    <t>Holly Holm vs. Kayla Harrison</t>
  </si>
  <si>
    <t>http://ufcstats.com/fight-details/b1ac165326d8f29e</t>
  </si>
  <si>
    <t>Montana De La Rosa</t>
  </si>
  <si>
    <t>JJ Aldrich</t>
  </si>
  <si>
    <t>Montana De La Rosa vs. JJ Aldrich</t>
  </si>
  <si>
    <t>Women's Flyweight Bout</t>
  </si>
  <si>
    <t>Eric Colon 27 - 30.Sal D'amato 27 - 30.Junichiro Kamijo 27 - 30.</t>
  </si>
  <si>
    <t>Veronica Hardy</t>
  </si>
  <si>
    <t>Aldrich's striking volume and experience</t>
  </si>
  <si>
    <t>JJ Aldrich vs. Veronica Hardy</t>
  </si>
  <si>
    <t>Henry Guery 28 - 29.Chris Lee 28 - 29.Rob Francis 28 - 29.</t>
  </si>
  <si>
    <t>http://ufcstats.com/fight-details/ccf3b6eda4c2a564</t>
  </si>
  <si>
    <t>Dione Barbosa</t>
  </si>
  <si>
    <t>Ernesta Kareckaite</t>
  </si>
  <si>
    <t>Kareckaite</t>
  </si>
  <si>
    <t>Kareckaite's aggressive striking rate may dominate despite defense gaps.</t>
  </si>
  <si>
    <t>Dione Barbosa vs. Ernesta Kareckaite</t>
  </si>
  <si>
    <t>Fabio Alves 28 - 29.Sal D'amato 28 - 29.David Tirelli 28 - 29.</t>
  </si>
  <si>
    <t>http://ufcstats.com/fight-details/4661e9ca9354021e</t>
  </si>
  <si>
    <t>Erin Blanchfield</t>
  </si>
  <si>
    <t>Manon Fiorot</t>
  </si>
  <si>
    <t>Blanchfield’s grappling could secure the fight on the ground.</t>
  </si>
  <si>
    <t>Erin Blanchfield vs. Manon Fiorot</t>
  </si>
  <si>
    <t>Eric Colon 45 - 50.Sal D'amato 45 - 50.Chris Lee 45 - 50.</t>
  </si>
  <si>
    <t>http://ufcstats.com/fight-details/e6d4fdad2b3422d1</t>
  </si>
  <si>
    <t>Dustin Jacoby</t>
  </si>
  <si>
    <t>Casey O'Neill vs. Ariane Lipski</t>
  </si>
  <si>
    <t>Armbar On Ground</t>
  </si>
  <si>
    <t>http://ufcstats.com/fight-details/c442899c21d58779</t>
  </si>
  <si>
    <t>Jamey-Lyn Horth</t>
  </si>
  <si>
    <t>Veronica Hardy vs. Jamey-Lyn Horth</t>
  </si>
  <si>
    <t>Jacob Montalvo 29 - 28.Sal D'amato 28 - 29.Patrick Patlan 28 - 29.</t>
  </si>
  <si>
    <t>http://ufcstats.com/fight-details/d0ac2cc5c57c4e66</t>
  </si>
  <si>
    <t>Jennifer Maia</t>
  </si>
  <si>
    <t>Viviane Araujo</t>
  </si>
  <si>
    <t>Jennifer Maia vs. Viviane Araujo</t>
  </si>
  <si>
    <t>Sal D'amato 28 - 29.Junichiro Kamijo 28 - 29.Ron McCarthy 28 - 29.</t>
  </si>
  <si>
    <t>Karine Silva</t>
  </si>
  <si>
    <t>Ariane da Silva vs. Karine Silva</t>
  </si>
  <si>
    <t>Adalaide Byrd 27 - 30.Mike Bell 28 - 29.Sal D'amato 28 - 29.</t>
  </si>
  <si>
    <t>http://ufcstats.com/fight-details/45de6d0b9cf5451c</t>
  </si>
  <si>
    <t>Ivana Petrovic</t>
  </si>
  <si>
    <t>Liang Na</t>
  </si>
  <si>
    <t>Ivana Petrovic vs. Liang Na</t>
  </si>
  <si>
    <t>http://ufcstats.com/fight-details/1631f70535ae5dcc</t>
  </si>
  <si>
    <t>Amanda Ribas</t>
  </si>
  <si>
    <t>Rose Namajunas</t>
  </si>
  <si>
    <t>Women's Flyweight</t>
  </si>
  <si>
    <t>Amanda Ribas vs. Rose Namajunas</t>
  </si>
  <si>
    <t>Mike Bell 46 - 49.Junichiro Kamijo 46 - 49.Sal D'amato 47 - 48.</t>
  </si>
  <si>
    <t>http://ufcstats.com/fight-details/faf19712bd7ea41e</t>
  </si>
  <si>
    <t>Katlyn Cerminara</t>
  </si>
  <si>
    <t>Maycee Barber</t>
  </si>
  <si>
    <t>Katlyn Cerminara vs. Maycee Barber</t>
  </si>
  <si>
    <t>MichaelTate 27 - 30.Sal D'amato 27 - 30.Chris Lee 28 - 29.</t>
  </si>
  <si>
    <t>http://ufcstats.com/fight-details/33658a3ca932d15d</t>
  </si>
  <si>
    <t>Joanne Wood</t>
  </si>
  <si>
    <t>Maryna Moroz</t>
  </si>
  <si>
    <t>Joanne Wood vs. Maryna Moroz</t>
  </si>
  <si>
    <t>Eliseo Rodriguez 28 - 29.Jason Grenier 29 - 28.Chris Lee 28 - 29.</t>
  </si>
  <si>
    <t>http://ufcstats.com/fight-details/3677ce6c1ee06a83</t>
  </si>
  <si>
    <t>Andrea Lee</t>
  </si>
  <si>
    <t>Miranda Maverick</t>
  </si>
  <si>
    <t>Andrea Lee vs. Miranda Maverick</t>
  </si>
  <si>
    <t>Felicia Oh 27 - 30.RaphaelDavis 27 - 30.Ron McCarthy 28 - 29.</t>
  </si>
  <si>
    <t>http://ufcstats.com/fight-details/b7d238437d6644ce</t>
  </si>
  <si>
    <t>Natalia Silva</t>
  </si>
  <si>
    <t>Viviane Araujo vs. Natalia Silva</t>
  </si>
  <si>
    <t>Mike Bell 28 - 29.Derek Cleary 28 - 29.Sal D'amato 28 - 29.</t>
  </si>
  <si>
    <t>http://ufcstats.com/fight-details/7b1882dc76786d77</t>
  </si>
  <si>
    <t>Luana Carolina</t>
  </si>
  <si>
    <t>Julija Stoliarenko</t>
  </si>
  <si>
    <t>Luana Carolina vs. Julija Stoliarenko</t>
  </si>
  <si>
    <t>Punches to Head From Side Control</t>
  </si>
  <si>
    <t>http://ufcstats.com/fight-details/c28d40498150de90</t>
  </si>
  <si>
    <t>Karolina Kowalkiewicz</t>
  </si>
  <si>
    <t>Diana Belbita</t>
  </si>
  <si>
    <t>Karolina Kowalkiewicz vs. Diana Belbita</t>
  </si>
  <si>
    <t>Women's Strawweight Bout</t>
  </si>
  <si>
    <t>Sal D'amato 27 - 30.Jacob Montalvo 27 - 30.Chris Lee 27 - 30.</t>
  </si>
  <si>
    <t>Vanessa Demopoulos</t>
  </si>
  <si>
    <t>Kanako Murata</t>
  </si>
  <si>
    <t>Vanessa Demopoulos vs. Kanako Murata</t>
  </si>
  <si>
    <t>Eric Colon 28 - 29.Sal D'amato 28 - 29.Chris Lee 28 - 29.</t>
  </si>
  <si>
    <t>Tabatha Ricci</t>
  </si>
  <si>
    <t>Tecia Pennington</t>
  </si>
  <si>
    <t>Pennington's experience and striking defense</t>
  </si>
  <si>
    <t>Tabatha Ricci vs. Tecia Pennington</t>
  </si>
  <si>
    <t>Brian Puccillo 28 - 29.Rob Francis 29 - 28.Chris Lee 28 - 29.</t>
  </si>
  <si>
    <t>http://ufcstats.com/fight-details/13d8d5cd83e5b57e</t>
  </si>
  <si>
    <t>Molly McCann</t>
  </si>
  <si>
    <t>Molly McCann vs. Diana Belbita</t>
  </si>
  <si>
    <t>Armbar From Mount</t>
  </si>
  <si>
    <t>http://ufcstats.com/fight-details/d4ace70b3661ee6c</t>
  </si>
  <si>
    <t>Jessica Andrade</t>
  </si>
  <si>
    <t>Mackenzie Dern</t>
  </si>
  <si>
    <t>Jessica Andrade vs. Mackenzie Dern</t>
  </si>
  <si>
    <t>http://ufcstats.com/fight-details/6fd67582d8adb1c7</t>
  </si>
  <si>
    <t>Loopy Godinez</t>
  </si>
  <si>
    <t>Tabatha Ricci vs. Loopy Godinez</t>
  </si>
  <si>
    <t>Derek Cleary 28 - 29.Sal D'amato 28 - 29.Bryan Miner 30 - 27.</t>
  </si>
  <si>
    <t>http://ufcstats.com/fight-details/a0362d60d2e1db0d</t>
  </si>
  <si>
    <t>Angela Hill</t>
  </si>
  <si>
    <t>Denise Gomes</t>
  </si>
  <si>
    <t>Angela Hill vs. Denise Gomes</t>
  </si>
  <si>
    <t>Sal D'amato 27 - 30.Dave Tirelli 28 - 29.Alessandro Vieira 28 - 29.</t>
  </si>
  <si>
    <t>Iasmin Lucindo</t>
  </si>
  <si>
    <t>Lucindo</t>
  </si>
  <si>
    <t>Close match, but Lucindo's youth and striking defense might edge it.</t>
  </si>
  <si>
    <t>Karolina Kowalkiewicz vs. Iasmin Lucindo</t>
  </si>
  <si>
    <t>Fabio Alves 27 - 30.Sal D'amato 27 - 30.David Tirelli 27 - 30.</t>
  </si>
  <si>
    <t>http://ufcstats.com/fight-details/c84a29f426f1aab7</t>
  </si>
  <si>
    <t>Marnic Mann</t>
  </si>
  <si>
    <t>Ketlen Souza</t>
  </si>
  <si>
    <t>Marnic Mann vs. Ketlen Souza</t>
  </si>
  <si>
    <t>Mike Bell 27 - 30.Sal D'amato 27 - 30.Chris Lee 27 - 30.</t>
  </si>
  <si>
    <t>http://ufcstats.com/fight-details/4915c8a588513c22</t>
  </si>
  <si>
    <t>Marina Rodriguez</t>
  </si>
  <si>
    <t>Andrade -190</t>
  </si>
  <si>
    <t>Andrade's aggressive style and high-pressure fighting can overwhelm Rodriguez.</t>
  </si>
  <si>
    <t>Jessica Andrade vs. Marina Rodriguez</t>
  </si>
  <si>
    <t>Derek Cleary 29 - 28.Adalaide Byrd 28 - 29.David Lethaby 28 - 29.</t>
  </si>
  <si>
    <t>http://ufcstats.com/fight-details/603afedc31d95999</t>
  </si>
  <si>
    <t>Virna Jandiroba</t>
  </si>
  <si>
    <t>Jandiroba's superior grappling likely to lead to a ground control and submission.</t>
  </si>
  <si>
    <t>Virna Jandiroba vs. Loopy Godinez</t>
  </si>
  <si>
    <t>Eric Colon 28 - 29.Mamunah Querido 28 - 29.Chris Lee 27 - 30.</t>
  </si>
  <si>
    <t>http://ufcstats.com/fight-details/99dc6d45cbdfa322</t>
  </si>
  <si>
    <t>Josh Culibao</t>
  </si>
  <si>
    <t>Danny Silva</t>
  </si>
  <si>
    <t>FW (Catchweight 148.5 lbs)</t>
  </si>
  <si>
    <t>Jaqueline Amorim vs. Cory McKenna</t>
  </si>
  <si>
    <t>http://ufcstats.com/fight-details/66873dde4077bd5d</t>
  </si>
  <si>
    <t>Yazmin Jauregui</t>
  </si>
  <si>
    <t>Sam Hughes</t>
  </si>
  <si>
    <t>Women's Strawweight</t>
  </si>
  <si>
    <t>Yazmin Jauregui vs. Sam Hughes</t>
  </si>
  <si>
    <t>Horacio Lopez 27 - 30.Mike Bell 27 - 30.Rick Winter 27 - 30.</t>
  </si>
  <si>
    <t>http://ufcstats.com/fight-details/6e4acb2aaa2cee56</t>
  </si>
  <si>
    <t>Amanda Lemos</t>
  </si>
  <si>
    <t>Amanda Lemos vs. Mackenzie Dern</t>
  </si>
  <si>
    <t>http://ufcstats.com/fight-details/2aeb3ec2d8c05dc8</t>
  </si>
  <si>
    <t>Loma Lookboonmee</t>
  </si>
  <si>
    <t>Bruna Brasil</t>
  </si>
  <si>
    <t>Loma Lookboonmee vs. Bruna Brasil</t>
  </si>
  <si>
    <t>Eric Colon 28 - 29.Sal D'amato 28 - 29.Junichiro Kamijo 28 - 29.</t>
  </si>
  <si>
    <t>http://ufcstats.com/fight-details/c3986c1a56a6e94d</t>
  </si>
  <si>
    <t>Gillian Robertson</t>
  </si>
  <si>
    <t>Polyana Viana</t>
  </si>
  <si>
    <t>Gillian Robertson vs. Polyana Viana</t>
  </si>
  <si>
    <t>http://ufcstats.com/fight-details/dff2685afd98ed9e</t>
  </si>
  <si>
    <t>Steve Garcia</t>
  </si>
  <si>
    <t>Melquizael Costa</t>
  </si>
  <si>
    <t>Rayanne Amanda vs. Talita Alencar</t>
  </si>
  <si>
    <t>Adalaide Byrd 28 - 29.Sal D'amato 29 - 28.Ron McCarthy 28 - 29.</t>
  </si>
  <si>
    <t>http://ufcstats.com/fight-details/acde7c89bd724af8</t>
  </si>
  <si>
    <t>Luana Pinheiro</t>
  </si>
  <si>
    <t>Luana Pinheiro vs. Amanda Ribas</t>
  </si>
  <si>
    <t>http://ufcstats.com/fight-details/bd4d2522cb0d1a23</t>
  </si>
  <si>
    <t>Eduarda Moura</t>
  </si>
  <si>
    <t>Montserrat Conejo Ruiz</t>
  </si>
  <si>
    <t>Eduarda Moura vs. Montserrat Conejo Ruiz</t>
  </si>
  <si>
    <t>Ashley Yoder</t>
  </si>
  <si>
    <t>Emily Ducote</t>
  </si>
  <si>
    <t>Ashley Yoder vs. Emily Ducote</t>
  </si>
  <si>
    <t>Derek Cleary 27 - 30.Eric Colon 28 - 29.Sal D'amato 28 - 29.</t>
  </si>
  <si>
    <t>Jousset's striking and defense rates</t>
  </si>
  <si>
    <t>Percentage</t>
  </si>
  <si>
    <t>outcomes</t>
  </si>
  <si>
    <t>Dec-split</t>
  </si>
  <si>
    <t>Dec-u</t>
  </si>
  <si>
    <t>Sub</t>
  </si>
  <si>
    <t>FIGHT ORDER #</t>
  </si>
  <si>
    <t>Fighter Name</t>
  </si>
  <si>
    <t>FIGHTER INFORMATION</t>
  </si>
  <si>
    <t>STRIKING STATISTICS</t>
  </si>
  <si>
    <t>GRAPPLING STATISTICS</t>
  </si>
  <si>
    <t>FIGHT OUTCOME STATISTICS</t>
  </si>
  <si>
    <t>FIGHTER ODDS</t>
  </si>
  <si>
    <t>DK Salary</t>
  </si>
  <si>
    <t>FD Salary</t>
  </si>
  <si>
    <t>Age</t>
  </si>
  <si>
    <t>Height</t>
  </si>
  <si>
    <t>Reach</t>
  </si>
  <si>
    <t>Overall Record</t>
  </si>
  <si>
    <t>Record in Last 5</t>
  </si>
  <si>
    <t>Sig. Strikes Landed/min</t>
  </si>
  <si>
    <t>Striking Accuracy (%)</t>
  </si>
  <si>
    <t>Sig. Strikes Absorbed/min</t>
  </si>
  <si>
    <t>Striking Defense (%)</t>
  </si>
  <si>
    <t>Differential/min (+/-)</t>
  </si>
  <si>
    <t>Takedown Avg/15min</t>
  </si>
  <si>
    <t>Takedown Accuracy (%)</t>
  </si>
  <si>
    <t>Takedown Defense (%)</t>
  </si>
  <si>
    <t>Sub Attempt Avg/15min</t>
  </si>
  <si>
    <t># of Fights</t>
  </si>
  <si>
    <t>KO Win %</t>
  </si>
  <si>
    <t>Sub Win %</t>
  </si>
  <si>
    <t>Dec Win %</t>
  </si>
  <si>
    <t>Finish Rate</t>
  </si>
  <si>
    <t>KO Wins</t>
  </si>
  <si>
    <t>KO Losses</t>
  </si>
  <si>
    <t>Sub Wins</t>
  </si>
  <si>
    <t>Sub Losses</t>
  </si>
  <si>
    <t>Dec Wins</t>
  </si>
  <si>
    <t>Dec Losses</t>
  </si>
  <si>
    <t>DQ Wins</t>
  </si>
  <si>
    <t>DQ Losses</t>
  </si>
  <si>
    <t>Opening Odds</t>
  </si>
  <si>
    <t>Current Odds</t>
  </si>
  <si>
    <t>FDNGTD</t>
  </si>
  <si>
    <t>Odds to Finish</t>
  </si>
  <si>
    <t>KO Odds</t>
  </si>
  <si>
    <t>Sub Odds</t>
  </si>
  <si>
    <t>Dec Odds</t>
  </si>
  <si>
    <t>6'3"</t>
  </si>
  <si>
    <t>79"</t>
  </si>
  <si>
    <t>'27-12-0</t>
  </si>
  <si>
    <t>'1-4</t>
  </si>
  <si>
    <t>6'2"</t>
  </si>
  <si>
    <t>80"</t>
  </si>
  <si>
    <t>'11-1-0</t>
  </si>
  <si>
    <t>'3-1</t>
  </si>
  <si>
    <t>5'10"</t>
  </si>
  <si>
    <t>76"</t>
  </si>
  <si>
    <t>'18-6-0</t>
  </si>
  <si>
    <t>'3-2</t>
  </si>
  <si>
    <t>6'5"</t>
  </si>
  <si>
    <t>'34-8-2</t>
  </si>
  <si>
    <t>'5-0</t>
  </si>
  <si>
    <t>6'0"</t>
  </si>
  <si>
    <t>'15-3-1</t>
  </si>
  <si>
    <t>'4-0-1</t>
  </si>
  <si>
    <t>6'4"</t>
  </si>
  <si>
    <t>77"</t>
  </si>
  <si>
    <t>'10-1-0</t>
  </si>
  <si>
    <t>5'9"</t>
  </si>
  <si>
    <t>74"</t>
  </si>
  <si>
    <t>'18-5-0</t>
  </si>
  <si>
    <t>'2-3</t>
  </si>
  <si>
    <t>5'7"</t>
  </si>
  <si>
    <t>66"</t>
  </si>
  <si>
    <t>'19-1-0</t>
  </si>
  <si>
    <t>73"</t>
  </si>
  <si>
    <t>'21-14-0</t>
  </si>
  <si>
    <t>78"</t>
  </si>
  <si>
    <t>'11-1-1</t>
  </si>
  <si>
    <t>'4-1</t>
  </si>
  <si>
    <t>6'7"</t>
  </si>
  <si>
    <t>84"</t>
  </si>
  <si>
    <t>'5-0-0</t>
  </si>
  <si>
    <t>6'1"</t>
  </si>
  <si>
    <t>'13-3-1</t>
  </si>
  <si>
    <t>5'11"</t>
  </si>
  <si>
    <t>69"</t>
  </si>
  <si>
    <t>'7-3-1</t>
  </si>
  <si>
    <t>'2-2-1</t>
  </si>
  <si>
    <t>'15-6-0</t>
  </si>
  <si>
    <t>'12-1-0</t>
  </si>
  <si>
    <t>5'1"</t>
  </si>
  <si>
    <t>61"</t>
  </si>
  <si>
    <t>'9-2-0</t>
  </si>
  <si>
    <t>60"</t>
  </si>
  <si>
    <t>'13-6-0</t>
  </si>
  <si>
    <t>72"</t>
  </si>
  <si>
    <t>'8-1-0</t>
  </si>
  <si>
    <t>70"</t>
  </si>
  <si>
    <t>'14-6-0</t>
  </si>
  <si>
    <t>'10-2-0</t>
  </si>
  <si>
    <t>'23-9-0</t>
  </si>
  <si>
    <t>75"</t>
  </si>
  <si>
    <t>5'5"</t>
  </si>
  <si>
    <t>67"</t>
  </si>
  <si>
    <t>5'4"</t>
  </si>
  <si>
    <t>64"</t>
  </si>
  <si>
    <t>'8-4-1</t>
  </si>
  <si>
    <t>27-5-0</t>
  </si>
  <si>
    <t>5-0</t>
  </si>
  <si>
    <t>5'8"</t>
  </si>
  <si>
    <t>68"</t>
  </si>
  <si>
    <t>19-4-0</t>
  </si>
  <si>
    <t>31-8-0</t>
  </si>
  <si>
    <t>3-0</t>
  </si>
  <si>
    <t>37-19-0</t>
  </si>
  <si>
    <t>11-0-0</t>
  </si>
  <si>
    <t>30-11-0 (2 NC)</t>
  </si>
  <si>
    <t>21-5-0</t>
  </si>
  <si>
    <t>17-7-1</t>
  </si>
  <si>
    <t>15-1-0 (1 NC)</t>
  </si>
  <si>
    <t>71"</t>
  </si>
  <si>
    <t>17-1-0</t>
  </si>
  <si>
    <t>16-3-1</t>
  </si>
  <si>
    <t>5'3"</t>
  </si>
  <si>
    <t>16-7-0</t>
  </si>
  <si>
    <t>15-5-0</t>
  </si>
  <si>
    <t>16-3-0</t>
  </si>
  <si>
    <t>William Gomis</t>
  </si>
  <si>
    <t>13-2-0</t>
  </si>
  <si>
    <t>13-4-0</t>
  </si>
  <si>
    <t>14-2-1</t>
  </si>
  <si>
    <t>17-7-0</t>
  </si>
  <si>
    <t>5'6"</t>
  </si>
  <si>
    <t>5-0-1</t>
  </si>
  <si>
    <t>4-0-1</t>
  </si>
  <si>
    <t>14-3-0</t>
  </si>
  <si>
    <t>`19-3-1</t>
  </si>
  <si>
    <t>`4-1</t>
  </si>
  <si>
    <t>65"</t>
  </si>
  <si>
    <t>`24-8-0</t>
  </si>
  <si>
    <t>`2-3</t>
  </si>
  <si>
    <t>`21-9-0</t>
  </si>
  <si>
    <t>`15-3-0</t>
  </si>
  <si>
    <t>`17-8-0</t>
  </si>
  <si>
    <t>`17-4-0</t>
  </si>
  <si>
    <t>`5-0</t>
  </si>
  <si>
    <t>6'6"</t>
  </si>
  <si>
    <t>`12-4-0 (1 NC)</t>
  </si>
  <si>
    <t>`3-1 (1</t>
  </si>
  <si>
    <t>`6-0-0</t>
  </si>
  <si>
    <t>`14-5-0</t>
  </si>
  <si>
    <t>`11-2-0</t>
  </si>
  <si>
    <t>`3-2</t>
  </si>
  <si>
    <t>`33-15-1 (1 NC)</t>
  </si>
  <si>
    <t>`9-2-0</t>
  </si>
  <si>
    <t>`28-11-1 (1 NC)</t>
  </si>
  <si>
    <t>`2-2-1</t>
  </si>
  <si>
    <t>`23-6-0 (1 NC)</t>
  </si>
  <si>
    <t>`15-7-0</t>
  </si>
  <si>
    <t>`8-1-0</t>
  </si>
  <si>
    <t>81"</t>
  </si>
  <si>
    <t>`10-6-0 (1 NC)</t>
  </si>
  <si>
    <t>`8-2-1</t>
  </si>
  <si>
    <t>5'0"</t>
  </si>
  <si>
    <t>`6-2-0</t>
  </si>
  <si>
    <t>63"</t>
  </si>
  <si>
    <t>`13-4-0</t>
  </si>
  <si>
    <t>`14-2-0</t>
  </si>
  <si>
    <t>`13-6-0</t>
  </si>
  <si>
    <t>`6-1-0</t>
  </si>
  <si>
    <t>`19-7-0</t>
  </si>
  <si>
    <t>`23-11-0</t>
  </si>
  <si>
    <t>`9-3-0</t>
  </si>
  <si>
    <t>Shar</t>
  </si>
  <si>
    <t>`12-1-0 (1 NC)</t>
  </si>
  <si>
    <t>`24-3-0</t>
  </si>
  <si>
    <t>`17-3-0 (1 NC)</t>
  </si>
  <si>
    <t>`25-4-0</t>
  </si>
  <si>
    <t>`25-7-0</t>
  </si>
  <si>
    <t>`34-9-0 (1 NC)</t>
  </si>
  <si>
    <t>`21-3-0</t>
  </si>
  <si>
    <t>`5-0-0</t>
  </si>
  <si>
    <t>`10-5-0</t>
  </si>
  <si>
    <t>`29-4-1</t>
  </si>
  <si>
    <t>`14-3-0</t>
  </si>
  <si>
    <t>`23-7-0</t>
  </si>
  <si>
    <t>`23-4-0</t>
  </si>
  <si>
    <t>`15-6-0 (1 NC)</t>
  </si>
  <si>
    <t>`3-1 (1 NC)</t>
  </si>
  <si>
    <t>`16-1-0</t>
  </si>
  <si>
    <t>`13-3-0</t>
  </si>
  <si>
    <t>`23-6-0</t>
  </si>
  <si>
    <t>`14-7-0</t>
  </si>
  <si>
    <t>`18-5-1</t>
  </si>
  <si>
    <t>62"</t>
  </si>
  <si>
    <t>`25-12-0</t>
  </si>
  <si>
    <t>`17-3-2</t>
  </si>
  <si>
    <t>`31-15-1 (1 NC)</t>
  </si>
  <si>
    <t>`2-2 (1 NC)</t>
  </si>
  <si>
    <t>`37-17-0 (1 NC)</t>
  </si>
  <si>
    <t>`22-3-1</t>
  </si>
  <si>
    <t>`23-5-0</t>
  </si>
  <si>
    <t>`31-10-0 (1 NC)</t>
  </si>
  <si>
    <t>`22-6-1 (1 NC)</t>
  </si>
  <si>
    <t>`19-9-1</t>
  </si>
  <si>
    <t>`20-11-0</t>
  </si>
  <si>
    <t>`11-0-0</t>
  </si>
  <si>
    <t>`8-4-1 (1 NC)</t>
  </si>
  <si>
    <t>`1-3 (1 NC)</t>
  </si>
  <si>
    <t>`9-1-0 (1 NC)</t>
  </si>
  <si>
    <t>`8-2-0</t>
  </si>
  <si>
    <t>`21-12-0</t>
  </si>
  <si>
    <t>`23-9-0 (1 NC)</t>
  </si>
  <si>
    <t>`10-2-0</t>
  </si>
  <si>
    <t>`10-4-0</t>
  </si>
  <si>
    <t>`9-1-0</t>
  </si>
  <si>
    <t>`9-6-1</t>
  </si>
  <si>
    <t>`0-5</t>
  </si>
  <si>
    <t>`9-1-0 (2 NC)</t>
  </si>
  <si>
    <t>`2-1 (2 NC)</t>
  </si>
  <si>
    <t>`14-0-0</t>
  </si>
  <si>
    <t>`7-2-0</t>
  </si>
  <si>
    <t>`4-0-0</t>
  </si>
  <si>
    <t>`4-0</t>
  </si>
  <si>
    <t>`7-1-0</t>
  </si>
  <si>
    <t>ar</t>
  </si>
  <si>
    <t>`12-1-0</t>
  </si>
  <si>
    <t>`11-1-0</t>
  </si>
  <si>
    <t>`22-9-1</t>
  </si>
  <si>
    <t>`17-6-0</t>
  </si>
  <si>
    <t>`1-4</t>
  </si>
  <si>
    <t>`23-10-0</t>
  </si>
  <si>
    <t>`33-8-2 (2 NC)</t>
  </si>
  <si>
    <t>`18-7-0</t>
  </si>
  <si>
    <t>`15-5-1</t>
  </si>
  <si>
    <t>`22-10-0 (1 NC)</t>
  </si>
  <si>
    <t>`13-5-1</t>
  </si>
  <si>
    <t>`17-5-0</t>
  </si>
  <si>
    <t>`20-7-0</t>
  </si>
  <si>
    <t>`19-3-0</t>
  </si>
  <si>
    <t>5'2"</t>
  </si>
  <si>
    <t>`12-3-0</t>
  </si>
  <si>
    <t>`18-6-0</t>
  </si>
  <si>
    <t>`11-4-0</t>
  </si>
  <si>
    <t>`8-3-0</t>
  </si>
  <si>
    <t>Viktoriia Dudakova</t>
  </si>
  <si>
    <t>`8-0-0</t>
  </si>
  <si>
    <t>Melissa Gatto</t>
  </si>
  <si>
    <t>`8-2-2</t>
  </si>
  <si>
    <t>`7-3-0</t>
  </si>
  <si>
    <t>`12-4-0</t>
  </si>
  <si>
    <t>`11-6-0</t>
  </si>
  <si>
    <t>`7-3-0 (1 NC)</t>
  </si>
  <si>
    <t>`7-2-0 (1 NC)</t>
  </si>
  <si>
    <t>`7-0-0</t>
  </si>
  <si>
    <t>`18-5-0</t>
  </si>
  <si>
    <t>`3-1-1</t>
  </si>
  <si>
    <t>`15-5-0</t>
  </si>
  <si>
    <t>`20-7-0 (1 NC)</t>
  </si>
  <si>
    <t>`16-6-0 (1 NC)</t>
  </si>
  <si>
    <t>`16-5-0</t>
  </si>
  <si>
    <t>`28-11-0</t>
  </si>
  <si>
    <t>`13-2-0 (1 NC)</t>
  </si>
  <si>
    <t>`19-9-0</t>
  </si>
  <si>
    <t>`15-6-0</t>
  </si>
  <si>
    <t>`10-3-0</t>
  </si>
  <si>
    <t>`26-17-0</t>
  </si>
  <si>
    <t>83"</t>
  </si>
  <si>
    <t>`10-1-0</t>
  </si>
  <si>
    <t>`16-7-0</t>
  </si>
  <si>
    <t>`35-17-0</t>
  </si>
  <si>
    <t>`18-11-0</t>
  </si>
  <si>
    <t>`5-2-0</t>
  </si>
  <si>
    <t>`12-6-0 (1 NC)</t>
  </si>
  <si>
    <t>`17-7-0</t>
  </si>
  <si>
    <t>`11-2-1</t>
  </si>
  <si>
    <t>58"</t>
  </si>
  <si>
    <t>`12-7-0</t>
  </si>
  <si>
    <t>UFC 299</t>
  </si>
  <si>
    <t>`17-1-0</t>
  </si>
  <si>
    <t>`4-0 (1 NC)</t>
  </si>
  <si>
    <t>`23-8-1</t>
  </si>
  <si>
    <t>`29-8-0</t>
  </si>
  <si>
    <t>`13-1-0</t>
  </si>
  <si>
    <t>`25-10-0</t>
  </si>
  <si>
    <t>`21-2-0</t>
  </si>
  <si>
    <t>`22-6-0</t>
  </si>
  <si>
    <t>`16-2-0</t>
  </si>
  <si>
    <t>`21-7-1</t>
  </si>
  <si>
    <t>`20-2-0</t>
  </si>
  <si>
    <t>`13-2-0</t>
  </si>
  <si>
    <t>`23-2-0</t>
  </si>
  <si>
    <t>`32-15-0</t>
  </si>
  <si>
    <t>`20-8-0</t>
  </si>
  <si>
    <t>`17-9-1</t>
  </si>
  <si>
    <t>`29-11-0</t>
  </si>
  <si>
    <t>`19-6-0</t>
  </si>
  <si>
    <t>87"</t>
  </si>
  <si>
    <t>`12-4-1</t>
  </si>
  <si>
    <t>`18-2-0</t>
  </si>
  <si>
    <t>`16-8-0</t>
  </si>
  <si>
    <t>`11-5-0</t>
  </si>
  <si>
    <t>Fight order</t>
  </si>
  <si>
    <t>`13-5-0</t>
  </si>
  <si>
    <t>`12-0-0</t>
  </si>
  <si>
    <t>77.5"</t>
  </si>
  <si>
    <t>`10-0-0</t>
  </si>
  <si>
    <t>65.5"</t>
  </si>
  <si>
    <t>`24-7-0</t>
  </si>
  <si>
    <t>`10-0-0 (1 NC)</t>
  </si>
  <si>
    <t>`16-0-0</t>
  </si>
  <si>
    <t>N/A</t>
  </si>
  <si>
    <t>`16-7-0 (1 NC)</t>
  </si>
  <si>
    <t>68.5"</t>
  </si>
  <si>
    <t>`15-8-0 (1 NC)</t>
  </si>
  <si>
    <t>`13-10-0</t>
  </si>
  <si>
    <t>70.5"</t>
  </si>
  <si>
    <t>`14-0-0 (1 NC)</t>
  </si>
  <si>
    <t>72.5"</t>
  </si>
  <si>
    <t>`20-4-1</t>
  </si>
  <si>
    <t>`11-3-0</t>
  </si>
  <si>
    <t>`17-5-1</t>
  </si>
  <si>
    <t>UFC FIGHT NIGHT MORENO VS ROYVAL 2</t>
  </si>
  <si>
    <t>21-7-2</t>
  </si>
  <si>
    <t>15-7-0</t>
  </si>
  <si>
    <t>18-4-0 (1 NC)</t>
  </si>
  <si>
    <t>15-3-0 (1 NC)</t>
  </si>
  <si>
    <t>14-1-0</t>
  </si>
  <si>
    <t>12-1-0</t>
  </si>
  <si>
    <t>Raul Rosas Jr.</t>
  </si>
  <si>
    <t>8-1-0</t>
  </si>
  <si>
    <t>Ricky Turcios</t>
  </si>
  <si>
    <t>12-3-0</t>
  </si>
  <si>
    <t>10-1-0</t>
  </si>
  <si>
    <t>64.5"</t>
  </si>
  <si>
    <t>8-5-0</t>
  </si>
  <si>
    <t>14-2-0</t>
  </si>
  <si>
    <t>71.5"</t>
  </si>
  <si>
    <t>11-1-0</t>
  </si>
  <si>
    <t>18-4-0</t>
  </si>
  <si>
    <t>17-5-0</t>
  </si>
  <si>
    <t>9-2-0</t>
  </si>
  <si>
    <t>10-2-0</t>
  </si>
  <si>
    <t>10-5-0 (1 NC)</t>
  </si>
  <si>
    <t>2-2 (1 NC)</t>
  </si>
  <si>
    <t>11-5-0 (1 NC)</t>
  </si>
  <si>
    <t>0-4 (1 NC)</t>
  </si>
  <si>
    <t>14-4-0</t>
  </si>
  <si>
    <t>15-2-0</t>
  </si>
  <si>
    <t>7-1-0 (1 NC)</t>
  </si>
  <si>
    <t>3-1 (1 NC)</t>
  </si>
  <si>
    <t>UFC 298</t>
  </si>
  <si>
    <t>26-3-0</t>
  </si>
  <si>
    <t>14-0-0</t>
  </si>
  <si>
    <t>73.5"</t>
  </si>
  <si>
    <t>24-7-0</t>
  </si>
  <si>
    <t>13-0-0</t>
  </si>
  <si>
    <t>164-0</t>
  </si>
  <si>
    <t>67.5"</t>
  </si>
  <si>
    <t>11-2-0 (1 NC)</t>
  </si>
  <si>
    <t>12-2-0</t>
  </si>
  <si>
    <t>13-3-1</t>
  </si>
  <si>
    <t>21-9-1</t>
  </si>
  <si>
    <t>7-3-0 (1 NC)</t>
  </si>
  <si>
    <t>8-0-0</t>
  </si>
  <si>
    <t>69.5"</t>
  </si>
  <si>
    <t>11-3-0</t>
  </si>
  <si>
    <t>16-6-0</t>
  </si>
  <si>
    <t>15-5-0 (1 NC)</t>
  </si>
  <si>
    <t>6-1-0 (1 NC)</t>
  </si>
  <si>
    <t>7-0-0</t>
  </si>
  <si>
    <t>7-1-0</t>
  </si>
  <si>
    <t>13-8-0</t>
  </si>
  <si>
    <t>12-5-0</t>
  </si>
  <si>
    <t>23-8-0</t>
  </si>
  <si>
    <t>23-10-0 (1 NC)</t>
  </si>
  <si>
    <t>20-5-0</t>
  </si>
  <si>
    <t>20-8-0</t>
  </si>
  <si>
    <t>14-5-0</t>
  </si>
  <si>
    <t>21-19-0</t>
  </si>
  <si>
    <t>12-6-1</t>
  </si>
  <si>
    <t>8-2-0</t>
  </si>
  <si>
    <t>16-5-0</t>
  </si>
  <si>
    <t>17-6-0</t>
  </si>
  <si>
    <t>14-7-0</t>
  </si>
  <si>
    <t>61.5"</t>
  </si>
  <si>
    <t>8-3-0</t>
  </si>
  <si>
    <t>9-3-1</t>
  </si>
  <si>
    <t>14-8-0</t>
  </si>
  <si>
    <t>19-10-0</t>
  </si>
  <si>
    <t>12-3-1</t>
  </si>
  <si>
    <t>6-2-0</t>
  </si>
  <si>
    <t>10-4-0</t>
  </si>
  <si>
    <t>15-0-0</t>
  </si>
  <si>
    <t>69.3"</t>
  </si>
  <si>
    <t>25-11-0</t>
  </si>
  <si>
    <t>UFC FIGHT NIGHT DOLIDZE VS IMAVOV</t>
  </si>
  <si>
    <t>12-4-0 (1 NC)</t>
  </si>
  <si>
    <t>17-5-1</t>
  </si>
  <si>
    <t>27-12-0 (1 NC)</t>
  </si>
  <si>
    <t>16-5-1</t>
  </si>
  <si>
    <t>Aliaskhab Khizriev</t>
  </si>
  <si>
    <t>Makhmud Muradov</t>
  </si>
  <si>
    <t>75.5"</t>
  </si>
  <si>
    <t>26-8-0</t>
  </si>
  <si>
    <t>13-6-0</t>
  </si>
  <si>
    <t>15-8-0</t>
  </si>
  <si>
    <t>17-0-0</t>
  </si>
  <si>
    <t>ufc 297</t>
  </si>
  <si>
    <t>28-5-0</t>
  </si>
  <si>
    <t>3-2</t>
  </si>
  <si>
    <t>20-2-0</t>
  </si>
  <si>
    <t>66.5"</t>
  </si>
  <si>
    <t>10-2-1 (1 NC)</t>
  </si>
  <si>
    <t>28-11-0</t>
  </si>
  <si>
    <t>2-3</t>
  </si>
  <si>
    <t>10-1-1</t>
  </si>
  <si>
    <t>30-10-0 (1 NC)</t>
  </si>
  <si>
    <t>16-6-0 (1 NC)</t>
  </si>
  <si>
    <t>19-2-0</t>
  </si>
  <si>
    <t>4-1</t>
  </si>
  <si>
    <t>9-3-0</t>
  </si>
  <si>
    <t>15-6-1</t>
  </si>
  <si>
    <t>3-1-1</t>
  </si>
  <si>
    <t>12-8-0</t>
  </si>
  <si>
    <t>10-2-1</t>
  </si>
  <si>
    <t>18-1-1 (1 NC)</t>
  </si>
  <si>
    <t>3-0-1 (1 NC)</t>
  </si>
  <si>
    <t>21-7 (1 NC)</t>
  </si>
  <si>
    <t>19-3-1</t>
  </si>
  <si>
    <t>Manel Kape</t>
  </si>
  <si>
    <t>19-6</t>
  </si>
  <si>
    <t>36-17 (1 NC)</t>
  </si>
  <si>
    <t>23-10</t>
  </si>
  <si>
    <t>20-4</t>
  </si>
  <si>
    <t>13-2</t>
  </si>
  <si>
    <t>12-5</t>
  </si>
  <si>
    <t>10-1</t>
  </si>
  <si>
    <t>34-22 (2 NC)</t>
  </si>
  <si>
    <t>11-6</t>
  </si>
  <si>
    <t>10-4</t>
  </si>
  <si>
    <t>8-1</t>
  </si>
  <si>
    <t>7-3</t>
  </si>
  <si>
    <t>11-0</t>
  </si>
  <si>
    <t>19-3</t>
  </si>
  <si>
    <t>11-2</t>
  </si>
  <si>
    <t>16-8</t>
  </si>
  <si>
    <t>13-5 (1 NC)</t>
  </si>
  <si>
    <t>6-0</t>
  </si>
  <si>
    <t>9-1</t>
  </si>
  <si>
    <t>13-6</t>
  </si>
  <si>
    <t>UFC 296 EDWARDS VS COVINGTON</t>
  </si>
  <si>
    <t>har</t>
  </si>
  <si>
    <t>21-3-0 (1 NC)</t>
  </si>
  <si>
    <t>17-3-0</t>
  </si>
  <si>
    <t>26-5-0</t>
  </si>
  <si>
    <t>15-6-0</t>
  </si>
  <si>
    <t>17-6-1</t>
  </si>
  <si>
    <t>76.5"</t>
  </si>
  <si>
    <t>25-9-0</t>
  </si>
  <si>
    <t>0-5</t>
  </si>
  <si>
    <t>20-3-0</t>
  </si>
  <si>
    <t>22-9-1</t>
  </si>
  <si>
    <t>16-1-0</t>
  </si>
  <si>
    <t>13-5-0</t>
  </si>
  <si>
    <t>24-14-0</t>
  </si>
  <si>
    <t>16-8-0</t>
  </si>
  <si>
    <t>14-3-1</t>
  </si>
  <si>
    <t>19-7-1</t>
  </si>
  <si>
    <t>16-4-1</t>
  </si>
  <si>
    <t>22-10-0 (1 NC)</t>
  </si>
  <si>
    <t>1-3 (1 NC)</t>
  </si>
  <si>
    <t>13-1-0</t>
  </si>
  <si>
    <t>78.5"</t>
  </si>
  <si>
    <t>Yadong vs Gutierrez</t>
  </si>
  <si>
    <t>20-7-1 (1 NC)</t>
  </si>
  <si>
    <t>20-4-2</t>
  </si>
  <si>
    <t>37-18-0</t>
  </si>
  <si>
    <t>12-5-0 (1 NC)</t>
  </si>
  <si>
    <t>20-6-0</t>
  </si>
  <si>
    <t>23-6-0</t>
  </si>
  <si>
    <t>21-7-0</t>
  </si>
  <si>
    <t>14-6-0</t>
  </si>
  <si>
    <t>58.5"</t>
  </si>
  <si>
    <t>Beneil Dariush vs Arman Tsarukyan</t>
  </si>
  <si>
    <t>22-5-1</t>
  </si>
  <si>
    <t>13-7-0</t>
  </si>
  <si>
    <t>31-14-1 (1 NC)</t>
  </si>
  <si>
    <t>20-7-0</t>
  </si>
  <si>
    <t>21-3-1</t>
  </si>
  <si>
    <t>15-1-0</t>
  </si>
  <si>
    <t>18-8-0 (1 NC)</t>
  </si>
  <si>
    <t>38-23-0</t>
  </si>
  <si>
    <t>19-9-0</t>
  </si>
  <si>
    <t>6-0-0</t>
  </si>
  <si>
    <t>13-2-1</t>
  </si>
  <si>
    <t>13-3-0</t>
  </si>
  <si>
    <t>20-4-0</t>
  </si>
  <si>
    <t>18-7-0</t>
  </si>
  <si>
    <t>22-9-0</t>
  </si>
  <si>
    <t>Brendan Allen vs Paul Craig</t>
  </si>
  <si>
    <t>22-5-0</t>
  </si>
  <si>
    <t>19-6-0</t>
  </si>
  <si>
    <t>15-3-1</t>
  </si>
  <si>
    <t>29-3-1</t>
  </si>
  <si>
    <t>18-1-0</t>
  </si>
  <si>
    <t>24-12-0</t>
  </si>
  <si>
    <t>12-1-0 (1 NC)</t>
  </si>
  <si>
    <t>22-6-0</t>
  </si>
  <si>
    <t>12-3-0 (1 NC)</t>
  </si>
  <si>
    <t>19-6-0 (1 NC)</t>
  </si>
  <si>
    <t>19-9-0 (1 NC)</t>
  </si>
  <si>
    <t>19-7-0</t>
  </si>
  <si>
    <t>EVENT</t>
  </si>
  <si>
    <t>BOUT</t>
  </si>
  <si>
    <t>OUTCOME</t>
  </si>
  <si>
    <t>WEIGHTCLASS</t>
  </si>
  <si>
    <t>METHOD</t>
  </si>
  <si>
    <t>ROUND</t>
  </si>
  <si>
    <t>TIME</t>
  </si>
  <si>
    <t>TIME FORMAT</t>
  </si>
  <si>
    <t>REFEREE</t>
  </si>
  <si>
    <t>DETAILS</t>
  </si>
  <si>
    <t>URL</t>
  </si>
  <si>
    <t>UFC 276: Adesanya vs. Cannonier</t>
  </si>
  <si>
    <t>Pedro Munhoz vs. Sean O'Malley</t>
  </si>
  <si>
    <t>Accidental Eye Poke by O'Malley</t>
  </si>
  <si>
    <t>http://ufcstats.com/fight-details/39dccca8e8083072</t>
  </si>
  <si>
    <t>UFC 285: Jones vs. Gane</t>
  </si>
  <si>
    <t>Mana Martinez vs. Cameron Saaiman</t>
  </si>
  <si>
    <t>Adalaide Byrd 26 - 29.Chris Lee 27 - 28.Sal D'amato 28 - 28.</t>
  </si>
  <si>
    <t>http://ufcstats.com/fight-details/0eb16f1307f66a11</t>
  </si>
  <si>
    <t>UFC Fight Night: Vera vs. Cruz</t>
  </si>
  <si>
    <t>Youssef Zalal vs. Da'Mon Blackshear</t>
  </si>
  <si>
    <t>Chris Crail 28 - 29.Sal D'amato 28 - 28.Mike Bell 28 - 28.</t>
  </si>
  <si>
    <t>http://ufcstats.com/fight-details/e05a18b6ce22fa1f</t>
  </si>
  <si>
    <t>UFC Fight Night: Sandhagen vs. Dillashaw</t>
  </si>
  <si>
    <t>Kyler Phillips vs. Raulian Paiva</t>
  </si>
  <si>
    <t>Eric Colon 28 - 29.Chris Lee 28 - 29.Sal D'amato 28 - 28.</t>
  </si>
  <si>
    <t>http://ufcstats.com/fight-details/4bb77b1d8efc53a9</t>
  </si>
  <si>
    <t>UFC Fight Night: Gane vs. Volkov</t>
  </si>
  <si>
    <t>Raoni Barcelos vs. Timur Valiev</t>
  </si>
  <si>
    <t>Mike Bell 28 - 28.Ron McCarthy 28 - 29.Rick Winter 28 - 29.</t>
  </si>
  <si>
    <t>http://ufcstats.com/fight-details/ce0fda34122f3d48</t>
  </si>
  <si>
    <t>UFC Fight Night: Lee vs. Oliveira</t>
  </si>
  <si>
    <t>Rani Yahya vs. Enrique Barzola</t>
  </si>
  <si>
    <t>Julio Catarino</t>
  </si>
  <si>
    <t>Sal D'amato 28 - 29.Hallison Pontes 28 - 28.Guilherme Bravo 28 - 28.</t>
  </si>
  <si>
    <t>http://ufcstats.com/fight-details/e2503ed6a1f9257d</t>
  </si>
  <si>
    <t>UFC Fight Night: Overeem vs. Rozenstruik</t>
  </si>
  <si>
    <t>Cody Stamann vs. Song Yadong</t>
  </si>
  <si>
    <t>Kevin Mulhall</t>
  </si>
  <si>
    <t>Sal D'amato 27 - 29.Steve Rados 28 - 28.David Braslow 28 - 28.</t>
  </si>
  <si>
    <t>http://ufcstats.com/fight-details/b87863a2de433824</t>
  </si>
  <si>
    <t>UFC Fight Night: Poirier vs. Johnson</t>
  </si>
  <si>
    <t>Alejandro Perez vs. Albert Morales</t>
  </si>
  <si>
    <t>Guadalupe Chapa 27 - 29.Marcos Rosales 28 - 28.Adriana Beltran 28 - 28.</t>
  </si>
  <si>
    <t>http://ufcstats.com/fight-details/96adba2273a13f46</t>
  </si>
  <si>
    <t>UFC Fight Night: Barboza vs. Chikadze</t>
  </si>
  <si>
    <t>Ricky Turcios vs. Brady Hiestand</t>
  </si>
  <si>
    <t>3 Rnd + OT (5-5-5-5)</t>
  </si>
  <si>
    <t>Mike Bell 28 - 29.Derek Cleary 29 - 28.Tony Weeks 28 - 29.</t>
  </si>
  <si>
    <t>http://ufcstats.com/fight-details/ed64e42263bf50bf</t>
  </si>
  <si>
    <t>UFC Fight Night: Aspinall vs. Tybura</t>
  </si>
  <si>
    <t>Davey Grant vs. Daniel Marcos</t>
  </si>
  <si>
    <t>Clemens Werner 28 - 29.Anders Ohlsson 29 - 28.Cezary Wojciechowski 28 - 29.</t>
  </si>
  <si>
    <t>http://ufcstats.com/fight-details/b4e2037f180c1e0e</t>
  </si>
  <si>
    <t>UFC Fight Night: Yan vs. Dvalishvili</t>
  </si>
  <si>
    <t>Victor Henry vs. Tony Gravely</t>
  </si>
  <si>
    <t>Eric Colon 27 - 30.Sal D'amato 28 - 29.Rick Winter 29 - 28.</t>
  </si>
  <si>
    <t>http://ufcstats.com/fight-details/c4e4954beb59eca6</t>
  </si>
  <si>
    <t>UFC Fight Night: Nzechukwu vs. Cutelaba</t>
  </si>
  <si>
    <t>Ricky Turcios vs. Kevin Natividad</t>
  </si>
  <si>
    <t>Derek Cleary 28 - 29.Anthony Maness 29 - 28.Sal D'amato 28 - 29.</t>
  </si>
  <si>
    <t>http://ufcstats.com/fight-details/0f2983fe7753403f</t>
  </si>
  <si>
    <t>UFC 280: Oliveira vs. Makhachev</t>
  </si>
  <si>
    <t>Petr Yan vs. Sean O'Malley</t>
  </si>
  <si>
    <t>Ben Cartlidge 28 - 29.Vito Paolillo 29 - 28.David Lethaby 28 - 29.</t>
  </si>
  <si>
    <t>http://ufcstats.com/fight-details/5c3c4bcc6c746ca0</t>
  </si>
  <si>
    <t>UFC Fight Night: Grasso vs. Araujo</t>
  </si>
  <si>
    <t>Mana Martinez vs. Brandon Davis</t>
  </si>
  <si>
    <t>Mike Bell 28 - 29.Junichiro Kamijo 29 - 28.Tony Weeks 28 - 29.</t>
  </si>
  <si>
    <t>http://ufcstats.com/fight-details/8252a314c778b8e6</t>
  </si>
  <si>
    <t>UFC Fight Night: Vieira vs. Tate</t>
  </si>
  <si>
    <t>Davey Grant vs. Adrian Yanez</t>
  </si>
  <si>
    <t>Tony Weeks 30 - 27.Eric Colon 28 - 29.Junichiro Kamijo 28 - 29.</t>
  </si>
  <si>
    <t>http://ufcstats.com/fight-details/9b9ef12603e820ec</t>
  </si>
  <si>
    <t>UFC Fight Night: Dern vs. Rodriguez</t>
  </si>
  <si>
    <t>Chris Gutierrez vs. Felipe Colares</t>
  </si>
  <si>
    <t>Mike Bell 27 - 30.Sal D'amato 27 - 30.Rick Winter 29 - 28.</t>
  </si>
  <si>
    <t>http://ufcstats.com/fight-details/6101249c2cdd1493</t>
  </si>
  <si>
    <t>Mana Martinez vs. Guido Cannetti</t>
  </si>
  <si>
    <t>Derek Cleary 28 - 29.Adalaide Byrd 29 - 28.Junichiro Kamijo 28 - 29.</t>
  </si>
  <si>
    <t>http://ufcstats.com/fight-details/be4890f4aaadec28</t>
  </si>
  <si>
    <t>UFC 265: Lewis vs. Gane</t>
  </si>
  <si>
    <t>Song Yadong vs. Casey Kenney</t>
  </si>
  <si>
    <t>Chris Lee 27 - 30.Sal D'amato 28 - 29.Kerry Hatley 29 - 28.</t>
  </si>
  <si>
    <t>http://ufcstats.com/fight-details/962aab0abdd34173</t>
  </si>
  <si>
    <t>UFC Fight Night: Vettori vs. Holland</t>
  </si>
  <si>
    <t>Hunter Azure vs. Jack Shore</t>
  </si>
  <si>
    <t>Sal D'amato 27 - 30.Dave Hagen 29 - 28.Mike Bell 27 - 30.</t>
  </si>
  <si>
    <t>http://ufcstats.com/fight-details/1fee9eca658d9808</t>
  </si>
  <si>
    <t>UFC 259: Blachowicz vs. Adesanya</t>
  </si>
  <si>
    <t>Dominick Cruz vs. Casey Kenney</t>
  </si>
  <si>
    <t>Derek Cleary 28 - 29.Mike Bell 29 - 28.Sal D'amato 27 - 30.</t>
  </si>
  <si>
    <t>http://ufcstats.com/fight-details/f4363f1317b47213</t>
  </si>
  <si>
    <t>UFC Fight Night: Felder vs. Dos Anjos</t>
  </si>
  <si>
    <t>Geraldo de Freitas vs. Tony Gravely</t>
  </si>
  <si>
    <t>Dave Hagen 27 - 30.Sal D'amato 29 - 28.Mike Bell 28 - 29.</t>
  </si>
  <si>
    <t>http://ufcstats.com/fight-details/9e4dcac049327529</t>
  </si>
  <si>
    <t>UFC Fight Night: Covington vs. Woodley</t>
  </si>
  <si>
    <t>Andre Ewell vs. Irwin Rivera</t>
  </si>
  <si>
    <t>Mike Bell 28 - 29.Dave Hagen 28 - 29.Junichiro Kamijo 29 - 28.</t>
  </si>
  <si>
    <t>http://ufcstats.com/fight-details/3a38b0b566f3045d</t>
  </si>
  <si>
    <t>UFC Fight Night: Lewis vs. Oleinik</t>
  </si>
  <si>
    <t>Irwin Rivera vs. Ali AlQaisi</t>
  </si>
  <si>
    <t>Eric Colon 28 - 29.Dave Hagen 29 - 28.Junichiro Kamijo 28 - 29.</t>
  </si>
  <si>
    <t>http://ufcstats.com/fight-details/5c8d9d893d163d51</t>
  </si>
  <si>
    <t>UFC Fight Night: Smith vs. Teixeira</t>
  </si>
  <si>
    <t>Ricky Simon vs. Ray Borg</t>
  </si>
  <si>
    <t>Sal D'amato 28 - 29.Dave Tirelli 29 - 28.Derek Cleary 28 - 29.</t>
  </si>
  <si>
    <t>http://ufcstats.com/fight-details/3094e82731ec55e7</t>
  </si>
  <si>
    <t>UFC 247: Jones vs. Reyes</t>
  </si>
  <si>
    <t>Andre Ewell vs. Jonathan Martinez</t>
  </si>
  <si>
    <t>Danny De Alejandro 28 - 29.Joe Soliz 27 - 30.Joshua Ferraro 29 - 28.</t>
  </si>
  <si>
    <t>http://ufcstats.com/fight-details/326b843cb2b7fd94</t>
  </si>
  <si>
    <t>UFC Fight Night: Edgar vs. The Korean Zombie</t>
  </si>
  <si>
    <t>Kyung Ho Kang vs. Pingyuan Liu</t>
  </si>
  <si>
    <t>Peter Hickmott</t>
  </si>
  <si>
    <t>Ben Cartlidge 28 - 29.Evan Field 29 - 28.Paul Sutherland 27 - 30.</t>
  </si>
  <si>
    <t>http://ufcstats.com/fight-details/f93f794247af708a</t>
  </si>
  <si>
    <t>Alatengheili vs. Ryan Benoit</t>
  </si>
  <si>
    <t>Thomas Fan</t>
  </si>
  <si>
    <t>Ben Cartlidge 28 - 29.Evan Field 29 - 28.Anthony Dimitriou 28 - 29.</t>
  </si>
  <si>
    <t>http://ufcstats.com/fight-details/15aa55a91cf848cf</t>
  </si>
  <si>
    <t>UFC 245: Usman vs. Covington</t>
  </si>
  <si>
    <t>Marlon Moraes vs. Jose Aldo</t>
  </si>
  <si>
    <t>Mark Smith 28 - 29.Eric Colon 28 - 29.Mike Bell 29 - 28.</t>
  </si>
  <si>
    <t>http://ufcstats.com/fight-details/b5ec939fd1edf048</t>
  </si>
  <si>
    <t>UFC Fight Night: Zabit vs. Kattar</t>
  </si>
  <si>
    <t>Grigory Popov vs. Davey Grant</t>
  </si>
  <si>
    <t>VyacheslavKiselev</t>
  </si>
  <si>
    <t>Lukasz Porebski 28 - 29.Paul Sutherland 29 - 28.Howard Hughes 28 - 29.</t>
  </si>
  <si>
    <t>http://ufcstats.com/fight-details/f0418c2c989a5cde</t>
  </si>
  <si>
    <t>UFC Fight Night: Cowboy vs. Gaethje</t>
  </si>
  <si>
    <t>Cole Smith vs. Miles Johns</t>
  </si>
  <si>
    <t>Dave Hagen 28 - 29.Derek Cleary 29 - 28.Mike Bell 28 - 29.</t>
  </si>
  <si>
    <t>http://ufcstats.com/fight-details/9de23eb1471e592b</t>
  </si>
  <si>
    <t>UFC 241: Cormier vs. Miocic 2</t>
  </si>
  <si>
    <t>Kyung Ho Kang vs. Brandon Davis</t>
  </si>
  <si>
    <t>George Allen</t>
  </si>
  <si>
    <t>Luis Cobian 29 - 28.Derek Cleary 28 - 29.Ron McCarthy 28 - 29.</t>
  </si>
  <si>
    <t>http://ufcstats.com/fight-details/445d0d44091b902a</t>
  </si>
  <si>
    <t>UFC Fight Night: Shevchenko vs. Carmouche 2</t>
  </si>
  <si>
    <t>Geraldo de Freitas vs. Chris Gutierrez</t>
  </si>
  <si>
    <t>Eduardo Herdy</t>
  </si>
  <si>
    <t>Tony Weeks 28 - 29.Joseph Terrell 30 - 27.Phillipe Iorio 28 - 29.</t>
  </si>
  <si>
    <t>http://ufcstats.com/fight-details/4c489b3c9d14cbc9</t>
  </si>
  <si>
    <t>UFC Fight Night: Dos Anjos vs. Edwards</t>
  </si>
  <si>
    <t>Domingo Pilarte vs. Felipe Colares</t>
  </si>
  <si>
    <t>Frank Collazo</t>
  </si>
  <si>
    <t>Marcelo Vilhena 28 - 29.Jennie Cardenas 29 - 28.Gino Garcia 28 - 29.</t>
  </si>
  <si>
    <t>http://ufcstats.com/fight-details/c5259566abc552b1</t>
  </si>
  <si>
    <t>UFC Fight Night: Jacare vs. Hermansson</t>
  </si>
  <si>
    <t>John Lineker vs. Cory Sandhagen</t>
  </si>
  <si>
    <t>Derek Cleary 28 - 29.Chris Lee 29 - 28.Barry Luxenberg 28 - 29.</t>
  </si>
  <si>
    <t>http://ufcstats.com/fight-details/bcb697c4317f0997</t>
  </si>
  <si>
    <t>UFC Fight Night: Blaydes vs. Ngannou 2</t>
  </si>
  <si>
    <t>Pingyuan Liu vs. Martin Day</t>
  </si>
  <si>
    <t>Mark Craig 28 - 29.Barry Foley 29 - 28.Garth Harriman 28 - 29.</t>
  </si>
  <si>
    <t>http://ufcstats.com/fight-details/43af7c5772e8198f</t>
  </si>
  <si>
    <t>UFC Fight Night: Korean Zombie vs. Rodriguez</t>
  </si>
  <si>
    <t>Mark De La Rosa vs. Joby Sanchez</t>
  </si>
  <si>
    <t>Tim Mills</t>
  </si>
  <si>
    <t>Sal D'amato 28 - 29.Curtis Thrasher 29 - 28.Hale Hilsabeck 27 - 30.</t>
  </si>
  <si>
    <t>http://ufcstats.com/fight-details/38abefbf24624a35</t>
  </si>
  <si>
    <t>UFC Fight Night: Marreta vs. Anders</t>
  </si>
  <si>
    <t>Renan Barao vs. Andre Ewell</t>
  </si>
  <si>
    <t>Hallison Pontes 28 - 29.Marcelo Vilhena 29 - 28.Derek Cleary 28 - 29.</t>
  </si>
  <si>
    <t>http://ufcstats.com/fight-details/f4187c30c311eb93</t>
  </si>
  <si>
    <t>UFC 227: Dillashaw vs. Garbrandt 2</t>
  </si>
  <si>
    <t>Ricardo Ramos vs. Kyung Ho Kang</t>
  </si>
  <si>
    <t>Derek Cleary 29 - 28.Marcos Rosales 28 - 29.Sal D'amato 28 - 29.</t>
  </si>
  <si>
    <t>http://ufcstats.com/fight-details/65223fa6055df489</t>
  </si>
  <si>
    <t>UFC 222: Cyborg vs. Kunitskaya</t>
  </si>
  <si>
    <t>John Dodson vs. Pedro Munhoz</t>
  </si>
  <si>
    <t>Sal D'amato 29 - 28.Adalaide Byrd 27 - 30.Glenn Trowbridge 28 - 29.</t>
  </si>
  <si>
    <t>http://ufcstats.com/fight-details/c73b81e7c1c1cccc</t>
  </si>
  <si>
    <t>Bryan Caraway vs. Cody Stamann</t>
  </si>
  <si>
    <t>Glenn Trowbridge 29 - 28.Adalaide Byrd 28 - 29.Sal D'amato 28 - 29.</t>
  </si>
  <si>
    <t>http://ufcstats.com/fight-details/12a64dfb8147566b</t>
  </si>
  <si>
    <t>UFC Fight Night: Swanson vs. Ortega</t>
  </si>
  <si>
    <t>Frankie Saenz vs. Merab Dvalishvili</t>
  </si>
  <si>
    <t>Derek Cleary 29 - 28.Ron McCarthy 28 - 29.Marcos Rosales 28 - 29.</t>
  </si>
  <si>
    <t>http://ufcstats.com/fight-details/ab853176cfe20b01</t>
  </si>
  <si>
    <t>UFC Fight Night: Poirier vs. Pettis</t>
  </si>
  <si>
    <t>John Dodson vs. Marlon Moraes</t>
  </si>
  <si>
    <t>Bill Bookwalter</t>
  </si>
  <si>
    <t>Chris Lee 27 - 30.Ron Rodriquez 30 - 27.Brian Costello 27 - 30.</t>
  </si>
  <si>
    <t>http://ufcstats.com/fight-details/5519d7fe2cee8353</t>
  </si>
  <si>
    <t>UFC 216: Ferguson vs. Lee</t>
  </si>
  <si>
    <t>Tom Duquesnoy vs. Cody Stamann</t>
  </si>
  <si>
    <t>Rick Winter 28 - 29.Chris Lee 29 - 28.Marcos Rosales 27 - 30.</t>
  </si>
  <si>
    <t>http://ufcstats.com/fight-details/e08479759c296bb1</t>
  </si>
  <si>
    <t>UFC Fight Night: Pettis vs. Moreno</t>
  </si>
  <si>
    <t>Alejandro Perez vs. Andre Soukhamthath</t>
  </si>
  <si>
    <t>Jeff Mullen 28 - 29.Miguel Jimenez 29 - 28.Roy Silbert 28 - 29.</t>
  </si>
  <si>
    <t>http://ufcstats.com/fight-details/48f7e64b548806cd</t>
  </si>
  <si>
    <t>UFC 212: Aldo vs. Holloway</t>
  </si>
  <si>
    <t>Raphael Assuncao vs. Marlon Moraes</t>
  </si>
  <si>
    <t>Guilherme Bravo 28 - 29.Fabio Alves 29 - 28.Phillipe Iorio 27 - 30.</t>
  </si>
  <si>
    <t>http://ufcstats.com/fight-details/228879162d8be605</t>
  </si>
  <si>
    <t>UFC 209: Woodley vs. Thompson 2</t>
  </si>
  <si>
    <t>Albert Morales vs. Andre Soukhamthath</t>
  </si>
  <si>
    <t>Dave Hagen 28 - 29.Patricia Morse-Jarman 29 - 28.Sal D'amato 28 - 29.</t>
  </si>
  <si>
    <t>http://ufcstats.com/fight-details/2d4743a82fc55642</t>
  </si>
  <si>
    <t>UFC on FOX: Shevchenko vs. Pena</t>
  </si>
  <si>
    <t>Raphael Assuncao vs. Aljamain Sterling</t>
  </si>
  <si>
    <t>Hale Hilsabeck 28 - 29.Ben Ramirez 29 - 28.Ron Mann 28 - 29.</t>
  </si>
  <si>
    <t>http://ufcstats.com/fight-details/637f561cd731fb44</t>
  </si>
  <si>
    <t>UFC Fight Night: Rodriguez vs. Penn</t>
  </si>
  <si>
    <t>Frankie Saenz vs. Augusto Mendes</t>
  </si>
  <si>
    <t>Brad Frank 29 - 28.Chris Flores 28 - 29.Dennis O'Connell 28 - 29.</t>
  </si>
  <si>
    <t>http://ufcstats.com/fight-details/b60bbec8ec98941b</t>
  </si>
  <si>
    <t>UFC Fight Night: Dos Anjos vs. Ferguson</t>
  </si>
  <si>
    <t>Erik Perez vs. Felipe Arantes</t>
  </si>
  <si>
    <t>Mario Yamasaki</t>
  </si>
  <si>
    <t>Sal D'amato 28 - 29.Marcos Rosales 29 - 28.Jeff Mullen 28 - 29.</t>
  </si>
  <si>
    <t>http://ufcstats.com/fight-details/51010081d59b4687</t>
  </si>
  <si>
    <t>UFC Fight Night: Dos Anjos vs. Alvarez</t>
  </si>
  <si>
    <t>Anthony Birchak vs. Dileno Lopes</t>
  </si>
  <si>
    <t>Lester Griffin 30 - 27.Patricia Morse-Jarman 28 - 29.Derek Cleary 28 - 29.</t>
  </si>
  <si>
    <t>http://ufcstats.com/fight-details/95a0d706e1f4cfa2</t>
  </si>
  <si>
    <t>UFC Fight Night: Almeida vs Garbrandt</t>
  </si>
  <si>
    <t>Aljamain Sterling vs. Bryan Caraway</t>
  </si>
  <si>
    <t>Tony Weeks 28 - 29.Adalaide Byrd 29 - 28.Dave Hagen 28 - 29.</t>
  </si>
  <si>
    <t>http://ufcstats.com/fight-details/6e093a1d4286dad6</t>
  </si>
  <si>
    <t>UFC Fight Night: Silva vs Bisping</t>
  </si>
  <si>
    <t>Francisco Rivera vs. Brad Pickett</t>
  </si>
  <si>
    <t>Neil Hall</t>
  </si>
  <si>
    <t>Ben Cartlidge 28 - 29.Maciej Motylewski 29 - 28.Paul Sutherland 28 - 29.</t>
  </si>
  <si>
    <t>http://ufcstats.com/fight-details/7c20284c4c2dc9d3</t>
  </si>
  <si>
    <t>UFC 195: Lawler vs Condit</t>
  </si>
  <si>
    <t>Joe Soto vs. Michinori Tanaka</t>
  </si>
  <si>
    <t>Tony Weeks 28 - 29.Adalaide Byrd 29 - 28.Chris Lee 28 - 29.</t>
  </si>
  <si>
    <t>http://ufcstats.com/fight-details/b46b27222e62aec1</t>
  </si>
  <si>
    <t>UFC Fight Night: Henderson vs Masvidal</t>
  </si>
  <si>
    <t>Guangyou Ning vs. Marco Beltran</t>
  </si>
  <si>
    <t>Steve Perceval</t>
  </si>
  <si>
    <t>Evan Field 28 - 29.Mark Craig 29 - 28.Garth Harriman 28 - 29.</t>
  </si>
  <si>
    <t>http://ufcstats.com/fight-details/7ac1c2f87b795742</t>
  </si>
  <si>
    <t>UFC Fight Night: Belfort vs Henderson 3</t>
  </si>
  <si>
    <t>Pedro Munhoz vs. Jimmie Rivera</t>
  </si>
  <si>
    <t>Marco Borges 28 - 29.Derek Cleary 29 - 28.Alessandro Vieira 28 - 29.</t>
  </si>
  <si>
    <t>http://ufcstats.com/fight-details/d2198a7ae05b24c1</t>
  </si>
  <si>
    <t>UFC Fight Night: Teixeira vs Saint Preux</t>
  </si>
  <si>
    <t>Frankie Saenz vs. Sirwan Kakai</t>
  </si>
  <si>
    <t>Derek Cleary 29 - 28.Richard Bertrand 27 - 30.Chris Lee 27 - 30.</t>
  </si>
  <si>
    <t>http://ufcstats.com/fight-details/d757f19f3d34934b</t>
  </si>
  <si>
    <t>UFC Fight Night: Mir vs Duffee</t>
  </si>
  <si>
    <t>Rani Yahya vs. Masanori Kanehara</t>
  </si>
  <si>
    <t>Mike Bell 28 - 29.Mark Smith 29 - 28.Mike Beltran 28 - 29.</t>
  </si>
  <si>
    <t>http://ufcstats.com/fight-details/3100a4e29da974ad</t>
  </si>
  <si>
    <t>UFC Fight Night: Vera vs. Sandhagen</t>
  </si>
  <si>
    <t>Marlon Vera vs. Cory Sandhagen</t>
  </si>
  <si>
    <t>Joel Ojeda 48 - 47.Sal D'amato 45 - 50.Chris Lee 46 - 49.</t>
  </si>
  <si>
    <t>http://ufcstats.com/fight-details/33fa6793a7f984ac</t>
  </si>
  <si>
    <t>Cory Sandhagen vs. TJ Dillashaw</t>
  </si>
  <si>
    <t>Derek Cleary 48 - 47.Sal D'amato 47 - 48.Junichiro Kamijo 47 - 48.</t>
  </si>
  <si>
    <t>http://ufcstats.com/fight-details/214b268e4a92f950</t>
  </si>
  <si>
    <t>UFC Fight Night: Munhoz vs. Edgar</t>
  </si>
  <si>
    <t>Pedro Munhoz vs. Frankie Edgar</t>
  </si>
  <si>
    <t>Derek Cleary 47 - 48.Sal D'amato 49 - 46.Eric Colon 47 - 48.</t>
  </si>
  <si>
    <t>http://ufcstats.com/fight-details/dfe14e13aa727a0c</t>
  </si>
  <si>
    <t>UFC Fight Night: Lineker vs. Dodson</t>
  </si>
  <si>
    <t>John Lineker vs. John Dodson</t>
  </si>
  <si>
    <t>John McCarthy</t>
  </si>
  <si>
    <t>Marcos Rosales 48 - 47.Glenn Trowbridge 47 - 48.Sal D'amato 47 - 48.</t>
  </si>
  <si>
    <t>http://ufcstats.com/fight-details/8793208907eca67f</t>
  </si>
  <si>
    <t>UFC 292: Sterling vs. O'Malley</t>
  </si>
  <si>
    <t>Brad Katona vs. Cody Gibson</t>
  </si>
  <si>
    <t>Nick Mahmood 28 - 29.David Ginsberg 28 - 29.Chris Lee 27 - 30.</t>
  </si>
  <si>
    <t>http://ufcstats.com/fight-details/e9754f597ec50f6f</t>
  </si>
  <si>
    <t>http://ufcstats.com/fight-details/0197a61472fc351d</t>
  </si>
  <si>
    <t>http://ufcstats.com/fight-details/a74a8c1e0a49070d</t>
  </si>
  <si>
    <t>http://ufcstats.com/fight-details/df146b0592259e5d</t>
  </si>
  <si>
    <t>UFC Fight Night: Fiziev vs. Gamrot</t>
  </si>
  <si>
    <t>Dan Argueta vs. Miles Johns</t>
  </si>
  <si>
    <t>Junichiro Kamijo 27 - 30.Anthony Maness 27 - 30.Jacob Montalvo 28 - 29.</t>
  </si>
  <si>
    <t>http://ufcstats.com/fight-details/b78545b32a97ac44</t>
  </si>
  <si>
    <t>UFC Fight Night: Gane vs. Spivac</t>
  </si>
  <si>
    <t>Taylor Lapilus vs. Caolan Loughran</t>
  </si>
  <si>
    <t>Lukasz Bosacki</t>
  </si>
  <si>
    <t>Ben Cartlidge 28 - 29.Sal D'amato 28 - 29.Anders Ohlsson 28 - 29.</t>
  </si>
  <si>
    <t>http://ufcstats.com/fight-details/1b9a127f9dadaad9</t>
  </si>
  <si>
    <t>Da'Mon Blackshear vs. Mario Bautista</t>
  </si>
  <si>
    <t>Bryan Miner</t>
  </si>
  <si>
    <t>Sal D'amato 28 - 29.Chris Lee 28 - 29.Steve Rita 27 - 30.</t>
  </si>
  <si>
    <t>http://ufcstats.com/fight-details/fd4d30036a3f3efb</t>
  </si>
  <si>
    <t>Marlon Vera vs. Pedro Munhoz</t>
  </si>
  <si>
    <t>Nick Mahmood 27 - 30.Marcel Valera 27 - 30.Ben Cartlidge 28 - 29.</t>
  </si>
  <si>
    <t>http://ufcstats.com/fight-details/621e6f0929a3dbfc</t>
  </si>
  <si>
    <t>UFC Fight Night: Sandhagen vs. Font</t>
  </si>
  <si>
    <t>Kyler Phillips vs. Raoni Barcelos</t>
  </si>
  <si>
    <t>Kerri Rowland 27 - 30.Mike Bell 28 - 29.Sal D'amato 28 - 29.</t>
  </si>
  <si>
    <t>http://ufcstats.com/fight-details/e5cb9dfc1189d77d</t>
  </si>
  <si>
    <t>UFC Fight Night: Kara-France vs. Albazi</t>
  </si>
  <si>
    <t>Daniel Santos vs. Johnny Munoz</t>
  </si>
  <si>
    <t>Tony Weeks 27 - 29.Chris Lee 27 - 29.Sal D'amato 27 - 29.</t>
  </si>
  <si>
    <t>http://ufcstats.com/fight-details/84f60cb00b8d4187</t>
  </si>
  <si>
    <t>John Castaneda vs. Muin Gafurov</t>
  </si>
  <si>
    <t>Tony Weeks 27 - 29.Chris Lee 27 - 29.Junichiro Kamijo 27 - 29.</t>
  </si>
  <si>
    <t>http://ufcstats.com/fight-details/c98f62eb74e69bcb</t>
  </si>
  <si>
    <t>UFC Fight Night: Holloway vs. Allen</t>
  </si>
  <si>
    <t>Pedro Munhoz vs. Chris Gutierrez</t>
  </si>
  <si>
    <t>Brian Puccillo 27 - 30.Travis Buesking 27 - 30.Henry Guery 27 - 30.</t>
  </si>
  <si>
    <t>http://ufcstats.com/fight-details/d856812dc733690a</t>
  </si>
  <si>
    <t>Aaron Phillips vs. Gaston Bolanos</t>
  </si>
  <si>
    <t>Travis Buesking 28 - 29.Ross Swanberg 27 - 30.Henry Guery 27 - 30.</t>
  </si>
  <si>
    <t>http://ufcstats.com/fight-details/119559fd8124fee3</t>
  </si>
  <si>
    <t>UFC 287: Pereira vs. Adesanya 2</t>
  </si>
  <si>
    <t>Raul Rosas Jr. vs. Christian Rodriguez</t>
  </si>
  <si>
    <t>Chris Lee 28 - 29.Sal D'amato 28 - 29.David Tirelli 28 - 29.</t>
  </si>
  <si>
    <t>http://ufcstats.com/fight-details/2cb34fc074f7a9ae</t>
  </si>
  <si>
    <t>Said Nurmagomedov vs. Jonathan Martinez</t>
  </si>
  <si>
    <t>Mike Bell 28 - 29.Adalaide Byrd 28 - 29.Junichiro Kamijo 28 - 29.</t>
  </si>
  <si>
    <t>http://ufcstats.com/fight-details/b9539d5e379b3edc</t>
  </si>
  <si>
    <t>Cody Garbrandt vs. Trevin Jones</t>
  </si>
  <si>
    <t>Mike Bell 28 - 29.Derek Cleary 28 - 29.David Lethaby 28 - 29.</t>
  </si>
  <si>
    <t>http://ufcstats.com/fight-details/ec490d4224d3bc78</t>
  </si>
  <si>
    <t>Da'Mon Blackshear vs. Farid Basharat</t>
  </si>
  <si>
    <t>Chris Lee 28 - 29.David Lethaby 28 - 29.Ron McCarthy 28 - 29.</t>
  </si>
  <si>
    <t>http://ufcstats.com/fight-details/cd20dac4daa4f93a</t>
  </si>
  <si>
    <t>UFC 283: Teixeira vs. Hill</t>
  </si>
  <si>
    <t>Luan Lacerda vs. Cody Stamann</t>
  </si>
  <si>
    <t>Hallison Pontes 28 - 29.Derek Cleary 28 - 29.Rafael Ferreira 28 - 29.</t>
  </si>
  <si>
    <t>http://ufcstats.com/fight-details/354dc211166a3982</t>
  </si>
  <si>
    <t>UFC Fight Night: Strickland vs. Imavov</t>
  </si>
  <si>
    <t>Javid Basharat vs. Mateus Mendonca</t>
  </si>
  <si>
    <t>Mike Bell 27 - 30.Ron McCarthy 27 - 30.Adalaide Byrd 28 - 29.</t>
  </si>
  <si>
    <t>http://ufcstats.com/fight-details/5a2fa552e70958d4</t>
  </si>
  <si>
    <t>UFC Fight Night: Cannonier vs. Strickland</t>
  </si>
  <si>
    <t>Sergey Morozov vs. Journey Newson</t>
  </si>
  <si>
    <t>Mike Bell 27 - 30.Adalaide Byrd 28 - 29.Ron McCarthy 28 - 29.</t>
  </si>
  <si>
    <t>http://ufcstats.com/fight-details/ccb7e2851319345d</t>
  </si>
  <si>
    <t>Vince Morales vs. Miles Johns</t>
  </si>
  <si>
    <t>Doug Crosby 27 - 30.Mike Bell 28 - 29.Adalaide Byrd 28 - 29.</t>
  </si>
  <si>
    <t>http://ufcstats.com/fight-details/594435375d641f63</t>
  </si>
  <si>
    <t>Brady Hiestand vs. Fernie Garcia</t>
  </si>
  <si>
    <t>Derek Cleary 28 - 29.Junichiro Kamijo 28 - 29.Anthony Maness 28 - 29.</t>
  </si>
  <si>
    <t>http://ufcstats.com/fight-details/a3696c847ef6c7f9</t>
  </si>
  <si>
    <t>UFC 281: Adesanya vs. Pereira</t>
  </si>
  <si>
    <t>Julio Arce vs. Montel Jackson</t>
  </si>
  <si>
    <t>Bryan Miner 27 - 30.Sal D'amato 27 - 30.Doug Crosby 28 - 29.</t>
  </si>
  <si>
    <t>http://ufcstats.com/fight-details/bee95769a221af9a</t>
  </si>
  <si>
    <t>UFC Fight Night: Rodriguez vs. Lemos</t>
  </si>
  <si>
    <t>Liudvik Sholinian vs. Johnny Munoz</t>
  </si>
  <si>
    <t>Junichiro Kamijo 27 - 30.Chris Lee 27 - 30.Sal D'amato 28 - 29.</t>
  </si>
  <si>
    <t>http://ufcstats.com/fight-details/31cb98ce37fd87dd</t>
  </si>
  <si>
    <t>Raphael Assuncao vs. Victor Henry</t>
  </si>
  <si>
    <t>Mike Bell 27 - 30.Sal D'amato 27 - 30.Bryan Miner 27 - 30.</t>
  </si>
  <si>
    <t>http://ufcstats.com/fight-details/96d4fe315722d1c1</t>
  </si>
  <si>
    <t>UFC Fight Night: Dern vs. Yan</t>
  </si>
  <si>
    <t>Raoni Barcelos vs. Trevin Jones</t>
  </si>
  <si>
    <t>Junichiro Kamijo 25 - 30.Doug Crosby 27 - 30.Mike Bell 27 - 30.</t>
  </si>
  <si>
    <t>http://ufcstats.com/fight-details/a73e33dfce8fcfd8</t>
  </si>
  <si>
    <t>UFC Fight Night: Sandhagen vs. Song</t>
  </si>
  <si>
    <t>Tony Gravely vs. Javid Basharat</t>
  </si>
  <si>
    <t>Chris Lee 28 - 29.Anthony Maness 28 - 29.Junichiro Kamijo 28 - 29.</t>
  </si>
  <si>
    <t>http://ufcstats.com/fight-details/be73f75b52b06f14</t>
  </si>
  <si>
    <t>UFC 279: Diaz vs. Ferguson</t>
  </si>
  <si>
    <t>Chad Anheliger vs. Alatengheili</t>
  </si>
  <si>
    <t>Mike Bell 27 - 30.Chris Lee 27 - 30.Ron McCarthy 27 - 30.</t>
  </si>
  <si>
    <t>http://ufcstats.com/fight-details/6010f681e54ba2cd</t>
  </si>
  <si>
    <t>UFC 278: Usman vs. Edwards</t>
  </si>
  <si>
    <t>Jose Aldo vs. Merab Dvalishvili</t>
  </si>
  <si>
    <t>Sal D'amato 28 - 29.Mike Bell 27 - 30.Chris Lee 28 - 29.</t>
  </si>
  <si>
    <t>http://ufcstats.com/fight-details/2ac3ce1f62b3c4b9</t>
  </si>
  <si>
    <t>Aoriqileng vs. Jay Perrin</t>
  </si>
  <si>
    <t>Tyler Tomlinson</t>
  </si>
  <si>
    <t>Sal D'amato 28 - 29.Chris Lee 28 - 29.Steve Faragher 28 - 29.</t>
  </si>
  <si>
    <t>http://ufcstats.com/fight-details/d497d74a0df9e35e</t>
  </si>
  <si>
    <t>UFC Fight Night: Dos Anjos vs. Fiziev</t>
  </si>
  <si>
    <t>Douglas Silva de Andrade vs. Said Nurmagomedov</t>
  </si>
  <si>
    <t>Mike Bell 27 - 30.Derek Cleary 28 - 29.Adalaide Byrd 28 - 29.</t>
  </si>
  <si>
    <t>http://ufcstats.com/fight-details/bba6cc8760da34ab</t>
  </si>
  <si>
    <t>Aiemann Zahabi vs. Ricky Turcios</t>
  </si>
  <si>
    <t>Derek Cleary 28 - 29.Doug Crosby 28 - 29.Sal D'amato 28 - 29.</t>
  </si>
  <si>
    <t>http://ufcstats.com/fight-details/c58b3223b5caa18a</t>
  </si>
  <si>
    <t>Ronnie Lawrence vs. Saidyokub Kakhramonov</t>
  </si>
  <si>
    <t>Tony Weeks 26 - 30.Sal D'amato 27 - 30.Junichiro Kamijo 27 - 30.</t>
  </si>
  <si>
    <t>http://ufcstats.com/fight-details/fb3f5a65da9f2ac7</t>
  </si>
  <si>
    <t>UFC Fight Night: Tsarukyan vs. Gamrot</t>
  </si>
  <si>
    <t>Nate Maness vs. Umar Nurmagomedov</t>
  </si>
  <si>
    <t>Chris Lee 25 - 30.Tony Weeks 26 - 30.Junichiro Kamijo 27 - 30.</t>
  </si>
  <si>
    <t>http://ufcstats.com/fight-details/28bd070f7ab0a0b9</t>
  </si>
  <si>
    <t>Raulian Paiva vs. Sergey Morozov</t>
  </si>
  <si>
    <t>Chris Lee 28 - 29.Junichiro Kamijo 28 - 29.Tony Weeks 28 - 29.</t>
  </si>
  <si>
    <t>http://ufcstats.com/fight-details/a457331c27bce6d5</t>
  </si>
  <si>
    <t>UFC 275: Teixeira vs. Prochazka</t>
  </si>
  <si>
    <t>Kyung Ho Kang vs. Batgerel Danaa</t>
  </si>
  <si>
    <t>Ben Cartlidge 28 - 29.Anthony Dimitriou 28 - 29.Howard Hughes 28 - 29.</t>
  </si>
  <si>
    <t>http://ufcstats.com/fight-details/029f5c36820fdc09</t>
  </si>
  <si>
    <t>UFC Fight Night: Holm vs. Vieira</t>
  </si>
  <si>
    <t>Jonathan Martinez vs. Vince Morales</t>
  </si>
  <si>
    <t>Derek Cleary 27 - 30.Ron McCarthy 27 - 30.Anthony Maness 27 - 30.</t>
  </si>
  <si>
    <t>http://ufcstats.com/fight-details/3542f9f30926f364</t>
  </si>
  <si>
    <t>UFC 274: Oliveira vs. Gaethje</t>
  </si>
  <si>
    <t>Journey Newson vs. Fernie Garcia</t>
  </si>
  <si>
    <t>Ryan Brueggeman</t>
  </si>
  <si>
    <t>Junichiro Kamijo 27 - 30.Chris Lee 27 - 30.Brad Frank 28 - 29.</t>
  </si>
  <si>
    <t>http://ufcstats.com/fight-details/430309e0f8a315d5</t>
  </si>
  <si>
    <t>UFC 273: Volkanovski vs. The Korean Zombie</t>
  </si>
  <si>
    <t>Julio Arce vs. Daniel Santos</t>
  </si>
  <si>
    <t>Larry Folsom</t>
  </si>
  <si>
    <t>Chris Lee 27 - 30.Sal D'amato 27 - 30.Eliseo Rodriguez 28 - 29.</t>
  </si>
  <si>
    <t>http://ufcstats.com/fight-details/313c36ce9bde6cf6</t>
  </si>
  <si>
    <t>UFC Fight Night: Volkov vs. Aspinall</t>
  </si>
  <si>
    <t>Jack Shore vs. Timur Valiev</t>
  </si>
  <si>
    <t>Mark Collett 28 - 29.David Lethaby 28 - 29.Vito Paolillo 27 - 29.</t>
  </si>
  <si>
    <t>http://ufcstats.com/fight-details/53d0df57a917c6a0</t>
  </si>
  <si>
    <t>UFC Fight Night: Santos vs. Ankalaev</t>
  </si>
  <si>
    <t>Trevin Jones vs. Javid Basharat</t>
  </si>
  <si>
    <t>Sal D'amato 27 - 30.Dave Hagen 27 - 30.Mike Bell 28 - 29.</t>
  </si>
  <si>
    <t>http://ufcstats.com/fight-details/b70313eae7c24b27</t>
  </si>
  <si>
    <t>UFC Fight Night: Walker vs. Hill</t>
  </si>
  <si>
    <t>Mario Bautista vs. Jay Perrin</t>
  </si>
  <si>
    <t>Mike Bell 27 - 30.Derek Cleary 27 - 30.Adalaide Byrd 26 - 30.</t>
  </si>
  <si>
    <t>http://ufcstats.com/fight-details/8cd583f6d10692bc</t>
  </si>
  <si>
    <t>UFC 271: Adesanya vs. Whittaker 2</t>
  </si>
  <si>
    <t>Mana Martinez vs. Ronnie Lawrence</t>
  </si>
  <si>
    <t>Jeff Rexroad 27 - 29.Patrick Patlan 27 - 29.Mike Beltran 28 - 29.</t>
  </si>
  <si>
    <t>http://ufcstats.com/fight-details/19e742ccaa09cf08</t>
  </si>
  <si>
    <t>UFC 270: Ngannou vs. Gane</t>
  </si>
  <si>
    <t>Raoni Barcelos vs. Victor Henry</t>
  </si>
  <si>
    <t>Ron McCarthy 27 - 30.Chris Crail 27 - 30.Derek Cleary 27 - 30.</t>
  </si>
  <si>
    <t>http://ufcstats.com/fight-details/44a55ba1de2b30e2</t>
  </si>
  <si>
    <t>Tony Gravely vs. Saimon Oliveira</t>
  </si>
  <si>
    <t>Ron McCarthy 27 - 30.Mike Bell 27 - 30.Derek Cleary 27 - 30.</t>
  </si>
  <si>
    <t>http://ufcstats.com/fight-details/9687021e5c4d092a</t>
  </si>
  <si>
    <t>UFC 269: Oliveira vs. Poirier</t>
  </si>
  <si>
    <t>Pedro Munhoz vs. Dominick Cruz</t>
  </si>
  <si>
    <t>http://ufcstats.com/fight-details/abb8c6c0a057184e</t>
  </si>
  <si>
    <t>Rani Yahya vs. Kyung Ho Kang</t>
  </si>
  <si>
    <t>Doug Crosby 28 - 29.Bryan Miner 28 - 29.Sal D'amato 28 - 29.</t>
  </si>
  <si>
    <t>http://ufcstats.com/fight-details/1cd8f5a107f64e39</t>
  </si>
  <si>
    <t>UFC Fight Night: Costa vs. Vettori</t>
  </si>
  <si>
    <t>Jonathan Martinez vs. Zviad Lazishvili</t>
  </si>
  <si>
    <t>Adalaide Byrd 27 - 30.Doug Crosby 28 - 29.Ron McCarthy 28 - 29.</t>
  </si>
  <si>
    <t>http://ufcstats.com/fight-details/7151ae256e6c181b</t>
  </si>
  <si>
    <t>UFC Fight Night: Smith vs. Spann</t>
  </si>
  <si>
    <t>Montel Jackson vs. JP Buys</t>
  </si>
  <si>
    <t>Tony Weeks 27 - 30.Derek Cleary 27 - 30.Sal D'amato 27 - 30.</t>
  </si>
  <si>
    <t>http://ufcstats.com/fight-details/dc870fab1e0f15e1</t>
  </si>
  <si>
    <t>Gustavo Lopez vs. Alatengheili</t>
  </si>
  <si>
    <t>Tony Weeks 28 - 28.Derek Cleary 28 - 28.Sal D'amato 28 - 28.</t>
  </si>
  <si>
    <t>http://ufcstats.com/fight-details/178756c3cb23b884</t>
  </si>
  <si>
    <t>UFC Fight Night: Brunson vs. Till</t>
  </si>
  <si>
    <t>Jack Shore vs. Liudvik Sholinian</t>
  </si>
  <si>
    <t>http://ufcstats.com/fight-details/4fc128b1bdf088b1</t>
  </si>
  <si>
    <t>UFC Fight Night: Cannonier vs. Gastelum</t>
  </si>
  <si>
    <t>Brian Kelleher vs. Domingo Pilarte</t>
  </si>
  <si>
    <t>Sal D'amato 27 - 30.Junichiro Kamijo 27 - 30.Tony Weeks 27 - 30.</t>
  </si>
  <si>
    <t>http://ufcstats.com/fight-details/bfacb44c24bfe0e9</t>
  </si>
  <si>
    <t>Jose Aldo vs. Pedro Munhoz</t>
  </si>
  <si>
    <t>Chris Lee 27 - 30.Sal D'amato 27 - 30.Doug Crosby 27 - 30.</t>
  </si>
  <si>
    <t>http://ufcstats.com/fight-details/980927e7dcc131c0</t>
  </si>
  <si>
    <t>Vince Morales vs. Drako Rodriguez</t>
  </si>
  <si>
    <t>Kerry Hatley 27 - 30.Danny De Alejandro 28 - 29.Doug Crosby 28 - 29.</t>
  </si>
  <si>
    <t>http://ufcstats.com/fight-details/3d75081ce43774ca</t>
  </si>
  <si>
    <t>UFC Fight Night: Makhachev vs. Moises</t>
  </si>
  <si>
    <t>Khalid Taha vs. Sergey Morozov</t>
  </si>
  <si>
    <t>Mike Bell 27 - 30.Dave Hagen 27 - 30.Bryan Miner 27 - 30.</t>
  </si>
  <si>
    <t>http://ufcstats.com/fight-details/93d5452726f5f364</t>
  </si>
  <si>
    <t>UFC Fight Night: Jung vs. Ige</t>
  </si>
  <si>
    <t>Marlon Vera vs. Davey Grant</t>
  </si>
  <si>
    <t>Mike Bell 27 - 29.Rick Winter 28 - 29.Derek Cleary 26 - 30.</t>
  </si>
  <si>
    <t>http://ufcstats.com/fight-details/a83ebbf013905949</t>
  </si>
  <si>
    <t>UFC Fight Night: Reyes vs. Prochazka</t>
  </si>
  <si>
    <t>Merab Dvalishvili vs. Cody Stamann</t>
  </si>
  <si>
    <t>Mike Bell 27 - 30.Sal D'amato 28 - 29.Rick Winter 28 - 29.</t>
  </si>
  <si>
    <t>http://ufcstats.com/fight-details/26202a4bd36d3fd2</t>
  </si>
  <si>
    <t>Song Yadong vs. Kyler Phillips</t>
  </si>
  <si>
    <t>Eric Colon 28 - 29.Chris Lee 28 - 29.Ron McCarthy 28 - 29.</t>
  </si>
  <si>
    <t>http://ufcstats.com/fight-details/5980ab31e4718a83</t>
  </si>
  <si>
    <t>UFC Fight Night: Rozenstruik vs. Gane</t>
  </si>
  <si>
    <t>Ron McCarthy 27 - 30.Junichiro Kamijo 27 - 30.Mike Bell 28 - 29.</t>
  </si>
  <si>
    <t>http://ufcstats.com/fight-details/c2ee423d1f0b4f6f</t>
  </si>
  <si>
    <t>UFC Fight Night: Thompson vs. Neal</t>
  </si>
  <si>
    <t>Jose Aldo vs. Marlon Vera</t>
  </si>
  <si>
    <t>Mike Bell 28 - 29.Eric Colon 28 - 29.Ron McCarthy 28 - 29.</t>
  </si>
  <si>
    <t>http://ufcstats.com/fight-details/014f1da2083ca174</t>
  </si>
  <si>
    <t>UFC Fight Night: Santos vs. Teixeira</t>
  </si>
  <si>
    <t>Raoni Barcelos vs. Khalid Taha</t>
  </si>
  <si>
    <t>Dave Hagen 27 - 30.Chris Lee 27 - 30.Ron McCarthy 27 - 30.</t>
  </si>
  <si>
    <t>http://ufcstats.com/fight-details/6ac3d588f9630f0a</t>
  </si>
  <si>
    <t>UFC Fight Night: Moraes vs. Sandhagen</t>
  </si>
  <si>
    <t>Ali AlQaisi vs. Tony Kelley</t>
  </si>
  <si>
    <t>Darryl Ransom 27 - 30.Anders Ohlsson 28 - 29.Clemens Werner 28 - 29.</t>
  </si>
  <si>
    <t>http://ufcstats.com/fight-details/dfb856d4c80bbf04</t>
  </si>
  <si>
    <t>UFC Fight Night: Holm vs. Aldana</t>
  </si>
  <si>
    <t>Casey Kenney vs. Alatengheili</t>
  </si>
  <si>
    <t>Kevin Sataki</t>
  </si>
  <si>
    <t>Lukasz Bosacki 25 - 30.Clemens Werner 26 - 30.Dave Tirelli 27 - 30.</t>
  </si>
  <si>
    <t>http://ufcstats.com/fight-details/ac6b2a5f24c2b8bd</t>
  </si>
  <si>
    <t>UFC Fight Night: Overeem vs. Sakai</t>
  </si>
  <si>
    <t>Cole Smith vs. Hunter Azure</t>
  </si>
  <si>
    <t>Mike Bell 28 - 29.Eric Colon 28 - 29.Dave Hagen 28 - 29.</t>
  </si>
  <si>
    <t>http://ufcstats.com/fight-details/7340b4cbdbac5863</t>
  </si>
  <si>
    <t>UFC 252: Miocic vs. Cormier 3</t>
  </si>
  <si>
    <t>John Dodson vs. Merab Dvalishvili</t>
  </si>
  <si>
    <t>Derek Cleary 27 - 30.Sal D'amato 27 - 30.Rick Winter 27 - 30.</t>
  </si>
  <si>
    <t>http://ufcstats.com/fight-details/57939328c1214107</t>
  </si>
  <si>
    <t>UFC Fight Night: Brunson vs. Shahbazyan</t>
  </si>
  <si>
    <t>Chris Gutierrez vs. Cody Durden</t>
  </si>
  <si>
    <t>Derek Cleary 28 - 28.Sal D'amato 28 - 28.Dave Hagen 28 - 28.</t>
  </si>
  <si>
    <t>http://ufcstats.com/fight-details/dcf161082c849205</t>
  </si>
  <si>
    <t>UFC Fight Night: Whittaker vs. Till</t>
  </si>
  <si>
    <t>Nathaniel Wood vs. John Castaneda</t>
  </si>
  <si>
    <t>Lukasz Bosacki 27 - 30.Mark Collett 27 - 30.David Lethaby 27 - 30.</t>
  </si>
  <si>
    <t>http://ufcstats.com/fight-details/67db05bac9165722</t>
  </si>
  <si>
    <t>UFC Fight Night: Figueiredo vs. Benavidez 2</t>
  </si>
  <si>
    <t>Brett Johns vs. Montel Jackson</t>
  </si>
  <si>
    <t>Daniel Movahedi</t>
  </si>
  <si>
    <t>Ben Cartlidge 28 - 29.Anders Ohlsson 28 - 29.Clemens Werner 28 - 29.</t>
  </si>
  <si>
    <t>http://ufcstats.com/fight-details/b5f70d0c88f12645</t>
  </si>
  <si>
    <t>UFC Fight Night: Eye vs. Calvillo</t>
  </si>
  <si>
    <t>Jordan Espinosa vs. Mark De La Rosa</t>
  </si>
  <si>
    <t>Mike Bell 27 - 30.Tony Weeks 27 - 30.Sal D'amato 26 - 30.</t>
  </si>
  <si>
    <t>http://ufcstats.com/fight-details/e36b8b88646f72f8</t>
  </si>
  <si>
    <t>UFC Fight Night: Benavidez vs. Figueiredo</t>
  </si>
  <si>
    <t>Gabriel Silva vs. Kyler Phillips</t>
  </si>
  <si>
    <t>Sal D'amato 27 - 30.Lisa Cuellar 27 - 30.Brian Costello 27 - 30.</t>
  </si>
  <si>
    <t>http://ufcstats.com/fight-details/0e3af9b5e1b3ae80</t>
  </si>
  <si>
    <t>UFC Fight Night: Anderson vs. Blachowicz</t>
  </si>
  <si>
    <t>Casey Kenney vs. Merab Dvalishvili</t>
  </si>
  <si>
    <t>Joe Coca</t>
  </si>
  <si>
    <t>Sal D'amato 27 - 30.Ester Lopez 25 - 30.Derek Cleary 28 - 29.</t>
  </si>
  <si>
    <t>http://ufcstats.com/fight-details/51218519be104794</t>
  </si>
  <si>
    <t>UFC Fight Night: Blaydes vs. Dos Santos</t>
  </si>
  <si>
    <t>Montel Jackson vs. Felipe Colares</t>
  </si>
  <si>
    <t>Derek Cleary 26 - 30.Tiffany Sorber 26 - 30.Sal D'amato 25 - 30.</t>
  </si>
  <si>
    <t>http://ufcstats.com/fight-details/737e2781e4a7db5c</t>
  </si>
  <si>
    <t>Raoni Barcelos vs. Said Nurmagomedov</t>
  </si>
  <si>
    <t>Paul Sutherland 27 - 30.Evan Field 28 - 29.Ben Cartlidge 28 - 29.</t>
  </si>
  <si>
    <t>http://ufcstats.com/fight-details/75523d31940c9344</t>
  </si>
  <si>
    <t>Rob Font vs. Ricky Simon</t>
  </si>
  <si>
    <t>Fernando Yamasaki</t>
  </si>
  <si>
    <t>Sal D'amato 28 - 29.Brent Colflesh 28 - 29.David Braslow 27 - 30.</t>
  </si>
  <si>
    <t>http://ufcstats.com/fight-details/b9ff9ebe19ae6358</t>
  </si>
  <si>
    <t>UFC Fight Night: Rodriguez vs. Stephens</t>
  </si>
  <si>
    <t>Jose Quinonez vs. Carlos Huachin</t>
  </si>
  <si>
    <t>Sal D'amato 27 - 30.Junichiro Kamijo 27 - 30.Bladimir Puga 27 - 30.</t>
  </si>
  <si>
    <t>http://ufcstats.com/fight-details/953c89aa931082e4</t>
  </si>
  <si>
    <t>Brad Katona vs. Hunter Azure</t>
  </si>
  <si>
    <t>John Cooper</t>
  </si>
  <si>
    <t>David Therien 28 - 29.Clayton Weich 27 - 30.Dave Hagen 28 - 29.</t>
  </si>
  <si>
    <t>http://ufcstats.com/fight-details/14176809bcdafd01</t>
  </si>
  <si>
    <t>UFC Fight Night: Andrade vs. Zhang</t>
  </si>
  <si>
    <t>Sumudaerji vs. Andre Soukhamthath</t>
  </si>
  <si>
    <t>Anthony Dimitriou 26 - 30.Evan Field 25 - 30.Albert Shen 26 - 30.</t>
  </si>
  <si>
    <t>http://ufcstats.com/fight-details/09b91014bd88f815</t>
  </si>
  <si>
    <t>Alatengheili vs. Danaa Batgerel</t>
  </si>
  <si>
    <t>Mark Craig 27 - 29.Evan Field 27 - 29.Barry Foley 27 - 29.</t>
  </si>
  <si>
    <t>http://ufcstats.com/fight-details/2e001d8c2f6106fc</t>
  </si>
  <si>
    <t>Raphael Assuncao vs. Cory Sandhagen</t>
  </si>
  <si>
    <t>Mike Bell 27 - 30.Ron McCarthy 27 - 30.Luis Cobian 28 - 29.</t>
  </si>
  <si>
    <t>http://ufcstats.com/fight-details/fba7d6a42f137938</t>
  </si>
  <si>
    <t>Ray Borg vs. Gabriel Silva</t>
  </si>
  <si>
    <t>Marcos Rosales 28 - 29.Perry Hillin 28 - 29.Ruben Carrion 28 - 29.</t>
  </si>
  <si>
    <t>http://ufcstats.com/fight-details/bc01ce748a5723df</t>
  </si>
  <si>
    <t>Mario Bautista vs. Jin Soo Son</t>
  </si>
  <si>
    <t>Jennie Cardenas 27 - 30.Perry Hillin 27 - 30.Gino Garcia 28 - 29.</t>
  </si>
  <si>
    <t>http://ufcstats.com/fight-details/24bcade0007c2246</t>
  </si>
  <si>
    <t>UFC Fight Night: De Randamie vs. Ladd</t>
  </si>
  <si>
    <t>Benito Lopez vs. Vince Morales</t>
  </si>
  <si>
    <t>Josh Rosenthal</t>
  </si>
  <si>
    <t>Wade Vierra 28 - 29.Marcos Rosales 28 - 29.Blake Grice 28 - 29.</t>
  </si>
  <si>
    <t>http://ufcstats.com/fight-details/358468724d7d4322</t>
  </si>
  <si>
    <t>UFC Fight Night: Ngannou vs. Dos Santos</t>
  </si>
  <si>
    <t>Ricardo Ramos vs. Journey Newson</t>
  </si>
  <si>
    <t>Travis Metteer</t>
  </si>
  <si>
    <t>Nick Vogel 27 - 30.Nick Palmer 27 - 30.Derek Cleary 27 - 30.</t>
  </si>
  <si>
    <t>http://ufcstats.com/fight-details/8f5d5dd10a167cc0</t>
  </si>
  <si>
    <t>UFC Fight Night: Moicano vs. The Korean Zombie</t>
  </si>
  <si>
    <t>Andre Ewell vs. Anderson Dos Santos</t>
  </si>
  <si>
    <t>Chris Lee 28 - 29.Nikki Messer 28 - 29.Kevin James 27 - 29.</t>
  </si>
  <si>
    <t>http://ufcstats.com/fight-details/8f1b727757a60c07</t>
  </si>
  <si>
    <t>UFC 238: Cejudo vs. Moraes</t>
  </si>
  <si>
    <t>Jimmie Rivera vs. Petr Yan</t>
  </si>
  <si>
    <t>Brandon Mason 28 - 29.Sal D'amato 28 - 29.Gabriel Sabaitis 27 - 30.</t>
  </si>
  <si>
    <t>http://ufcstats.com/fight-details/fe0c844a671dd6d8</t>
  </si>
  <si>
    <t>Aljamain Sterling vs. Pedro Munhoz</t>
  </si>
  <si>
    <t>Gabriel Sabaitis 27 - 30.Ron McCarthy 27 - 30.Brian Puccillo 27 - 30.</t>
  </si>
  <si>
    <t>http://ufcstats.com/fight-details/17753b728e5404aa</t>
  </si>
  <si>
    <t>UFC Fight Night: Iaquinta vs. Cowboy</t>
  </si>
  <si>
    <t>Brad Katona vs. Merab Dvalishvili</t>
  </si>
  <si>
    <t>Declan Woods 27 - 30.Dave Tirelli 27 - 30.Jason Rodgers 27 - 30.</t>
  </si>
  <si>
    <t>http://ufcstats.com/fight-details/e6b2d6d33968c66c</t>
  </si>
  <si>
    <t>Aiemann Zahabi vs. Vince Morales</t>
  </si>
  <si>
    <t>Kyle Costello 28 - 29.Jason Rodgers 28 - 29.Dave Tirelli 28 - 29.</t>
  </si>
  <si>
    <t>http://ufcstats.com/fight-details/c936527df280b8b4</t>
  </si>
  <si>
    <t>Mitch Gagnon vs. Cole Smith</t>
  </si>
  <si>
    <t>Patricia Vandermeer 28 - 29.Jason Rodgers 28 - 29.Dave Tirelli 27 - 30.</t>
  </si>
  <si>
    <t>http://ufcstats.com/fight-details/16a05f3c4a765f65</t>
  </si>
  <si>
    <t>UFC 236: Holloway vs. Poirier 2</t>
  </si>
  <si>
    <t>Montel Jackson vs. Andre Soukhamthath</t>
  </si>
  <si>
    <t>Anthony Maness 27 - 30.Ken Coffey 26 - 30.Will Fisher 27 - 29.</t>
  </si>
  <si>
    <t>http://ufcstats.com/fight-details/8da5849a6e7307bf</t>
  </si>
  <si>
    <t>UFC Fight Night: Barboza vs. Gaethje</t>
  </si>
  <si>
    <t>Ray Borg vs. Casey Kenney</t>
  </si>
  <si>
    <t>James Chappell</t>
  </si>
  <si>
    <t>Eric Colon 27 - 30.Brent Colflesh 28 - 29.David Brogan 28 - 29.</t>
  </si>
  <si>
    <t>http://ufcstats.com/fight-details/93a081342561d0c3</t>
  </si>
  <si>
    <t>Alex Perez vs. Mark De La Rosa</t>
  </si>
  <si>
    <t>David Brogan 27 - 30.Cardo Urso 27 - 30.Greg Monskie 27 - 30.</t>
  </si>
  <si>
    <t>http://ufcstats.com/fight-details/3db15d45e8490c22</t>
  </si>
  <si>
    <t>UFC Fight Night: Thompson vs. Pettis</t>
  </si>
  <si>
    <t>Ryan MacDonald vs. Chris Gutierrez</t>
  </si>
  <si>
    <t>Ricky Parker</t>
  </si>
  <si>
    <t>Rick Winter 27 - 30.Sal D'amato 27 - 30.Tony Weeks 27 - 30.</t>
  </si>
  <si>
    <t>http://ufcstats.com/fight-details/0717bc30025f3656</t>
  </si>
  <si>
    <t>UFC 235: Jones vs. Smith</t>
  </si>
  <si>
    <t>Cody Stamann vs. Alejandro Perez</t>
  </si>
  <si>
    <t>Derek Cleary 28 - 29.Tony Weeks 28 - 29.Dave Hagen 27 - 30.</t>
  </si>
  <si>
    <t>http://ufcstats.com/fight-details/3744d4cdaa6b242b</t>
  </si>
  <si>
    <t>UFC Fight Night: Blachowicz vs. Santos</t>
  </si>
  <si>
    <t>John Dodson vs. Petr Yan</t>
  </si>
  <si>
    <t>Andreas Gruner 27 - 30.Cezary Wojciechowski 27 - 30.Zdenek Ledvina 27 - 30.</t>
  </si>
  <si>
    <t>http://ufcstats.com/fight-details/244aa8f002274344</t>
  </si>
  <si>
    <t>UFC Fight Night: Ngannou vs. Velasquez</t>
  </si>
  <si>
    <t>Jimmie Rivera vs. Aljamain Sterling</t>
  </si>
  <si>
    <t>Chris Lee 27 - 30.Mike Bell 27 - 30.Chris Flores 27 - 30.</t>
  </si>
  <si>
    <t>http://ufcstats.com/fight-details/58e21d505c082a9e</t>
  </si>
  <si>
    <t>UFC 234: Adesanya vs. Silva</t>
  </si>
  <si>
    <t>Rani Yahya vs. Ricky Simon</t>
  </si>
  <si>
    <t>Mark Craig 27 - 30.Albert Shen 27 - 30.Anthony Dimitriou 25 - 30.</t>
  </si>
  <si>
    <t>http://ufcstats.com/fight-details/069e3e704cbf6337</t>
  </si>
  <si>
    <t>Wuliji Buren vs. Jonathan Martinez</t>
  </si>
  <si>
    <t>Greg Kleynjans</t>
  </si>
  <si>
    <t>Anthony Dimitriou 27 - 30.Garth Harriman 27 - 30.Evan Field 28 - 29.</t>
  </si>
  <si>
    <t>http://ufcstats.com/fight-details/8e43d61ca6f2d904</t>
  </si>
  <si>
    <t>UFC Fight Night: Lee vs. Iaquinta</t>
  </si>
  <si>
    <t>Rob Font vs. Sergio Pettis</t>
  </si>
  <si>
    <t>Robert Madrigal</t>
  </si>
  <si>
    <t>Brian Puccillo 27 - 30.Rick Winter 27 - 30.Chris Lee 27 - 30.</t>
  </si>
  <si>
    <t>http://ufcstats.com/fight-details/4da4c5ef6a4ffc5b</t>
  </si>
  <si>
    <t>UFC 231: Holloway vs. Ortega</t>
  </si>
  <si>
    <t>Brad Katona vs. Matthew Lopez</t>
  </si>
  <si>
    <t>Patrick Goulah 27 - 30.Jason Rodgers 28 - 29.28 - 29.</t>
  </si>
  <si>
    <t>http://ufcstats.com/fight-details/41feee2c08af2235</t>
  </si>
  <si>
    <t>Song Yadong vs. Vince Morales</t>
  </si>
  <si>
    <t>Garth Harriman 27 - 30.Albert Shen 27 - 30.Paul Sutherland 27 - 30.</t>
  </si>
  <si>
    <t>http://ufcstats.com/fight-details/d755a29a49c9ee09</t>
  </si>
  <si>
    <t>UFC Fight Night: Oezdemir vs. Smith</t>
  </si>
  <si>
    <t>Andre Soukhamthath vs. Jonathan Martinez</t>
  </si>
  <si>
    <t>Declan Woods 26 - 30.Paul Deiron 28 - 29.Doug Crosby 28 - 29.</t>
  </si>
  <si>
    <t>http://ufcstats.com/fight-details/e1eeb61d0669ce45</t>
  </si>
  <si>
    <t>UFC Fight Night: Hunt vs. Oleinik</t>
  </si>
  <si>
    <t>Petr Yan vs. Jin Soo Son</t>
  </si>
  <si>
    <t>Derek Cleary 27 - 30.Pawel Harasim 27 - 30.Mark Collett 28 - 29.</t>
  </si>
  <si>
    <t>http://ufcstats.com/fight-details/c76fd2ddcbc4713d</t>
  </si>
  <si>
    <t>Merab Dvalishvili vs. Terrion Ware</t>
  </si>
  <si>
    <t>Kiselev Viacheslav</t>
  </si>
  <si>
    <t>Ben Cartlidge 25 - 30.David Lethaby 25 - 30.Maciej Motylewski 25 - 30.</t>
  </si>
  <si>
    <t>http://ufcstats.com/fight-details/6455d9c54d99b851</t>
  </si>
  <si>
    <t>UFC 228: Woodley vs. Till</t>
  </si>
  <si>
    <t>Jimmie Rivera vs. John Dodson</t>
  </si>
  <si>
    <t>Chris Lee 27 - 30.Steve Armstrong 27 - 30.Aladin Martinez 28 - 29.</t>
  </si>
  <si>
    <t>http://ufcstats.com/fight-details/82342dc6be82778b</t>
  </si>
  <si>
    <t>Pedro Munhoz vs. Brett Johns</t>
  </si>
  <si>
    <t>Blake Grice</t>
  </si>
  <si>
    <t>Sal D'amato 26 - 30.Ron McCarthy 28 - 29.Marcos Rosales 27 - 29.</t>
  </si>
  <si>
    <t>http://ufcstats.com/fight-details/c8a9d3917d77ede2</t>
  </si>
  <si>
    <t>Ricky Simon vs. Montel Jackson</t>
  </si>
  <si>
    <t>Derek Cleary 27 - 30.Marcos Rosales 27 - 30.Mike Bell 28 - 29.</t>
  </si>
  <si>
    <t>http://ufcstats.com/fight-details/e57a78a422439774</t>
  </si>
  <si>
    <t>UFC Fight Night: Shogun vs. Smith</t>
  </si>
  <si>
    <t>Damian Stasiak vs. Pingyuan Liu</t>
  </si>
  <si>
    <t>Mark Collett 27 - 30.Andreas Gruner 28 - 29.David Lethaby 28 - 29.</t>
  </si>
  <si>
    <t>http://ufcstats.com/fight-details/43af04881587abbc</t>
  </si>
  <si>
    <t>UFC Fight Night: Dos Santos vs. Ivanov</t>
  </si>
  <si>
    <t>Eddie Wineland vs. Alejandro Perez</t>
  </si>
  <si>
    <t>Tom Supnet</t>
  </si>
  <si>
    <t>Dave Hagen 28 - 29.Tony Weeks 28 - 29.Mike Mikkelsen 28 - 29.</t>
  </si>
  <si>
    <t>http://ufcstats.com/fight-details/b25eacaca1499e30</t>
  </si>
  <si>
    <t>UFC 226: Miocic vs. Cormier</t>
  </si>
  <si>
    <t>Raphael Assuncao vs. Rob Font</t>
  </si>
  <si>
    <t>Mike Bell 27 - 30.Dave Hagen 27 - 30.Rick Winter 27 - 30.</t>
  </si>
  <si>
    <t>http://ufcstats.com/fight-details/148c26038e80465b</t>
  </si>
  <si>
    <t>UFC Fight Night: Maia vs. Usman</t>
  </si>
  <si>
    <t>Diego Rivas vs. Guido Cannetti</t>
  </si>
  <si>
    <t>Leon Roberts</t>
  </si>
  <si>
    <t>Fabio Alves 28 - 29.Richard Bertrand 28 - 29.Chris Lee 28 - 29.</t>
  </si>
  <si>
    <t>http://ufcstats.com/fight-details/db8887f2085f7971</t>
  </si>
  <si>
    <t>Henry Briones vs. Frankie Saenz</t>
  </si>
  <si>
    <t>Richard Bertrand 27 - 30.Sal D'amato 27 - 30.Fabio Alves 26 - 30.</t>
  </si>
  <si>
    <t>http://ufcstats.com/fight-details/e6fdf9e67f84a0e0</t>
  </si>
  <si>
    <t>UFC Fight Night: Barboza vs. Lee</t>
  </si>
  <si>
    <t>Aljamain Sterling vs. Brett Johns</t>
  </si>
  <si>
    <t>Liam Kerrigan</t>
  </si>
  <si>
    <t>Derek Cleary 27 - 30.Cardo Urso 27 - 30.Dave Tirelli 27 - 30.</t>
  </si>
  <si>
    <t>http://ufcstats.com/fight-details/6dd0874dec826397</t>
  </si>
  <si>
    <t>UFC Fight Night: Poirier vs. Gaethje</t>
  </si>
  <si>
    <t>Luke Sanders vs. Patrick Williams</t>
  </si>
  <si>
    <t>Al Guinee</t>
  </si>
  <si>
    <t>Brad Frank 27 - 30.Chris Lee 27 - 30.Derek Cleary 28 - 29.</t>
  </si>
  <si>
    <t>http://ufcstats.com/fight-details/4210f9b11debf1fc</t>
  </si>
  <si>
    <t>UFC Fight Night: Werdum vs. Volkov</t>
  </si>
  <si>
    <t>Tom Duquesnoy vs. Terrion Ware</t>
  </si>
  <si>
    <t>Grant Waterman</t>
  </si>
  <si>
    <t>David Lethaby 28 - 29.Maciej Motylewski 28 - 29.Ben Cartlidge 27 - 30.</t>
  </si>
  <si>
    <t>http://ufcstats.com/fight-details/848e7af760788418</t>
  </si>
  <si>
    <t>Sean O'Malley vs. Andre Soukhamthath</t>
  </si>
  <si>
    <t>Junichiro Kamijo 27 - 29.Chris Lee 27 - 29.Sal D'amato 28 - 29.</t>
  </si>
  <si>
    <t>http://ufcstats.com/fight-details/efe055854f19a1d7</t>
  </si>
  <si>
    <t>UFC Fight Night: Emmett vs. Stephens</t>
  </si>
  <si>
    <t>Renan Barao vs. Brian Kelleher</t>
  </si>
  <si>
    <t>Richard Bertrand 27 - 30.Hector Gomez 27 - 30.Tim Vannatta 28 - 29.</t>
  </si>
  <si>
    <t>http://ufcstats.com/fight-details/e22a887ce4ab30eb</t>
  </si>
  <si>
    <t>UFC 221: Romero vs. Rockhold</t>
  </si>
  <si>
    <t>Teruto Ishihara vs. Jose Quinonez</t>
  </si>
  <si>
    <t>27 - 30.28 - 29.28 - 29.</t>
  </si>
  <si>
    <t>http://ufcstats.com/fight-details/58286d3126cc5263</t>
  </si>
  <si>
    <t>UFC Fight Night: Machida vs. Anders</t>
  </si>
  <si>
    <t>Douglas Silva de Andrade vs. Marlon Vera</t>
  </si>
  <si>
    <t>Camila Albuquerque</t>
  </si>
  <si>
    <t>Guilherme Bravo 27 - 30.Joseph Terrell 27 - 30.Tony Weeks 27 - 30.</t>
  </si>
  <si>
    <t>http://ufcstats.com/fight-details/a0ec4eac058e6050</t>
  </si>
  <si>
    <t>Albert Morales vs. Benito Lopez</t>
  </si>
  <si>
    <t>Mike Bell</t>
  </si>
  <si>
    <t>Marcos Rosales 27 - 30.Derek Cleary 28 - 29.Wade Vierra 28 - 29.</t>
  </si>
  <si>
    <t>http://ufcstats.com/fight-details/bc84680df666c96d</t>
  </si>
  <si>
    <t>Alejandro Perez vs. Iuri Alcantara</t>
  </si>
  <si>
    <t>Abe Belardo 27 - 30.Wade Vierra 28 - 29.Jason McCoy 28 - 29.</t>
  </si>
  <si>
    <t>http://ufcstats.com/fight-details/1ed266bed8005bbe</t>
  </si>
  <si>
    <t>The Ultimate Fighter: A New World Champion Finale</t>
  </si>
  <si>
    <t>Sean O'Malley vs. Terrion Ware</t>
  </si>
  <si>
    <t>Sal D'amato 28 - 29.Dave Hagen 28 - 29.Chris Lee 28 - 29.</t>
  </si>
  <si>
    <t>http://ufcstats.com/fight-details/c11b2cbe2460db0c</t>
  </si>
  <si>
    <t>UFC Fight Night: Brunson vs. Machida</t>
  </si>
  <si>
    <t>John Lineker vs. Marlon Vera</t>
  </si>
  <si>
    <t>Marcos Rosales 27 - 30.Guilherme Bravo 28 - 29.Derek Cleary 28 - 29.</t>
  </si>
  <si>
    <t>http://ufcstats.com/fight-details/d4eb3614c7734781</t>
  </si>
  <si>
    <t>Jose Quinonez vs. Diego Rivas</t>
  </si>
  <si>
    <t>Miguel Jimenez 27 - 30.Jeff Mullen 27 - 30.Marcos Rosales 27 - 30.</t>
  </si>
  <si>
    <t>http://ufcstats.com/fight-details/0b89c88d506da083</t>
  </si>
  <si>
    <t>UFC Fight Night: Weidman vs. Gastelum</t>
  </si>
  <si>
    <t>Jimmie Rivera vs. Thomas Almeida</t>
  </si>
  <si>
    <t>Cardo Urso 28 - 29.Doug Crosby 26 - 30.Bryan Miner 27 - 30.</t>
  </si>
  <si>
    <t>http://ufcstats.com/fight-details/7c23770c639dcd22</t>
  </si>
  <si>
    <t>UFC Fight Night: Nelson vs. Ponzinibbio</t>
  </si>
  <si>
    <t>Brett Johns vs. Albert Morales</t>
  </si>
  <si>
    <t>Ben Cartlidge 27 - 30.Maciej Motylewski 27 - 30.Paul Sutherland 25 - 30.</t>
  </si>
  <si>
    <t>http://ufcstats.com/fight-details/2fef7ac78df0cccc</t>
  </si>
  <si>
    <t>UFC Fight Night: Gustafsson vs. Teixeira</t>
  </si>
  <si>
    <t>Pedro Munhoz vs. Damian Stasiak</t>
  </si>
  <si>
    <t>Anders Ohlsson 27 - 30.Mans Nilsson 27 - 29.Andy Roberts 28 - 29.</t>
  </si>
  <si>
    <t>http://ufcstats.com/fight-details/9674c37e3a2bc399</t>
  </si>
  <si>
    <t>UFC Fight Night: Swanson vs. Lobov</t>
  </si>
  <si>
    <t>John Dodson vs. Eddie Wineland</t>
  </si>
  <si>
    <t>Anthony Maness 28 - 29.Roy Silbert 27 - 30.Eric Colon 27 - 30.</t>
  </si>
  <si>
    <t>http://ufcstats.com/fight-details/8b97cd609c7152b7</t>
  </si>
  <si>
    <t>UFC on FOX: Johnson vs. Reis</t>
  </si>
  <si>
    <t>Aljamain Sterling vs. Augusto Mendes</t>
  </si>
  <si>
    <t>Cardo Urso 28 - 29.Sal D'amato 28 - 29.Marcos Rosales 28 - 29.</t>
  </si>
  <si>
    <t>http://ufcstats.com/fight-details/677e98ae5834ba70</t>
  </si>
  <si>
    <t>UFC Fight Night: Belfort vs. Gastelum</t>
  </si>
  <si>
    <t>Rani Yahya vs. Joe Soto</t>
  </si>
  <si>
    <t>Tony Weeks 28 - 29.Fabio Alves 27 - 29.Sal D'amato 27 - 29.</t>
  </si>
  <si>
    <t>http://ufcstats.com/fight-details/dc169cc01d675125</t>
  </si>
  <si>
    <t>UFC Fight Night: Lewis vs. Browne</t>
  </si>
  <si>
    <t>Aiemann Zahabi vs. Reginaldo Vieira</t>
  </si>
  <si>
    <t>Robert MacAvoy 27 - 30.Ian Bridgeman 28 - 29.Sal D'amato 28 - 29.</t>
  </si>
  <si>
    <t>http://ufcstats.com/fight-details/ad9ecef413a5b48f</t>
  </si>
  <si>
    <t>UFC Fight Night: Bermudez vs. The Korean Zombie</t>
  </si>
  <si>
    <t>Ricardo Ramos vs. Michinori Tanaka</t>
  </si>
  <si>
    <t>Danny De Alejandro 28 - 29.Joe Soliz 27 - 30.Joshua Ferraro 28 - 29.</t>
  </si>
  <si>
    <t>http://ufcstats.com/fight-details/66ad9f88f063d2ef</t>
  </si>
  <si>
    <t>UFC 207: Nunes vs. Rousey</t>
  </si>
  <si>
    <t>TJ Dillashaw vs. John Lineker</t>
  </si>
  <si>
    <t>Sal D'amato 26 - 30.Chris Lee 26 - 30.Dave Hagen 26 - 30.</t>
  </si>
  <si>
    <t>http://ufcstats.com/fight-details/7f663d67422c1b24</t>
  </si>
  <si>
    <t>UFC on FOX: VanZant vs. Waterson</t>
  </si>
  <si>
    <t>Urijah Faber vs. Brad Pickett</t>
  </si>
  <si>
    <t>Derek Cleary 26 - 30.Sal D'amato 26 - 30.Marcos Rosales 26 - 30.</t>
  </si>
  <si>
    <t>http://ufcstats.com/fight-details/2cdf841a057d9039</t>
  </si>
  <si>
    <t>UFC 206: Holloway vs. Pettis</t>
  </si>
  <si>
    <t>Mitch Gagnon vs. Matthew Lopez</t>
  </si>
  <si>
    <t>Cardo Urso 28 - 29.Gregory Jackson 28 - 29.Eric Colon 27 - 29.</t>
  </si>
  <si>
    <t>http://ufcstats.com/fight-details/b121f30d7fc9ea6c</t>
  </si>
  <si>
    <t>UFC Fight Night: Mousasi vs. Hall 2</t>
  </si>
  <si>
    <t>Brett Johns vs. Kwan Ho Kwak</t>
  </si>
  <si>
    <t>Rich Mitchell</t>
  </si>
  <si>
    <t>Andreas Gruner 27 - 30.Pawel Harasim 27 - 30.Howard Hughes 26 - 30.</t>
  </si>
  <si>
    <t>http://ufcstats.com/fight-details/a337e11f80a75b7d</t>
  </si>
  <si>
    <t>UFC Fight Night: Cyborg vs. Lansberg</t>
  </si>
  <si>
    <t>Rani Yahya vs. Michinori Tanaka</t>
  </si>
  <si>
    <t>Fabio Alves 28 - 29.Marco Borges 28 - 29.Hallison Pontes 28 - 29.</t>
  </si>
  <si>
    <t>http://ufcstats.com/fight-details/0408a452fb5c3e14</t>
  </si>
  <si>
    <t>Jose Quinonez vs. Joey Gomez</t>
  </si>
  <si>
    <t>Adriana Beltran 28 - 29.Guadalupe Chapa 27 - 30.Hector Maldonado 27 - 30.</t>
  </si>
  <si>
    <t>http://ufcstats.com/fight-details/187681b2843174b5</t>
  </si>
  <si>
    <t>UFC 203: Miocic vs. Overeem</t>
  </si>
  <si>
    <t>Urijah Faber vs. Jimmie Rivera</t>
  </si>
  <si>
    <t>http://ufcstats.com/fight-details/971d9fa5947a4bb7</t>
  </si>
  <si>
    <t>UFC Fight Night: Arlovski vs. Barnett</t>
  </si>
  <si>
    <t>Taylor Lapilus vs. Leandro Issa</t>
  </si>
  <si>
    <t>Mark Collett 27 - 30.Paul Sutherland 27 - 30.Howard Hughes 28 - 29.</t>
  </si>
  <si>
    <t>http://ufcstats.com/fight-details/f24144fbe9e32c10</t>
  </si>
  <si>
    <t>UFC 201: Lawler vs. Woodley</t>
  </si>
  <si>
    <t>Francisco Rivera vs. Erik Perez</t>
  </si>
  <si>
    <t>Jon Marigliano 26 - 30.Chris Lee 26 - 30.Derek Cleary 28 - 29.</t>
  </si>
  <si>
    <t>http://ufcstats.com/fight-details/3cf1d67a20ae1c18</t>
  </si>
  <si>
    <t>UFC 200: Tate vs Nunes</t>
  </si>
  <si>
    <t>TJ Dillashaw vs. Raphael Assuncao</t>
  </si>
  <si>
    <t>Junichiro Kamijo 27 - 30.Chris Lee 27 - 30.Jeff Mullen 27 - 30.</t>
  </si>
  <si>
    <t>http://ufcstats.com/fight-details/c1f74805a4ff9396</t>
  </si>
  <si>
    <t>UFC 198: Werdum vs Miocic</t>
  </si>
  <si>
    <t>John Lineker vs. Rob Font</t>
  </si>
  <si>
    <t>Glenn Trowbridge 27 - 30.Otto Torriero 28 - 29.Hallison Pontes 26 - 30.</t>
  </si>
  <si>
    <t>http://ufcstats.com/fight-details/040f227553de7838</t>
  </si>
  <si>
    <t>Davey Grant vs. Marlon Vera</t>
  </si>
  <si>
    <t>Ben Cartlidge 26 - 30.Howard Hughes 26 - 30.Maciej Motylewski 26 - 30.</t>
  </si>
  <si>
    <t>http://ufcstats.com/fight-details/c959b92fb36220a3</t>
  </si>
  <si>
    <t>UFC on FOX: Johnson vs. Bader</t>
  </si>
  <si>
    <t>Iuri Alcantara vs. Jimmie Rivera</t>
  </si>
  <si>
    <t>Michelle Agustin 28 - 29.Ricardo Almeida 28 - 29.Derek Cleary 28 - 29.</t>
  </si>
  <si>
    <t>http://ufcstats.com/fight-details/4ce0a62cdad7bf32</t>
  </si>
  <si>
    <t>UFC 194: Aldo vs McGregor</t>
  </si>
  <si>
    <t>Urijah Faber vs. Frankie Saenz</t>
  </si>
  <si>
    <t>28 - 29.28 - 29.27 - 30.</t>
  </si>
  <si>
    <t>http://ufcstats.com/fight-details/c4fd59db24f978ec</t>
  </si>
  <si>
    <t>UFC Fight Night: Magny vs Gastelum</t>
  </si>
  <si>
    <t>Erik Perez vs. Taylor Lapilus</t>
  </si>
  <si>
    <t>Derek Cleary 28 - 29.Eric Colon 28 - 29.Cardo Urso 28 - 29.</t>
  </si>
  <si>
    <t>http://ufcstats.com/fight-details/83b32e9300fec365</t>
  </si>
  <si>
    <t>UFC Fight Night: Barnett vs Nelson</t>
  </si>
  <si>
    <t>Takeya Mizugaki vs. George Roop</t>
  </si>
  <si>
    <t>Neil Swailes</t>
  </si>
  <si>
    <t>Junichiro Kamijo 28 - 29.Charlie Keech 28 - 29.Christopher Shen 28 - 29.</t>
  </si>
  <si>
    <t>http://ufcstats.com/fight-details/e7e244a0bf244e61</t>
  </si>
  <si>
    <t>UFC 190: Rousey vs Correia</t>
  </si>
  <si>
    <t>Iuri Alcantara vs. Leandro Issa</t>
  </si>
  <si>
    <t>Hallison Pontes 28 - 29.Tony Weeks 28 - 29.Richard Bertrand 27 - 29.</t>
  </si>
  <si>
    <t>http://ufcstats.com/fight-details/7c9830ee4835f757</t>
  </si>
  <si>
    <t>Hugo Viana vs. Guido Cannetti</t>
  </si>
  <si>
    <t>Richard Bertrand 28 - 29.Sal D'amato 28 - 29.Tony Weeks 28 - 29.</t>
  </si>
  <si>
    <t>http://ufcstats.com/fight-details/f7ffa11d592f4092</t>
  </si>
  <si>
    <t>UFC on FOX: Dillashaw vs. Barao II</t>
  </si>
  <si>
    <t>Eddie Wineland vs. Bryan Caraway</t>
  </si>
  <si>
    <t>Yves Lavigne</t>
  </si>
  <si>
    <t>Kelvin Caldwell 28 - 29.Brian Puccillo 28 - 29.Clay Goodman 27 - 30.</t>
  </si>
  <si>
    <t>http://ufcstats.com/fight-details/23fd9d50a99665fe</t>
  </si>
  <si>
    <t>Scott Jorgensen vs. Manvel Gamburyan</t>
  </si>
  <si>
    <t>Mike Bell 27 - 30.Derek Cleary 28 - 29.Wade Vierra 27 - 30.</t>
  </si>
  <si>
    <t>http://ufcstats.com/fight-details/ea967877dd4d6efb</t>
  </si>
  <si>
    <t>The Ultimate Fighter: American Top Team vs. Blackzilians Finale</t>
  </si>
  <si>
    <t>Russell Doane vs. Jerrod Sanders</t>
  </si>
  <si>
    <t>Sal D'amato 28 - 29.Derek Cleary 27 - 30.Patricia Morse-Jarman 28 - 29.</t>
  </si>
  <si>
    <t>http://ufcstats.com/fight-details/c8ec30a470f08748</t>
  </si>
  <si>
    <t>UFC 189: Mendes vs McGregor</t>
  </si>
  <si>
    <t>Cody Garbrandt vs. Henry Briones</t>
  </si>
  <si>
    <t>Sal D'amato 27 - 30.Junichiro Kamijo 27 - 30.Patricia Morse-Jarman 27 - 30.</t>
  </si>
  <si>
    <t>http://ufcstats.com/fight-details/8c8c2499d89da07c</t>
  </si>
  <si>
    <t>UFC Fight Night: Machida vs Romero</t>
  </si>
  <si>
    <t>Danny Martinez vs. Sirwan Kakai</t>
  </si>
  <si>
    <t>Richard Bertrand 27 - 30.Hector Gomez 27 - 30.Eliseo Rodriguez 27 - 30.</t>
  </si>
  <si>
    <t>http://ufcstats.com/fight-details/913d6763b570d060</t>
  </si>
  <si>
    <t>Petr Yan vs. Merab Dvalishvili</t>
  </si>
  <si>
    <t>Mike Bell 45 - 50.Sal D'amato 45 - 50.Junichiro Kamijo 45 - 50.</t>
  </si>
  <si>
    <t>http://ufcstats.com/fight-details/0ccd2593c88209e4</t>
  </si>
  <si>
    <t>UFC Fight Night: Font vs. Vera</t>
  </si>
  <si>
    <t>Rob Font vs. Marlon Vera</t>
  </si>
  <si>
    <t>Mike Bell 47 - 48.Sal D'amato 46 - 49.Junichiro Kamijo 46 - 49.</t>
  </si>
  <si>
    <t>http://ufcstats.com/fight-details/5ae5eb729c6bb169</t>
  </si>
  <si>
    <t>UFC Fight Night: Font vs. Aldo</t>
  </si>
  <si>
    <t>Rob Font vs. Jose Aldo</t>
  </si>
  <si>
    <t>Derek Cleary 45 - 50.Junichiro Kamijo 45 - 50.Sal D'amato 46 - 49.</t>
  </si>
  <si>
    <t>http://ufcstats.com/fight-details/3109d1151f149aaf</t>
  </si>
  <si>
    <t>UFC Fight Night: Font vs. Garbrandt</t>
  </si>
  <si>
    <t>Rob Font vs. Cody Garbrandt</t>
  </si>
  <si>
    <t>Derek Cleary 47 - 48.Sal D'amato 45 - 50.Junichiro Kamijo 45 - 50.</t>
  </si>
  <si>
    <t>http://ufcstats.com/fight-details/d16f7ab4e28171ea</t>
  </si>
  <si>
    <t>UFC Fight Night: Boetsch vs Henderson</t>
  </si>
  <si>
    <t>Francisco Rivera vs. Alex Caceres</t>
  </si>
  <si>
    <t>http://ufcstats.com/fight-details/c611e81778c0b1fc</t>
  </si>
  <si>
    <t>Boston Salmon vs. Khalid Taha</t>
  </si>
  <si>
    <t>http://ufcstats.com/fight-details/2456c4550c26e5e8</t>
  </si>
  <si>
    <t>UFC Fight Night: Overeem vs. Volkov</t>
  </si>
  <si>
    <t>Cory Sandhagen vs. Frankie Edgar</t>
  </si>
  <si>
    <t>http://ufcstats.com/fight-details/9ef858837dfc65eb</t>
  </si>
  <si>
    <t>Tyson Nam vs. Zarrukh Adashev</t>
  </si>
  <si>
    <t>http://ufcstats.com/fight-details/dfbb110855354039</t>
  </si>
  <si>
    <t>UFC Fight Night: Rivera vs. Moraes</t>
  </si>
  <si>
    <t>Jimmie Rivera vs. Marlon Moraes</t>
  </si>
  <si>
    <t>http://ufcstats.com/fight-details/69b147aaaafeb47d</t>
  </si>
  <si>
    <t>UFC Fight Night: Lewis vs. Spivac</t>
  </si>
  <si>
    <t>Toshiomi Kazama vs. Rinya Nakamura</t>
  </si>
  <si>
    <t>http://ufcstats.com/fight-details/a8067e65eb737a09</t>
  </si>
  <si>
    <t>UFC on FOX: Teixeira vs Evans</t>
  </si>
  <si>
    <t>John Dodson vs. Manvel Gamburyan</t>
  </si>
  <si>
    <t>James Warring</t>
  </si>
  <si>
    <t>http://ufcstats.com/fight-details/249b75a787dccfe6</t>
  </si>
  <si>
    <t>Journey Newson vs. Randy Costa</t>
  </si>
  <si>
    <t>http://ufcstats.com/fight-details/42ecb9a94bebc24d</t>
  </si>
  <si>
    <t>Urijah Faber vs. Ricky Simon</t>
  </si>
  <si>
    <t>http://ufcstats.com/fight-details/75b1533cc3cafae9</t>
  </si>
  <si>
    <t>UFC Fight Night: Luque vs. Muhammad</t>
  </si>
  <si>
    <t>Alatengheili vs. Kevin Croom</t>
  </si>
  <si>
    <t>http://ufcstats.com/fight-details/fb7ebdda8658fa05</t>
  </si>
  <si>
    <t>UFC 202: Diaz vs. McGregor 2</t>
  </si>
  <si>
    <t>Cody Garbrandt vs. Takeya Mizugaki</t>
  </si>
  <si>
    <t>http://ufcstats.com/fight-details/dbc72a4092a0b296</t>
  </si>
  <si>
    <t>UFC 261: Usman vs. Masvidal 2</t>
  </si>
  <si>
    <t>Danaa Batgerel vs. Kevin Natividad</t>
  </si>
  <si>
    <t>http://ufcstats.com/fight-details/eb5d62bda1581c62</t>
  </si>
  <si>
    <t>UFC Fight Night: Ortega vs. The Korean Zombie</t>
  </si>
  <si>
    <t>Said Nurmagomedov vs. Mark Striegl</t>
  </si>
  <si>
    <t>http://ufcstats.com/fight-details/024a04f78b37b7d9</t>
  </si>
  <si>
    <t>UFC Fight Night: Grasso vs. Shevchenko 2</t>
  </si>
  <si>
    <t>Raul Rosas Jr. vs. Terrence Mitchell</t>
  </si>
  <si>
    <t>http://ufcstats.com/fight-details/c0ca4c201d086ea8</t>
  </si>
  <si>
    <t>UFC Fight Night: Kattar vs. Emmett</t>
  </si>
  <si>
    <t>Eddie Wineland vs. Cody Stamann</t>
  </si>
  <si>
    <t>http://ufcstats.com/fight-details/8b5c760f34daafe0</t>
  </si>
  <si>
    <t>UFC 289: Nunes vs. Aldana</t>
  </si>
  <si>
    <t>Aiemann Zahabi vs. Aoriqileng</t>
  </si>
  <si>
    <t>http://ufcstats.com/fight-details/e24b65cd8721349a</t>
  </si>
  <si>
    <t>Iuri Alcantara vs. Joe Soto</t>
  </si>
  <si>
    <t>http://ufcstats.com/fight-details/fa77134e0d90da3b</t>
  </si>
  <si>
    <t>Marlon Moraes vs. Aljamain Sterling</t>
  </si>
  <si>
    <t>Knee to Head At Distance</t>
  </si>
  <si>
    <t>http://ufcstats.com/fight-details/1aaa1a9ceecd6063</t>
  </si>
  <si>
    <t>UFC Fight Night: Volkov vs. Rozenstruik</t>
  </si>
  <si>
    <t>Johnny Munoz vs. Tony Gravely</t>
  </si>
  <si>
    <t>http://ufcstats.com/fight-details/43d7d4b67be48553</t>
  </si>
  <si>
    <t>Marlon Vera vs. Frankie Saenz</t>
  </si>
  <si>
    <t>Jimmy Neely</t>
  </si>
  <si>
    <t>http://ufcstats.com/fight-details/971b3d35c302cf8f</t>
  </si>
  <si>
    <t>UFC Fight Night: Bisping vs Leites</t>
  </si>
  <si>
    <t>Marcus Brimage vs. Jimmie Rivera</t>
  </si>
  <si>
    <t>http://ufcstats.com/fight-details/9cbdbbc414d6dd83</t>
  </si>
  <si>
    <t>Joe Soto vs. Anthony Birchak</t>
  </si>
  <si>
    <t>http://ufcstats.com/fight-details/cad44cd2466fb68f</t>
  </si>
  <si>
    <t>UFC 250: Nunes vs. Spencer</t>
  </si>
  <si>
    <t>Eddie Wineland vs. Sean O'Malley</t>
  </si>
  <si>
    <t>http://ufcstats.com/fight-details/58584ccd0f63e3f3</t>
  </si>
  <si>
    <t>UFC Fight Night: Brunson vs. Holland</t>
  </si>
  <si>
    <t>Montel Jackson vs. Jesse Strader</t>
  </si>
  <si>
    <t>http://ufcstats.com/fight-details/b8a0047c927faa75</t>
  </si>
  <si>
    <t>Frankie Edgar vs. Chris Gutierrez</t>
  </si>
  <si>
    <t>http://ufcstats.com/fight-details/09afa6ce4747a1a2</t>
  </si>
  <si>
    <t>UFC Fight Night: Ladd vs. Dumont</t>
  </si>
  <si>
    <t>Danaa Batgerel vs. Brandon Davis</t>
  </si>
  <si>
    <t>http://ufcstats.com/fight-details/cf020c71f1dbfa0b</t>
  </si>
  <si>
    <t>Louis Smolka vs. Vince Morales</t>
  </si>
  <si>
    <t>http://ufcstats.com/fight-details/1ce1a43ef68ffc7d</t>
  </si>
  <si>
    <t>UFC 248: Adesanya vs. Romero</t>
  </si>
  <si>
    <t>Sean O'Malley vs. Jose Quinonez</t>
  </si>
  <si>
    <t>http://ufcstats.com/fight-details/cd258394e8d58d04</t>
  </si>
  <si>
    <t>UFC Fight Night: Santos vs. Walker</t>
  </si>
  <si>
    <t>Douglas Silva de Andrade vs. Gaetano Pirrello</t>
  </si>
  <si>
    <t>http://ufcstats.com/fight-details/5f444eac11e55161</t>
  </si>
  <si>
    <t>UFC 239: Jones vs. Santos</t>
  </si>
  <si>
    <t>Alejandro Perez vs. Song Yadong</t>
  </si>
  <si>
    <t>http://ufcstats.com/fight-details/00f4b6184f6315d0</t>
  </si>
  <si>
    <t>Marlon Moraes vs. Song Yadong</t>
  </si>
  <si>
    <t>http://ufcstats.com/fight-details/9b46a662b8fa1d8d</t>
  </si>
  <si>
    <t>Kris Moutinho vs. Guido Cannetti</t>
  </si>
  <si>
    <t>http://ufcstats.com/fight-details/b400c29fbeee0206</t>
  </si>
  <si>
    <t>UFC Fight Night: Reyes vs. Weidman</t>
  </si>
  <si>
    <t>Randy Costa vs. Boston Salmon</t>
  </si>
  <si>
    <t>http://ufcstats.com/fight-details/38d6c2538ce6ec4c</t>
  </si>
  <si>
    <t>UFC Fight Night: Luque vs. Dos Anjos</t>
  </si>
  <si>
    <t>JP Buys vs. Marcus McGhee</t>
  </si>
  <si>
    <t>http://ufcstats.com/fight-details/2c160a1d1fdbf0b0</t>
  </si>
  <si>
    <t>UFC Fight Night: Assuncao vs. Moraes 2</t>
  </si>
  <si>
    <t>Ricardo Ramos vs. Said Nurmagomedov</t>
  </si>
  <si>
    <t>Spinning Back Kick Body</t>
  </si>
  <si>
    <t>http://ufcstats.com/fight-details/9192053a3884aadf</t>
  </si>
  <si>
    <t>The Ultimate Fighter: Heavy Hitters Finale</t>
  </si>
  <si>
    <t>Pedro Munhoz vs. Bryan Caraway</t>
  </si>
  <si>
    <t>Kick to Body At Distance</t>
  </si>
  <si>
    <t>http://ufcstats.com/fight-details/aa7d691fc6385acb</t>
  </si>
  <si>
    <t>UFC Fight Night: McDonald vs. Lineker</t>
  </si>
  <si>
    <t>Michael McDonald vs. John Lineker</t>
  </si>
  <si>
    <t>http://ufcstats.com/fight-details/08c6b88ac22717ed</t>
  </si>
  <si>
    <t>UFC Fight Night: Hall vs. Silva</t>
  </si>
  <si>
    <t>Adrian Yanez vs. Victor Rodriguez</t>
  </si>
  <si>
    <t>http://ufcstats.com/fight-details/4e566bd7094b49da</t>
  </si>
  <si>
    <t>UFC Fight Night: Lemos vs. Andrade</t>
  </si>
  <si>
    <t>Aoriqileng vs. Cameron Else</t>
  </si>
  <si>
    <t>http://ufcstats.com/fight-details/926977ec3ed0ebe1</t>
  </si>
  <si>
    <t>Thomas Almeida vs. Cody Garbrandt</t>
  </si>
  <si>
    <t>http://ufcstats.com/fight-details/8d9b460143ae19bc</t>
  </si>
  <si>
    <t>Rob Font vs. Adrian Yanez</t>
  </si>
  <si>
    <t>http://ufcstats.com/fight-details/678d27af287476f8</t>
  </si>
  <si>
    <t>Johnny Eduardo vs. Matthew Lopez</t>
  </si>
  <si>
    <t>http://ufcstats.com/fight-details/36f0c6d7126e09ee</t>
  </si>
  <si>
    <t>Danaa Batgerel vs. Guido Cannetti</t>
  </si>
  <si>
    <t>http://ufcstats.com/fight-details/467e08195b29e857</t>
  </si>
  <si>
    <t>Eddie Wineland vs. Takeya Mizugaki</t>
  </si>
  <si>
    <t>Ed Collantes</t>
  </si>
  <si>
    <t>http://ufcstats.com/fight-details/ca6d4239726931f9</t>
  </si>
  <si>
    <t>UFC Fight Night: Blaydes vs. Lewis</t>
  </si>
  <si>
    <t>Aiemann Zahabi vs. Drako Rodriguez</t>
  </si>
  <si>
    <t>http://ufcstats.com/fight-details/b9cd4910f0ecff45</t>
  </si>
  <si>
    <t>UFC 290: Volkanovski vs. Rodriguez</t>
  </si>
  <si>
    <t>Cameron Saaiman vs. Terrence Mitchell</t>
  </si>
  <si>
    <t>Punches to Head From Bottom Mount</t>
  </si>
  <si>
    <t>http://ufcstats.com/fight-details/dbf8a4b0870a47d1</t>
  </si>
  <si>
    <t>UFC Fight Night: Gane vs. Tuivasa</t>
  </si>
  <si>
    <t>Khalid Taha vs. Cristian Quinonez</t>
  </si>
  <si>
    <t>http://ufcstats.com/fight-details/ca7fd237c16cec84</t>
  </si>
  <si>
    <t>UFC Fight Night: Cowboy vs. Edwards</t>
  </si>
  <si>
    <t>Teruto Ishihara vs. Petr Yan</t>
  </si>
  <si>
    <t>http://ufcstats.com/fight-details/8167bd097a16062f</t>
  </si>
  <si>
    <t>UFC Fight Night: Pavlovich vs. Blaydes</t>
  </si>
  <si>
    <t>Rani Yahya vs. Montel Jackson</t>
  </si>
  <si>
    <t>http://ufcstats.com/fight-details/034cbbec91f67852</t>
  </si>
  <si>
    <t>Marlon Moraes vs. Rob Font</t>
  </si>
  <si>
    <t>http://ufcstats.com/fight-details/8955ea3c7c332e6c</t>
  </si>
  <si>
    <t>The Ultimate Fighter: Tournament of Champions Finale</t>
  </si>
  <si>
    <t>Rob Font vs. Matt Schnell</t>
  </si>
  <si>
    <t>http://ufcstats.com/fight-details/63b35df1276b3d64</t>
  </si>
  <si>
    <t>Adrian Yanez vs. Tony Kelley</t>
  </si>
  <si>
    <t>http://ufcstats.com/fight-details/20cefe64f4b28be8</t>
  </si>
  <si>
    <t>UFC Fight Night: Rothwell vs Dos Santos</t>
  </si>
  <si>
    <t>Ian Entwistle vs. Alejandro Perez</t>
  </si>
  <si>
    <t>Punches to Head On GroundSubmission to Strikes</t>
  </si>
  <si>
    <t>http://ufcstats.com/fight-details/d1d7400c131ed40e</t>
  </si>
  <si>
    <t>UFC Fight Night: Holm vs. Correia</t>
  </si>
  <si>
    <t>Kwan Ho Kwak vs. Russell Doane</t>
  </si>
  <si>
    <t>http://ufcstats.com/fight-details/361e67af5f462aea</t>
  </si>
  <si>
    <t>UFC 186: Johnson vs Horiguchi</t>
  </si>
  <si>
    <t>Yves Jabouin vs. Thomas Almeida</t>
  </si>
  <si>
    <t>http://ufcstats.com/fight-details/78f1457371e2ef6b</t>
  </si>
  <si>
    <t>Thomas Almeida vs. Anthony Birchak</t>
  </si>
  <si>
    <t>http://ufcstats.com/fight-details/3c6659f1b09760ba</t>
  </si>
  <si>
    <t>Umar Nurmagomedov vs. Raoni Barcelos</t>
  </si>
  <si>
    <t>http://ufcstats.com/fight-details/a4c7d59d340794c0</t>
  </si>
  <si>
    <t>Elbows to Head From Guard</t>
  </si>
  <si>
    <t>http://ufcstats.com/fight-details/7200343d2e957cf3</t>
  </si>
  <si>
    <t>Raulian Paiva vs. Sean O'Malley</t>
  </si>
  <si>
    <t>http://ufcstats.com/fight-details/8c01b7dccc4d0926</t>
  </si>
  <si>
    <t>Louis Smolka vs. Ryan MacDonald</t>
  </si>
  <si>
    <t>http://ufcstats.com/fight-details/241687ff5fe92331</t>
  </si>
  <si>
    <t>Eddie Wineland vs. John Castaneda</t>
  </si>
  <si>
    <t>http://ufcstats.com/fight-details/990c2378caec68d4</t>
  </si>
  <si>
    <t>Cody Garbrandt vs. Pedro Munhoz</t>
  </si>
  <si>
    <t>http://ufcstats.com/fight-details/39fa341fb9161d6f</t>
  </si>
  <si>
    <t>Patrick Williams vs. Tom Duquesnoy</t>
  </si>
  <si>
    <t>http://ufcstats.com/fight-details/20be16a1db95156c</t>
  </si>
  <si>
    <t>Brad Pickett vs. Thomas Almeida</t>
  </si>
  <si>
    <t>http://ufcstats.com/fight-details/a9d8ddb49dbe414b</t>
  </si>
  <si>
    <t>Tyson Nam vs. Jerome Rivera</t>
  </si>
  <si>
    <t>http://ufcstats.com/fight-details/579f3280456ad450</t>
  </si>
  <si>
    <t>Kyler Phillips vs. Cameron Else</t>
  </si>
  <si>
    <t>Elbows to Head From Back Control</t>
  </si>
  <si>
    <t>http://ufcstats.com/fight-details/c00a8682fb5b71bd</t>
  </si>
  <si>
    <t>UFC Fight Night: Bader vs. Nogueira</t>
  </si>
  <si>
    <t>Johnny Eduardo vs. Manvel Gamburyan</t>
  </si>
  <si>
    <t>http://ufcstats.com/fight-details/02b39d683f027517</t>
  </si>
  <si>
    <t>Mario Bautista vs. Trevin Jones</t>
  </si>
  <si>
    <t>http://ufcstats.com/fight-details/c096342c57a6f2c4</t>
  </si>
  <si>
    <t>Renan Barao vs. Luke Sanders</t>
  </si>
  <si>
    <t>http://ufcstats.com/fight-details/7fec3b1ec923ad24</t>
  </si>
  <si>
    <t>UFC Fight Night: Gaethje vs. Vick</t>
  </si>
  <si>
    <t>Cory Sandhagen vs. Iuri Alcantara</t>
  </si>
  <si>
    <t>Brandon Pfannenstiel</t>
  </si>
  <si>
    <t>http://ufcstats.com/fight-details/3e0090669d51415f</t>
  </si>
  <si>
    <t>Marlon Moraes vs. Cory Sandhagen</t>
  </si>
  <si>
    <t>Kick to Head At DistanceWheel Kick</t>
  </si>
  <si>
    <t>http://ufcstats.com/fight-details/727ecd251325b6a8</t>
  </si>
  <si>
    <t>Luke Sanders vs. Andre Soukhamthath</t>
  </si>
  <si>
    <t>http://ufcstats.com/fight-details/fbce8f52689bce87</t>
  </si>
  <si>
    <t>UFC Fight Night: Jedrzejczyk vs Penne</t>
  </si>
  <si>
    <t>Taylor Lapilus vs. Yuta Sasaki</t>
  </si>
  <si>
    <t>Wolf Menninger</t>
  </si>
  <si>
    <t>http://ufcstats.com/fight-details/312c742e614f8993</t>
  </si>
  <si>
    <t>UFC Fight Night: Whittaker vs. Gastelum</t>
  </si>
  <si>
    <t>Tony Gravely vs. Anthony Birchak</t>
  </si>
  <si>
    <t>http://ufcstats.com/fight-details/24ff385ca78c80d3</t>
  </si>
  <si>
    <t>UFC Fight Night: Holloway vs. Rodriguez</t>
  </si>
  <si>
    <t>Song Yadong vs. Julio Arce</t>
  </si>
  <si>
    <t>http://ufcstats.com/fight-details/73c97d5c314f1270</t>
  </si>
  <si>
    <t>Thomas Almeida vs. Albert Morales</t>
  </si>
  <si>
    <t>http://ufcstats.com/fight-details/ac656cebef8cf0a4</t>
  </si>
  <si>
    <t>Miles Johns vs. Mario Bautista</t>
  </si>
  <si>
    <t>http://ufcstats.com/fight-details/d3f44fedc561d2d5</t>
  </si>
  <si>
    <t>Nate Maness vs. Tony Gravely</t>
  </si>
  <si>
    <t>http://ufcstats.com/fight-details/576b795e33ddd62d</t>
  </si>
  <si>
    <t>Adrian Yanez vs. Randy Costa</t>
  </si>
  <si>
    <t>http://ufcstats.com/fight-details/43c391b251337c9b</t>
  </si>
  <si>
    <t>UFC Fight Night: Lewis vs. Daukaus</t>
  </si>
  <si>
    <t>Raphael Assuncao vs. Ricky Simon</t>
  </si>
  <si>
    <t>http://ufcstats.com/fight-details/a43dcd04788d95c7</t>
  </si>
  <si>
    <t>UFC Fight Night: Hermansson vs. Vettori</t>
  </si>
  <si>
    <t>Louis Smolka vs. Jose Quinonez</t>
  </si>
  <si>
    <t>http://ufcstats.com/fight-details/771d8ce136a12a13</t>
  </si>
  <si>
    <t>Saimon Oliveira vs. Daniel Marcos</t>
  </si>
  <si>
    <t>Knees to Body At Distance</t>
  </si>
  <si>
    <t>http://ufcstats.com/fight-details/1d35e4c0941d1397</t>
  </si>
  <si>
    <t>UFC 220: Miocic vs. Ngannou</t>
  </si>
  <si>
    <t>Thomas Almeida vs. Rob Font</t>
  </si>
  <si>
    <t>Kick to Head In Clinch</t>
  </si>
  <si>
    <t>http://ufcstats.com/fight-details/889207e3c622a5aa</t>
  </si>
  <si>
    <t>http://ufcstats.com/fight-details/0d6d212fcdf47f2e</t>
  </si>
  <si>
    <t>UFC Fight Night: Blaydes vs. Daukaus</t>
  </si>
  <si>
    <t>Chris Gutierrez vs. Batgerel Danaa</t>
  </si>
  <si>
    <t>Spinning Back Fist Head</t>
  </si>
  <si>
    <t>http://ufcstats.com/fight-details/d0b7a79d3e7f3362</t>
  </si>
  <si>
    <t>UFC Fight Night: Edwards vs. Muhammad</t>
  </si>
  <si>
    <t>Jonathan Martinez vs. Davey Grant</t>
  </si>
  <si>
    <t>http://ufcstats.com/fight-details/70aa6b8f863e6861</t>
  </si>
  <si>
    <t>Matthew Lopez vs. Alejandro Perez</t>
  </si>
  <si>
    <t>Nic Jones</t>
  </si>
  <si>
    <t>http://ufcstats.com/fight-details/bd1e01de1f24962b</t>
  </si>
  <si>
    <t>Julio Arce vs. Andre Ewell</t>
  </si>
  <si>
    <t>http://ufcstats.com/fight-details/cade0268dec56f3d</t>
  </si>
  <si>
    <t>Da'Mon Blackshear vs. Luan Lacerda</t>
  </si>
  <si>
    <t>http://ufcstats.com/fight-details/72bb7605e340a8fe</t>
  </si>
  <si>
    <t>UFC Fight Night: Dillashaw vs Cruz</t>
  </si>
  <si>
    <t>Rob Font vs. Joey Gomez</t>
  </si>
  <si>
    <t>http://ufcstats.com/fight-details/18cdc16fc7ab7ce1</t>
  </si>
  <si>
    <t>Randy Costa vs. Tony Kelley</t>
  </si>
  <si>
    <t>Elbows to Head From Half Guard</t>
  </si>
  <si>
    <t>http://ufcstats.com/fight-details/8bcdcfb0f93f1409</t>
  </si>
  <si>
    <t>Cub Swanson vs. Jonathan Martinez</t>
  </si>
  <si>
    <t>http://ufcstats.com/fight-details/1af23e7aa71a1d17</t>
  </si>
  <si>
    <t>UFC 266: Volkanovski vs. Ortega</t>
  </si>
  <si>
    <t>Marlon Moraes vs. Merab Dvalishvili</t>
  </si>
  <si>
    <t>http://ufcstats.com/fight-details/bc276e0f07e30a54</t>
  </si>
  <si>
    <t>Alejandro Perez vs. Scott Jorgensen</t>
  </si>
  <si>
    <t>toLeg Injury</t>
  </si>
  <si>
    <t>http://ufcstats.com/fight-details/4339e30a856c1da8</t>
  </si>
  <si>
    <t>Eddie Wineland vs. Grigory Popov</t>
  </si>
  <si>
    <t>http://ufcstats.com/fight-details/aa430402314b4459</t>
  </si>
  <si>
    <t>UFC 237: Namajunas vs. Andrade</t>
  </si>
  <si>
    <t>Raoni Barcelos vs. Carlos Huachin</t>
  </si>
  <si>
    <t>http://ufcstats.com/fight-details/1218cba28d4dce94</t>
  </si>
  <si>
    <t>Marlon Vera vs. Wuliji Buren</t>
  </si>
  <si>
    <t>http://ufcstats.com/fight-details/8e971c1ec4b981cc</t>
  </si>
  <si>
    <t>Raphael Assuncao vs. Cody Garbrandt</t>
  </si>
  <si>
    <t>http://ufcstats.com/fight-details/0ddf834a47533d15</t>
  </si>
  <si>
    <t>Felipe Arantes vs. Song Yadong</t>
  </si>
  <si>
    <t>Elbow to Head In Clinch</t>
  </si>
  <si>
    <t>http://ufcstats.com/fight-details/c5c5f678558a0ba2</t>
  </si>
  <si>
    <t>UFC Fight Night: Edgar vs Faber</t>
  </si>
  <si>
    <t>Guangyou Ning vs. Royston Wee</t>
  </si>
  <si>
    <t>http://ufcstats.com/fight-details/80551dceed42e7ab</t>
  </si>
  <si>
    <t>UFC 232: Jones vs. Gustafsson 2</t>
  </si>
  <si>
    <t>Douglas Silva de Andrade vs. Petr Yan</t>
  </si>
  <si>
    <t>toCorner Stoppage</t>
  </si>
  <si>
    <t>http://ufcstats.com/fight-details/498e7b0800af226c</t>
  </si>
  <si>
    <t>John Dodson vs. Nathaniel Wood</t>
  </si>
  <si>
    <t>http://ufcstats.com/fight-details/08426f06239d903c</t>
  </si>
  <si>
    <t>Adrian Yanez vs. Gustavo Lopez</t>
  </si>
  <si>
    <t>http://ufcstats.com/fight-details/afc86d1076c4c3a9</t>
  </si>
  <si>
    <t>Petr Yan vs. Urijah Faber</t>
  </si>
  <si>
    <t>http://ufcstats.com/fight-details/a0c82ba11a373008</t>
  </si>
  <si>
    <t>UFC Fight Night: Blachowicz vs. Rakic</t>
  </si>
  <si>
    <t>Davey Grant vs. Louis Smolka</t>
  </si>
  <si>
    <t>http://ufcstats.com/fight-details/43543a2c1c7a7135</t>
  </si>
  <si>
    <t>Frankie Saenz vs. Jonathan Martinez</t>
  </si>
  <si>
    <t>http://ufcstats.com/fight-details/94b48b98d0292720</t>
  </si>
  <si>
    <t>Miles Johns vs. Anderson Dos Santos</t>
  </si>
  <si>
    <t>http://ufcstats.com/fight-details/9a678f346946b6a4</t>
  </si>
  <si>
    <t>Raphael Assuncao vs. Matthew Lopez</t>
  </si>
  <si>
    <t>http://ufcstats.com/fight-details/151c597d2e609a4e</t>
  </si>
  <si>
    <t>UFC on FOX: Holm vs. Shevchenko</t>
  </si>
  <si>
    <t>Frankie Saenz vs. Eddie Wineland</t>
  </si>
  <si>
    <t>http://ufcstats.com/fight-details/8167500af262bba5</t>
  </si>
  <si>
    <t>UFC 217: Bisping vs. St-Pierre</t>
  </si>
  <si>
    <t>Aiemann Zahabi vs. Ricardo Ramos</t>
  </si>
  <si>
    <t>Spinning Back Elbow to Head At DistanceSpinning Back Elbow</t>
  </si>
  <si>
    <t>http://ufcstats.com/fight-details/56d8cc470841f454</t>
  </si>
  <si>
    <t>Henry Briones vs. Douglas Silva de Andrade</t>
  </si>
  <si>
    <t>http://ufcstats.com/fight-details/29df50b2ea446361</t>
  </si>
  <si>
    <t>Vince Cachero vs. Ronnie Lawrence</t>
  </si>
  <si>
    <t>http://ufcstats.com/fight-details/11a83369d49ad138</t>
  </si>
  <si>
    <t>UFC 251: Usman vs. Masvidal</t>
  </si>
  <si>
    <t>Martin Day vs. Davey Grant</t>
  </si>
  <si>
    <t>http://ufcstats.com/fight-details/5d6fb4acfe5cc8a1</t>
  </si>
  <si>
    <t>Miles Johns vs. Kevin Natividad</t>
  </si>
  <si>
    <t>http://ufcstats.com/fight-details/7e6f12a95c14f9de</t>
  </si>
  <si>
    <t>UFC Fight Night: Joanna vs. Waterson</t>
  </si>
  <si>
    <t>Marlon Vera vs. Andre Ewell</t>
  </si>
  <si>
    <t>http://ufcstats.com/fight-details/70f01e9ff0b4e519</t>
  </si>
  <si>
    <t>Chad Anheliger vs. Jesse Strader</t>
  </si>
  <si>
    <t>http://ufcstats.com/fight-details/ea63f56779100678</t>
  </si>
  <si>
    <t>UFC Fight Night: Cerrone vs. Till</t>
  </si>
  <si>
    <t>Damian Stasiak vs. Brian Kelleher</t>
  </si>
  <si>
    <t>Piotr Michalak</t>
  </si>
  <si>
    <t>http://ufcstats.com/fight-details/4dcd6ff5e32a3779</t>
  </si>
  <si>
    <t>UFC 224: Nunes vs. Pennington</t>
  </si>
  <si>
    <t>John Lineker vs. Brian Kelleher</t>
  </si>
  <si>
    <t>http://ufcstats.com/fight-details/b152646345037056</t>
  </si>
  <si>
    <t>UFC 268: Usman vs. Covington 2</t>
  </si>
  <si>
    <t>Frankie Edgar vs. Marlon Vera</t>
  </si>
  <si>
    <t>Kick to Head At DistanceFront Kick</t>
  </si>
  <si>
    <t>http://ufcstats.com/fight-details/c634ed84212723ca</t>
  </si>
  <si>
    <t>UFC 260: Miocic vs. Ngannou</t>
  </si>
  <si>
    <t>Sean O'Malley vs. Thomas Almeida</t>
  </si>
  <si>
    <t>Punch to Head On Ground</t>
  </si>
  <si>
    <t>http://ufcstats.com/fight-details/0aa335dbc4cb3473</t>
  </si>
  <si>
    <t>Pingyuan Liu vs. Jonathan Martinez</t>
  </si>
  <si>
    <t>http://ufcstats.com/fight-details/ad63c30e22e63344</t>
  </si>
  <si>
    <t>UFC 282: Blachowicz vs. Ankalaev</t>
  </si>
  <si>
    <t>Cameron Saaiman vs. Steven Koslow</t>
  </si>
  <si>
    <t>http://ufcstats.com/fight-details/5bc31abb5842942a</t>
  </si>
  <si>
    <t>Brady Hiestand vs. Batgerel Danaa</t>
  </si>
  <si>
    <t>http://ufcstats.com/fight-details/277233ca9ea25674</t>
  </si>
  <si>
    <t>UFC 264: Poirier vs. McGregor 3</t>
  </si>
  <si>
    <t>Sean O'Malley vs. Kris Moutinho</t>
  </si>
  <si>
    <t>http://ufcstats.com/fight-details/dbcc5b5d568efa8b</t>
  </si>
  <si>
    <t>Merab Dvalishvili vs. Ricky Simon</t>
  </si>
  <si>
    <t>to From MountTechnical Submission</t>
  </si>
  <si>
    <t>http://ufcstats.com/fight-details/a017d5806eaa6018</t>
  </si>
  <si>
    <t>Marlon Vera vs. Dominick Cruz</t>
  </si>
  <si>
    <t>http://ufcstats.com/fight-details/11cc331fa40ede63</t>
  </si>
  <si>
    <t>UFC Fight Night: Song vs. Simon</t>
  </si>
  <si>
    <t>Song Yadong vs. Ricky Simon</t>
  </si>
  <si>
    <t>http://ufcstats.com/fight-details/2b1ac5d8f98639bf</t>
  </si>
  <si>
    <t>Domingo Pilarte vs. Journey Newson</t>
  </si>
  <si>
    <t>Failed Drug Test by Newson</t>
  </si>
  <si>
    <t>http://ufcstats.com/fight-details/5ab2a4fec735e0b2</t>
  </si>
  <si>
    <t>UFC Fight Night: Vettori vs. Cannonier</t>
  </si>
  <si>
    <t>Dan Argueta vs. Ronnie Lawrence</t>
  </si>
  <si>
    <t>http://ufcstats.com/fight-details/9a2d3ebab827d333</t>
  </si>
  <si>
    <t>UFC 243: Whittaker vs. Adesanya</t>
  </si>
  <si>
    <t>Khalid Taha vs. Bruno Silva</t>
  </si>
  <si>
    <t>Failed Drug Test by Taha</t>
  </si>
  <si>
    <t>http://ufcstats.com/fight-details/57ff0eb2351979c4</t>
  </si>
  <si>
    <t>UFC 262: Oliveira vs. Chandler</t>
  </si>
  <si>
    <t>Matt Schnell vs. Rogerio Bontorin</t>
  </si>
  <si>
    <t>Failed Drug Test by BontorinSal D'amato 30 - 27.Danny De Alejandro 30 - 27.Joshua Ferraro 29 - 28.</t>
  </si>
  <si>
    <t>http://ufcstats.com/fight-details/969aa613824c5dfe</t>
  </si>
  <si>
    <t>UFC 188: Velasquez vs Werdum</t>
  </si>
  <si>
    <t>Alejandro Perez vs. Patrick Williams</t>
  </si>
  <si>
    <t>Guillotine Choke On GroundTechnical Submission</t>
  </si>
  <si>
    <t>http://ufcstats.com/fight-details/c7bc785e99d3ee2a</t>
  </si>
  <si>
    <t>Joe Soto vs. Brett Johns</t>
  </si>
  <si>
    <t>Calf Slicer On Ground</t>
  </si>
  <si>
    <t>http://ufcstats.com/fight-details/37835a0f9bbb4d4e</t>
  </si>
  <si>
    <t>Cody Stamann vs. Said Nurmagomedov</t>
  </si>
  <si>
    <t>http://ufcstats.com/fight-details/80f65ee9b6f8d63b</t>
  </si>
  <si>
    <t>Davey Grant vs. Manny Bermudez</t>
  </si>
  <si>
    <t>Tomaz Bendy</t>
  </si>
  <si>
    <t>Triangle Choke On Ground</t>
  </si>
  <si>
    <t>http://ufcstats.com/fight-details/110a49a43aafe044</t>
  </si>
  <si>
    <t>Guido Cannetti vs. Randy Costa</t>
  </si>
  <si>
    <t>http://ufcstats.com/fight-details/6c79db79da9ae874</t>
  </si>
  <si>
    <t>Aljamain Sterling vs. Cory Sandhagen</t>
  </si>
  <si>
    <t>http://ufcstats.com/fight-details/c03b6b6ce5d03276</t>
  </si>
  <si>
    <t>Rani Yahya vs. Luke Sanders</t>
  </si>
  <si>
    <t>Dave Jobeun</t>
  </si>
  <si>
    <t>Heel Hook On Ground</t>
  </si>
  <si>
    <t>http://ufcstats.com/fight-details/5362ea7c63432cf9</t>
  </si>
  <si>
    <t>Brian Kelleher vs. Montel Jackson</t>
  </si>
  <si>
    <t>http://ufcstats.com/fight-details/8ce926b4d38a55a0</t>
  </si>
  <si>
    <t>Iuri Alcantara vs. Brian Kelleher</t>
  </si>
  <si>
    <t>Guillotine Choke From Bottom Half Guard</t>
  </si>
  <si>
    <t>http://ufcstats.com/fight-details/cb2844bb15d22cc6</t>
  </si>
  <si>
    <t>UFC 204: Bisping vs. Henderson</t>
  </si>
  <si>
    <t>Brad Pickett vs. Iuri Alcantara</t>
  </si>
  <si>
    <t>http://ufcstats.com/fight-details/2f9a8807807b80d6</t>
  </si>
  <si>
    <t>Henry Briones vs. Rani Yahya</t>
  </si>
  <si>
    <t>http://ufcstats.com/fight-details/19348172178f42ed</t>
  </si>
  <si>
    <t>Russell Doane vs. Pedro Munhoz</t>
  </si>
  <si>
    <t>http://ufcstats.com/fight-details/a815119606930378</t>
  </si>
  <si>
    <t>UFC 191: Johnson vs Dodson 2</t>
  </si>
  <si>
    <t>Francisco Rivera vs. John Lineker</t>
  </si>
  <si>
    <t>http://ufcstats.com/fight-details/52f0398eb74c139d</t>
  </si>
  <si>
    <t>Filip Pejic vs. Damian Stasiak</t>
  </si>
  <si>
    <t>http://ufcstats.com/fight-details/3b5e1d6cbf9c8c9f</t>
  </si>
  <si>
    <t>Brian Kelleher vs. Marlon Vera</t>
  </si>
  <si>
    <t>http://ufcstats.com/fight-details/573908b71b361312</t>
  </si>
  <si>
    <t>Kyung Ho Kang vs. Cristian Quinonez</t>
  </si>
  <si>
    <t>http://ufcstats.com/fight-details/7ba54a10f28c9496</t>
  </si>
  <si>
    <t>Brian Kelleher vs. Mario Bautista</t>
  </si>
  <si>
    <t>http://ufcstats.com/fight-details/24a9fc95a3112f51</t>
  </si>
  <si>
    <t>Jose Quinonez vs. Leonardo Morales</t>
  </si>
  <si>
    <t>Robbie Scheureumann</t>
  </si>
  <si>
    <t>http://ufcstats.com/fight-details/5a36c9362552e0dc</t>
  </si>
  <si>
    <t>Gustavo Lopez vs. Anthony Birchak</t>
  </si>
  <si>
    <t>http://ufcstats.com/fight-details/cb720b01fd6f9785</t>
  </si>
  <si>
    <t>Raul Rosas Jr. vs. Jay Perrin</t>
  </si>
  <si>
    <t>http://ufcstats.com/fight-details/fd7421f421e802bd</t>
  </si>
  <si>
    <t>UFC 246: McGregor vs. Cowboy</t>
  </si>
  <si>
    <t>Brian Kelleher vs. Ode Osbourne</t>
  </si>
  <si>
    <t>Guillotine Choke On Ground</t>
  </si>
  <si>
    <t>http://ufcstats.com/fight-details/4eff0432bd364a23</t>
  </si>
  <si>
    <t>UFC Fight Night: Woodley vs. Burns</t>
  </si>
  <si>
    <t>Louis Smolka vs. Casey Kenney</t>
  </si>
  <si>
    <t>http://ufcstats.com/fight-details/57dec2b07b75dada</t>
  </si>
  <si>
    <t>Benito Lopez vs. Manny Bermudez</t>
  </si>
  <si>
    <t>http://ufcstats.com/fight-details/0d698108c5f5d1d6</t>
  </si>
  <si>
    <t>http://ufcstats.com/fight-details/4e8b2357fea211e9</t>
  </si>
  <si>
    <t>Mario Bautista vs. Guido Cannetti</t>
  </si>
  <si>
    <t>http://ufcstats.com/fight-details/2c58a97f2fe6c985</t>
  </si>
  <si>
    <t>UFC Fight Night: Lewis vs. Dos Santos</t>
  </si>
  <si>
    <t>Louis Smolka vs. Matt Schnell</t>
  </si>
  <si>
    <t>Marcio Laselva</t>
  </si>
  <si>
    <t>Triangle Choke From Bottom Guard</t>
  </si>
  <si>
    <t>http://ufcstats.com/fight-details/858696528ab7035a</t>
  </si>
  <si>
    <t>UFC Fight Night: Cejudo vs. Dillashaw</t>
  </si>
  <si>
    <t>Cory Sandhagen vs. Mario Bautista</t>
  </si>
  <si>
    <t>http://ufcstats.com/fight-details/efbab76bedbfb65d</t>
  </si>
  <si>
    <t>Da'Mon Blackshear vs. Jose Johnson</t>
  </si>
  <si>
    <t>Twister From Back Control</t>
  </si>
  <si>
    <t>http://ufcstats.com/fight-details/91a5480f48bfaa71</t>
  </si>
  <si>
    <t>Teruto Ishihara vs. Kyung Ho Kang</t>
  </si>
  <si>
    <t>http://ufcstats.com/fight-details/b247a1900cfae052</t>
  </si>
  <si>
    <t>Pedro Munhoz vs. Rob Font</t>
  </si>
  <si>
    <t>http://ufcstats.com/fight-details/0b557aeb2169b59f</t>
  </si>
  <si>
    <t>UFC Fight Night: Kattar vs. Allen</t>
  </si>
  <si>
    <t>Christian Rodriguez vs. Joshua Weems</t>
  </si>
  <si>
    <t>Anaconda Choke From Side Control</t>
  </si>
  <si>
    <t>http://ufcstats.com/fight-details/fdb9d29cf0edc16a</t>
  </si>
  <si>
    <t>Farid Basharat vs. Kleydson Rodrigues</t>
  </si>
  <si>
    <t>Loic Pora</t>
  </si>
  <si>
    <t>http://ufcstats.com/fight-details/ac73c6888ee9322c</t>
  </si>
  <si>
    <t>UFC Fight Night: Holloway vs Oliveira</t>
  </si>
  <si>
    <t>Yves Jabouin vs. Felipe Arantes</t>
  </si>
  <si>
    <t>http://ufcstats.com/fight-details/1bf7f647f309464e</t>
  </si>
  <si>
    <t>UFC Fight Night: Smith vs. Clark</t>
  </si>
  <si>
    <t>Martin Day vs. Anderson Dos Santos</t>
  </si>
  <si>
    <t>Guillotine Choke From Bottom Guard</t>
  </si>
  <si>
    <t>http://ufcstats.com/fight-details/0c27552ea7bc8c8a</t>
  </si>
  <si>
    <t>Malcolm Gordon vs. Amir Albazi</t>
  </si>
  <si>
    <t>http://ufcstats.com/fight-details/b9b0da84b243213f</t>
  </si>
  <si>
    <t>UFC Fight Night: Stephens vs. Choi</t>
  </si>
  <si>
    <t>Kyung Ho Kang vs. Guido Cannetti</t>
  </si>
  <si>
    <t>Marc Wasem</t>
  </si>
  <si>
    <t>Triangle Choke From Bottom</t>
  </si>
  <si>
    <t>http://ufcstats.com/fight-details/1bf1a6fc9c9acc26</t>
  </si>
  <si>
    <t>Mario Bautista vs. Benito Lopez</t>
  </si>
  <si>
    <t>Triangle Armbar From Back Control</t>
  </si>
  <si>
    <t>http://ufcstats.com/fight-details/2ab395e21080b10a</t>
  </si>
  <si>
    <t>Brandon Davis vs. Randy Costa</t>
  </si>
  <si>
    <t>http://ufcstats.com/fight-details/79da0eacafb22f86</t>
  </si>
  <si>
    <t>UFC Fight Night: Magny vs. Ponzinibbio</t>
  </si>
  <si>
    <t>Guido Cannetti vs. Marlon Vera</t>
  </si>
  <si>
    <t>http://ufcstats.com/fight-details/b9a3b520e68f8142</t>
  </si>
  <si>
    <t>Felipe Arantes vs. Jerrod Sanders</t>
  </si>
  <si>
    <t>http://ufcstats.com/fight-details/509519d82e906c0f</t>
  </si>
  <si>
    <t>UFC 219: Cyborg vs. Holm</t>
  </si>
  <si>
    <t>Tim Elliott vs. Mark De La Rosa</t>
  </si>
  <si>
    <t>http://ufcstats.com/fight-details/8f40ac90544d0003</t>
  </si>
  <si>
    <t>Carls John De Tomas vs. Alex Perez</t>
  </si>
  <si>
    <t>Mark Lawley</t>
  </si>
  <si>
    <t>http://ufcstats.com/fight-details/061081f46950fdb0</t>
  </si>
  <si>
    <t>Pedro Munhoz vs. Justin Scoggins</t>
  </si>
  <si>
    <t>http://ufcstats.com/fight-details/30a2c7e5b90e6d74</t>
  </si>
  <si>
    <t>Sumudaerji vs. Louis Smolka</t>
  </si>
  <si>
    <t>http://ufcstats.com/fight-details/8c109a0c53ed9618</t>
  </si>
  <si>
    <t>Michael McDonald vs. Masanori Kanehara</t>
  </si>
  <si>
    <t>http://ufcstats.com/fight-details/a19d619f1b9bee7b</t>
  </si>
  <si>
    <t>Marlon Vera vs. Roman Salazar</t>
  </si>
  <si>
    <t>Josh Ward</t>
  </si>
  <si>
    <t>Triangle Armbar From Bottom Guard</t>
  </si>
  <si>
    <t>http://ufcstats.com/fight-details/50d5a170516de2ad</t>
  </si>
  <si>
    <t>Johnny Eduardo vs. Nathaniel Wood</t>
  </si>
  <si>
    <t>http://ufcstats.com/fight-details/4b155647201d549e</t>
  </si>
  <si>
    <t>UFC Fight Night: Kattar vs. Ige</t>
  </si>
  <si>
    <t>Jack Shore vs. Aaron Phillips</t>
  </si>
  <si>
    <t>http://ufcstats.com/fight-details/f3c42ce9fad55eb7</t>
  </si>
  <si>
    <t>Albert Morales vs. Manny Bermudez</t>
  </si>
  <si>
    <t>Guillotine Choke After Drop to Ground</t>
  </si>
  <si>
    <t>http://ufcstats.com/fight-details/0328754c15ecd37c</t>
  </si>
  <si>
    <t>Johnny Munoz vs. Jamey Simmons</t>
  </si>
  <si>
    <t>http://ufcstats.com/fight-details/af9927b5589e708b</t>
  </si>
  <si>
    <t>UFC Fight Night: Till vs. Masvidal</t>
  </si>
  <si>
    <t>Nathaniel Wood vs. Jose Quinonez</t>
  </si>
  <si>
    <t>http://ufcstats.com/fight-details/40687c9412e0c279</t>
  </si>
  <si>
    <t>Marco Beltran vs. Reginaldo Vieira</t>
  </si>
  <si>
    <t>http://ufcstats.com/fight-details/5cf03fdfe557803f</t>
  </si>
  <si>
    <t>Rani Yahya vs. Ray Rodriguez</t>
  </si>
  <si>
    <t>http://ufcstats.com/fight-details/03bdbf2d18f3025d</t>
  </si>
  <si>
    <t>Iuri Alcantara vs. Luke Sanders</t>
  </si>
  <si>
    <t>Kneebar From Bottom</t>
  </si>
  <si>
    <t>http://ufcstats.com/fight-details/4804776154430aad</t>
  </si>
  <si>
    <t>Douglas Silva de Andrade vs. Sergey Morozov</t>
  </si>
  <si>
    <t>http://ufcstats.com/fight-details/821bef3a3394dd96</t>
  </si>
  <si>
    <t>Marlon Vera vs. Nohelin Hernandez</t>
  </si>
  <si>
    <t>http://ufcstats.com/fight-details/7dc551f8153bd053</t>
  </si>
  <si>
    <t>UFC Fight Night: Ortega vs. Rodriguez</t>
  </si>
  <si>
    <t>Ricky Simon vs. Jack Shore</t>
  </si>
  <si>
    <t>http://ufcstats.com/fight-details/74b8a36293758342</t>
  </si>
  <si>
    <t>UFC Fight Night: Chiesa vs. Magny</t>
  </si>
  <si>
    <t>Umar Nurmagomedov vs. Sergey Morozov</t>
  </si>
  <si>
    <t>http://ufcstats.com/fight-details/11558384f80f6506</t>
  </si>
  <si>
    <t>Aljamain Sterling vs. Cody Stamann</t>
  </si>
  <si>
    <t>Suloev Stretch From Back Control</t>
  </si>
  <si>
    <t>http://ufcstats.com/fight-details/e65ffb177a2c7669</t>
  </si>
  <si>
    <t>Said Nurmagomedov vs. Saidyokub Kakhramonov</t>
  </si>
  <si>
    <t>http://ufcstats.com/fight-details/ed6203e849a2bf28</t>
  </si>
  <si>
    <t>Ricky Simon vs. Gaetano Pirrello</t>
  </si>
  <si>
    <t>http://ufcstats.com/fight-details/4abcf14faa7f92f2</t>
  </si>
  <si>
    <t>Raoni Barcelos vs. Chris Gutierrez</t>
  </si>
  <si>
    <t>http://ufcstats.com/fight-details/e3f31cdd33b4ca92</t>
  </si>
  <si>
    <t>Alejandro Perez vs. Johnny Eduardo</t>
  </si>
  <si>
    <t>Armbar From Side Control</t>
  </si>
  <si>
    <t>http://ufcstats.com/fight-details/e7423a91a253b416</t>
  </si>
  <si>
    <t>UFC Fight Night: Namajunas vs. VanZant</t>
  </si>
  <si>
    <t>Aljamain Sterling vs. Johnny Eduardo</t>
  </si>
  <si>
    <t>http://ufcstats.com/fight-details/5574c020655b435e</t>
  </si>
  <si>
    <t>UFC 213: Romero vs. Whittaker</t>
  </si>
  <si>
    <t>Rob Font vs. Douglas Silva de Andrade</t>
  </si>
  <si>
    <t>Guillotine Choke After Drop to Half Guard</t>
  </si>
  <si>
    <t>http://ufcstats.com/fight-details/a5a065cb6d33ba9e</t>
  </si>
  <si>
    <t>UFC Fight Night: Hermansson vs. Strickland</t>
  </si>
  <si>
    <t>Miles Johns vs. John Castaneda</t>
  </si>
  <si>
    <t>http://ufcstats.com/fight-details/c816a969cb001168</t>
  </si>
  <si>
    <t>Kyler Phillips vs. Marcelo Rojo</t>
  </si>
  <si>
    <t>http://ufcstats.com/fight-details/a0ba726da4a50458</t>
  </si>
  <si>
    <t>UFC on FOX: Machida vs Rockhold</t>
  </si>
  <si>
    <t>Takeya Mizugaki vs. Aljamain Sterling</t>
  </si>
  <si>
    <t>Gasper Oliver</t>
  </si>
  <si>
    <t>Arm Triangle From Bottom Guard</t>
  </si>
  <si>
    <t>http://ufcstats.com/fight-details/2230a5dbc0907859</t>
  </si>
  <si>
    <t>Rani Yahya vs. Russell Doane</t>
  </si>
  <si>
    <t>http://ufcstats.com/fight-details/bf8f747e57d6d1c7</t>
  </si>
  <si>
    <t>UFC Fight Night: Hermansson vs. Cannonier</t>
  </si>
  <si>
    <t>Jack Shore vs. Nohelin Hernandez</t>
  </si>
  <si>
    <t>Mikkel Birch Olsen</t>
  </si>
  <si>
    <t>http://ufcstats.com/fight-details/fc16ccf0994c6e50</t>
  </si>
  <si>
    <t>Brett Johns vs. Tony Gravely</t>
  </si>
  <si>
    <t>Wayne Spinola</t>
  </si>
  <si>
    <t>http://ufcstats.com/fight-details/918c2efc59c1952e</t>
  </si>
  <si>
    <t>Davey Grant vs. Damian Stasiak</t>
  </si>
  <si>
    <t>http://ufcstats.com/fight-details/3be121d4f5460893</t>
  </si>
  <si>
    <t>Bruno Korea vs. Matheus Nicolau</t>
  </si>
  <si>
    <t>Guillotine Choke From Half Guard</t>
  </si>
  <si>
    <t>http://ufcstats.com/fight-details/e5461559114e30ff</t>
  </si>
  <si>
    <t>UFC Fight Night: MacDonald vs Thompson</t>
  </si>
  <si>
    <t>Chris Beal vs. Joe Soto</t>
  </si>
  <si>
    <t>http://ufcstats.com/fight-details/4cf7792aef993be1</t>
  </si>
  <si>
    <t>Nathaniel Wood vs. Andre Ewell</t>
  </si>
  <si>
    <t>http://ufcstats.com/fight-details/61bf6748cf85eb84</t>
  </si>
  <si>
    <t>Rani Yahya vs. Matthew Lopez</t>
  </si>
  <si>
    <t>BobbyWombacher</t>
  </si>
  <si>
    <t>http://ufcstats.com/fight-details/df661c70c40adf84</t>
  </si>
  <si>
    <t>Trevin Jones vs. Saidyokub Kakhramonov</t>
  </si>
  <si>
    <t>http://ufcstats.com/fight-details/e1897ff433134cb8</t>
  </si>
  <si>
    <t>Raphael Assuncao vs. Davey Grant</t>
  </si>
  <si>
    <t>Inverted Triangle From Bottom Side Control</t>
  </si>
  <si>
    <t>http://ufcstats.com/fight-details/804c350ce714770f</t>
  </si>
  <si>
    <t>Cory Sandhagen vs. Song Yadong</t>
  </si>
  <si>
    <t>Cut</t>
  </si>
  <si>
    <t>http://ufcstats.com/fight-details/df370b97ea49e6b4</t>
  </si>
  <si>
    <t>UFC Fight Night: Muniz vs. Allen</t>
  </si>
  <si>
    <t>Ode Osbourne vs. Charles Johnson</t>
  </si>
  <si>
    <t>Chris Lee 28 - 29.Junichiro Kamijo 29 - 28.Anthony Maness 28 - 29.</t>
  </si>
  <si>
    <t>http://ufcstats.com/fight-details/63670e1b8f164d4a</t>
  </si>
  <si>
    <t>Li Jingliang vs. Daniel Rodriguez</t>
  </si>
  <si>
    <t>Mike Bell 28 - 29.Ron McCarthy 29 - 28.Doug Crosby 28 - 29.</t>
  </si>
  <si>
    <t>http://ufcstats.com/fight-details/d3e23d7d207d3ccf</t>
  </si>
  <si>
    <t>UFC 257: Poirier vs. McGregor</t>
  </si>
  <si>
    <t>Nik Lentz vs. Movsar Evloev</t>
  </si>
  <si>
    <t>Ben Cartlidge 28 - 29.Eric Colon 29 - 28.Paul Sutherland 28 - 29.</t>
  </si>
  <si>
    <t>http://ufcstats.com/fight-details/f3ccbfd7036f3cf3</t>
  </si>
  <si>
    <t>Zarah Fairn vs. Jacqueline Cavalcanti</t>
  </si>
  <si>
    <t>Damien Gluski 27 - 30.David Lethaby 27 - 30.Clemens Werner 27 - 30.</t>
  </si>
  <si>
    <t>http://ufcstats.com/fight-details/2a48d0a98c21e736</t>
  </si>
  <si>
    <t>Tatsuro Taira vs. Edgar Chairez</t>
  </si>
  <si>
    <t>Adalaide Byrd 27 - 29.Ben Cartlidge 27 - 29.Derek Cleary 27 - 29.</t>
  </si>
  <si>
    <t>http://ufcstats.com/fight-details/d3a9aceeb7e23580</t>
  </si>
  <si>
    <t>UFC Fight Night: Dern vs. Hill</t>
  </si>
  <si>
    <t>Emily Ducote vs. Loopy Godinez</t>
  </si>
  <si>
    <t>Mike Bell 27 - 30.Junichiro Kamijo 28 - 29.Ron McCarthy 28 - 29.</t>
  </si>
  <si>
    <t>http://ufcstats.com/fight-details/924f982f0d9d2142</t>
  </si>
  <si>
    <t>UFC Fight Night: Rozenstruik vs. Almeida</t>
  </si>
  <si>
    <t>Cody Stamann vs. Douglas Silva de Andrade</t>
  </si>
  <si>
    <t>Bobby Harris 28 - 29.Andrew Hopper Jr. 28 - 29.Pedro Claudio 28 - 29.</t>
  </si>
  <si>
    <t>http://ufcstats.com/fight-details/14e689e60419d469</t>
  </si>
  <si>
    <t>Ignacio Bahamondes vs. Trey Ogden</t>
  </si>
  <si>
    <t>Troy Wincapaw 27 - 30.Sal D'amato 27 - 30.Derek Cleary 28 - 29.</t>
  </si>
  <si>
    <t>http://ufcstats.com/fight-details/d7022b6058dbb26b</t>
  </si>
  <si>
    <t>Angela Hill vs. Loopy Godinez</t>
  </si>
  <si>
    <t>Derek Cleary 28 - 29.Junichiro Kamijo 28 - 29.Chris Crail 28 - 29.</t>
  </si>
  <si>
    <t>http://ufcstats.com/fight-details/5f31f3e32669f5b9</t>
  </si>
  <si>
    <t>UFC 258: Usman vs. Burns</t>
  </si>
  <si>
    <t>Andre Ewell vs. Chris Gutierrez</t>
  </si>
  <si>
    <t>Junichiro Kamijo 26 - 30.Ron McCarthy 28 - 29.Sal D'amato 27 - 30.</t>
  </si>
  <si>
    <t>http://ufcstats.com/fight-details/f98e954823bd6e02</t>
  </si>
  <si>
    <t>Deron Winn vs. Antonio Arroyo</t>
  </si>
  <si>
    <t>Derek Cleary 28 - 29.Sal D'amato 28 - 29.Tony Weeks 28 - 29.</t>
  </si>
  <si>
    <t>http://ufcstats.com/fight-details/f004d3d50b78af50</t>
  </si>
  <si>
    <t>Christos Giagos vs. Carlton Minus</t>
  </si>
  <si>
    <t>Sal D'amato 26 - 30.Dave Hagen 27 - 29.Junichiro Kamijo 28 - 29.</t>
  </si>
  <si>
    <t>http://ufcstats.com/fight-details/8da75fd76a9b8e1d</t>
  </si>
  <si>
    <t>UFC 254: Khabib vs. Gaethje</t>
  </si>
  <si>
    <t>Nathaniel Wood vs. Casey Kenney</t>
  </si>
  <si>
    <t>Anders Ohlsson</t>
  </si>
  <si>
    <t>Ben Cartlidge 28 - 29.Derek Cleary 28 - 29.David Lethaby 27 - 30.</t>
  </si>
  <si>
    <t>http://ufcstats.com/fight-details/de2069fea664c4b7</t>
  </si>
  <si>
    <t>Grant Dawson vs. Nad Narimani</t>
  </si>
  <si>
    <t>Anders Ohlsson 26 - 30.Clemens Werner 27 - 30.David Lethaby 27 - 29.</t>
  </si>
  <si>
    <t>http://ufcstats.com/fight-details/bb881d4ee6dfbf86</t>
  </si>
  <si>
    <t>Merab Dvalishvili vs. Gustavo Lopez</t>
  </si>
  <si>
    <t>Sal D'amato 26 - 30.Adalaide Byrd 26 - 30.Mike Bell 25 - 30.</t>
  </si>
  <si>
    <t>http://ufcstats.com/fight-details/05061dd590c9eb34</t>
  </si>
  <si>
    <t>Billy Quarantillo vs. Spike Carlyle</t>
  </si>
  <si>
    <t>Sal D'amato 28 - 29.Eric Colon 28 - 29.Dave Hagen 28 - 29.</t>
  </si>
  <si>
    <t>http://ufcstats.com/fight-details/1e9a2b197ebff074</t>
  </si>
  <si>
    <t>Manny Bermudez vs. Casey Kenney</t>
  </si>
  <si>
    <t>Ron McCarthy 28 - 29.Derek Cleary 28 - 29.Guilherme Bravo 28 - 29.</t>
  </si>
  <si>
    <t>http://ufcstats.com/fight-details/29de6ddc42a2e674</t>
  </si>
  <si>
    <t>UFC Fight Night: Werdum vs. Tybura</t>
  </si>
  <si>
    <t>Alexander Volkanovski vs. Shane Young</t>
  </si>
  <si>
    <t>John Sharp</t>
  </si>
  <si>
    <t>Anthony Dimitriou 27 - 30.Kevin Manderson 26 - 30.Kon Papaioannou 26 - 30.</t>
  </si>
  <si>
    <t>http://ufcstats.com/fight-details/097bc98e15722998</t>
  </si>
  <si>
    <t>UFC 214: Cormier vs. Jones 2</t>
  </si>
  <si>
    <t>Aljamain Sterling vs. Renan Barao</t>
  </si>
  <si>
    <t>Wade Vierra 28 - 29.Derek Cleary 27 - 29.Marcos Rosales 26 - 30.</t>
  </si>
  <si>
    <t>http://ufcstats.com/fight-details/ac9e19a4075f6557</t>
  </si>
  <si>
    <t>UFC 205: Alvarez vs McGregor</t>
  </si>
  <si>
    <t>Jim Miller vs. Thiago Alves</t>
  </si>
  <si>
    <t>Jeff Mullen 27 - 30.Cardo Urso 28 - 29.Chris Lee 27 - 30.</t>
  </si>
  <si>
    <t>http://ufcstats.com/fight-details/ef80a6eea892c296</t>
  </si>
  <si>
    <t>Quinton Jackson vs. Fabio Maldonado</t>
  </si>
  <si>
    <t>Luc Lefebvre 28 - 29.Pasquale Procopio 27 - 30.Benoit Roussel 27 - 30.</t>
  </si>
  <si>
    <t>http://ufcstats.com/fight-details/4669c07f3cc9e35f</t>
  </si>
  <si>
    <t>Cory Sandhagen vs. Rob Font</t>
  </si>
  <si>
    <t>Mike Bell 45 - 50.Derek Cleary 45 - 50.Sal D'amato 45 - 50.</t>
  </si>
  <si>
    <t>http://ufcstats.com/fight-details/554163b1c8c05522</t>
  </si>
  <si>
    <t>UFC 272: Covington vs. Masvidal</t>
  </si>
  <si>
    <t>Rafael Dos Anjos vs. Renato Moicano</t>
  </si>
  <si>
    <t>Chris Lee 44 - 50.Mike Bell 44 - 49.Ron McCarthy 45 - 49.</t>
  </si>
  <si>
    <t>http://ufcstats.com/fight-details/838bb84a5a976a9c</t>
  </si>
  <si>
    <t>Cristiane Justino vs. Leslie Smith</t>
  </si>
  <si>
    <t>http://ufcstats.com/fight-details/ee9e4f8523a484a6</t>
  </si>
  <si>
    <t>Jason Witt vs. Josh Quinlan</t>
  </si>
  <si>
    <t>http://ufcstats.com/fight-details/7f9a331bc3100afd</t>
  </si>
  <si>
    <t>UFC Fight Night: Makhachev vs. Green</t>
  </si>
  <si>
    <t>Islam Makhachev vs. Bobby Green</t>
  </si>
  <si>
    <t>http://ufcstats.com/fight-details/2f4d42e0b9696f71</t>
  </si>
  <si>
    <t>http://ufcstats.com/fight-details/ff8f92cf8fb1b76c</t>
  </si>
  <si>
    <t>Julija Stoliarenko vs. Chelsea Chandler</t>
  </si>
  <si>
    <t>http://ufcstats.com/fight-details/ad59e2de1ab5c8d2</t>
  </si>
  <si>
    <t>UFC Fight Night: Cowboy vs Cowboy</t>
  </si>
  <si>
    <t>Cody Garbrandt vs. Augusto Mendes</t>
  </si>
  <si>
    <t>http://ufcstats.com/fight-details/2f15a2ed6cd4711f</t>
  </si>
  <si>
    <t>John Makdessi vs. Shane Campbell</t>
  </si>
  <si>
    <t>Philippe Chartier</t>
  </si>
  <si>
    <t>http://ufcstats.com/fight-details/0c74e600ded0de97</t>
  </si>
  <si>
    <t>Brendan Allen vs. Sean Strickland</t>
  </si>
  <si>
    <t>http://ufcstats.com/fight-details/fa6e8fa6c3f05e31</t>
  </si>
  <si>
    <t>Cristiane Justino vs. Lina Lansberg</t>
  </si>
  <si>
    <t>http://ufcstats.com/fight-details/76c5f66afe6ab192</t>
  </si>
  <si>
    <t>Khabib Nurmagomedov vs. Darrell Horcher</t>
  </si>
  <si>
    <t>http://ufcstats.com/fight-details/781b4b6951df64fe</t>
  </si>
  <si>
    <t>John Castaneda vs. Daniel Santos</t>
  </si>
  <si>
    <t>http://ufcstats.com/fight-details/63f6af6d5f7b82ad</t>
  </si>
  <si>
    <t>Irene Aldana vs. Macy Chiasson</t>
  </si>
  <si>
    <t>Kick to Body From Bottom</t>
  </si>
  <si>
    <t>http://ufcstats.com/fight-details/989b8d362742f40b</t>
  </si>
  <si>
    <t>Santiago Ponzinibbio vs. Alex Morono</t>
  </si>
  <si>
    <t>http://ufcstats.com/fight-details/11f65de5348e4bc4</t>
  </si>
  <si>
    <t>UFC Fight Night: Manuwa vs. Anderson</t>
  </si>
  <si>
    <t>Brad Pickett vs. Marlon Vera</t>
  </si>
  <si>
    <t>http://ufcstats.com/fight-details/1e5c66d12761d4fe</t>
  </si>
  <si>
    <t>Timur Valiev vs. Trevin Jones</t>
  </si>
  <si>
    <t>Failed Drug Test by Jones</t>
  </si>
  <si>
    <t>http://ufcstats.com/fight-details/7ada9af99946d456</t>
  </si>
  <si>
    <t>Evan Dunham vs. Herbert Burns</t>
  </si>
  <si>
    <t>http://ufcstats.com/fight-details/20ba608a6e717f05</t>
  </si>
  <si>
    <t>Marco Beltran vs. Joe Soto</t>
  </si>
  <si>
    <t>Miguel Jimenez</t>
  </si>
  <si>
    <t>http://ufcstats.com/fight-details/588a39cab19065bc</t>
  </si>
  <si>
    <t>Khamzat Chimaev vs. Kevin Holland</t>
  </si>
  <si>
    <t>http://ufcstats.com/fight-details/0111e6a64b5184c6</t>
  </si>
  <si>
    <t>UFC Fight Night: Blaydes vs. Volkov</t>
  </si>
  <si>
    <t>Jim Miller vs. Roosevelt Roberts</t>
  </si>
  <si>
    <t>http://ufcstats.com/fight-details/9b39e15b42422a08</t>
  </si>
  <si>
    <t>Jordan Wright vs. Marc-Andre Barriault</t>
  </si>
  <si>
    <t>http://ufcstats.com/fight-details/992e84bf59837e21</t>
  </si>
  <si>
    <t>Nikita Krylov vs. Ryan Spann</t>
  </si>
  <si>
    <t>http://ufcstats.com/fight-details/d6945828f5fa7492</t>
  </si>
  <si>
    <t>Jailton Almeida vs. Anton Turkalj</t>
  </si>
  <si>
    <t>http://ufcstats.com/fight-details/301f230c90c4bd7d</t>
  </si>
  <si>
    <t>Kyle Daukaus vs. Jamie Pickett</t>
  </si>
  <si>
    <t>D'Arce Choke From Half Guard</t>
  </si>
  <si>
    <t>http://ufcstats.com/fight-details/99fd8396cbe1df03</t>
  </si>
  <si>
    <t>Journey Newson vs. Marcus McGhee</t>
  </si>
  <si>
    <t>http://ufcstats.com/fight-details/88a63555728c2025</t>
  </si>
  <si>
    <t>Luke Sanders vs. Nate Maness</t>
  </si>
  <si>
    <t>http://ufcstats.com/fight-details/e64d80dcc6853ea0</t>
  </si>
  <si>
    <t>UFC Fight Night: Waterson vs. Hill</t>
  </si>
  <si>
    <t>Brok Weaver vs. Jalin Turner</t>
  </si>
  <si>
    <t>http://ufcstats.com/fight-details/bcc9dca5136fc765</t>
  </si>
  <si>
    <t>UFC Fight Night: Poirier vs. Hooker</t>
  </si>
  <si>
    <t>Sean Woodson vs. Julian Erosa</t>
  </si>
  <si>
    <t>http://ufcstats.com/fight-details/8a8fea2c10512434</t>
  </si>
  <si>
    <t>Julian Erosa vs. Charles Jourdain</t>
  </si>
  <si>
    <t>http://ufcstats.com/fight-details/3f76035e52e8819b</t>
  </si>
  <si>
    <t>Devonte Smith vs. Justin Jaynes</t>
  </si>
  <si>
    <t>Eye Injury</t>
  </si>
  <si>
    <t>http://ufcstats.com/fight-details/464cc19d42446da9</t>
  </si>
  <si>
    <t>Yair Rodriguez vs. Jeremy Stephens</t>
  </si>
  <si>
    <t>Eye Poke by Rodriguez</t>
  </si>
  <si>
    <t>http://ufcstats.com/fight-details/62acea88e628c3ca</t>
  </si>
  <si>
    <t>Andre Fili vs. Daniel Pineda</t>
  </si>
  <si>
    <t>Eye Poke</t>
  </si>
  <si>
    <t>http://ufcstats.com/fight-details/4622ec182e7fed6b</t>
  </si>
  <si>
    <t>UFC on FOX: Dos Anjos vs. Cowboy 2</t>
  </si>
  <si>
    <t>Cole Miller vs. Jim Alers</t>
  </si>
  <si>
    <t>Eye Poke by Alers</t>
  </si>
  <si>
    <t>http://ufcstats.com/fight-details/b2857e799319f931</t>
  </si>
  <si>
    <t>Dooho Choi vs. Kyle Nelson</t>
  </si>
  <si>
    <t>Adalaide Byrd 27 - 29.Eric Colon 28 - 28.Chris Lee 28 - 28.</t>
  </si>
  <si>
    <t>http://ufcstats.com/fight-details/01e8868086004dd8</t>
  </si>
  <si>
    <t>Nate Landwehr vs. David Onama</t>
  </si>
  <si>
    <t>Mike Bell 28 - 28.Junichiro Kamijo 27 - 29.Derek Cleary 27 - 29.</t>
  </si>
  <si>
    <t>http://ufcstats.com/fight-details/efd7efba85092c6f</t>
  </si>
  <si>
    <t>Shane Burgos vs. Charles Jourdain</t>
  </si>
  <si>
    <t>Eric Colon 28 - 29.Chris Lee 28 - 29.Mike Bell 28 - 28.</t>
  </si>
  <si>
    <t>http://ufcstats.com/fight-details/d439374c1fc95581</t>
  </si>
  <si>
    <t>UFC Fight Night: Hall vs. Strickland</t>
  </si>
  <si>
    <t>Danny Chavez vs. Kai Kamaka</t>
  </si>
  <si>
    <t>Mike Bell 27 - 29.Jerin Valel 28 - 28.Junichiro Kamijo 28 - 28.</t>
  </si>
  <si>
    <t>http://ufcstats.com/fight-details/69397bbebdfa41d9</t>
  </si>
  <si>
    <t>The Ultimate Fighter: Undefeated Finale</t>
  </si>
  <si>
    <t>Tyler Diamond vs. Bryce Mitchell</t>
  </si>
  <si>
    <t>Mike Bell 28 - 28.Derek Cleary 28 - 29.Rick Winter 28 - 29.</t>
  </si>
  <si>
    <t>http://ufcstats.com/fight-details/ca3963b76a38c408</t>
  </si>
  <si>
    <t>UFC Fight Night: Chiesa vs. Lee</t>
  </si>
  <si>
    <t>BJ Penn vs. Dennis Siver</t>
  </si>
  <si>
    <t>Marcos Rosales 28 - 28.Cardo Urso 28 - 29.Gerald Ritter 27 - 29.</t>
  </si>
  <si>
    <t>http://ufcstats.com/fight-details/3a4d2a933a3c7291</t>
  </si>
  <si>
    <t>Damon Jackson vs. Levan Makashvili</t>
  </si>
  <si>
    <t>Maimunah Querido 27 - 29.Michelle Agustin 28 - 28.Ricardo Almeida 28 - 28.</t>
  </si>
  <si>
    <t>http://ufcstats.com/fight-details/df8391ca39160d8c</t>
  </si>
  <si>
    <t>Niklas Backstrom vs. Noad Lahat</t>
  </si>
  <si>
    <t>Mark Collett 28 - 28.Paul Sutherland 28 - 29.Raphael Vogt 28 - 29.</t>
  </si>
  <si>
    <t>http://ufcstats.com/fight-details/7045f8c1d5f6abff</t>
  </si>
  <si>
    <t>JeongYeong Lee vs. Yi Zha</t>
  </si>
  <si>
    <t>Jacob Montalvo 30 - 27.David Lethaby 28 - 29.Junichiro Kamijo 28 - 29.</t>
  </si>
  <si>
    <t>http://ufcstats.com/fight-details/765482eb58e8db48</t>
  </si>
  <si>
    <t>UFC Fight Night: Emmett vs. Topuria</t>
  </si>
  <si>
    <t>Jamall Emmers vs. Jack Jenkins</t>
  </si>
  <si>
    <t>Troy Wincapaw 30 - 27.Chris Lee 28 - 29.Sal D'amato 28 - 29.</t>
  </si>
  <si>
    <t>http://ufcstats.com/fight-details/fcc1191761e365f9</t>
  </si>
  <si>
    <t>Francis Marshall vs. William Gomis</t>
  </si>
  <si>
    <t>Adalaide Byrd 28 - 29.Ben Cartlidge 29 - 28.Eric Colon 28 - 29.</t>
  </si>
  <si>
    <t>http://ufcstats.com/fight-details/a941c4e25ddddfff</t>
  </si>
  <si>
    <t>UFC 286: Edwards vs. Usman 3</t>
  </si>
  <si>
    <t>Lerone Murphy vs. Gabriel Santos</t>
  </si>
  <si>
    <t>Vito Paolillo 28 - 29.Mark Collett 29 - 28.Clemens Werner 28 - 29.</t>
  </si>
  <si>
    <t>http://ufcstats.com/fight-details/533984c3ff4b4858</t>
  </si>
  <si>
    <t>Andre Fili vs. Bill Algeo</t>
  </si>
  <si>
    <t>Chris Lee 29 - 28.Sal D'amato 28 - 29.Derek Cleary 28 - 29.</t>
  </si>
  <si>
    <t>http://ufcstats.com/fight-details/adb78db5ba8ccc0f</t>
  </si>
  <si>
    <t>Sean Woodson vs. Luis Saldana</t>
  </si>
  <si>
    <t>Derek Cleary 27 - 29.Mike Bell 28 - 28.Rich Montanez 29 - 27.</t>
  </si>
  <si>
    <t>http://ufcstats.com/fight-details/2ac9b3ccb43422d8</t>
  </si>
  <si>
    <t>SeungWoo Choi vs. Josh Culibao</t>
  </si>
  <si>
    <t>Evan Field 28 - 29.Anthony Dimitriou 29 - 28.Howard Hughes 28 - 29.</t>
  </si>
  <si>
    <t>http://ufcstats.com/fight-details/c94b153951be7590</t>
  </si>
  <si>
    <t>Julian Erosa vs. Steven Peterson</t>
  </si>
  <si>
    <t>Doug Crosby 28 - 29.Derek Cleary 29 - 28.Junichiro Kamijo 28 - 29.</t>
  </si>
  <si>
    <t>http://ufcstats.com/fight-details/208c5dc52ccfd47a</t>
  </si>
  <si>
    <t>Charles Rosa vs. Justin Jaynes</t>
  </si>
  <si>
    <t>Adalaide Byrd 27 - 30.Ron McCarthy 29 - 28.Chris Lee 28 - 29.</t>
  </si>
  <si>
    <t>http://ufcstats.com/fight-details/5357dab4d331eb18</t>
  </si>
  <si>
    <t>UFC Fight Night: Rozenstruik vs. Sakai</t>
  </si>
  <si>
    <t>Sean Woodson vs. Youssef Zalal</t>
  </si>
  <si>
    <t>Ron McCarthy 29 - 28.Junichiro Kamijo 28 - 29.Tony Weeks 28 - 29.</t>
  </si>
  <si>
    <t>http://ufcstats.com/fight-details/73a83b2595416f0a</t>
  </si>
  <si>
    <t>Lando Vannata vs. Mike Grundy</t>
  </si>
  <si>
    <t>Chris Lee 28 - 29.Marcos Rosales 27 - 30.Patrick Patlan 30 - 27.</t>
  </si>
  <si>
    <t>http://ufcstats.com/fight-details/be2e28ba3bdeb400</t>
  </si>
  <si>
    <t>Kai Kamaka vs. TJ Brown</t>
  </si>
  <si>
    <t>Adalaide Byrd 30 - 27.Sal D'amato 28 - 29.Mike Bell 28 - 29.</t>
  </si>
  <si>
    <t>http://ufcstats.com/fight-details/d72f9b3ac742a9e3</t>
  </si>
  <si>
    <t>Charles Jourdain vs. Josh Culibao</t>
  </si>
  <si>
    <t>Ahmed Korchi 27 - 30.Lukasz Bosacki 29 - 28.Mike Bell 28 - 28.</t>
  </si>
  <si>
    <t>http://ufcstats.com/fight-details/f4e262b04f4e94bd</t>
  </si>
  <si>
    <t>UFC 253: Adesanya vs. Costa</t>
  </si>
  <si>
    <t>Hakeem Dawodu vs. Zubaira Tukhugov</t>
  </si>
  <si>
    <t>Ahmed Korchi 28 - 29.Anders Ohlsson 27 - 30.Dave Tirelli 29 - 28.</t>
  </si>
  <si>
    <t>http://ufcstats.com/fight-details/5a00c73efbcf323e</t>
  </si>
  <si>
    <t>Andre Fili vs. Charles Jourdain</t>
  </si>
  <si>
    <t>Eric Colon 28 - 29.Derek Cleary 28 - 29.Ron McCarthy 29 - 28.</t>
  </si>
  <si>
    <t>http://ufcstats.com/fight-details/cab532b4544580bd</t>
  </si>
  <si>
    <t>UFC Fight Night: Overeem vs. Harris</t>
  </si>
  <si>
    <t>Dan Ige vs. Edson Barboza</t>
  </si>
  <si>
    <t>Derek Cleary 28 - 29.Sal D'amato 28 - 29.Troy Wincapaw 29 - 28.</t>
  </si>
  <si>
    <t>http://ufcstats.com/fight-details/58540b24ed77d31b</t>
  </si>
  <si>
    <t>Giga Chikadze vs. Jamall Emmers</t>
  </si>
  <si>
    <t>Tony Weeks 29 - 28.Junichiro Kamijo 28 - 29.Eric Colon 28 - 29.</t>
  </si>
  <si>
    <t>http://ufcstats.com/fight-details/daa38964824f1b9f</t>
  </si>
  <si>
    <t>Mirsad Bektic vs. Dan Ige</t>
  </si>
  <si>
    <t>Marcos Rosales 28 - 29.Patrick Patlan 29 - 28.Joshua Ferraro 28 - 29.</t>
  </si>
  <si>
    <t>http://ufcstats.com/fight-details/be822403f364fff3</t>
  </si>
  <si>
    <t>UFC 244: Masvidal vs. Diaz</t>
  </si>
  <si>
    <t>Julio Arce vs. Hakeem Dawodu</t>
  </si>
  <si>
    <t>Derek Cleary 28 - 29.Eric Colon 28 - 29.Chris Lee 29 - 28.</t>
  </si>
  <si>
    <t>http://ufcstats.com/fight-details/d7cbe2f23d75afd1</t>
  </si>
  <si>
    <t>Brandon Davis vs. Giga Chikadze</t>
  </si>
  <si>
    <t>Rebin Saber</t>
  </si>
  <si>
    <t>Nicolaj Bulow 28 - 29.Andreas Gruner 29 - 28.Cezary Wojciechowski 28 - 29.</t>
  </si>
  <si>
    <t>http://ufcstats.com/fight-details/688908886d8ac900</t>
  </si>
  <si>
    <t>UFC 242: Khabib vs. Poirier</t>
  </si>
  <si>
    <t>Zubaira Tukhugov vs. Lerone Murphy</t>
  </si>
  <si>
    <t>Howie Booth 29 - 28.David Lethaby 28 - 29.Clemens Werner 28 - 28.</t>
  </si>
  <si>
    <t>http://ufcstats.com/fight-details/bef4df43d6052a02</t>
  </si>
  <si>
    <t>Enrique Barzola vs. Bobby Moffett</t>
  </si>
  <si>
    <t>Eric Colon 29 - 28.Phillipe Iorio 27 - 30.Joseph Terrell 28 - 29.</t>
  </si>
  <si>
    <t>http://ufcstats.com/fight-details/4dd3035430a5ed43</t>
  </si>
  <si>
    <t>Cub Swanson vs. Shane Burgos</t>
  </si>
  <si>
    <t>David Therien 30 - 27.Declan Woods 27 - 30.Eric Colon 28 - 29.</t>
  </si>
  <si>
    <t>http://ufcstats.com/fight-details/feaf740e3ae53b7c</t>
  </si>
  <si>
    <t>Hakeem Dawodu vs. Kyle Bochniak</t>
  </si>
  <si>
    <t>Benoit Roussel 29 - 28.Eric Colon 27 - 30.Jason Rodgers 27 - 30.</t>
  </si>
  <si>
    <t>http://ufcstats.com/fight-details/e0e22d7bc5a293e8</t>
  </si>
  <si>
    <t>UFC 230: Cormier vs. Lewis</t>
  </si>
  <si>
    <t>Julio Arce vs. Sheymon Moraes</t>
  </si>
  <si>
    <t>Derek Cleary 28 - 29.Chris Lee 29 - 28.Doug Crosby 26 - 30.</t>
  </si>
  <si>
    <t>http://ufcstats.com/fight-details/41be95916aef568f</t>
  </si>
  <si>
    <t>Michael Johnson vs. Andre Fili</t>
  </si>
  <si>
    <t>Sal D'amato 28 - 29.Kristy Gynan 30 - 27.Glenn Trowbridge 28 - 29.</t>
  </si>
  <si>
    <t>http://ufcstats.com/fight-details/48a9d2a3967d13a4</t>
  </si>
  <si>
    <t>Dennis Bermudez vs. Ricky Glenn</t>
  </si>
  <si>
    <t>Tim Turner 29 - 28.Mike Mikkelsen 27 - 30.Tony Weeks 28 - 29.</t>
  </si>
  <si>
    <t>http://ufcstats.com/fight-details/786296db3c4749f1</t>
  </si>
  <si>
    <t>Alex Caceres vs. Martin Bravo</t>
  </si>
  <si>
    <t>Rick Winter 29 - 28.Dave Hagen 28 - 29.Derek Cleary 28 - 29.</t>
  </si>
  <si>
    <t>http://ufcstats.com/fight-details/674f3fa16e717ff1</t>
  </si>
  <si>
    <t>Matt Bessette vs. Steven Peterson</t>
  </si>
  <si>
    <t>Junichiro Kamijo 28 - 29.Chris Lee 29 - 28.Glenn Trowbridge 28 - 29.</t>
  </si>
  <si>
    <t>http://ufcstats.com/fight-details/4d549f33c0711a7a</t>
  </si>
  <si>
    <t>UFC 225: Whittaker vs. Romero 2</t>
  </si>
  <si>
    <t>Ricardo Lamas vs. Mirsad Bektic</t>
  </si>
  <si>
    <t>Chris Lee 28 - 29.Sal D'amato 29 - 28.Brandon Mason 27 - 30.</t>
  </si>
  <si>
    <t>http://ufcstats.com/fight-details/32990cbf8976d94b</t>
  </si>
  <si>
    <t>UFC Fight Night: Thompson vs. Till</t>
  </si>
  <si>
    <t>Jason Knight vs. Makwan Amirkhani</t>
  </si>
  <si>
    <t>Andy Roberts 30 - 27.Mark Collett 28 - 29.Howard Hughes 28 - 29.</t>
  </si>
  <si>
    <t>http://ufcstats.com/fight-details/52565f62fb3822db</t>
  </si>
  <si>
    <t>UFC Fight Night: Jacare vs. Brunson 2</t>
  </si>
  <si>
    <t>Dennis Bermudez vs. Andre Fili</t>
  </si>
  <si>
    <t>Derek Cleary 28 - 29.Steve Elliott 30 - 27.Pedro Claudio 28 - 29.</t>
  </si>
  <si>
    <t>http://ufcstats.com/fight-details/27901ef9e82d5690</t>
  </si>
  <si>
    <t>UFC Fight Night: Bisping vs. Gastelum</t>
  </si>
  <si>
    <t>Wang Guan vs. Alex Caceres</t>
  </si>
  <si>
    <t>Christopher Shen 28 - 29.Kon Papaioannou 29 - 28.Paul Sutherland 28 - 29.</t>
  </si>
  <si>
    <t>http://ufcstats.com/fight-details/62eaf9f2436bef25</t>
  </si>
  <si>
    <t>Dennis Bermudez vs. Darren Elkins</t>
  </si>
  <si>
    <t>Doug Crosby 28 - 29.Bryan Miner 29 - 28.Dave Tirelli 28 - 29.</t>
  </si>
  <si>
    <t>http://ufcstats.com/fight-details/8028d5de087755dc</t>
  </si>
  <si>
    <t>Jeremy Stephens vs. Renato Moicano</t>
  </si>
  <si>
    <t>Mike England</t>
  </si>
  <si>
    <t>Tony Weeks 28 - 29.Marcos Rosales 29 - 28.Brian Puccillo 28 - 29.</t>
  </si>
  <si>
    <t>http://ufcstats.com/fight-details/d764ef3e078c96c8</t>
  </si>
  <si>
    <t>Arnold Allen vs. Makwan Amirkhani</t>
  </si>
  <si>
    <t>Howard Hughes 29 - 28.Mark Collett 27 - 30.Paul Sutherland 27 - 30.</t>
  </si>
  <si>
    <t>http://ufcstats.com/fight-details/7ec86f2af631344f</t>
  </si>
  <si>
    <t>UFC 208: Holm vs. De Randamie</t>
  </si>
  <si>
    <t>Ricky Glenn vs. Phillipe Nover</t>
  </si>
  <si>
    <t>Doug Crosby 30 - 27.Sal D'amato 28 - 29.Derek Cleary 28 - 29.</t>
  </si>
  <si>
    <t>http://ufcstats.com/fight-details/c4174e22cb22622c</t>
  </si>
  <si>
    <t>UFC on FOX: Maia vs. Condit</t>
  </si>
  <si>
    <t>Enrique Barzola vs. Kyle Bochniak</t>
  </si>
  <si>
    <t>Dave Hagen 28 - 29.David Therien 30 - 27.John Cooper 28 - 29.</t>
  </si>
  <si>
    <t>http://ufcstats.com/fight-details/df33799f117000cb</t>
  </si>
  <si>
    <t>Jim Alers vs. Jason Knight</t>
  </si>
  <si>
    <t>Gabriel Sabaitis 28 - 29.Rick Winter 29 - 28.Matt Janecek 28 - 29.</t>
  </si>
  <si>
    <t>http://ufcstats.com/fight-details/435c93cb89016fd1</t>
  </si>
  <si>
    <t>Renato Moicano vs. Zubaira Tukhugov</t>
  </si>
  <si>
    <t>Glenn Trowbridge 28 - 29.Alessandro Vieira 29 - 28.Joseph Terrell 28 - 29.</t>
  </si>
  <si>
    <t>http://ufcstats.com/fight-details/958f3b45c132c3b7</t>
  </si>
  <si>
    <t>Robert Whiteford vs. Lucas Martins</t>
  </si>
  <si>
    <t>Jadranko Cacic 28 - 29.Ben Cartlidge 29 - 28.Andreas Gruner 27 - 30.</t>
  </si>
  <si>
    <t>http://ufcstats.com/fight-details/42afd8c4fc85f485</t>
  </si>
  <si>
    <t>Zubaira Tukhugov vs. Phillipe Nover</t>
  </si>
  <si>
    <t>Adalaide Byrd 29 - 28.Dave Hagen 27 - 30.Roy Silbert 27 - 30.</t>
  </si>
  <si>
    <t>http://ufcstats.com/fight-details/f2ac86cd3e863243</t>
  </si>
  <si>
    <t>Yui Chul Nam vs. Mike de la Torre</t>
  </si>
  <si>
    <t>Evan Field 28 - 29.Barry Foley 29 - 28.Charlie Keech 28 - 29.</t>
  </si>
  <si>
    <t>http://ufcstats.com/fight-details/85168b8d99f7ce42</t>
  </si>
  <si>
    <t>Mizuto Hirota vs. Teruto Ishihara</t>
  </si>
  <si>
    <t>Charlie Keech 29 - 28.Howie Booth 28 - 29.Christopher Shen 29 - 29.</t>
  </si>
  <si>
    <t>http://ufcstats.com/fight-details/2ab47d509ee7dc6d</t>
  </si>
  <si>
    <t>Clay Collard vs. Tiago dos Santos e Silva</t>
  </si>
  <si>
    <t>Adalaide Byrd 28 - 29.Tony Weeks 29 - 28.Derek Cleary 28 - 29.</t>
  </si>
  <si>
    <t>http://ufcstats.com/fight-details/777df8b5e28f42ff</t>
  </si>
  <si>
    <t>Hacran Dias vs. Levan Makashvili</t>
  </si>
  <si>
    <t>Eliseo Rodriguez 29 - 28.Richard Bertrand 28 - 29.Hector Gomez 28 - 29.</t>
  </si>
  <si>
    <t>http://ufcstats.com/fight-details/72d6996a60856b5f</t>
  </si>
  <si>
    <t>Yair Rodriguez vs. Charles Rosa</t>
  </si>
  <si>
    <t>Glenn Trowbridge 29 - 28.Derek Cleary 28 - 29.Chris Lee 28 - 29.</t>
  </si>
  <si>
    <t>http://ufcstats.com/fight-details/243e5e9b6678f303</t>
  </si>
  <si>
    <t>Phillipe Nover vs. Yui Chul Nam</t>
  </si>
  <si>
    <t>Mark Craig 28 - 29.Barry Foley 29 - 28.Kon Papaioannou 28 - 29.</t>
  </si>
  <si>
    <t>http://ufcstats.com/fight-details/093ca77f7f7219f6</t>
  </si>
  <si>
    <t>Mark Eddiva vs. Levan Makashvili</t>
  </si>
  <si>
    <t>Terry Hill</t>
  </si>
  <si>
    <t>Evan Field 28 - 29.Kon Papaioannou 29 - 28.Christopher Shen 27 - 30.</t>
  </si>
  <si>
    <t>http://ufcstats.com/fight-details/4702ef17c48bf1d1</t>
  </si>
  <si>
    <t>Calvin Kattar vs. Josh Emmett</t>
  </si>
  <si>
    <t>Chris Lee 47 - 48.Doug Crosby 48 - 47.Sal D'amato 47 - 48.</t>
  </si>
  <si>
    <t>http://ufcstats.com/fight-details/6e559181bfbc77e1</t>
  </si>
  <si>
    <t>UFC Fight Night: Rodriguez vs. Caceres</t>
  </si>
  <si>
    <t>Yair Rodriguez vs. Alex Caceres</t>
  </si>
  <si>
    <t>Derek Cleary 49 - 46.Glenn Trowbridge 47 - 48.Tony Weeks 47 - 48.</t>
  </si>
  <si>
    <t>http://ufcstats.com/fight-details/570f3407722cc512</t>
  </si>
  <si>
    <t>http://ufcstats.com/fight-details/b638646fb297228d</t>
  </si>
  <si>
    <t>Bryce Mitchell vs. Dan Ige</t>
  </si>
  <si>
    <t>Junichiro Kamijo 27 - 30.David Lethaby 28 - 29.Jacob Montalvo 28 - 29.</t>
  </si>
  <si>
    <t>http://ufcstats.com/fight-details/da1b37edb8ccd3e6</t>
  </si>
  <si>
    <t>Fernando Padilla vs. Kyle Nelson</t>
  </si>
  <si>
    <t>Mike Bell 28 - 29.Adalaide Byrd 28 - 29.Sal D'amato 27 - 30.</t>
  </si>
  <si>
    <t>http://ufcstats.com/fight-details/a5d76e93a5052e3f</t>
  </si>
  <si>
    <t>Cub Swanson vs. Hakeem Dawodu</t>
  </si>
  <si>
    <t>Sal D'amato 28 - 29.Ron McCarthy 28 - 29.Jacob Montalvo 28 - 29.</t>
  </si>
  <si>
    <t>http://ufcstats.com/fight-details/1b1fd32485861655</t>
  </si>
  <si>
    <t>Billy Quarantillo vs. Damon Jackson</t>
  </si>
  <si>
    <t>Mike Bell 28 - 29.Derek Cleary 28 - 29.Rick Winter 28 - 29.</t>
  </si>
  <si>
    <t>http://ufcstats.com/fight-details/1b0d5e65fdfc62cf</t>
  </si>
  <si>
    <t>Sean Woodson vs. Dennis Buzukja</t>
  </si>
  <si>
    <t>Justin Brown</t>
  </si>
  <si>
    <t>Mike Bell 27 - 30.Derek Cleary 27 - 30.Kerri Rowland 27 - 30.</t>
  </si>
  <si>
    <t>http://ufcstats.com/fight-details/436a1ce6b0c6b4bb</t>
  </si>
  <si>
    <t>Nathaniel Wood vs. Andre Fili</t>
  </si>
  <si>
    <t>Mike Bell 28 - 29.Junichiro Kamijo 28 - 29.Cezary Wojciechowski 28 - 29.</t>
  </si>
  <si>
    <t>http://ufcstats.com/fight-details/9541cf21e031354c</t>
  </si>
  <si>
    <t>Lerone Murphy vs. Josh Culibao</t>
  </si>
  <si>
    <t>Ben Cartlidge 26 - 30.Darryl Ransom 26 - 30.David Lethaby 27 - 30.</t>
  </si>
  <si>
    <t>http://ufcstats.com/fight-details/3c4305abc2e302d0</t>
  </si>
  <si>
    <t>UFC Fight Night: Holm vs. Bueno Silva</t>
  </si>
  <si>
    <t>Tucker Lutz vs. Melsik Baghdasaryan</t>
  </si>
  <si>
    <t>Adalaide Byrd 28 - 29.Derek Cleary 28 - 29.Sal D'amato 28 - 29.</t>
  </si>
  <si>
    <t>http://ufcstats.com/fight-details/8362b372adb2f302</t>
  </si>
  <si>
    <t>Austin Lingo vs. Melquizael Costa</t>
  </si>
  <si>
    <t>Sal D'amato 26 - 30.Junichiro Kamijo 27 - 30.Brian Puccillo 27 - 30.</t>
  </si>
  <si>
    <t>http://ufcstats.com/fight-details/b4cc389bb4af3707</t>
  </si>
  <si>
    <t>Dan Ige vs. Nate Landwehr</t>
  </si>
  <si>
    <t>Chris Lee 27 - 30.Sal D'amato 28 - 29.Mike Bell 28 - 29.</t>
  </si>
  <si>
    <t>http://ufcstats.com/fight-details/46c67efd68a0b15d</t>
  </si>
  <si>
    <t>Kyle Nelson vs. Blake Bilder</t>
  </si>
  <si>
    <t>Sal Ram</t>
  </si>
  <si>
    <t>Jerin Valel 27 - 30.Mike Bell 27 - 30.Jason Darrah 28 - 29.</t>
  </si>
  <si>
    <t>http://ufcstats.com/fight-details/7ee8b91d7f80f8a7</t>
  </si>
  <si>
    <t>Alex Caceres vs. Daniel Pineda</t>
  </si>
  <si>
    <t>Ron McCarthy 28 - 29.Junichiro Kamijo 28 - 29.Derek Cleary 28 - 29.</t>
  </si>
  <si>
    <t>http://ufcstats.com/fight-details/7be3e513a31f6570</t>
  </si>
  <si>
    <t>UFC 288: Sterling vs. Cejudo</t>
  </si>
  <si>
    <t>Movsar Evloev vs. Diego Lopes</t>
  </si>
  <si>
    <t>Derek Cleary 28 - 29.Eric Colon 28 - 29.David Tirelli 27 - 30.</t>
  </si>
  <si>
    <t>http://ufcstats.com/fight-details/069ab7e7b8b5d262</t>
  </si>
  <si>
    <t>Kron Gracie vs. Charles Jourdain</t>
  </si>
  <si>
    <t>Derek Cleary 27 - 30.Eric Colon 27 - 30.David Tirelli 27 - 30.</t>
  </si>
  <si>
    <t>http://ufcstats.com/fight-details/0c6e3c1f03cd4061</t>
  </si>
  <si>
    <t>Steven Peterson vs. Lucas Alexander</t>
  </si>
  <si>
    <t>Gino Garcia 27 - 30.Sal D'amato 27 - 30.Joel Ojeda 27 - 30.</t>
  </si>
  <si>
    <t>http://ufcstats.com/fight-details/b9e037a45f8850fb</t>
  </si>
  <si>
    <t>UFC Fight Night: Andrade vs. Blanchfield</t>
  </si>
  <si>
    <t>Jamall Emmers vs. Khusein Askhabov</t>
  </si>
  <si>
    <t>Derek Cleary 27 - 30.Eric Colon 27 - 30.Tony Weeks 27 - 30.</t>
  </si>
  <si>
    <t>http://ufcstats.com/fight-details/43ec12079ccc371c</t>
  </si>
  <si>
    <t>UFC 284: Makhachev vs. Volkanovski</t>
  </si>
  <si>
    <t>Jack Jenkins vs. Don Shainis</t>
  </si>
  <si>
    <t>Derek Cleary 27 - 30.David Lethaby 27 - 30.Mick Meany 28 - 29.</t>
  </si>
  <si>
    <t>http://ufcstats.com/fight-details/28af78600d6580f1</t>
  </si>
  <si>
    <t>Shane Young vs. Blake Bilder</t>
  </si>
  <si>
    <t>Ben Cartlidge 27 - 30.Mick Meany 27 - 30.David Lethaby 28 - 29.</t>
  </si>
  <si>
    <t>http://ufcstats.com/fight-details/5c962ea13cb9b937</t>
  </si>
  <si>
    <t>Dan Argueta vs. Nick Aguirre</t>
  </si>
  <si>
    <t>Derek Cleary 27 - 30.Ron McCarthy 27 - 30.Adalaide Byrd 27 - 30.</t>
  </si>
  <si>
    <t>http://ufcstats.com/fight-details/9f09e77e46f15766</t>
  </si>
  <si>
    <t>UFC Fight Night: Thompson vs. Holland</t>
  </si>
  <si>
    <t>Darren Elkins vs. Jonathan Pearce</t>
  </si>
  <si>
    <t>Eric Colon 27 - 30.Daniel Torres 27 - 30.Derek Cleary 26 - 30.</t>
  </si>
  <si>
    <t>http://ufcstats.com/fight-details/be977e524ef56aa4</t>
  </si>
  <si>
    <t>Hakeem Dawodu vs. Julian Erosa</t>
  </si>
  <si>
    <t>Doug Crosby 27 - 30.Sal D'amato 27 - 30.Junichiro Kamijo 27 - 30.</t>
  </si>
  <si>
    <t>http://ufcstats.com/fight-details/0e6d624086f7952e</t>
  </si>
  <si>
    <t>William Gomis vs. Jarno Errens</t>
  </si>
  <si>
    <t>David Lethaby 28 - 29.Clemens Werner 28 - 29.Christophe Chapuis 29 - 29.</t>
  </si>
  <si>
    <t>http://ufcstats.com/fight-details/398db40015b3c81c</t>
  </si>
  <si>
    <t>Charles Jourdain vs. Nathaniel Wood</t>
  </si>
  <si>
    <t>Howard Hughes 27 - 30.Ahmed Korchi 27 - 30.Mark Collett 28 - 29.</t>
  </si>
  <si>
    <t>http://ufcstats.com/fight-details/acc9a109b00a99e1</t>
  </si>
  <si>
    <t>UFC Fight Night: Blaydes vs. Aspinall</t>
  </si>
  <si>
    <t>Nathaniel Wood vs. Charles Rosa</t>
  </si>
  <si>
    <t>David Lethaby 26 - 30.Darryl Ransom 26 - 30.Clemens Werner 27 - 30.</t>
  </si>
  <si>
    <t>http://ufcstats.com/fight-details/f6fd50bf69bb59e6</t>
  </si>
  <si>
    <t>Shayilan Nuerdanbieke vs. TJ Brown</t>
  </si>
  <si>
    <t>Sal D'amato 28 - 29.Ron McCarthy 28 - 29.Adalaide Byrd 28 - 29.</t>
  </si>
  <si>
    <t>http://ufcstats.com/fight-details/21f79cd40513d075</t>
  </si>
  <si>
    <t>Dan Ige vs. Movsar Evloev</t>
  </si>
  <si>
    <t>Doug Crosby 26 - 30.Mike Bell 27 - 30.Junichiro Kamijo 27 - 30.</t>
  </si>
  <si>
    <t>http://ufcstats.com/fight-details/aacb47949a572f25</t>
  </si>
  <si>
    <t>Damon Jackson vs. Dan Argueta</t>
  </si>
  <si>
    <t>Chris Lee 27 - 30.Anthony Maness 27 - 30.Mike Bell 28 - 29.</t>
  </si>
  <si>
    <t>http://ufcstats.com/fight-details/04e6198326be4857</t>
  </si>
  <si>
    <t>Darren Elkins vs. Tristan Connelly</t>
  </si>
  <si>
    <t>Mike Bell 27 - 30.Bryan Miner 27 - 30.Junichiro Kamijo 27 - 30.</t>
  </si>
  <si>
    <t>http://ufcstats.com/fight-details/760e3f292b834637</t>
  </si>
  <si>
    <t>Pat Sabatini vs. TJ Laramie</t>
  </si>
  <si>
    <t>Sal D'amato 26 - 30.Chris Lee 26 - 30.Anthony Maness 26 - 30.</t>
  </si>
  <si>
    <t>http://ufcstats.com/fight-details/4f6e7159e77d4215</t>
  </si>
  <si>
    <t>Luis Saldana vs. Bruno Souza</t>
  </si>
  <si>
    <t>Mike Bell 28 - 29.Andrew Adkins 28 - 29.Eric Colon 28 - 29.</t>
  </si>
  <si>
    <t>http://ufcstats.com/fight-details/97e522591ac7eb29</t>
  </si>
  <si>
    <t>Sodiq Yusuff vs. Alex Caceres</t>
  </si>
  <si>
    <t>Sal D'amato 27 - 30.Adalaide Byrd 27 - 30.Mike Bell 28 - 29.</t>
  </si>
  <si>
    <t>http://ufcstats.com/fight-details/70b8d357e89383bd</t>
  </si>
  <si>
    <t>Edson Barboza vs. Bryce Mitchell</t>
  </si>
  <si>
    <t>Derek Cleary 25 - 30.Doug Crosby 26 - 30.Sal D'amato 27 - 30.</t>
  </si>
  <si>
    <t>http://ufcstats.com/fight-details/abd45edc07a8d9e3</t>
  </si>
  <si>
    <t>Alejandro Perez vs. Jonathan Martinez</t>
  </si>
  <si>
    <t>Mike Bell 28 - 29.Sal D'amato 28 - 29.Dave Hagen 27 - 30.</t>
  </si>
  <si>
    <t>http://ufcstats.com/fight-details/901e62b7af57f559</t>
  </si>
  <si>
    <t>Jonathan Pearce vs. Christian Rodriguez</t>
  </si>
  <si>
    <t>Tony Weeks 27 - 30.Junichiro Kamijo 28 - 29.Chris Lee 28 - 29.</t>
  </si>
  <si>
    <t>http://ufcstats.com/fight-details/528c208293bdef13</t>
  </si>
  <si>
    <t>Hakeem Dawodu vs. Michael Trizano</t>
  </si>
  <si>
    <t>Derek Cleary 27 - 30.Eric Colon 27 - 30.Sal D'amato 27 - 30.</t>
  </si>
  <si>
    <t>http://ufcstats.com/fight-details/84ebbad426d25713</t>
  </si>
  <si>
    <t>UFC Fight Night: Kattar vs. Chikadze</t>
  </si>
  <si>
    <t>Bill Algeo vs. Joanderson Brito</t>
  </si>
  <si>
    <t>Derek Cleary 27 - 30.David Douglas 28 - 29.Sal D'amato 28 - 29.</t>
  </si>
  <si>
    <t>http://ufcstats.com/fight-details/8693027377658e61</t>
  </si>
  <si>
    <t>Brian Kelleher vs. Kevin Croom</t>
  </si>
  <si>
    <t>Derek Cleary 27 - 30.Eric Colon 27 - 30.Sal D'amato 28 - 29.</t>
  </si>
  <si>
    <t>http://ufcstats.com/fight-details/7c2a02b5ea169b54</t>
  </si>
  <si>
    <t>Charles Jourdain vs. Andre Ewell</t>
  </si>
  <si>
    <t>Bryan Miner 26 - 30.Sal D'amato 27 - 30.Junichiro Kamijo 27 - 29.</t>
  </si>
  <si>
    <t>http://ufcstats.com/fight-details/b4f88d65b47c2a39</t>
  </si>
  <si>
    <t>Josh Emmett vs. Dan Ige</t>
  </si>
  <si>
    <t>Doug Crosby 28 - 29.Ron McCarthy 28 - 29.Sal D'amato 27 - 30.</t>
  </si>
  <si>
    <t>http://ufcstats.com/fight-details/6537a32e7af905b0</t>
  </si>
  <si>
    <t>Ryan Hall vs. Darrick Minner</t>
  </si>
  <si>
    <t>Mike Bell 27 - 30.Junichiro Kamijo 27 - 30.Eric Colon 27 - 29.</t>
  </si>
  <si>
    <t>http://ufcstats.com/fight-details/537a5aa4c248830e</t>
  </si>
  <si>
    <t>Pat Sabatini vs. Tucker Lutz</t>
  </si>
  <si>
    <t>Eric Colon 26 - 30.Doug Crosby 27 - 30.Adalaide Byrd 27 - 30.</t>
  </si>
  <si>
    <t>http://ufcstats.com/fight-details/f592f168f3b8b807</t>
  </si>
  <si>
    <t>Shayilan Nuerdanbieke vs. Sean Soriano</t>
  </si>
  <si>
    <t>Doug Crosby 28 - 29.Bryan Miner 28 - 29.Tony Weeks 28 - 29.</t>
  </si>
  <si>
    <t>http://ufcstats.com/fight-details/1ff89e2a9cc2f2d2</t>
  </si>
  <si>
    <t>Shane Burgos vs. Billy Quarantillo</t>
  </si>
  <si>
    <t>Derek Cleary 28 - 29.Doug Crosby 28 - 29.Mike Bell 28 - 29.</t>
  </si>
  <si>
    <t>http://ufcstats.com/fight-details/a260238fdb9c47cf</t>
  </si>
  <si>
    <t>Melsik Baghdasaryan vs. Bruno Souza</t>
  </si>
  <si>
    <t>Sal D'amato 28 - 29.Doug Crosby 28 - 29.Eric Colon 28 - 29.</t>
  </si>
  <si>
    <t>http://ufcstats.com/fight-details/73d541adc2909dc8</t>
  </si>
  <si>
    <t>UFC 267: Blachowicz vs. Teixeira</t>
  </si>
  <si>
    <t>Ricardo Ramos vs. Zubaira Tukhugov</t>
  </si>
  <si>
    <t>David Lethaby 28 - 29.Vito Paolillo 28 - 29.Darryl Ransom 28 - 29.</t>
  </si>
  <si>
    <t>http://ufcstats.com/fight-details/41cdfea7df63003f</t>
  </si>
  <si>
    <t>Charles Rosa vs. Damon Jackson</t>
  </si>
  <si>
    <t>Dave Hagen 28 - 29.Mike Bell 27 - 29.Adalaide Byrd 27 - 30.</t>
  </si>
  <si>
    <t>http://ufcstats.com/fight-details/df16b9c2fc9722e9</t>
  </si>
  <si>
    <t>Austin Lingo vs. Luis Saldana</t>
  </si>
  <si>
    <t>Mike Bell 28 - 29.Jerin Valel 28 - 29.Rick Winter 28 - 29.</t>
  </si>
  <si>
    <t>http://ufcstats.com/fight-details/12d2b282561b5e5f</t>
  </si>
  <si>
    <t>UFC 263: Adesanya vs. Vettori 2</t>
  </si>
  <si>
    <t>Movsar Evloev vs. Hakeem Dawodu</t>
  </si>
  <si>
    <t>Sal D'amato 27 - 29.Chris Lee 27 - 29.Brad Frank 27 - 29.</t>
  </si>
  <si>
    <t>http://ufcstats.com/fight-details/d66164d2c770da68</t>
  </si>
  <si>
    <t>Chase Hooper vs. Steven Peterson</t>
  </si>
  <si>
    <t>Chris Lee 27 - 30.Brad Frank 27 - 30.Mike Bell 28 - 29.</t>
  </si>
  <si>
    <t>http://ufcstats.com/fight-details/84cde29aebf6c00c</t>
  </si>
  <si>
    <t>Makwan Amirkhani vs. Kamuela Kirk</t>
  </si>
  <si>
    <t>Dave Hagen 27 - 30.Mike Bell 28 - 29.Rick Winter 28 - 29.</t>
  </si>
  <si>
    <t>http://ufcstats.com/fight-details/827aacd14f80e8f3</t>
  </si>
  <si>
    <t>Ricardo Ramos vs. Bill Algeo</t>
  </si>
  <si>
    <t>Mike Bell 27 - 30.Eric Colon 27 - 30.Derek Cleary 28 - 29.</t>
  </si>
  <si>
    <t>http://ufcstats.com/fight-details/ae0afbff5ba07a34</t>
  </si>
  <si>
    <t>Josh Culibao vs. Shayilan Nuerdanbieke</t>
  </si>
  <si>
    <t>Derek Cleary 28 - 29.Dave Hagen 28 - 29.Bryan Miner 28 - 29.</t>
  </si>
  <si>
    <t>http://ufcstats.com/fight-details/c7cf2194fe5c751f</t>
  </si>
  <si>
    <t>Kevin Aguilar vs. Tucker Lutz</t>
  </si>
  <si>
    <t>Marcos Rosales 28 - 29.Danny De Alejandro 28 - 29.Joshua Ferraro 27 - 30.</t>
  </si>
  <si>
    <t>http://ufcstats.com/fight-details/1f2f27b36e79da74</t>
  </si>
  <si>
    <t>UFC Fight Night: Rodriguez vs. Waterson</t>
  </si>
  <si>
    <t>Ludovit Klein vs. Michael Trizano</t>
  </si>
  <si>
    <t>Derek Cleary 28 - 29.Adalaide Byrd 28 - 29.Junichiro Kamijo 27 - 30.</t>
  </si>
  <si>
    <t>http://ufcstats.com/fight-details/4ffbadfb86284af5</t>
  </si>
  <si>
    <t>Luke Sanders vs. Felipe Colares</t>
  </si>
  <si>
    <t>http://ufcstats.com/fight-details/3d790112d2e6d851</t>
  </si>
  <si>
    <t>Pat Sabatini vs. Tristan Connelly</t>
  </si>
  <si>
    <t>Josh Rutgers</t>
  </si>
  <si>
    <t>Chris Lee 27 - 30.Troy Wincapaw 28 - 29.Eric Colon 28 - 29.</t>
  </si>
  <si>
    <t>http://ufcstats.com/fight-details/6a7347d1da8a2b87</t>
  </si>
  <si>
    <t>Arnold Allen vs. Sodiq Yusuff</t>
  </si>
  <si>
    <t>Mike Bell 28 - 29.Sal D'amato 28 - 29.Rick Winter 28 - 29.</t>
  </si>
  <si>
    <t>http://ufcstats.com/fight-details/71b81d8199a0fa19</t>
  </si>
  <si>
    <t>Luis Saldana vs. Jordan Griffin</t>
  </si>
  <si>
    <t>Derek Cleary 28 - 29.Adalaide Byrd 28 - 29.Junichiro Kamijo 28 - 29.</t>
  </si>
  <si>
    <t>http://ufcstats.com/fight-details/93a1cd50374397c0</t>
  </si>
  <si>
    <t>Shane Young vs. Omar Morales</t>
  </si>
  <si>
    <t>Junichiro Kamijo 27 - 30.Dave Hagen 27 - 30.Sal D'amato 27 - 30.</t>
  </si>
  <si>
    <t>http://ufcstats.com/fight-details/2220b73ece1730c3</t>
  </si>
  <si>
    <t>Alex Caceres vs. Kevin Croom</t>
  </si>
  <si>
    <t>Eric Colon 26 - 30.Chris Lee 26 - 30.Tony Weeks 27 - 30.</t>
  </si>
  <si>
    <t>http://ufcstats.com/fight-details/6a0341234ecc4e87</t>
  </si>
  <si>
    <t>Charles Rosa vs. Darrick Minner</t>
  </si>
  <si>
    <t>Mike Bell 26 - 30.Rick Winter 27 - 30.Chris Lee 27 - 29.</t>
  </si>
  <si>
    <t>http://ufcstats.com/fight-details/82243207b4dfce87</t>
  </si>
  <si>
    <t>Jared Gordon vs. Danny Chavez</t>
  </si>
  <si>
    <t>Eric Colon 27 - 30.Junichiro Kamijo 27 - 30.Chris Lee 28 - 29.</t>
  </si>
  <si>
    <t>http://ufcstats.com/fight-details/931fd51ab69fb443</t>
  </si>
  <si>
    <t>Ricky Simon vs. Brian Kelleher</t>
  </si>
  <si>
    <t>Sal D'amato 27 - 30.Tony Weeks 27 - 30.Ron McCarthy 27 - 30.</t>
  </si>
  <si>
    <t>http://ufcstats.com/fight-details/54e2490959f66dc2</t>
  </si>
  <si>
    <t>SeungWoo Choi vs. Youssef Zalal</t>
  </si>
  <si>
    <t>Sal D'amato 28 - 29.Junichiro Kamijo 28 - 29.Adalaide Byrd 27 - 30.</t>
  </si>
  <si>
    <t>http://ufcstats.com/fight-details/86d6e09932c5b551</t>
  </si>
  <si>
    <t>Timur Valiev vs. Martin Day</t>
  </si>
  <si>
    <t>Jerin Valel 25 - 30.Rick Winter 25 - 30.Tony Weeks 26 - 30.</t>
  </si>
  <si>
    <t>http://ufcstats.com/fight-details/eb4e9ec015533ab4</t>
  </si>
  <si>
    <t>Lerone Murphy vs. Douglas Silva de Andrade</t>
  </si>
  <si>
    <t>Ben Cartlidge 28 - 29.David Lethaby 28 - 29.Paul Sutherland 27 - 30.</t>
  </si>
  <si>
    <t>http://ufcstats.com/fight-details/d27ac1bc677b89cf</t>
  </si>
  <si>
    <t>UFC Fight Night: Holloway vs. Kattar</t>
  </si>
  <si>
    <t>Jacob Kilburn vs. Austin Lingo</t>
  </si>
  <si>
    <t>David Lethaby 26 - 30.Paul Sutherland 26 - 30.Ben Cartlidge 27 - 30.</t>
  </si>
  <si>
    <t>http://ufcstats.com/fight-details/3d903bc35023f50a</t>
  </si>
  <si>
    <t>UFC 256: Figueiredo vs. Moreno</t>
  </si>
  <si>
    <t>Gavin Tucker vs. Billy Quarantillo</t>
  </si>
  <si>
    <t>http://ufcstats.com/fight-details/87d0b767742d3239</t>
  </si>
  <si>
    <t>Spike Carlyle vs. Bill Algeo</t>
  </si>
  <si>
    <t>Mike Bell 27 - 30.Sal D'amato 27 - 30.Tony Weeks 27 - 30.</t>
  </si>
  <si>
    <t>http://ufcstats.com/fight-details/181c3312f14de5a8</t>
  </si>
  <si>
    <t>Bryce Mitchell vs. Andre Fili</t>
  </si>
  <si>
    <t>Chris Lee 28 - 29.Dave Hagen 27 - 30.Sal D'amato 27 - 30.</t>
  </si>
  <si>
    <t>http://ufcstats.com/fight-details/83955de599b2d874</t>
  </si>
  <si>
    <t>Thomas Almeida vs. Jonathan Martinez</t>
  </si>
  <si>
    <t>Ben Cartlidge 27 - 30.Darryl Ransom 27 - 30.Victor Wolf 27 - 30.</t>
  </si>
  <si>
    <t>http://ufcstats.com/fight-details/e4d0be5ae320c4ae</t>
  </si>
  <si>
    <t>Edson Barboza vs. Makwan Amirkhani</t>
  </si>
  <si>
    <t>Darryl Ransom 26 - 30.Vito Paolillo 27 - 30.Victor Wolf 28 - 29.</t>
  </si>
  <si>
    <t>http://ufcstats.com/fight-details/db5802643b9fd7d4</t>
  </si>
  <si>
    <t>Youssef Zalal vs. Ilia Topuria</t>
  </si>
  <si>
    <t>Mike Bell 28 - 29.Anders Ohlsson 28 - 29.Vito Paolillo 28 - 29.</t>
  </si>
  <si>
    <t>http://ufcstats.com/fight-details/22fe6779c3fa649d</t>
  </si>
  <si>
    <t>Giga Chikadze vs. Omar Morales</t>
  </si>
  <si>
    <t>Mike Bell 27 - 30.Vito Paolillo 27 - 30.Victor Wolf 27 - 30.</t>
  </si>
  <si>
    <t>http://ufcstats.com/fight-details/89dd4c256ca5d317</t>
  </si>
  <si>
    <t>UFC Fight Night: Smith vs. Rakic</t>
  </si>
  <si>
    <t>Ricardo Lamas vs. Bill Algeo</t>
  </si>
  <si>
    <t>Mike Bell 27 - 29.Dave Hagen 27 - 29.Ron McCarthy 27 - 29.</t>
  </si>
  <si>
    <t>http://ufcstats.com/fight-details/3a8e4b830750e9d4</t>
  </si>
  <si>
    <t>TJ Brown vs. Danny Chavez</t>
  </si>
  <si>
    <t>http://ufcstats.com/fight-details/3e4b8bd71e8bceb2</t>
  </si>
  <si>
    <t>Kai Kamaka vs. Tony Kelley</t>
  </si>
  <si>
    <t>Mike Bell 28 - 29.Derek Cleary 28 - 29.Tony Weeks 28 - 29.</t>
  </si>
  <si>
    <t>http://ufcstats.com/fight-details/86deadaab9905a03</t>
  </si>
  <si>
    <t>Youssef Zalal vs. Peter Barrett</t>
  </si>
  <si>
    <t>Mike Bell 26 - 30.Ron McCarthy 26 - 30.Tony Weeks 27 - 30.</t>
  </si>
  <si>
    <t>http://ufcstats.com/fight-details/e255fc129f225a55</t>
  </si>
  <si>
    <t>Johnny Munoz vs. Nate Maness</t>
  </si>
  <si>
    <t>Mike Bell 27 - 29.Dave Hagen 27 - 29.Chris Lee 27 - 29.</t>
  </si>
  <si>
    <t>http://ufcstats.com/fight-details/6ba9f6a7a9361354</t>
  </si>
  <si>
    <t>Jamall Emmers vs. Vince Cachero</t>
  </si>
  <si>
    <t>Tony Weeks 27 - 30.Eric Colon 27 - 30.Ron McCarthy 27 - 30.</t>
  </si>
  <si>
    <t>http://ufcstats.com/fight-details/76b9a338597fc604</t>
  </si>
  <si>
    <t>Movsar Evloev vs. Mike Grundy</t>
  </si>
  <si>
    <t>Lukasz Bosacki 27 - 30.Vito Paolillo 27 - 30.David Lethaby 28 - 29.</t>
  </si>
  <si>
    <t>http://ufcstats.com/fight-details/32b0e450b11b32fe</t>
  </si>
  <si>
    <t>Jimmie Rivera vs. Cody Stamann</t>
  </si>
  <si>
    <t>Anders Ohlsson 27 - 30.Vito Paolillo 27 - 30.Mark Collett 28 - 29.</t>
  </si>
  <si>
    <t>http://ufcstats.com/fight-details/d4c314616eac8f8b</t>
  </si>
  <si>
    <t>Jared Gordon vs. Chris Fishgold</t>
  </si>
  <si>
    <t>Lukasz Bosacki 26 - 30.Ben Cartlidge 26 - 30.Anders Ohlsson 26 - 30.</t>
  </si>
  <si>
    <t>http://ufcstats.com/fight-details/819f51ef9d945a46</t>
  </si>
  <si>
    <t>Jordan Griffin vs. Youssef Zalal</t>
  </si>
  <si>
    <t>Adalaide Byrd 28 - 29.Mike Bell 28 - 29.Dave Hagen 28 - 29.</t>
  </si>
  <si>
    <t>http://ufcstats.com/fight-details/0f369d09416b9e34</t>
  </si>
  <si>
    <t>Josh Emmett vs. Shane Burgos</t>
  </si>
  <si>
    <t>Mike Bell 27 - 29.Derek Cleary 28 - 29.Ron McCarthy 28 - 29.</t>
  </si>
  <si>
    <t>http://ufcstats.com/fight-details/4f99b4a39925cb47</t>
  </si>
  <si>
    <t>Alex Caceres vs. Chase Hooper</t>
  </si>
  <si>
    <t>Derek Cleary 27 - 30.Mike Bell 27 - 30.Rick Winter 27 - 30.</t>
  </si>
  <si>
    <t>http://ufcstats.com/fight-details/f2cd665eab69876a</t>
  </si>
  <si>
    <t>Cody Stamann vs. Brian Kelleher</t>
  </si>
  <si>
    <t>Eric Colon 27 - 30.Dave Hagen 27 - 30.Tony Weeks 27 - 30.</t>
  </si>
  <si>
    <t>http://ufcstats.com/fight-details/c6ca435e24c5f4e4</t>
  </si>
  <si>
    <t>Song Yadong vs. Marlon Vera</t>
  </si>
  <si>
    <t>Sal D'amato 28 - 29.Howard Reichbach 28 - 29.Dave Tirelli 28 - 29.</t>
  </si>
  <si>
    <t>http://ufcstats.com/fight-details/81f2f2d4b0302590</t>
  </si>
  <si>
    <t>Giga Chikadze vs. Irwin Rivera</t>
  </si>
  <si>
    <t>Troy Wincapaw 26 - 30.Derek Cleary 27 - 30.Dave Tirelli 27 - 30.</t>
  </si>
  <si>
    <t>http://ufcstats.com/fight-details/b1e66cea3a4d4709</t>
  </si>
  <si>
    <t>Darren Elkins vs. Nate Landwehr</t>
  </si>
  <si>
    <t>Dave Tirelli 28 - 29.Chris Lee 27 - 30.Sal D'amato 27 - 30.</t>
  </si>
  <si>
    <t>http://ufcstats.com/fight-details/f039c93516e48253</t>
  </si>
  <si>
    <t>UFC 249: Ferguson vs. Gaethje</t>
  </si>
  <si>
    <t>Bryce Mitchell vs. Charles Rosa</t>
  </si>
  <si>
    <t>Barry Luxenberg 25 - 30.Troy Wincapaw 25 - 30.Derek Cleary 24 - 30.</t>
  </si>
  <si>
    <t>http://ufcstats.com/fight-details/08244974cf39ae38</t>
  </si>
  <si>
    <t>Austin Lingo vs. Youssef Zalal</t>
  </si>
  <si>
    <t>Robin Williams 27 - 30.Robert Alexander 27 - 30.Chris Lee 27 - 30.</t>
  </si>
  <si>
    <t>http://ufcstats.com/fight-details/a6441acec6718f03</t>
  </si>
  <si>
    <t>Arnold Allen vs. Nik Lentz</t>
  </si>
  <si>
    <t>Derek Cleary 28 - 29.Tiffany Sorber 28 - 29.Chris Lee 27 - 30.</t>
  </si>
  <si>
    <t>http://ufcstats.com/fight-details/ed94cdc0f2b97e15</t>
  </si>
  <si>
    <t>Andre Fili vs. Sodiq Yusuff</t>
  </si>
  <si>
    <t>Chris Lee 28 - 29.Derek Cleary 28 - 29.Adalaide Byrd 28 - 29.</t>
  </si>
  <si>
    <t>http://ufcstats.com/fight-details/5868c154789648f0</t>
  </si>
  <si>
    <t>SeungWoo Choi vs. Suman Mokhtarian</t>
  </si>
  <si>
    <t>Ben Cartlidge 26 - 29.Evan Field 26 - 29.Paul Sutherland 25 - 29.</t>
  </si>
  <si>
    <t>http://ufcstats.com/fight-details/6ea23c2c30f85a89</t>
  </si>
  <si>
    <t>UFC Fight Night: Blachowicz vs. Jacare</t>
  </si>
  <si>
    <t>Douglas Silva de Andrade vs. Renan Barao</t>
  </si>
  <si>
    <t>Sal D'amato 27 - 30.Marcelo Vilhena 27 - 30.Guilherme Bravo 26 - 30.</t>
  </si>
  <si>
    <t>http://ufcstats.com/fight-details/80ce8f7d988d5e57</t>
  </si>
  <si>
    <t>Zabit Magomedsharipov vs. Calvin Kattar</t>
  </si>
  <si>
    <t>Mark Collett 28 - 29.David Lethaby 28 - 29.Paul Sutherland 28 - 29.</t>
  </si>
  <si>
    <t>http://ufcstats.com/fight-details/c3bb60dc82345a9f</t>
  </si>
  <si>
    <t>UFC Fight Night: Maia vs. Askren</t>
  </si>
  <si>
    <t>Enrique Barzola vs. Movsar Evloev</t>
  </si>
  <si>
    <t>Mark Collett 28 - 29.Howard Hughes 28 - 29.Pawel Harasim 27 - 30.</t>
  </si>
  <si>
    <t>http://ufcstats.com/fight-details/a4527094aa107b55</t>
  </si>
  <si>
    <t>David Ginsberg 28 - 29.Dave Tirelli 28 - 29.Macel Varella 28 - 29.</t>
  </si>
  <si>
    <t>http://ufcstats.com/fight-details/d2dc6fb05ad78d80</t>
  </si>
  <si>
    <t>Kyle Bochniak vs. Sean Woodson</t>
  </si>
  <si>
    <t>Steve Rita</t>
  </si>
  <si>
    <t>Marcelo Vilhena 26 - 30.Sal D'amato 27 - 30.Nick Mahmood 27 - 30.</t>
  </si>
  <si>
    <t>http://ufcstats.com/fight-details/9c3fb95a1558b38d</t>
  </si>
  <si>
    <t>Cub Swanson vs. Kron Gracie</t>
  </si>
  <si>
    <t>Dave Tirelli 27 - 30.Derek Cleary 27 - 30.Tony Weeks 27 - 30.</t>
  </si>
  <si>
    <t>http://ufcstats.com/fight-details/707ba52845d399c9</t>
  </si>
  <si>
    <t>Chas Skelly vs. Jordan Griffin</t>
  </si>
  <si>
    <t>Sal D'amato 28 - 29.Mike Bell 28 - 29.Mitchell Cadlick 28 - 29.</t>
  </si>
  <si>
    <t>http://ufcstats.com/fight-details/462a95890423d3c6</t>
  </si>
  <si>
    <t>Eduardo Garagorri vs. Humberto Bandenay</t>
  </si>
  <si>
    <t>Tony Weeks 27 - 30.Phillipe Iorio 27 - 30.Joseph Terrell 27 - 30.</t>
  </si>
  <si>
    <t>http://ufcstats.com/fight-details/aef94727eb3897df</t>
  </si>
  <si>
    <t>Alex Caceres vs. Steven Peterson</t>
  </si>
  <si>
    <t>Jennie Cardenas 27 - 30.Ruben Carrion 28 - 29.Gino Garcia 28 - 29.</t>
  </si>
  <si>
    <t>http://ufcstats.com/fight-details/96d33e46267d4eaf</t>
  </si>
  <si>
    <t>Darren Elkins vs. Ryan Hall</t>
  </si>
  <si>
    <t>Wade Vierra 28 - 29.Marcos Rosales 28 - 29.Ron McCarthy 27 - 30.</t>
  </si>
  <si>
    <t>http://ufcstats.com/fight-details/37a8c442fb38db75</t>
  </si>
  <si>
    <t>Gilbert Melendez vs. Arnold Allen</t>
  </si>
  <si>
    <t>Mike Bell 27 - 30.Sal D'amato 27 - 30.Ron McCarthy 27 - 30.</t>
  </si>
  <si>
    <t>http://ufcstats.com/fight-details/c48af5eafb532d0a</t>
  </si>
  <si>
    <t>Dan Ige vs. Kevin Aguilar</t>
  </si>
  <si>
    <t>Eric Colon 28 - 29.Nikki Messer 28 - 29.Derek Cleary 27 - 29.</t>
  </si>
  <si>
    <t>http://ufcstats.com/fight-details/f047e3605f8852d8</t>
  </si>
  <si>
    <t>UFC Fight Night: Gustafsson vs. Smith</t>
  </si>
  <si>
    <t>Daniel Teymur vs. Sung Bin Jo</t>
  </si>
  <si>
    <t>Madelein Fagerlind 27 - 30.Dave Tirelli 27 - 30.Anders Ohlsson 28 - 29.</t>
  </si>
  <si>
    <t>http://ufcstats.com/fight-details/c53cb796b4a4cdb8</t>
  </si>
  <si>
    <t>Jose Aldo vs. Alexander Volkanovski</t>
  </si>
  <si>
    <t>Guilherme Bravo 27 - 30.Sal D'amato 27 - 30.Dave Tirelli 27 - 30.</t>
  </si>
  <si>
    <t>http://ufcstats.com/fight-details/7b53967f282a0d0a</t>
  </si>
  <si>
    <t>UFC Fight Night: Overeem vs. Oleinik</t>
  </si>
  <si>
    <t>Movsar Evloev vs. SeungWoo Choi</t>
  </si>
  <si>
    <t>Vjacheslav Kiselev</t>
  </si>
  <si>
    <t>Lukasz Bosacki 27 - 29.Maria Makhmutova 27 - 29.Howard Hughes 26 - 29.</t>
  </si>
  <si>
    <t>http://ufcstats.com/fight-details/1b4374c9d7e5139c</t>
  </si>
  <si>
    <t>Sodiq Yusuff vs. Sheymon Moraes</t>
  </si>
  <si>
    <t>Dave Tirelli 27 - 29.Eric Colon 28 - 29.David Brogan 28 - 29.</t>
  </si>
  <si>
    <t>http://ufcstats.com/fight-details/818b55b087013e64</t>
  </si>
  <si>
    <t>Enrique Barzola vs. Kevin Aguilar</t>
  </si>
  <si>
    <t>Eric Colon 28 - 29.Wilfredo Cintron 28 - 29.Cardo Urso 28 - 29.</t>
  </si>
  <si>
    <t>http://ufcstats.com/fight-details/6173056f0e080ca6</t>
  </si>
  <si>
    <t>Luis Pena vs. Steven Peterson</t>
  </si>
  <si>
    <t>Tony Weeks 27 - 30.Sal D'amato 27 - 30.Brian Puccillo 27 - 30.</t>
  </si>
  <si>
    <t>http://ufcstats.com/fight-details/3812b265afd78186</t>
  </si>
  <si>
    <t>Bryce Mitchell vs. Bobby Moffett</t>
  </si>
  <si>
    <t>Sal D'amato 28 - 29.Anthony Maness 28 - 29.Tony Weeks 28 - 29.</t>
  </si>
  <si>
    <t>http://ufcstats.com/fight-details/721b23d896a44e2e</t>
  </si>
  <si>
    <t>Arnold Allen vs. Jordan Rinaldi</t>
  </si>
  <si>
    <t>Pawel Harasim 26 - 30.Anders Ohlsson 27 - 30.Paul Sutherland 28 - 29.</t>
  </si>
  <si>
    <t>http://ufcstats.com/fight-details/8cc4c597aecbfef5</t>
  </si>
  <si>
    <t>Grant Dawson vs. Julian Erosa</t>
  </si>
  <si>
    <t>Chris Lee 26 - 30.Derek Cleary 27 - 30.Mike Bell 27 - 29.</t>
  </si>
  <si>
    <t>http://ufcstats.com/fight-details/ddcfa590f4644240</t>
  </si>
  <si>
    <t>Jeremy Stephens vs. Zabit Magomedsharipov</t>
  </si>
  <si>
    <t>http://ufcstats.com/fight-details/bac3ac8d7330d05d</t>
  </si>
  <si>
    <t>Andre Fili vs. Myles Jury</t>
  </si>
  <si>
    <t>Raul Porrata 28 - 29.Derek Cleary 28 - 29.Chris Lee 28 - 29.</t>
  </si>
  <si>
    <t>http://ufcstats.com/fight-details/0a4247ba4ae1cca5</t>
  </si>
  <si>
    <t>Shane Young vs. Austin Arnett</t>
  </si>
  <si>
    <t>Evan Field 27 - 30.Albert Shen 27 - 30.Charlie Keech 27 - 30.</t>
  </si>
  <si>
    <t>http://ufcstats.com/fight-details/49f7186e1e3cf6c8</t>
  </si>
  <si>
    <t>Geraldo de Freitas vs. Felipe Colares</t>
  </si>
  <si>
    <t>Chris Lee 27 - 30.Mike Bell 27 - 30.Guilherme Bravo 26 - 30.</t>
  </si>
  <si>
    <t>http://ufcstats.com/fight-details/818456a713fdabe6</t>
  </si>
  <si>
    <t>Dan Ige vs. Jordan Griffin</t>
  </si>
  <si>
    <t>Joe Fipp</t>
  </si>
  <si>
    <t>Brian Puccillo 28 - 29.Chris Lee 28 - 29.Rick Winter 28 - 29.</t>
  </si>
  <si>
    <t>http://ufcstats.com/fight-details/1b6e5363eb81c409</t>
  </si>
  <si>
    <t>Ricky Glenn vs. Kevin Aguilar</t>
  </si>
  <si>
    <t>Adalaide Byrd 27 - 30.Chris Lee 27 - 30.Glenn Trowbridge 27 - 30.</t>
  </si>
  <si>
    <t>http://ufcstats.com/fight-details/4e6bbc5832e55f64</t>
  </si>
  <si>
    <t>Humberto Bandenay vs. Austin Arnett</t>
  </si>
  <si>
    <t>Joseph Terrell 28 - 29.Guilherme Bravo 27 - 29.Hallison Pontes 27 - 29.</t>
  </si>
  <si>
    <t>http://ufcstats.com/fight-details/85f85003fadf7a7b</t>
  </si>
  <si>
    <t>Nad Narimani vs. Anderson Dos Santos</t>
  </si>
  <si>
    <t>Guilherme Bravo 27 - 30.Mike Bell 27 - 30.Hallison Pontes 27 - 30.</t>
  </si>
  <si>
    <t>http://ufcstats.com/fight-details/c7bc8750e9503805</t>
  </si>
  <si>
    <t>Jason Knight vs. Jordan Rinaldi</t>
  </si>
  <si>
    <t>Doug Crosby 27 - 30.Derek Cleary 25 - 30.Sal D'amato 26 - 30.</t>
  </si>
  <si>
    <t>http://ufcstats.com/fight-details/78bb2b441917848c</t>
  </si>
  <si>
    <t>Michael Johnson vs. Artem Lobov</t>
  </si>
  <si>
    <t>Declan Woods 28 - 29.Doug Crosby 28 - 29.Emile Arsenault 27 - 30.</t>
  </si>
  <si>
    <t>http://ufcstats.com/fight-details/e202f273220aa533</t>
  </si>
  <si>
    <t>Matt Sayles vs. Sheymon Moraes</t>
  </si>
  <si>
    <t>Ron McCarthy 28 - 29.Guilherme Bravo 28 - 29.Sal D'amato 28 - 29.</t>
  </si>
  <si>
    <t>http://ufcstats.com/fight-details/e85e83ab4e60e768</t>
  </si>
  <si>
    <t>UFC Fight Night: Alvarez vs. Poirier 2</t>
  </si>
  <si>
    <t>Hakeem Dawodu vs. Austin Arnett</t>
  </si>
  <si>
    <t>Sal D'amato 27 - 30.Tony Weeks 27 - 30.Jason Rodgers 27 - 30.</t>
  </si>
  <si>
    <t>http://ufcstats.com/fight-details/11c851a73ffb55ba</t>
  </si>
  <si>
    <t>Khalid Taha vs. Nad Narimani</t>
  </si>
  <si>
    <t>Ben Cartlidge 27 - 30.Andreas Gruner 27 - 30.Pawel Harasim 27 - 30.</t>
  </si>
  <si>
    <t>http://ufcstats.com/fight-details/b71192c8fe23078c</t>
  </si>
  <si>
    <t>Darren Elkins vs. Alexander Volkanovski</t>
  </si>
  <si>
    <t>Tim Turner 27 - 30.Marcos Rosales 28 - 29.Scott Marker 28 - 29.</t>
  </si>
  <si>
    <t>http://ufcstats.com/fight-details/67018331e90a9949</t>
  </si>
  <si>
    <t>Enrique Barzola vs. Brandon Davis</t>
  </si>
  <si>
    <t>Marcelo Vilhena 27 - 30.Guilherme Bravo 26 - 30.Chris Lee 26 - 30.</t>
  </si>
  <si>
    <t>http://ufcstats.com/fight-details/53febf2fb416f9de</t>
  </si>
  <si>
    <t>Frankie Edgar vs. Cub Swanson</t>
  </si>
  <si>
    <t>Derek Cleary 27 - 30.Eric Colon 27 - 30.Cardo Urso 27 - 30.</t>
  </si>
  <si>
    <t>http://ufcstats.com/fight-details/6d8ce1abde550bc6</t>
  </si>
  <si>
    <t>UFC 223: Khabib vs. Iaquinta</t>
  </si>
  <si>
    <t>Renato Moicano vs. Calvin Kattar</t>
  </si>
  <si>
    <t>Sal D'amato 28 - 29.Glenn Trowbridge 27 - 30.Dave Tirelli 27 - 30.</t>
  </si>
  <si>
    <t>http://ufcstats.com/fight-details/95edc0b6438f2592</t>
  </si>
  <si>
    <t>Zabit Magomedsharipov vs. Kyle Bochniak</t>
  </si>
  <si>
    <t>Rob Hinds</t>
  </si>
  <si>
    <t>Glenn Trowbridge 28 - 29.Derek Cleary 27 - 30.Chris Lee 27 - 30.</t>
  </si>
  <si>
    <t>http://ufcstats.com/fight-details/6c5f7f98ec0b6f17</t>
  </si>
  <si>
    <t>UFC Fight Night: Cerrone vs. Medeiros</t>
  </si>
  <si>
    <t>Steven Peterson vs. Brandon Davis</t>
  </si>
  <si>
    <t>Marcos Rosales 27 - 30.Nick Wright 28 - 29.Anthony Townsend 26 - 30.</t>
  </si>
  <si>
    <t>http://ufcstats.com/fight-details/a8d189f56de9b451</t>
  </si>
  <si>
    <t>Kyle Bochniak vs. Brandon Davis</t>
  </si>
  <si>
    <t>Dave Tirelli 28 - 29.Sal D'amato 28 - 29.Doug Crosby 27 - 30.</t>
  </si>
  <si>
    <t>http://ufcstats.com/fight-details/ea66be2688f542be</t>
  </si>
  <si>
    <t>Dan Ige vs. Julio Arce</t>
  </si>
  <si>
    <t>Sal D'amato 27 - 30.Doug Crosby 27 - 30.Alexius Phoenix 28 - 29.</t>
  </si>
  <si>
    <t>http://ufcstats.com/fight-details/50385add37239184</t>
  </si>
  <si>
    <t>Matt Bessette vs. Enrique Barzola</t>
  </si>
  <si>
    <t>David Ginsberg 27 - 30.Doug Crosby 28 - 29.Mike Mena 28 - 29.</t>
  </si>
  <si>
    <t>http://ufcstats.com/fight-details/1b0fa021b1158121</t>
  </si>
  <si>
    <t>Mads Burnell vs. Mike Santiago</t>
  </si>
  <si>
    <t>Marcos Rosales 28 - 29.Justin Brown 28 - 29.Brian Puccillo 28 - 29.</t>
  </si>
  <si>
    <t>http://ufcstats.com/fight-details/c4ecf4b894ccbced</t>
  </si>
  <si>
    <t>Myles Jury vs. Ricky Glenn</t>
  </si>
  <si>
    <t>Dave Hagen 27 - 30.Chris Lee 27 - 30.Rick Winter 27 - 30.</t>
  </si>
  <si>
    <t>http://ufcstats.com/fight-details/147d2ab0230af48d</t>
  </si>
  <si>
    <t>Jason Knight vs. Gabriel Benitez</t>
  </si>
  <si>
    <t>Derek Cleary 26 - 30.Marcos Rosales 26 - 30.Wade Vierra 27 - 29.</t>
  </si>
  <si>
    <t>http://ufcstats.com/fight-details/0a444f30cae13d8f</t>
  </si>
  <si>
    <t>Wuliji Buren vs. Rolando Dy</t>
  </si>
  <si>
    <t>Albert Shen 27 - 30.Charlie Keech 28 - 29.Paul Sutherland 27 - 30.</t>
  </si>
  <si>
    <t>http://ufcstats.com/fight-details/903feee04bc91c59</t>
  </si>
  <si>
    <t>Artem Lobov vs. Andre Fili</t>
  </si>
  <si>
    <t>Ben Cartlidge 27 - 30.Paul Sutherland 27 - 30.Cezary Wojciechowski 27 - 30.</t>
  </si>
  <si>
    <t>http://ufcstats.com/fight-details/06287b822837a616</t>
  </si>
  <si>
    <t>Felipe Arantes vs. Josh Emmett</t>
  </si>
  <si>
    <t>Tomasz Bronder</t>
  </si>
  <si>
    <t>Ben Cartlidge 26 - 30.Maciej Motylewski 26 - 30.Paul Sutherland 25 - 30.</t>
  </si>
  <si>
    <t>http://ufcstats.com/fight-details/8b10419db5bffe28</t>
  </si>
  <si>
    <t>UFC Fight Night: Saint Preux vs. Okami</t>
  </si>
  <si>
    <t>Teruto Ishihara vs. Rolando Dy</t>
  </si>
  <si>
    <t>Ben Cartlidge 27 - 28.Charlie Keech 27 - 28.Evan Field 27 - 28.</t>
  </si>
  <si>
    <t>http://ufcstats.com/fight-details/6be073563a421bca</t>
  </si>
  <si>
    <t>UFC 215: Nunes vs Shevchenko 2</t>
  </si>
  <si>
    <t>Jeremy Stephens vs. Gilbert Melendez</t>
  </si>
  <si>
    <t>David Therien 26 - 30.Thomas Collins 26 - 30.Dave Hagen 25 - 30.</t>
  </si>
  <si>
    <t>http://ufcstats.com/fight-details/94c7e64ce88c9b9e</t>
  </si>
  <si>
    <t>Gavin Tucker vs. Ricky Glenn</t>
  </si>
  <si>
    <t>Kyle Cardinal</t>
  </si>
  <si>
    <t>Dave Hagen 25 - 30.Sal D'amato 24 - 30.Sean Gerke 27 - 29.</t>
  </si>
  <si>
    <t>http://ufcstats.com/fight-details/f597d2e69ab7c270</t>
  </si>
  <si>
    <t>Andre Fili vs. Calvin Kattar</t>
  </si>
  <si>
    <t>Guilherme Bravo 27 - 30.Mike Bell 27 - 30.Brandon Saucedo 27 - 30.</t>
  </si>
  <si>
    <t>http://ufcstats.com/fight-details/3d95b4f94ccffa96</t>
  </si>
  <si>
    <t>Kyle Bochniak vs. Jeremy Kennedy</t>
  </si>
  <si>
    <t>Sal D'amato 27 - 30.Bryan Miner 27 - 30.Jeff Mullen 28 - 29.</t>
  </si>
  <si>
    <t>http://ufcstats.com/fight-details/bcf842992f9accdc</t>
  </si>
  <si>
    <t>Shane Burgos vs. Godofredo Pepey</t>
  </si>
  <si>
    <t>Doug Crosby 26 - 30.Sal D'amato 26 - 30.Cardo Urso 28 - 29.</t>
  </si>
  <si>
    <t>http://ufcstats.com/fight-details/9f114a219523bf7d</t>
  </si>
  <si>
    <t>Cody Stamann vs. Terrion Ware</t>
  </si>
  <si>
    <t>Marcos Rosales 27 - 30.Junichiro Kamijo 27 - 30.Glenn Trowbridge 28 - 29.</t>
  </si>
  <si>
    <t>http://ufcstats.com/fight-details/1645ed92dcdc5c03</t>
  </si>
  <si>
    <t>The Ultimate Fighter: Redemption Finale</t>
  </si>
  <si>
    <t>Gray Maynard vs. Teruto Ishihara</t>
  </si>
  <si>
    <t>Derek Cleary 26 - 30.Junichiro Kamijo 26 - 30.Tony Weeks 26 - 30.</t>
  </si>
  <si>
    <t>http://ufcstats.com/fight-details/88c2da7b33cca8d4</t>
  </si>
  <si>
    <t>UFC Fight Night: Lewis vs. Hunt</t>
  </si>
  <si>
    <t>Alexander Volkanovski vs. Mizuto Hirota</t>
  </si>
  <si>
    <t>Ritchie Gerard 27 - 30.Peter Hickmont 27 - 30.Mark Rodgers 27 - 30.</t>
  </si>
  <si>
    <t>http://ufcstats.com/fight-details/e4db3b1669d498c3</t>
  </si>
  <si>
    <t>UFC 211: Miocic vs. Dos Santos</t>
  </si>
  <si>
    <t>Gabriel Benitez vs. Enrique Barzola</t>
  </si>
  <si>
    <t>Dan Mathisen 28 - 29.Chris Reed 28 - 29.Aladin Martinez 28 - 29.</t>
  </si>
  <si>
    <t>http://ufcstats.com/fight-details/7188621a628e718d</t>
  </si>
  <si>
    <t>Rony Jason vs. Jeremy Kennedy</t>
  </si>
  <si>
    <t>Marco Borges 28 - 29.Sal D'amato 28 - 29.Fabio Alves 27 - 29.</t>
  </si>
  <si>
    <t>http://ufcstats.com/fight-details/ebb94e00d6431e7a</t>
  </si>
  <si>
    <t>Sam Sicilia vs. Gavin Tucker</t>
  </si>
  <si>
    <t>Cyril Desjardins</t>
  </si>
  <si>
    <t>Ian Bridgeman 27 - 30.Sal D'amato 27 - 30.Craig Smith 27 - 30.</t>
  </si>
  <si>
    <t>http://ufcstats.com/fight-details/112e6a0ddce893e6</t>
  </si>
  <si>
    <t>Cole Miller vs. Mizuto Hirota</t>
  </si>
  <si>
    <t>Derek Cleary 26 - 30.Marcos Rosales 27 - 30.Brandon Saucedo 27 - 30.</t>
  </si>
  <si>
    <t>http://ufcstats.com/fight-details/4b35edc671de861f</t>
  </si>
  <si>
    <t>Cub Swanson vs. Dooho Choi</t>
  </si>
  <si>
    <t>Doug Crosby 27 - 30.Eric Colon 27 - 30.Derek Cleary 28 - 29.</t>
  </si>
  <si>
    <t>http://ufcstats.com/fight-details/5f0aa841c21f7d30</t>
  </si>
  <si>
    <t>UFC Fight Night: Lewis vs. Abdurakhimov</t>
  </si>
  <si>
    <t>Tiago dos Santos e Silva vs. Shane Burgos</t>
  </si>
  <si>
    <t>Doug Crosby 26 - 30.Dominic Carolei 28 - 29.Derek Cleary 27 - 29.</t>
  </si>
  <si>
    <t>http://ufcstats.com/fight-details/4bf0be780f2d09be</t>
  </si>
  <si>
    <t>Gray Maynard vs. Ryan Hall</t>
  </si>
  <si>
    <t>Patricia Morse-Jarman 27 - 30.Derek Cleary 27 - 30.Glenn Trowbridge 28 - 29.</t>
  </si>
  <si>
    <t>http://ufcstats.com/fight-details/019983faebec6d64</t>
  </si>
  <si>
    <t>UFC Fight Night: Whittaker vs. Brunson</t>
  </si>
  <si>
    <t>Dan Hooker vs. Jason Knight</t>
  </si>
  <si>
    <t>Christopher Shen 28 - 29.Evan Field 27 - 30.Charlie Keech 26 - 30.</t>
  </si>
  <si>
    <t>http://ufcstats.com/fight-details/4f60a7e7b848bc6d</t>
  </si>
  <si>
    <t>Marlon Vera vs. Guangyou Ning</t>
  </si>
  <si>
    <t>Barry Foley 28 - 29.Charlie Keech 28 - 29.Albert Shen 28 - 29.</t>
  </si>
  <si>
    <t>http://ufcstats.com/fight-details/2e209dc450b7ebe3</t>
  </si>
  <si>
    <t>Artem Lobov vs. Teruto Ishihara</t>
  </si>
  <si>
    <t>Mark Collett 27 - 30.Pawel Harasim 27 - 30.Peter Lavery 28 - 29.</t>
  </si>
  <si>
    <t>http://ufcstats.com/fight-details/e4795ab9bdd6fb38</t>
  </si>
  <si>
    <t>Frankie Edgar vs. Jeremy Stephens</t>
  </si>
  <si>
    <t>Glenn Trowbridge 27 - 30.Cardo Urso 27 - 30.Sal D'amato 28 - 29.</t>
  </si>
  <si>
    <t>http://ufcstats.com/fight-details/9c4cbd0546d03f6b</t>
  </si>
  <si>
    <t>Enrique Barzola vs. Chris Avila</t>
  </si>
  <si>
    <t>Derek Cleary 26 - 30.Sal D'amato 26 - 30.Chris Lee 26 - 30.</t>
  </si>
  <si>
    <t>http://ufcstats.com/fight-details/4fa26e1e88583ab5</t>
  </si>
  <si>
    <t>Hacran Dias vs. Andre Fili</t>
  </si>
  <si>
    <t>Dave Hagen 28 - 29.Glenn Trowbridge 28 - 29.Marcos Rosales 28 - 29.</t>
  </si>
  <si>
    <t>http://ufcstats.com/fight-details/11b369120409d2aa</t>
  </si>
  <si>
    <t>Renan Barao vs. Phillipe Nover</t>
  </si>
  <si>
    <t>Sal D'amato 28 - 29.Guilherme Bravo 28 - 29.Joseph Terrell 27 - 30.</t>
  </si>
  <si>
    <t>http://ufcstats.com/fight-details/50935ae1627fc89b</t>
  </si>
  <si>
    <t>Artem Lobov vs. Chris Avila</t>
  </si>
  <si>
    <t>Roy Silbert 27 - 30.Dave Hagen 27 - 30.Derek Cleary 27 - 30.</t>
  </si>
  <si>
    <t>http://ufcstats.com/fight-details/d101d2ed58a7cf84</t>
  </si>
  <si>
    <t>Dennis Bermudez vs. Rony Jason</t>
  </si>
  <si>
    <t>Derek Cleary 27 - 30.Glenn Trowbridge 26 - 30.Rich Montanez 27 - 30.</t>
  </si>
  <si>
    <t>http://ufcstats.com/fight-details/0344687c9852b1d2</t>
  </si>
  <si>
    <t>Cub Swanson vs. Tatsuya Kawajiri</t>
  </si>
  <si>
    <t>Tony Weeks 27 - 30.Dan Furse 27 - 30.Jeff Dutcher 28 - 29.</t>
  </si>
  <si>
    <t>http://ufcstats.com/fight-details/537c77f3b75a75ae</t>
  </si>
  <si>
    <t>Darren Elkins vs. Godofredo Pepey</t>
  </si>
  <si>
    <t>Gabriel Sabaitis 27 - 29.Rick Winter 27 - 29.Brandon Mason 26 - 30.</t>
  </si>
  <si>
    <t>http://ufcstats.com/fight-details/1eb0491642f276ed</t>
  </si>
  <si>
    <t>The Ultimate Fighter: Team Joanna vs. Team ClÃ¡udia Finale</t>
  </si>
  <si>
    <t>Gray Maynard vs. Fernando Bruno</t>
  </si>
  <si>
    <t>Patricia Morse-Jarman 27 - 30.Glenn Trowbridge 27 - 30.Marcos Rosales 27 - 30.</t>
  </si>
  <si>
    <t>http://ufcstats.com/fight-details/36388dce4a8cc18f</t>
  </si>
  <si>
    <t>UFC 199: Rockhold vs. Bisping 2</t>
  </si>
  <si>
    <t>Max Holloway vs. Ricardo Lamas</t>
  </si>
  <si>
    <t>Mike Bell 27 - 30.Derek Cleary 27 - 30.Wade Vierra 27 - 30.</t>
  </si>
  <si>
    <t>http://ufcstats.com/fight-details/345b1bc51f0f5e86</t>
  </si>
  <si>
    <t>Cole Miller vs. Alex Caceres</t>
  </si>
  <si>
    <t>Mike Bell 28 - 29.Wade Vierra 28 - 29.Jeff Mullen 27 - 30.</t>
  </si>
  <si>
    <t>http://ufcstats.com/fight-details/5b55a8e33199d71e</t>
  </si>
  <si>
    <t>Renan Barao vs. Jeremy Stephens</t>
  </si>
  <si>
    <t>Adalaide Byrd 28 - 29.Junichiro Kamijo 28 - 29.Marcos Rosales 28 - 29.</t>
  </si>
  <si>
    <t>http://ufcstats.com/fight-details/b2c3f1783a0c8530</t>
  </si>
  <si>
    <t>Cub Swanson vs. Hacran Dias</t>
  </si>
  <si>
    <t>Derek Cleary 28 - 29.Sal D'amato 28 - 29.Rich Green 28 - 29.</t>
  </si>
  <si>
    <t>http://ufcstats.com/fight-details/43e416795dbd10e9</t>
  </si>
  <si>
    <t>UFC 196: McGregor vs Diaz</t>
  </si>
  <si>
    <t>Darren Elkins vs. Chas Skelly</t>
  </si>
  <si>
    <t>Chris Lee 27 - 30.Sal D'amato 27 - 29.Adalaide Byrd 26 - 30.</t>
  </si>
  <si>
    <t>http://ufcstats.com/fight-details/d3255f2b8ef2b559</t>
  </si>
  <si>
    <t>Mike Wilkinson vs. Makwan Amirkhani</t>
  </si>
  <si>
    <t>Mark Collett 28 - 29.Peter Lavery 27 - 30.Jeff Mullen 28 - 29.</t>
  </si>
  <si>
    <t>http://ufcstats.com/fight-details/dcf052ef89a66397</t>
  </si>
  <si>
    <t>Arnold Allen vs. Yaotzin Meza</t>
  </si>
  <si>
    <t>Ben Cartlidge 27 - 30.Howard Hughes 27 - 30.Andy Roberts 27 - 30.</t>
  </si>
  <si>
    <t>http://ufcstats.com/fight-details/c82f9bc365ff1074</t>
  </si>
  <si>
    <t>Dennis Bermudez vs. Tatsuya Kawajiri</t>
  </si>
  <si>
    <t>Eric Colon 28 - 29.Todd Kruszka 28 - 29.Andrew Adkins 28 - 29.</t>
  </si>
  <si>
    <t>http://ufcstats.com/fight-details/3bd5dbc1598c409d</t>
  </si>
  <si>
    <t>UFC Fight Night: Hendricks vs Thompson</t>
  </si>
  <si>
    <t>Artem Lobov vs. Alex White</t>
  </si>
  <si>
    <t>Jeff Mullen 27 - 30.Glenn Trowbridge 27 - 30.Tony Weeks 27 - 30.</t>
  </si>
  <si>
    <t>http://ufcstats.com/fight-details/02ace8fdd83c6480</t>
  </si>
  <si>
    <t>Alex Caceres vs. Masio Fullen</t>
  </si>
  <si>
    <t>Ricardo Almeida 27 - 30.Maimunah Querido 27 - 30.Cardo Urso 27 - 30.</t>
  </si>
  <si>
    <t>http://ufcstats.com/fight-details/6066dc40bb3ce8db</t>
  </si>
  <si>
    <t>Charles Rosa vs. Kyle Bochniak</t>
  </si>
  <si>
    <t>Gary Forman</t>
  </si>
  <si>
    <t>Ryan Shea 28 - 29.Tony Weeks 28 - 29.Mike Mena 27 - 30.</t>
  </si>
  <si>
    <t>http://ufcstats.com/fight-details/5afd44d1e567d2e8</t>
  </si>
  <si>
    <t>Max Holloway vs. Jeremy Stephens</t>
  </si>
  <si>
    <t>Chris Lee 27 - 30.Glenn Trowbridge 27 - 30.Junichiro Kamijo 28 - 29.</t>
  </si>
  <si>
    <t>http://ufcstats.com/fight-details/3b321550c8b4aae6</t>
  </si>
  <si>
    <t>The Ultimate Fighter: Team McGregor vs. Team Faber Finale</t>
  </si>
  <si>
    <t>Tatsuya Kawajiri vs. Jason Knight</t>
  </si>
  <si>
    <t>Junichiro Kamijo 27 - 30.Chris Lee 27 - 30.Marcos Rosales 27 - 30.</t>
  </si>
  <si>
    <t>http://ufcstats.com/fight-details/ce82f34bc14f7af0</t>
  </si>
  <si>
    <t>Ricardo Lamas vs. Diego Sanchez</t>
  </si>
  <si>
    <t>Marcos Rosales 27 - 30.Roy Silbert 27 - 30.Cardo Urso 27 - 30.</t>
  </si>
  <si>
    <t>http://ufcstats.com/fight-details/34a39beb93225e2e</t>
  </si>
  <si>
    <t>UFC Fight Night: Holohan vs Smolka</t>
  </si>
  <si>
    <t>Darren Elkins vs. Robert Whiteford</t>
  </si>
  <si>
    <t>Andreas Gruner 27 - 30.Paul Sutherland 27 - 30.Dean Weir 27 - 30.</t>
  </si>
  <si>
    <t>http://ufcstats.com/fight-details/cf3a93dd5460593c</t>
  </si>
  <si>
    <t>UFC 192: Cormier vs Gustafsson</t>
  </si>
  <si>
    <t>Yair Rodriguez vs. Dan Hooker</t>
  </si>
  <si>
    <t>Derek Cleary 27 - 30.Joshua Ferraro 27 - 30.Chris Reed 26 - 30.</t>
  </si>
  <si>
    <t>http://ufcstats.com/fight-details/7ab1cdfe3e540856</t>
  </si>
  <si>
    <t>Sam Sicilia vs. Yaotzin Meza</t>
  </si>
  <si>
    <t>Derek Cleary 27 - 30.Mike Bell 28 - 29.Wade Vierra 28 - 29.</t>
  </si>
  <si>
    <t>http://ufcstats.com/fight-details/541e5c7a87712fc2</t>
  </si>
  <si>
    <t>Dennis Siver vs. Tatsuya Kawajiri</t>
  </si>
  <si>
    <t>Ben Cartlidge 28 - 29.Howard Hughes 28 - 29.Maciej Motylewski 28 - 29.</t>
  </si>
  <si>
    <t>http://ufcstats.com/fight-details/c1322d09e8b6efca</t>
  </si>
  <si>
    <t>Gabriel Benitez vs. Clay Collard</t>
  </si>
  <si>
    <t>Chris Lee 27 - 30.Marcos Rosales 27 - 30.Glenn Trowbridge 27 - 30.</t>
  </si>
  <si>
    <t>http://ufcstats.com/fight-details/0452dd001f4adb6e</t>
  </si>
  <si>
    <t>http://ufcstats.com/fight-details/824859c7580eb35b</t>
  </si>
  <si>
    <t>Josh Emmett vs. Ilia Topuria</t>
  </si>
  <si>
    <t>Sal D'amato 44 - 50.Chris Lee 42 - 50.Eric Colon 45 - 49.</t>
  </si>
  <si>
    <t>http://ufcstats.com/fight-details/c3ef3cb03edde8bb</t>
  </si>
  <si>
    <t>Max Holloway vs. Arnold Allen</t>
  </si>
  <si>
    <t>Chris Lee 46 - 49.Sal D'amato 46 - 49.Travis Buesking 47 - 48.</t>
  </si>
  <si>
    <t>http://ufcstats.com/fight-details/6049301b4deea035</t>
  </si>
  <si>
    <t>Calvin Kattar vs. Giga Chikadze</t>
  </si>
  <si>
    <t>Derek Cleary 45 - 50.Sal D'amato 45 - 50.Chris Lee 44 - 50.</t>
  </si>
  <si>
    <t>http://ufcstats.com/fight-details/9dfcf675cf2c1575</t>
  </si>
  <si>
    <t>Max Holloway vs. Yair Rodriguez</t>
  </si>
  <si>
    <t>Sal D'amato 46 - 49.Derek Cleary 47 - 48.Ron McCarthy 47 - 48.</t>
  </si>
  <si>
    <t>http://ufcstats.com/fight-details/147e984aa34e3028</t>
  </si>
  <si>
    <t>Chan Sung Jung vs. Dan Ige</t>
  </si>
  <si>
    <t>Sal D'amato 47 - 48.Derek Cleary 46 - 49.Mike Bell 46 - 49.</t>
  </si>
  <si>
    <t>http://ufcstats.com/fight-details/50cae63d530ede7c</t>
  </si>
  <si>
    <t>Max Holloway vs. Calvin Kattar</t>
  </si>
  <si>
    <t>Mike Bell 43 - 50.Ben Cartlidge 43 - 50.David Lethaby 42 - 50.</t>
  </si>
  <si>
    <t>http://ufcstats.com/fight-details/a4817b7e46028b4a</t>
  </si>
  <si>
    <t>Brian Ortega vs. Chan Sung Jung</t>
  </si>
  <si>
    <t>Ben Cartlidge 45 - 50.David Lethaby 45 - 50.Clemens Werner 45 - 50.</t>
  </si>
  <si>
    <t>http://ufcstats.com/fight-details/5a440bdee19efaab</t>
  </si>
  <si>
    <t>Calvin Kattar vs. Dan Ige</t>
  </si>
  <si>
    <t>Ben Cartlidge 46 - 49.Mark Collett 46 - 49.David Lethaby 47 - 48.</t>
  </si>
  <si>
    <t>http://ufcstats.com/fight-details/abeaae1a64934178</t>
  </si>
  <si>
    <t>Cub Swanson vs. Artem Lobov</t>
  </si>
  <si>
    <t>Derek Cleary 46 - 49.Chris Lee 46 - 49.Jeff Mullen 45 - 50.</t>
  </si>
  <si>
    <t>http://ufcstats.com/fight-details/b29ed164b3014a42</t>
  </si>
  <si>
    <t>Frankie Edgar vs. Urijah Faber</t>
  </si>
  <si>
    <t>Howie Booth 45 - 50.Barry Foley 45 - 50.Kon Papaioannou 45 - 50.</t>
  </si>
  <si>
    <t>http://ufcstats.com/fight-details/7d60cb78ea70fae0</t>
  </si>
  <si>
    <t>Maximo Blanco vs. Mike de la Torre</t>
  </si>
  <si>
    <t>http://ufcstats.com/fight-details/8410fb6d495a2cc2</t>
  </si>
  <si>
    <t>Dan Ige vs. Gavin Tucker</t>
  </si>
  <si>
    <t>http://ufcstats.com/fight-details/d15a87087b6f1452</t>
  </si>
  <si>
    <t>Ode Osbourne vs. Jerome Rivera</t>
  </si>
  <si>
    <t>http://ufcstats.com/fight-details/3ac61bcb406e1a0c</t>
  </si>
  <si>
    <t>Martin Bravo vs. Humberto Bandenay</t>
  </si>
  <si>
    <t>http://ufcstats.com/fight-details/2f9b9ef5f6833aa1</t>
  </si>
  <si>
    <t>Katsunori Kikuno vs. Diego Brandao</t>
  </si>
  <si>
    <t>http://ufcstats.com/fight-details/1c5bed46920ab3e1</t>
  </si>
  <si>
    <t>Gabriel Benitez vs. Humberto Bandenay</t>
  </si>
  <si>
    <t>http://ufcstats.com/fight-details/79c22394d9c2144d</t>
  </si>
  <si>
    <t>Andre Fili vs. Joanderson Brito</t>
  </si>
  <si>
    <t>http://ufcstats.com/fight-details/632c2d4ed12f2bdf</t>
  </si>
  <si>
    <t>Mike Santiago vs. Dan Ige</t>
  </si>
  <si>
    <t>http://ufcstats.com/fight-details/d3f5854d16fc31f9</t>
  </si>
  <si>
    <t>Nate Landwehr vs. Julian Erosa</t>
  </si>
  <si>
    <t>http://ufcstats.com/fight-details/e175c1a0bff30187</t>
  </si>
  <si>
    <t>Renato Moicano vs. Chan Sung Jung</t>
  </si>
  <si>
    <t>http://ufcstats.com/fight-details/aec1339028f3416c</t>
  </si>
  <si>
    <t>Giga Chikadze vs. Cub Swanson</t>
  </si>
  <si>
    <t>http://ufcstats.com/fight-details/2f82e8079ba354f4</t>
  </si>
  <si>
    <t>Darrick Minner vs. Shayilan Nuerdanbieke</t>
  </si>
  <si>
    <t>http://ufcstats.com/fight-details/2664805fde34fb1b</t>
  </si>
  <si>
    <t>Damon Jackson vs. Pat Sabatini</t>
  </si>
  <si>
    <t>http://ufcstats.com/fight-details/f521ecde1e96a1bd</t>
  </si>
  <si>
    <t>Ricardo Ramos vs. Danny Chavez</t>
  </si>
  <si>
    <t>Spinning Back Elbow to Head At Distance</t>
  </si>
  <si>
    <t>http://ufcstats.com/fight-details/1378fc2be3819b2b</t>
  </si>
  <si>
    <t>Shane Young vs. Ludovit Klein</t>
  </si>
  <si>
    <t>http://ufcstats.com/fight-details/eed8c9955cad1e30</t>
  </si>
  <si>
    <t>Aalon Cruz vs. Spike Carlyle</t>
  </si>
  <si>
    <t>Scott Howard</t>
  </si>
  <si>
    <t>http://ufcstats.com/fight-details/0bcb04163f8d8ead</t>
  </si>
  <si>
    <t>Chase Hooper vs. Steve Garcia</t>
  </si>
  <si>
    <t>http://ufcstats.com/fight-details/86dff1593d8b9a1f</t>
  </si>
  <si>
    <t>Dooho Choi vs. Sam Sicilia</t>
  </si>
  <si>
    <t>http://ufcstats.com/fight-details/a09bfdaa83d99efb</t>
  </si>
  <si>
    <t>Marco Polo Reyes vs. Kyle Nelson</t>
  </si>
  <si>
    <t>http://ufcstats.com/fight-details/ad878cdd4fa36a3a</t>
  </si>
  <si>
    <t>Julian Erosa vs. SeungWoo Choi</t>
  </si>
  <si>
    <t>http://ufcstats.com/fight-details/d3c0dfa57950aefd</t>
  </si>
  <si>
    <t>Max Holloway vs. Charles Oliveira</t>
  </si>
  <si>
    <t>to At DistanceShoulder Injury</t>
  </si>
  <si>
    <t>http://ufcstats.com/fight-details/05e2832cd5ffb7a6</t>
  </si>
  <si>
    <t>Julian Erosa vs. Fernando Padilla</t>
  </si>
  <si>
    <t>http://ufcstats.com/fight-details/e0e2c1fc1a178d89</t>
  </si>
  <si>
    <t>Cub Swanson vs. Darren Elkins</t>
  </si>
  <si>
    <t>http://ufcstats.com/fight-details/2a5484a6d5e7a2da</t>
  </si>
  <si>
    <t>UFC Fight Night: Dos Santos vs. Tuivasa</t>
  </si>
  <si>
    <t>Suman Mokhtarian vs. Sodiq Yusuff</t>
  </si>
  <si>
    <t>http://ufcstats.com/fight-details/0ac4f0c1b4d021f6</t>
  </si>
  <si>
    <t>Frankie Edgar vs. Chad Mendes</t>
  </si>
  <si>
    <t>http://ufcstats.com/fight-details/18292c8eb20ae045</t>
  </si>
  <si>
    <t>Dennis Bermudez vs. Chan Sung Jung</t>
  </si>
  <si>
    <t>http://ufcstats.com/fight-details/8c220d4c96895a98</t>
  </si>
  <si>
    <t>Teruto Ishihara vs. Horacio Gutierrez</t>
  </si>
  <si>
    <t>Dave Seljestad</t>
  </si>
  <si>
    <t>http://ufcstats.com/fight-details/34644c44229e41a1</t>
  </si>
  <si>
    <t>Arnold Allen vs. Dan Hooker</t>
  </si>
  <si>
    <t>http://ufcstats.com/fight-details/ce3d94186567a684</t>
  </si>
  <si>
    <t>Edson Barboza vs. Billy Quarantillo</t>
  </si>
  <si>
    <t>http://ufcstats.com/fight-details/83c81018bb3aeebf</t>
  </si>
  <si>
    <t>Ilia Topuria vs. Damon Jackson</t>
  </si>
  <si>
    <t>http://ufcstats.com/fight-details/b1be8b41b1a4fd85</t>
  </si>
  <si>
    <t>Dooho Choi vs. Thiago Tavares</t>
  </si>
  <si>
    <t>http://ufcstats.com/fight-details/febbd4eb209b4579</t>
  </si>
  <si>
    <t>Herbert Burns vs. Nate Landwehr</t>
  </si>
  <si>
    <t>Larry Carter</t>
  </si>
  <si>
    <t>http://ufcstats.com/fight-details/901dbd1e6463c4ba</t>
  </si>
  <si>
    <t>Mirsad Bektic vs. Godofredo Pepey</t>
  </si>
  <si>
    <t>http://ufcstats.com/fight-details/b8648b32caf36c5a</t>
  </si>
  <si>
    <t>Myles Jury vs. Chad Mendes</t>
  </si>
  <si>
    <t>http://ufcstats.com/fight-details/c3939438ae7934df</t>
  </si>
  <si>
    <t>UFC Fight Night: Strickland vs. Magomedov</t>
  </si>
  <si>
    <t>Joanderson Brito vs. Westin Wilson</t>
  </si>
  <si>
    <t>http://ufcstats.com/fight-details/f5a6acc99bc5c634</t>
  </si>
  <si>
    <t>Alex Caceres vs. Julian Erosa</t>
  </si>
  <si>
    <t>http://ufcstats.com/fight-details/9c1a2ac64c98d2f6</t>
  </si>
  <si>
    <t>Robert Whiteford vs. Paul Redmond</t>
  </si>
  <si>
    <t>http://ufcstats.com/fight-details/3bb7210200d90d90</t>
  </si>
  <si>
    <t>Andre Fili vs. Sheymon Moraes</t>
  </si>
  <si>
    <t>http://ufcstats.com/fight-details/b436dda934059631</t>
  </si>
  <si>
    <t>Gabriel Benitez vs. Andre Fili</t>
  </si>
  <si>
    <t>http://ufcstats.com/fight-details/f5eae75fc240aaa6</t>
  </si>
  <si>
    <t>Frankie Edgar vs. Chan Sung Jung</t>
  </si>
  <si>
    <t>http://ufcstats.com/fight-details/06f37329b223b451</t>
  </si>
  <si>
    <t>UFC Fight Night: Felder vs. Hooker</t>
  </si>
  <si>
    <t>Kevin Aguilar vs. Zubaira Tukhugov</t>
  </si>
  <si>
    <t>http://ufcstats.com/fight-details/f882cf76a8bce308</t>
  </si>
  <si>
    <t>UFC 210: Cormier vs. Johnson 2</t>
  </si>
  <si>
    <t>Myles Jury vs. Mike de la Torre</t>
  </si>
  <si>
    <t>http://ufcstats.com/fight-details/23ba0218f9f65e33</t>
  </si>
  <si>
    <t>Morgan Charriere vs. Manolo Zecchini</t>
  </si>
  <si>
    <t>Kicks to Body At Distance</t>
  </si>
  <si>
    <t>http://ufcstats.com/fight-details/0d41a3fa5efef91b</t>
  </si>
  <si>
    <t>Giga Chikadze vs. Jamey Simmons</t>
  </si>
  <si>
    <t>http://ufcstats.com/fight-details/0fed97329b78b887</t>
  </si>
  <si>
    <t>Ricardo Lamas vs. Calvin Kattar</t>
  </si>
  <si>
    <t>http://ufcstats.com/fight-details/bf2a9732af50c84c</t>
  </si>
  <si>
    <t>Brian Ortega vs. Yair Rodriguez</t>
  </si>
  <si>
    <t>toShoulder injury</t>
  </si>
  <si>
    <t>http://ufcstats.com/fight-details/7503d5c892f238fb</t>
  </si>
  <si>
    <t>Calvin Kattar vs. Chris Fishgold</t>
  </si>
  <si>
    <t>http://ufcstats.com/fight-details/bd0622b184ab4f28</t>
  </si>
  <si>
    <t>Gabriel Benitez vs. Sodiq Yusuff</t>
  </si>
  <si>
    <t>http://ufcstats.com/fight-details/ea43a5fe4ff9a3c4</t>
  </si>
  <si>
    <t>Ricardo Ramos vs. Lerone Murphy</t>
  </si>
  <si>
    <t>Punches to Head From Half Guard</t>
  </si>
  <si>
    <t>http://ufcstats.com/fight-details/f3efc6121c5323ff</t>
  </si>
  <si>
    <t>Jose Aldo vs. Jeremy Stephens</t>
  </si>
  <si>
    <t>Punches to Body At Distance</t>
  </si>
  <si>
    <t>http://ufcstats.com/fight-details/6b47093b62155478</t>
  </si>
  <si>
    <t>Gabriel Benitez vs. David Onama</t>
  </si>
  <si>
    <t>http://ufcstats.com/fight-details/25da52bc590ef664</t>
  </si>
  <si>
    <t>Josh Emmett vs. Mirsad Bektic</t>
  </si>
  <si>
    <t>http://ufcstats.com/fight-details/138cb102906573f2</t>
  </si>
  <si>
    <t>Sean Woodson vs. Collin Anglin</t>
  </si>
  <si>
    <t>http://ufcstats.com/fight-details/a27a355f52883f3e</t>
  </si>
  <si>
    <t>UFC Fight Night: Lawler vs. Dos Anjos</t>
  </si>
  <si>
    <t>Ricardo Lamas vs. Josh Emmett</t>
  </si>
  <si>
    <t>http://ufcstats.com/fight-details/6f350d91fb07a819</t>
  </si>
  <si>
    <t>Chase Hooper vs. Daniel Teymur</t>
  </si>
  <si>
    <t>http://ufcstats.com/fight-details/d42410f6f1039ab5</t>
  </si>
  <si>
    <t>Ricardo Lamas vs. Jason Knight</t>
  </si>
  <si>
    <t>http://ufcstats.com/fight-details/dffad417175400ba</t>
  </si>
  <si>
    <t>Frankie Edgar vs. Brian Ortega</t>
  </si>
  <si>
    <t>http://ufcstats.com/fight-details/2361b51aa72e5551</t>
  </si>
  <si>
    <t>Ryan Hall vs. Ilia Topuria</t>
  </si>
  <si>
    <t>http://ufcstats.com/fight-details/07468b6347ac5e3d</t>
  </si>
  <si>
    <t>Francis Marshall vs. Isaac Dulgarian</t>
  </si>
  <si>
    <t>http://ufcstats.com/fight-details/9479ba3cdcb1e513</t>
  </si>
  <si>
    <t>Michael Trizano vs. SeungWoo Choi</t>
  </si>
  <si>
    <t>http://ufcstats.com/fight-details/7f93b2f38497caec</t>
  </si>
  <si>
    <t>Calvin Kattar vs. Arnold Allen</t>
  </si>
  <si>
    <t>to At DistanceKnee injury</t>
  </si>
  <si>
    <t>http://ufcstats.com/fight-details/a554a72bb0377213</t>
  </si>
  <si>
    <t>Makwan Amirkhani vs. Lerone Murphy</t>
  </si>
  <si>
    <t>http://ufcstats.com/fight-details/156f2425a937b22f</t>
  </si>
  <si>
    <t>Noad Lahat vs. Diego Rivas</t>
  </si>
  <si>
    <t>http://ufcstats.com/fight-details/3760216f68f448b7</t>
  </si>
  <si>
    <t>Yair Rodriguez vs. BJ Penn</t>
  </si>
  <si>
    <t>http://ufcstats.com/fight-details/5742025a09190829</t>
  </si>
  <si>
    <t>UFC Fight Night: Condit vs Alves</t>
  </si>
  <si>
    <t>Lucas Martins vs. Mirsad Bektic</t>
  </si>
  <si>
    <t>http://ufcstats.com/fight-details/e54fe354981fe3e7</t>
  </si>
  <si>
    <t>Julian Erosa vs. Teruto Ishihara</t>
  </si>
  <si>
    <t>http://ufcstats.com/fight-details/6ecd93dbbaba7e10</t>
  </si>
  <si>
    <t>Shayilan Nuerdanbieke vs. Steve Garcia</t>
  </si>
  <si>
    <t>http://ufcstats.com/fight-details/0810cdbeb9dd4d02</t>
  </si>
  <si>
    <t>Jose Aldo vs. Renato Moicano</t>
  </si>
  <si>
    <t>http://ufcstats.com/fight-details/300f1489174a3ece</t>
  </si>
  <si>
    <t>Marcelo Rojo vs. Francis Marshall</t>
  </si>
  <si>
    <t>http://ufcstats.com/fight-details/1114cd1515cf3b8f</t>
  </si>
  <si>
    <t>Martin Bravo vs. Steven Peterson</t>
  </si>
  <si>
    <t>http://ufcstats.com/fight-details/49b2a6a93d529981</t>
  </si>
  <si>
    <t>Josh Emmett vs. Jeremy Stephens</t>
  </si>
  <si>
    <t>http://ufcstats.com/fight-details/519dcb290e6db845</t>
  </si>
  <si>
    <t>Bill Algeo vs. Herbert Burns</t>
  </si>
  <si>
    <t>toKnee Injury to Burns</t>
  </si>
  <si>
    <t>http://ufcstats.com/fight-details/4dd2bcd2b025204e</t>
  </si>
  <si>
    <t>Collin Anglin vs. Melsik Baghdasaryan</t>
  </si>
  <si>
    <t>http://ufcstats.com/fight-details/6671b567c4eb9982</t>
  </si>
  <si>
    <t>Cub Swanson vs. Daniel Pineda</t>
  </si>
  <si>
    <t>http://ufcstats.com/fight-details/022bdd58cc6e571d</t>
  </si>
  <si>
    <t>Chas Skelly vs. Mark Striegl</t>
  </si>
  <si>
    <t>http://ufcstats.com/fight-details/2d8db91f91f68069</t>
  </si>
  <si>
    <t>UFC 197: Jones vs Saint Preux</t>
  </si>
  <si>
    <t>Yair Rodriguez vs. Andre Fili</t>
  </si>
  <si>
    <t>Kick to Head At DistanceSwitch Kick</t>
  </si>
  <si>
    <t>http://ufcstats.com/fight-details/43b416cf0c75dbd7</t>
  </si>
  <si>
    <t>Jeremy Stephens vs. Dooho Choi</t>
  </si>
  <si>
    <t>http://ufcstats.com/fight-details/51e684bfce8d94aa</t>
  </si>
  <si>
    <t>Jeremy Stephens vs. Calvin Kattar</t>
  </si>
  <si>
    <t>Elbow to Head At Distance</t>
  </si>
  <si>
    <t>http://ufcstats.com/fight-details/02f5621f480ad1d4</t>
  </si>
  <si>
    <t>UFC 293: Adesanya vs. Strickland</t>
  </si>
  <si>
    <t>Jack Jenkins vs. Chepe Mariscal</t>
  </si>
  <si>
    <t>toArm Injury</t>
  </si>
  <si>
    <t>http://ufcstats.com/fight-details/09a7f0979a58e6ea</t>
  </si>
  <si>
    <t>Hunter Azure vs. Brian Kelleher</t>
  </si>
  <si>
    <t>http://ufcstats.com/fight-details/3ce634d03af7e14c</t>
  </si>
  <si>
    <t>Darren Elkins vs. Darrick Minner</t>
  </si>
  <si>
    <t>http://ufcstats.com/fight-details/1bde9cb65d31cc76</t>
  </si>
  <si>
    <t>Austin Arnett vs. Cory Sandhagen</t>
  </si>
  <si>
    <t>Joseph Hawes</t>
  </si>
  <si>
    <t>http://ufcstats.com/fight-details/fa7cde1e2d3ae338</t>
  </si>
  <si>
    <t>Makwan Amirkhani vs. Jonathan Pearce</t>
  </si>
  <si>
    <t>http://ufcstats.com/fight-details/3d35f25d9792a69a</t>
  </si>
  <si>
    <t>David Onama vs. Gabriel Santos</t>
  </si>
  <si>
    <t>http://ufcstats.com/fight-details/582806c33ce6dcf6</t>
  </si>
  <si>
    <t>Dan Ige vs. Damon Jackson</t>
  </si>
  <si>
    <t>http://ufcstats.com/fight-details/c88a7dbe7717d2da</t>
  </si>
  <si>
    <t>UFC Fight Night: Miocic vs Hunt</t>
  </si>
  <si>
    <t>Hatsu Hioki vs. Dan Hooker</t>
  </si>
  <si>
    <t>http://ufcstats.com/fight-details/4f722e80eadb6d2f</t>
  </si>
  <si>
    <t>Chad Mendes vs. Alexander Volkanovski</t>
  </si>
  <si>
    <t>http://ufcstats.com/fight-details/a5ea53104392fa9f</t>
  </si>
  <si>
    <t>Jared Gordon vs. Michel Quinones</t>
  </si>
  <si>
    <t>http://ufcstats.com/fight-details/1e75ee0da189857b</t>
  </si>
  <si>
    <t>Chris Gutierrez vs. Vince Morales</t>
  </si>
  <si>
    <t>http://ufcstats.com/fight-details/2300ad7f87080ad7</t>
  </si>
  <si>
    <t>Jonathan Pearce vs. Kai Kamaka</t>
  </si>
  <si>
    <t>http://ufcstats.com/fight-details/4d56bcd82438e632</t>
  </si>
  <si>
    <t>Billy Quarantillo vs. Alexander Hernandez</t>
  </si>
  <si>
    <t>http://ufcstats.com/fight-details/a1a5d06b0e7ada62</t>
  </si>
  <si>
    <t>Dooho Choi vs. Charles Jourdain</t>
  </si>
  <si>
    <t>http://ufcstats.com/fight-details/997ab1ea9fab5643</t>
  </si>
  <si>
    <t>Herbert Burns vs. Daniel Pineda</t>
  </si>
  <si>
    <t>Elbows to Head From Crucifix</t>
  </si>
  <si>
    <t>http://ufcstats.com/fight-details/0d9e9127c62811f9</t>
  </si>
  <si>
    <t>Rolando Dy vs. Shane Young</t>
  </si>
  <si>
    <t>http://ufcstats.com/fight-details/bb7408d59b7279f7</t>
  </si>
  <si>
    <t>Mike Grundy vs. Nad Narimani</t>
  </si>
  <si>
    <t>http://ufcstats.com/fight-details/9763e27bf80abe42</t>
  </si>
  <si>
    <t>Alexander Volkanovski vs. Jeremy Kennedy</t>
  </si>
  <si>
    <t>http://ufcstats.com/fight-details/f3a60ca18747aeac</t>
  </si>
  <si>
    <t>Billy Quarantillo vs. Kyle Nelson</t>
  </si>
  <si>
    <t>http://ufcstats.com/fight-details/c58aaabf2c5635d7</t>
  </si>
  <si>
    <t>Calvin Kattar vs. Shane Burgos</t>
  </si>
  <si>
    <t>http://ufcstats.com/fight-details/5f617d6c19d3a281</t>
  </si>
  <si>
    <t>Dennis Bermudez vs. Jeremy Stephens</t>
  </si>
  <si>
    <t>http://ufcstats.com/fight-details/4d3cbc7608c8958e</t>
  </si>
  <si>
    <t>Chas Skelly vs. Jason Knight</t>
  </si>
  <si>
    <t>http://ufcstats.com/fight-details/9882c1dac77c0367</t>
  </si>
  <si>
    <t>Michael Trizano vs. Lucas Almeida</t>
  </si>
  <si>
    <t>http://ufcstats.com/fight-details/344d60564cd136ff</t>
  </si>
  <si>
    <t>Shane Burgos vs. Edson Barboza</t>
  </si>
  <si>
    <t>http://ufcstats.com/fight-details/6655a8da2655f2d0</t>
  </si>
  <si>
    <t>Kurt Holobaugh vs. Raoni Barcelos</t>
  </si>
  <si>
    <t>http://ufcstats.com/fight-details/66ba984cc547e31a</t>
  </si>
  <si>
    <t>Edson Barboza vs. Giga Chikadze</t>
  </si>
  <si>
    <t>http://ufcstats.com/fight-details/5cd1869013741767</t>
  </si>
  <si>
    <t>UFC Fight Night: Dos Anjos vs. Lee</t>
  </si>
  <si>
    <t>Julio Arce vs. Julian Erosa</t>
  </si>
  <si>
    <t>http://ufcstats.com/fight-details/115fa6f5f3e51bbb</t>
  </si>
  <si>
    <t>Shane Burgos vs. Charles Rosa</t>
  </si>
  <si>
    <t>http://ufcstats.com/fight-details/ddb015ac5c067aa9</t>
  </si>
  <si>
    <t>William Gomis vs. Yanis Ghemmouri</t>
  </si>
  <si>
    <t>http://ufcstats.com/fight-details/1c29c53ff032c5c1</t>
  </si>
  <si>
    <t>Chase Hooper vs. Felipe Colares</t>
  </si>
  <si>
    <t>http://ufcstats.com/fight-details/5136dc566f46daf6</t>
  </si>
  <si>
    <t>Mirsad Bektic vs. Darren Elkins</t>
  </si>
  <si>
    <t>http://ufcstats.com/fight-details/3b536afcc9098925</t>
  </si>
  <si>
    <t>Gabriel Benitez vs. Billy Quarantillo</t>
  </si>
  <si>
    <t>http://ufcstats.com/fight-details/940701effe1d2b6c</t>
  </si>
  <si>
    <t>UFC 240: Holloway vs. Edgar</t>
  </si>
  <si>
    <t>Hakeem Dawodu vs. Yoshinori Horie</t>
  </si>
  <si>
    <t>http://ufcstats.com/fight-details/10b31e991c2d0d4e</t>
  </si>
  <si>
    <t>Ricardo Lamas vs. Darren Elkins</t>
  </si>
  <si>
    <t>http://ufcstats.com/fight-details/f9ab603b763998f7</t>
  </si>
  <si>
    <t>Thiago Tavares vs. Brian Ortega</t>
  </si>
  <si>
    <t>http://ufcstats.com/fight-details/29c7cb102ddd7ec4</t>
  </si>
  <si>
    <t>Josh Emmett vs. Michael Johnson</t>
  </si>
  <si>
    <t>http://ufcstats.com/fight-details/5c70b175f08ca141</t>
  </si>
  <si>
    <t>Charles Jourdain vs. Marcelo Rojo</t>
  </si>
  <si>
    <t>Punch to Body In Clinch</t>
  </si>
  <si>
    <t>http://ufcstats.com/fight-details/bb7ce8a6ba7f7cc5</t>
  </si>
  <si>
    <t>Shane Burgos vs. Makwan Amirkhani</t>
  </si>
  <si>
    <t>http://ufcstats.com/fight-details/216fddf542707629</t>
  </si>
  <si>
    <t>Brian Ortega vs. Clay Guida</t>
  </si>
  <si>
    <t>http://ufcstats.com/fight-details/db1be0ca226d3a2f</t>
  </si>
  <si>
    <t>Chan Sung Jung vs. Yair Rodriguez</t>
  </si>
  <si>
    <t>http://ufcstats.com/fight-details/0ccd16201ac41ef8</t>
  </si>
  <si>
    <t>Rony Jason vs. Damon Jackson</t>
  </si>
  <si>
    <t>Failed Drug Test by Jason</t>
  </si>
  <si>
    <t>http://ufcstats.com/fight-details/9968d308e97c6531</t>
  </si>
  <si>
    <t>Chas Skelly vs. Bobby Moffett</t>
  </si>
  <si>
    <t>Early Stoppage</t>
  </si>
  <si>
    <t>http://ufcstats.com/fight-details/04d37c1c206c0efd</t>
  </si>
  <si>
    <t>Chas Skelly vs. Maximo Blanco</t>
  </si>
  <si>
    <t>D'Arce Choke On GroundTechnical Submission</t>
  </si>
  <si>
    <t>http://ufcstats.com/fight-details/00b7497b02b3b2bb</t>
  </si>
  <si>
    <t>Sodiq Yusuff vs. Don Shainis</t>
  </si>
  <si>
    <t>http://ufcstats.com/fight-details/1aedd959f1523a27</t>
  </si>
  <si>
    <t>Brian Kelleher vs. Ray Rodriguez</t>
  </si>
  <si>
    <t>http://ufcstats.com/fight-details/7595aabe89020780</t>
  </si>
  <si>
    <t>Danny Henry vs. Hakeem Dawodu</t>
  </si>
  <si>
    <t>http://ufcstats.com/fight-details/0b4583d204797d19</t>
  </si>
  <si>
    <t>Clay Guida vs. Thiago Tavares</t>
  </si>
  <si>
    <t>Guillotine Choke From Bottom</t>
  </si>
  <si>
    <t>http://ufcstats.com/fight-details/b21e4b6c4126c782</t>
  </si>
  <si>
    <t>Darrick Minner vs. TJ Laramie</t>
  </si>
  <si>
    <t>http://ufcstats.com/fight-details/36656dfa32341671</t>
  </si>
  <si>
    <t>Mike Grundy vs. Makwan Amirkhani</t>
  </si>
  <si>
    <t>http://ufcstats.com/fight-details/6e705b2365bc03fa</t>
  </si>
  <si>
    <t>Shane Young vs. Gabriel Miranda</t>
  </si>
  <si>
    <t>http://ufcstats.com/fight-details/5d481ff494bf40da</t>
  </si>
  <si>
    <t>Danny Henry vs. Dan Ige</t>
  </si>
  <si>
    <t>http://ufcstats.com/fight-details/bcef35d6e0964f01</t>
  </si>
  <si>
    <t>UFC Fight Night: Hunt vs Mir</t>
  </si>
  <si>
    <t>Dan Hooker vs. Mark Eddiva</t>
  </si>
  <si>
    <t>Guillotine Choke From Mount</t>
  </si>
  <si>
    <t>http://ufcstats.com/fight-details/e3fb9146a7eaaa47</t>
  </si>
  <si>
    <t>Diego Lopes vs. Gavin Tucker</t>
  </si>
  <si>
    <t>http://ufcstats.com/fight-details/79bfba62da6242a6</t>
  </si>
  <si>
    <t>Makwan Amirkhani vs. Masio Fullen</t>
  </si>
  <si>
    <t>http://ufcstats.com/fight-details/447462bc8e540f10</t>
  </si>
  <si>
    <t>Jamall Emmers vs. Pat Sabatini</t>
  </si>
  <si>
    <t>http://ufcstats.com/fight-details/ef4484943b1c68a9</t>
  </si>
  <si>
    <t>Joanderson Brito vs. Lucas Alexander</t>
  </si>
  <si>
    <t>http://ufcstats.com/fight-details/b4bbc1b7efa770f5</t>
  </si>
  <si>
    <t>Alex Caceres vs. Kron Gracie</t>
  </si>
  <si>
    <t>http://ufcstats.com/fight-details/c8bc7e668ffffc7c</t>
  </si>
  <si>
    <t>Shane Burgos vs. Kurt Holobaugh</t>
  </si>
  <si>
    <t>http://ufcstats.com/fight-details/3729ff914eaede07</t>
  </si>
  <si>
    <t>Lando Vannata vs. Charles Jourdain</t>
  </si>
  <si>
    <t>http://ufcstats.com/fight-details/173d576e6247a88a</t>
  </si>
  <si>
    <t>Charles Rosa vs. Manny Bermudez</t>
  </si>
  <si>
    <t>http://ufcstats.com/fight-details/076c98ac0561521f</t>
  </si>
  <si>
    <t>Godofredo Pepey vs. Mike de la Torre</t>
  </si>
  <si>
    <t>http://ufcstats.com/fight-details/c29b63d6cd2ba413</t>
  </si>
  <si>
    <t>Charles Oliveira vs. Myles Jury</t>
  </si>
  <si>
    <t>John Hosegood</t>
  </si>
  <si>
    <t>http://ufcstats.com/fight-details/164f56eb25d6a9b4</t>
  </si>
  <si>
    <t>Ricardo Ramos vs. Charles Jourdain</t>
  </si>
  <si>
    <t>http://ufcstats.com/fight-details/6e1bf1b163b3aeab</t>
  </si>
  <si>
    <t>Brian Kelleher vs. Umar Nurmagomedov</t>
  </si>
  <si>
    <t>http://ufcstats.com/fight-details/59d44b6888885500</t>
  </si>
  <si>
    <t>Makwan Amirkhani vs. Danny Henry</t>
  </si>
  <si>
    <t>http://ufcstats.com/fight-details/159646a9d2ae8ea5</t>
  </si>
  <si>
    <t>Alex Caceres vs. Austin Springer</t>
  </si>
  <si>
    <t>http://ufcstats.com/fight-details/d43c007dab9c51b0</t>
  </si>
  <si>
    <t>Maximo Blanco vs. Luke Sanders</t>
  </si>
  <si>
    <t>http://ufcstats.com/fight-details/cdf048ec9b917cfa</t>
  </si>
  <si>
    <t>Ricardo Ramos vs. Eduardo Garagorri</t>
  </si>
  <si>
    <t>http://ufcstats.com/fight-details/094790e50afae55e</t>
  </si>
  <si>
    <t>Cub Swanson vs. Renato Moicano</t>
  </si>
  <si>
    <t>http://ufcstats.com/fight-details/520f6379fefd8fda</t>
  </si>
  <si>
    <t>Song Yadong vs. Bharat Kandare</t>
  </si>
  <si>
    <t>Guillotine Choke From Front Headlock</t>
  </si>
  <si>
    <t>http://ufcstats.com/fight-details/c8609059d2d87724</t>
  </si>
  <si>
    <t>Bryce Mitchell vs. Matt Sayles</t>
  </si>
  <si>
    <t>http://ufcstats.com/fight-details/fa3f04be9344804b</t>
  </si>
  <si>
    <t>Mirsad Bektic vs. Russell Doane</t>
  </si>
  <si>
    <t>http://ufcstats.com/fight-details/23253ebb1d86d8b4</t>
  </si>
  <si>
    <t>Daniel Teymur vs. Chris Fishgold</t>
  </si>
  <si>
    <t>http://ufcstats.com/fight-details/c827f5212a34bf2e</t>
  </si>
  <si>
    <t>Gabriel Benitez vs. Sam Sicilia</t>
  </si>
  <si>
    <t>Guillotine Choke StandingTechnical Submission</t>
  </si>
  <si>
    <t>http://ufcstats.com/fight-details/4f6f7f1ad8954bb6</t>
  </si>
  <si>
    <t>Grant Dawson vs. Darrick Minner</t>
  </si>
  <si>
    <t>http://ufcstats.com/fight-details/eba6055d217d5b99</t>
  </si>
  <si>
    <t>Bill Algeo vs. TJ Brown</t>
  </si>
  <si>
    <t>http://ufcstats.com/fight-details/b01e6e97d66681c5</t>
  </si>
  <si>
    <t>Pat Sabatini vs. Lucas Almeida</t>
  </si>
  <si>
    <t>http://ufcstats.com/fight-details/76fd6919d828d5c2</t>
  </si>
  <si>
    <t>Edimilson Souza vs. Chas Skelly</t>
  </si>
  <si>
    <t>http://ufcstats.com/fight-details/6d9f6f7004c791d5</t>
  </si>
  <si>
    <t>Chas Skelly vs. Chris Gruetzemacher</t>
  </si>
  <si>
    <t>Chris Reed</t>
  </si>
  <si>
    <t>http://ufcstats.com/fight-details/478221ad98336565</t>
  </si>
  <si>
    <t>Josh Culibao vs. Melsik Baghdasaryan</t>
  </si>
  <si>
    <t>http://ufcstats.com/fight-details/8b7bc2af1e15b668</t>
  </si>
  <si>
    <t>Ricardo Lamas vs. Charles Oliveira</t>
  </si>
  <si>
    <t>http://ufcstats.com/fight-details/e322eae035f7c00f</t>
  </si>
  <si>
    <t>Darren Elkins vs. Michael Johnson</t>
  </si>
  <si>
    <t>http://ufcstats.com/fight-details/d85c76a61a820be9</t>
  </si>
  <si>
    <t>Michael Trizano vs. Grant Dawson</t>
  </si>
  <si>
    <t>http://ufcstats.com/fight-details/476a6245b43f3119</t>
  </si>
  <si>
    <t>Daniel Pineda vs. Tucker Lutz</t>
  </si>
  <si>
    <t>http://ufcstats.com/fight-details/c6cc6ae23cbf8a27</t>
  </si>
  <si>
    <t>Bryce Mitchell vs. Ilia Topuria</t>
  </si>
  <si>
    <t>http://ufcstats.com/fight-details/4a17876e99f6baf3</t>
  </si>
  <si>
    <t>David Onama vs. Garrett Armfield</t>
  </si>
  <si>
    <t>http://ufcstats.com/fight-details/a652918360fe9a72</t>
  </si>
  <si>
    <t>Billy Quarantillo vs. Jacob Kilburn</t>
  </si>
  <si>
    <t>http://ufcstats.com/fight-details/d9501c6985c1b38d</t>
  </si>
  <si>
    <t>Cub Swanson vs. Brian Ortega</t>
  </si>
  <si>
    <t>http://ufcstats.com/fight-details/1d166488129030d0</t>
  </si>
  <si>
    <t>Alex Caceres vs. SeungWoo Choi</t>
  </si>
  <si>
    <t>http://ufcstats.com/fight-details/98842f17dfe4b4ef</t>
  </si>
  <si>
    <t>Jonathan Pearce vs. Omar Morales</t>
  </si>
  <si>
    <t>http://ufcstats.com/fight-details/7484298ad57099be</t>
  </si>
  <si>
    <t>Jordan Griffin vs. TJ Brown</t>
  </si>
  <si>
    <t>Mike King</t>
  </si>
  <si>
    <t>Guillotine Choke From Bottom Side Control</t>
  </si>
  <si>
    <t>http://ufcstats.com/fight-details/59861c3d19eb46ef</t>
  </si>
  <si>
    <t>Zabit Magomedsharipov vs. Brandon Davis</t>
  </si>
  <si>
    <t>http://ufcstats.com/fight-details/b2625001e0b89369</t>
  </si>
  <si>
    <t>Nate Landwehr vs. Austin Lingo</t>
  </si>
  <si>
    <t>http://ufcstats.com/fight-details/bce8ece2ff26b4d4</t>
  </si>
  <si>
    <t>Alex Caceres vs. Jason Knight</t>
  </si>
  <si>
    <t>Tom Johnson</t>
  </si>
  <si>
    <t>http://ufcstats.com/fight-details/43682a646b9b956f</t>
  </si>
  <si>
    <t>UFC Fight Night: Volkov vs. Struve</t>
  </si>
  <si>
    <t>Mike Santiago vs. Zabit Magomedsharipov</t>
  </si>
  <si>
    <t>http://ufcstats.com/fight-details/ecbc282542a395c2</t>
  </si>
  <si>
    <t>Makwan Amirkhani vs. Chris Fishgold</t>
  </si>
  <si>
    <t>http://ufcstats.com/fight-details/2ca4a039c07acd38</t>
  </si>
  <si>
    <t>Jack Shore vs. Makwan Amirkhani</t>
  </si>
  <si>
    <t>http://ufcstats.com/fight-details/13f5be7a2ea5577e</t>
  </si>
  <si>
    <t>Damon Jackson vs. Kamuela Kirk</t>
  </si>
  <si>
    <t>http://ufcstats.com/fight-details/5cad3ab6553e9ec9</t>
  </si>
  <si>
    <t>Nik Lentz vs. Charles Oliveira</t>
  </si>
  <si>
    <t>http://ufcstats.com/fight-details/ff64fc34065565d0</t>
  </si>
  <si>
    <t>Mirsad Bektic vs. Damon Jackson</t>
  </si>
  <si>
    <t>http://ufcstats.com/fight-details/aa08ebe1a69c76ca</t>
  </si>
  <si>
    <t>Diego Brandao vs. Brian Ortega</t>
  </si>
  <si>
    <t>http://ufcstats.com/fight-details/71499934c065fecb</t>
  </si>
  <si>
    <t>Alan Omer vs. Arnold Allen</t>
  </si>
  <si>
    <t>http://ufcstats.com/fight-details/cd7fd3f034717d3c</t>
  </si>
  <si>
    <t>Gavin Tucker vs. Justin Jaynes</t>
  </si>
  <si>
    <t>http://ufcstats.com/fight-details/1308213458d8596b</t>
  </si>
  <si>
    <t>Anthony Pettis vs. Charles Oliveira</t>
  </si>
  <si>
    <t>http://ufcstats.com/fight-details/51d3be5e8aee5cd9</t>
  </si>
  <si>
    <t>Nate Landwehr vs. Ludovit Klein</t>
  </si>
  <si>
    <t>http://ufcstats.com/fight-details/a2e1116a9fe84aa9</t>
  </si>
  <si>
    <t>Darren Elkins vs. Eduardo Garagorri</t>
  </si>
  <si>
    <t>http://ufcstats.com/fight-details/69fa167ba5d0fd82</t>
  </si>
  <si>
    <t>http://ufcstats.com/fight-details/3a8af8ee23444b72</t>
  </si>
  <si>
    <t>Arnold Allen vs. Mads Burnell</t>
  </si>
  <si>
    <t>http://ufcstats.com/fight-details/f6efb09c01e4cac6</t>
  </si>
  <si>
    <t>Julio Arce vs. Daniel Teymur</t>
  </si>
  <si>
    <t>http://ufcstats.com/fight-details/9cb4196446f3ce79</t>
  </si>
  <si>
    <t>Brian Ortega vs. Renato Moicano</t>
  </si>
  <si>
    <t>http://ufcstats.com/fight-details/4924d7a980f4cde2</t>
  </si>
  <si>
    <t>Chase Hooper vs. Peter Barrett</t>
  </si>
  <si>
    <t>http://ufcstats.com/fight-details/33d52ac2d70b8415</t>
  </si>
  <si>
    <t>Kyle Nelson vs. Matt Sayles</t>
  </si>
  <si>
    <t>http://ufcstats.com/fight-details/a3731057c8775716</t>
  </si>
  <si>
    <t>Gavin Tucker vs. SeungWoo Choi</t>
  </si>
  <si>
    <t>http://ufcstats.com/fight-details/25c4013fc187762a</t>
  </si>
  <si>
    <t>TJ Brown vs. Erik Silva</t>
  </si>
  <si>
    <t>http://ufcstats.com/fight-details/2d9d966e0e8df232</t>
  </si>
  <si>
    <t>Cub Swanson vs. Max Holloway</t>
  </si>
  <si>
    <t>http://ufcstats.com/fight-details/f22d193f3ab42bc5</t>
  </si>
  <si>
    <t>Zabit Magomedsharipov vs. Sheymon Moraes</t>
  </si>
  <si>
    <t>http://ufcstats.com/fight-details/4ba97e13df33388b</t>
  </si>
  <si>
    <t>Diego Brandao vs. Jimy Hettes</t>
  </si>
  <si>
    <t>Facial Cut</t>
  </si>
  <si>
    <t>http://ufcstats.com/fight-details/4785bf265d05d85f</t>
  </si>
  <si>
    <t>Alex Caceres vs. Rolando Dy</t>
  </si>
  <si>
    <t>http://ufcstats.com/fight-details/b66f4fa1b9b96b51</t>
  </si>
  <si>
    <t>Frankie Edgar vs. Yair Rodriguez</t>
  </si>
  <si>
    <t>http://ufcstats.com/fight-details/39f746cee66e8771</t>
  </si>
  <si>
    <t>Tyson Nam vs. Azat Maksum</t>
  </si>
  <si>
    <t>Sal D'amato 28 - 29.Brian Puccillo 29 - 28.Chris Lee 28 - 29.</t>
  </si>
  <si>
    <t>http://ufcstats.com/fight-details/dae80502466c8726</t>
  </si>
  <si>
    <t>Zhalgas Zhumagulov vs. Joshua Van</t>
  </si>
  <si>
    <t>Eric Colon 28 - 29.Barry Luxenberg 29 - 28.Sal D'amato 28 - 29.</t>
  </si>
  <si>
    <t>http://ufcstats.com/fight-details/c2cdeb207cce5ceb</t>
  </si>
  <si>
    <t>Charles Johnson vs. Zhalgas Zhumagulov</t>
  </si>
  <si>
    <t>Derek Cleary 28 - 29.Doug Crosby 29 - 28.Sal D'amato 28 - 29.</t>
  </si>
  <si>
    <t>http://ufcstats.com/fight-details/b4cfb34e8224fd77</t>
  </si>
  <si>
    <t>Jeff Molina vs. Zhalgas Zhumagulov</t>
  </si>
  <si>
    <t>Sal D'amato 28 - 29.Mike Bell 29 - 28.Anthony Maness 27 - 30.</t>
  </si>
  <si>
    <t>http://ufcstats.com/fight-details/7e20b0536fbbd560</t>
  </si>
  <si>
    <t>Kleydson Rodrigues vs. CJ Vergara</t>
  </si>
  <si>
    <t>Eric Colon 28 - 29.Junichiro Kamijo 29 - 28.Eric Curcio 28 - 29.</t>
  </si>
  <si>
    <t>http://ufcstats.com/fight-details/8289033e03b4d9a3</t>
  </si>
  <si>
    <t>Victor Altamirano vs. Carlos Hernandez</t>
  </si>
  <si>
    <t>Mike Bell 28 - 29.Sal D'amato 27 - 30.Dave Hagen 29 - 28.</t>
  </si>
  <si>
    <t>http://ufcstats.com/fight-details/181ceedcacc01d48</t>
  </si>
  <si>
    <t>Brandon Royval vs. Rogerio Bontorin</t>
  </si>
  <si>
    <t>Eric Colon 28 - 29.Doug Crosby 29 - 28.Chris Lee 28 - 29.</t>
  </si>
  <si>
    <t>http://ufcstats.com/fight-details/8d89f3b8798f444d</t>
  </si>
  <si>
    <t>Tagir Ulanbekov vs. Allan Nascimento</t>
  </si>
  <si>
    <t>Vito Paolillo 28 - 29.Ben Cartlidge 29 - 28.Darryl Ransom 28 - 29.</t>
  </si>
  <si>
    <t>http://ufcstats.com/fight-details/6163c18411aca830</t>
  </si>
  <si>
    <t>Manel Kape vs. Matheus Nicolau</t>
  </si>
  <si>
    <t>Chris Lee 28 - 29.Bryan Miner 28 - 29.Dave Hagen 29 - 28.</t>
  </si>
  <si>
    <t>http://ufcstats.com/fight-details/01f262b68a6a2223</t>
  </si>
  <si>
    <t>Matt Schnell vs. Tyson Nam</t>
  </si>
  <si>
    <t>Mike Bell 28 - 29.Anders Ohlsson 28 - 29.Eric Colon 29 - 28.</t>
  </si>
  <si>
    <t>http://ufcstats.com/fight-details/57e784028ef2c17d</t>
  </si>
  <si>
    <t>Brandon Moreno vs. Askar Askarov</t>
  </si>
  <si>
    <t>Junichiro Kamijo 29 - 28.Bladimir Puga 27 - 30.Sal D'amato 28 - 28.</t>
  </si>
  <si>
    <t>http://ufcstats.com/fight-details/fd3e8f61d8fda839</t>
  </si>
  <si>
    <t>Kai Kara-France vs. Raulian Paiva</t>
  </si>
  <si>
    <t>Derek Cleary 28 - 29.Garth Harriman 29 - 28.Christopher Shen 28 - 29.</t>
  </si>
  <si>
    <t>http://ufcstats.com/fight-details/51db35a3cf225bda</t>
  </si>
  <si>
    <t>Bibulatov Magomed vs. Rogerio Bontorin</t>
  </si>
  <si>
    <t>Mike Bell 28 - 29.Guilherme Bravo 29 - 28.Joseph Terrell 28 - 29.</t>
  </si>
  <si>
    <t>http://ufcstats.com/fight-details/8f8a6c578308d014</t>
  </si>
  <si>
    <t>Joseph Morales vs. Eric Shelton</t>
  </si>
  <si>
    <t>Chris Lee 28 - 29.Curtis Thrasher 30 - 27.Ben Ramirez 27 - 30.</t>
  </si>
  <si>
    <t>http://ufcstats.com/fight-details/3210723fbb018fa7</t>
  </si>
  <si>
    <t>Robert Sanchez vs. Jarred Brooks</t>
  </si>
  <si>
    <t>Chris Lee 28 - 29.Don Turnage 29 - 28.Steve Armstrong 28 - 29.</t>
  </si>
  <si>
    <t>http://ufcstats.com/fight-details/9399c772adc7bcab</t>
  </si>
  <si>
    <t>Justin Scoggins vs. Said Nurmagomedov</t>
  </si>
  <si>
    <t>Rulon Day</t>
  </si>
  <si>
    <t>Marcos Rosales 28 - 29.Mike Mikkelsen 29 - 28.Dave Hagen 28 - 29.</t>
  </si>
  <si>
    <t>http://ufcstats.com/fight-details/48d21357134ca51a</t>
  </si>
  <si>
    <t>Matt Schnell vs. Naoki Inoue</t>
  </si>
  <si>
    <t>Evan Field 28 - 29.Garth Harriman 29 - 28.Charlie Keech 28 - 29.</t>
  </si>
  <si>
    <t>http://ufcstats.com/fight-details/d5176b45df32f67e</t>
  </si>
  <si>
    <t>Joseph Benavidez vs. Sergio Pettis</t>
  </si>
  <si>
    <t>Mike Bell 28 - 29.Brian Puccillo 29 - 28.Kelvin Caldwell 27 - 30.</t>
  </si>
  <si>
    <t>http://ufcstats.com/fight-details/5e2f2f5d9a756de9</t>
  </si>
  <si>
    <t>Deiveson Figueiredo vs. Jarred Brooks</t>
  </si>
  <si>
    <t>Guilherme Bravo 30 - 27.Dave Tirelli 28 - 29.Phillipe Iorio 28 - 29.</t>
  </si>
  <si>
    <t>http://ufcstats.com/fight-details/e11e290d816c119b</t>
  </si>
  <si>
    <t>Eric Shelton vs. Jarred Brooks</t>
  </si>
  <si>
    <t>Wade Vierra 28 - 29.Guilherme Bravo 29 - 28.Brandon Saucedo 28 - 29.</t>
  </si>
  <si>
    <t>http://ufcstats.com/fight-details/4f4806952ba2a72c</t>
  </si>
  <si>
    <t>Alexandre Pantoja vs. Eric Shelton</t>
  </si>
  <si>
    <t>Joe Garcia 28 - 29.Ron Mann 29 - 28.Ben Ramirez 28 - 29.</t>
  </si>
  <si>
    <t>http://ufcstats.com/fight-details/0094d2ed98819f7a</t>
  </si>
  <si>
    <t>Zach Makovsky vs. Dustin Ortiz</t>
  </si>
  <si>
    <t>Pasquale Procopio 28 - 29.David Therien 29 - 28.Patrick Buckley 28 - 29.</t>
  </si>
  <si>
    <t>http://ufcstats.com/fight-details/d573e571d8349b5d</t>
  </si>
  <si>
    <t>Joseph Benavidez vs. Henry Cejudo</t>
  </si>
  <si>
    <t>Marcos Rosales 29 - 27.Glenn Trowbridge 26 - 30.Derek Cleary 27 - 29.</t>
  </si>
  <si>
    <t>http://ufcstats.com/fight-details/5e1370a92ce8abb0</t>
  </si>
  <si>
    <t>Brandon Moreno vs. Ryan Benoit</t>
  </si>
  <si>
    <t>Jeff Mullen 28 - 29.Rick Winter 29 - 28.Junichiro Kamijo 28 - 29.</t>
  </si>
  <si>
    <t>http://ufcstats.com/fight-details/36830f6eb3c847f5</t>
  </si>
  <si>
    <t>Ryan Benoit vs. Fredy Serrano</t>
  </si>
  <si>
    <t>Chris Lee 29 - 28.James Corbett 28 - 29.Ken Coffey 28 - 29.</t>
  </si>
  <si>
    <t>http://ufcstats.com/fight-details/c8f946610906bffe</t>
  </si>
  <si>
    <t>John Moraga vs. Matheus Nicolau</t>
  </si>
  <si>
    <t>Lester Griffin 28 - 29.Jeff Mullen 29 - 28.Chris Lee 28 - 29.</t>
  </si>
  <si>
    <t>http://ufcstats.com/fight-details/9275134accfb1adc</t>
  </si>
  <si>
    <t>Jussier Formiga vs. Henry Cejudo</t>
  </si>
  <si>
    <t>Derek Cleary 27 - 30.Eric Colon 27 - 30.Roy Silbert 29 - 28.</t>
  </si>
  <si>
    <t>http://ufcstats.com/fight-details/e8d087f822be7b02</t>
  </si>
  <si>
    <t>Chris Kelades vs. Chris Beal</t>
  </si>
  <si>
    <t>Adam Cheadle</t>
  </si>
  <si>
    <t>David Therien 30 - 27.Sal D'amato 28 - 29.Gregory Jackson 28 - 29.</t>
  </si>
  <si>
    <t>http://ufcstats.com/fight-details/785dd27b03946f95</t>
  </si>
  <si>
    <t>Nolan Ticman vs. Yao Zhikui</t>
  </si>
  <si>
    <t>Evan Field 28 - 29.Barry Foley 29 - 28.Christopher Shen 28 - 29.</t>
  </si>
  <si>
    <t>http://ufcstats.com/fight-details/c13b2493018fc98b</t>
  </si>
  <si>
    <t>Kai Kara-France vs. Amir Albazi</t>
  </si>
  <si>
    <t>Chris Lee 47 - 48.Mike Bell 48 - 47.Sal D'amato 47 - 48.</t>
  </si>
  <si>
    <t>http://ufcstats.com/fight-details/d7ae0993c7a378ee</t>
  </si>
  <si>
    <t>Carlos Hernandez vs. Denys Bondar</t>
  </si>
  <si>
    <t>Technical decision after clash of headsBen Cartlidge 27 - 30.Anthony Maness 27 - 30.Junichiro Kamijo 28 - 29.</t>
  </si>
  <si>
    <t>http://ufcstats.com/fight-details/8ea12c7360fa0f6b</t>
  </si>
  <si>
    <t>Manel Kape vs. Felipe dos Santos</t>
  </si>
  <si>
    <t>Eric Colon 27 - 30.David Lethaby 28 - 29.Clemens Werner 28 - 29.</t>
  </si>
  <si>
    <t>http://ufcstats.com/fight-details/222bb2c67a87d312</t>
  </si>
  <si>
    <t>Cody Durden vs. Jake Hadley</t>
  </si>
  <si>
    <t>Sal D'amato 27 - 30.Anthony Maness 27 - 30.Kerri Rowland 27 - 30.</t>
  </si>
  <si>
    <t>http://ufcstats.com/fight-details/38901948cff43ff9</t>
  </si>
  <si>
    <t>UFC 291: Poirier vs. Gaethje 2</t>
  </si>
  <si>
    <t>CJ Vergara vs. Vinicius Salvador</t>
  </si>
  <si>
    <t>Steve Faragher 28 - 29.Derek Cleary 28 - 29.Junichiro Kamijo 28 - 29.</t>
  </si>
  <si>
    <t>http://ufcstats.com/fight-details/e5ac7343b6d45188</t>
  </si>
  <si>
    <t>David Dvorak vs. Steve Erceg</t>
  </si>
  <si>
    <t>Mitch Cadlick</t>
  </si>
  <si>
    <t>Sal D'amato 28 - 29.Jake Maxim 28 - 29.Jerin Valel 27 - 30.</t>
  </si>
  <si>
    <t>http://ufcstats.com/fight-details/947ea1122c04ba18</t>
  </si>
  <si>
    <t>Tim Elliott vs. Victor Altamirano</t>
  </si>
  <si>
    <t>Ron McCarthy 27 - 30.Derek Cleary 27 - 30.Chris Lee 28 - 29.</t>
  </si>
  <si>
    <t>http://ufcstats.com/fight-details/913d8a35095591d5</t>
  </si>
  <si>
    <t>Cody Durden vs. Charles Johnson</t>
  </si>
  <si>
    <t>Mike Bell 27 - 30.Adalaide Byrd 27 - 30.Sal D'amato 27 - 30.</t>
  </si>
  <si>
    <t>http://ufcstats.com/fight-details/ca63933f8c898fa2</t>
  </si>
  <si>
    <t>Victor Altamirano vs. Vinicius Salvador</t>
  </si>
  <si>
    <t>http://ufcstats.com/fight-details/6f6fec9c78244174</t>
  </si>
  <si>
    <t>David Dvorak vs. Manel Kape</t>
  </si>
  <si>
    <t>Derek Cleary 27 - 30.Sal D'amato 27 - 30.Anthony Maness 28 - 29.</t>
  </si>
  <si>
    <t>http://ufcstats.com/fight-details/f87a7812733f7e8f</t>
  </si>
  <si>
    <t>Cody Durden vs. Carlos Mota</t>
  </si>
  <si>
    <t>Adalaide Byrd 27 - 30.Tony Weeks 28 - 29.Ben Cartlidge 28 - 29.</t>
  </si>
  <si>
    <t>http://ufcstats.com/fight-details/44abbf6b947be6de</t>
  </si>
  <si>
    <t>Muhammad Mokaev vs. Charles Johnson</t>
  </si>
  <si>
    <t>David Lethaby 27 - 30.Darryl Ransom 27 - 30.Clemens Werner 27 - 30.</t>
  </si>
  <si>
    <t>http://ufcstats.com/fight-details/2dbf9d8d6915711e</t>
  </si>
  <si>
    <t>Jake Hadley vs. Allan Nascimento</t>
  </si>
  <si>
    <t>Sal D'amato 27 - 30.Ron McCarthy 27 - 30.Adalaide Byrd 27 - 30.</t>
  </si>
  <si>
    <t>http://ufcstats.com/fight-details/b3248692dfb954b2</t>
  </si>
  <si>
    <t>Tatsuro Taira vs. Carlos Candelario</t>
  </si>
  <si>
    <t>Derek Cleary 26 - 30.Ron McCarthy 27 - 30.Adalaide Byrd 27 - 30.</t>
  </si>
  <si>
    <t>http://ufcstats.com/fight-details/22f1133d02700bb2</t>
  </si>
  <si>
    <t>Askar Askarov vs. Kai Kara-France</t>
  </si>
  <si>
    <t>Chad Trukovich</t>
  </si>
  <si>
    <t>Todd Schwarz 28 - 29.Sal D'amato 28 - 29.Mike Bell 28 - 29.</t>
  </si>
  <si>
    <t>http://ufcstats.com/fight-details/410e65e4d1782bfc</t>
  </si>
  <si>
    <t>Matheus Nicolau vs. David Dvorak</t>
  </si>
  <si>
    <t>Eric Colon 28 - 29.Todd Schwarz 28 - 29.Sal D'amato 28 - 29.</t>
  </si>
  <si>
    <t>http://ufcstats.com/fight-details/82b2b97b85c7225c</t>
  </si>
  <si>
    <t>Tim Elliott vs. Tagir Ulanbekov</t>
  </si>
  <si>
    <t>Junichiro Kamijo 28 - 29.Derek Cleary 28 - 29.Ron McCarthy 28 - 29.</t>
  </si>
  <si>
    <t>http://ufcstats.com/fight-details/c420c376cc1d149c</t>
  </si>
  <si>
    <t>Cody Durden vs. Aoriqileng</t>
  </si>
  <si>
    <t>Eric Colon 28 - 29.Sal D'amato 28 - 29.Adalaide Byrd 28 - 29.</t>
  </si>
  <si>
    <t>http://ufcstats.com/fight-details/84c68c4c387d2e32</t>
  </si>
  <si>
    <t>CJ Vergara vs. Ode Osbourne</t>
  </si>
  <si>
    <t>Dave Tirelli 28 - 29.Derek Cleary 28 - 29.Eric Colon 28 - 29.</t>
  </si>
  <si>
    <t>http://ufcstats.com/fight-details/8081cb92f71401c6</t>
  </si>
  <si>
    <t>Tim Elliott vs. Matheus Nicolau</t>
  </si>
  <si>
    <t>Mike Bell 28 - 29.Junichiro Kamijo 28 - 29.Tony Weeks 28 - 29.</t>
  </si>
  <si>
    <t>http://ufcstats.com/fight-details/20f19439e9b100b0</t>
  </si>
  <si>
    <t>Ryan Benoit vs. Zarrukh Adashev</t>
  </si>
  <si>
    <t>Eric Colon 27 - 30.Tony Weeks 27 - 30.Ron McCarthy 28 - 29.</t>
  </si>
  <si>
    <t>http://ufcstats.com/fight-details/1978b44503c3d9ff</t>
  </si>
  <si>
    <t>Francisco Figueiredo vs. Malcolm Gordon</t>
  </si>
  <si>
    <t>Sal D'amato 27 - 30.Junichiro Kamijo 28 - 29.Tony Weeks 28 - 29.</t>
  </si>
  <si>
    <t>http://ufcstats.com/fight-details/49876b12d440af40</t>
  </si>
  <si>
    <t>Aoriqileng vs. Jeff Molina</t>
  </si>
  <si>
    <t>Barry Luxenberg 28 - 29.Sal D'amato 28 - 29.Tony Weeks 27 - 29.</t>
  </si>
  <si>
    <t>http://ufcstats.com/fight-details/b5a8323de18f7e95</t>
  </si>
  <si>
    <t>Joseph Benavidez vs. Askar Askarov</t>
  </si>
  <si>
    <t>Derek Cleary 27 - 30.Tony Weeks 27 - 30.Sal D'amato 26 - 30.</t>
  </si>
  <si>
    <t>http://ufcstats.com/fight-details/ae5d14a9fc1ad19c</t>
  </si>
  <si>
    <t>Tim Elliott vs. Jordan Espinosa</t>
  </si>
  <si>
    <t>Mike Bell 27 - 30.Sal D'amato 27 - 30.Chris Lee 25 - 30.</t>
  </si>
  <si>
    <t>http://ufcstats.com/fight-details/2704d31de2c2f43b</t>
  </si>
  <si>
    <t>Alexandre Pantoja vs. Manel Kape</t>
  </si>
  <si>
    <t>Chris Lee 28 - 29.Rick Winter 28 - 29.Jerin Valel 27 - 30.</t>
  </si>
  <si>
    <t>http://ufcstats.com/fight-details/2c81668d1459991f</t>
  </si>
  <si>
    <t>Amir Albazi vs. Zhalgas Zhumagulov</t>
  </si>
  <si>
    <t>Mike Bell 28 - 29.Anders Ohlsson 28 - 29.Clemens Werner 28 - 29.</t>
  </si>
  <si>
    <t>http://ufcstats.com/fight-details/aaf45b095452be23</t>
  </si>
  <si>
    <t>Sumudaerji vs. Zarrukh Adashev</t>
  </si>
  <si>
    <t>Eric Colon 28 - 29.Sal D'amato 28 - 29.Clemens Werner 27 - 30.</t>
  </si>
  <si>
    <t>http://ufcstats.com/fight-details/ddbe6fd66d7f9e35</t>
  </si>
  <si>
    <t>Francisco Figueiredo vs. Jerome Rivera</t>
  </si>
  <si>
    <t>Ben Cartlidge 28 - 29.David Lethaby 28 - 29.Clemens Werner 28 - 29.</t>
  </si>
  <si>
    <t>http://ufcstats.com/fight-details/4e451881e0e47b05</t>
  </si>
  <si>
    <t>Bruno Silva vs. Tagir Ulanbekov</t>
  </si>
  <si>
    <t>Anders Ohlsson 27 - 30.Mike Bell 28 - 29.Victor Wolf 28 - 29.</t>
  </si>
  <si>
    <t>http://ufcstats.com/fight-details/dbb5d682a2d7f584</t>
  </si>
  <si>
    <t>Jordan Espinosa vs. David Dvorak</t>
  </si>
  <si>
    <t>Junichiro Kamijo 27 - 30.Eric Colon 27 - 30.Derek Cleary 27 - 30.</t>
  </si>
  <si>
    <t>http://ufcstats.com/fight-details/36807d8a7ebc84a5</t>
  </si>
  <si>
    <t>Alexandre Pantoja vs. Askar Askarov</t>
  </si>
  <si>
    <t>Lukasz Bosacki 28 - 29.David Lethaby 28 - 29.Clemens Werner 28 - 29.</t>
  </si>
  <si>
    <t>http://ufcstats.com/fight-details/ba4485ce4e8e3fe1</t>
  </si>
  <si>
    <t>Tim Elliott vs. Ryan Benoit</t>
  </si>
  <si>
    <t>http://ufcstats.com/fight-details/7dbf23cb872edc9c</t>
  </si>
  <si>
    <t>Raulian Paiva vs. Zhalgas Zhumagulov</t>
  </si>
  <si>
    <t>Lukasz Bosacki 28 - 29.Ben Cartlidge 28 - 29.Vito Paolillo 28 - 29.</t>
  </si>
  <si>
    <t>http://ufcstats.com/fight-details/0e8d5c16eb9cb1cf</t>
  </si>
  <si>
    <t>Jussier Formiga vs. Brandon Moreno</t>
  </si>
  <si>
    <t>Guilherme Bravo 27 - 30.Sal D'amato 28 - 29.Hallison Pontes 28 - 29.</t>
  </si>
  <si>
    <t>http://ufcstats.com/fight-details/b3c74554c871fbf8</t>
  </si>
  <si>
    <t>Bruno Silva vs. David Dvorak</t>
  </si>
  <si>
    <t>Mike Bell 28 - 29.Hallison Pontes 28 - 29.Guilherme Bravo 28 - 29.</t>
  </si>
  <si>
    <t>http://ufcstats.com/fight-details/1a2d13834696c4ab</t>
  </si>
  <si>
    <t>Kai Kara-France vs. Tyson Nam</t>
  </si>
  <si>
    <t>Barry Foley 27 - 30.Richie Gerrard 27 - 30.Lereapii Taia 27 - 30.</t>
  </si>
  <si>
    <t>http://ufcstats.com/fight-details/ecc23234e820458d</t>
  </si>
  <si>
    <t>Rogerio Bontorin vs. Ray Borg</t>
  </si>
  <si>
    <t>Kenny Ortiz 27 - 30.Glenn Trowbridge 27 - 30.Derek Cleary 25 - 30.</t>
  </si>
  <si>
    <t>http://ufcstats.com/fight-details/b41e3be867afd6fa</t>
  </si>
  <si>
    <t>Tim Elliott vs. Askar Askarov</t>
  </si>
  <si>
    <t>Mike Bell 28 - 29.Sal D'amato 27 - 30.Dave Hagen 27 - 30.</t>
  </si>
  <si>
    <t>http://ufcstats.com/fight-details/ff467a5f06a91a0f</t>
  </si>
  <si>
    <t>Brandon Moreno vs. Kai Kara-France</t>
  </si>
  <si>
    <t>Junichiro Kamijo 28 - 29.Chris Lee 28 - 29.Mark Smith 27 - 30.</t>
  </si>
  <si>
    <t>http://ufcstats.com/fight-details/1881b1e85cceee13</t>
  </si>
  <si>
    <t>Sergio Pettis vs. Tyson Nam</t>
  </si>
  <si>
    <t>Doug Crosby 27 - 30.Sal D'amato 27 - 30.Rick Winter 27 - 30.</t>
  </si>
  <si>
    <t>http://ufcstats.com/fight-details/d9c0351cd21e40e0</t>
  </si>
  <si>
    <t>Kai Kara-France vs. Mark De La Rosa</t>
  </si>
  <si>
    <t>Anthony Dimitriou 27 - 30.Garth Harriman 28 - 29.Albert Shen 27 - 30.</t>
  </si>
  <si>
    <t>http://ufcstats.com/fight-details/b07188063c49b755</t>
  </si>
  <si>
    <t>Alexandre Pantoja vs. Deiveson Figueiredo</t>
  </si>
  <si>
    <t>Tony Weeks 27 - 30.Brian Puccillo 27 - 30.Derek Cleary 27 - 30.</t>
  </si>
  <si>
    <t>http://ufcstats.com/fight-details/bc1787883f9328be</t>
  </si>
  <si>
    <t>Jussier Formiga vs. Deiveson Figueiredo</t>
  </si>
  <si>
    <t>Derek Cleary 27 - 30.Jim Sarratt 28 - 29.Brian Puccillo 28 - 29.</t>
  </si>
  <si>
    <t>http://ufcstats.com/fight-details/eb096b0196a7ff65</t>
  </si>
  <si>
    <t>Eric Shelton vs. Jordan Espinosa</t>
  </si>
  <si>
    <t>Brian Puccillo 27 - 30.Derek Cleary 28 - 29.Anthony Maness 27 - 30.</t>
  </si>
  <si>
    <t>http://ufcstats.com/fight-details/469fba0129c95278</t>
  </si>
  <si>
    <t>Joseph Benavidez vs. Dustin Ortiz</t>
  </si>
  <si>
    <t>Doug Crosby 28 - 29.Darryl Porter 28 - 29.Tim Corrado 28 - 29.</t>
  </si>
  <si>
    <t>http://ufcstats.com/fight-details/4738cd4cd8d33eeb</t>
  </si>
  <si>
    <t>Wilson Reis vs. Ben Nguyen</t>
  </si>
  <si>
    <t>Anthony Dimitriou 27 - 30.Howard Hughes 27 - 30.Kon Papaioannou 27 - 30.</t>
  </si>
  <si>
    <t>http://ufcstats.com/fight-details/fa9ec0b8c4b3a84a</t>
  </si>
  <si>
    <t>Elias Garcia vs. Kai Kara-France</t>
  </si>
  <si>
    <t>Anthony Dimitriou 25 - 30.Kon Papaioannou 25 - 30.Evan Field 26 - 30.</t>
  </si>
  <si>
    <t>http://ufcstats.com/fight-details/c65f4b4c0338d0c1</t>
  </si>
  <si>
    <t>UFC 229: Khabib vs. McGregor</t>
  </si>
  <si>
    <t>Sergio Pettis vs. Jussier Formiga</t>
  </si>
  <si>
    <t>Derek Cleary 26 - 30.Sal D'amato 28 - 29.Dave Hagen 28 - 29.</t>
  </si>
  <si>
    <t>http://ufcstats.com/fight-details/8f5482992dad74d2</t>
  </si>
  <si>
    <t>Brandon Moreno vs. Alexandre Pantoja</t>
  </si>
  <si>
    <t>Chris Lee 26 - 30.Marcelo Vilhena 26 - 30.Richard Bertrand 27 - 29.</t>
  </si>
  <si>
    <t>http://ufcstats.com/fight-details/49b47b5b5f15c7c0</t>
  </si>
  <si>
    <t>Wilson Reis vs. John Moraga</t>
  </si>
  <si>
    <t>Chris Flores 28 - 29.Chris Lee 28 - 29.Sal D'amato 28 - 29.</t>
  </si>
  <si>
    <t>http://ufcstats.com/fight-details/15aee8ad5d9e9d58</t>
  </si>
  <si>
    <t>Eric Shelton vs. Alex Perez</t>
  </si>
  <si>
    <t>Jorge Alonso</t>
  </si>
  <si>
    <t>Roy Silbert 27 - 30.Richard Bertrand 27 - 30.Dave Tirelli 27 - 30.</t>
  </si>
  <si>
    <t>http://ufcstats.com/fight-details/0f2611c3ec4661dd</t>
  </si>
  <si>
    <t>Dustin Ortiz vs. Alexandre Pantoja</t>
  </si>
  <si>
    <t>Mike Mena 28 - 29.Nick Mahmood 28 - 29.Chris Lee 28 - 29.</t>
  </si>
  <si>
    <t>http://ufcstats.com/fight-details/0990ac7065412e76</t>
  </si>
  <si>
    <t>Louis Smolka vs. Matheus Nicolau</t>
  </si>
  <si>
    <t>Rick Winter 26 - 30.Chris Lee 26 - 30.Marcos Rosales 25 - 30.</t>
  </si>
  <si>
    <t>http://ufcstats.com/fight-details/7e9ed49a1831056f</t>
  </si>
  <si>
    <t>UFC 218: Holloway vs. Aldo 2</t>
  </si>
  <si>
    <t>Henry Cejudo vs. Sergio Pettis</t>
  </si>
  <si>
    <t>Eric Colon 27 - 30.Sal D'amato 27 - 30.Roy Silbert 27 - 30.</t>
  </si>
  <si>
    <t>http://ufcstats.com/fight-details/cc2809e10315a6b5</t>
  </si>
  <si>
    <t>Jenel Lausa vs. Eric Shelton</t>
  </si>
  <si>
    <t>Evan Field 27 - 30.Chris Aliendi 26 - 30.Charlie Keech 25 - 30.</t>
  </si>
  <si>
    <t>http://ufcstats.com/fight-details/c06eaf92bdfde8e6</t>
  </si>
  <si>
    <t>Matt Schnell vs. Marco Beltran</t>
  </si>
  <si>
    <t>Sal D'amato 27 - 30.Jeff Mullen 28 - 29.Marcos Rosales 27 - 30.</t>
  </si>
  <si>
    <t>http://ufcstats.com/fight-details/d97970009fbfca30</t>
  </si>
  <si>
    <t>Naoki Inoue vs. Carls John De Tomas</t>
  </si>
  <si>
    <t>Barry Foley 26 - 30.Kon Papaioannou 26 - 30.Albert Shen 26 - 30.</t>
  </si>
  <si>
    <t>http://ufcstats.com/fight-details/e7b5a8c97106ca60</t>
  </si>
  <si>
    <t>John Moraga vs. Ashkan Mokhtarian</t>
  </si>
  <si>
    <t>Barry Foley 25 - 30.Luke Hill 27 - 30.Mark Rodgers 27 - 30.</t>
  </si>
  <si>
    <t>http://ufcstats.com/fight-details/11cb7d7d774d5e6a</t>
  </si>
  <si>
    <t>Louis Smolka vs. Tim Elliott</t>
  </si>
  <si>
    <t>Marcos Rosales 27 - 30.Henry Guery 27 - 30.Tony Weeks 27 - 30.</t>
  </si>
  <si>
    <t>http://ufcstats.com/fight-details/41cef92a01e7ff3c</t>
  </si>
  <si>
    <t>Jenel Lausa vs. Bibulatov Magomed</t>
  </si>
  <si>
    <t>Jeff Mullen 26 - 29.Eric Colon 26 - 29.Derek Cleary 26 - 29.</t>
  </si>
  <si>
    <t>http://ufcstats.com/fight-details/c4da9ec26a924a7d</t>
  </si>
  <si>
    <t>Jussier Formiga vs. Ray Borg</t>
  </si>
  <si>
    <t>Fabio Alves 28 - 29.Tony Weeks 28 - 29.Sal D'amato 28 - 29.</t>
  </si>
  <si>
    <t>http://ufcstats.com/fight-details/74d4e37b97866514</t>
  </si>
  <si>
    <t>Wilson Reis vs. Yuta Sasaki</t>
  </si>
  <si>
    <t>Derek Cleary 28 - 29.Sal D'amato 28 - 29.Jeff Mullen 28 - 29.</t>
  </si>
  <si>
    <t>http://ufcstats.com/fight-details/febea68b205f6273</t>
  </si>
  <si>
    <t>John Moraga vs. Sergio Pettis</t>
  </si>
  <si>
    <t>Jeff Mullen 28 - 29.Junichiro Kamijo 28 - 29.Dennis O'Connell 27 - 30.</t>
  </si>
  <si>
    <t>http://ufcstats.com/fight-details/7685701c382cd49a</t>
  </si>
  <si>
    <t>Louis Smolka vs. Ray Borg</t>
  </si>
  <si>
    <t>Sal D'amato 27 - 30.Marcos Rosales 26 - 30.Chris Lee 26 - 30.</t>
  </si>
  <si>
    <t>http://ufcstats.com/fight-details/ab847a4cf397d7d5</t>
  </si>
  <si>
    <t>Hector Sandoval vs. Fredy Serrano</t>
  </si>
  <si>
    <t>Ron McCarthy 27 - 30.Mike Guingona 28 - 29.Brandon Saucedo 27 - 30.</t>
  </si>
  <si>
    <t>http://ufcstats.com/fight-details/88c712be47805d63</t>
  </si>
  <si>
    <t>Ben Nguyen vs. Geane Herrera</t>
  </si>
  <si>
    <t>Barry Foley 27 - 30.Ben Cartlidge 26 - 30.Christopher Shen 27 - 30.</t>
  </si>
  <si>
    <t>http://ufcstats.com/fight-details/291d91378a96d1e8</t>
  </si>
  <si>
    <t>Yao Zhikui vs. Jenel Lausa</t>
  </si>
  <si>
    <t>Ben Cartlidge 27 - 30.Anthony Dimitriou 27 - 30.Evan Field 27 - 30.</t>
  </si>
  <si>
    <t>http://ufcstats.com/fight-details/0da0dc2c7eb29f58</t>
  </si>
  <si>
    <t>Kyoji Horiguchi vs. Ali Bagautinov</t>
  </si>
  <si>
    <t>Andreas Gruner 27 - 30.Pawel Harasim 27 - 30.Paul Sutherland 27 - 30.</t>
  </si>
  <si>
    <t>http://ufcstats.com/fight-details/ad0bac98558900af</t>
  </si>
  <si>
    <t>Jussier Formiga vs. Dustin Ortiz</t>
  </si>
  <si>
    <t>Joseph Terrell 27 - 30.Sal D'amato 27 - 29.Guilherme Bravo 28 - 29.</t>
  </si>
  <si>
    <t>http://ufcstats.com/fight-details/39c16381a9722735</t>
  </si>
  <si>
    <t>Ali Bagautinov vs. Geane Herrera</t>
  </si>
  <si>
    <t>Brian Beauchamp 27 - 30.Doug Crosby 27 - 30.Pasquale Procopio 27 - 30.</t>
  </si>
  <si>
    <t>http://ufcstats.com/fight-details/f8b32aeb9b628d89</t>
  </si>
  <si>
    <t>UFC Fight Night: Overeem vs Arlovski</t>
  </si>
  <si>
    <t>Kyoji Horiguchi vs. Neil Seery</t>
  </si>
  <si>
    <t>Ben Cartlidge 26 - 30.Andreas Gruner 27 - 30.Paul Sutherland 27 - 30.</t>
  </si>
  <si>
    <t>http://ufcstats.com/fight-details/d37ed975c2b70fd2</t>
  </si>
  <si>
    <t>Sergio Pettis vs. Chris Kelades</t>
  </si>
  <si>
    <t>Sal D'amato 27 - 30.Patricia Morse-Jarman 27 - 30.Glenn Trowbridge 27 - 30.</t>
  </si>
  <si>
    <t>http://ufcstats.com/fight-details/e3a45f48dbda99c3</t>
  </si>
  <si>
    <t>Joseph Benavidez vs. Zach Makovsky</t>
  </si>
  <si>
    <t>http://ufcstats.com/fight-details/98035e427b476717</t>
  </si>
  <si>
    <t>Ray Borg vs. Justin Scoggins</t>
  </si>
  <si>
    <t>Derek Cleary 27 - 30.Marcos Rosales 27 - 30.Adalaide Byrd 26 - 30.</t>
  </si>
  <si>
    <t>http://ufcstats.com/fight-details/311156891c7bdf60</t>
  </si>
  <si>
    <t>Dustin Ortiz vs. Wilson Reis</t>
  </si>
  <si>
    <t>Dave Tirelli 27 - 30.Cardo Urso 27 - 30.Eric Colon 27 - 30.</t>
  </si>
  <si>
    <t>http://ufcstats.com/fight-details/fa5244817650f401</t>
  </si>
  <si>
    <t>UFC 193: Rousey vs Holm</t>
  </si>
  <si>
    <t>Richie Vaculik vs. Danny Martinez</t>
  </si>
  <si>
    <t>Mark Collett 27 - 30.Evan Field 27 - 30.Barry Foley 27 - 30.</t>
  </si>
  <si>
    <t>http://ufcstats.com/fight-details/f602cc168383432f</t>
  </si>
  <si>
    <t>Joseph Benavidez vs. Ali Bagautinov</t>
  </si>
  <si>
    <t>Sal D'amato 27 - 30.Joe Soliz 27 - 30.Derek Cleary 28 - 29.</t>
  </si>
  <si>
    <t>http://ufcstats.com/fight-details/c43e99000f3c77b5</t>
  </si>
  <si>
    <t>Chris Cariaso vs. Sergio Pettis</t>
  </si>
  <si>
    <t>Joe Solis</t>
  </si>
  <si>
    <t>Sal D'amato 27 - 29.Patrick Patlan 27 - 29.Derek Cleary 28 - 29.</t>
  </si>
  <si>
    <t>http://ufcstats.com/fight-details/278cd1803ccc004f</t>
  </si>
  <si>
    <t>Kyoji Horiguchi vs. Chico Camus</t>
  </si>
  <si>
    <t>Mark Craig 27 - 30.Evan Field 27 - 30.Albert Shen 27 - 30.</t>
  </si>
  <si>
    <t>http://ufcstats.com/fight-details/26ac85fc4bee63a6</t>
  </si>
  <si>
    <t>Ray Borg vs. Geane Herrera</t>
  </si>
  <si>
    <t>Derek Cleary 27 - 30.Doug Crosby 27 - 30.Sal D'amato 27 - 30.</t>
  </si>
  <si>
    <t>http://ufcstats.com/fight-details/e2535e0753954514</t>
  </si>
  <si>
    <t>Paddy Holohan vs. Vaughan Lee</t>
  </si>
  <si>
    <t>Andy Haigh 27 - 30.Paul Sutherland 27 - 30.Dean Weir 27 - 30.</t>
  </si>
  <si>
    <t>http://ufcstats.com/fight-details/486fbba33876da4b</t>
  </si>
  <si>
    <t>Neil Seery vs. Louis Smolka</t>
  </si>
  <si>
    <t>Derek Cleary 27 - 30.Lester Griffin 27 - 30.Chris Lee 27 - 30.</t>
  </si>
  <si>
    <t>http://ufcstats.com/fight-details/9f56b3c053c44060</t>
  </si>
  <si>
    <t>Henry Cejudo vs. Chico Camus</t>
  </si>
  <si>
    <t>Cardo Urso 28 - 29.Sal D'amato 27 - 30.Marcos Rosales 27 - 30.</t>
  </si>
  <si>
    <t>http://ufcstats.com/fight-details/28c33e9353dac666</t>
  </si>
  <si>
    <t>Jussier Formiga vs. Wilson Reis</t>
  </si>
  <si>
    <t>Chris Lee 28 - 29.Joseph Terrell 28 - 29.Rick Winter 28 - 29.</t>
  </si>
  <si>
    <t>http://ufcstats.com/fight-details/d6c02b4bb64ff795</t>
  </si>
  <si>
    <t>UFC 187: Johnson vs Cormier</t>
  </si>
  <si>
    <t>Joseph Benavidez vs. John Moraga</t>
  </si>
  <si>
    <t>Junichiro Kamijo 27 - 30.Marcos Rosales 27 - 30.Tony Weeks 27 - 30.</t>
  </si>
  <si>
    <t>http://ufcstats.com/fight-details/3a25be6438e3f94a</t>
  </si>
  <si>
    <t>John Dodson vs. Zach Makovsky</t>
  </si>
  <si>
    <t>Derek Cleary 28 - 29.Sal D'amato 28 - 29.Patricia Morse-Jarman 28 - 29.</t>
  </si>
  <si>
    <t>http://ufcstats.com/fight-details/6257627ba49e42ab</t>
  </si>
  <si>
    <t>Justin Scoggins vs. Josh Sampo</t>
  </si>
  <si>
    <t>Derek Cleary 27 - 30.Patricia Morse-Jarman 27 - 30.Tony Weeks 27 - 30.</t>
  </si>
  <si>
    <t>http://ufcstats.com/fight-details/419d8143afbcd61c</t>
  </si>
  <si>
    <t>Sergio Pettis vs. Brandon Moreno</t>
  </si>
  <si>
    <t>Derek Cleary 46 - 49.Eric Colon 46 - 48.Jeff Mullen 46 - 48.</t>
  </si>
  <si>
    <t>http://ufcstats.com/fight-details/253e42894852b26a</t>
  </si>
  <si>
    <t>Dustin Ortiz vs. Hector Sandoval</t>
  </si>
  <si>
    <t>http://ufcstats.com/fight-details/02732ebb104793d2</t>
  </si>
  <si>
    <t>Shannon Ross vs. Jesus Aguilar</t>
  </si>
  <si>
    <t>http://ufcstats.com/fight-details/420f7e6530dbc727</t>
  </si>
  <si>
    <t>Sumudaerji vs. Malcolm Gordon</t>
  </si>
  <si>
    <t>http://ufcstats.com/fight-details/8868957c1735bcf0</t>
  </si>
  <si>
    <t>Yao Zhikui vs. Fredy Serrano</t>
  </si>
  <si>
    <t>http://ufcstats.com/fight-details/3a932a4cacacc939</t>
  </si>
  <si>
    <t>Shannon Ross vs. Kleydson Rodrigues</t>
  </si>
  <si>
    <t>Matt Wynne</t>
  </si>
  <si>
    <t>http://ufcstats.com/fight-details/16dbe70eb7007f17</t>
  </si>
  <si>
    <t>Bruno Silva vs. Victor Rodriguez</t>
  </si>
  <si>
    <t>http://ufcstats.com/fight-details/b381dc272b32ce03</t>
  </si>
  <si>
    <t>Jake Hadley vs. Malcolm Gordon</t>
  </si>
  <si>
    <t>http://ufcstats.com/fight-details/6068385c48de6801</t>
  </si>
  <si>
    <t>Ode Osbourne vs. Zarrukh Adashev</t>
  </si>
  <si>
    <t>http://ufcstats.com/fight-details/a679800d2e7c3be2</t>
  </si>
  <si>
    <t>JP Buys vs. Cody Durden</t>
  </si>
  <si>
    <t>http://ufcstats.com/fight-details/8cc43d79b61efc25</t>
  </si>
  <si>
    <t>Malcolm Gordon vs. Denys Bondar</t>
  </si>
  <si>
    <t>http://ufcstats.com/fight-details/1765fc442ea03873</t>
  </si>
  <si>
    <t>Darrell Montague vs. Willie Gates</t>
  </si>
  <si>
    <t>Kim Winslow</t>
  </si>
  <si>
    <t>http://ufcstats.com/fight-details/96740aa476055413</t>
  </si>
  <si>
    <t>John Moraga vs. Bibulatov Magomed</t>
  </si>
  <si>
    <t>http://ufcstats.com/fight-details/3f5f6c576046bf77</t>
  </si>
  <si>
    <t>Brandon Royval vs. Matheus Nicolau</t>
  </si>
  <si>
    <t>http://ufcstats.com/fight-details/bbde45b2c766bb67</t>
  </si>
  <si>
    <t>Wilson Reis vs. Alexandre Pantoja</t>
  </si>
  <si>
    <t>http://ufcstats.com/fight-details/c6b040021b4ceb0f</t>
  </si>
  <si>
    <t>Ode Osbourne vs. Tyson Nam</t>
  </si>
  <si>
    <t>http://ufcstats.com/fight-details/0823f97be9c3a62e</t>
  </si>
  <si>
    <t>Kai Kara-France vs. Cody Garbrandt</t>
  </si>
  <si>
    <t>http://ufcstats.com/fight-details/795aa42785a46643</t>
  </si>
  <si>
    <t>Daniel Da Silva vs. Victor Altamirano</t>
  </si>
  <si>
    <t>http://ufcstats.com/fight-details/06d6cde7479711ee</t>
  </si>
  <si>
    <t>Alex Perez vs. Jose Torres</t>
  </si>
  <si>
    <t>http://ufcstats.com/fight-details/866729ea2ceddb25</t>
  </si>
  <si>
    <t>Dustin Ortiz vs. Matheus Nicolau</t>
  </si>
  <si>
    <t>http://ufcstats.com/fight-details/09ab925c4cfe0cc5</t>
  </si>
  <si>
    <t>Manel Kape vs. Zhalgas Zhumagulov</t>
  </si>
  <si>
    <t>http://ufcstats.com/fight-details/376dddfa82debbf4</t>
  </si>
  <si>
    <t>Jussier Formiga vs. Alex Perez</t>
  </si>
  <si>
    <t>http://ufcstats.com/fight-details/de4c4997f1429dd1</t>
  </si>
  <si>
    <t>Alexandre Pantoja vs. Matt Schnell</t>
  </si>
  <si>
    <t>http://ufcstats.com/fight-details/5a5a65d8df176506</t>
  </si>
  <si>
    <t>Joseph Benavidez vs. Alex Perez</t>
  </si>
  <si>
    <t>http://ufcstats.com/fight-details/1785c7fb722d3007</t>
  </si>
  <si>
    <t>Hector Sandoval vs. Matt Schnell</t>
  </si>
  <si>
    <t>Punch to Head From Guard</t>
  </si>
  <si>
    <t>http://ufcstats.com/fight-details/6ccfbe3a7c5aa55e</t>
  </si>
  <si>
    <t>Charles Johnson vs. Jimmy Flick</t>
  </si>
  <si>
    <t>http://ufcstats.com/fight-details/b6723b9c6ff4d594</t>
  </si>
  <si>
    <t>http://ufcstats.com/fight-details/eb7b0a6f06dbdb4f</t>
  </si>
  <si>
    <t>Manel Kape vs. Ode Osbourne</t>
  </si>
  <si>
    <t>http://ufcstats.com/fight-details/85c5dd604d5b3634</t>
  </si>
  <si>
    <t>Rogerio Bontorin vs. Kai Kara-France</t>
  </si>
  <si>
    <t>http://ufcstats.com/fight-details/873306ad79b62f5e</t>
  </si>
  <si>
    <t>UFC 255: Figueiredo vs. Perez</t>
  </si>
  <si>
    <t>http://ufcstats.com/fight-details/8d5ea3bf3be7cb91</t>
  </si>
  <si>
    <t>Alptekin Ozkilic vs. Ben Nguyen</t>
  </si>
  <si>
    <t>http://ufcstats.com/fight-details/398f4857f9692204</t>
  </si>
  <si>
    <t>Henry Cejudo vs. Wilson Reis</t>
  </si>
  <si>
    <t>http://ufcstats.com/fight-details/fdde8777c7ae9769</t>
  </si>
  <si>
    <t>Jeff Molina vs. Daniel Da Silva</t>
  </si>
  <si>
    <t>http://ufcstats.com/fight-details/acec5f4c6fee1ae2</t>
  </si>
  <si>
    <t>Jimmy Flick vs. Alessandro Costa</t>
  </si>
  <si>
    <t>http://ufcstats.com/fight-details/bc1be168c064f028</t>
  </si>
  <si>
    <t>Matheus Nicolau vs. Matt Schnell</t>
  </si>
  <si>
    <t>http://ufcstats.com/fight-details/5a8f7afc5ea69537</t>
  </si>
  <si>
    <t>Joseph Benavidez vs. Deiveson Figueiredo</t>
  </si>
  <si>
    <t>Punch to Head At DistanceNon-title fight for Figueiredo; missed weight</t>
  </si>
  <si>
    <t>http://ufcstats.com/fight-details/e8219ea7da46f67f</t>
  </si>
  <si>
    <t>Jarred Brooks vs. Jose Torres</t>
  </si>
  <si>
    <t>http://ufcstats.com/fight-details/7969abc596485189</t>
  </si>
  <si>
    <t>Bruno Silva vs. JP Buys</t>
  </si>
  <si>
    <t>http://ufcstats.com/fight-details/55bf7f19a132e0fc</t>
  </si>
  <si>
    <t>John Moraga vs. Deiveson Figueiredo</t>
  </si>
  <si>
    <t>http://ufcstats.com/fight-details/7fe1486a2c33bf91</t>
  </si>
  <si>
    <t>CJ Vergara vs. Daniel Lacerda</t>
  </si>
  <si>
    <t>http://ufcstats.com/fight-details/16bd47ba50891833</t>
  </si>
  <si>
    <t>Joby Sanchez vs. Geane Herrera</t>
  </si>
  <si>
    <t>http://ufcstats.com/fight-details/c5ce4f39269c842c</t>
  </si>
  <si>
    <t>Deiveson Figueiredo vs. Joseph Morales</t>
  </si>
  <si>
    <t>http://ufcstats.com/fight-details/1fd5bf36c42ff1a2</t>
  </si>
  <si>
    <t>Louis Smolka vs. Ben Nguyen</t>
  </si>
  <si>
    <t>http://ufcstats.com/fight-details/a2fe63d064567d14</t>
  </si>
  <si>
    <t>Mark De La Rosa vs. Raulian Paiva</t>
  </si>
  <si>
    <t>Robert Romero</t>
  </si>
  <si>
    <t>http://ufcstats.com/fight-details/8725dc88f2e0a6f3</t>
  </si>
  <si>
    <t>Jussier Formiga vs. Joseph Benavidez</t>
  </si>
  <si>
    <t>http://ufcstats.com/fight-details/2418af6da44fd361</t>
  </si>
  <si>
    <t>Marco Beltran vs. Deiveson Figueiredo</t>
  </si>
  <si>
    <t>toReferee stoppage between rounds</t>
  </si>
  <si>
    <t>http://ufcstats.com/fight-details/6486579eee778b4d</t>
  </si>
  <si>
    <t>Amir Albazi vs. Alessandro Costa</t>
  </si>
  <si>
    <t>http://ufcstats.com/fight-details/d95eeba3de7ecac5</t>
  </si>
  <si>
    <t>Ryan Benoit vs. Ashkan Mokhtarian</t>
  </si>
  <si>
    <t>http://ufcstats.com/fight-details/b90a5b9061ec54a5</t>
  </si>
  <si>
    <t>Dustin Ortiz vs. Willie Gates</t>
  </si>
  <si>
    <t>http://ufcstats.com/fight-details/92f27d13fc502d33</t>
  </si>
  <si>
    <t>Guillotine win for Chairez overturned on replay</t>
  </si>
  <si>
    <t>http://ufcstats.com/fight-details/5d3e046b6bcd49f5</t>
  </si>
  <si>
    <t>Tim Elliott vs. Ben Nguyen</t>
  </si>
  <si>
    <t>http://ufcstats.com/fight-details/2dfa31667cee74c3</t>
  </si>
  <si>
    <t>Muhammad Mokaev vs. Cody Durden</t>
  </si>
  <si>
    <t>http://ufcstats.com/fight-details/4c7e55061dc3bf89</t>
  </si>
  <si>
    <t>Daniel Da Silva vs. Francisco Figueiredo</t>
  </si>
  <si>
    <t>Kneebar On Ground</t>
  </si>
  <si>
    <t>http://ufcstats.com/fight-details/7e4b7a70838e5ba4</t>
  </si>
  <si>
    <t>UFC Fight Night: Covington vs. Lawler</t>
  </si>
  <si>
    <t>Jordan Espinosa vs. Matt Schnell</t>
  </si>
  <si>
    <t>http://ufcstats.com/fight-details/60162c95d921d1ae</t>
  </si>
  <si>
    <t>UFC 277: Pena vs. Nunes 2</t>
  </si>
  <si>
    <t>Alexandre Pantoja vs. Alex Perez</t>
  </si>
  <si>
    <t>Neck Crank Standing Back Control</t>
  </si>
  <si>
    <t>http://ufcstats.com/fight-details/96b62bd56b252bab</t>
  </si>
  <si>
    <t>Wilson Reis vs. Hector Sandoval</t>
  </si>
  <si>
    <t>http://ufcstats.com/fight-details/8b61a3acdfb007d9</t>
  </si>
  <si>
    <t>Robert Sanchez vs. Joby Sanchez</t>
  </si>
  <si>
    <t>http://ufcstats.com/fight-details/6f981a44898fb4ff</t>
  </si>
  <si>
    <t>Zhalgas Zhumagulov vs. Jerome Rivera</t>
  </si>
  <si>
    <t>http://ufcstats.com/fight-details/ac0a1d87e9ff4085</t>
  </si>
  <si>
    <t>Tagir Ulanbekov vs. Nate Maness</t>
  </si>
  <si>
    <t>http://ufcstats.com/fight-details/3adecfc4727a8d73</t>
  </si>
  <si>
    <t>Brandon Royval vs. Matt Schnell</t>
  </si>
  <si>
    <t>http://ufcstats.com/fight-details/80ac36a9dbc4b1a1</t>
  </si>
  <si>
    <t>David Dvorak vs. Juancamilo Ronderos</t>
  </si>
  <si>
    <t>http://ufcstats.com/fight-details/d44a814b106b94ff</t>
  </si>
  <si>
    <t>Alexandre Pantoja vs. Yuta Sasaki</t>
  </si>
  <si>
    <t>http://ufcstats.com/fight-details/961f434fe238f40e</t>
  </si>
  <si>
    <t>Louis Smolka vs. Brandon Moreno</t>
  </si>
  <si>
    <t>http://ufcstats.com/fight-details/b43dfe6743160a66</t>
  </si>
  <si>
    <t>Jordan Espinosa vs. Alex Perez</t>
  </si>
  <si>
    <t>http://ufcstats.com/fight-details/7dcd5d8a44a284e5</t>
  </si>
  <si>
    <t>Ben Nguyen vs. Ryan Benoit</t>
  </si>
  <si>
    <t>http://ufcstats.com/fight-details/15aced6a6a61df90</t>
  </si>
  <si>
    <t>Deiveson Figueiredo vs. Tim Elliott</t>
  </si>
  <si>
    <t>http://ufcstats.com/fight-details/18dde81d45ac2232</t>
  </si>
  <si>
    <t>Clayton Carpenter vs. Juancamilo Ronderos</t>
  </si>
  <si>
    <t>http://ufcstats.com/fight-details/40781a64c4cea877</t>
  </si>
  <si>
    <t>Allan Nascimento vs. Carlos Hernandez</t>
  </si>
  <si>
    <t>http://ufcstats.com/fight-details/c9144a294c73b06f</t>
  </si>
  <si>
    <t>Jimmy Flick vs. Cody Durden</t>
  </si>
  <si>
    <t>Flying TriangleFlying Triangle</t>
  </si>
  <si>
    <t>http://ufcstats.com/fight-details/62e6eadbb2805760</t>
  </si>
  <si>
    <t>Jafel Filho vs. Daniel Barez</t>
  </si>
  <si>
    <t>http://ufcstats.com/fight-details/d918da575ee1bc35</t>
  </si>
  <si>
    <t>Joseph Morales vs. Robert Sanchez</t>
  </si>
  <si>
    <t>http://ufcstats.com/fight-details/a3723f0f672b0912</t>
  </si>
  <si>
    <t>Tatsuro Taira vs. Jesus Aguilar</t>
  </si>
  <si>
    <t>http://ufcstats.com/fight-details/a26ca06cce403ce2</t>
  </si>
  <si>
    <t>Jussier Formiga vs. Yuta Sasaki</t>
  </si>
  <si>
    <t>http://ufcstats.com/fight-details/3b89556b3f177b7b</t>
  </si>
  <si>
    <t>Amir Albazi vs. Francisco Figueiredo</t>
  </si>
  <si>
    <t>http://ufcstats.com/fight-details/6b9f82291930bfec</t>
  </si>
  <si>
    <t>Kai Kara-France vs. Brandon Royval</t>
  </si>
  <si>
    <t>http://ufcstats.com/fight-details/9e674a02db6c03c8</t>
  </si>
  <si>
    <t>Tyson Nam vs. Bruno Silva</t>
  </si>
  <si>
    <t>http://ufcstats.com/fight-details/c3af2b6ab1262fef</t>
  </si>
  <si>
    <t>http://ufcstats.com/fight-details/0b47788da6de735e</t>
  </si>
  <si>
    <t>Mark De La Rosa vs. Elias Garcia</t>
  </si>
  <si>
    <t>http://ufcstats.com/fight-details/c1677875a80c2584</t>
  </si>
  <si>
    <t>Carlos Candelario vs. Jake Hadley</t>
  </si>
  <si>
    <t>http://ufcstats.com/fight-details/cfca30d3ef3c86b9</t>
  </si>
  <si>
    <t>Ode Osbourne vs. Assu Almabayev</t>
  </si>
  <si>
    <t>http://ufcstats.com/fight-details/6b5c225814a924ed</t>
  </si>
  <si>
    <t>Roldan Sangcha'an vs. Jon Delos Reyes</t>
  </si>
  <si>
    <t>http://ufcstats.com/fight-details/49749ee78bc54a48</t>
  </si>
  <si>
    <t>Tim Elliott vs. Brandon Royval</t>
  </si>
  <si>
    <t>http://ufcstats.com/fight-details/0170db5fad04e4d0</t>
  </si>
  <si>
    <t>Justin Scoggins vs. Yuta Sasaki</t>
  </si>
  <si>
    <t>http://ufcstats.com/fight-details/a71e4206f87ae74c</t>
  </si>
  <si>
    <t>Yuta Sasaki vs. Willie Gates</t>
  </si>
  <si>
    <t>http://ufcstats.com/fight-details/5a9804cad2335272</t>
  </si>
  <si>
    <t>Jenel Lausa vs. Yuta Sasaki</t>
  </si>
  <si>
    <t>http://ufcstats.com/fight-details/26582aa0b79d2f20</t>
  </si>
  <si>
    <t>Dustin Ortiz vs. Brandon Moreno</t>
  </si>
  <si>
    <t>http://ufcstats.com/fight-details/319f3fad278368e6</t>
  </si>
  <si>
    <t>Paddy Holohan vs. Louis Smolka</t>
  </si>
  <si>
    <t>http://ufcstats.com/fight-details/8d1559bbcea7e92a</t>
  </si>
  <si>
    <t>Neil Seery vs. Jon Delos Reyes</t>
  </si>
  <si>
    <t>http://ufcstats.com/fight-details/a1569926652ebc36</t>
  </si>
  <si>
    <t>Tatsuro Taira vs. CJ Vergara</t>
  </si>
  <si>
    <t>Armbar From Back Control</t>
  </si>
  <si>
    <t>http://ufcstats.com/fight-details/fac560495e61d34c</t>
  </si>
  <si>
    <t>Matt Schnell vs. Sumudaerji</t>
  </si>
  <si>
    <t>http://ufcstats.com/fight-details/8e4024cb49c963f2</t>
  </si>
  <si>
    <t>Jussier Formiga vs. Ben Nguyen</t>
  </si>
  <si>
    <t>Rear Naked ChokeTechnical Submission</t>
  </si>
  <si>
    <t>http://ufcstats.com/fight-details/f8fce67abe0ab922</t>
  </si>
  <si>
    <t>Alexandre Pantoja vs. Neil Seery</t>
  </si>
  <si>
    <t>http://ufcstats.com/fight-details/8fd14eb227688467</t>
  </si>
  <si>
    <t>SeungGuk Choi vs. HyunSung Park</t>
  </si>
  <si>
    <t>http://ufcstats.com/fight-details/98094a500529d442</t>
  </si>
  <si>
    <t>Muhammad Mokaev vs. Malcolm Gordon</t>
  </si>
  <si>
    <t>http://ufcstats.com/fight-details/1e8c33b1917fe1b7</t>
  </si>
  <si>
    <t>Muhammad Mokaev vs. Jafel Filho</t>
  </si>
  <si>
    <t>http://ufcstats.com/fight-details/f40ac11da3bd7f8e</t>
  </si>
  <si>
    <t>Rogerio Bontorin vs. Raulian Paiva</t>
  </si>
  <si>
    <t>http://ufcstats.com/fight-details/cb4dd24535ef2d94</t>
  </si>
  <si>
    <t>Austen Lane vs. Justin Tafa</t>
  </si>
  <si>
    <t>Eye injury</t>
  </si>
  <si>
    <t>http://ufcstats.com/fight-details/2874ea5d2f783e23</t>
  </si>
  <si>
    <t>Todd Duffee vs. Jeff Hughes</t>
  </si>
  <si>
    <t>Kevin Dornan</t>
  </si>
  <si>
    <t>http://ufcstats.com/fight-details/8ae79d7967681db8</t>
  </si>
  <si>
    <t>Daniel Omielanczuk vs. Jarjis Danho</t>
  </si>
  <si>
    <t>Technical Decision: Groin Strike to DanhoBen Cartlidge 29 - 29.Maciej Motylewski 28 - 29.Paul Sutherland 28 - 29.</t>
  </si>
  <si>
    <t>http://ufcstats.com/fight-details/a80579fe679d24e2</t>
  </si>
  <si>
    <t>Marcin Tybura vs. Alexandr Romanov</t>
  </si>
  <si>
    <t>Sal D'amato 28 - 29.Mike Bell 28 - 29.Derek Cleary 28 - 28.</t>
  </si>
  <si>
    <t>http://ufcstats.com/fight-details/e0b98f3cf4a7cc3b</t>
  </si>
  <si>
    <t>Carlos Felipe vs. Serghei Spivac</t>
  </si>
  <si>
    <t>Anders Ohlsson 28 - 28.Ben Cartlidge 27 - 29.Vito Paolillo 27 - 29.</t>
  </si>
  <si>
    <t>http://ufcstats.com/fight-details/147e31abbe3927d0</t>
  </si>
  <si>
    <t>Fabricio Werdum vs. Alistair Overeem</t>
  </si>
  <si>
    <t>Derek Cleary 28 - 28.Dave Hagen 28 - 29.Chris Lee 28 - 29.</t>
  </si>
  <si>
    <t>http://ufcstats.com/fight-details/b67229e7675eed24</t>
  </si>
  <si>
    <t>Jarjis Danho vs. Christian Colombo</t>
  </si>
  <si>
    <t>Andy Roberts 27 - 29.Takeo Kobayashi 28 - 28.Clemens Werner 28 - 28.</t>
  </si>
  <si>
    <t>http://ufcstats.com/fight-details/ddb4376695f115b9</t>
  </si>
  <si>
    <t>Aleksei Oleinik vs. Daniel Omielanczuk</t>
  </si>
  <si>
    <t>Shawn Ruml 28 - 28.Derek Cleary 28 - 29.Rick Winter 28 - 29.</t>
  </si>
  <si>
    <t>http://ufcstats.com/fight-details/0fed8d8499eae01a</t>
  </si>
  <si>
    <t>Alexandr Romanov vs. Juan Espino</t>
  </si>
  <si>
    <t>Technical Decision: Groin Strike to RomanovDave Hagen 28 - 29.Chris Lee 29 - 28.Tony Weeks 28 - 29.</t>
  </si>
  <si>
    <t>http://ufcstats.com/fight-details/fdfe4e7cb2d0b665</t>
  </si>
  <si>
    <t>Ilir Latifi vs. Rodrigo Nascimento</t>
  </si>
  <si>
    <t>Derek Cleary 28 - 29.Jacob Montalvo 29 - 28.Sal D'amato 28 - 29.</t>
  </si>
  <si>
    <t>http://ufcstats.com/fight-details/fb70b62915fdcec6</t>
  </si>
  <si>
    <t>Tanner Boser vs. Rodrigo Nascimento</t>
  </si>
  <si>
    <t>Junichiro Kamijo 27 - 30.Doug Crosby 29 - 28.Adalaide Byrd 28 - 29.</t>
  </si>
  <si>
    <t>http://ufcstats.com/fight-details/3cbd3565dd631cc4</t>
  </si>
  <si>
    <t>Martin Buday vs. Lukasz Brzeski</t>
  </si>
  <si>
    <t>Sal D'amato 28 - 29.Mike Bell 29 - 28.Eliot Kelly 28 - 29.</t>
  </si>
  <si>
    <t>http://ufcstats.com/fight-details/b96c8fef6c9f92db</t>
  </si>
  <si>
    <t>Don'Tale Mayes vs. Hamdy Abdelwahab</t>
  </si>
  <si>
    <t>Dan Mathisen 28 - 29.Seth Fuller 29 - 28.Kent Basinger 28 - 29.</t>
  </si>
  <si>
    <t>http://ufcstats.com/fight-details/5a2b86570110191b</t>
  </si>
  <si>
    <t>Andrei Arlovski vs. Jake Collier</t>
  </si>
  <si>
    <t>Mike Bell 30 - 27.Doug Crosby 28 - 29.Sal D'amato 28 - 29.</t>
  </si>
  <si>
    <t>http://ufcstats.com/fight-details/eb277b5ea2a19124</t>
  </si>
  <si>
    <t>Andrei Arlovski vs. Jared Vanderaa</t>
  </si>
  <si>
    <t>Jeff Rexroad 28 - 29.Robert Alexander 29 - 28.Doug Crosby 28 - 29.</t>
  </si>
  <si>
    <t>http://ufcstats.com/fight-details/81c22cfa22002ea4</t>
  </si>
  <si>
    <t>Josh Parisian vs. Roque Martinez</t>
  </si>
  <si>
    <t>Junichiro Kamijo 28 - 29.Eric Colon 29 - 28.Tony Weeks 28 - 29.</t>
  </si>
  <si>
    <t>http://ufcstats.com/fight-details/e8fd128286788a6d</t>
  </si>
  <si>
    <t>Carlos Felipe vs. Jake Collier</t>
  </si>
  <si>
    <t>Chris Lee 28 - 29.Sal D'amato 29 - 28.Dennis O'Connell 28 - 29.</t>
  </si>
  <si>
    <t>http://ufcstats.com/fight-details/1b4d5dbf5f663a97</t>
  </si>
  <si>
    <t>Tanner Boser vs. Ilir Latifi</t>
  </si>
  <si>
    <t>Mike Bell 28 - 29.Tony Weeks 29 - 27.Junichiro Kamijo 28 - 29.</t>
  </si>
  <si>
    <t>http://ufcstats.com/fight-details/0716a38768a34789</t>
  </si>
  <si>
    <t>Carlos Felipe vs. Justin Tafa</t>
  </si>
  <si>
    <t>Lukasz Bosacki 28 - 29.Anders Ohlsson 29 - 28.Paul Sutherland 28 - 29.</t>
  </si>
  <si>
    <t>http://ufcstats.com/fight-details/0165bd3c26f0c076</t>
  </si>
  <si>
    <t>Blagoy Ivanov vs. Augusto Sakai</t>
  </si>
  <si>
    <t>Jason McCoy</t>
  </si>
  <si>
    <t>Mike Bell 30 - 27.Junichiro Kamijo 28 - 29.Ron McCarthy 28 - 29.</t>
  </si>
  <si>
    <t>http://ufcstats.com/fight-details/a6743d41b0b95271</t>
  </si>
  <si>
    <t>Ben Rothwell vs. Ovince Saint Preux</t>
  </si>
  <si>
    <t>Derek Cleary 28 - 29.Dave Tirelli 28 - 29.Sal D'amato 29 - 28.</t>
  </si>
  <si>
    <t>http://ufcstats.com/fight-details/394ae51820bedd4c</t>
  </si>
  <si>
    <t>Aleksei Oleinik vs. Fabricio Werdum</t>
  </si>
  <si>
    <t>Derek Cleary 29 - 28.Barry Luxenberg 28 - 29.Chris Lee 28 - 29.</t>
  </si>
  <si>
    <t>http://ufcstats.com/fight-details/593f3b051aa82b0f</t>
  </si>
  <si>
    <t>Derrick Lewis vs. Blagoy Ivanov</t>
  </si>
  <si>
    <t>Dave Tirelli 27 - 30.Eric Colon 29 - 28.Chris Lee 28 - 29.</t>
  </si>
  <si>
    <t>http://ufcstats.com/fight-details/f870cacadb058733</t>
  </si>
  <si>
    <t>Andrei Arlovski vs. Augusto Sakai</t>
  </si>
  <si>
    <t>Troy Wincapaw 28 - 29.Derek Cleary 29 - 28.Chris Lee 28 - 29.</t>
  </si>
  <si>
    <t>http://ufcstats.com/fight-details/3256d907f58af95e</t>
  </si>
  <si>
    <t>Maurice Greene vs. Jeff Hughes</t>
  </si>
  <si>
    <t>Kevin Chamion 28 - 29.Sal D'amato 29 - 28.Mike Bell 28 - 29.</t>
  </si>
  <si>
    <t>http://ufcstats.com/fight-details/b776b08e2cc6aa0c</t>
  </si>
  <si>
    <t>UFC Fight Night: Rockhold vs. Branch</t>
  </si>
  <si>
    <t>Justin Ledet vs. Azunna Anyanwu</t>
  </si>
  <si>
    <t>Eric Colon 29 - 28.David Brogan 28 - 29.Cardo Urso 28 - 29.</t>
  </si>
  <si>
    <t>http://ufcstats.com/fight-details/7b80dd233e200dd2</t>
  </si>
  <si>
    <t>Daniel Omielanczuk vs. Timothy Johnson</t>
  </si>
  <si>
    <t>Pawel Harasim 29 - 28.Ben Cartlidge 27 - 30.Takeo Kobayashi 28 - 29.</t>
  </si>
  <si>
    <t>http://ufcstats.com/fight-details/f99ee57f75b20b69</t>
  </si>
  <si>
    <t>Timothy Johnson vs. Alexander Volkov</t>
  </si>
  <si>
    <t>Howard Hughes 28 - 29.Peter Lavery 30 - 27.Takeo Kobayashi 28 - 29.</t>
  </si>
  <si>
    <t>http://ufcstats.com/fight-details/689116759885e4a5</t>
  </si>
  <si>
    <t>Shamil Abdurakhimov vs. Walt Harris</t>
  </si>
  <si>
    <t>Marcos Rosales 29 - 28.Dave Hagen 28 - 29.Sal D'amato 28 - 29.</t>
  </si>
  <si>
    <t>http://ufcstats.com/fight-details/412735f3e0b66ea6</t>
  </si>
  <si>
    <t>Roy Nelson vs. Derrick Lewis</t>
  </si>
  <si>
    <t>Dave Hagen 28 - 29.Adalaide Byrd 29 - 28.Glenn Trowbridge 28 - 29.</t>
  </si>
  <si>
    <t>http://ufcstats.com/fight-details/9a984ea967886979</t>
  </si>
  <si>
    <t>Chris Barnett vs. Martin Buday</t>
  </si>
  <si>
    <t>Technical Decision Doug Crosby 27 - 30.Chris Lee 27 - 30.Tony Weeks 27 - 30.</t>
  </si>
  <si>
    <t>http://ufcstats.com/fight-details/1ceab8fa45996f51</t>
  </si>
  <si>
    <t>http://ufcstats.com/fight-details/119bc264e2bb9877</t>
  </si>
  <si>
    <t>Mohammed Usman vs. Jake Collier</t>
  </si>
  <si>
    <t>Jacob Montalvo 27 - 30.David Lethaby 28 - 29.Tony Weeks 28 - 29.</t>
  </si>
  <si>
    <t>http://ufcstats.com/fight-details/49ede01b061cfae3</t>
  </si>
  <si>
    <t>Mick Parkin vs. Jamal Pogues</t>
  </si>
  <si>
    <t>Mike Bell 27 - 30.Darryl Ransom 27 - 30.Clemens Werner 27 - 30.</t>
  </si>
  <si>
    <t>http://ufcstats.com/fight-details/89b96bc5f3e824c5</t>
  </si>
  <si>
    <t>Alexandr Romanov vs. Blagoy Ivanov</t>
  </si>
  <si>
    <t>http://ufcstats.com/fight-details/bd2e14ee959f9b77</t>
  </si>
  <si>
    <t>Karl Williams vs. Chase Sherman</t>
  </si>
  <si>
    <t>Bobby Harris 27 - 30.Andrew Hopper Jr. 27 - 30.Junichiro Kamijo 28 - 29.</t>
  </si>
  <si>
    <t>http://ufcstats.com/fight-details/3387f430abb7e39f</t>
  </si>
  <si>
    <t>Marcos Rogerio de Lima vs. Waldo Cortes-Acosta</t>
  </si>
  <si>
    <t>Mike Bell 28 - 29.Eric Colon 28 - 29.Anthony Maness 28 - 29.</t>
  </si>
  <si>
    <t>http://ufcstats.com/fight-details/8dbfbd8f8bd0f00b</t>
  </si>
  <si>
    <t>Martin Buday vs. Jake Collier</t>
  </si>
  <si>
    <t>Sal D'amato 28 - 29.Junichiro Kamijo 28 - 29.Anthony Maness 28 - 29.</t>
  </si>
  <si>
    <t>http://ufcstats.com/fight-details/5d11b618f24082dd</t>
  </si>
  <si>
    <t>Mohammed Usman vs. Junior Tafa</t>
  </si>
  <si>
    <t>Junichiro Kamijo 28 - 29.Jacob Montalvo 28 - 29.Rick Winter 28 - 29.</t>
  </si>
  <si>
    <t>http://ufcstats.com/fight-details/8beab5f941dae8e0</t>
  </si>
  <si>
    <t>Karl Williams vs. Lukasz Brzeski</t>
  </si>
  <si>
    <t>Adalaide Byrd 26 - 30.Sal D'amato 26 - 30.Mike Bell 27 - 30.</t>
  </si>
  <si>
    <t>http://ufcstats.com/fight-details/e9c6bac0d1a5ec0f</t>
  </si>
  <si>
    <t>Augusto Sakai vs. Don'Tale Mayes</t>
  </si>
  <si>
    <t>Junichiro Kamijo 27 - 30.David Lethaby 27 - 30.Tony Weeks 27 - 30.</t>
  </si>
  <si>
    <t>http://ufcstats.com/fight-details/d6357dab7ccdf2db</t>
  </si>
  <si>
    <t>Josh Parisian vs. Jamal Pogues</t>
  </si>
  <si>
    <t>Junichiro Kamijo 27 - 30.Tony Weeks 27 - 30.Mike Bell 28 - 29.</t>
  </si>
  <si>
    <t>http://ufcstats.com/fight-details/3e90b7fd1e9f86bd</t>
  </si>
  <si>
    <t>Marcin Tybura vs. Blagoy Ivanov</t>
  </si>
  <si>
    <t>Junichiro Kamijo 27 - 30.Ben Cartlidge 28 - 29.David Lethaby 28 - 29.</t>
  </si>
  <si>
    <t>http://ufcstats.com/fight-details/8741e6a3a5a22a7f</t>
  </si>
  <si>
    <t>Chase Sherman vs. Waldo Cortes-Acosta</t>
  </si>
  <si>
    <t>Anthony Maness 27 - 30.Sal D'amato 28 - 29.Junichiro Kamijo 28 - 29.</t>
  </si>
  <si>
    <t>http://ufcstats.com/fight-details/110f539523a4b571</t>
  </si>
  <si>
    <t>Waldo Cortes-Acosta vs. Jared Vanderaa</t>
  </si>
  <si>
    <t>Ron McCarthy 27 - 30.Junichiro Kamijo 28 - 29.Tony Weeks 28 - 29.</t>
  </si>
  <si>
    <t>http://ufcstats.com/fight-details/5b6bdaf89e493674</t>
  </si>
  <si>
    <t>Ilir Latifi vs. Aleksei Oleinik</t>
  </si>
  <si>
    <t>Tony Weeks 27 - 30.Anthony Maness 27 - 30.Sal D'amato 27 - 30.</t>
  </si>
  <si>
    <t>http://ufcstats.com/fight-details/de93fda66d203c26</t>
  </si>
  <si>
    <t>Blagoy Ivanov vs. Marcos Rogerio de Lima</t>
  </si>
  <si>
    <t>Junichiro Kamijo 28 - 29.Chris Lee 28 - 29.Eric Curcio 28 - 29.</t>
  </si>
  <si>
    <t>http://ufcstats.com/fight-details/ff6c8dab41efcc09</t>
  </si>
  <si>
    <t>Parker Porter vs. Alan Baudot</t>
  </si>
  <si>
    <t>http://ufcstats.com/fight-details/93026443e5140415</t>
  </si>
  <si>
    <t>William Knight vs. Maxim Grishin</t>
  </si>
  <si>
    <t>Sal D'amato 27 - 30.Ivan Guzman 27 - 30.Kerry Hatley 27 - 30.</t>
  </si>
  <si>
    <t>http://ufcstats.com/fight-details/6708f3a32861038a</t>
  </si>
  <si>
    <t>Alexander Volkov vs. Marcin Tybura</t>
  </si>
  <si>
    <t>Vito Paolillo 27 - 30.Darryl Ransom 27 - 30.Clemens Werner 28 - 29.</t>
  </si>
  <si>
    <t>http://ufcstats.com/fight-details/13e3e41e0c6f4e04</t>
  </si>
  <si>
    <t>Andrei Arlovski vs. Carlos Felipe</t>
  </si>
  <si>
    <t>Eric Colon 28 - 29.Doug Crosby 28 - 29.Sal D'amato 28 - 29.</t>
  </si>
  <si>
    <t>http://ufcstats.com/fight-details/188b63ec6ee1c1c9</t>
  </si>
  <si>
    <t>Curtis Blaydes vs. Jairzinho Rozenstruik</t>
  </si>
  <si>
    <t>Eric Colon 27 - 30.Chris Lee 27 - 30.Tony Weeks 27 - 30.</t>
  </si>
  <si>
    <t>http://ufcstats.com/fight-details/f4df74046a1c4364</t>
  </si>
  <si>
    <t>Parker Porter vs. Chase Sherman</t>
  </si>
  <si>
    <t>Rick Winter 27 - 30.Junichiro Kamijo 27 - 30.Tony Weeks 28 - 29.</t>
  </si>
  <si>
    <t>http://ufcstats.com/fight-details/47230f9b5d7ae037</t>
  </si>
  <si>
    <t>Aleksei Oleinik vs. Serghei Spivac</t>
  </si>
  <si>
    <t>Tony Weeks 28 - 29.Junichiro Kamijo 28 - 29.Sal D'amato 28 - 29.</t>
  </si>
  <si>
    <t>http://ufcstats.com/fight-details/6fd9a013cea5a403</t>
  </si>
  <si>
    <t>Justin Tafa vs. Jared Vanderaa</t>
  </si>
  <si>
    <t>Mike Bell 27 - 30.Tony Weeks 27 - 30.Eric Colon 28 - 29.</t>
  </si>
  <si>
    <t>http://ufcstats.com/fight-details/559c0c3d752f327a</t>
  </si>
  <si>
    <t>Maurice Greene vs. Marcos Rogerio de Lima</t>
  </si>
  <si>
    <t>Tony Weeks 26 - 30.Junichiro Kamijo 26 - 30.Chris Lee 27 - 30.</t>
  </si>
  <si>
    <t>http://ufcstats.com/fight-details/3f71ac21472f994c</t>
  </si>
  <si>
    <t>Andrei Arlovski vs. Chase Sherman</t>
  </si>
  <si>
    <t>http://ufcstats.com/fight-details/f2c82f027201ba21</t>
  </si>
  <si>
    <t>Gian Villante vs. Jake Collier</t>
  </si>
  <si>
    <t>Sal D'amato 27 - 30.Eric Colon 27 - 30.Adalaide Byrd 27 - 30.</t>
  </si>
  <si>
    <t>http://ufcstats.com/fight-details/c4d1c4b82cf34afb</t>
  </si>
  <si>
    <t>Josh Parisian vs. Parker Porter</t>
  </si>
  <si>
    <t>Eric Colon 26 - 30.Anthony Maness 27 - 30.Tony Weeks 28 - 29.</t>
  </si>
  <si>
    <t>http://ufcstats.com/fight-details/32a7da2f34ae3803</t>
  </si>
  <si>
    <t>Don'Tale Mayes vs. Roque Martinez</t>
  </si>
  <si>
    <t>Rick Winter 27 - 30.Dave Hagen 27 - 30.Junichiro Kamijo 28 - 29.</t>
  </si>
  <si>
    <t>http://ufcstats.com/fight-details/f6472ca263a863d1</t>
  </si>
  <si>
    <t>Andrei Arlovski vs. Tanner Boser</t>
  </si>
  <si>
    <t>http://ufcstats.com/fight-details/f0cf92b063735164</t>
  </si>
  <si>
    <t>Ben Rothwell vs. Marcin Tybura</t>
  </si>
  <si>
    <t>Mike Bell 27 - 29.Anders Ohlsson 27 - 29.Victor Wolf 27 - 29.</t>
  </si>
  <si>
    <t>http://ufcstats.com/fight-details/1720a97a2fa261f8</t>
  </si>
  <si>
    <t>Yorgan De Castro vs. Carlos Felipe</t>
  </si>
  <si>
    <t>Lukasz Bosacki 27 - 30.Anders Ohlsson 27 - 30.Ahmed Korchi 28 - 29.</t>
  </si>
  <si>
    <t>http://ufcstats.com/fight-details/ba6093c9136f99e9</t>
  </si>
  <si>
    <t>Marcin Tybura vs. Maxim Grishin</t>
  </si>
  <si>
    <t>Mark Collett 27 - 30.David Lethaby 26 - 30.Anders Ohlsson 27 - 30.</t>
  </si>
  <si>
    <t>http://ufcstats.com/fight-details/137646de0ffd9c35</t>
  </si>
  <si>
    <t>Andrei Arlovski vs. Philipe Lins</t>
  </si>
  <si>
    <t>Sal D'amato 27 - 30.Howard Reichbach 27 - 30.Dave Tirelli 28 - 29.</t>
  </si>
  <si>
    <t>http://ufcstats.com/fight-details/312946f6b72ebd51</t>
  </si>
  <si>
    <t>Greg Hardy vs. Yorgan De Castro</t>
  </si>
  <si>
    <t>Derek Cleary 27 - 30.Chris Lee 27 - 30.Howard Reichbach 27 - 30.</t>
  </si>
  <si>
    <t>http://ufcstats.com/fight-details/f0d4652f8edfbe6d</t>
  </si>
  <si>
    <t>Marcin Tybura vs. Serghei Spivac</t>
  </si>
  <si>
    <t>Brian Costello 27 - 30.Sal D'amato 27 - 30.Lisa Cuellar 28 - 29.</t>
  </si>
  <si>
    <t>http://ufcstats.com/fight-details/e30b9829e42aa4ca</t>
  </si>
  <si>
    <t>Derrick Lewis vs. Ilir Latifi</t>
  </si>
  <si>
    <t>Danny De Alejandro 28 - 29.Robert Alexander 28 - 29.Chris Lee 28 - 29.</t>
  </si>
  <si>
    <t>http://ufcstats.com/fight-details/cefb47bcc04f540e</t>
  </si>
  <si>
    <t>Ciryl Gane vs. Tanner Boser</t>
  </si>
  <si>
    <t>Mark Collett 26 - 30.Anthony Dimitriou 26 - 30.Evan Field 26 - 30.</t>
  </si>
  <si>
    <t>http://ufcstats.com/fight-details/3637e661b6854b49</t>
  </si>
  <si>
    <t>Alexander Volkov vs. Greg Hardy</t>
  </si>
  <si>
    <t>Lukasz Bosacki 27 - 30.Howard Hughes 27 - 30.Clemens Werner 27 - 30.</t>
  </si>
  <si>
    <t>http://ufcstats.com/fight-details/3cd1f2c31b4e325a</t>
  </si>
  <si>
    <t>Raphael Pessoa vs. Jeff Hughes</t>
  </si>
  <si>
    <t>Howard Hughes 27 - 30.Evan Field 27 - 30.Takeo Kobayashi 27 - 30.</t>
  </si>
  <si>
    <t>http://ufcstats.com/fight-details/3d9aeef58dd0b51b</t>
  </si>
  <si>
    <t>Daniel Spitz vs. Tanner Boser</t>
  </si>
  <si>
    <t>Eric Colon 27 - 30.Nick Mahmood 27 - 30.Dave Tirelli 27 - 30.</t>
  </si>
  <si>
    <t>http://ufcstats.com/fight-details/1e3d3545b6dd13a7</t>
  </si>
  <si>
    <t>Andrei Arlovski vs. Ben Rothwell</t>
  </si>
  <si>
    <t>Jennie Cardenas 27 - 30.Perry Hillin 27 - 30.Ruben Carrion 27 - 30.</t>
  </si>
  <si>
    <t>http://ufcstats.com/fight-details/f065dc596a08a258</t>
  </si>
  <si>
    <t>Tai Tuivasa vs. Blagoy Ivanov</t>
  </si>
  <si>
    <t>Brian Puccillo 28 - 29.Chris Lee 27 - 30.Brandon Mason 27 - 30.</t>
  </si>
  <si>
    <t>http://ufcstats.com/fight-details/cd2ceb5530529c9f</t>
  </si>
  <si>
    <t>Arjan Bhullar vs. Juan Adams</t>
  </si>
  <si>
    <t>Patrick Buckley 28 - 29.David Therien 28 - 29.Dave Tirelli 27 - 30.</t>
  </si>
  <si>
    <t>http://ufcstats.com/fight-details/0bc354fbb6e99ab6</t>
  </si>
  <si>
    <t>Curtis Blaydes vs. Justin Willis</t>
  </si>
  <si>
    <t>Brian Puccillo 27 - 30.Rick Winter 26 - 30.Derek Cleary 25 - 30.</t>
  </si>
  <si>
    <t>http://ufcstats.com/fight-details/9532ebf4d9405e65</t>
  </si>
  <si>
    <t>Blagoy Ivanov vs. Ben Rothwell</t>
  </si>
  <si>
    <t>Derek Cleary 28 - 29.Kevin Chamion 28 - 29.Sal D'amato 28 - 29.</t>
  </si>
  <si>
    <t>http://ufcstats.com/fight-details/4b1606ab1893c242</t>
  </si>
  <si>
    <t>Mark Hunt vs. Justin Willis</t>
  </si>
  <si>
    <t>Howie Booth 28 - 29.Anthony Dimitriou 28 - 29.Evan Field 28 - 29.</t>
  </si>
  <si>
    <t>http://ufcstats.com/fight-details/70feb2bfc12b97d4</t>
  </si>
  <si>
    <t>Adam Wieczorek vs. Marcos Rogerio de Lima</t>
  </si>
  <si>
    <t>Dave Tirelli 27 - 30.Chris Lee 27 - 30.Sal D'amato 27 - 30.</t>
  </si>
  <si>
    <t>http://ufcstats.com/fight-details/33116969380185a9</t>
  </si>
  <si>
    <t>Arjan Bhullar vs. Marcelo Golm</t>
  </si>
  <si>
    <t>Eric Nevitt</t>
  </si>
  <si>
    <t>Emile Arsenault 28 - 29.Declan Woods 28 - 29.James Locke 27 - 29.</t>
  </si>
  <si>
    <t>http://ufcstats.com/fight-details/4f42acd810ed5173</t>
  </si>
  <si>
    <t>Andrei Arlovski vs. Shamil Abdurakhimov</t>
  </si>
  <si>
    <t>Maria Makhmutova 28 - 29.Ben Cartlidge 27 - 30.Derek Cleary 27 - 30.</t>
  </si>
  <si>
    <t>http://ufcstats.com/fight-details/a7e8416f0d57c8e0</t>
  </si>
  <si>
    <t>Marcin Tybura vs. Stefan Struve</t>
  </si>
  <si>
    <t>Mark Collett 27 - 30.Andreas Gruner 27 - 30.Pawel Harasim 28 - 29.</t>
  </si>
  <si>
    <t>http://ufcstats.com/fight-details/8784ae31153178cd</t>
  </si>
  <si>
    <t>Francis Ngannou vs. Derrick Lewis</t>
  </si>
  <si>
    <t>Derek Cleary 28 - 29.Junichiro Kamijo 28 - 29.Sal D'amato 27 - 30.</t>
  </si>
  <si>
    <t>http://ufcstats.com/fight-details/9bd9a8127b55fbf7</t>
  </si>
  <si>
    <t>Andrei Arlovski vs. Tai Tuivasa</t>
  </si>
  <si>
    <t>Brian Puccillo 28 - 29.Chris Lee 28 - 29.Brandon Mason 28 - 29.</t>
  </si>
  <si>
    <t>http://ufcstats.com/fight-details/319b09306094259b</t>
  </si>
  <si>
    <t>Justin Willis vs. Chase Sherman</t>
  </si>
  <si>
    <t>Jon Bilyk 28 - 29.Dominic Carolei 28 - 29.Munah Holland 28 - 29.</t>
  </si>
  <si>
    <t>http://ufcstats.com/fight-details/bef2a2e68fb4dfa8</t>
  </si>
  <si>
    <t>Stefan Struve vs. Andrei Arlovski</t>
  </si>
  <si>
    <t>Tony Weeks 28 - 29.Derek Cleary 28 - 29.Glenn Trowbridge 27 - 30.</t>
  </si>
  <si>
    <t>http://ufcstats.com/fight-details/bfb7d17161aec938</t>
  </si>
  <si>
    <t>Mark Hunt vs. Curtis Blaydes</t>
  </si>
  <si>
    <t>26 - 30.26 - 30.27 - 29.</t>
  </si>
  <si>
    <t>http://ufcstats.com/fight-details/cd67f6ddb2920193</t>
  </si>
  <si>
    <t>Timothy Johnson vs. Marcelo Golm</t>
  </si>
  <si>
    <t>Phillipe Iorio 27 - 30.Marcos Rosales 28 - 29.Joseph Terrell 28 - 29.</t>
  </si>
  <si>
    <t>http://ufcstats.com/fight-details/0da43c3ec0e11650</t>
  </si>
  <si>
    <t>Anthony Hamilton vs. Adam Wieczorek</t>
  </si>
  <si>
    <t>Charlie Keech 28 - 29.Storm Oshyer 28 - 29.Anthony Dimitriou 28 - 29.</t>
  </si>
  <si>
    <t>http://ufcstats.com/fight-details/51ec53f442d2cc9b</t>
  </si>
  <si>
    <t>Junior Albini vs. Andrei Arlovski</t>
  </si>
  <si>
    <t>Derek Cleary 28 - 29.Chris Lee 27 - 30.Jeff Mullen 27 - 30.</t>
  </si>
  <si>
    <t>http://ufcstats.com/fight-details/603354ffe9cc0755</t>
  </si>
  <si>
    <t>Luis Henrique vs. Arjan Bhullar</t>
  </si>
  <si>
    <t>David Therien 28 - 29.Robert Donahue 28 - 29.Dave Hagen 28 - 29.</t>
  </si>
  <si>
    <t>http://ufcstats.com/fight-details/7020840980f723b9</t>
  </si>
  <si>
    <t>Damian Grabowski vs. Chase Sherman</t>
  </si>
  <si>
    <t>Sal D'amato 27 - 30.Cardo Urso 26 - 30.Dave Tirelli 27 - 30.</t>
  </si>
  <si>
    <t>http://ufcstats.com/fight-details/4f07c6724682cd00</t>
  </si>
  <si>
    <t>James Mulheron vs. Justin Willis</t>
  </si>
  <si>
    <t>Pawel Harasim 27 - 30.Maciej Motylewski 27 - 30.Paul Sutherland 27 - 30.</t>
  </si>
  <si>
    <t>http://ufcstats.com/fight-details/a77950d6a0a451f4</t>
  </si>
  <si>
    <t>Daniel Omielanczuk vs. Curtis Blaydes</t>
  </si>
  <si>
    <t>Glenn Trowbridge 27 - 30.Junichiro Kamijo 27 - 30.Jeff Mullen 27 - 30.</t>
  </si>
  <si>
    <t>http://ufcstats.com/fight-details/cf4c2b601c2228aa</t>
  </si>
  <si>
    <t>Andrei Arlovski vs. Marcin Tybura</t>
  </si>
  <si>
    <t>Howie Booth 28 - 29.Evan Field 27 - 28.Albert Shen 27 - 29.</t>
  </si>
  <si>
    <t>http://ufcstats.com/fight-details/205ad947e8c94901</t>
  </si>
  <si>
    <t>Alexander Volkov vs. Roy Nelson</t>
  </si>
  <si>
    <t>Henry Guery 27 - 30.Rob Francis 27 - 30.Sal D'amato 27 - 30.</t>
  </si>
  <si>
    <t>http://ufcstats.com/fight-details/b0552b065ca7f401</t>
  </si>
  <si>
    <t>Mark Godbeer vs. Daniel Spitz</t>
  </si>
  <si>
    <t>Dave Hagen 27 - 30.Jeff Mullen 27 - 30.Patricia Morse-Jarman 27 - 30.</t>
  </si>
  <si>
    <t>http://ufcstats.com/fight-details/08b65f5009c34997</t>
  </si>
  <si>
    <t>Fabricio Werdum vs. Travis Browne</t>
  </si>
  <si>
    <t>Mike Barry 28 - 29.Sal D'amato 27 - 29.Rick Winter 27 - 30.</t>
  </si>
  <si>
    <t>http://ufcstats.com/fight-details/409bcfacb259999a</t>
  </si>
  <si>
    <t>Chase Sherman vs. Justin Ledet</t>
  </si>
  <si>
    <t>Jeff Dutcher 27 - 30.Derek Cleary 27 - 30.Dennis McMahon 27 - 30.</t>
  </si>
  <si>
    <t>http://ufcstats.com/fight-details/02f4277726712796</t>
  </si>
  <si>
    <t>Timothy Johnson vs. Marcin Tybura</t>
  </si>
  <si>
    <t>Andreas Gruner 28 - 29.Howard Hughes 28 - 29.Takeo Kobayashi 28 - 29.</t>
  </si>
  <si>
    <t>http://ufcstats.com/fight-details/eb53ec8983cb2a95</t>
  </si>
  <si>
    <t>Anthony Hamilton vs. Shamil Abdurakhimov</t>
  </si>
  <si>
    <t>Chip Snider</t>
  </si>
  <si>
    <t>Phil Rogers 27 - 30.Todd Kruszka 28 - 29.Drew Long 28 - 29.</t>
  </si>
  <si>
    <t>http://ufcstats.com/fight-details/e508ba268cb295c0</t>
  </si>
  <si>
    <t>Roy Nelson vs. Jared Rosholt</t>
  </si>
  <si>
    <t>Derek Cleary 27 - 30.Chris Lee 27 - 30.Junichiro Kamijo 28 - 29.</t>
  </si>
  <si>
    <t>http://ufcstats.com/fight-details/a3935c950c40462b</t>
  </si>
  <si>
    <t>Gabriel Gonzaga vs. Konstantin Erokhin</t>
  </si>
  <si>
    <t>Roy Silbert 27 - 30.Glenn Trowbridge 27 - 30.Dave Hagen 28 - 30.</t>
  </si>
  <si>
    <t>http://ufcstats.com/fight-details/a99c3328e25c51c7</t>
  </si>
  <si>
    <t>Stefan Struve vs. Jared Rosholt</t>
  </si>
  <si>
    <t>Anthony Dimitriou 28 - 29.Evan Field 28 - 29.Charlie Keech 28 - 29.</t>
  </si>
  <si>
    <t>http://ufcstats.com/fight-details/98301c092f00cb01</t>
  </si>
  <si>
    <t>Shawn Jordan vs. Ruslan Magomedov</t>
  </si>
  <si>
    <t>Derek Cleary 27 - 30.Chris Reed 28 - 29.Sal D'amato 27 - 30.</t>
  </si>
  <si>
    <t>http://ufcstats.com/fight-details/4b790d75c4bc694c</t>
  </si>
  <si>
    <t>Andrei Arlovski vs. Frank Mir</t>
  </si>
  <si>
    <t>Sal D'amato 28 - 29.Chris Lee 28 - 29.Adalaide Byrd 27 - 30.</t>
  </si>
  <si>
    <t>http://ufcstats.com/fight-details/6f5f4b256f643ffb</t>
  </si>
  <si>
    <t>Jared Rosholt vs. Timothy Johnson</t>
  </si>
  <si>
    <t>Richard Bertrand 28 - 29.Derek Cleary 28 - 29.Chris Lee 28 - 29.</t>
  </si>
  <si>
    <t>http://ufcstats.com/fight-details/9d72aaaf34e5b512</t>
  </si>
  <si>
    <t>Stefan Struve vs. Antonio Rodrigo Nogueira</t>
  </si>
  <si>
    <t>Richard Bertrand 27 - 30.Sal D'amato 27 - 30.Hallison Pontes 27 - 30.</t>
  </si>
  <si>
    <t>http://ufcstats.com/fight-details/b0367c907cc549c0</t>
  </si>
  <si>
    <t>http://ufcstats.com/fight-details/ac37849f627a79c4</t>
  </si>
  <si>
    <t>Ciryl Gane vs. Alexander Volkov</t>
  </si>
  <si>
    <t>Junichiro Kamijo 45 - 50.Ron McCarthy 45 - 50.Sal D'amato 46 - 49.</t>
  </si>
  <si>
    <t>http://ufcstats.com/fight-details/78afed76d0e9a639</t>
  </si>
  <si>
    <t>Jairzinho Rozenstruik vs. Ciryl Gane</t>
  </si>
  <si>
    <t>Derek Cleary 45 - 50.Sal D'amato 45 - 50.Junichiro Kamijo 45 - 50.</t>
  </si>
  <si>
    <t>http://ufcstats.com/fight-details/4a704dae3091adaf</t>
  </si>
  <si>
    <t>Curtis Blaydes vs. Alexander Volkov</t>
  </si>
  <si>
    <t>Eric Colon 46 - 49.Sal D'amato 47 - 48.Chris Lee 46 - 48.</t>
  </si>
  <si>
    <t>http://ufcstats.com/fight-details/0c3622569cd8062a</t>
  </si>
  <si>
    <t>Junior Dos Santos vs. Blagoy Ivanov</t>
  </si>
  <si>
    <t>Dave Hagen 45 - 50.Tim Turner 45 - 50.Tony Weeks 45 - 50.</t>
  </si>
  <si>
    <t>http://ufcstats.com/fight-details/35ebaf80f8730b14</t>
  </si>
  <si>
    <t>Fabricio Werdum vs. Marcin Tybura</t>
  </si>
  <si>
    <t>Anthony Dimitriou 45 - 50.Kon Papaioannou 45 - 50.Charlie Keech 46 - 49.</t>
  </si>
  <si>
    <t>http://ufcstats.com/fight-details/4b0aa5c67e69ce74</t>
  </si>
  <si>
    <t>Ben Rothwell vs. Junior Dos Santos</t>
  </si>
  <si>
    <t>Ben Cartlidge 45 - 50.Mark Collett 45 - 50.Howard Hughes 45 - 50.</t>
  </si>
  <si>
    <t>http://ufcstats.com/fight-details/5f6b8e48e7d3b66f</t>
  </si>
  <si>
    <t>Josh Barnett vs. Roy Nelson</t>
  </si>
  <si>
    <t>Mark Craig 47 - 48.Charlie Keech 47 - 48.Evan Field 45 - 50.</t>
  </si>
  <si>
    <t>http://ufcstats.com/fight-details/34fd6ac116645ae6</t>
  </si>
  <si>
    <t>Walt Harris vs. Mark Godbeer</t>
  </si>
  <si>
    <t>http://ufcstats.com/fight-details/8375f311e8c6c079</t>
  </si>
  <si>
    <t>Greg Hardy vs. Allen Crowder</t>
  </si>
  <si>
    <t>Illegal Knee by Hardy</t>
  </si>
  <si>
    <t>http://ufcstats.com/fight-details/8da2c348ba6001a0</t>
  </si>
  <si>
    <t>Allen Crowder vs. Jairzinho Rozenstruik</t>
  </si>
  <si>
    <t>http://ufcstats.com/fight-details/e4559c3cce6edec1</t>
  </si>
  <si>
    <t>Aleksei Oleinik vs. Walt Harris</t>
  </si>
  <si>
    <t>http://ufcstats.com/fight-details/15ce105716441c54</t>
  </si>
  <si>
    <t>Anthony Hamilton vs. Damian Grabowski</t>
  </si>
  <si>
    <t>http://ufcstats.com/fight-details/8495283a56311b4d</t>
  </si>
  <si>
    <t>Curtis Blaydes vs. Tom Aspinall</t>
  </si>
  <si>
    <t>toKnee Injury</t>
  </si>
  <si>
    <t>http://ufcstats.com/fight-details/d0fb381cacbb0446</t>
  </si>
  <si>
    <t>Antonio Silva vs. Stefan Struve</t>
  </si>
  <si>
    <t>http://ufcstats.com/fight-details/d480d01418ae0143</t>
  </si>
  <si>
    <t>Francis Ngannou vs. Jairzinho Rozenstruik</t>
  </si>
  <si>
    <t>http://ufcstats.com/fight-details/fcfaa28ed6888088</t>
  </si>
  <si>
    <t>Jairzinho Rozenstruik vs. Chris Daukaus</t>
  </si>
  <si>
    <t>http://ufcstats.com/fight-details/1779cc4ae925df01</t>
  </si>
  <si>
    <t>Anthony Hamilton vs. Daniel Spitz</t>
  </si>
  <si>
    <t>http://ufcstats.com/fight-details/7864fc46de247f58</t>
  </si>
  <si>
    <t>Francis Ngannou vs. Cain Velasquez</t>
  </si>
  <si>
    <t>http://ufcstats.com/fight-details/01983cba42704c49</t>
  </si>
  <si>
    <t>Andrei Arlovski vs. Jairzinho Rozenstruik</t>
  </si>
  <si>
    <t>http://ufcstats.com/fight-details/83f7c3b91a402306</t>
  </si>
  <si>
    <t>Ben Rothwell vs. Marcos Rogerio de Lima</t>
  </si>
  <si>
    <t>http://ufcstats.com/fight-details/1013cdbb6c9a4a2e</t>
  </si>
  <si>
    <t>Derrick Lewis vs. Marcos Rogerio de Lima</t>
  </si>
  <si>
    <t>http://ufcstats.com/fight-details/eff6ec2b2f1fb27b</t>
  </si>
  <si>
    <t>Curtis Blaydes vs. Francis Ngannou</t>
  </si>
  <si>
    <t>http://ufcstats.com/fight-details/12e12307414dafc6</t>
  </si>
  <si>
    <t>Chris Daukaus vs. Rodrigo Nascimento</t>
  </si>
  <si>
    <t>http://ufcstats.com/fight-details/1e525f9857019a2e</t>
  </si>
  <si>
    <t>Tom Aspinall vs. Jake Collier</t>
  </si>
  <si>
    <t>http://ufcstats.com/fight-details/6cfab1da57d260f4</t>
  </si>
  <si>
    <t>Greg Hardy vs. Juan Adams</t>
  </si>
  <si>
    <t>http://ufcstats.com/fight-details/88b1d4f951070f83</t>
  </si>
  <si>
    <t>Daniel Omielanczuk vs. Chris de la Rocha</t>
  </si>
  <si>
    <t>http://ufcstats.com/fight-details/2e12db181792090f</t>
  </si>
  <si>
    <t>Tai Tuivasa vs. Harry Hunsucker</t>
  </si>
  <si>
    <t>http://ufcstats.com/fight-details/9e45cc594a5a2506</t>
  </si>
  <si>
    <t>Walt Harris vs. Serghei Spivac</t>
  </si>
  <si>
    <t>http://ufcstats.com/fight-details/e939acbd9894c686</t>
  </si>
  <si>
    <t>Tai Tuivasa vs. Sergei Pavlovich</t>
  </si>
  <si>
    <t>http://ufcstats.com/fight-details/972e17c1b98fca06</t>
  </si>
  <si>
    <t>Stipe Miocic vs. Andrei Arlovski</t>
  </si>
  <si>
    <t>http://ufcstats.com/fight-details/f2916c10b7ecfcee</t>
  </si>
  <si>
    <t>Derrick Lewis vs. Sergei Pavlovich</t>
  </si>
  <si>
    <t>http://ufcstats.com/fight-details/52f87252af59e23b</t>
  </si>
  <si>
    <t>Marcin Tybura vs. Augusto Sakai</t>
  </si>
  <si>
    <t>http://ufcstats.com/fight-details/9d3a38cc18807e10</t>
  </si>
  <si>
    <t>Justin Tafa vs. Parker Porter</t>
  </si>
  <si>
    <t>http://ufcstats.com/fight-details/da22d5a717ae9e35</t>
  </si>
  <si>
    <t>Sergei Pavlovich vs. Marcelo Golm</t>
  </si>
  <si>
    <t>http://ufcstats.com/fight-details/2a2b00e9bfd089cc</t>
  </si>
  <si>
    <t>Tai Tuivasa vs. Greg Hardy</t>
  </si>
  <si>
    <t>http://ufcstats.com/fight-details/53b480b44b0b51f1</t>
  </si>
  <si>
    <t>Francis Ngannou vs. Junior Dos Santos</t>
  </si>
  <si>
    <t>http://ufcstats.com/fight-details/4e71dbef18157288</t>
  </si>
  <si>
    <t>Tom Aspinall vs. Marcin Tybura</t>
  </si>
  <si>
    <t>http://ufcstats.com/fight-details/90e46589a18064bc</t>
  </si>
  <si>
    <t>Frank Mir vs. Todd Duffee</t>
  </si>
  <si>
    <t>http://ufcstats.com/fight-details/3b83ec99accfd271</t>
  </si>
  <si>
    <t>Justin Tafa vs. Austen Lane</t>
  </si>
  <si>
    <t>Jim Perdios</t>
  </si>
  <si>
    <t>http://ufcstats.com/fight-details/f9d2137f380e66bf</t>
  </si>
  <si>
    <t>Chase Sherman vs. Shamil Abdurakhimov</t>
  </si>
  <si>
    <t>http://ufcstats.com/fight-details/4d5c3ddc740b89ca</t>
  </si>
  <si>
    <t>Ben Sosoli vs. Marcos Rogerio de Lima</t>
  </si>
  <si>
    <t>http://ufcstats.com/fight-details/9bc18b63b07bb328</t>
  </si>
  <si>
    <t>Andrei Arlovski vs. Francis Ngannou</t>
  </si>
  <si>
    <t>Adam Martinez</t>
  </si>
  <si>
    <t>http://ufcstats.com/fight-details/a45596cda51a1816</t>
  </si>
  <si>
    <t>Francis Ngannou vs. Bojan Mihajlovic</t>
  </si>
  <si>
    <t>http://ufcstats.com/fight-details/9d2f46b677246e41</t>
  </si>
  <si>
    <t>Tom Aspinall vs. Alan Baudot</t>
  </si>
  <si>
    <t>http://ufcstats.com/fight-details/e4d831dc318e4e98</t>
  </si>
  <si>
    <t>Alistair Overeem vs. Francis Ngannou</t>
  </si>
  <si>
    <t>http://ufcstats.com/fight-details/4712708adb1507aa</t>
  </si>
  <si>
    <t>Cyril Asker vs. Walt Harris</t>
  </si>
  <si>
    <t>http://ufcstats.com/fight-details/9072bf6135cad3e0</t>
  </si>
  <si>
    <t>Justin Tafa vs. Harry Hunsucker</t>
  </si>
  <si>
    <t>http://ufcstats.com/fight-details/fc0927c657c51622</t>
  </si>
  <si>
    <t>Aleksei Oleinik vs. Chris Daukaus</t>
  </si>
  <si>
    <t>http://ufcstats.com/fight-details/8f7328fe18806fb0</t>
  </si>
  <si>
    <t>Juan Adams vs. Justin Tafa</t>
  </si>
  <si>
    <t>http://ufcstats.com/fight-details/57961c6adebfb13d</t>
  </si>
  <si>
    <t>Braxton Smith vs. Parker Porter</t>
  </si>
  <si>
    <t>http://ufcstats.com/fight-details/2372578d3f554c65</t>
  </si>
  <si>
    <t>Justin Tafa vs. Yorgan De Castro</t>
  </si>
  <si>
    <t>http://ufcstats.com/fight-details/9dfac33cd3ae4afd</t>
  </si>
  <si>
    <t>Maurice Greene vs. Sergei Pavlovich</t>
  </si>
  <si>
    <t>http://ufcstats.com/fight-details/cc477d322638ba30</t>
  </si>
  <si>
    <t>Alexander Volkov vs. Jairzinho Rozenstruik</t>
  </si>
  <si>
    <t>http://ufcstats.com/fight-details/7a635063e5f1699b</t>
  </si>
  <si>
    <t>Greg Hardy vs. Dmitrii Smoliakov</t>
  </si>
  <si>
    <t>http://ufcstats.com/fight-details/c68e57c19c82d500</t>
  </si>
  <si>
    <t>Alexander Volkov vs. Alexandr Romanov</t>
  </si>
  <si>
    <t>http://ufcstats.com/fight-details/3b561a154aa2bbb2</t>
  </si>
  <si>
    <t>Serghei Spivac vs. Greg Hardy</t>
  </si>
  <si>
    <t>http://ufcstats.com/fight-details/cda06ff86cfe4f5f</t>
  </si>
  <si>
    <t>Derrick Lewis vs. Damian Grabowski</t>
  </si>
  <si>
    <t>http://ufcstats.com/fight-details/640dbb5a89c0aad6</t>
  </si>
  <si>
    <t>Tai Tuivasa vs. Cyril Asker</t>
  </si>
  <si>
    <t>http://ufcstats.com/fight-details/3112430100d2d0be</t>
  </si>
  <si>
    <t>Tom Aspinall vs. Serghei Spivac</t>
  </si>
  <si>
    <t>http://ufcstats.com/fight-details/b977ffcc6428046f</t>
  </si>
  <si>
    <t>Justin Willis vs. Allen Crowder</t>
  </si>
  <si>
    <t>http://ufcstats.com/fight-details/40d9b5b47acf260b</t>
  </si>
  <si>
    <t>Philipe Lins vs. Tanner Boser</t>
  </si>
  <si>
    <t>http://ufcstats.com/fight-details/75570ea2da94a4fb</t>
  </si>
  <si>
    <t>Dmitrii Smoliakov vs. Cyril Asker</t>
  </si>
  <si>
    <t>http://ufcstats.com/fight-details/c1356395d6b055d7</t>
  </si>
  <si>
    <t>Jared Cannonier vs. Cyril Asker</t>
  </si>
  <si>
    <t>http://ufcstats.com/fight-details/a020b5b917c27bb8</t>
  </si>
  <si>
    <t>Timothy Johnson vs. Junior Albini</t>
  </si>
  <si>
    <t>http://ufcstats.com/fight-details/d83ae4a2e117b775</t>
  </si>
  <si>
    <t>Mark Hunt vs. Frank Mir</t>
  </si>
  <si>
    <t>http://ufcstats.com/fight-details/fb98219ce569b384</t>
  </si>
  <si>
    <t>Yorgan De Castro vs. Jarjis Danho</t>
  </si>
  <si>
    <t>http://ufcstats.com/fight-details/444f0a732695dc81</t>
  </si>
  <si>
    <t>Sergei Pavlovich vs. Curtis Blaydes</t>
  </si>
  <si>
    <t>http://ufcstats.com/fight-details/856468ba24a37fcc</t>
  </si>
  <si>
    <t>Anthony Hamilton vs. Marcel Fortuna</t>
  </si>
  <si>
    <t>http://ufcstats.com/fight-details/49e344834626c144</t>
  </si>
  <si>
    <t>Derrick Lewis vs. Chris Daukaus</t>
  </si>
  <si>
    <t>http://ufcstats.com/fight-details/4b7ec02b39fc6f70</t>
  </si>
  <si>
    <t>Maurice Greene vs. Junior Albini</t>
  </si>
  <si>
    <t>http://ufcstats.com/fight-details/9ba051e0f5674108</t>
  </si>
  <si>
    <t>Mark Hunt vs. Antonio Silva</t>
  </si>
  <si>
    <t>http://ufcstats.com/fight-details/27a6a6d4e3f8be75</t>
  </si>
  <si>
    <t>Shamil Abdurakhimov vs. Sergei Pavlovich</t>
  </si>
  <si>
    <t>http://ufcstats.com/fight-details/ae989e21c3839b49</t>
  </si>
  <si>
    <t>Walt Harris vs. Marcin Tybura</t>
  </si>
  <si>
    <t>http://ufcstats.com/fight-details/f187c7ec92f43828</t>
  </si>
  <si>
    <t>Walt Harris vs. Cody East</t>
  </si>
  <si>
    <t>http://ufcstats.com/fight-details/92049ba4483fc840</t>
  </si>
  <si>
    <t>Alistair Overeem vs. Sergei Pavlovich</t>
  </si>
  <si>
    <t>http://ufcstats.com/fight-details/1c43b38c1f4bdbe2</t>
  </si>
  <si>
    <t>Chris Daukaus vs. Parker Porter</t>
  </si>
  <si>
    <t>http://ufcstats.com/fight-details/2e9ad55f2e2f7c56</t>
  </si>
  <si>
    <t>Rashad Coulter vs. Tai Tuivasa</t>
  </si>
  <si>
    <t>http://ufcstats.com/fight-details/6971094300073d47</t>
  </si>
  <si>
    <t>Travis Browne vs. Andrei Arlovski</t>
  </si>
  <si>
    <t>http://ufcstats.com/fight-details/652a73f4bf7f1932</t>
  </si>
  <si>
    <t>Alistair Overeem vs. Aleksei Oleinik</t>
  </si>
  <si>
    <t>http://ufcstats.com/fight-details/470a3c1b89504258</t>
  </si>
  <si>
    <t>Derrick Lewis vs. Gabriel Gonzaga</t>
  </si>
  <si>
    <t>http://ufcstats.com/fight-details/f4d9138ba502b7ec</t>
  </si>
  <si>
    <t>Cain Velasquez vs. Travis Browne</t>
  </si>
  <si>
    <t>http://ufcstats.com/fight-details/1a66e67add5d55ef</t>
  </si>
  <si>
    <t>Jairzinho Rozenstruik vs. Augusto Sakai</t>
  </si>
  <si>
    <t>http://ufcstats.com/fight-details/2c0cddd12deb7450</t>
  </si>
  <si>
    <t>Stefan Struve vs. Tai Tuivasa</t>
  </si>
  <si>
    <t>http://ufcstats.com/fight-details/6eaa4981d0335c8a</t>
  </si>
  <si>
    <t>Curtis Blaydes vs. Chris Daukaus</t>
  </si>
  <si>
    <t>http://ufcstats.com/fight-details/c4e866d9dd606faa</t>
  </si>
  <si>
    <t>Derrick Lewis vs. Aleksei Oleinik</t>
  </si>
  <si>
    <t>http://ufcstats.com/fight-details/a2e34655a41ba45c</t>
  </si>
  <si>
    <t>Augusto Sakai vs. Tai Tuivasa</t>
  </si>
  <si>
    <t>http://ufcstats.com/fight-details/50f2539c73b98eec</t>
  </si>
  <si>
    <t>UFC Fight Night: Santos vs. Hill</t>
  </si>
  <si>
    <t>Mohammed Usman vs. Zac Pauga</t>
  </si>
  <si>
    <t>http://ufcstats.com/fight-details/36f38c2534ef646b</t>
  </si>
  <si>
    <t>Antonio Silva vs. Soa Palelei</t>
  </si>
  <si>
    <t>http://ufcstats.com/fight-details/8baa6b8850262595</t>
  </si>
  <si>
    <t>Shawn Jordan vs. Derrick Lewis</t>
  </si>
  <si>
    <t>Gabe Barahona</t>
  </si>
  <si>
    <t>Kick to Head At DistanceHook Kick</t>
  </si>
  <si>
    <t>http://ufcstats.com/fight-details/5b0fcecc55bebd5c</t>
  </si>
  <si>
    <t>Chase Sherman vs. Ike Villanueva</t>
  </si>
  <si>
    <t>Michael Cardoso</t>
  </si>
  <si>
    <t>http://ufcstats.com/fight-details/b2ca310c9d0037d3</t>
  </si>
  <si>
    <t>Viktor Pesta vs. Marcin Tybura</t>
  </si>
  <si>
    <t>http://ufcstats.com/fight-details/3fe9e895b2a45049</t>
  </si>
  <si>
    <t>Junior Albini vs. Jairzinho Rozenstruik</t>
  </si>
  <si>
    <t>http://ufcstats.com/fight-details/491b7d974254596d</t>
  </si>
  <si>
    <t>Curtis Blaydes vs. Junior Dos Santos</t>
  </si>
  <si>
    <t>http://ufcstats.com/fight-details/037d2f426c916ffc</t>
  </si>
  <si>
    <t>Alistair Overeem vs. Andrei Arlovski</t>
  </si>
  <si>
    <t>http://ufcstats.com/fight-details/5838305c25a54ea1</t>
  </si>
  <si>
    <t>Maurice Greene vs. Greg Hardy</t>
  </si>
  <si>
    <t>http://ufcstats.com/fight-details/d763ad79532b27ff</t>
  </si>
  <si>
    <t>Alexander Volkov vs. Walt Harris</t>
  </si>
  <si>
    <t>http://ufcstats.com/fight-details/ccfe7b0d29c5440c</t>
  </si>
  <si>
    <t>Shamil Abdurakhimov vs. Chris Daukaus</t>
  </si>
  <si>
    <t>http://ufcstats.com/fight-details/f085f32bbb3220e1</t>
  </si>
  <si>
    <t>Curtis Blaydes vs. Derrick Lewis</t>
  </si>
  <si>
    <t>http://ufcstats.com/fight-details/b12bc15f384ecc42</t>
  </si>
  <si>
    <t>Alan Baudot vs. Rodrigo Nascimento</t>
  </si>
  <si>
    <t>http://ufcstats.com/fight-details/7d0874323bd1f768</t>
  </si>
  <si>
    <t>Derrick Lewis vs. Tai Tuivasa</t>
  </si>
  <si>
    <t>http://ufcstats.com/fight-details/bb42336d6417914c</t>
  </si>
  <si>
    <t>Derrick Lewis vs. Junior Dos Santos</t>
  </si>
  <si>
    <t>http://ufcstats.com/fight-details/1b1792afe4457e83</t>
  </si>
  <si>
    <t>Cody East vs. Curtis Blaydes</t>
  </si>
  <si>
    <t>Dave Hagen</t>
  </si>
  <si>
    <t>http://ufcstats.com/fight-details/4efbd869aa0211d2</t>
  </si>
  <si>
    <t>Alistair Overeem vs. Alexander Volkov</t>
  </si>
  <si>
    <t>http://ufcstats.com/fight-details/8b9bdacca749ec90</t>
  </si>
  <si>
    <t>Curtis Blaydes vs. Shamil Abdurakhimov</t>
  </si>
  <si>
    <t>Elbow to Head From Half Guard</t>
  </si>
  <si>
    <t>http://ufcstats.com/fight-details/066756ea40b134a7</t>
  </si>
  <si>
    <t>Gian Villante vs. Chris Barnett</t>
  </si>
  <si>
    <t>http://ufcstats.com/fight-details/e25875165648162b</t>
  </si>
  <si>
    <t>Jake Collier vs. Chris Barnett</t>
  </si>
  <si>
    <t>http://ufcstats.com/fight-details/bf334cb4e63f3430</t>
  </si>
  <si>
    <t>Junior Dos Santos vs. Tai Tuivasa</t>
  </si>
  <si>
    <t>http://ufcstats.com/fight-details/b6bd31215bd7ec1f</t>
  </si>
  <si>
    <t>Tanner Boser vs. Ovince Saint Preux</t>
  </si>
  <si>
    <t>http://ufcstats.com/fight-details/d40eae4425092219</t>
  </si>
  <si>
    <t>Junior Dos Santos vs. Ciryl Gane</t>
  </si>
  <si>
    <t>http://ufcstats.com/fight-details/fe3ff5b1d9135add</t>
  </si>
  <si>
    <t>Tanner Boser vs. Raphael Pessoa</t>
  </si>
  <si>
    <t>http://ufcstats.com/fight-details/88d3b6b833e31712</t>
  </si>
  <si>
    <t>Walt Harris vs. Chase Sherman</t>
  </si>
  <si>
    <t>http://ufcstats.com/fight-details/3f7684492c9df05e</t>
  </si>
  <si>
    <t>Francis Ngannou vs. Luis Henrique</t>
  </si>
  <si>
    <t>http://ufcstats.com/fight-details/f7fd4b82e827c9c4</t>
  </si>
  <si>
    <t>Shamil Abdurakhimov vs. Jailton Almeida</t>
  </si>
  <si>
    <t>http://ufcstats.com/fight-details/fffdc57255274be1</t>
  </si>
  <si>
    <t>Alistair Overeem vs. Walt Harris</t>
  </si>
  <si>
    <t>http://ufcstats.com/fight-details/ce0748519d5ea5c6</t>
  </si>
  <si>
    <t>Josh Parisian vs. Alan Baudot</t>
  </si>
  <si>
    <t>http://ufcstats.com/fight-details/c57c8e22a3e8dde2</t>
  </si>
  <si>
    <t>Derrick Lewis vs. Travis Browne</t>
  </si>
  <si>
    <t>http://ufcstats.com/fight-details/ab14dbff9d2ae41a</t>
  </si>
  <si>
    <t>Marcin Tybura vs. Shamil Abdurakhimov</t>
  </si>
  <si>
    <t>http://ufcstats.com/fight-details/0bc7e4852f75a06d</t>
  </si>
  <si>
    <t>Andrei Arlovski vs. Don'Tale Mayes</t>
  </si>
  <si>
    <t>http://ufcstats.com/fight-details/5459c3bb88d031f9</t>
  </si>
  <si>
    <t>Chase Sherman vs. Rashad Coulter</t>
  </si>
  <si>
    <t>http://ufcstats.com/fight-details/f26657d5018ee428</t>
  </si>
  <si>
    <t>Augusto Sakai vs. Serghei Spivac</t>
  </si>
  <si>
    <t>http://ufcstats.com/fight-details/044d210d7b1eb519</t>
  </si>
  <si>
    <t>Ciryl Gane vs. Serghei Spivac</t>
  </si>
  <si>
    <t>http://ufcstats.com/fight-details/ea006bae605e2a6b</t>
  </si>
  <si>
    <t>Junior Dos Santos vs. Jairzinho Rozenstruik</t>
  </si>
  <si>
    <t>http://ufcstats.com/fight-details/dc24c4759651c6ad</t>
  </si>
  <si>
    <t>Rashad Coulter vs. Chris de la Rocha</t>
  </si>
  <si>
    <t>http://ufcstats.com/fight-details/140e810f952714ea</t>
  </si>
  <si>
    <t>Chris de la Rocha vs. Adam Milstead</t>
  </si>
  <si>
    <t>http://ufcstats.com/fight-details/969970fbe24945d0</t>
  </si>
  <si>
    <t>Roy Nelson vs. Antonio Silva</t>
  </si>
  <si>
    <t>http://ufcstats.com/fight-details/5c5ed0416e881faf</t>
  </si>
  <si>
    <t>Marcin Tybura vs. Greg Hardy</t>
  </si>
  <si>
    <t>http://ufcstats.com/fight-details/cd150cd28738a7c5</t>
  </si>
  <si>
    <t>Serghei Spivac vs. Jared Vanderaa</t>
  </si>
  <si>
    <t>http://ufcstats.com/fight-details/c3b6aa47e7532a7b</t>
  </si>
  <si>
    <t>Alexandr Romanov vs. Jared Vanderaa</t>
  </si>
  <si>
    <t>http://ufcstats.com/fight-details/777c65184aa63894</t>
  </si>
  <si>
    <t>Junior Dos Santos vs. Alistair Overeem</t>
  </si>
  <si>
    <t>http://ufcstats.com/fight-details/1f0254eeb2025e4f</t>
  </si>
  <si>
    <t>Stefan Struve vs. Ben Rothwell</t>
  </si>
  <si>
    <t>http://ufcstats.com/fight-details/bbc8e8a69e9bd106</t>
  </si>
  <si>
    <t>Walt Harris vs. Daniel Spitz</t>
  </si>
  <si>
    <t>http://ufcstats.com/fight-details/f43f9861e73739c8</t>
  </si>
  <si>
    <t>Chris de la Rocha vs. Juan Adams</t>
  </si>
  <si>
    <t>http://ufcstats.com/fight-details/c4f443509308dec6</t>
  </si>
  <si>
    <t>Derrick Lewis vs. Viktor Pesta</t>
  </si>
  <si>
    <t>http://ufcstats.com/fight-details/2b3b6e96cea0f757</t>
  </si>
  <si>
    <t>Alistair Overeem vs. Mark Hunt</t>
  </si>
  <si>
    <t>http://ufcstats.com/fight-details/c79b862be039d9f0</t>
  </si>
  <si>
    <t>Derrick Lewis vs. Marcin Tybura</t>
  </si>
  <si>
    <t>http://ufcstats.com/fight-details/f73dfeb48b09e6a6</t>
  </si>
  <si>
    <t>Alistair Overeem vs. Curtis Blaydes</t>
  </si>
  <si>
    <t>http://ufcstats.com/fight-details/7fd0f7b3866b2c75</t>
  </si>
  <si>
    <t>Jared Vanderaa vs. Chase Sherman</t>
  </si>
  <si>
    <t>http://ufcstats.com/fight-details/cd63b4144a45b611</t>
  </si>
  <si>
    <t>Devin Clark vs. William Knight</t>
  </si>
  <si>
    <t>http://ufcstats.com/fight-details/b09f8cd4cbd7ba56</t>
  </si>
  <si>
    <t>Don'Tale Mayes vs. Josh Parisian</t>
  </si>
  <si>
    <t>http://ufcstats.com/fight-details/a760d0f5de2e1aaa</t>
  </si>
  <si>
    <t>Alexander Volkov vs. Stefan Struve</t>
  </si>
  <si>
    <t>http://ufcstats.com/fight-details/cfc550960a7ec353</t>
  </si>
  <si>
    <t>Marcin Tybura vs. Luis Henrique</t>
  </si>
  <si>
    <t>http://ufcstats.com/fight-details/42ad1437a1280294</t>
  </si>
  <si>
    <t>Augusto Sakai vs. Chase Sherman</t>
  </si>
  <si>
    <t>http://ufcstats.com/fight-details/d7c7b312279104d2</t>
  </si>
  <si>
    <t>Travis Browne vs. Matt Mitrione</t>
  </si>
  <si>
    <t>http://ufcstats.com/fight-details/762de3b0b32ba937</t>
  </si>
  <si>
    <t>Ciryl Gane vs. Tai Tuivasa</t>
  </si>
  <si>
    <t>http://ufcstats.com/fight-details/810c9da07970c4a6</t>
  </si>
  <si>
    <t>Derrick Lewis vs. Alexander Volkov</t>
  </si>
  <si>
    <t>http://ufcstats.com/fight-details/397ace87deeb8697</t>
  </si>
  <si>
    <t>Fabricio Werdum vs. Alexander Volkov</t>
  </si>
  <si>
    <t>http://ufcstats.com/fight-details/e835e9a4564db497</t>
  </si>
  <si>
    <t>Derrick Lewis vs. Shamil Abdurakhimov</t>
  </si>
  <si>
    <t>http://ufcstats.com/fight-details/cb1e57b5f8c92922</t>
  </si>
  <si>
    <t>Derrick Lewis vs. Mark Hunt</t>
  </si>
  <si>
    <t>http://ufcstats.com/fight-details/cd96998e837b0da1</t>
  </si>
  <si>
    <t>Alistair Overeem vs. Augusto Sakai</t>
  </si>
  <si>
    <t>http://ufcstats.com/fight-details/24341a8cf1152c5c</t>
  </si>
  <si>
    <t>Stipe Miocic vs. Mark Hunt</t>
  </si>
  <si>
    <t>http://ufcstats.com/fight-details/57b986d06bde71c2</t>
  </si>
  <si>
    <t>Alistair Overeem vs. Jairzinho Rozenstruik</t>
  </si>
  <si>
    <t>http://ufcstats.com/fight-details/e91f289f1b9f9519</t>
  </si>
  <si>
    <t>Adam Milstead vs. Curtis Blaydes</t>
  </si>
  <si>
    <t>Failed Drug Test by Blaydes</t>
  </si>
  <si>
    <t>http://ufcstats.com/fight-details/74256b4e8d0b1de6</t>
  </si>
  <si>
    <t>Greg Hardy vs. Ben Sosoli</t>
  </si>
  <si>
    <t>Illegal Inhaler Use by HardyLars Borssen 28 - 29.Sal D'amato 28 - 29.Macel Varella 28 - 29.</t>
  </si>
  <si>
    <t>http://ufcstats.com/fight-details/0019ec81fd706ade</t>
  </si>
  <si>
    <t>Andrei Arlovski vs. Walt Harris</t>
  </si>
  <si>
    <t>Failed Drug Test by HarrisDave Hagen 30 - 27.Wade Vierra 28 - 29.Ron McCarthy 28 - 29.</t>
  </si>
  <si>
    <t>http://ufcstats.com/fight-details/819af4bbad55324d</t>
  </si>
  <si>
    <t>Brock Lesnar vs. Mark Hunt</t>
  </si>
  <si>
    <t>Failed Drug Test by LesnarLester Griffin 27 - 29.Junichiro Kamijo 27 - 29.Marcos Rosales 27 - 29.</t>
  </si>
  <si>
    <t>http://ufcstats.com/fight-details/83414cc83ec3f2ac</t>
  </si>
  <si>
    <t>Fabricio Werdum vs. Walt Harris</t>
  </si>
  <si>
    <t>http://ufcstats.com/fight-details/53ee6c3591483193</t>
  </si>
  <si>
    <t>Aleksei Oleinik vs. Junior Albini</t>
  </si>
  <si>
    <t>Ezekiel Choke From Bottom Half Guard</t>
  </si>
  <si>
    <t>http://ufcstats.com/fight-details/3dcb1a7b081afbe1</t>
  </si>
  <si>
    <t>Andrei Arlovski vs. Marcos Rogerio de Lima</t>
  </si>
  <si>
    <t>http://ufcstats.com/fight-details/5dcba156bd13e0c3</t>
  </si>
  <si>
    <t>Ben Rothwell vs. Matt Mitrione</t>
  </si>
  <si>
    <t>http://ufcstats.com/fight-details/09f67db0cfaee022</t>
  </si>
  <si>
    <t>Francis Ngannou vs. Anthony Hamilton</t>
  </si>
  <si>
    <t>Kimura Standing</t>
  </si>
  <si>
    <t>http://ufcstats.com/fight-details/0769ab47fcf0bf6b</t>
  </si>
  <si>
    <t>Marcelo Golm vs. Christian Colombo</t>
  </si>
  <si>
    <t>http://ufcstats.com/fight-details/4ffd88b2f00f4250</t>
  </si>
  <si>
    <t>Alexandr Romanov vs. Chase Sherman</t>
  </si>
  <si>
    <t>Keylock From Mount</t>
  </si>
  <si>
    <t>http://ufcstats.com/fight-details/d2484d74f819d813</t>
  </si>
  <si>
    <t>Maurice Greene vs. Michel Batista</t>
  </si>
  <si>
    <t>http://ufcstats.com/fight-details/86046081e767437e</t>
  </si>
  <si>
    <t>Justin Ledet vs. Mark Godbeer</t>
  </si>
  <si>
    <t>http://ufcstats.com/fight-details/8eaa23d64c20b0f1</t>
  </si>
  <si>
    <t>Jake Collier vs. Chase Sherman</t>
  </si>
  <si>
    <t>http://ufcstats.com/fight-details/3bcbb0e039f4f5d8</t>
  </si>
  <si>
    <t>Fabricio Werdum vs. Alexander Gustafsson</t>
  </si>
  <si>
    <t>http://ufcstats.com/fight-details/f786136e55007e17</t>
  </si>
  <si>
    <t>Aleksei Oleinik vs. Viktor Pesta</t>
  </si>
  <si>
    <t>Ezekiel Choke From Bottom Mount</t>
  </si>
  <si>
    <t>http://ufcstats.com/fight-details/1a81573425c585fb</t>
  </si>
  <si>
    <t>Derrick Lewis vs. Serghei Spivac</t>
  </si>
  <si>
    <t>Arm Triangle On Ground</t>
  </si>
  <si>
    <t>http://ufcstats.com/fight-details/caeeb398f73d213a</t>
  </si>
  <si>
    <t>Aleksei Oleinik vs. Jared Vanderaa</t>
  </si>
  <si>
    <t>Scarf Hold From Side Control</t>
  </si>
  <si>
    <t>http://ufcstats.com/fight-details/278b965694e563b2</t>
  </si>
  <si>
    <t>Jairzinho Rozenstruik vs. Jailton Almeida</t>
  </si>
  <si>
    <t>http://ufcstats.com/fight-details/755202fce24b8f83</t>
  </si>
  <si>
    <t>Alexander Volkov vs. Tom Aspinall</t>
  </si>
  <si>
    <t>Straight Armbar From Half Guard</t>
  </si>
  <si>
    <t>http://ufcstats.com/fight-details/06641a8c62e45661</t>
  </si>
  <si>
    <t>Juan Espino vs. Jeff Hughes</t>
  </si>
  <si>
    <t>http://ufcstats.com/fight-details/8e7b2d62f834b417</t>
  </si>
  <si>
    <t>Josh Parisian vs. Martin Buday</t>
  </si>
  <si>
    <t>http://ufcstats.com/fight-details/d5929b7fbc801ce4</t>
  </si>
  <si>
    <t>Ciryl Gane vs. Raphael Pessoa</t>
  </si>
  <si>
    <t>http://ufcstats.com/fight-details/1d8a86d37c7ef3d3</t>
  </si>
  <si>
    <t>Mark Hunt vs. Aleksei Oleinik</t>
  </si>
  <si>
    <t>http://ufcstats.com/fight-details/eebb4dde70a67369</t>
  </si>
  <si>
    <t>Jailton Almeida vs. Parker Porter</t>
  </si>
  <si>
    <t>http://ufcstats.com/fight-details/1b4d0c9e3c59b33b</t>
  </si>
  <si>
    <t>Alexandr Romanov vs. Marcos Rogerio de Lima</t>
  </si>
  <si>
    <t>Forearm Choke From Half Guard</t>
  </si>
  <si>
    <t>http://ufcstats.com/fight-details/2267d967d1daf08a</t>
  </si>
  <si>
    <t>Andrei Arlovski vs. Tom Aspinall</t>
  </si>
  <si>
    <t>http://ufcstats.com/fight-details/15b1c7ddc4415fdd</t>
  </si>
  <si>
    <t>Stefan Struve vs. Daniel Omielanczuk</t>
  </si>
  <si>
    <t>http://ufcstats.com/fight-details/17067cf55726c673</t>
  </si>
  <si>
    <t>Arjan Bhullar vs. Adam Wieczorek</t>
  </si>
  <si>
    <t>Omoplata From Bottom Guard</t>
  </si>
  <si>
    <t>http://ufcstats.com/fight-details/47fc0736929125bd</t>
  </si>
  <si>
    <t>http://ufcstats.com/fight-details/ebe122e962d26fa4</t>
  </si>
  <si>
    <t>Ben Rothwell vs. Chris Barnett</t>
  </si>
  <si>
    <t>Guillotine Choke From Side Control</t>
  </si>
  <si>
    <t>http://ufcstats.com/fight-details/3627f5133ce55902</t>
  </si>
  <si>
    <t>Stefan Struve vs. Marcos Rogerio de Lima</t>
  </si>
  <si>
    <t>http://ufcstats.com/fight-details/4de28817db9fc9d8</t>
  </si>
  <si>
    <t>Cyril Asker vs. Hu Yaozong</t>
  </si>
  <si>
    <t>http://ufcstats.com/fight-details/34c39a5a5917e0ec</t>
  </si>
  <si>
    <t>Tai Tuivasa vs. Serghei Spivac</t>
  </si>
  <si>
    <t>http://ufcstats.com/fight-details/8cd7ca0e7b861b3d</t>
  </si>
  <si>
    <t>Travis Browne vs. Aleksei Oleinik</t>
  </si>
  <si>
    <t>http://ufcstats.com/fight-details/00b801e7e1679f2f</t>
  </si>
  <si>
    <t>Josh Barnett vs. Ben Rothwell</t>
  </si>
  <si>
    <t>http://ufcstats.com/fight-details/6c1dba8a3ba4f42e</t>
  </si>
  <si>
    <t>Luis Henrique vs. Dmitrii Smoliakov</t>
  </si>
  <si>
    <t>http://ufcstats.com/fight-details/43fbc59edc7dfa9f</t>
  </si>
  <si>
    <t>Alexandr Romanov vs. Roque Martinez</t>
  </si>
  <si>
    <t>http://ufcstats.com/fight-details/2461756d8acd56d2</t>
  </si>
  <si>
    <t>Mark Godbeer vs. Dmitry Sosnovskiy</t>
  </si>
  <si>
    <t>http://ufcstats.com/fight-details/2fd0c6d914b77205</t>
  </si>
  <si>
    <t>Tai Tuivasa vs. Alexander Volkov</t>
  </si>
  <si>
    <t>Ezekiel Choke From Mount</t>
  </si>
  <si>
    <t>http://ufcstats.com/fight-details/e4ed294e16e16d81</t>
  </si>
  <si>
    <t>Aleksei Oleinik vs. Maurice Greene</t>
  </si>
  <si>
    <t>http://ufcstats.com/fight-details/702759500d47a059</t>
  </si>
  <si>
    <t>Luis Henrique vs. Christian Colombo</t>
  </si>
  <si>
    <t>http://ufcstats.com/fight-details/9e75fbe17a35f272</t>
  </si>
  <si>
    <t>Andrei Arlovski vs. Josh Barnett</t>
  </si>
  <si>
    <t>http://ufcstats.com/fight-details/a3b972117a3998ee</t>
  </si>
  <si>
    <t>Gian Villante vs. Maurice Greene</t>
  </si>
  <si>
    <t>Arm Triangle From Bottom Half Guard</t>
  </si>
  <si>
    <t>http://ufcstats.com/fight-details/9ce56acac775d386</t>
  </si>
  <si>
    <t>Ciryl Gane vs. Don'Tale Mayes</t>
  </si>
  <si>
    <t>Heel Hook From Guard</t>
  </si>
  <si>
    <t>http://ufcstats.com/fight-details/41b75c9222c33cdf</t>
  </si>
  <si>
    <t>Aleksei Oleinik vs. Curtis Blaydes</t>
  </si>
  <si>
    <t>http://ufcstats.com/fight-details/8c2fb17981464d8c</t>
  </si>
  <si>
    <t>Francis Ngannou vs. Curtis Blaydes</t>
  </si>
  <si>
    <t>http://ufcstats.com/fight-details/9b79c05aa978c066</t>
  </si>
  <si>
    <t>Jimmy Crute vs. Alonzo Menifield</t>
  </si>
  <si>
    <t>Derek Cleary 27 - 29.Ben Cartlidge 28 - 28.David Lethaby 28 - 28.</t>
  </si>
  <si>
    <t>http://ufcstats.com/fight-details/ec03739c836fadc8</t>
  </si>
  <si>
    <t>Cory Hendricks vs. Josh Stansbury</t>
  </si>
  <si>
    <t>Derek Cleary 27 - 29.Patricia Morse-Jarman 27 - 29.Dave Hagen 28 - 28.</t>
  </si>
  <si>
    <t>http://ufcstats.com/fight-details/f990e8b2a08053db</t>
  </si>
  <si>
    <t>Jan Blachowicz vs. Alex Pereira</t>
  </si>
  <si>
    <t>Derek Cleary 28 - 29.Junichiro Kamijo 29 - 28.Ron McCarthy 28 - 29.</t>
  </si>
  <si>
    <t>http://ufcstats.com/fight-details/800a35b3a7e52308</t>
  </si>
  <si>
    <t>Dustin Jacoby vs. Khalil Rountree Jr.</t>
  </si>
  <si>
    <t>Ben Cartlidge 28 - 29.Ron McCarthy 29 - 28.Chris Flores 28 - 29.</t>
  </si>
  <si>
    <t>http://ufcstats.com/fight-details/98b7dd0ddc52cffb</t>
  </si>
  <si>
    <t>Mauricio Rua vs. Ovince Saint Preux</t>
  </si>
  <si>
    <t>Eric Colon 28 - 29.Junichiro Kamijo 29 - 28.Rick Winter 27 - 30.</t>
  </si>
  <si>
    <t>http://ufcstats.com/fight-details/c020ccbd7cdefb6e</t>
  </si>
  <si>
    <t>Nicolae Negumereanu vs. Kennedy Nzechukwu</t>
  </si>
  <si>
    <t>Tony Weeks 27 - 29.Sal D'amato 29 - 27.Doug Crosby 27 - 29.</t>
  </si>
  <si>
    <t>http://ufcstats.com/fight-details/ee278a5a25744cac</t>
  </si>
  <si>
    <t>Aleksa Camur vs. Nicolae Negumereanu</t>
  </si>
  <si>
    <t>Tony Weeks 28 - 29.Eric Colon 29 - 28.Mike Bell 28 - 29.</t>
  </si>
  <si>
    <t>http://ufcstats.com/fight-details/744627aec853874e</t>
  </si>
  <si>
    <t>Ion Cutelaba vs. Dustin Jacoby</t>
  </si>
  <si>
    <t>Dave Hagen 28 - 29.Rick Winter 29 - 28.Tony Weeks 28 - 28.</t>
  </si>
  <si>
    <t>http://ufcstats.com/fight-details/ec8d93ae99a7799d</t>
  </si>
  <si>
    <t>Modestas Bukauskas vs. Michal Oleksiejczuk</t>
  </si>
  <si>
    <t>Eric Colon 29 - 28.Ron McCarthy 28 - 29.Tony Weeks 28 - 29.</t>
  </si>
  <si>
    <t>http://ufcstats.com/fight-details/6002c24f0b7f8cc7</t>
  </si>
  <si>
    <t>Roman Dolidze vs. John Allan</t>
  </si>
  <si>
    <t>Chris Lee 29 - 28.Dave Hagen 27 - 30.Mike Bell 28 - 29.</t>
  </si>
  <si>
    <t>http://ufcstats.com/fight-details/4478ee77a647ae9d</t>
  </si>
  <si>
    <t>Da-Un Jung vs. Sam Alvey</t>
  </si>
  <si>
    <t>Darryl Ransom 28 - 29.David Lethaby 29 - 28.Ben Cartlidge 28 - 28.</t>
  </si>
  <si>
    <t>http://ufcstats.com/fight-details/55c257629ecea80f</t>
  </si>
  <si>
    <t>Mauricio Rua vs. Rogerio Nogueira</t>
  </si>
  <si>
    <t>Ben Cartlidge 28 - 29.Mark Collett 29 - 28.David Lethaby 28 - 29.</t>
  </si>
  <si>
    <t>http://ufcstats.com/fight-details/a3820f1eb82f2ba6</t>
  </si>
  <si>
    <t>Ryan Spann vs. Sam Alvey</t>
  </si>
  <si>
    <t>Sal D'amato 28 - 29.Dave Tirelli 28 - 29.Chris Lee 29 - 28.</t>
  </si>
  <si>
    <t>http://ufcstats.com/fight-details/b70dfff154b135bf</t>
  </si>
  <si>
    <t>Volkan Oezdemir vs. Aleksandar Rakic</t>
  </si>
  <si>
    <t>Mark Collett 28 - 29.Evan Field 29 - 28.Anthony Dimitriou 28 - 29.</t>
  </si>
  <si>
    <t>http://ufcstats.com/fight-details/2b8cae68963a40a9</t>
  </si>
  <si>
    <t>Mauricio Rua vs. Paul Craig</t>
  </si>
  <si>
    <t>Sal D'amato 28 - 29.Marcelo Vilhena 29 - 28.Guilherme Bravo 28 - 28.</t>
  </si>
  <si>
    <t>http://ufcstats.com/fight-details/c63edd25d2201a46</t>
  </si>
  <si>
    <t>Shamil Gamzatov vs. Klidson Abreu</t>
  </si>
  <si>
    <t>Howard Hughes 28 - 29.Lukasz Bosacki 29 - 28.Paul Sutherland 28 - 29.</t>
  </si>
  <si>
    <t>http://ufcstats.com/fight-details/f820c6292e19d854</t>
  </si>
  <si>
    <t>Glover Teixeira vs. Nikita Krylov</t>
  </si>
  <si>
    <t>Dave Hagen 28 - 29.Mike Bell 29 - 28.Sal D'amato 28 - 29.</t>
  </si>
  <si>
    <t>http://ufcstats.com/fight-details/36d90f1812f0d432</t>
  </si>
  <si>
    <t>Volkan Oezdemir vs. Dominick Reyes</t>
  </si>
  <si>
    <t>Mark Collett 28 - 29.Andy Roberts 29 - 28.Paul Sutherland 28 - 29.</t>
  </si>
  <si>
    <t>http://ufcstats.com/fight-details/826fb989c0e6208e</t>
  </si>
  <si>
    <t>Gian Villante vs. Ed Herman</t>
  </si>
  <si>
    <t>Hubert Earle 28 - 29.Bob Leblanc 29 - 28.David Therien 28 - 29.</t>
  </si>
  <si>
    <t>http://ufcstats.com/fight-details/53d6e37063f9c404</t>
  </si>
  <si>
    <t>Gian Villante vs. Sam Alvey</t>
  </si>
  <si>
    <t>Dave Tirelli 28 - 29.Tim Corrado 29 - 28.Eric Colon 28 - 29.</t>
  </si>
  <si>
    <t>http://ufcstats.com/fight-details/194d73490eb731c6</t>
  </si>
  <si>
    <t>Jordan Johnson vs. Adam Milstead</t>
  </si>
  <si>
    <t>Tony Weeks 28 - 29.Marcos Rosales 30 - 27.Chris Lee 28 - 29.</t>
  </si>
  <si>
    <t>http://ufcstats.com/fight-details/84f236d6c57d7cfb</t>
  </si>
  <si>
    <t>Gian Villante vs. Francimar Barroso</t>
  </si>
  <si>
    <t>David Ginsberg 27 - 30.Dave Tirelli 29 - 28.Mike Mena 27 - 30.</t>
  </si>
  <si>
    <t>http://ufcstats.com/fight-details/5cf56c22cbc24758</t>
  </si>
  <si>
    <t>Patrick Cummins vs. Gian Villante</t>
  </si>
  <si>
    <t>Jeff Mullen 28 - 29.Sal D'amato 29 - 28.Dave Tirelli 28 - 29.</t>
  </si>
  <si>
    <t>http://ufcstats.com/fight-details/76d6789779d3721c</t>
  </si>
  <si>
    <t>Ovince Saint Preux vs. Volkan Oezdemir</t>
  </si>
  <si>
    <t>Joe Soliz 28 - 29.Sal D'amato 29 - 28.Joshua Ferraro 28 - 29.</t>
  </si>
  <si>
    <t>http://ufcstats.com/fight-details/36220644401d85e1</t>
  </si>
  <si>
    <t>Mauricio Rua vs. Corey Anderson</t>
  </si>
  <si>
    <t>Otto Torriero 28 - 29.Hallison Pontes 29 - 28.Joseph Terrell 28 - 29.</t>
  </si>
  <si>
    <t>http://ufcstats.com/fight-details/8ec7d82619bfb564</t>
  </si>
  <si>
    <t>Jan Blachowicz vs. Jacare Souza</t>
  </si>
  <si>
    <t>Chris Lee 47 - 48.Hallison Pontes 48 - 47.Sal D'amato 47 - 48.</t>
  </si>
  <si>
    <t>http://ufcstats.com/fight-details/c04274c8caa505dd</t>
  </si>
  <si>
    <t>Tanner Boser vs. Aleksa Camur</t>
  </si>
  <si>
    <t>Sal D'amato 27 - 30.Anthony Maness 27 - 30.Rick Winter 27 - 30.</t>
  </si>
  <si>
    <t>http://ufcstats.com/fight-details/2c0496a5f39ab8a4</t>
  </si>
  <si>
    <t>Zac Pauga vs. Modestas Bukauskas</t>
  </si>
  <si>
    <t>Anthony Maness 27 - 30.Derek Cleary 28 - 29.Sal D'amato 28 - 29.</t>
  </si>
  <si>
    <t>http://ufcstats.com/fight-details/8794031c523bf534</t>
  </si>
  <si>
    <t>Philipe Lins vs. Maxim Grishin</t>
  </si>
  <si>
    <t>Derek Cleary 28 - 29.Mike Bell 28 - 29.Adalaide Byrd 27 - 30.</t>
  </si>
  <si>
    <t>http://ufcstats.com/fight-details/99808befeece3a8a</t>
  </si>
  <si>
    <t>Anthony Smith vs. Johnny Walker</t>
  </si>
  <si>
    <t>Brian Puccillo 28 - 29.Mike Bell 27 - 30.Junichiro Kamijo 27 - 30.</t>
  </si>
  <si>
    <t>http://ufcstats.com/fight-details/c501576b8ec35758</t>
  </si>
  <si>
    <t>Dustin Jacoby vs. Azamat Murzakanov</t>
  </si>
  <si>
    <t>Sal D'amato 28 - 29.Brian Puccillo 28 - 29.Ross Swanberg 28 - 29.</t>
  </si>
  <si>
    <t>http://ufcstats.com/fight-details/792f139c2b9fd294</t>
  </si>
  <si>
    <t>Vitor Petrino vs. Anton Turkalj</t>
  </si>
  <si>
    <t>Bryan Miner 26 - 30.Eric Colon 27 - 30.Jacob Montalvo 27 - 30.</t>
  </si>
  <si>
    <t>http://ufcstats.com/fight-details/8d5b88e0ff253617</t>
  </si>
  <si>
    <t>Jordan Wright vs. Zac Pauga</t>
  </si>
  <si>
    <t>Derek Cleary 27 - 30.Sal D'amato 27 - 30.Eric Colon 28 - 29.</t>
  </si>
  <si>
    <t>http://ufcstats.com/fight-details/3f837b469ba33c7c</t>
  </si>
  <si>
    <t>William Knight vs. Marcin Prachnio</t>
  </si>
  <si>
    <t>http://ufcstats.com/fight-details/dc6f69f923744948</t>
  </si>
  <si>
    <t>Tyson Pedro vs. Modestas Bukauskas</t>
  </si>
  <si>
    <t>Evan Field 27 - 30.Barry Foley 28 - 29.Mick Meany 28 - 29.</t>
  </si>
  <si>
    <t>http://ufcstats.com/fight-details/ca2672e68fedf4b7</t>
  </si>
  <si>
    <t>Da Woon Jung vs. Devin Clark</t>
  </si>
  <si>
    <t>Eric Colon 27 - 30.Chris Lee 27 - 30.David Lethaby 27 - 30.</t>
  </si>
  <si>
    <t>http://ufcstats.com/fight-details/7a1abc0230af730c</t>
  </si>
  <si>
    <t>Volkan Oezdemir vs. Nikita Krylov</t>
  </si>
  <si>
    <t>David Lethaby 27 - 30.Anders Ohlsson 28 - 29.Vito Paolillo 28 - 29.</t>
  </si>
  <si>
    <t>http://ufcstats.com/fight-details/f4d8266a42a41dff</t>
  </si>
  <si>
    <t>Paul Craig vs. Volkan Oezdemir</t>
  </si>
  <si>
    <t>David Lethaby 27 - 30.Vito Paolillo 27 - 30.Cezary Wojciechowski 27 - 30.</t>
  </si>
  <si>
    <t>http://ufcstats.com/fight-details/47b1cd4e3e2595f8</t>
  </si>
  <si>
    <t>Marcin Prachnio vs. Philipe Lins</t>
  </si>
  <si>
    <t>Eric Colon 28 - 29.Chris Lee 28 - 29.Tony Weeks 28 - 29.</t>
  </si>
  <si>
    <t>http://ufcstats.com/fight-details/6a4ba72b084193b5</t>
  </si>
  <si>
    <t>Dustin Jacoby vs. Michal Oleksiejczuk</t>
  </si>
  <si>
    <t>Mike Bell 28 - 29.Eric Colon 28 - 29.Chris Lee 28 - 29.</t>
  </si>
  <si>
    <t>http://ufcstats.com/fight-details/d5323490163dde0e</t>
  </si>
  <si>
    <t>Carlos Ulberg vs. Fabio Cherant</t>
  </si>
  <si>
    <t>Sal D'amato 27 - 30.Ivan Guzman 27 - 30.Robert Alexander 27 - 30.</t>
  </si>
  <si>
    <t>http://ufcstats.com/fight-details/3bebd99d5f94bec7</t>
  </si>
  <si>
    <t>Alonzo Menifield vs. William Knight</t>
  </si>
  <si>
    <t>Derek Cleary 28 - 29.Junichiro Kamijo 28 - 29.Tony Weeks 28 - 29.</t>
  </si>
  <si>
    <t>http://ufcstats.com/fight-details/42b28adbed6966b7</t>
  </si>
  <si>
    <t>Dustin Jacoby vs. John Allan</t>
  </si>
  <si>
    <t>Dave Tirelli 28 - 29.Mike Bell 28 - 29.Doug Crosby 27 - 30.</t>
  </si>
  <si>
    <t>http://ufcstats.com/fight-details/88cc78d2d5d6bcaa</t>
  </si>
  <si>
    <t>Magomed Ankalaev vs. Volkan Oezdemir</t>
  </si>
  <si>
    <t>Darryl Ransom 27 - 30.Clemens Werner 27 - 30.Ben Cartlidge 28 - 29.</t>
  </si>
  <si>
    <t>http://ufcstats.com/fight-details/58b19ba734fe93a3</t>
  </si>
  <si>
    <t>Ion Cutelaba vs. Devin Clark</t>
  </si>
  <si>
    <t>Sal D'amato 26 - 30.Junichiro Kamijo 26 - 29.Tony Weeks 27 - 29.</t>
  </si>
  <si>
    <t>http://ufcstats.com/fight-details/4b5f9b7c31d1205d</t>
  </si>
  <si>
    <t>Mike Rodriguez vs. Tafon Nchukwi</t>
  </si>
  <si>
    <t>Chris Flores 27 - 30.Derek Cleary 27 - 30.Eric Colon 27 - 30.</t>
  </si>
  <si>
    <t>http://ufcstats.com/fight-details/d06495deb1ff1750</t>
  </si>
  <si>
    <t>Alonzo Menifield vs. Ed Herman</t>
  </si>
  <si>
    <t>Robert Alexander 27 - 30.Patrick Patlan 27 - 30.Joshua Ferraro 27 - 30.</t>
  </si>
  <si>
    <t>http://ufcstats.com/fight-details/dcd0793ff1a43b68</t>
  </si>
  <si>
    <t>Eryk Anders vs. Darren Stewart</t>
  </si>
  <si>
    <t>Chris Lee 28 - 29.Mike Bell 27 - 29.Chris Flores 27 - 29.</t>
  </si>
  <si>
    <t>http://ufcstats.com/fight-details/9127a6430e46292c</t>
  </si>
  <si>
    <t>Da-Un Jung vs. William Knight</t>
  </si>
  <si>
    <t>Sal D'amato 26 - 30.Rick Winter 26 - 30.Tony Weeks 27 - 30.</t>
  </si>
  <si>
    <t>http://ufcstats.com/fight-details/cd5d9828b278181a</t>
  </si>
  <si>
    <t>Thiago Santos vs. Aleksandar Rakic</t>
  </si>
  <si>
    <t>Eric Colon 28 - 29.Dave Hagen 28 - 29.Ron McCarthy 27 - 30.</t>
  </si>
  <si>
    <t>http://ufcstats.com/fight-details/04a788abbbd1f256</t>
  </si>
  <si>
    <t>Nikita Krylov vs. Magomed Ankalaev</t>
  </si>
  <si>
    <t>Mike Bell 28 - 29.Chris Lee 28 - 29.Ron McCarthy 28 - 29.</t>
  </si>
  <si>
    <t>http://ufcstats.com/fight-details/3a4e2dffcdd1c838</t>
  </si>
  <si>
    <t>Dustin Jacoby vs. Maxim Grishin</t>
  </si>
  <si>
    <t>Mike Bell 28 - 29.Sal D'amato 28 - 29.Tony Weeks 28 - 29.</t>
  </si>
  <si>
    <t>http://ufcstats.com/fight-details/bc86601cf781a89c</t>
  </si>
  <si>
    <t>Khalil Rountree Jr. vs. Marcin Prachnio</t>
  </si>
  <si>
    <t>Ben Cartlidge 28 - 29.Eric Colon 28 - 29.Anders Ohlsson 28 - 29.</t>
  </si>
  <si>
    <t>http://ufcstats.com/fight-details/c597fd8bb66d54d8</t>
  </si>
  <si>
    <t>William Knight vs. Aleksa Camur</t>
  </si>
  <si>
    <t>Mike Bell 28 - 29.Ahmed Korchi 27 - 30.Dave Tirelli 27 - 30.</t>
  </si>
  <si>
    <t>http://ufcstats.com/fight-details/5fb63c34935acce9</t>
  </si>
  <si>
    <t>Khadis Ibragimov vs. Danilo Marques</t>
  </si>
  <si>
    <t>Ahmed Korchi 28 - 29.Anders Ohlsson 28 - 29.Dave Tirelli 27 - 30.</t>
  </si>
  <si>
    <t>http://ufcstats.com/fight-details/e10481ee3fda7080</t>
  </si>
  <si>
    <t>Anthony Smith vs. Aleksandar Rakic</t>
  </si>
  <si>
    <t>Eric Colon 26 - 30.Sal D'amato 27 - 30.Chris Lee 27 - 30.</t>
  </si>
  <si>
    <t>http://ufcstats.com/fight-details/1ff4586752ee8a93</t>
  </si>
  <si>
    <t>Alonzo Menifield vs. Devin Clark</t>
  </si>
  <si>
    <t>Dave Hagen 27 - 30.Mike Bell 28 - 29.Junichiro Kamijo 28 - 29.</t>
  </si>
  <si>
    <t>http://ufcstats.com/fight-details/5fdf6611815efdfb</t>
  </si>
  <si>
    <t>Johnny Walker vs. Nikita Krylov</t>
  </si>
  <si>
    <t>Joseph Terrell 27 - 30.Sal D'amato 28 - 29.Mike Bell 28 - 29.</t>
  </si>
  <si>
    <t>http://ufcstats.com/fight-details/5bba49d88db7430f</t>
  </si>
  <si>
    <t>Devin Clark vs. Dequan Townsend</t>
  </si>
  <si>
    <t>Kenny Ortiz 27 - 30.Mark Sanchez 26 - 30.Glenn Trowbridge 26 - 30.</t>
  </si>
  <si>
    <t>http://ufcstats.com/fight-details/94c0819fde11364d</t>
  </si>
  <si>
    <t>Jamahal Hill vs. Darko Stosic</t>
  </si>
  <si>
    <t>Chris Lee 28 - 29.Tiffany Sorber 28 - 29.Tony Weeks 28 - 29.</t>
  </si>
  <si>
    <t>http://ufcstats.com/fight-details/6195d3e7c412c8a2</t>
  </si>
  <si>
    <t>Aleksa Camur vs. Justin Ledet</t>
  </si>
  <si>
    <t>Derek Cleary 28 - 29.Ron McCarthy 27 - 30.Tony Weeks 27 - 30.</t>
  </si>
  <si>
    <t>http://ufcstats.com/fight-details/6087c50c5f95a677</t>
  </si>
  <si>
    <t>Khadis Ibragimov vs. Ed Herman</t>
  </si>
  <si>
    <t>Lukasz Bosacki 27 - 30.Magomed Magomedov 27 - 30.Howard Hughes 28 - 29.</t>
  </si>
  <si>
    <t>http://ufcstats.com/fight-details/408fc024d3e91b0e</t>
  </si>
  <si>
    <t>Darko Stosic vs. Kennedy Nzechukwu</t>
  </si>
  <si>
    <t>Cardo Urso 26 - 29.Munah Holland 26 - 29.Jon Bilyk 27 - 28.</t>
  </si>
  <si>
    <t>http://ufcstats.com/fight-details/cd6b799ec79c489a</t>
  </si>
  <si>
    <t>Sam Alvey vs. Klidson Abreu</t>
  </si>
  <si>
    <t>Jennie Cardenas 27 - 30.Ruben Carrion 27 - 30.Perry Hillin 28 - 29.</t>
  </si>
  <si>
    <t>http://ufcstats.com/fight-details/f711b3ec6bc3c407</t>
  </si>
  <si>
    <t>Darko Stosic vs. Devin Clark</t>
  </si>
  <si>
    <t>David Lethaby 28 - 29.Mark Collett 28 - 29.Anders Ohlsson 28 - 29.</t>
  </si>
  <si>
    <t>http://ufcstats.com/fight-details/a072481f307dc8aa</t>
  </si>
  <si>
    <t>Eryk Anders vs. Khalil Rountree Jr.</t>
  </si>
  <si>
    <t>Nate Mann 26 - 30.Will Fisher 26 - 30.Sal D'amato 26 - 30.</t>
  </si>
  <si>
    <t>http://ufcstats.com/fight-details/e0d92694d8a2d38b</t>
  </si>
  <si>
    <t>Nicolae Negumereanu vs. Saparbeg Safarov</t>
  </si>
  <si>
    <t>Howard Hughes 26 - 29.Anders Ohlsson 26 - 29.Paul Sutherland 27 - 29.</t>
  </si>
  <si>
    <t>http://ufcstats.com/fight-details/6ada4f4286e4261d</t>
  </si>
  <si>
    <t>Magomed Ankalaev vs. Klidson Abreu</t>
  </si>
  <si>
    <t>Ben Cartlidge 27 - 30.Paul Sutherland 27 - 30.David Lethaby 28 - 29.</t>
  </si>
  <si>
    <t>http://ufcstats.com/fight-details/14c505d7ad55883c</t>
  </si>
  <si>
    <t>Ilir Latifi vs. Corey Anderson</t>
  </si>
  <si>
    <t>Derek Cleary 28 - 29.Wade Vierra 28 - 29.Junichiro Kamijo 28 - 29.</t>
  </si>
  <si>
    <t>http://ufcstats.com/fight-details/9ee818e10dcf3b45</t>
  </si>
  <si>
    <t>Hu Yaozong vs. Rashad Coulter</t>
  </si>
  <si>
    <t>Barry Foley 28 - 29.Mark Craig 28 - 29.Garth Harriman 27 - 30.</t>
  </si>
  <si>
    <t>http://ufcstats.com/fight-details/438fbdd4cf27e324</t>
  </si>
  <si>
    <t>Ovince Saint Preux vs. Dominick Reyes</t>
  </si>
  <si>
    <t>Derek Cleary 27 - 30.Sal D'amato 27 - 30.Glenn Trowbridge 27 - 30.</t>
  </si>
  <si>
    <t>http://ufcstats.com/fight-details/3c5442bb62ca1505</t>
  </si>
  <si>
    <t>Luis Henrique vs. Ryan Spann</t>
  </si>
  <si>
    <t>Chris Lee 27 - 30.Marcelo Vilhena 27 - 30.Hallison Pontes 28 - 29.</t>
  </si>
  <si>
    <t>http://ufcstats.com/fight-details/30eaf1650bc359b3</t>
  </si>
  <si>
    <t>Glover Teixeira vs. Corey Anderson</t>
  </si>
  <si>
    <t>Ben Cartlidge 27 - 30.Pawel Harasim 27 - 30.Howard Hughes 27 - 30.</t>
  </si>
  <si>
    <t>http://ufcstats.com/fight-details/e0e19f79019d63d2</t>
  </si>
  <si>
    <t>Justin Ledet vs. Aleksandar Rakic</t>
  </si>
  <si>
    <t>David Lethaby 25 - 30.Howard Hughes 24 - 30.Takeo Kobayashi 24 - 30.</t>
  </si>
  <si>
    <t>http://ufcstats.com/fight-details/afb0d61f22e85d90</t>
  </si>
  <si>
    <t>Corey Anderson vs. Patrick Cummins</t>
  </si>
  <si>
    <t>Jon Bilyk 26 - 30.Dominic Carolei 26 - 30.Cardo Urso 27 - 30.</t>
  </si>
  <si>
    <t>http://ufcstats.com/fight-details/a22add1024153ddb</t>
  </si>
  <si>
    <t>Devin Clark vs. Mike Rodriguez</t>
  </si>
  <si>
    <t>Glenn Trowbridge 28 - 29.Sal D'amato 27 - 30.Derek Cleary 27 - 30.</t>
  </si>
  <si>
    <t>http://ufcstats.com/fight-details/12563423bf15e75d</t>
  </si>
  <si>
    <t>Jimi Manuwa vs. Jan Blachowicz</t>
  </si>
  <si>
    <t>Howard Hughes 28 - 29.Maciej Motylewski 28 - 29.David Lethaby 27 - 30.</t>
  </si>
  <si>
    <t>http://ufcstats.com/fight-details/5f19b0135414b454</t>
  </si>
  <si>
    <t>Jared Cannonier vs. Jan Blachowicz</t>
  </si>
  <si>
    <t>Derek Cleary 28 - 29.Jason Rodgers 28 - 29.David Therien 28 - 29.</t>
  </si>
  <si>
    <t>http://ufcstats.com/fight-details/01619207a811ef01</t>
  </si>
  <si>
    <t>Jake Collier vs. Marcel Fortuna</t>
  </si>
  <si>
    <t>Giovanni Lemm 27 - 30.Ron Rodriquez 28 - 29.Brian Costello 28 - 29.</t>
  </si>
  <si>
    <t>http://ufcstats.com/fight-details/78e554aa129711ba</t>
  </si>
  <si>
    <t>Ilir Latifi vs. Tyson Pedro</t>
  </si>
  <si>
    <t>Tony Weeks 28 - 29.Jody Dorchester 28 - 29.Sal D'amato 27 - 30.</t>
  </si>
  <si>
    <t>http://ufcstats.com/fight-details/6afaf0ca45431a11</t>
  </si>
  <si>
    <t>Francimar Barroso vs. Aleksandar Rakic</t>
  </si>
  <si>
    <t>Ben Cartlidge 27 - 30.Takeo Kobayashi 27 - 30.Paul Sutherland 27 - 30.</t>
  </si>
  <si>
    <t>http://ufcstats.com/fight-details/89f83750703d5fd3</t>
  </si>
  <si>
    <t>Jordan Johnson vs. Marcel Fortuna</t>
  </si>
  <si>
    <t>Chris Lee 28 - 29.Marcos Rosales 28 - 29.Patricia Morse-Jarman 28 - 29.</t>
  </si>
  <si>
    <t>http://ufcstats.com/fight-details/3e5a3ecd2b123fc2</t>
  </si>
  <si>
    <t>Ed Herman vs. CB Dollaway</t>
  </si>
  <si>
    <t>Chris Lee 28 - 29.Jeff Mullen 27 - 29.Tony Weeks 27 - 29.</t>
  </si>
  <si>
    <t>http://ufcstats.com/fight-details/7f3bd3b913df61f4</t>
  </si>
  <si>
    <t>Devin Clark vs. Jake Collier</t>
  </si>
  <si>
    <t>Rob Francis 27 - 30.Cardo Urso 27 - 30.Sal D'amato 26 - 30.</t>
  </si>
  <si>
    <t>http://ufcstats.com/fight-details/4291b38643547fa7</t>
  </si>
  <si>
    <t>Patrick Cummins vs. Jan Blachowicz</t>
  </si>
  <si>
    <t>Derek Cleary 28 - 29.Sal D'amato 28 - 29.Doug Crosby 28 - 28.</t>
  </si>
  <si>
    <t>http://ufcstats.com/fight-details/e7ad1c3a763c7cae</t>
  </si>
  <si>
    <t>Darren Stewart vs. Francimar Barroso</t>
  </si>
  <si>
    <t>Mark Collett 28 - 29.Howard Hughes 28 - 29.Andy Roberts 28 - 29.</t>
  </si>
  <si>
    <t>http://ufcstats.com/fight-details/c365a488a8de3c89</t>
  </si>
  <si>
    <t>Glover Teixeira vs. Jared Cannonier</t>
  </si>
  <si>
    <t>Chris Lee 26 - 30.Sal D'amato 26 - 30.Derek Cleary 26 - 30.</t>
  </si>
  <si>
    <t>http://ufcstats.com/fight-details/244357514dd89bd6</t>
  </si>
  <si>
    <t>Henrique da Silva vs. Jordan Johnson</t>
  </si>
  <si>
    <t>Joe Garcia 27 - 30.Ron Mann 27 - 30.Ben Ramirez 27 - 30.</t>
  </si>
  <si>
    <t>http://ufcstats.com/fight-details/1cd0ce0e2312ad52</t>
  </si>
  <si>
    <t>Ion Cutelaba vs. Jared Cannonier</t>
  </si>
  <si>
    <t>Derek Cleary 28 - 29.Junichiro Kamijo 28 - 29.Marcos Rosales 28 - 29.</t>
  </si>
  <si>
    <t>http://ufcstats.com/fight-details/9cad47cdd6351e50</t>
  </si>
  <si>
    <t>Josh Stansbury vs. Devin Clark</t>
  </si>
  <si>
    <t>Tony Weeks 27 - 30.Patricia Morse-Jarman 27 - 30.Rick Winter 28 - 29.</t>
  </si>
  <si>
    <t>http://ufcstats.com/fight-details/fe132ef2ab8ae9d2</t>
  </si>
  <si>
    <t>Jonathan Wilson vs. Ion Cutelaba</t>
  </si>
  <si>
    <t>Rick Campos 27 - 30.Sal D'amato 27 - 30.Jeff Mullen 27 - 30.</t>
  </si>
  <si>
    <t>http://ufcstats.com/fight-details/1cca8ba792f1e1d9</t>
  </si>
  <si>
    <t>Alexander Gustafsson vs. Jan Blachowicz</t>
  </si>
  <si>
    <t>Howard Hughes 27 - 30.Paul Sutherland 27 - 30.Clemens Werner 27 - 30.</t>
  </si>
  <si>
    <t>http://ufcstats.com/fight-details/0549b655619774c5</t>
  </si>
  <si>
    <t>Daniel Cormier vs. Anderson Silva</t>
  </si>
  <si>
    <t>Sal D'amato 26 - 30.Derek Cleary 26 - 30.Glenn Trowbridge 26 - 30.</t>
  </si>
  <si>
    <t>http://ufcstats.com/fight-details/424221c96ee13ceb</t>
  </si>
  <si>
    <t>Steve Bosse vs. Sean O'Connell</t>
  </si>
  <si>
    <t>Chris Lee 28 - 29.David Therien 28 - 29.Sal D'amato 27 - 29.</t>
  </si>
  <si>
    <t>http://ufcstats.com/fight-details/ad61d042c43451a8</t>
  </si>
  <si>
    <t>Igor Pokrajac vs. Jan Blachowicz</t>
  </si>
  <si>
    <t>Ben Cartlidge 28 - 29.Mark Collett 28 - 29.Paul Sutherland 28 - 29.</t>
  </si>
  <si>
    <t>http://ufcstats.com/fight-details/26779cfb01372664</t>
  </si>
  <si>
    <t>Gian Villante vs. Ilir Latifi</t>
  </si>
  <si>
    <t>Derek Cleary 27 - 30.Sal D'amato 27 - 30.Tony Weeks 27 - 30.</t>
  </si>
  <si>
    <t>http://ufcstats.com/fight-details/17c598d7841daae0</t>
  </si>
  <si>
    <t>Corey Anderson vs. Tom Lawlor</t>
  </si>
  <si>
    <t>Chris Lee 27 - 30.Adalaide Byrd 27 - 30.Marcos Rosales 28 - 29.</t>
  </si>
  <si>
    <t>http://ufcstats.com/fight-details/0bdea30d7a7322f7</t>
  </si>
  <si>
    <t>Ovince Saint Preux vs. Rafael Cavalcante</t>
  </si>
  <si>
    <t>Sal D'amato 27 - 30.Tony Weeks 27 - 30.Glenn Trowbridge 28 - 29.</t>
  </si>
  <si>
    <t>http://ufcstats.com/fight-details/37008594c087470c</t>
  </si>
  <si>
    <t>Francimar Barroso vs. Elvis Mutapcic</t>
  </si>
  <si>
    <t>David Ginsberg 27 - 30.Sal D'amato 28 - 29.Chris Lee 27 - 30.</t>
  </si>
  <si>
    <t>http://ufcstats.com/fight-details/649b2db3709b07fe</t>
  </si>
  <si>
    <t>Fabio Maldonado vs. Corey Anderson</t>
  </si>
  <si>
    <t>Marco Borges 27 - 30.Chris Lee 27 - 30.Alessandro Vieira 27 - 30.</t>
  </si>
  <si>
    <t>http://ufcstats.com/fight-details/0339f66f18a3e0bf</t>
  </si>
  <si>
    <t>Ryan Bader vs. Rashad Evans</t>
  </si>
  <si>
    <t>Patrick Patlan 27 - 30.Joshua Ferraro 27 - 30.Frank Collazo 27 - 30.</t>
  </si>
  <si>
    <t>http://ufcstats.com/fight-details/e2e23aee91e27847</t>
  </si>
  <si>
    <t>Jan Blachowicz vs. Corey Anderson</t>
  </si>
  <si>
    <t>Sal D'amato 25 - 30.Patricia Morse-Jarman 25 - 30.Chris Lee 26 - 29.</t>
  </si>
  <si>
    <t>http://ufcstats.com/fight-details/7e1ae27779ac6ba5</t>
  </si>
  <si>
    <t>Richard Bertrand 28 - 29.Guilherme Bravo 28 - 29.Sal D'amato 28 - 29.</t>
  </si>
  <si>
    <t>http://ufcstats.com/fight-details/aa62b8f58fc09790</t>
  </si>
  <si>
    <t>Francimar Barroso vs. Ryan Jimmo</t>
  </si>
  <si>
    <t>Guilherme Bravo 27 - 30.Chris Lee 27 - 30.Joseph Terrell 28 - 29.</t>
  </si>
  <si>
    <t>http://ufcstats.com/fight-details/6a9ea8e420a52a21</t>
  </si>
  <si>
    <t>Sean Strickland vs. Nassourdine Imavov</t>
  </si>
  <si>
    <t>Derek Cleary 46 - 49.Sal D'amato 46 - 49.Mike Bell 47 - 48.</t>
  </si>
  <si>
    <t>http://ufcstats.com/fight-details/868c83e734dbbceb</t>
  </si>
  <si>
    <t>Thiago Santos vs. Magomed Ankalaev</t>
  </si>
  <si>
    <t>http://ufcstats.com/fight-details/8aa16cc1ba99aac1</t>
  </si>
  <si>
    <t>Paulo Costa vs. Marvin Vettori</t>
  </si>
  <si>
    <t>Junichiro Kamijo 46 - 48.Derek Cleary 46 - 48.Sal D'amato 46 - 48.</t>
  </si>
  <si>
    <t>http://ufcstats.com/fight-details/860be3cc82895177</t>
  </si>
  <si>
    <t>Thiago Santos vs. Johnny Walker</t>
  </si>
  <si>
    <t>Derek Cleary 47 - 48.Sal D'amato 47 - 48.Junichiro Kamijo 47 - 48.</t>
  </si>
  <si>
    <t>http://ufcstats.com/fight-details/37c484012ef24a5b</t>
  </si>
  <si>
    <t>Anthony Johnson vs. Glover Teixeira</t>
  </si>
  <si>
    <t>http://ufcstats.com/fight-details/c0329bd8d3b302c6</t>
  </si>
  <si>
    <t>Johnny Walker vs. Justin Ledet</t>
  </si>
  <si>
    <t>http://ufcstats.com/fight-details/44cfd4330eb6e2bf</t>
  </si>
  <si>
    <t>Ion Cutelaba vs. Henrique da Silva</t>
  </si>
  <si>
    <t>Mark Craig</t>
  </si>
  <si>
    <t>http://ufcstats.com/fight-details/4507354cd97f10e5</t>
  </si>
  <si>
    <t>Volkan Oezdemir vs. Misha Cirkunov</t>
  </si>
  <si>
    <t>http://ufcstats.com/fight-details/79be3a6d483ad64a</t>
  </si>
  <si>
    <t>Joachim Christensen vs. Dominick Reyes</t>
  </si>
  <si>
    <t>Gary Ritter</t>
  </si>
  <si>
    <t>http://ufcstats.com/fight-details/ae5c7517d9f2516c</t>
  </si>
  <si>
    <t>Ilir Latifi vs. Sean O'Connell</t>
  </si>
  <si>
    <t>http://ufcstats.com/fight-details/2e0493171c4ee80f</t>
  </si>
  <si>
    <t>Misha Cirkunov vs. Johnny Walker</t>
  </si>
  <si>
    <t>http://ufcstats.com/fight-details/7adaf85915993137</t>
  </si>
  <si>
    <t>Ion Cutelaba vs. Magomed Ankalaev</t>
  </si>
  <si>
    <t>http://ufcstats.com/fight-details/f5b49f4c5a27e53b</t>
  </si>
  <si>
    <t>Jimi Manuwa vs. Volkan Oezdemir</t>
  </si>
  <si>
    <t>http://ufcstats.com/fight-details/49694c2d00c581ed</t>
  </si>
  <si>
    <t>Gadzhimurad Antigulov vs. Michal Oleksiejczuk</t>
  </si>
  <si>
    <t>http://ufcstats.com/fight-details/56f984ac83fb34cc</t>
  </si>
  <si>
    <t>Jimi Manuwa vs. Aleksandar Rakic</t>
  </si>
  <si>
    <t>http://ufcstats.com/fight-details/138c8807fef52564</t>
  </si>
  <si>
    <t>Jimmy Crute vs. Jamahal Hill</t>
  </si>
  <si>
    <t>http://ufcstats.com/fight-details/b3847772199e2639</t>
  </si>
  <si>
    <t>Ovince Saint Preux vs. Philipe Lins</t>
  </si>
  <si>
    <t>http://ufcstats.com/fight-details/3d46d635f9ae5e68</t>
  </si>
  <si>
    <t>Chris Dempsey vs. Jonathan Wilson</t>
  </si>
  <si>
    <t>http://ufcstats.com/fight-details/b0c2442c5a7c509a</t>
  </si>
  <si>
    <t>Daniel Jolly vs. Khalil Rountree Jr.</t>
  </si>
  <si>
    <t>http://ufcstats.com/fight-details/f3bb58f485dc2008</t>
  </si>
  <si>
    <t>James Te Huna vs. Steve Bosse</t>
  </si>
  <si>
    <t>http://ufcstats.com/fight-details/cf13dd810b2bd061</t>
  </si>
  <si>
    <t>Rashad Evans vs. Anthony Smith</t>
  </si>
  <si>
    <t>http://ufcstats.com/fight-details/8f9b16f170dbdbb6</t>
  </si>
  <si>
    <t>Ilir Latifi vs. Hans Stringer</t>
  </si>
  <si>
    <t>http://ufcstats.com/fight-details/b0cb6a1da8e0da81</t>
  </si>
  <si>
    <t>Anthony Perosh vs. Sean O'Connell</t>
  </si>
  <si>
    <t>http://ufcstats.com/fight-details/0fa31c9f7495810b</t>
  </si>
  <si>
    <t>Da-Un Jung vs. Mike Rodriguez</t>
  </si>
  <si>
    <t>http://ufcstats.com/fight-details/47e49e04e32be7e9</t>
  </si>
  <si>
    <t>Tyson Pedro vs. Harry Hunsucker</t>
  </si>
  <si>
    <t>http://ufcstats.com/fight-details/5abcf9f282983acc</t>
  </si>
  <si>
    <t>Nikita Krylov vs. Alexander Gustafsson</t>
  </si>
  <si>
    <t>http://ufcstats.com/fight-details/1ff520024da5b3b2</t>
  </si>
  <si>
    <t>Misha Cirkunov vs. Ryan Spann</t>
  </si>
  <si>
    <t>http://ufcstats.com/fight-details/4944437e73071671</t>
  </si>
  <si>
    <t>Carlos Ulberg vs. Tafon Nchukwi</t>
  </si>
  <si>
    <t>http://ufcstats.com/fight-details/28be3fbe5c377380</t>
  </si>
  <si>
    <t>Nicolae Negumereanu vs. Ike Villanueva</t>
  </si>
  <si>
    <t>http://ufcstats.com/fight-details/e078d18fa9ed100d</t>
  </si>
  <si>
    <t>Eryk Anders vs. Vinicius Moreira</t>
  </si>
  <si>
    <t>Vance Swerdan</t>
  </si>
  <si>
    <t>http://ufcstats.com/fight-details/c0982b3919cc74f0</t>
  </si>
  <si>
    <t>Dominick Reyes vs. Ryan Spann</t>
  </si>
  <si>
    <t>http://ufcstats.com/fight-details/6f22afbc5f8e0bd3</t>
  </si>
  <si>
    <t>Josh Stansbury vs. Jeremy Kimball</t>
  </si>
  <si>
    <t>http://ufcstats.com/fight-details/aebdb007f8d1348a</t>
  </si>
  <si>
    <t>Dustin Jacoby vs. Kennedy Nzechukwu</t>
  </si>
  <si>
    <t>http://ufcstats.com/fight-details/2c54be25b09fce50</t>
  </si>
  <si>
    <t>Anthony Johnson vs. Ryan Bader</t>
  </si>
  <si>
    <t>http://ufcstats.com/fight-details/4c7390e4d169f6ff</t>
  </si>
  <si>
    <t>Misha Cirkunov vs. Alonzo Menifield</t>
  </si>
  <si>
    <t>http://ufcstats.com/fight-details/59695aae245cca73</t>
  </si>
  <si>
    <t>Mauricio Rua vs. Anthony Smith</t>
  </si>
  <si>
    <t>http://ufcstats.com/fight-details/62389e8fb68f93a4</t>
  </si>
  <si>
    <t>Gian Villante vs. Michal Oleksiejczuk</t>
  </si>
  <si>
    <t>http://ufcstats.com/fight-details/34c649f3f43a919b</t>
  </si>
  <si>
    <t>Gokhan Saki vs. Khalil Rountree Jr.</t>
  </si>
  <si>
    <t>http://ufcstats.com/fight-details/55bd050afe169b34</t>
  </si>
  <si>
    <t>Dominick Reyes vs. Chris Weidman</t>
  </si>
  <si>
    <t>http://ufcstats.com/fight-details/0d1d7cfb2a48d5ec</t>
  </si>
  <si>
    <t>Glover Teixeira vs. Rashad Evans</t>
  </si>
  <si>
    <t>http://ufcstats.com/fight-details/e5a88d0e816fd0f1</t>
  </si>
  <si>
    <t>Khalil Rountree Jr. vs. Johnny Walker</t>
  </si>
  <si>
    <t>http://ufcstats.com/fight-details/51ce499611a5df68</t>
  </si>
  <si>
    <t>Paul Craig vs. Jamahal Hill</t>
  </si>
  <si>
    <t>Punches to Head From Bottom Guard</t>
  </si>
  <si>
    <t>http://ufcstats.com/fight-details/4560734220b96851</t>
  </si>
  <si>
    <t>Jimmy Crute vs. Modestas Bukauskas</t>
  </si>
  <si>
    <t>http://ufcstats.com/fight-details/948da1b7ebbb06b3</t>
  </si>
  <si>
    <t>Tanner Boser vs. Ion Cutelaba</t>
  </si>
  <si>
    <t>http://ufcstats.com/fight-details/995e79b951da945b</t>
  </si>
  <si>
    <t>Corey Anderson vs. Johnny Walker</t>
  </si>
  <si>
    <t>http://ufcstats.com/fight-details/a2af14e9dba37b03</t>
  </si>
  <si>
    <t>Rogerio Nogueira vs. Ryan Spann</t>
  </si>
  <si>
    <t>http://ufcstats.com/fight-details/413a4c217ee0193f</t>
  </si>
  <si>
    <t>Carlos Ulberg vs. Ihor Potieria</t>
  </si>
  <si>
    <t>http://ufcstats.com/fight-details/dae2484418631ff5</t>
  </si>
  <si>
    <t>Tyson Pedro vs. Anton Turkalj</t>
  </si>
  <si>
    <t>http://ufcstats.com/fight-details/3e1c27f17433f9e4</t>
  </si>
  <si>
    <t>Paul Craig vs. Johnny Walker</t>
  </si>
  <si>
    <t>http://ufcstats.com/fight-details/2d1ac675e6c1e6ea</t>
  </si>
  <si>
    <t>Marcin Prachnio vs. Mike Rodriguez</t>
  </si>
  <si>
    <t>http://ufcstats.com/fight-details/5d9a3bfdcd28abb8</t>
  </si>
  <si>
    <t>Marcos Rogerio de Lima vs. Jeremy Kimball</t>
  </si>
  <si>
    <t>http://ufcstats.com/fight-details/99373dc33dfbf6e0</t>
  </si>
  <si>
    <t>Ion Cutelaba vs. Khalil Rountree Jr.</t>
  </si>
  <si>
    <t>http://ufcstats.com/fight-details/b44531903be4729a</t>
  </si>
  <si>
    <t>Dustin Jacoby vs. Justin Ledet</t>
  </si>
  <si>
    <t>http://ufcstats.com/fight-details/783761d95060ffc4</t>
  </si>
  <si>
    <t>Khalil Rountree Jr. vs. Chris Daukaus</t>
  </si>
  <si>
    <t>http://ufcstats.com/fight-details/c57a4810c932b296</t>
  </si>
  <si>
    <t>Johnny Walker vs. Ryan Spann</t>
  </si>
  <si>
    <t>http://ufcstats.com/fight-details/1a484c452623181e</t>
  </si>
  <si>
    <t>Glover Teixeira vs. Misha Cirkunov</t>
  </si>
  <si>
    <t>http://ufcstats.com/fight-details/e83046dd074ec0fa</t>
  </si>
  <si>
    <t>Jimmy Crute vs. Sam Alvey</t>
  </si>
  <si>
    <t>http://ufcstats.com/fight-details/e4862c4f20117cb8</t>
  </si>
  <si>
    <t>Johnny Walker vs. Jamahal Hill</t>
  </si>
  <si>
    <t>http://ufcstats.com/fight-details/f7865e5a6d009a87</t>
  </si>
  <si>
    <t>Jared Cannonier vs. Dominick Reyes</t>
  </si>
  <si>
    <t>http://ufcstats.com/fight-details/1290d7eb0fefd3f3</t>
  </si>
  <si>
    <t>Anthony Perosh vs. Gian Villante</t>
  </si>
  <si>
    <t>http://ufcstats.com/fight-details/1dfbdd569585812f</t>
  </si>
  <si>
    <t>Jailton Almeida vs. Danilo Marques</t>
  </si>
  <si>
    <t>http://ufcstats.com/fight-details/e82f15afac3dac93</t>
  </si>
  <si>
    <t>Adam Milstead vs. Mike Rodriguez</t>
  </si>
  <si>
    <t>Knee to Body At Distance</t>
  </si>
  <si>
    <t>http://ufcstats.com/fight-details/05f1e8ff81dbe05b</t>
  </si>
  <si>
    <t>Kennedy Nzechukwu vs. Da-Un Jung</t>
  </si>
  <si>
    <t>http://ufcstats.com/fight-details/81bb4d9b214adf4b</t>
  </si>
  <si>
    <t>Dustin Jacoby vs. Darren Stewart</t>
  </si>
  <si>
    <t>http://ufcstats.com/fight-details/0f3a91caeaa55094</t>
  </si>
  <si>
    <t>Jimi Manuwa vs. Corey Anderson</t>
  </si>
  <si>
    <t>http://ufcstats.com/fight-details/00be3852000f8fe9</t>
  </si>
  <si>
    <t>Corey Anderson vs. Jan Blachowicz</t>
  </si>
  <si>
    <t>http://ufcstats.com/fight-details/801b3f24c670f19a</t>
  </si>
  <si>
    <t>Magomed Ankalaev vs. Marcin Prachnio</t>
  </si>
  <si>
    <t>http://ufcstats.com/fight-details/1687e2cd061b7aec</t>
  </si>
  <si>
    <t>Dustin Jacoby vs. Da Woon Jung</t>
  </si>
  <si>
    <t>http://ufcstats.com/fight-details/a5d2f0fed3ce2899</t>
  </si>
  <si>
    <t>Jeremy Kimball vs. Darko Stosic</t>
  </si>
  <si>
    <t>http://ufcstats.com/fight-details/981ed463bf5d91a8</t>
  </si>
  <si>
    <t>Alonzo Menifield vs. Paul Craig</t>
  </si>
  <si>
    <t>http://ufcstats.com/fight-details/c770192a9f3261cd</t>
  </si>
  <si>
    <t>Shamil Gamzatov vs. Michal Oleksiejczuk</t>
  </si>
  <si>
    <t>http://ufcstats.com/fight-details/92c49cb075f612d7</t>
  </si>
  <si>
    <t>Patrick Cummins vs. Ed Herman</t>
  </si>
  <si>
    <t>http://ufcstats.com/fight-details/f27e8d63f526d326</t>
  </si>
  <si>
    <t>Carlos Ulberg vs. Nicolae Negumereanu</t>
  </si>
  <si>
    <t>http://ufcstats.com/fight-details/db026ff6eee4d174</t>
  </si>
  <si>
    <t>Alonzo Menifield vs. Vinicius Moreira</t>
  </si>
  <si>
    <t>http://ufcstats.com/fight-details/8a9c8f1d53d8c664</t>
  </si>
  <si>
    <t>William Knight vs. Fabio Cherant</t>
  </si>
  <si>
    <t>http://ufcstats.com/fight-details/5e2ce5aa3a92c2df</t>
  </si>
  <si>
    <t>Mauricio Rua vs. Ihor Potieria</t>
  </si>
  <si>
    <t>http://ufcstats.com/fight-details/a3ef3d05ddd80a94</t>
  </si>
  <si>
    <t>Devin Clark vs. Aleksandar Rakic</t>
  </si>
  <si>
    <t>http://ufcstats.com/fight-details/19d1ae54681bc722</t>
  </si>
  <si>
    <t>Tyson Pedro vs. Paul Craig</t>
  </si>
  <si>
    <t>http://ufcstats.com/fight-details/6db4d7827082d5b9</t>
  </si>
  <si>
    <t>Roman Dolidze vs. Khadis Ibragimov</t>
  </si>
  <si>
    <t>http://ufcstats.com/fight-details/e5a9f75b1117d848</t>
  </si>
  <si>
    <t>Magomed Ankalaev vs. Ion Cutelaba</t>
  </si>
  <si>
    <t>http://ufcstats.com/fight-details/eedcb6c5d163e581</t>
  </si>
  <si>
    <t>Sam Alvey vs. Marcin Prachnio</t>
  </si>
  <si>
    <t>http://ufcstats.com/fight-details/04970dfa4d531e39</t>
  </si>
  <si>
    <t>Gadzhimurad Antigulov vs. Ion Cutelaba</t>
  </si>
  <si>
    <t>http://ufcstats.com/fight-details/95f37dc43e808ebf</t>
  </si>
  <si>
    <t>Alonzo Menifield vs. Askar Mozharov</t>
  </si>
  <si>
    <t>http://ufcstats.com/fight-details/93969a7368dc2e14</t>
  </si>
  <si>
    <t>Gokhan Saki vs. Henrique da Silva</t>
  </si>
  <si>
    <t>http://ufcstats.com/fight-details/690ab86bdd94149b</t>
  </si>
  <si>
    <t>Misha Cirkunov vs. Daniel Jolly</t>
  </si>
  <si>
    <t>http://ufcstats.com/fight-details/22e5596f75d9d8e7</t>
  </si>
  <si>
    <t>Rogerio Nogueira vs. Patrick Cummins</t>
  </si>
  <si>
    <t>http://ufcstats.com/fight-details/375c2ecb6fe54cc6</t>
  </si>
  <si>
    <t>Ovince Saint Preux vs. Patrick Cummins</t>
  </si>
  <si>
    <t>Punch to In Clinch</t>
  </si>
  <si>
    <t>http://ufcstats.com/fight-details/c19f394f3c237789</t>
  </si>
  <si>
    <t>Tyson Pedro vs. Ike Villanueva</t>
  </si>
  <si>
    <t>http://ufcstats.com/fight-details/e8c57c6259193466</t>
  </si>
  <si>
    <t>Khalil Rountree Jr. vs. Paul Craig</t>
  </si>
  <si>
    <t>http://ufcstats.com/fight-details/0f8b2f7299b5e114</t>
  </si>
  <si>
    <t>Modestas Bukauskas vs. Andreas Michailidis</t>
  </si>
  <si>
    <t>toReferee Stoppage Between Rounds</t>
  </si>
  <si>
    <t>http://ufcstats.com/fight-details/0e969ae805006d1f</t>
  </si>
  <si>
    <t>Khalil Rountree Jr. vs. Karl Roberson</t>
  </si>
  <si>
    <t>http://ufcstats.com/fight-details/23eec2d9cb2d78cd</t>
  </si>
  <si>
    <t>Gian Villante vs. Tom Lawlor</t>
  </si>
  <si>
    <t>http://ufcstats.com/fight-details/cd55220a7b1378c4</t>
  </si>
  <si>
    <t>Anthony Johnson vs. Jimi Manuwa</t>
  </si>
  <si>
    <t>http://ufcstats.com/fight-details/e0f8e1e8cbdd63da</t>
  </si>
  <si>
    <t>Ike Villanueva vs. Vinicius Moreira</t>
  </si>
  <si>
    <t>http://ufcstats.com/fight-details/4f6d3cdf2c77fb57</t>
  </si>
  <si>
    <t>Nikita Krylov vs. Ed Herman</t>
  </si>
  <si>
    <t>http://ufcstats.com/fight-details/ae6fb7829db7ecc7</t>
  </si>
  <si>
    <t>Jimi Manuwa vs. Thiago Santos</t>
  </si>
  <si>
    <t>http://ufcstats.com/fight-details/37a7dc68f3a0e65d</t>
  </si>
  <si>
    <t>Volkan Oezdemir vs. Jiri Prochazka</t>
  </si>
  <si>
    <t>http://ufcstats.com/fight-details/cd8cdb539deaa47f</t>
  </si>
  <si>
    <t>Marcin Prachnio vs. Ike Villanueva</t>
  </si>
  <si>
    <t>http://ufcstats.com/fight-details/d988760df61f027c</t>
  </si>
  <si>
    <t>Sam Alvey vs. Rogerio Nogueira</t>
  </si>
  <si>
    <t>http://ufcstats.com/fight-details/1669773acd404217</t>
  </si>
  <si>
    <t>Kennedy Nzechukwu vs. Ion Cutelaba</t>
  </si>
  <si>
    <t>http://ufcstats.com/fight-details/c33257dd0605c7de</t>
  </si>
  <si>
    <t>http://ufcstats.com/fight-details/6532b71560ae39e0</t>
  </si>
  <si>
    <t>Glover Teixeira vs. Patrick Cummins</t>
  </si>
  <si>
    <t>http://ufcstats.com/fight-details/2be2c9ddfbee0cd4</t>
  </si>
  <si>
    <t>Jan Blachowicz vs. Luke Rockhold</t>
  </si>
  <si>
    <t>http://ufcstats.com/fight-details/531d9676d767da66</t>
  </si>
  <si>
    <t>Tim Boetsch vs. Ed Herman</t>
  </si>
  <si>
    <t>http://ufcstats.com/fight-details/f8ad660497e49187</t>
  </si>
  <si>
    <t>Ryan Bader vs. Ilir Latifi</t>
  </si>
  <si>
    <t>http://ufcstats.com/fight-details/5237736e6b37c609</t>
  </si>
  <si>
    <t>Modestas Bukauskas vs. Khalil Rountree Jr.</t>
  </si>
  <si>
    <t>Kick to Leg At DistanceSide kick</t>
  </si>
  <si>
    <t>http://ufcstats.com/fight-details/ad81be01a461c936</t>
  </si>
  <si>
    <t>Bojan Mihajlovic vs. Abdul-Kerim Edilov</t>
  </si>
  <si>
    <t>http://ufcstats.com/fight-details/af5f287198f20eb4</t>
  </si>
  <si>
    <t>Corey Anderson vs. Sean O'Connell</t>
  </si>
  <si>
    <t>http://ufcstats.com/fight-details/14e7bb7a9d49450d</t>
  </si>
  <si>
    <t>Ovince Saint Preux vs. Jimi Manuwa</t>
  </si>
  <si>
    <t>http://ufcstats.com/fight-details/451d7d8c2a6bacb3</t>
  </si>
  <si>
    <t>Trevin Giles vs. James Bochnovic</t>
  </si>
  <si>
    <t>Punch to Head From Mount</t>
  </si>
  <si>
    <t>http://ufcstats.com/fight-details/e1100fc357e61fba</t>
  </si>
  <si>
    <t>Gian Villante vs. Saparbeg Safarov</t>
  </si>
  <si>
    <t>http://ufcstats.com/fight-details/25cd989ac5569629</t>
  </si>
  <si>
    <t>Magomed Ankalaev vs. Anthony Smith</t>
  </si>
  <si>
    <t>http://ufcstats.com/fight-details/058c2724dec1add1</t>
  </si>
  <si>
    <t>Kennedy Nzechukwu vs. Carlos Ulberg</t>
  </si>
  <si>
    <t>http://ufcstats.com/fight-details/d170f6580e1c244f</t>
  </si>
  <si>
    <t>Nicolae Negumereanu vs. Ihor Potieria</t>
  </si>
  <si>
    <t>http://ufcstats.com/fight-details/1ed550f094ca7745</t>
  </si>
  <si>
    <t>http://ufcstats.com/fight-details/1671723154d8e324</t>
  </si>
  <si>
    <t>Ovince Saint Preux vs. Jamahal Hill</t>
  </si>
  <si>
    <t>http://ufcstats.com/fight-details/8d4a475e48722fea</t>
  </si>
  <si>
    <t>Ovince Saint Preux vs. Alonzo Menifield</t>
  </si>
  <si>
    <t>http://ufcstats.com/fight-details/0e809b7e37681783</t>
  </si>
  <si>
    <t>Jonathan Wilson vs. Henrique da Silva</t>
  </si>
  <si>
    <t>http://ufcstats.com/fight-details/5e794b8ef52c88cb</t>
  </si>
  <si>
    <t>Dominick Reyes vs. Jiri Prochazka</t>
  </si>
  <si>
    <t>http://ufcstats.com/fight-details/394802bb096b403e</t>
  </si>
  <si>
    <t>Volkan Oezdemir vs. Ilir Latifi</t>
  </si>
  <si>
    <t>http://ufcstats.com/fight-details/f7cce33f6563dd72</t>
  </si>
  <si>
    <t>Gadzhimurad Antigulov vs. Maxim Grishin</t>
  </si>
  <si>
    <t>http://ufcstats.com/fight-details/b3e12698e65cf8d0</t>
  </si>
  <si>
    <t>Kennedy Nzechukwu vs. Danilo Marques</t>
  </si>
  <si>
    <t>http://ufcstats.com/fight-details/85099c6378ff87c5</t>
  </si>
  <si>
    <t>Magomed Ankalaev vs. Dalcha Lungiambula</t>
  </si>
  <si>
    <t>http://ufcstats.com/fight-details/343749a2f7c5d78b</t>
  </si>
  <si>
    <t>Jan Blachowicz vs. Thiago Santos</t>
  </si>
  <si>
    <t>http://ufcstats.com/fight-details/cb010b41cd20a1ed</t>
  </si>
  <si>
    <t>Dalcha Lungiambula vs. Dequan Townsend</t>
  </si>
  <si>
    <t>http://ufcstats.com/fight-details/7ce7075951c9aa31</t>
  </si>
  <si>
    <t>Mauricio Rua vs. Tyson Pedro</t>
  </si>
  <si>
    <t>http://ufcstats.com/fight-details/20063242f6e40d31</t>
  </si>
  <si>
    <t>Tafon Nchukwi vs. Azamat Murzakanov</t>
  </si>
  <si>
    <t>http://ufcstats.com/fight-details/f10c2c84652ef573</t>
  </si>
  <si>
    <t>Rafael Cavalcante vs. Patrick Cummins</t>
  </si>
  <si>
    <t>http://ufcstats.com/fight-details/2116affb9c8f193b</t>
  </si>
  <si>
    <t>Mauricio Rua vs. Gian Villante</t>
  </si>
  <si>
    <t>http://ufcstats.com/fight-details/34524408fb4d6752</t>
  </si>
  <si>
    <t>Jan Blachowicz vs. Aleksandar Rakic</t>
  </si>
  <si>
    <t>toInjury</t>
  </si>
  <si>
    <t>http://ufcstats.com/fight-details/5c281439d20184f1</t>
  </si>
  <si>
    <t>Devin Clark vs. Azamat Murzakanov</t>
  </si>
  <si>
    <t>http://ufcstats.com/fight-details/d19e010f071a4b45</t>
  </si>
  <si>
    <t>Ovince Saint Preux vs. Corey Anderson</t>
  </si>
  <si>
    <t>http://ufcstats.com/fight-details/5cab50839f4a0d94</t>
  </si>
  <si>
    <t>Bojan Mihajlovic vs. Joachim Christensen</t>
  </si>
  <si>
    <t>http://ufcstats.com/fight-details/ae803440d778a12b</t>
  </si>
  <si>
    <t>Jared Cannonier vs. Nick Roehrick</t>
  </si>
  <si>
    <t>http://ufcstats.com/fight-details/e97b609eefc5fd61</t>
  </si>
  <si>
    <t>Kennedy Nzechukwu vs. Karl Roberson</t>
  </si>
  <si>
    <t>http://ufcstats.com/fight-details/478bc7d1288e043e</t>
  </si>
  <si>
    <t>Ryan Bader vs. Rogerio Nogueira</t>
  </si>
  <si>
    <t>http://ufcstats.com/fight-details/106088694fa0c682</t>
  </si>
  <si>
    <t>Zak Cummings vs. Ed Herman</t>
  </si>
  <si>
    <t>Dwayne Bess</t>
  </si>
  <si>
    <t>http://ufcstats.com/fight-details/50e675146cda6e7c</t>
  </si>
  <si>
    <t>Corey Anderson vs. Gian Villante</t>
  </si>
  <si>
    <t>http://ufcstats.com/fight-details/6b92396d42918366</t>
  </si>
  <si>
    <t>Thiago Santos vs. Eryk Anders</t>
  </si>
  <si>
    <t>to</t>
  </si>
  <si>
    <t>http://ufcstats.com/fight-details/7cdda45e7d52bf40</t>
  </si>
  <si>
    <t>Thiago Santos vs. Jamahal Hill</t>
  </si>
  <si>
    <t>http://ufcstats.com/fight-details/a8bc6e005077bb0b</t>
  </si>
  <si>
    <t>Anthony Smith vs. Glover Teixeira</t>
  </si>
  <si>
    <t>http://ufcstats.com/fight-details/8539c4b795d33a92</t>
  </si>
  <si>
    <t>Alexander Gustafsson vs. Glover Teixeira</t>
  </si>
  <si>
    <t>http://ufcstats.com/fight-details/923d5041c3b6d763</t>
  </si>
  <si>
    <t>Francimar Barroso vs. Darren Stewart</t>
  </si>
  <si>
    <t>Head Butt by Stewart</t>
  </si>
  <si>
    <t>http://ufcstats.com/fight-details/934c967872f28b13</t>
  </si>
  <si>
    <t>Jamahal Hill vs. Klidson Abreu</t>
  </si>
  <si>
    <t>Failed Drug Test by Hill</t>
  </si>
  <si>
    <t>http://ufcstats.com/fight-details/0fcf42b68f2f0fa3</t>
  </si>
  <si>
    <t>Mike Rodriguez vs. John Allan</t>
  </si>
  <si>
    <t>Failed Drug Test by AllanWade Vierra 28 - 29.Marcos Rosales 28 - 29.Ron McCarthy 27 - 30.</t>
  </si>
  <si>
    <t>http://ufcstats.com/fight-details/aa6a9aeeb45577d4</t>
  </si>
  <si>
    <t>Khalil Rountree Jr. vs. Michal Oleksiejczuk</t>
  </si>
  <si>
    <t>Failed Drug Test by OleksiejczukJunichiro Kamijo 27 - 30.Tony Weeks 27 - 30.Marcos Rosales 27 - 30.</t>
  </si>
  <si>
    <t>http://ufcstats.com/fight-details/e3a2bf2d9ee83318</t>
  </si>
  <si>
    <t>Marcos Rogerio de Lima vs. Gadzhimurad Antigulov</t>
  </si>
  <si>
    <t>http://ufcstats.com/fight-details/a5e240bcd7731725</t>
  </si>
  <si>
    <t>Alonzo Menifield vs. Fabio Cherant</t>
  </si>
  <si>
    <t>Von Flue Choke From Side Control</t>
  </si>
  <si>
    <t>http://ufcstats.com/fight-details/48292a027df02443</t>
  </si>
  <si>
    <t>Ovince Saint Preux vs. Yushin Okami</t>
  </si>
  <si>
    <t>Von Flue Choke From Half GuardTechnical Submission</t>
  </si>
  <si>
    <t>http://ufcstats.com/fight-details/d1bee15e60ee6721</t>
  </si>
  <si>
    <t>Paul Craig vs. Gadzhimurad Antigulov</t>
  </si>
  <si>
    <t>http://ufcstats.com/fight-details/74dae3d87a99cf5d</t>
  </si>
  <si>
    <t>Joachim Christensen vs. Gadzhimurad Antigulov</t>
  </si>
  <si>
    <t>Don Turnage</t>
  </si>
  <si>
    <t>http://ufcstats.com/fight-details/14dbcdbe8e7251bf</t>
  </si>
  <si>
    <t>Ryan Spann vs. Ion Cutelaba</t>
  </si>
  <si>
    <t>http://ufcstats.com/fight-details/2fa88b72973478b6</t>
  </si>
  <si>
    <t>Marcos Rogerio de Lima vs. Nikita Krylov</t>
  </si>
  <si>
    <t>http://ufcstats.com/fight-details/21d6db22c6089308</t>
  </si>
  <si>
    <t>Anthony Smith vs. Devin Clark</t>
  </si>
  <si>
    <t>http://ufcstats.com/fight-details/09a29fb09fe07559</t>
  </si>
  <si>
    <t>Misha Cirkunov vs. Patrick Cummins</t>
  </si>
  <si>
    <t>http://ufcstats.com/fight-details/a9a770bac1261af9</t>
  </si>
  <si>
    <t>Ovince Saint Preux vs. Tyson Pedro</t>
  </si>
  <si>
    <t>Armbar From Half Guard</t>
  </si>
  <si>
    <t>http://ufcstats.com/fight-details/bb4755924dfafaea</t>
  </si>
  <si>
    <t>Vinicius Moreira vs. Paul Craig</t>
  </si>
  <si>
    <t>http://ufcstats.com/fight-details/8cf6b22995c9efb8</t>
  </si>
  <si>
    <t>Glover Teixeira vs. Karl Roberson</t>
  </si>
  <si>
    <t>http://ufcstats.com/fight-details/5d1f24e034772338</t>
  </si>
  <si>
    <t>Jimmy Crute vs. Michal Oleksiejczuk</t>
  </si>
  <si>
    <t>http://ufcstats.com/fight-details/2b417eb1ffa56ac1</t>
  </si>
  <si>
    <t>Misha Cirkunov vs. Jimmy Crute</t>
  </si>
  <si>
    <t>Peruvian Necktie On Ground</t>
  </si>
  <si>
    <t>http://ufcstats.com/fight-details/92b98afec5eb4e05</t>
  </si>
  <si>
    <t>Jeremy Kimball vs. Dominick Reyes</t>
  </si>
  <si>
    <t>http://ufcstats.com/fight-details/a3b7cbdb6d2607f4</t>
  </si>
  <si>
    <t>Volkan Oezdemir vs. Bogdan Guskov</t>
  </si>
  <si>
    <t>http://ufcstats.com/fight-details/5098d052525da54f</t>
  </si>
  <si>
    <t>Anthony Smith vs. Ryan Spann</t>
  </si>
  <si>
    <t>http://ufcstats.com/fight-details/d1621b3da377f34b</t>
  </si>
  <si>
    <t>Ovince Saint Preux vs. Ilir Latifi</t>
  </si>
  <si>
    <t>http://ufcstats.com/fight-details/9c79433a4686f3fc</t>
  </si>
  <si>
    <t>Tyson Pedro vs. Saparbeg Safarov</t>
  </si>
  <si>
    <t>Kimura On Ground</t>
  </si>
  <si>
    <t>http://ufcstats.com/fight-details/b6e086dd8093355d</t>
  </si>
  <si>
    <t>Nikita Krylov vs. Paul Craig</t>
  </si>
  <si>
    <t>http://ufcstats.com/fight-details/766b4f5e77ab0860</t>
  </si>
  <si>
    <t>Khalil Rountree Jr. vs. Tyson Pedro</t>
  </si>
  <si>
    <t>http://ufcstats.com/fight-details/d1c519260c0ddf3a</t>
  </si>
  <si>
    <t>Marcos Rogerio de Lima vs. Clint Hester</t>
  </si>
  <si>
    <t>http://ufcstats.com/fight-details/c7e084949531a443</t>
  </si>
  <si>
    <t>Johnny Walker vs. Ion Cutelaba</t>
  </si>
  <si>
    <t>http://ufcstats.com/fight-details/d869eaea38426f06</t>
  </si>
  <si>
    <t>Nikita Krylov vs. Misha Cirkunov</t>
  </si>
  <si>
    <t>http://ufcstats.com/fight-details/0af90a49f0ca1879</t>
  </si>
  <si>
    <t>Misha Cirkunov vs. Alex Nicholson</t>
  </si>
  <si>
    <t>http://ufcstats.com/fight-details/45500515780758f0</t>
  </si>
  <si>
    <t>http://ufcstats.com/fight-details/6ef12db5b099ec81</t>
  </si>
  <si>
    <t>Henrique da Silva vs. Paul Craig</t>
  </si>
  <si>
    <t>http://ufcstats.com/fight-details/01f396a7372dc8ff</t>
  </si>
  <si>
    <t>Ryan Spann vs. Devin Clark</t>
  </si>
  <si>
    <t>http://ufcstats.com/fight-details/25548d526c3a7587</t>
  </si>
  <si>
    <t>Sam Alvey vs. Brendan Allen</t>
  </si>
  <si>
    <t>http://ufcstats.com/fight-details/0730c4e6fb247fa1</t>
  </si>
  <si>
    <t>Ovince Saint Preux vs. Marcos Rogerio de Lima</t>
  </si>
  <si>
    <t>Von Flue Choke From Half Guard</t>
  </si>
  <si>
    <t>http://ufcstats.com/fight-details/53c96668bf850809</t>
  </si>
  <si>
    <t>Kennedy Nzechukwu vs. Devin Clark</t>
  </si>
  <si>
    <t>http://ufcstats.com/fight-details/c3ca708aaf4262a7</t>
  </si>
  <si>
    <t>Ovince Saint Preux vs. Nikita Krylov</t>
  </si>
  <si>
    <t>http://ufcstats.com/fight-details/d22c19fd92426567</t>
  </si>
  <si>
    <t>Jan Blachowicz vs. Nikita Krylov</t>
  </si>
  <si>
    <t>Arm Triangle From Back Control</t>
  </si>
  <si>
    <t>http://ufcstats.com/fight-details/880f2bb0a639a5a0</t>
  </si>
  <si>
    <t>Michal Oleksiejczuk vs. Ovince Saint Preux</t>
  </si>
  <si>
    <t>http://ufcstats.com/fight-details/b6dad3a9bf911bfd</t>
  </si>
  <si>
    <t>Jan Blachowicz vs. Devin Clark</t>
  </si>
  <si>
    <t>http://ufcstats.com/fight-details/6a315ef5bf22af29</t>
  </si>
  <si>
    <t>Nikita Krylov vs. Francimar Barroso</t>
  </si>
  <si>
    <t>http://ufcstats.com/fight-details/61f80a1732d37288</t>
  </si>
  <si>
    <t>Glover Teixeira vs. Ion Cutelaba</t>
  </si>
  <si>
    <t>Alan Abeles</t>
  </si>
  <si>
    <t>http://ufcstats.com/fight-details/bda97d9a44a89d52</t>
  </si>
  <si>
    <t>Henrique da Silva vs. Joachim Christensen</t>
  </si>
  <si>
    <t>http://ufcstats.com/fight-details/a27a9b7b8194e8fc</t>
  </si>
  <si>
    <t>Mike Rodriguez vs. Danilo Marques</t>
  </si>
  <si>
    <t>http://ufcstats.com/fight-details/af8ea6db042674ef</t>
  </si>
  <si>
    <t>Misha Cirkunov vs. Ion Cutelaba</t>
  </si>
  <si>
    <t>http://ufcstats.com/fight-details/911e151d1907197d</t>
  </si>
  <si>
    <t>Thiago Santos vs. Glover Teixeira</t>
  </si>
  <si>
    <t>http://ufcstats.com/fight-details/923e151bd990961b</t>
  </si>
  <si>
    <t>Da-Un Jung vs. Khadis Ibragimov</t>
  </si>
  <si>
    <t>http://ufcstats.com/fight-details/5ff390f7bbf2bec8</t>
  </si>
  <si>
    <t>Ed Herman vs. Mike Rodriguez</t>
  </si>
  <si>
    <t>Kimura From Bottom Half Guard</t>
  </si>
  <si>
    <t>http://ufcstats.com/fight-details/3901d9cdbb0949bc</t>
  </si>
  <si>
    <t>Glover Teixeira vs. Ovince Saint Preux</t>
  </si>
  <si>
    <t>http://ufcstats.com/fight-details/2ef16a5ff3710c92</t>
  </si>
  <si>
    <t>Vitor Petrino vs. Marcin Prachnio</t>
  </si>
  <si>
    <t>http://ufcstats.com/fight-details/69f67a4a690eb15d</t>
  </si>
  <si>
    <t>Kennedy Nzechukwu vs. Paul Craig</t>
  </si>
  <si>
    <t>http://ufcstats.com/fight-details/1d8ee477e682a8fc</t>
  </si>
  <si>
    <t>Volkan Oezdemir vs. Anthony Smith</t>
  </si>
  <si>
    <t>http://ufcstats.com/fight-details/96b59d89ecac66d0</t>
  </si>
  <si>
    <t>Carlos Ulberg vs. Da Woon Jung</t>
  </si>
  <si>
    <t>http://ufcstats.com/fight-details/a3d75cc363a6544b</t>
  </si>
  <si>
    <t>Jimmy Crute vs. Paul Craig</t>
  </si>
  <si>
    <t>Kimura From Half Guard</t>
  </si>
  <si>
    <t>http://ufcstats.com/fight-details/29f40d82bd128c65</t>
  </si>
  <si>
    <t>Paul Craig vs. Magomed Ankalaev</t>
  </si>
  <si>
    <t>http://ufcstats.com/fight-details/714d6fc1eaca9624</t>
  </si>
  <si>
    <t>Alexander Gustafsson vs. Anthony Smith</t>
  </si>
  <si>
    <t>http://ufcstats.com/fight-details/4f9939af9a1d40a3</t>
  </si>
  <si>
    <t>Ike Villanueva vs. Jordan Wright</t>
  </si>
  <si>
    <t>http://ufcstats.com/fight-details/0ccc86f7d0e84c3e</t>
  </si>
  <si>
    <t>Anthony Smith vs. Jimmy Crute</t>
  </si>
  <si>
    <t>Leg Injury</t>
  </si>
  <si>
    <t>http://ufcstats.com/fight-details/00bbcd4a6d647fdf</t>
  </si>
  <si>
    <t>Bobby Green vs. Jared Gordon</t>
  </si>
  <si>
    <t>Head butt from Green</t>
  </si>
  <si>
    <t>http://ufcstats.com/fight-details/640d52630f4f8a61</t>
  </si>
  <si>
    <t>Alan Patrick vs. Mason Jones</t>
  </si>
  <si>
    <t>Eye poke</t>
  </si>
  <si>
    <t>http://ufcstats.com/fight-details/9cdfcd164b48f55e</t>
  </si>
  <si>
    <t>Eddie Alvarez vs. Dustin Poirier</t>
  </si>
  <si>
    <t>Illegal Knees by Alvarez</t>
  </si>
  <si>
    <t>http://ufcstats.com/fight-details/6fe9729cee57c680</t>
  </si>
  <si>
    <t>Justin Gaethje vs. Rafael Fiziev</t>
  </si>
  <si>
    <t>Mark Collett 28 - 29.Clemens Werner 28 - 29.Paul Sutherland 28 - 28.</t>
  </si>
  <si>
    <t>http://ufcstats.com/fight-details/90a83875e1d11238</t>
  </si>
  <si>
    <t>Jai Herbert vs. Ludovit Klein</t>
  </si>
  <si>
    <t>David Lethaby 27 - 29.Clemens Werner 28 - 28.Mark Collett 28 - 28.</t>
  </si>
  <si>
    <t>http://ufcstats.com/fight-details/938c2c71b84e56ff</t>
  </si>
  <si>
    <t>Rafael Alves vs. Nurullo Aliev</t>
  </si>
  <si>
    <t>Adalaide Byrd 27 - 29.Junichiro Kamijo 27 - 29.Ron McCarthy 28 - 28.</t>
  </si>
  <si>
    <t>http://ufcstats.com/fight-details/02615499125b4b5d</t>
  </si>
  <si>
    <t>Joe Solecki vs. Alex Da Silva</t>
  </si>
  <si>
    <t>Adalaide Byrd 28 - 28.Derek Cleary 27 - 28.Sal D'amato 27 - 29.</t>
  </si>
  <si>
    <t>http://ufcstats.com/fight-details/e5e75d831670b401</t>
  </si>
  <si>
    <t>Grant Dawson vs. Ricky Glenn</t>
  </si>
  <si>
    <t>Doug Crosby 28 - 29.Chris Lee 28 - 28.Ron McCarthy 28 - 28.</t>
  </si>
  <si>
    <t>http://ufcstats.com/fight-details/9fe62ea683decc55</t>
  </si>
  <si>
    <t>Fares Ziam vs. Luigi Vendramini</t>
  </si>
  <si>
    <t>Junichiro Kamijo 28 - 29.Chris Flores 28 - 29.Derek Cleary 28 - 28.</t>
  </si>
  <si>
    <t>http://ufcstats.com/fight-details/dedb74ee9d84deab</t>
  </si>
  <si>
    <t>Michael Johnson vs. Stevie Ray</t>
  </si>
  <si>
    <t>Pawel Harasim 28 - 29.Barry Foley 28 - 29.Evan Field 28 - 28.</t>
  </si>
  <si>
    <t>http://ufcstats.com/fight-details/3162ae3ccbf785ac</t>
  </si>
  <si>
    <t>Matt Frevola vs. Lando Vannata</t>
  </si>
  <si>
    <t>Chris Lee 28 - 29.Dave Tirelli 28 - 28.Sal D'amato 28 - 28.</t>
  </si>
  <si>
    <t>http://ufcstats.com/fight-details/df9aa51f6ccdfe02</t>
  </si>
  <si>
    <t>John Gunther vs. Allan Zuniga</t>
  </si>
  <si>
    <t>Sal D'amato 28 - 29.Dave Hagen 28 - 28.Adalaide Byrd 28 - 29.</t>
  </si>
  <si>
    <t>http://ufcstats.com/fight-details/9fc03704a10977b3</t>
  </si>
  <si>
    <t>Beneil Dariush vs. Evan Dunham</t>
  </si>
  <si>
    <t>Sal D'amato 28 - 29.Dave Hagen 28 - 28.Glenn Trowbridge 28 - 28.</t>
  </si>
  <si>
    <t>http://ufcstats.com/fight-details/2fed4f1d91767eb1</t>
  </si>
  <si>
    <t>Joe Lauzon vs. Stevie Ray</t>
  </si>
  <si>
    <t>Chris Lee 27 - 28.Jeff Mullen 27 - 29.Dave Tirelli 28 - 28.</t>
  </si>
  <si>
    <t>http://ufcstats.com/fight-details/41385f4e63682b5b</t>
  </si>
  <si>
    <t>Dustin Poirier vs. Jim Miller</t>
  </si>
  <si>
    <t>Eric Colon 28 - 28.Chris Lee 27 - 30.Derek Cleary 28 - 29.</t>
  </si>
  <si>
    <t>http://ufcstats.com/fight-details/8b8f9485214f9e48</t>
  </si>
  <si>
    <t>http://ufcstats.com/fight-details/3c69bed42893da75</t>
  </si>
  <si>
    <t>Jalin Turner vs. Dan Hooker</t>
  </si>
  <si>
    <t>Derek Cleary 28 - 29.Adalaide Byrd 29 - 28.Ron McCarthy 28 - 29.</t>
  </si>
  <si>
    <t>http://ufcstats.com/fight-details/b6ea8880cc7af439</t>
  </si>
  <si>
    <t>Chris Duncan vs. Omar Morales</t>
  </si>
  <si>
    <t>Paul Sutherland 30 - 27.Ben Cartlidge 28 - 29.Vito Paolillo 28 - 29.</t>
  </si>
  <si>
    <t>http://ufcstats.com/fight-details/cdaf65287d9a0ecb</t>
  </si>
  <si>
    <t>Mateusz Gamrot vs. Jalin Turner</t>
  </si>
  <si>
    <t>Derek Cleary 28 - 29.David Lethaby 29 - 28.Ron McCarthy 27 - 30.</t>
  </si>
  <si>
    <t>http://ufcstats.com/fight-details/d6d034e98ce85246</t>
  </si>
  <si>
    <t>Zubaira Tukhugov vs. Elves Brener</t>
  </si>
  <si>
    <t>Derek Cleary 28 - 29.Barry Foley 29 - 28.Evan Field 27 - 30.</t>
  </si>
  <si>
    <t>http://ufcstats.com/fight-details/0ac5fc42ba039211</t>
  </si>
  <si>
    <t>Clay Guida vs. Scott Holtzman</t>
  </si>
  <si>
    <t>Eric Colon 28 - 29.MichaelTate 28 - 29.David Tirelli 29 - 28.</t>
  </si>
  <si>
    <t>http://ufcstats.com/fight-details/7bd6969c4ed979f9</t>
  </si>
  <si>
    <t>Michael Johnson vs. Jamie Mullarkey</t>
  </si>
  <si>
    <t>Derek Cleary 28 - 29.Mike Bell 29 - 28.Anthony Maness 28 - 29.</t>
  </si>
  <si>
    <t>http://ufcstats.com/fight-details/a103b30f6898de7e</t>
  </si>
  <si>
    <t>Damir Ismagulov vs. Guram Kutateladze</t>
  </si>
  <si>
    <t>Doug Crosby 29 - 28.Chris Lee 28 - 29.Jason Stafin 27 - 30.</t>
  </si>
  <si>
    <t>http://ufcstats.com/fight-details/4e6218b6b892b017</t>
  </si>
  <si>
    <t>Jordan Leavitt vs. Trey Ogden</t>
  </si>
  <si>
    <t>Mike Bell 28 - 29.Junichiro Kamijo 29 - 28.Anthony Maness 28 - 29.</t>
  </si>
  <si>
    <t>http://ufcstats.com/fight-details/eac46cfead228e11</t>
  </si>
  <si>
    <t>Devonte Smith vs. Ludovit Klein</t>
  </si>
  <si>
    <t>Doug Crosby 28 - 29.Tony Weeks 29 - 28.Sal D'amato 27 - 30.</t>
  </si>
  <si>
    <t>http://ufcstats.com/fight-details/36d9337a27b71ba9</t>
  </si>
  <si>
    <t>Joe Solecki vs. Jared Gordon</t>
  </si>
  <si>
    <t>Sal D'amato 28 - 29.Derek Cleary 29 - 28.Dave Hagen 28 - 29.</t>
  </si>
  <si>
    <t>http://ufcstats.com/fight-details/3b7eb8e56052a2af</t>
  </si>
  <si>
    <t>Clay Guida vs. Mark Madsen</t>
  </si>
  <si>
    <t>Mike Bell 28 - 29.Sal D'amato 29 - 28.Eric Colon 27 - 30.</t>
  </si>
  <si>
    <t>http://ufcstats.com/fight-details/3a9e0fed344fd07d</t>
  </si>
  <si>
    <t>Luis Pena vs. Alexander Munoz</t>
  </si>
  <si>
    <t>Sal D'amato 28 - 29.Mike Bell 29 - 28.Rick Winter 28 - 29.</t>
  </si>
  <si>
    <t>http://ufcstats.com/fight-details/a33ecd2c88154890</t>
  </si>
  <si>
    <t>John Makdessi vs. Ignacio Bahamondes</t>
  </si>
  <si>
    <t>Sal D'amato 28 - 29.Derek Cleary 29 - 28.Dave Hagen 27 - 30.</t>
  </si>
  <si>
    <t>http://ufcstats.com/fight-details/7aebf01b5afc0109</t>
  </si>
  <si>
    <t>Diego Ferreira vs. Beneil Dariush</t>
  </si>
  <si>
    <t>Dave Hagen 28 - 29.Jerin Valel 29 - 28.Chris Lee 28 - 29.</t>
  </si>
  <si>
    <t>http://ufcstats.com/fight-details/bbade63ca780668f</t>
  </si>
  <si>
    <t>Mateusz Gamrot vs. Guram Kutateladze</t>
  </si>
  <si>
    <t>Darryl Ransom 28 - 29.David Lethaby 29 - 28.Victor Wolf 28 - 29.</t>
  </si>
  <si>
    <t>http://ufcstats.com/fight-details/e5279358b128c2ac</t>
  </si>
  <si>
    <t>Charles Rosa vs. Kevin Aguilar</t>
  </si>
  <si>
    <t>Eric Colon 28 - 29.Sal D'amato 28 - 29.Dave Hagen 29 - 28.</t>
  </si>
  <si>
    <t>http://ufcstats.com/fight-details/1109a8f2adc81ce0</t>
  </si>
  <si>
    <t>Brad Riddell vs. Magomed Mustafaev</t>
  </si>
  <si>
    <t>Howie Booth 28 - 29.Barry Foley 29 - 28.Luke Hill 28 - 29.</t>
  </si>
  <si>
    <t>http://ufcstats.com/fight-details/6d48f75153e4ad6b</t>
  </si>
  <si>
    <t>Matt Frevola vs. Luis Pena</t>
  </si>
  <si>
    <t>Chris Lee 29 - 28.Tony Weeks 28 - 29.Daniel Torres 28 - 29.</t>
  </si>
  <si>
    <t>http://ufcstats.com/fight-details/bed2710e06dabe6a</t>
  </si>
  <si>
    <t>Edson Barboza vs. Paul Felder</t>
  </si>
  <si>
    <t>Howie Booth 30 - 27.David Lethaby 28 - 29.Maria Makhmutova 27 - 30.</t>
  </si>
  <si>
    <t>http://ufcstats.com/fight-details/357a34207d70da69</t>
  </si>
  <si>
    <t>Michael Trizano vs. Luis Pena</t>
  </si>
  <si>
    <t>Sal D'amato 29 - 28.Chris Lee 28 - 29.Ben Ramirez 27 - 30.</t>
  </si>
  <si>
    <t>http://ufcstats.com/fight-details/2c84f2cb1bb23ab8</t>
  </si>
  <si>
    <t>Rustam Khabilov vs. Kajan Johnson</t>
  </si>
  <si>
    <t>Ben Cartlidge 28 - 29.David Lethaby 29 - 28.Maciej Motylewski 28 - 29.</t>
  </si>
  <si>
    <t>http://ufcstats.com/fight-details/ba33d0868b25483b</t>
  </si>
  <si>
    <t>Nick Hein vs. Damir Hadzovic</t>
  </si>
  <si>
    <t>Ben Cartlidge 28 - 29.Howard Hughes 29 - 28.Pawel Harasim 28 - 29.</t>
  </si>
  <si>
    <t>http://ufcstats.com/fight-details/3ce7f58911773a56</t>
  </si>
  <si>
    <t>Stevie Ray vs. Kajan Johnson</t>
  </si>
  <si>
    <t>David Lethaby 28 - 29.Andy Roberts 28 - 29.Paul Sutherland 29 - 28.</t>
  </si>
  <si>
    <t>http://ufcstats.com/fight-details/fe9ee00fa47dd7b3</t>
  </si>
  <si>
    <t>Damien Brown vs. Dong Hyun Ma</t>
  </si>
  <si>
    <t>28 - 29.29 - 28.28 - 29.</t>
  </si>
  <si>
    <t>http://ufcstats.com/fight-details/6cb9bc7c86ae43b9</t>
  </si>
  <si>
    <t>Damien Brown vs. Frank Camacho</t>
  </si>
  <si>
    <t>Kevin Manderson 29 - 28.Evan Field 27 - 30.Chris Aliendi 28 - 29.</t>
  </si>
  <si>
    <t>http://ufcstats.com/fight-details/823797bc6d532b52</t>
  </si>
  <si>
    <t>Lando Vannata vs. Bobby Green</t>
  </si>
  <si>
    <t>Marcos Rosales 29 - 27.Jeff Mullen 27 - 29.Derek Cleary 28 - 28.</t>
  </si>
  <si>
    <t>http://ufcstats.com/fight-details/c46d51fb87a4f485</t>
  </si>
  <si>
    <t>Anthony Rocco Martin vs. Olivier Aubin-Mercier</t>
  </si>
  <si>
    <t>Eric Colon 29 - 28.Greg Monskie 28 - 29.Jeff Mullen 28 - 29.</t>
  </si>
  <si>
    <t>http://ufcstats.com/fight-details/52e4f12eaeffd142</t>
  </si>
  <si>
    <t>Marc Diakiese vs. Drakkar Klose</t>
  </si>
  <si>
    <t>Jeff Mullen 28 - 29.Derek Cleary 29 - 28.Marcos Rosales 28 - 29.</t>
  </si>
  <si>
    <t>http://ufcstats.com/fight-details/6f836a82a0530884</t>
  </si>
  <si>
    <t>Devin Powell vs. Darrell Horcher</t>
  </si>
  <si>
    <t>Cardo Urso 28 - 29.Marcos Rosales 29 - 28.Gerald Ritter 28 - 29.</t>
  </si>
  <si>
    <t>http://ufcstats.com/fight-details/f7ae397fefa57c70</t>
  </si>
  <si>
    <t>Reza Madadi vs. Joaquim Silva</t>
  </si>
  <si>
    <t>Mans Nilsson 28 - 29.Andreas Gruner 29 - 28.Andy Roberts 28 - 29.</t>
  </si>
  <si>
    <t>http://ufcstats.com/fight-details/2c101a0bcf334d31</t>
  </si>
  <si>
    <t>Bobby Green vs. Rashid Magomedov</t>
  </si>
  <si>
    <t>Brian Puccillo 28 - 29.Rob Francis 29 - 28.Cardo Urso 28 - 29.</t>
  </si>
  <si>
    <t>http://ufcstats.com/fight-details/f24c296256faeff2</t>
  </si>
  <si>
    <t>Josh Emmett vs. Desmond Green</t>
  </si>
  <si>
    <t>Eric Colon 29 - 28.Doug Crosby 28 - 29.Sal D'amato 27 - 30.</t>
  </si>
  <si>
    <t>http://ufcstats.com/fight-details/97b7638c592a95a9</t>
  </si>
  <si>
    <t>Joe Lauzon vs. Marcin Held</t>
  </si>
  <si>
    <t>Derek Cleary 30 - 27.Jeff Mullen 28 - 29.Marcos Rosales 28 - 29.</t>
  </si>
  <si>
    <t>http://ufcstats.com/fight-details/00720c46f864fe03</t>
  </si>
  <si>
    <t>Jake Matthews vs. Andrew Holbrook</t>
  </si>
  <si>
    <t>Anthony Dimitriou 28 - 29.Charlie Keech 29 - 28.Evan Field 28 - 29.</t>
  </si>
  <si>
    <t>http://ufcstats.com/fight-details/0d33d43bee65d98f</t>
  </si>
  <si>
    <t>Damien Brown vs. Jon Tuck</t>
  </si>
  <si>
    <t>Christopher Shen 29 - 28.Anthony Dimitriou 28 - 29.Evan Field 28 - 29.</t>
  </si>
  <si>
    <t>http://ufcstats.com/fight-details/64bc223daa594bcc</t>
  </si>
  <si>
    <t>Ross Pearson vs. Stevie Ray</t>
  </si>
  <si>
    <t>Pawel Harasim 27 - 30.Andreas Gruner 30 - 27.Takeo Kobayashi 27 - 30.</t>
  </si>
  <si>
    <t>http://ufcstats.com/fight-details/6b5fe10e6e7d160a</t>
  </si>
  <si>
    <t>Marco Polo Reyes vs. Jason Novelli</t>
  </si>
  <si>
    <t>Jeff Mullen 28 - 29.Marcos Rosales 29 - 28.Brian Puccillo 28 - 29.</t>
  </si>
  <si>
    <t>http://ufcstats.com/fight-details/c1e039419a671b9e</t>
  </si>
  <si>
    <t>Leonardo Santos vs. Adriano Martins</t>
  </si>
  <si>
    <t>Jeff Mullen 28 - 29.Maciej Motylewski 29 - 28.Paul Sutherland 28 - 29.</t>
  </si>
  <si>
    <t>http://ufcstats.com/fight-details/87b61c1d72232a84</t>
  </si>
  <si>
    <t>Joe Lauzon vs. Jim Miller</t>
  </si>
  <si>
    <t>Tony Weeks 28 - 29.Dave Hagen 29 - 28.David Therien 28 - 29.</t>
  </si>
  <si>
    <t>http://ufcstats.com/fight-details/e15b393a27c07043</t>
  </si>
  <si>
    <t>John Makdessi vs. Mehdi Baghdad</t>
  </si>
  <si>
    <t>Junichiro Kamijo 28 - 29.Sal D'amato 29 - 28.Tony Weeks 28 - 29.</t>
  </si>
  <si>
    <t>http://ufcstats.com/fight-details/5e13fbe15c887a33</t>
  </si>
  <si>
    <t>Jason Saggo vs. Leandro Silva</t>
  </si>
  <si>
    <t>Pasquale Procopio 28 - 29.David Therien 29 - 28.Doug Crosby 28 - 29.</t>
  </si>
  <si>
    <t>http://ufcstats.com/fight-details/2e11087e1a4f066b</t>
  </si>
  <si>
    <t>Jon Tuck vs. Josh Emmett</t>
  </si>
  <si>
    <t>Ben Cartlidge 28 - 29.Andreas Gruner 29 - 28.Maciej Motylewski 28 - 29.</t>
  </si>
  <si>
    <t>http://ufcstats.com/fight-details/7786b5fafee61c36</t>
  </si>
  <si>
    <t>Ross Pearson vs. Chad Laprise</t>
  </si>
  <si>
    <t>Albert Shen 30 - 28.Kon Papaioannou 27 - 30.Barry Foley 28 - 29.</t>
  </si>
  <si>
    <t>http://ufcstats.com/fight-details/f7c9f7a6edca5299</t>
  </si>
  <si>
    <t>Anthony Pettis vs. Eddie Alvarez</t>
  </si>
  <si>
    <t>Doug Crosby 28 - 29.Ryan Shea 29 - 28.Bryan Miner 28 - 29.</t>
  </si>
  <si>
    <t>http://ufcstats.com/fight-details/3ce6f9eb59a1e149</t>
  </si>
  <si>
    <t>Nik Lentz vs. Danny Castillo</t>
  </si>
  <si>
    <t>Barry Luxenberg 29 - 28.Derek Cleary 28 - 29.Chris Lee 27 - 30.</t>
  </si>
  <si>
    <t>http://ufcstats.com/fight-details/0ad5c6752e679de5</t>
  </si>
  <si>
    <t>John Makdessi vs. Yancy Medeiros</t>
  </si>
  <si>
    <t>Lester Griffin 28 - 29.Sal D'amato 29 - 28.Marcos Rosales 28 - 29.</t>
  </si>
  <si>
    <t>http://ufcstats.com/fight-details/064404b0aaf6f95d</t>
  </si>
  <si>
    <t>Julian Erosa vs. Marcin Wrzosek</t>
  </si>
  <si>
    <t>http://ufcstats.com/fight-details/1362ccc16713d404</t>
  </si>
  <si>
    <t>Tae Hyun Bang vs. Leo Kuntz</t>
  </si>
  <si>
    <t>Garth Harriman 28 - 29.Mark Craig 29 - 28.Charlie Keech 28 - 29.</t>
  </si>
  <si>
    <t>http://ufcstats.com/fight-details/e8d3768f293a699b</t>
  </si>
  <si>
    <t>Valmir Lazaro vs. Michel Prazeres</t>
  </si>
  <si>
    <t>Marcos Rosales 28 - 29.Roy Silbert 29 - 28.Cardo Urso 28 - 29.</t>
  </si>
  <si>
    <t>http://ufcstats.com/fight-details/d6482fcb69b04904</t>
  </si>
  <si>
    <t>Ross Pearson vs. Paul Felder</t>
  </si>
  <si>
    <t>Cardo Urso 29 - 28.Adalaide Byrd 27 - 30.Derek Cleary 28 - 29.</t>
  </si>
  <si>
    <t>http://ufcstats.com/fight-details/0449c55a8c24a59e</t>
  </si>
  <si>
    <t>Joaquim Silva vs. Nazareno Malegarie</t>
  </si>
  <si>
    <t>Cardo Urso 29 - 28.Adalaide Byrd 27 - 30.Marcos Rosales 27 - 30.</t>
  </si>
  <si>
    <t>http://ufcstats.com/fight-details/c43805df4f45b6e2</t>
  </si>
  <si>
    <t>Michael Johnson vs. Beneil Dariush</t>
  </si>
  <si>
    <t>Doug Crosby 28 - 29.Sal D'amato 29 - 28.Richard Bertrand 28 - 29.</t>
  </si>
  <si>
    <t>http://ufcstats.com/fight-details/d4e98b827e3d6918</t>
  </si>
  <si>
    <t>Jim Miller vs. Danny Castillo</t>
  </si>
  <si>
    <t>Brian Puccillo 28 - 29.Sal D'amato 29 - 28.Rick Winter 27 - 30.</t>
  </si>
  <si>
    <t>http://ufcstats.com/fight-details/6275b448b6c35f1f</t>
  </si>
  <si>
    <t>Ramsey Nijem vs. Andrew Holbrook</t>
  </si>
  <si>
    <t>Kelvin Caldwell 28 - 29.Brian Puccillo 29 - 28.Rick Winter 28 - 29.</t>
  </si>
  <si>
    <t>http://ufcstats.com/fight-details/23a75c0338d25abc</t>
  </si>
  <si>
    <t>Gilbert Melendez vs. Eddie Alvarez</t>
  </si>
  <si>
    <t>Derek Cleary 28 - 29.Chris Lee 29 - 28.Sal D'amato 28 - 29.</t>
  </si>
  <si>
    <t>http://ufcstats.com/fight-details/fd776d7b554a85d0</t>
  </si>
  <si>
    <t>Paul Felder vs. Rafael Dos Anjos</t>
  </si>
  <si>
    <t>Chris Lee 48 - 47.Sal D'amato 45 - 50.Derek Cleary 45 - 50.</t>
  </si>
  <si>
    <t>http://ufcstats.com/fight-details/80cb3cf9134b677c</t>
  </si>
  <si>
    <t>Paul Felder vs. Dan Hooker</t>
  </si>
  <si>
    <t>Barry Foley 48 - 47.Howard Hughes 47 - 48.David Lethaby 47 - 48.</t>
  </si>
  <si>
    <t>http://ufcstats.com/fight-details/5fceb95c29d929bc</t>
  </si>
  <si>
    <t>Jamie Mullarkey vs. John Makdessi</t>
  </si>
  <si>
    <t>Mark Christie 28 - 29.Eric Colon 28 - 29.David Lethaby 28 - 29.</t>
  </si>
  <si>
    <t>http://ufcstats.com/fight-details/0aae15358d8606b9</t>
  </si>
  <si>
    <t>Nasrat Haqparast vs. Landon Quinones</t>
  </si>
  <si>
    <t>Eric Colon 27 - 30.Evan Field 27 - 30.Clemens Werner 27 - 30.</t>
  </si>
  <si>
    <t>http://ufcstats.com/fight-details/bfff5a3777841344</t>
  </si>
  <si>
    <t>Ignacio Bahamondes vs. Ludovit Klein</t>
  </si>
  <si>
    <t>Rick Winter 27 - 30.Derek Cleary 28 - 29.Anthony Maness 28 - 29.</t>
  </si>
  <si>
    <t>http://ufcstats.com/fight-details/531ce3d8011fa1f6</t>
  </si>
  <si>
    <t>Jai Herbert vs. Fares Ziam</t>
  </si>
  <si>
    <t>Mike Bell 28 - 29.Cezary Wojciechowski 28 - 29.Junichiro Kamijo 27 - 30.</t>
  </si>
  <si>
    <t>http://ufcstats.com/fight-details/c4caa8a4f32a0eed</t>
  </si>
  <si>
    <t>Chris Duncan vs. Yanal Ashmouz</t>
  </si>
  <si>
    <t>David Lethaby 27 - 30.Darryl Ransom 27 - 30.Junichiro Kamijo 28 - 29.</t>
  </si>
  <si>
    <t>http://ufcstats.com/fight-details/a8a4c9f98ff73839</t>
  </si>
  <si>
    <t>Evan Elder vs. Genaro Valdez</t>
  </si>
  <si>
    <t>Adalaide Byrd 26 - 30.Derek Cleary 28 - 29.Junichiro Kamijo 28 - 29.</t>
  </si>
  <si>
    <t>http://ufcstats.com/fight-details/3624f4ae9c1d703e</t>
  </si>
  <si>
    <t>Alexander Munoz vs. Carl Deaton</t>
  </si>
  <si>
    <t>Mike Bell 26 - 30.Derek Cleary 27 - 30.Sal D'amato 28 - 29.</t>
  </si>
  <si>
    <t>http://ufcstats.com/fight-details/57785c9be5b4526d</t>
  </si>
  <si>
    <t>Kamuela Kirk vs. Esteban Ribovics</t>
  </si>
  <si>
    <t>Sal D'amato 28 - 29.Chris Lee 28 - 29.Ron McCarthy 28 - 29.</t>
  </si>
  <si>
    <t>http://ufcstats.com/fight-details/5b71958ee063a6e8</t>
  </si>
  <si>
    <t>Damir Ismagulov vs. Grant Dawson</t>
  </si>
  <si>
    <t>Sal D'amato 27 - 30.Chris Lee 27 - 30.Mike Bell 26 - 30.</t>
  </si>
  <si>
    <t>http://ufcstats.com/fight-details/4dc5a41f357a7d85</t>
  </si>
  <si>
    <t>Trevor Peek vs. Chepe Mariscal</t>
  </si>
  <si>
    <t>Derek Cleary 27 - 30.Troy Wincapaw 27 - 30.Chris Lee 27 - 30.</t>
  </si>
  <si>
    <t>http://ufcstats.com/fight-details/f18d44292036d5de</t>
  </si>
  <si>
    <t>Chase Hooper vs. Nick Fiore</t>
  </si>
  <si>
    <t>Junichiro Kamijo 26 - 30.Mike Bell 27 - 30.Tony Weeks 27 - 30.</t>
  </si>
  <si>
    <t>http://ufcstats.com/fight-details/eca400aeeb2763d1</t>
  </si>
  <si>
    <t>Clay Guida vs. Rafa Garcia</t>
  </si>
  <si>
    <t>Chris Lee 27 - 30.Sal D'amato 27 - 30.Ross Swanberg 27 - 30.</t>
  </si>
  <si>
    <t>http://ufcstats.com/fight-details/bdbddbc00d07dc4b</t>
  </si>
  <si>
    <t>Lando Vannata vs. Daniel Zellhuber</t>
  </si>
  <si>
    <t>Sal D'amato 27 - 29.David Huyette 28 - 29.Travis Buesking 27 - 30.</t>
  </si>
  <si>
    <t>http://ufcstats.com/fight-details/cef255a992ba7af3</t>
  </si>
  <si>
    <t>Esteban Ribovics vs. Loik Radzhabov</t>
  </si>
  <si>
    <t>Adalaide Byrd 28 - 29.Ben Cartlidge 28 - 29.Derek Cleary 28 - 29.</t>
  </si>
  <si>
    <t>http://ufcstats.com/fight-details/ee2354d638c078fd</t>
  </si>
  <si>
    <t>Jim Miller vs. Alexander Hernandez</t>
  </si>
  <si>
    <t>Derek Cleary 28 - 29.Eric Colon 27 - 30.Rick Winter 27 - 30.</t>
  </si>
  <si>
    <t>http://ufcstats.com/fight-details/682ff095649c9a5c</t>
  </si>
  <si>
    <t>Jamie Mullarkey vs. Francisco Prado</t>
  </si>
  <si>
    <t>Ben Cartlidge 27 - 30.Evan Field 27 - 30.Garth Harriman 27 - 30.</t>
  </si>
  <si>
    <t>http://ufcstats.com/fight-details/a37a6b6f9551a6e8</t>
  </si>
  <si>
    <t>Mateusz Rebecki vs. Nick Fiore</t>
  </si>
  <si>
    <t>http://ufcstats.com/fight-details/76b6058cddda9238</t>
  </si>
  <si>
    <t>Arman Tsarukyan vs. Damir Ismagulov</t>
  </si>
  <si>
    <t>http://ufcstats.com/fight-details/ce7744d45a698aa6</t>
  </si>
  <si>
    <t>Rafa Garcia vs. Maheshate</t>
  </si>
  <si>
    <t>Mike Bell 27 - 30.Derek Cleary 27 - 30.Chris Lee 27 - 30.</t>
  </si>
  <si>
    <t>http://ufcstats.com/fight-details/efc64d8aae5628c9</t>
  </si>
  <si>
    <t>Paddy Pimblett vs. Jared Gordon</t>
  </si>
  <si>
    <t>Doug Crosby 28 - 29.Chris Lee 28 - 29.Ron McCarthy 28 - 29.</t>
  </si>
  <si>
    <t>http://ufcstats.com/fight-details/144cd3f62591a5fb</t>
  </si>
  <si>
    <t>Michael Johnson vs. Marc Diakiese</t>
  </si>
  <si>
    <t>Chris Lee 28 - 29.Sal D'amato 28 - 29.Troy Wincapaw 27 - 30.</t>
  </si>
  <si>
    <t>http://ufcstats.com/fight-details/92c1d9a6d313cb0c</t>
  </si>
  <si>
    <t>Natan Levy vs. Genaro Valdez</t>
  </si>
  <si>
    <t>Eric Colon 28 - 29.Troy Wincapaw 28 - 29.Chris Lee 27 - 30.</t>
  </si>
  <si>
    <t>http://ufcstats.com/fight-details/30abc50a2e71c576</t>
  </si>
  <si>
    <t>Beneil Dariush vs. Mateusz Gamrot</t>
  </si>
  <si>
    <t>Junichiro Kamijo 27 - 30.Darryl Ransom 27 - 30.Clemens Werner 28 - 29.</t>
  </si>
  <si>
    <t>http://ufcstats.com/fight-details/69f39e5d959311b1</t>
  </si>
  <si>
    <t>Mike Davis vs. Viacheslav Borshchev</t>
  </si>
  <si>
    <t>Doug Crosby 28 - 29.Adalaide Byrd 26 - 30.Mike Bell 26 - 30.</t>
  </si>
  <si>
    <t>http://ufcstats.com/fight-details/330506571d2778b1</t>
  </si>
  <si>
    <t>Trey Ogden vs. Daniel Zellhuber</t>
  </si>
  <si>
    <t>Doug Crosby 27 - 30.Junichiro Kamijo 27 - 30.Chris Lee 28 - 29.</t>
  </si>
  <si>
    <t>http://ufcstats.com/fight-details/35d06627d91b840d</t>
  </si>
  <si>
    <t>John Makdessi vs. Nasrat Haqparast</t>
  </si>
  <si>
    <t>Derek Cleary 27 - 30.Howard Hughes 27 - 30.Mark Collett 28 - 29.</t>
  </si>
  <si>
    <t>http://ufcstats.com/fight-details/7bced112f3229b1b</t>
  </si>
  <si>
    <t>Fares Ziam vs. Michal Figlak</t>
  </si>
  <si>
    <t>Christophe Chapuis 27 - 30.Clemens Werner 27 - 30.Howard Hughes 28 - 29.</t>
  </si>
  <si>
    <t>http://ufcstats.com/fight-details/fd47032108b85cf0</t>
  </si>
  <si>
    <t>Leonardo Santos vs. Jared Gordon</t>
  </si>
  <si>
    <t>Sal D'amato 27 - 30.Derek Cleary 27 - 30.Mike Bell 27 - 30.</t>
  </si>
  <si>
    <t>http://ufcstats.com/fight-details/0cf7a4593fd44e59</t>
  </si>
  <si>
    <t>Drakkar Klose vs. Rafa Garcia</t>
  </si>
  <si>
    <t>Kent Basinger 28 - 29.Steve Armstrong 28 - 29.Aaron Menard 28 - 29.</t>
  </si>
  <si>
    <t>http://ufcstats.com/fight-details/189b9af881b96de6</t>
  </si>
  <si>
    <t>Mason Jones vs. Ludovit Klein</t>
  </si>
  <si>
    <t>Ben Cartlidge 27 - 30.Darryl Ransom 27 - 30.Clemens Werner 27 - 30.</t>
  </si>
  <si>
    <t>http://ufcstats.com/fight-details/b0d06858fb725654</t>
  </si>
  <si>
    <t>Marc Diakiese vs. Damir Hadzovic</t>
  </si>
  <si>
    <t>Vito Paolillo 26 - 30.Cezary Wojciechowski 26 - 30.Anders Ohlsson 27 - 30.</t>
  </si>
  <si>
    <t>http://ufcstats.com/fight-details/dd6dbe644f599795</t>
  </si>
  <si>
    <t>Jai Herbert vs. Kyle Nelson</t>
  </si>
  <si>
    <t>Ben Cartlidge 28 - 29.Anders Ohlsson 28 - 29.Darryl Ransom 28 - 29.</t>
  </si>
  <si>
    <t>http://ufcstats.com/fight-details/a1029686c3f1bead</t>
  </si>
  <si>
    <t>Natan Levy vs. Mike Breeden</t>
  </si>
  <si>
    <t>Mike Bell 28 - 29.Adalaide Byrd 27 - 30.Sal D'amato 28 - 29.</t>
  </si>
  <si>
    <t>http://ufcstats.com/fight-details/9217ecc287ac482d</t>
  </si>
  <si>
    <t>Vinc Pichel vs. Mark Madsen</t>
  </si>
  <si>
    <t>Sal D'amato 28 - 29.Howard Reichbach 27 - 30.Chris Lee 27 - 30.</t>
  </si>
  <si>
    <t>http://ufcstats.com/fight-details/15311d4b33d93004</t>
  </si>
  <si>
    <t>Marc Diakiese vs. Viacheslav Borshchev</t>
  </si>
  <si>
    <t>Sal D'amato 27 - 30.Mike Bell 27 - 30.Andrew Adkins 27 - 30.</t>
  </si>
  <si>
    <t>http://ufcstats.com/fight-details/f6afaf2a39fa441c</t>
  </si>
  <si>
    <t>Bobby Green vs. Nasrat Haqparast</t>
  </si>
  <si>
    <t>Sal D'amato 27 - 30.Doug Crosby 27 - 30.Patrick Patlan 27 - 30.</t>
  </si>
  <si>
    <t>http://ufcstats.com/fight-details/388adad23aaa9d39</t>
  </si>
  <si>
    <t>TJ Brown vs. Charles Rosa</t>
  </si>
  <si>
    <t>http://ufcstats.com/fight-details/3a8c0158d910546d</t>
  </si>
  <si>
    <t>Rafa Garcia vs. Natan Levy</t>
  </si>
  <si>
    <t>Sal D'amato 28 - 29.Bryan Miner 28 - 29.Junichiro Kamijo 28 - 29.</t>
  </si>
  <si>
    <t>http://ufcstats.com/fight-details/fd60e75303622e5e</t>
  </si>
  <si>
    <t>Justin Gaethje vs. Michael Chandler</t>
  </si>
  <si>
    <t>Sal D'amato 28 - 29.Derek Cleary 28 - 29.Doug Crosby 27 - 30.</t>
  </si>
  <si>
    <t>http://ufcstats.com/fight-details/999a0fad4c82148d</t>
  </si>
  <si>
    <t>Mason Jones vs. David Onama</t>
  </si>
  <si>
    <t>Tony Weeks 28 - 29.Eric Colon 28 - 29.Ron McCarthy 28 - 29.</t>
  </si>
  <si>
    <t>http://ufcstats.com/fight-details/d44d735e5079bfb8</t>
  </si>
  <si>
    <t>Dan Hooker vs. Nasrat Haqparast</t>
  </si>
  <si>
    <t>Mike Bell 27 - 30.Sal D'amato 27 - 30.Adalaide Byrd 26 - 30.</t>
  </si>
  <si>
    <t>http://ufcstats.com/fight-details/b3c23fb2d71bba51</t>
  </si>
  <si>
    <t>Vinc Pichel vs. Austin Hubbard</t>
  </si>
  <si>
    <t>Junichiro Kamijo 27 - 30.Sal D'amato 27 - 30.Adalaide Byrd 27 - 30.</t>
  </si>
  <si>
    <t>http://ufcstats.com/fight-details/755d84d5f4aa4dbf</t>
  </si>
  <si>
    <t>Bobby Green vs. Rafael Fiziev</t>
  </si>
  <si>
    <t>Joshua Ferraro 27 - 30.Chris Lee 28 - 29.Sal D'amato 28 - 29.</t>
  </si>
  <si>
    <t>http://ufcstats.com/fight-details/76ece0ee2ef5d240</t>
  </si>
  <si>
    <t>Chris Gruetzemacher vs. Rafa Garcia</t>
  </si>
  <si>
    <t>Dave Hagen 28 - 29.Rick Winter 28 - 29.Ron McCarthy 28 - 29.</t>
  </si>
  <si>
    <t>http://ufcstats.com/fight-details/12ceec9431fb0827</t>
  </si>
  <si>
    <t>Yancy Medeiros vs. Damir Hadzovic</t>
  </si>
  <si>
    <t>Junichiro Kamijo 28 - 29.Dave Hagen 28 - 29.Mike Bell 28 - 29.</t>
  </si>
  <si>
    <t>http://ufcstats.com/fight-details/23c7c6ceee34585f</t>
  </si>
  <si>
    <t>Drew Dober vs. Brad Riddell</t>
  </si>
  <si>
    <t>Derek Cleary 28 - 29.Sal D'amato 28 - 29.Brad Frank 28 - 29.</t>
  </si>
  <si>
    <t>http://ufcstats.com/fight-details/7d2051c6bae907cb</t>
  </si>
  <si>
    <t>Claudio Puelles vs. Jordan Leavitt</t>
  </si>
  <si>
    <t>Sal D'amato 28 - 29.Bryan Miner 28 - 29.Adalaide Byrd 28 - 29.</t>
  </si>
  <si>
    <t>http://ufcstats.com/fight-details/58c5d506181812fa</t>
  </si>
  <si>
    <t>Rafael Alves vs. Damir Ismagulov</t>
  </si>
  <si>
    <t>Mike Bell 28 - 29.Dave Hagen 28 - 29.Junichiro Kamijo 28 - 29.</t>
  </si>
  <si>
    <t>http://ufcstats.com/fight-details/82d48296fd06c27f</t>
  </si>
  <si>
    <t>Tony Ferguson vs. Beneil Dariush</t>
  </si>
  <si>
    <t>Chris Lee 27 - 30.Sal D'amato 27 - 30.Marcos Rosales 27 - 30.</t>
  </si>
  <si>
    <t>http://ufcstats.com/fight-details/cfbaeb80b5ff7c00</t>
  </si>
  <si>
    <t>Kazula Vargas vs. Rong Zhu</t>
  </si>
  <si>
    <t>Troy Wincapaw 26 - 30.Eric Colon 28 - 29.Howard Reichbach 28 - 29.</t>
  </si>
  <si>
    <t>http://ufcstats.com/fight-details/c3b8d8e7d256c307</t>
  </si>
  <si>
    <t>Austin Hubbard vs. Dakota Bush</t>
  </si>
  <si>
    <t>http://ufcstats.com/fight-details/8d634c9240f161dd</t>
  </si>
  <si>
    <t>Jim Miller vs. Joe Solecki</t>
  </si>
  <si>
    <t>Mike Bell 28 - 29.Junichiro Kamijo 28 - 29.Adalaide Byrd 27 - 30.</t>
  </si>
  <si>
    <t>http://ufcstats.com/fight-details/e27c28928ed4390f</t>
  </si>
  <si>
    <t>Nasrat Haqparast vs. Rafa Garcia</t>
  </si>
  <si>
    <t>Chris Lee 27 - 30.Junichiro Kamijo 28 - 29.Tony Weeks 28 - 29.</t>
  </si>
  <si>
    <t>http://ufcstats.com/fight-details/a6828a6dfb21d33c</t>
  </si>
  <si>
    <t>Alexander Hernandez vs. Thiago Moises</t>
  </si>
  <si>
    <t>Eric Colon 27 - 30.Dave Hagen 27 - 30.Ron McCarthy 28 - 29.</t>
  </si>
  <si>
    <t>http://ufcstats.com/fight-details/3eac2d47ac252f4b</t>
  </si>
  <si>
    <t>Michael Johnson vs. Clay Guida</t>
  </si>
  <si>
    <t>Chris Lee 27 - 30.Junichiro Kamijo 27 - 30.Tony Weeks 27 - 30.</t>
  </si>
  <si>
    <t>http://ufcstats.com/fight-details/f4fbb11055301e75</t>
  </si>
  <si>
    <t>Arman Tsarukyan vs. Matt Frevola</t>
  </si>
  <si>
    <t>Sal D'amato 27 - 30.Clemens Werner 27 - 30.Eric Colon 26 - 30.</t>
  </si>
  <si>
    <t>http://ufcstats.com/fight-details/99dbe9669f31ed91</t>
  </si>
  <si>
    <t>Mike Davis vs. Mason Jones</t>
  </si>
  <si>
    <t>Sal D'amato 28 - 29.Eric Colon 28 - 29.Anders Ohlsson 28 - 29.</t>
  </si>
  <si>
    <t>http://ufcstats.com/fight-details/031e6624f96aceb8</t>
  </si>
  <si>
    <t>Tony Ferguson vs. Charles Oliveira</t>
  </si>
  <si>
    <t>Mike Bell 26 - 30.Eric Colon 26 - 30.Ron McCarthy 26 - 30.</t>
  </si>
  <si>
    <t>http://ufcstats.com/fight-details/b7b867eb3c3cf163</t>
  </si>
  <si>
    <t>Bobby Green vs. Thiago Moises</t>
  </si>
  <si>
    <t>Dave Hagen 28 - 29.Sal D'amato 28 - 29.Derek Cleary 28 - 29.</t>
  </si>
  <si>
    <t>http://ufcstats.com/fight-details/6915d46b49999f60</t>
  </si>
  <si>
    <t>Jamie Mullarkey vs. Fares Ziam</t>
  </si>
  <si>
    <t>Ben Cartlidge 28 - 29.Darryl Ransom 28 - 29.Clemens Werner 28 - 29.</t>
  </si>
  <si>
    <t>http://ufcstats.com/fight-details/2735a2ea77ddc0b5</t>
  </si>
  <si>
    <t>Brad Riddell vs. Alex Da Silva</t>
  </si>
  <si>
    <t>Mike Bell 28 - 29.Ahmed Korchi 28 - 29.Clemens Werner 28 - 29.</t>
  </si>
  <si>
    <t>http://ufcstats.com/fight-details/9f4d6d192ab4a027</t>
  </si>
  <si>
    <t>Bobby Green vs. Alan Patrick</t>
  </si>
  <si>
    <t>http://ufcstats.com/fight-details/06910bddb0745856</t>
  </si>
  <si>
    <t>Jim Miller vs. Vinc Pichel</t>
  </si>
  <si>
    <t>Sal D'amato 28 - 29.Dave Hagen 28 - 29.Eric Colon 27 - 29.</t>
  </si>
  <si>
    <t>http://ufcstats.com/fight-details/054794810817c1cc</t>
  </si>
  <si>
    <t>Nasrat Haqparast vs. Alexander Munoz</t>
  </si>
  <si>
    <t>Derek Cleary 27 - 30.Dave Hagen 27 - 30.Chris Lee 27 - 30.</t>
  </si>
  <si>
    <t>http://ufcstats.com/fight-details/26173f6491300eaa</t>
  </si>
  <si>
    <t>Junichiro Kamijo 26 - 30.Mike Bell 27 - 30.Derek Cleary 27 - 30.</t>
  </si>
  <si>
    <t>http://ufcstats.com/fight-details/0b21755eb0897396</t>
  </si>
  <si>
    <t>Marc Diakiese vs. Rafael Fiziev</t>
  </si>
  <si>
    <t>David Lethaby 27 - 30.Lukasz Bosacki 28 - 29.Anders Ohlsson 28 - 29.</t>
  </si>
  <si>
    <t>http://ufcstats.com/fight-details/e5872dfa5b93fcbb</t>
  </si>
  <si>
    <t>Davi Ramos vs. Arman Tsarukyan</t>
  </si>
  <si>
    <t>David Lethaby 27 - 30.Clemens Werner 27 - 30.Lukasz Bosacki 28 - 29.</t>
  </si>
  <si>
    <t>http://ufcstats.com/fight-details/ecb24300bb3bef8c</t>
  </si>
  <si>
    <t>Leonardo Santos vs. Roman Bogatov</t>
  </si>
  <si>
    <t>Lukasz Bosacki 26 - 29.Ben Cartlidge 26 - 29.Clemens Werner 26 - 29.</t>
  </si>
  <si>
    <t>http://ufcstats.com/fight-details/7c76c752c7abf2e0</t>
  </si>
  <si>
    <t>Clay Guida vs. Bobby Green</t>
  </si>
  <si>
    <t>Derek Cleary 28 - 29.Ron McCarthy 28 - 29.Chris Lee 27 - 30.</t>
  </si>
  <si>
    <t>http://ufcstats.com/fight-details/d851cbbbdfd05a49</t>
  </si>
  <si>
    <t>Gabriel Benitez vs. Omar Morales</t>
  </si>
  <si>
    <t>Howard Reichbach 27 - 30.Sal D'amato 28 - 29.Derek Cleary 28 - 29.</t>
  </si>
  <si>
    <t>http://ufcstats.com/fight-details/918103d82ecbed75</t>
  </si>
  <si>
    <t>Francisco Trinaldo vs. John Makdessi</t>
  </si>
  <si>
    <t>Sal D'amato 27 - 30.Joseph Terrell 27 - 30.Mike Bell 28 - 29.</t>
  </si>
  <si>
    <t>http://ufcstats.com/fight-details/dc45c8d70e256749</t>
  </si>
  <si>
    <t>Mark Madsen vs. Austin Hubbard</t>
  </si>
  <si>
    <t>Eric Colon 28 - 29.Dave Hagen 28 - 29.Ron McCarthy 28 - 29.</t>
  </si>
  <si>
    <t>http://ufcstats.com/fight-details/60c441c5838dfac2</t>
  </si>
  <si>
    <t>Luis Pena vs. Steve Garcia</t>
  </si>
  <si>
    <t>Chris Lee 27 - 30.Lisa Cuellar 27 - 30.Brian Costello 27 - 30.</t>
  </si>
  <si>
    <t>http://ufcstats.com/fight-details/9d2f7d29bb9c9034</t>
  </si>
  <si>
    <t>Lando Vannata vs. Yancy Medeiros</t>
  </si>
  <si>
    <t>Tony Weeks 27 - 30.Ester Lopez 27 - 30.Derek Cleary 27 - 30.</t>
  </si>
  <si>
    <t>http://ufcstats.com/fight-details/eab100e978c730c5</t>
  </si>
  <si>
    <t>Jim Miller vs. Scott Holtzman</t>
  </si>
  <si>
    <t>Sal D'amato 27 - 30.Ester Lopez 28 - 29.Tony Weeks 28 - 29.</t>
  </si>
  <si>
    <t>http://ufcstats.com/fight-details/f3e2038bfb9b5d9d</t>
  </si>
  <si>
    <t>Dong Hyun Ma vs. Omar Morales</t>
  </si>
  <si>
    <t>Anthony Dimitriou 26 - 30.Mark Collett 27 - 30.Paul Sutherland 28 - 29.</t>
  </si>
  <si>
    <t>http://ufcstats.com/fight-details/9140e6fdeaa7cd3f</t>
  </si>
  <si>
    <t>Joe Solecki vs. Matt Wiman</t>
  </si>
  <si>
    <t>David Braslow 26 - 30.Sal D'amato 26 - 30.Steve Rados 27 - 30.</t>
  </si>
  <si>
    <t>http://ufcstats.com/fight-details/a3f89ad71e1caa81</t>
  </si>
  <si>
    <t>Francisco Trinaldo vs. Bobby Green</t>
  </si>
  <si>
    <t>Sal D'amato 27 - 30.Marcelo Vilhena 28 - 29.Guilherme Bravo 28 - 29.</t>
  </si>
  <si>
    <t>http://ufcstats.com/fight-details/22307b580e0c8d0d</t>
  </si>
  <si>
    <t>Alexander Yakovlev vs. Roosevelt Roberts</t>
  </si>
  <si>
    <t>Lukasz Porebski 28 - 29.Howard Hughes 28 - 29.Clemens Werner 28 - 29.</t>
  </si>
  <si>
    <t>http://ufcstats.com/fight-details/a7807ab56cb49cad</t>
  </si>
  <si>
    <t>Alex White vs. Rafael Fiziev</t>
  </si>
  <si>
    <t>Barry Foley 28 - 29.Pawel Harasim 27 - 30.Takeo Kobayashi 27 - 30.</t>
  </si>
  <si>
    <t>http://ufcstats.com/fight-details/1c91deb42b991d18</t>
  </si>
  <si>
    <t>Al Iaquinta vs. Dan Hooker</t>
  </si>
  <si>
    <t>Richie Gerrard 27 - 30.Garth Harriman 27 - 30.David Lethaby 26 - 30.</t>
  </si>
  <si>
    <t>http://ufcstats.com/fight-details/0697d5520b74a8df</t>
  </si>
  <si>
    <t>Brad Riddell vs. Jamie Mullarkey</t>
  </si>
  <si>
    <t>Christopher Shen 27 - 29.Ben Cartlidge 26 - 30.Charlie Keech 26 - 30.</t>
  </si>
  <si>
    <t>http://ufcstats.com/fight-details/83d59f5e52e0ac46</t>
  </si>
  <si>
    <t>Marc Diakiese vs. Lando Vannata</t>
  </si>
  <si>
    <t>Nicolaj Bulow 27 - 30.Cezary Wojciechowski 27 - 30.Andreas Gruner 26 - 30.</t>
  </si>
  <si>
    <t>http://ufcstats.com/fight-details/951968aa52a84928</t>
  </si>
  <si>
    <t>Claudio Puelles vs. Marcos Mariano</t>
  </si>
  <si>
    <t>Derek Cleary 25 - 30.Brian Puccillo 25 - 30.Bladimir Puga 25 - 30.</t>
  </si>
  <si>
    <t>http://ufcstats.com/fight-details/4f7ec66199bba232</t>
  </si>
  <si>
    <t>Kyle Prepolec vs. Austin Hubbard</t>
  </si>
  <si>
    <t>Mike Bell 28 - 29.Clayton Weich 28 - 29.David Therien 28 - 29.</t>
  </si>
  <si>
    <t>http://ufcstats.com/fight-details/acf658afda38d8af</t>
  </si>
  <si>
    <t>Islam Makhachev vs. Davi Ramos</t>
  </si>
  <si>
    <t>Ben Cartlidge 27 - 29.Mark Collett 26 - 30.Clemens Werner 26 - 30.</t>
  </si>
  <si>
    <t>http://ufcstats.com/fight-details/849eb47d349f3fe4</t>
  </si>
  <si>
    <t>Mairbek Taisumov vs. Diego Ferreira</t>
  </si>
  <si>
    <t>Howie Booth 28 - 29.Mark Collett 27 - 29.David Lethaby 27 - 29.</t>
  </si>
  <si>
    <t>http://ufcstats.com/fight-details/8accd04438b91262</t>
  </si>
  <si>
    <t>Don Madge vs. Fares Ziam</t>
  </si>
  <si>
    <t>Ben Cartlidge 27 - 30.Mark Collett 27 - 30.David Lethaby 28 - 29.</t>
  </si>
  <si>
    <t>http://ufcstats.com/fight-details/84d4b658851b7e0e</t>
  </si>
  <si>
    <t>Damir Ismagulov vs. Thiago Moises</t>
  </si>
  <si>
    <t>Anthony Dimitriou 26 - 30.Garth Harriman 27 - 30.Albert Shen 27 - 30.</t>
  </si>
  <si>
    <t>http://ufcstats.com/fight-details/060dfbc982c6c4ef</t>
  </si>
  <si>
    <t>Christos Giagos vs. Drakkar Klose</t>
  </si>
  <si>
    <t>Ron McCarthy 28 - 29.Luis Cobian 28 - 29.Guilherme Bravo 28 - 29.</t>
  </si>
  <si>
    <t>http://ufcstats.com/fight-details/25e1d17d072227c6</t>
  </si>
  <si>
    <t>Kazula Vargas vs. Alex Da Silva</t>
  </si>
  <si>
    <t>Guilherme Bravo 27 - 30.Fabio Alves 27 - 30.Eric Colon 27 - 30.</t>
  </si>
  <si>
    <t>http://ufcstats.com/fight-details/975159720cfd0103</t>
  </si>
  <si>
    <t>Olivier Aubin-Mercier vs. Arman Tsarukyan</t>
  </si>
  <si>
    <t>Thomas Collins 28 - 29.Chris Lee 28 - 29.Brian Puccillo 28 - 29.</t>
  </si>
  <si>
    <t>http://ufcstats.com/fight-details/7ed98f8d1ffae082</t>
  </si>
  <si>
    <t>Alexander Hernandez vs. Francisco Trinaldo</t>
  </si>
  <si>
    <t>Marcos Rosales 27 - 30.Ruben Carrion 27 - 30.Gino Garcia 28 - 29.</t>
  </si>
  <si>
    <t>http://ufcstats.com/fight-details/c92308bbd6107b11</t>
  </si>
  <si>
    <t>Roosevelt Roberts vs. Vinc Pichel</t>
  </si>
  <si>
    <t>Chris Lee 28 - 29.Derek Cleary 28 - 29.Nick Vogel 28 - 29.</t>
  </si>
  <si>
    <t>http://ufcstats.com/fight-details/2b01da1699f0305f</t>
  </si>
  <si>
    <t>Jared Gordon vs. Dan Moret</t>
  </si>
  <si>
    <t>Kyle Shiely 27 - 30.Sal D'amato 27 - 30.Derek Cleary 28 - 29.</t>
  </si>
  <si>
    <t>http://ufcstats.com/fight-details/3f8c6e31ebbe54bc</t>
  </si>
  <si>
    <t>Damir Hadzovic vs. Christos Giagos</t>
  </si>
  <si>
    <t>Madelein Fagerlind 27 - 30.David Lethaby 27 - 29.Ben Cartlidge 28 - 29.</t>
  </si>
  <si>
    <t>http://ufcstats.com/fight-details/a5acaa5f693529dd</t>
  </si>
  <si>
    <t>Davi Ramos vs. Austin Hubbard</t>
  </si>
  <si>
    <t>Bryan Miner 27 - 30.Sal D'amato 27 - 30.Eric Colon 27 - 30.</t>
  </si>
  <si>
    <t>http://ufcstats.com/fight-details/65c1ca715dfdbe05</t>
  </si>
  <si>
    <t>Desmond Green vs. Charles Jourdain</t>
  </si>
  <si>
    <t>Tim Corrado 27 - 30.Bryan Miner 27 - 30.Eric Colon 28 - 29.</t>
  </si>
  <si>
    <t>http://ufcstats.com/fight-details/031647c36d12788f</t>
  </si>
  <si>
    <t>Thiago Moises vs. Kurt Holobaugh</t>
  </si>
  <si>
    <t>Fabio Alves 26 - 30.Guilherme Bravo 26 - 30.Sal D'amato 27 - 30.</t>
  </si>
  <si>
    <t>http://ufcstats.com/fight-details/017c090e9e8d2957</t>
  </si>
  <si>
    <t>BJ Penn vs. Clay Guida</t>
  </si>
  <si>
    <t>Fabio Alves 28 - 29.Derek Cleary 28 - 29.Hallison Pontes 27 - 29.</t>
  </si>
  <si>
    <t>http://ufcstats.com/fight-details/0febad4c4a3d69fc</t>
  </si>
  <si>
    <t>Roosevelt Roberts vs. Thomas Gifford</t>
  </si>
  <si>
    <t>Sal D'amato 27 - 30.Chris Lee 27 - 30.Derek Cleary 27 - 30.</t>
  </si>
  <si>
    <t>http://ufcstats.com/fight-details/721d870849de4a57</t>
  </si>
  <si>
    <t>Islam Makhachev vs. Arman Tsarukyan</t>
  </si>
  <si>
    <t>Lukasz Bosacki 27 - 30.Howard Hughes 27 - 30.David Lethaby 28 - 29.</t>
  </si>
  <si>
    <t>http://ufcstats.com/fight-details/103a7d8c4f17714b</t>
  </si>
  <si>
    <t>Jalin Turner vs. Matt Frevola</t>
  </si>
  <si>
    <t>Will Fisher 27 - 30.Sal D'amato 27 - 30.Derek Cleary 27 - 30.</t>
  </si>
  <si>
    <t>http://ufcstats.com/fight-details/31b283a5559ad44d</t>
  </si>
  <si>
    <t>John Makdessi vs. Jesus Pinedo</t>
  </si>
  <si>
    <t>Rick Winter 27 - 30.Tony Weeks 27 - 30.Anthony Maness 28 - 29.</t>
  </si>
  <si>
    <t>http://ufcstats.com/fight-details/ced0e31df74f27d6</t>
  </si>
  <si>
    <t>Marc Diakiese vs. Joe Duffy</t>
  </si>
  <si>
    <t>Mark Collett 27 - 30.Junichiro Kamijo 27 - 30.Andy Roberts 27 - 30.</t>
  </si>
  <si>
    <t>http://ufcstats.com/fight-details/44ab00737c3fb890</t>
  </si>
  <si>
    <t>Alex White vs. Dan Moret</t>
  </si>
  <si>
    <t>Greg DiVilbiss 28 - 29.Mike Bell 28 - 29.Chris Lee 28 - 29.</t>
  </si>
  <si>
    <t>http://ufcstats.com/fight-details/6c9bf1d285cf5dd4</t>
  </si>
  <si>
    <t>Rustam Khabilov vs. Diego Ferreira</t>
  </si>
  <si>
    <t>Cezary Wojciechowski 27 - 30.Paul Sutherland 27 - 30.David Lethaby 28 - 29.</t>
  </si>
  <si>
    <t>http://ufcstats.com/fight-details/9af62d6e404c1002</t>
  </si>
  <si>
    <t>Damir Ismagulov vs. Joel Alvarez</t>
  </si>
  <si>
    <t>Jakub Muller</t>
  </si>
  <si>
    <t>Ben Cartlidge 27 - 30.Mark Collett 27 - 30.Zdenek Ledvina 27 - 30.</t>
  </si>
  <si>
    <t>http://ufcstats.com/fight-details/e4b13f7f43018ec0</t>
  </si>
  <si>
    <t>James Vick vs. Paul Felder</t>
  </si>
  <si>
    <t>Raul Porrata 28 - 29.Mike Bell 27 - 30.Derek Cleary 27 - 30.</t>
  </si>
  <si>
    <t>http://ufcstats.com/fight-details/a212e4c197983ad1</t>
  </si>
  <si>
    <t>Scott Holtzman vs. Nik Lentz</t>
  </si>
  <si>
    <t>Chris Flores 28 - 29.Dennis O'Connell 28 - 29.Mike Bell 28 - 29.</t>
  </si>
  <si>
    <t>http://ufcstats.com/fight-details/f96f719ad667dd96</t>
  </si>
  <si>
    <t>Dennis Bermudez vs. Te Edwards</t>
  </si>
  <si>
    <t>Doug Crosby 26 - 30.Sal D'amato 26 - 30.Darryl Porter 26 - 30.</t>
  </si>
  <si>
    <t>http://ufcstats.com/fight-details/2ea1f463620bcd3d</t>
  </si>
  <si>
    <t>Bobby Green vs. Drakkar Klose</t>
  </si>
  <si>
    <t>Sal D'amato 28 - 29.Rick Winter 28 - 29.Brian Puccillo 28 - 29.</t>
  </si>
  <si>
    <t>http://ufcstats.com/fight-details/b69d3d55c84f5dd6</t>
  </si>
  <si>
    <t>Olivier Aubin-Mercier vs. Gilbert Burns</t>
  </si>
  <si>
    <t>Eric Colon 27 - 30.Declan Woods 27 - 30.Sal D'amato 28 - 29.</t>
  </si>
  <si>
    <t>http://ufcstats.com/fight-details/1fa8537d3992a09a</t>
  </si>
  <si>
    <t>Mizuto Hirota vs. Christos Giagos</t>
  </si>
  <si>
    <t>Howard Hughes 28 - 29.Howie Booth 27 - 29.Kon Papaioannou 28 - 30.</t>
  </si>
  <si>
    <t>http://ufcstats.com/fight-details/69279781a89c893e</t>
  </si>
  <si>
    <t>Alex Gorgees vs. Damir Ismagulov</t>
  </si>
  <si>
    <t>Anthony Dimitriou 25 - 30.Evan Field 26 - 30.Charlie Keech 26 - 30.</t>
  </si>
  <si>
    <t>http://ufcstats.com/fight-details/44c60f91b4f7b23d</t>
  </si>
  <si>
    <t>Devin Powell vs. Jesus Pinedo</t>
  </si>
  <si>
    <t>Mike Bell 28 - 29.Hallison Pontes 27 - 30.Joseph Terrell 27 - 30.</t>
  </si>
  <si>
    <t>http://ufcstats.com/fight-details/9cd172df74575fd4</t>
  </si>
  <si>
    <t>Beneil Dariush vs. Thiago Moises</t>
  </si>
  <si>
    <t>Sal D'amato 25 - 30.Derek Cleary 25 - 30.Hale Hilsabeck 26 - 30.</t>
  </si>
  <si>
    <t>http://ufcstats.com/fight-details/14cf0828d6e373ab</t>
  </si>
  <si>
    <t>Thibault Gouti vs. Nasrat Haqparast</t>
  </si>
  <si>
    <t>Barry Gallant</t>
  </si>
  <si>
    <t>Doug Crosby 27 - 29.Paul Deiron 27 - 29.Declan Woods 26 - 30.</t>
  </si>
  <si>
    <t>http://ufcstats.com/fight-details/3d7ea6012fd8f786</t>
  </si>
  <si>
    <t>Stevie Ray vs. Jessin Ayari</t>
  </si>
  <si>
    <t>Bob Leblanc 28 - 29.Paul Deiron 28 - 29.Hubert Earle 27 - 30.</t>
  </si>
  <si>
    <t>http://ufcstats.com/fight-details/53bb7c4a606d60c0</t>
  </si>
  <si>
    <t>Mairbek Taisumov vs. Desmond Green</t>
  </si>
  <si>
    <t>Mark Collett 27 - 30.Derek Cleary 27 - 30.Pawel Harasim 27 - 30.</t>
  </si>
  <si>
    <t>http://ufcstats.com/fight-details/f56c6646b54c0662</t>
  </si>
  <si>
    <t>Drew Dober vs. Jon Tuck</t>
  </si>
  <si>
    <t>Matt Prieto 27 - 30.Derek Cleary 26 - 30.Sal D'amato 26 - 30.</t>
  </si>
  <si>
    <t>http://ufcstats.com/fight-details/047d6739aa1d5c1e</t>
  </si>
  <si>
    <t>Alexander Hernandez vs. Olivier Aubin-Mercier</t>
  </si>
  <si>
    <t>Greg Jackson 27 - 30.Derek Cleary 28 - 29.Chris Lee 28 - 29.</t>
  </si>
  <si>
    <t>http://ufcstats.com/fight-details/ef2c7bfced561374</t>
  </si>
  <si>
    <t>John Makdessi vs. Ross Pearson</t>
  </si>
  <si>
    <t>Derek Cleary 26 - 30.Chris Lee 27 - 29.Greg Jackson 28 - 29.</t>
  </si>
  <si>
    <t>http://ufcstats.com/fight-details/3249bbbb7ce837ef</t>
  </si>
  <si>
    <t>Nasrat Haqparast vs. Marc Diakiese</t>
  </si>
  <si>
    <t>Mark Collett 27 - 30.Andreas Gruner 27 - 30.David Lethaby 26 - 30.</t>
  </si>
  <si>
    <t>http://ufcstats.com/fight-details/4f16ef3e707447a0</t>
  </si>
  <si>
    <t>Lando Vannata vs. Drakkar Klose</t>
  </si>
  <si>
    <t>Sal D'amato 27 - 30.Junichiro Kamijo 27 - 30.Adalaide Byrd 27 - 30.</t>
  </si>
  <si>
    <t>http://ufcstats.com/fight-details/2817a6f9e09eb15f</t>
  </si>
  <si>
    <t>Nik Lentz vs. David Teymur</t>
  </si>
  <si>
    <t>Eric Colon 27 - 30.Tim Corrado 27 - 30.Doug Crosby 28 - 29.</t>
  </si>
  <si>
    <t>http://ufcstats.com/fight-details/a25633b1494f1360</t>
  </si>
  <si>
    <t>Desmond Green vs. Gleison Tibau</t>
  </si>
  <si>
    <t>Eric Colon 27 - 30.Tim Corrado 27 - 30.Sal D'amato 27 - 29.</t>
  </si>
  <si>
    <t>http://ufcstats.com/fight-details/19fc916df1f0e6ff</t>
  </si>
  <si>
    <t>James Vick vs. Francisco Trinaldo</t>
  </si>
  <si>
    <t>Marcos Rosales 28 - 29.Nick Wright 28 - 29.Chris Lee 28 - 29.</t>
  </si>
  <si>
    <t>http://ufcstats.com/fight-details/6ae96d1de3bb0506</t>
  </si>
  <si>
    <t>Sage Northcutt vs. Thibault Gouti</t>
  </si>
  <si>
    <t>Marcos Rosales 28 - 29.Jay Stafin 28 - 29.Chris Lee 28 - 29.</t>
  </si>
  <si>
    <t>http://ufcstats.com/fight-details/aeac1209f15157ed</t>
  </si>
  <si>
    <t>Ross Pearson vs. Mizuto Hirota</t>
  </si>
  <si>
    <t>27 - 30.27 - 30.28 - 29.</t>
  </si>
  <si>
    <t>http://ufcstats.com/fight-details/e8f2902be7b350ad</t>
  </si>
  <si>
    <t>Michel Prazeres vs. Desmond Green</t>
  </si>
  <si>
    <t>Guilherme Bravo 27 - 30.Phillipe Iorio 28 - 29.Tony Weeks 28 - 29.</t>
  </si>
  <si>
    <t>http://ufcstats.com/fight-details/ee1c1e9037fee21e</t>
  </si>
  <si>
    <t>Alan Patrick vs. Damir Hadzovic</t>
  </si>
  <si>
    <t>Guilherme Bravo 25 - 30.Phillipe Iorio 27 - 30.Joseph Terrell 27 - 30.</t>
  </si>
  <si>
    <t>http://ufcstats.com/fight-details/59b384dcc3ab49b2</t>
  </si>
  <si>
    <t>Erik Koch vs. Bobby Green</t>
  </si>
  <si>
    <t>Sal D'amato 28 - 29.Cardo Urso 28 - 29.Steve Elliott 28 - 29.</t>
  </si>
  <si>
    <t>http://ufcstats.com/fight-details/04a1c5b7993fe4d5</t>
  </si>
  <si>
    <t>Vinc Pichel vs. Joaquim Silva</t>
  </si>
  <si>
    <t>Andrew Hopper Jr. 28 - 29.Derek Cleary 28 - 29.Pedro Claudio 28 - 29.</t>
  </si>
  <si>
    <t>http://ufcstats.com/fight-details/ce4314886c57718b</t>
  </si>
  <si>
    <t>James Krause vs. Alex White</t>
  </si>
  <si>
    <t>Sal D'amato 28 - 29.Travis Buesking 28 - 29.Chris Lee 28 - 29.</t>
  </si>
  <si>
    <t>http://ufcstats.com/fight-details/3b1453df439a5024</t>
  </si>
  <si>
    <t>Khabib Nurmagomedov vs. Edson Barboza</t>
  </si>
  <si>
    <t>Junichiro Kamijo 25 - 30.Sal D'amato 25 - 30.Glenn Trowbridge 24 - 30.</t>
  </si>
  <si>
    <t>http://ufcstats.com/fight-details/a88a4c126d585320</t>
  </si>
  <si>
    <t>John Makdessi vs. Abel Trujillo</t>
  </si>
  <si>
    <t>Sal D'amato 27 - 30.Greg Jackson 27 - 30.Chris Lee 27 - 30.</t>
  </si>
  <si>
    <t>http://ufcstats.com/fight-details/9a1a57b0abcd4599</t>
  </si>
  <si>
    <t>Scott Holtzman vs. Darrell Horcher</t>
  </si>
  <si>
    <t>Derek Cleary 27 - 30.Ron McCarthy 27 - 30.Jason McCoy 27 - 30.</t>
  </si>
  <si>
    <t>http://ufcstats.com/fight-details/6fe21a4cb2d839fd</t>
  </si>
  <si>
    <t>David Teymur vs. Drakkar Klose</t>
  </si>
  <si>
    <t>Derek Cleary 27 - 30.Chris Lee 27 - 30.Eric Colon 28 - 29.</t>
  </si>
  <si>
    <t>http://ufcstats.com/fight-details/676320a61f800f10</t>
  </si>
  <si>
    <t>Sage Northcutt vs. Michel Quinones</t>
  </si>
  <si>
    <t>Luc Belhumeur 27 - 30.Ron Rodriquez 27 - 30.Derek Cleary 27 - 30.</t>
  </si>
  <si>
    <t>http://ufcstats.com/fight-details/60de5efe5b439c8b</t>
  </si>
  <si>
    <t>Francisco Trinaldo vs. Jim Miller</t>
  </si>
  <si>
    <t>Dave Tirelli 28 - 29.Phillipe Iorio 28 - 29.Marcos Rosales 28 - 29.</t>
  </si>
  <si>
    <t>http://ufcstats.com/fight-details/bed03663bc577f02</t>
  </si>
  <si>
    <t>Hacran Dias vs. Jared Gordon</t>
  </si>
  <si>
    <t>Guilherme Bravo 26 - 29.Phillipe Iorio 27 - 29.Hallison Pontes 26 - 30.</t>
  </si>
  <si>
    <t>http://ufcstats.com/fight-details/f9e07282f3444d09</t>
  </si>
  <si>
    <t>Marcin Held vs. Nasrat Haqparast</t>
  </si>
  <si>
    <t>Mark Collett 27 - 30.Pawel Harasim 27 - 30.Paul Sutherland 27 - 30.</t>
  </si>
  <si>
    <t>http://ufcstats.com/fight-details/61070325bb440f58</t>
  </si>
  <si>
    <t>Rustam Khabilov vs. Desmond Green</t>
  </si>
  <si>
    <t>Takeo Kobayashi 28 - 29.Paul Sutherland 28 - 29.Andy Roberts 27 - 30.</t>
  </si>
  <si>
    <t>http://ufcstats.com/fight-details/605c2ad801f594b3</t>
  </si>
  <si>
    <t>Frankie Perez vs. Chris Wade</t>
  </si>
  <si>
    <t>Sal D'amato 28 - 29.Jeff Mullen 28 - 29.Dave Tirelli 27 - 30.</t>
  </si>
  <si>
    <t>http://ufcstats.com/fight-details/b2297232b9310ba5</t>
  </si>
  <si>
    <t>Danny Henry vs. Daniel Teymur</t>
  </si>
  <si>
    <t>Pawel Harasim 28 - 29.Howard Hughes 28 - 29.Mark Collett 26 - 29.</t>
  </si>
  <si>
    <t>http://ufcstats.com/fight-details/a0909aab15ba53c5</t>
  </si>
  <si>
    <t>Anthony Pettis vs. Jim Miller</t>
  </si>
  <si>
    <t>Derek Cleary 27 - 30.Sal D'amato 27 - 30.Marcos Rosales 27 - 30.</t>
  </si>
  <si>
    <t>http://ufcstats.com/fight-details/1f49b59e4058568f</t>
  </si>
  <si>
    <t>Clay Guida vs. Erik Koch</t>
  </si>
  <si>
    <t>David Sutherland 28 - 29.Glenn Trowbridge 26 - 29.Brian Puccillo 26 - 30.</t>
  </si>
  <si>
    <t>http://ufcstats.com/fight-details/9a79a4b97a0f1e24</t>
  </si>
  <si>
    <t>Anthony Rocco Martin vs. Johnny Case</t>
  </si>
  <si>
    <t>David Sutherland 28 - 29.Glenn Trowbridge 28 - 29.Brian Puccillo 28 - 29.</t>
  </si>
  <si>
    <t>http://ufcstats.com/fight-details/eafda776967c6444</t>
  </si>
  <si>
    <t>Scott Holtzman vs. Michael McBride</t>
  </si>
  <si>
    <t>Derek Cleary 27 - 30.Dave Tirelli 27 - 30.Chris Lee 26 - 30.</t>
  </si>
  <si>
    <t>http://ufcstats.com/fight-details/cf18911df2052826</t>
  </si>
  <si>
    <t>Joe Duffy vs. Reza Madadi</t>
  </si>
  <si>
    <t>Ben Cartlidge 27 - 30.Pawel Harasim 27 - 30.Takeo Kobayashi 27 - 30.</t>
  </si>
  <si>
    <t>http://ufcstats.com/fight-details/55f727e00553035d</t>
  </si>
  <si>
    <t>Lando Vannata vs. David Teymur</t>
  </si>
  <si>
    <t>Junichiro Kamijo 27 - 30.Marcos Rosales 27 - 30.Jeff Mullen 27 - 30.</t>
  </si>
  <si>
    <t>http://ufcstats.com/fight-details/7ac4b9823b1e139b</t>
  </si>
  <si>
    <t>Nik Lentz vs. Islam Makhachev</t>
  </si>
  <si>
    <t>Chris Lee 25 - 30.Eric Colon 25 - 30.Doug Crosby 27 - 30.</t>
  </si>
  <si>
    <t>http://ufcstats.com/fight-details/ddd9e64d97b095f9</t>
  </si>
  <si>
    <t>Devin Powell vs. Drakkar Klose</t>
  </si>
  <si>
    <t>Brad Frank 27 - 30.Derek Cleary 27 - 30.Marcos Rosales 27 - 30.</t>
  </si>
  <si>
    <t>http://ufcstats.com/fight-details/bbb67c2ac4453d64</t>
  </si>
  <si>
    <t>Anthony Rocco Martin vs. Alex White</t>
  </si>
  <si>
    <t>Chris Flores 27 - 30.Jeff Mullen 27 - 30.Junichiro Kamijo 27 - 30.</t>
  </si>
  <si>
    <t>http://ufcstats.com/fight-details/8156479490877d08</t>
  </si>
  <si>
    <t>Josh Emmett vs. Scott Holtzman</t>
  </si>
  <si>
    <t>Mike Guingona 28 - 29.Wade Vierra 28 - 29.Brandon Saucedo 28 - 29.</t>
  </si>
  <si>
    <t>http://ufcstats.com/fight-details/7979888b1fb5eb39</t>
  </si>
  <si>
    <t>Jason Saggo vs. Rustam Khabilov</t>
  </si>
  <si>
    <t>David Therien 27 - 30.Pasquale Procopio 27 - 30.Patrick Goulah 27 - 30.</t>
  </si>
  <si>
    <t>http://ufcstats.com/fight-details/8b983e834df0c6c4</t>
  </si>
  <si>
    <t>Frankie Perez vs. Marc Diakiese</t>
  </si>
  <si>
    <t>Dominic Carolei 28 - 29.Glenn Trowbridge 28 - 29.Cardo Urso 28 - 29.</t>
  </si>
  <si>
    <t>http://ufcstats.com/fight-details/a71febed166b7d42</t>
  </si>
  <si>
    <t>Dong Hyun Ma vs. Brendan O'Reilly</t>
  </si>
  <si>
    <t>Sal D'amato 28 - 29.Glenn Trowbridge 28 - 29.Rick Winter 28 - 29.</t>
  </si>
  <si>
    <t>http://ufcstats.com/fight-details/c5d48ca7c22f857e</t>
  </si>
  <si>
    <t>Diego Sanchez vs. Marcin Held</t>
  </si>
  <si>
    <t>Sal D'amato 28 - 29.Brian Puccillo 28 - 29.Chris Lee 27 - 29.</t>
  </si>
  <si>
    <t>http://ufcstats.com/fight-details/c5a8e0098d1024ce</t>
  </si>
  <si>
    <t>Beneil Dariush vs. Rashid Magomedov</t>
  </si>
  <si>
    <t>Derek Cleary 27 - 30.Sal D'amato 27 - 30.Chris Lee 28 - 29.</t>
  </si>
  <si>
    <t>http://ufcstats.com/fight-details/00494c77d2a88f8c</t>
  </si>
  <si>
    <t>Gilbert Burns vs. Michel Prazeres</t>
  </si>
  <si>
    <t>Guilherme Bravo 27 - 30.Hallison Pontes 27 - 30.Joseph Terrell 27 - 30.</t>
  </si>
  <si>
    <t>http://ufcstats.com/fight-details/6f2a4a2f769eb9e3</t>
  </si>
  <si>
    <t>Alan Patrick vs. Stevie Ray</t>
  </si>
  <si>
    <t>Joseph Terrell 28 - 29.Fabio Alves 28 - 29.Guilherme Bravo 27 - 30.</t>
  </si>
  <si>
    <t>http://ufcstats.com/fight-details/1afa8d6ae4d8a5b2</t>
  </si>
  <si>
    <t>Glaico Franca Moreira vs. Gregor Gillespie</t>
  </si>
  <si>
    <t>Guilherme Bravo 27 - 29.Sal D'amato 27 - 29.Fabio Alves 27 - 29.</t>
  </si>
  <si>
    <t>http://ufcstats.com/fight-details/fae3f395669b7285</t>
  </si>
  <si>
    <t>Evan Dunham vs. Ricky Glenn</t>
  </si>
  <si>
    <t>Hector Maldonado 27 - 30.Guadalupe Chapa 27 - 30.Adriana Beltran 27 - 30.</t>
  </si>
  <si>
    <t>http://ufcstats.com/fight-details/0596fc5eba5c1fe0</t>
  </si>
  <si>
    <t>Chris Wade vs. Islam Makhachev</t>
  </si>
  <si>
    <t>Hector Maldonado 28 - 29.Guadalupe Chapa 28 - 29.Adriana Beltran 28 - 29.</t>
  </si>
  <si>
    <t>http://ufcstats.com/fight-details/144b0c1dd6c909f3</t>
  </si>
  <si>
    <t>Nick Hein vs. Tae Hyun Bang</t>
  </si>
  <si>
    <t>Mark Collett 28 - 29.Howard Hughes 27 - 30.Andy Roberts 28 - 29.</t>
  </si>
  <si>
    <t>http://ufcstats.com/fight-details/31dd8b5d6444f19b</t>
  </si>
  <si>
    <t>Rustam Khabilov vs. Leandro Silva</t>
  </si>
  <si>
    <t>Mark Collett 28 - 29.Clemens Werner 28 - 29.Andy Roberts 27 - 30.</t>
  </si>
  <si>
    <t>http://ufcstats.com/fight-details/c5c1deb1607f69b4</t>
  </si>
  <si>
    <t>Jeremy Kennedy vs. Alex Ricci</t>
  </si>
  <si>
    <t>David Therien 27 - 30.Mitchell Cadlick 27 - 30.Sal D'amato 28 - 29.</t>
  </si>
  <si>
    <t>http://ufcstats.com/fight-details/f7114bf73eec4022</t>
  </si>
  <si>
    <t>Edson Barboza vs. Gilbert Melendez</t>
  </si>
  <si>
    <t>Rick Winter 27 - 30.Sal D'amato 27 - 30.Brian Puccillo 28 - 29.</t>
  </si>
  <si>
    <t>http://ufcstats.com/fight-details/b1dee00c3052e65e</t>
  </si>
  <si>
    <t>Michel Prazeres vs. JC Cottrell</t>
  </si>
  <si>
    <t>Brandon Mason 26 - 30.Sal D'amato 27 - 30.Brian Puccillo 27 - 30.</t>
  </si>
  <si>
    <t>http://ufcstats.com/fight-details/adb86e0206cba97d</t>
  </si>
  <si>
    <t>Scott Holtzman vs. Cody Pfister</t>
  </si>
  <si>
    <t>Tom Allstot 27 - 30.Derek Cleary 27 - 30.Rick Winter 28 - 29.</t>
  </si>
  <si>
    <t>http://ufcstats.com/fight-details/5b6451f3f83c719c</t>
  </si>
  <si>
    <t>Sage Northcutt vs. Enrique Marin</t>
  </si>
  <si>
    <t>Derek Cleary 28 - 29.Adalaide Byrd 28 - 29.Glenn Trowbridge 28 - 29.</t>
  </si>
  <si>
    <t>http://ufcstats.com/fight-details/d1aaef0d7f0c8e8b</t>
  </si>
  <si>
    <t>Ross Pearson vs. Will Brooks</t>
  </si>
  <si>
    <t>Patricia Morse-Jarman 28 - 29.Derek Cleary 28 - 29.Sal D'amato 28 - 29.</t>
  </si>
  <si>
    <t>http://ufcstats.com/fight-details/1299f04f429bcc0e</t>
  </si>
  <si>
    <t>Joshua Burkman vs. Paul Felder</t>
  </si>
  <si>
    <t>Marcos Rosales 28 - 29.Tony Weeks 28 - 29.Chris Lee 28 - 29.</t>
  </si>
  <si>
    <t>http://ufcstats.com/fight-details/6387fdb44c61ccdb</t>
  </si>
  <si>
    <t>Abel Trujillo vs. Jordan Rinaldi</t>
  </si>
  <si>
    <t>Chris Lee 28 - 29.Patricia Morse-Jarman 28 - 29.Glenn Trowbridge 28 - 29.</t>
  </si>
  <si>
    <t>http://ufcstats.com/fight-details/f457d55f78d581f9</t>
  </si>
  <si>
    <t>Francisco Trinaldo vs. Yancy Medeiros</t>
  </si>
  <si>
    <t>Glenn Trowbridge 26 - 29.Joseph Terrell 27 - 30.Hallison Pontes 26 - 30.</t>
  </si>
  <si>
    <t>http://ufcstats.com/fight-details/65d777a16fce2be8</t>
  </si>
  <si>
    <t>Rustam Khabilov vs. Chris Wade</t>
  </si>
  <si>
    <t>http://ufcstats.com/fight-details/97e895b7c2cb9db4</t>
  </si>
  <si>
    <t>Anthony Pettis vs. Edson Barboza</t>
  </si>
  <si>
    <t>Sal D'amato 28 - 29.Marcos Rosales 28 - 29.Tony Weeks 27 - 30.</t>
  </si>
  <si>
    <t>http://ufcstats.com/fight-details/8b52a32f3644f493</t>
  </si>
  <si>
    <t>Glaico Franca Moreira vs. James Vick</t>
  </si>
  <si>
    <t>Sal D'amato 28 - 29.Glenn Trowbridge 28 - 29.Tony Weeks 27 - 30.</t>
  </si>
  <si>
    <t>http://ufcstats.com/fight-details/f519753cc38362d0</t>
  </si>
  <si>
    <t>Efrain Escudero vs. Kevin Lee</t>
  </si>
  <si>
    <t>Chris Lee 28 - 29.Patricia Morse-Jarman 28 - 29.Junichiro Kamijo 28 - 29.</t>
  </si>
  <si>
    <t>http://ufcstats.com/fight-details/083a0283b7bc503b</t>
  </si>
  <si>
    <t>Alan Patrick vs. Damien Brown</t>
  </si>
  <si>
    <t>Evan Field 27 - 30.Charlie Keech 27 - 30.Anthony Dimitriou 26 - 30.</t>
  </si>
  <si>
    <t>http://ufcstats.com/fight-details/95d46f7a7e72f91c</t>
  </si>
  <si>
    <t>Diego Sanchez vs. Jim Miller</t>
  </si>
  <si>
    <t>Lester Griffin 28 - 29.Glenn Trowbridge 28 - 29.Tony Weeks 28 - 29.</t>
  </si>
  <si>
    <t>http://ufcstats.com/fight-details/3f3b8dcd16dd7383</t>
  </si>
  <si>
    <t>Norman Parke vs. Rustam Khabilov</t>
  </si>
  <si>
    <t>Howard Hughes 28 - 29.Andy Roberts 28 - 29.Paul Sutherland 28 - 29.</t>
  </si>
  <si>
    <t>http://ufcstats.com/fight-details/b29d4e0117776bb3</t>
  </si>
  <si>
    <t>James Krause vs. Shane Campbell</t>
  </si>
  <si>
    <t>Eric Colon 28 - 29.Phil Rogers 28 - 29.John Lapcevic 28 - 29.</t>
  </si>
  <si>
    <t>http://ufcstats.com/fight-details/b7653a82f4b07b1f</t>
  </si>
  <si>
    <t>Joshua Burkman vs. KJ Noons</t>
  </si>
  <si>
    <t>Adalaide Byrd 27 - 30.Marcos Rosales 27 - 30.Glenn Trowbridge 27 - 30.</t>
  </si>
  <si>
    <t>http://ufcstats.com/fight-details/d0a8304574e65ec9</t>
  </si>
  <si>
    <t>Olivier Aubin-Mercier vs. Diego Ferreira</t>
  </si>
  <si>
    <t>Eric Colon 28 - 29.Maimunah Querido 28 - 29.Cardo Urso 27 - 30.</t>
  </si>
  <si>
    <t>http://ufcstats.com/fight-details/b810951e39a0af1b</t>
  </si>
  <si>
    <t>Ross Pearson vs. Francisco Trinaldo</t>
  </si>
  <si>
    <t>Sal D'amato 27 - 30.David Ginsberg 28 - 29.Tony Weeks 27 - 30.</t>
  </si>
  <si>
    <t>http://ufcstats.com/fight-details/d0dc419dc7acb7e2</t>
  </si>
  <si>
    <t>Scott Holtzman vs. Drew Dober</t>
  </si>
  <si>
    <t>Adalaide Byrd 28 - 29.Sal D'amato 28 - 29.Tony Weeks 28 - 29.</t>
  </si>
  <si>
    <t>http://ufcstats.com/fight-details/99a7172fb7438244</t>
  </si>
  <si>
    <t>Dustin Poirier vs. Joe Duffy</t>
  </si>
  <si>
    <t>Patricia Morse-Jarman 26 - 30.Junichiro Kamijo 27 - 30.Glenn Trowbridge 27 - 30.</t>
  </si>
  <si>
    <t>http://ufcstats.com/fight-details/4fa02674b920ff0a</t>
  </si>
  <si>
    <t>Michael Johnson vs. Nate Diaz</t>
  </si>
  <si>
    <t>Derek Cleary 28 - 29.Chris Lee 28 - 29.Roy Silbert 28 - 29.</t>
  </si>
  <si>
    <t>http://ufcstats.com/fight-details/4942323a5d5a6594</t>
  </si>
  <si>
    <t>Joe Lauzon vs. Evan Dunham</t>
  </si>
  <si>
    <t>Sal D'amato 26 - 30.Derek Cleary 27 - 30.Glenn Trowbridge 26 - 30.</t>
  </si>
  <si>
    <t>http://ufcstats.com/fight-details/991680cd8d0b7900</t>
  </si>
  <si>
    <t>Chris Gruetzemacher vs. Abner Lloveras</t>
  </si>
  <si>
    <t>Lester Griffin 28 - 29.Dave Hagen 28 - 29.Roy Silbert 28 - 29.</t>
  </si>
  <si>
    <t>http://ufcstats.com/fight-details/b22dbe21c21060b9</t>
  </si>
  <si>
    <t>Efrain Escudero vs. Leandro Silva</t>
  </si>
  <si>
    <t>Eric Colon 28 - 29.Marcos Rosales 28 - 29.Roy Silbert 28 - 29.</t>
  </si>
  <si>
    <t>http://ufcstats.com/fight-details/4e3611c9a9e20ff0</t>
  </si>
  <si>
    <t>Gilbert Burns vs. Rashid Magomedov</t>
  </si>
  <si>
    <t>Guilherme Bravo 27 - 30.Chris Lee 27 - 30.Otto Torriero 27 - 30.</t>
  </si>
  <si>
    <t>http://ufcstats.com/fight-details/f0b151cc6c91b259</t>
  </si>
  <si>
    <t>Yan Cabral vs. Johnny Case</t>
  </si>
  <si>
    <t>Marco Borges 28 - 29.Derek Cleary 28 - 29.Alessandro Vieira 28 - 29.</t>
  </si>
  <si>
    <t>http://ufcstats.com/fight-details/dc4f7eaaa2c9d450</t>
  </si>
  <si>
    <t>Norman Parke vs. Reza Madadi</t>
  </si>
  <si>
    <t>Andreas Gruner 27 - 30.Andy Haigh 27 - 30.Paul Sutherland 27 - 30.</t>
  </si>
  <si>
    <t>http://ufcstats.com/fight-details/5ae114b3fdef6d2f</t>
  </si>
  <si>
    <t>Stevie Ray vs. Mickael Lebout</t>
  </si>
  <si>
    <t>Mark Collett 28 - 29.Andreas Gruner 27 - 30.Howard Hughes 27 - 30.</t>
  </si>
  <si>
    <t>http://ufcstats.com/fight-details/665a35fcac41d277</t>
  </si>
  <si>
    <t>Nick Hein vs. Yusuke Kasuya</t>
  </si>
  <si>
    <t>Christopher Shen 27 - 30.Evan Field 28 - 29.Albert Shen 28 - 29.</t>
  </si>
  <si>
    <t>http://ufcstats.com/fight-details/374508c76108d7fe</t>
  </si>
  <si>
    <t>Naoyuki Kotani vs. Kajan Johnson</t>
  </si>
  <si>
    <t>Howie Booth 28 - 29.Mark Craig 28 - 29.Albert Shen 27 - 30.</t>
  </si>
  <si>
    <t>http://ufcstats.com/fight-details/b82b243982fcb2ac</t>
  </si>
  <si>
    <t>Olivier Aubin-Mercier vs. Tony Sims</t>
  </si>
  <si>
    <t>Jason Rodgers 27 - 30.David Therien 27 - 30.Sal D'amato 28 - 29.</t>
  </si>
  <si>
    <t>http://ufcstats.com/fight-details/961246a6d621ef40</t>
  </si>
  <si>
    <t>Shane Campbell vs. Elias Silverio</t>
  </si>
  <si>
    <t>Kevin Dornan 28 - 29.Jason Rodgers 28 - 29.David Therien 28 - 29.</t>
  </si>
  <si>
    <t>http://ufcstats.com/fight-details/2d23ca9d8abc0c97</t>
  </si>
  <si>
    <t>Kelvin Caldwell 28 - 29.Sal D'amato 28 - 29.Clay Goodman 28 - 29.</t>
  </si>
  <si>
    <t>http://ufcstats.com/fight-details/c97e99ca5422f03b</t>
  </si>
  <si>
    <t>Ross Pearson vs. Evan Dunham</t>
  </si>
  <si>
    <t>Andy Haigh 27 - 30.Garth Harriman 27 - 30.Andy Roberts 28 - 29.</t>
  </si>
  <si>
    <t>http://ufcstats.com/fight-details/0b8fdeeb626b4396</t>
  </si>
  <si>
    <t>Mickael Lebout vs. Teemu Packalen</t>
  </si>
  <si>
    <t>Andy Haigh 28 - 29.Paul Sutherland 28 - 29.Howard Hughes 27 - 30.</t>
  </si>
  <si>
    <t>http://ufcstats.com/fight-details/7e9cb0c322773157</t>
  </si>
  <si>
    <t>Josh Thomson vs. Tony Ferguson</t>
  </si>
  <si>
    <t>Mike Beltran 27 - 30.Derek Cleary 27 - 30.Wade Vierra 26 - 30.</t>
  </si>
  <si>
    <t>http://ufcstats.com/fight-details/c0e8095c91c39b06</t>
  </si>
  <si>
    <t>Yosdenis Cedeno vs. Cody Pfister</t>
  </si>
  <si>
    <t>Junichiro Kamijo 28 - 29.Tony Weeks 28 - 29.Patricia Morse-Jarman 28 - 29.</t>
  </si>
  <si>
    <t>http://ufcstats.com/fight-details/b90eded8d6b65e8f</t>
  </si>
  <si>
    <t>Nick Hein vs. Lukasz Sajewski</t>
  </si>
  <si>
    <t>Howard Hughes 27 - 30.Maciej Motylewski 27 - 30.Paul Sutherland 27 - 30.</t>
  </si>
  <si>
    <t>http://ufcstats.com/fight-details/951ccd0041bd1700</t>
  </si>
  <si>
    <t>Francisco Trevino vs. Johnny Case</t>
  </si>
  <si>
    <t>Sal D'amato 27 - 30.Chris Lee 27 - 30.Marcos Rosales 27 - 30.</t>
  </si>
  <si>
    <t>http://ufcstats.com/fight-details/b2b6cf87cde17136</t>
  </si>
  <si>
    <t>Chris Wade vs. Christos Giagos</t>
  </si>
  <si>
    <t>Jordan Bass 28 - 29.Roy Silbert 28 - 29.Gabe Barahona 27 - 30.</t>
  </si>
  <si>
    <t>http://ufcstats.com/fight-details/a7c04dc830923313</t>
  </si>
  <si>
    <t>Francisco Trinaldo vs. Norman Parke</t>
  </si>
  <si>
    <t>Felipe Frank 28 - 29.Chris Lee 29 - 28.Rick Winter 28 - 29.</t>
  </si>
  <si>
    <t>http://ufcstats.com/fight-details/d4a309663a4da799</t>
  </si>
  <si>
    <t>Zhang Lipeng vs. Kajan Johnson</t>
  </si>
  <si>
    <t>Mark Craig 27 - 30.Barry Foley 28 - 29.Kon Papaioannou 28 - 29.</t>
  </si>
  <si>
    <t>http://ufcstats.com/fight-details/97c302628f231da3</t>
  </si>
  <si>
    <t>Chad Laprise vs. Bryan Barberena</t>
  </si>
  <si>
    <t>Sal D'amato 28 - 29.Pasquale Procopio 28 - 29.Luc Lefebvre 27 - 30.</t>
  </si>
  <si>
    <t>http://ufcstats.com/fight-details/48f23cc8cc5ad9a9</t>
  </si>
  <si>
    <t>Jim Miller vs. Beneil Dariush</t>
  </si>
  <si>
    <t>Derek Cleary 28 - 29.Eric Colon 28 - 29.Dave Tirelli 28 - 29.</t>
  </si>
  <si>
    <t>http://ufcstats.com/fight-details/2bcb878e9d02b8f7</t>
  </si>
  <si>
    <t>Arman Tsarukyan vs. Mateusz Gamrot</t>
  </si>
  <si>
    <t>Sal D'amato 47 - 48.Chris Lee 47 - 48.Ron McCarthy 47 - 48.</t>
  </si>
  <si>
    <t>http://ufcstats.com/fight-details/1f5f59924b59408b</t>
  </si>
  <si>
    <t>Dustin Poirier vs. Dan Hooker</t>
  </si>
  <si>
    <t>Sal D'amato 47 - 48.Derek Cleary 47 - 48.Eric Colon 46 - 48.</t>
  </si>
  <si>
    <t>http://ufcstats.com/fight-details/f8dd1e75978a3957</t>
  </si>
  <si>
    <t>Al Iaquinta vs. Donald Cerrone</t>
  </si>
  <si>
    <t>Dave Tirelli 46 - 49.Jason Rodgers 45 - 49.Eric Colon 45 - 49.</t>
  </si>
  <si>
    <t>http://ufcstats.com/fight-details/73eff675e2aae30c</t>
  </si>
  <si>
    <t>Kevin Lee vs. Al Iaquinta</t>
  </si>
  <si>
    <t>Sal D'amato 47 - 48.Brian Puccillo 47 - 48.Chris Lee 46 - 49.</t>
  </si>
  <si>
    <t>http://ufcstats.com/fight-details/b9c82dfde8b66e37</t>
  </si>
  <si>
    <t>Rafael Dos Anjos vs. Tony Ferguson</t>
  </si>
  <si>
    <t>Derek Cleary 47 - 48.Chris Lee 47 - 48.Marcos Rosales 47 - 48.</t>
  </si>
  <si>
    <t>http://ufcstats.com/fight-details/9220acccebf14a46</t>
  </si>
  <si>
    <t>Gleison Tibau vs. Abel Trujillo</t>
  </si>
  <si>
    <t>Rear Naked ChokeOverturned - Failed Drug Test by Tibau</t>
  </si>
  <si>
    <t>http://ufcstats.com/fight-details/37c732554828dcc3</t>
  </si>
  <si>
    <t>Brok Weaver vs. Kazula Vargas</t>
  </si>
  <si>
    <t>Illegal Knee on Ground</t>
  </si>
  <si>
    <t>http://ufcstats.com/fight-details/9d98e1c0d62213cf</t>
  </si>
  <si>
    <t>Matt Frevola vs. Terrance McKinney</t>
  </si>
  <si>
    <t>http://ufcstats.com/fight-details/d4ad90ac58429b64</t>
  </si>
  <si>
    <t>http://ufcstats.com/fight-details/7f7d2abc21f171ca</t>
  </si>
  <si>
    <t>Gregor Gillespie vs. Andrew Holbrook</t>
  </si>
  <si>
    <t>http://ufcstats.com/fight-details/8b4eeaa048361ba3</t>
  </si>
  <si>
    <t>Matt Wiman vs. Jordan Leavitt</t>
  </si>
  <si>
    <t>http://ufcstats.com/fight-details/856fab879c68ded7</t>
  </si>
  <si>
    <t>Jim Miller vs. Jesse Butler</t>
  </si>
  <si>
    <t>http://ufcstats.com/fight-details/e2f4cd4a9a579488</t>
  </si>
  <si>
    <t>Marc Diakiese vs. Teemu Packalen</t>
  </si>
  <si>
    <t>http://ufcstats.com/fight-details/eee7f546c126ee8b</t>
  </si>
  <si>
    <t>http://ufcstats.com/fight-details/1aa4c2fa5ffaff00</t>
  </si>
  <si>
    <t>Joaquim Silva vs. Andrew Holbrook</t>
  </si>
  <si>
    <t>http://ufcstats.com/fight-details/6c4b3cca92fcb9c7</t>
  </si>
  <si>
    <t>Joaquim Silva vs. Ricky Glenn</t>
  </si>
  <si>
    <t>http://ufcstats.com/fight-details/1e9f081a84e7ec18</t>
  </si>
  <si>
    <t>Frank Camacho vs. Justin Jaynes</t>
  </si>
  <si>
    <t>http://ufcstats.com/fight-details/7f0175f71481b63d</t>
  </si>
  <si>
    <t>Beneil Dariush vs. Alexander Hernandez</t>
  </si>
  <si>
    <t>http://ufcstats.com/fight-details/9e21a8dea9663e26</t>
  </si>
  <si>
    <t>Jamie Mullarkey vs. Khama Worthy</t>
  </si>
  <si>
    <t>http://ufcstats.com/fight-details/390694c179f05c7f</t>
  </si>
  <si>
    <t>Devonte Smith vs. Julian Erosa</t>
  </si>
  <si>
    <t>http://ufcstats.com/fight-details/79fb77a0b0294aec</t>
  </si>
  <si>
    <t>Callan Potter vs. Jalin Turner</t>
  </si>
  <si>
    <t>http://ufcstats.com/fight-details/11c0ef97497303ef</t>
  </si>
  <si>
    <t>Evan Dunham vs. Olivier Aubin-Mercier</t>
  </si>
  <si>
    <t>Knees to Body In Clinch</t>
  </si>
  <si>
    <t>http://ufcstats.com/fight-details/8803935990adafc1</t>
  </si>
  <si>
    <t>Sam Stout vs. Frankie Perez</t>
  </si>
  <si>
    <t>http://ufcstats.com/fight-details/3945b08be8d62861</t>
  </si>
  <si>
    <t>Islam Makhachev vs. Gleison Tibau</t>
  </si>
  <si>
    <t>http://ufcstats.com/fight-details/b9726184624ac076</t>
  </si>
  <si>
    <t>Francisco Trevino vs. Sage Northcutt</t>
  </si>
  <si>
    <t>http://ufcstats.com/fight-details/fee873593f588437</t>
  </si>
  <si>
    <t>Matt Frevola vs. Marco Polo Reyes</t>
  </si>
  <si>
    <t>http://ufcstats.com/fight-details/4843f369dc8b5de5</t>
  </si>
  <si>
    <t>Drew Dober vs. Marco Polo Reyes</t>
  </si>
  <si>
    <t>http://ufcstats.com/fight-details/966bf043577f8b6a</t>
  </si>
  <si>
    <t>Joe Lauzon vs. Clay Guida</t>
  </si>
  <si>
    <t>http://ufcstats.com/fight-details/935f559ab0521c27</t>
  </si>
  <si>
    <t>Drew Dober vs. Nasrat Haqparast</t>
  </si>
  <si>
    <t>http://ufcstats.com/fight-details/63dd38f0dcc2ee88</t>
  </si>
  <si>
    <t>Luigi Vendramini vs. Jessin Ayari</t>
  </si>
  <si>
    <t>http://ufcstats.com/fight-details/d866afa89d62a4ae</t>
  </si>
  <si>
    <t>Mark Madsen vs. Danilo Belluardo</t>
  </si>
  <si>
    <t>http://ufcstats.com/fight-details/975840814b233bcd</t>
  </si>
  <si>
    <t>Shane Campbell vs. Felipe Silva</t>
  </si>
  <si>
    <t>http://ufcstats.com/fight-details/c64537874352793a</t>
  </si>
  <si>
    <t>Maheshate vs. Steve Garcia</t>
  </si>
  <si>
    <t>http://ufcstats.com/fight-details/4a116a55ffaa0d64</t>
  </si>
  <si>
    <t>Sam Patterson vs. Yanal Ashmouz</t>
  </si>
  <si>
    <t>http://ufcstats.com/fight-details/9f8cf5ac0807d64e</t>
  </si>
  <si>
    <t>Alexander Hernandez vs. Mike Breeden</t>
  </si>
  <si>
    <t>http://ufcstats.com/fight-details/a00b4e82f9d4f92c</t>
  </si>
  <si>
    <t>Mairbek Taisumov vs. Felipe Silva</t>
  </si>
  <si>
    <t>http://ufcstats.com/fight-details/b3bf1b6ad2d1a533</t>
  </si>
  <si>
    <t>Terrance McKinney vs. Mike Breeden</t>
  </si>
  <si>
    <t>http://ufcstats.com/fight-details/9576d9cba5cf5c4e</t>
  </si>
  <si>
    <t>Charles Oliveira vs. Jared Gordon</t>
  </si>
  <si>
    <t>http://ufcstats.com/fight-details/7afe2a15ae7359e9</t>
  </si>
  <si>
    <t>Magomed Mustafaev vs. Rafael Fiziev</t>
  </si>
  <si>
    <t>Spinning Back Kick Head</t>
  </si>
  <si>
    <t>http://ufcstats.com/fight-details/75bc89630027c601</t>
  </si>
  <si>
    <t>Diego Sanchez vs. Joe Lauzon</t>
  </si>
  <si>
    <t>http://ufcstats.com/fight-details/9d7a798f0c20c04a</t>
  </si>
  <si>
    <t>Justin Gaethje vs. James Vick</t>
  </si>
  <si>
    <t>http://ufcstats.com/fight-details/d6f6ac29008509db</t>
  </si>
  <si>
    <t>Takanori Gomi vs. Dong Hyun Ma</t>
  </si>
  <si>
    <t>http://ufcstats.com/fight-details/ba27835ff05df0c9</t>
  </si>
  <si>
    <t>Ottman Azaitar vs. Khama Worthy</t>
  </si>
  <si>
    <t>http://ufcstats.com/fight-details/1ed8776f978a0155</t>
  </si>
  <si>
    <t>Joe Lauzon vs. Jonathan Pearce</t>
  </si>
  <si>
    <t>http://ufcstats.com/fight-details/57d989702ae72dc1</t>
  </si>
  <si>
    <t>Dustin Poirier vs. Michael Johnson</t>
  </si>
  <si>
    <t>http://ufcstats.com/fight-details/692241119228cc82</t>
  </si>
  <si>
    <t>Ricky Glenn vs. Christos Giagos</t>
  </si>
  <si>
    <t>http://ufcstats.com/fight-details/16628e25a043043a</t>
  </si>
  <si>
    <t>Chad Laprise vs. Thibault Gouti</t>
  </si>
  <si>
    <t>http://ufcstats.com/fight-details/00742aea8da72a35</t>
  </si>
  <si>
    <t>Al Iaquinta vs. Diego Sanchez</t>
  </si>
  <si>
    <t>http://ufcstats.com/fight-details/2310fbcb6fdf3b47</t>
  </si>
  <si>
    <t>Uros Medic vs. Aalon Cruz</t>
  </si>
  <si>
    <t>http://ufcstats.com/fight-details/e2abba69c3371618</t>
  </si>
  <si>
    <t>John Makdessi vs. Lando Vannata</t>
  </si>
  <si>
    <t>http://ufcstats.com/fight-details/071d488ec8ccf254</t>
  </si>
  <si>
    <t>Drew Dober vs. Jason Gonzalez</t>
  </si>
  <si>
    <t>Jerry Poe</t>
  </si>
  <si>
    <t>http://ufcstats.com/fight-details/5d5abb5dade718de</t>
  </si>
  <si>
    <t>Chris Gruetzemacher vs. Alexander Hernandez</t>
  </si>
  <si>
    <t>http://ufcstats.com/fight-details/95beb5ec32718faf</t>
  </si>
  <si>
    <t>Adriano Martins vs. Islam Makhachev</t>
  </si>
  <si>
    <t>http://ufcstats.com/fight-details/678db400f85ae15c</t>
  </si>
  <si>
    <t>Manuel Torres vs. Nikolas Motta</t>
  </si>
  <si>
    <t>http://ufcstats.com/fight-details/98458778348ea5d7</t>
  </si>
  <si>
    <t>Devin Powell vs. Alvaro Herrera Mendoza</t>
  </si>
  <si>
    <t>http://ufcstats.com/fight-details/62f564662f33692d</t>
  </si>
  <si>
    <t>Joe Proctor vs. Magomed Mustafaev</t>
  </si>
  <si>
    <t>http://ufcstats.com/fight-details/5edfc539cc58a28d</t>
  </si>
  <si>
    <t>Jared Gordon vs. Diego Ferreira</t>
  </si>
  <si>
    <t>http://ufcstats.com/fight-details/07f234a488661125</t>
  </si>
  <si>
    <t>Arman Tsarukyan vs. Christos Giagos</t>
  </si>
  <si>
    <t>http://ufcstats.com/fight-details/13a8ddb1c3f55ed4</t>
  </si>
  <si>
    <t>Stevie Ray vs. Leonardo Santos</t>
  </si>
  <si>
    <t>http://ufcstats.com/fight-details/e1bd72aba46f46a1</t>
  </si>
  <si>
    <t>Jim Miller vs. Takanori Gomi</t>
  </si>
  <si>
    <t>http://ufcstats.com/fight-details/433e3fd8782b6e0e</t>
  </si>
  <si>
    <t>Al Iaquinta vs. Bobby Green</t>
  </si>
  <si>
    <t>http://ufcstats.com/fight-details/d69e3677060af4c7</t>
  </si>
  <si>
    <t>Jordan Leavitt vs. Victor Martinez</t>
  </si>
  <si>
    <t>http://ufcstats.com/fight-details/a7f66f13f953352f</t>
  </si>
  <si>
    <t>Cesar Arzamendia vs. Damien Brown</t>
  </si>
  <si>
    <t>http://ufcstats.com/fight-details/09c092dc766fa3f9</t>
  </si>
  <si>
    <t>Dan Hooker vs. Gilbert Burns</t>
  </si>
  <si>
    <t>http://ufcstats.com/fight-details/bd97a96ac8203457</t>
  </si>
  <si>
    <t>Edson Barboza vs. Justin Gaethje</t>
  </si>
  <si>
    <t>http://ufcstats.com/fight-details/b309cdde35310875</t>
  </si>
  <si>
    <t>Matt Frevola vs. Ottman Azaitar</t>
  </si>
  <si>
    <t>http://ufcstats.com/fight-details/40707ddc9fdea500</t>
  </si>
  <si>
    <t>Dan Hooker vs. Michael Chandler</t>
  </si>
  <si>
    <t>http://ufcstats.com/fight-details/a5075f4eaee6036f</t>
  </si>
  <si>
    <t>Stevie Ray vs. Leonardo Mafra</t>
  </si>
  <si>
    <t>http://ufcstats.com/fight-details/976d2cc3d08ca814</t>
  </si>
  <si>
    <t>James Vick vs. Dan Hooker</t>
  </si>
  <si>
    <t>http://ufcstats.com/fight-details/9d6b46a3cf5ec494</t>
  </si>
  <si>
    <t>http://ufcstats.com/fight-details/68095e551ff6bbfd</t>
  </si>
  <si>
    <t>Joe Lauzon vs. Takanori Gomi</t>
  </si>
  <si>
    <t>http://ufcstats.com/fight-details/bb56f4e502512ad0</t>
  </si>
  <si>
    <t>Dustin Poirier vs. Yancy Medeiros</t>
  </si>
  <si>
    <t>http://ufcstats.com/fight-details/f930743af6564795</t>
  </si>
  <si>
    <t>James Vick vs. Marco Polo Reyes</t>
  </si>
  <si>
    <t>http://ufcstats.com/fight-details/567cefcaba821205</t>
  </si>
  <si>
    <t>Chad Laprise vs. Francisco Trinaldo</t>
  </si>
  <si>
    <t>Punches to From Back Control</t>
  </si>
  <si>
    <t>http://ufcstats.com/fight-details/870a98d6f943d9b7</t>
  </si>
  <si>
    <t>Khama Worthy vs. Jai Herbert</t>
  </si>
  <si>
    <t>http://ufcstats.com/fight-details/6d7eecf4acecda2a</t>
  </si>
  <si>
    <t>Kevin Lee vs. Gregor Gillespie</t>
  </si>
  <si>
    <t>http://ufcstats.com/fight-details/d5955b81c26230ff</t>
  </si>
  <si>
    <t>Ross Pearson vs. Desmond Green</t>
  </si>
  <si>
    <t>http://ufcstats.com/fight-details/b7ff74563d034519</t>
  </si>
  <si>
    <t>Dustin Poirier vs. Bobby Green</t>
  </si>
  <si>
    <t>http://ufcstats.com/fight-details/e86a77b69d50a834</t>
  </si>
  <si>
    <t>Jim Miller vs. Dan Hooker</t>
  </si>
  <si>
    <t>http://ufcstats.com/fight-details/0f88658e787815c8</t>
  </si>
  <si>
    <t>Thiago Moises vs. Joel Alvarez</t>
  </si>
  <si>
    <t>http://ufcstats.com/fight-details/0273dbd5dedbdbe0</t>
  </si>
  <si>
    <t>Joshua Burkman vs. Drew Dober</t>
  </si>
  <si>
    <t>http://ufcstats.com/fight-details/3636e085c098dbda</t>
  </si>
  <si>
    <t>Matt Frevola vs. Genaro Valdez</t>
  </si>
  <si>
    <t>http://ufcstats.com/fight-details/5da7168ac2ff0e1d</t>
  </si>
  <si>
    <t>Drew Dober vs. Terrance McKinney</t>
  </si>
  <si>
    <t>http://ufcstats.com/fight-details/463fac0e48505b62</t>
  </si>
  <si>
    <t>Leonardo Santos vs. Kevin Lee</t>
  </si>
  <si>
    <t>http://ufcstats.com/fight-details/fa2e2a035b36b9d6</t>
  </si>
  <si>
    <t>Frank Camacho vs. Manuel Torres</t>
  </si>
  <si>
    <t>http://ufcstats.com/fight-details/e240d6f77747ec46</t>
  </si>
  <si>
    <t>Gabriel Benitez vs. Charlie Ontiveros</t>
  </si>
  <si>
    <t>http://ufcstats.com/fight-details/f858f91453555291</t>
  </si>
  <si>
    <t>Ottman Azaitar vs. Teemu Packalen</t>
  </si>
  <si>
    <t>http://ufcstats.com/fight-details/2c7b788effdc1b4c</t>
  </si>
  <si>
    <t>Damien Brown vs. Vinc Pichel</t>
  </si>
  <si>
    <t>http://ufcstats.com/fight-details/165d3a571fcc5e3c</t>
  </si>
  <si>
    <t>Alex Reyes vs. Charlie Campbell</t>
  </si>
  <si>
    <t>http://ufcstats.com/fight-details/58b2fdad7af9be02</t>
  </si>
  <si>
    <t>Cesar Arzamendia vs. Marco Polo Reyes</t>
  </si>
  <si>
    <t>http://ufcstats.com/fight-details/84d89d2f36d07dc0</t>
  </si>
  <si>
    <t>Mairbek Taisumov vs. Damir Hadzovic</t>
  </si>
  <si>
    <t>http://ufcstats.com/fight-details/79884c0df84662b9</t>
  </si>
  <si>
    <t>Dakota Bush vs. Viacheslav Borshchev</t>
  </si>
  <si>
    <t>http://ufcstats.com/fight-details/b5b5156c713c5d47</t>
  </si>
  <si>
    <t>Nikolas Motta vs. Cameron VanCamp</t>
  </si>
  <si>
    <t>http://ufcstats.com/fight-details/8a044e5400b4318f</t>
  </si>
  <si>
    <t>Devonte Smith vs. Dong Hyun Ma</t>
  </si>
  <si>
    <t>http://ufcstats.com/fight-details/5ff8463edf8155c0</t>
  </si>
  <si>
    <t>Stevie Ray vs. Paul Felder</t>
  </si>
  <si>
    <t>Elbow to Head From Guard</t>
  </si>
  <si>
    <t>http://ufcstats.com/fight-details/c62a90c19af6a0e2</t>
  </si>
  <si>
    <t>Ottman Azaitar vs. Francisco Prado</t>
  </si>
  <si>
    <t>http://ufcstats.com/fight-details/b52dccbe69864d2a</t>
  </si>
  <si>
    <t>Renato Moicano vs. Rafael Fiziev</t>
  </si>
  <si>
    <t>http://ufcstats.com/fight-details/cb7616f92a9a4e5b</t>
  </si>
  <si>
    <t>Gabriel Benitez vs. Justin Jaynes</t>
  </si>
  <si>
    <t>http://ufcstats.com/fight-details/46860358da8b8d82</t>
  </si>
  <si>
    <t>Jake Matthews vs. Kevin Lee</t>
  </si>
  <si>
    <t>http://ufcstats.com/fight-details/b319a24919106555</t>
  </si>
  <si>
    <t>Drew Dober vs. Matt Frevola</t>
  </si>
  <si>
    <t>http://ufcstats.com/fight-details/3f8b4aeb3baf4724</t>
  </si>
  <si>
    <t>Charles Oliveira vs. Beneil Dariush</t>
  </si>
  <si>
    <t>http://ufcstats.com/fight-details/40e8bf8ce508c436</t>
  </si>
  <si>
    <t>Devonte Smith vs. Khama Worthy</t>
  </si>
  <si>
    <t>http://ufcstats.com/fight-details/2671de30a1736f51</t>
  </si>
  <si>
    <t>Beneil Dariush vs. James Vick</t>
  </si>
  <si>
    <t>http://ufcstats.com/fight-details/2c65d5d20cc893e4</t>
  </si>
  <si>
    <t>Donald Cerrone vs. Justin Gaethje</t>
  </si>
  <si>
    <t>http://ufcstats.com/fight-details/490724f8b3658f67</t>
  </si>
  <si>
    <t>Paddy Pimblett vs. Luigi Vendramini</t>
  </si>
  <si>
    <t>http://ufcstats.com/fight-details/8fc238e84c4624a7</t>
  </si>
  <si>
    <t>Thibault Gouti vs. Andrew Holbrook</t>
  </si>
  <si>
    <t>http://ufcstats.com/fight-details/b7ab4cd6ce7a71dd</t>
  </si>
  <si>
    <t>Jason Saggo vs. Justin Salas</t>
  </si>
  <si>
    <t>http://ufcstats.com/fight-details/8295c37ad4b6187e</t>
  </si>
  <si>
    <t>Beneil Dariush vs. Scott Holtzman</t>
  </si>
  <si>
    <t>http://ufcstats.com/fight-details/cfb189e326553f0a</t>
  </si>
  <si>
    <t>Paul Felder vs. Alex Ricci</t>
  </si>
  <si>
    <t>Brad Jardine</t>
  </si>
  <si>
    <t>http://ufcstats.com/fight-details/f00ac5af033f44b4</t>
  </si>
  <si>
    <t>Jordan Rinaldi vs. Gregor Gillespie</t>
  </si>
  <si>
    <t>Donnie Jessup</t>
  </si>
  <si>
    <t>http://ufcstats.com/fight-details/d571486369996a39</t>
  </si>
  <si>
    <t>Erick Gonzalez vs. Trevor Peek</t>
  </si>
  <si>
    <t>http://ufcstats.com/fight-details/83fa3a382acc7bdc</t>
  </si>
  <si>
    <t>Jim Miller vs. Erick Gonzalez</t>
  </si>
  <si>
    <t>http://ufcstats.com/fight-details/d9ca00b3c62a874d</t>
  </si>
  <si>
    <t>Te Edwards vs. Don Madge</t>
  </si>
  <si>
    <t>http://ufcstats.com/fight-details/9d204f44a9988b93</t>
  </si>
  <si>
    <t>Benoit Saint Denis vs. Gabriel Miranda</t>
  </si>
  <si>
    <t>http://ufcstats.com/fight-details/3e2f00991f511607</t>
  </si>
  <si>
    <t>Michael Chandler vs. Tony Ferguson</t>
  </si>
  <si>
    <t>Kick to Head At DistanceFront kick</t>
  </si>
  <si>
    <t>http://ufcstats.com/fight-details/a2ebb5f86eb64f22</t>
  </si>
  <si>
    <t>Drakkar Klose vs. Brandon Jenkins</t>
  </si>
  <si>
    <t>http://ufcstats.com/fight-details/74c58b9d638c5eaa</t>
  </si>
  <si>
    <t>Joaquim Silva vs. Nasrat Haqparast</t>
  </si>
  <si>
    <t>http://ufcstats.com/fight-details/dbbd17b6995f014b</t>
  </si>
  <si>
    <t>Jalin Turner vs. Jamie Mullarkey</t>
  </si>
  <si>
    <t>http://ufcstats.com/fight-details/fce6ab43b7d09aa4</t>
  </si>
  <si>
    <t>Gilbert Burns vs. Dan Moret</t>
  </si>
  <si>
    <t>http://ufcstats.com/fight-details/59363451049c929d</t>
  </si>
  <si>
    <t>Dustin Poirier vs. Justin Gaethje</t>
  </si>
  <si>
    <t>http://ufcstats.com/fight-details/c27e33ee8ef53866</t>
  </si>
  <si>
    <t>Beneil Dariush vs. Drakkar Klose</t>
  </si>
  <si>
    <t>http://ufcstats.com/fight-details/891470d896b1de5a</t>
  </si>
  <si>
    <t>Jai Herbert vs. Ilia Topuria</t>
  </si>
  <si>
    <t>http://ufcstats.com/fight-details/a200b5dcbdd2506e</t>
  </si>
  <si>
    <t>Gray Maynard vs. Nik Lentz</t>
  </si>
  <si>
    <t>http://ufcstats.com/fight-details/9bc042a700d9a531</t>
  </si>
  <si>
    <t>Scott Holtzman vs. Mateusz Gamrot</t>
  </si>
  <si>
    <t>http://ufcstats.com/fight-details/998296216e7171ed</t>
  </si>
  <si>
    <t>Diego Ferreira vs. Kyle Nelson</t>
  </si>
  <si>
    <t>Ivan Svec</t>
  </si>
  <si>
    <t>http://ufcstats.com/fight-details/fdc97f9b88bdef7d</t>
  </si>
  <si>
    <t>David Teymur vs. Jason Novelli</t>
  </si>
  <si>
    <t>http://ufcstats.com/fight-details/cb76509b5c2f2a90</t>
  </si>
  <si>
    <t>David Teymur vs. Martin Svensson</t>
  </si>
  <si>
    <t>http://ufcstats.com/fight-details/0845e0f9e8d61b0f</t>
  </si>
  <si>
    <t>Mairbek Taisumov vs. Alan Patrick</t>
  </si>
  <si>
    <t>http://ufcstats.com/fight-details/0b98d84a2795f7f8</t>
  </si>
  <si>
    <t>Diego Ferreira vs. Michael Johnson</t>
  </si>
  <si>
    <t>http://ufcstats.com/fight-details/12683e06369d1a83</t>
  </si>
  <si>
    <t>Steve Garcia vs. Charlie Ontiveros</t>
  </si>
  <si>
    <t>http://ufcstats.com/fight-details/ddb927b0dfcfac2a</t>
  </si>
  <si>
    <t>Arman Tsarukyan vs. Joel Alvarez</t>
  </si>
  <si>
    <t>http://ufcstats.com/fight-details/8515f07911765f89</t>
  </si>
  <si>
    <t>Jim Miller vs. Nikolas Motta</t>
  </si>
  <si>
    <t>http://ufcstats.com/fight-details/958799d957945a3a</t>
  </si>
  <si>
    <t>Rafael Fiziev vs. Mateusz Gamrot</t>
  </si>
  <si>
    <t>http://ufcstats.com/fight-details/23a604f460289271</t>
  </si>
  <si>
    <t>Damir Hadzovic vs. Marco Polo Reyes</t>
  </si>
  <si>
    <t>http://ufcstats.com/fight-details/18d6df67968bf06b</t>
  </si>
  <si>
    <t>Yusuke Kasuya vs. Alexander Volkanovski</t>
  </si>
  <si>
    <t>http://ufcstats.com/fight-details/2cab927474cb6e62</t>
  </si>
  <si>
    <t>Charles Oliveira vs. Nik Lentz</t>
  </si>
  <si>
    <t>http://ufcstats.com/fight-details/5782666ca117fa5b</t>
  </si>
  <si>
    <t>Ismael Bonfim vs. Terrance McKinney</t>
  </si>
  <si>
    <t>http://ufcstats.com/fight-details/911b73db91738da6</t>
  </si>
  <si>
    <t>Joel Alvarez vs. Danilo Belluardo</t>
  </si>
  <si>
    <t>http://ufcstats.com/fight-details/a4e210bcdcc1bf5b</t>
  </si>
  <si>
    <t>Dustin Poirier vs. Conor McGregor</t>
  </si>
  <si>
    <t>http://ufcstats.com/fight-details/3d3e7dc7b4bf2bc4</t>
  </si>
  <si>
    <t>Mateusz Rebecki vs. Loik Radzhabov</t>
  </si>
  <si>
    <t>http://ufcstats.com/fight-details/8b296724a6844865</t>
  </si>
  <si>
    <t>Maheshate vs. Viacheslav Borshchev</t>
  </si>
  <si>
    <t>http://ufcstats.com/fight-details/49bd9a2f1fbebd1f</t>
  </si>
  <si>
    <t>Drew Dober vs. Bobby Green</t>
  </si>
  <si>
    <t>http://ufcstats.com/fight-details/c335f44e4f3515ea</t>
  </si>
  <si>
    <t>Devonte Smith vs. Jamie Mullarkey</t>
  </si>
  <si>
    <t>http://ufcstats.com/fight-details/dfa2f5c821a52c63</t>
  </si>
  <si>
    <t>Jamie Mullarkey vs. Muhammad Naimov</t>
  </si>
  <si>
    <t>http://ufcstats.com/fight-details/ad7bd4b3ee923498</t>
  </si>
  <si>
    <t>Jalin Turner vs. Josh Culibao</t>
  </si>
  <si>
    <t>http://ufcstats.com/fight-details/02bdb7a5b2986571</t>
  </si>
  <si>
    <t>Dan Hooker vs. Ross Pearson</t>
  </si>
  <si>
    <t>http://ufcstats.com/fight-details/dc7ba55ca764cfbe</t>
  </si>
  <si>
    <t>Omar Morales vs. Uros Medic</t>
  </si>
  <si>
    <t>http://ufcstats.com/fight-details/534c07488396e124</t>
  </si>
  <si>
    <t>Joaquim Silva vs. Jesse Ronson</t>
  </si>
  <si>
    <t>http://ufcstats.com/fight-details/ecc56a86a1eead9d</t>
  </si>
  <si>
    <t>Michael Johnson vs. Alan Patrick</t>
  </si>
  <si>
    <t>http://ufcstats.com/fight-details/8a1aa64eb1f17913</t>
  </si>
  <si>
    <t>Diego Ferreira vs. Mateusz Gamrot</t>
  </si>
  <si>
    <t>Knee to Body On Ground</t>
  </si>
  <si>
    <t>http://ufcstats.com/fight-details/730f14ccff80f3b0</t>
  </si>
  <si>
    <t>Edson Barboza vs. Beneil Dariush</t>
  </si>
  <si>
    <t>http://ufcstats.com/fight-details/b47e4f0982938e5b</t>
  </si>
  <si>
    <t>Alexander Hernandez vs. Donald Cerrone</t>
  </si>
  <si>
    <t>http://ufcstats.com/fight-details/3dd0951b8855137d</t>
  </si>
  <si>
    <t>Jeka Saragih vs. Anshul Jubli</t>
  </si>
  <si>
    <t>http://ufcstats.com/fight-details/b1b20c686dfe3204</t>
  </si>
  <si>
    <t>http://ufcstats.com/fight-details/bd1fc4ff619f4e61</t>
  </si>
  <si>
    <t>Dan Hooker vs. Claudio Puelles</t>
  </si>
  <si>
    <t>http://ufcstats.com/fight-details/77c78d0a71b10692</t>
  </si>
  <si>
    <t>Charles Oliveira vs. Paul Felder</t>
  </si>
  <si>
    <t>http://ufcstats.com/fight-details/c83487136636e9bf</t>
  </si>
  <si>
    <t>Francisco Trinaldo vs. Evan Dunham</t>
  </si>
  <si>
    <t>http://ufcstats.com/fight-details/3d9398386c84109b</t>
  </si>
  <si>
    <t>Nik Lentz vs. Michael McBride</t>
  </si>
  <si>
    <t>http://ufcstats.com/fight-details/9b1386a28b81bcd5</t>
  </si>
  <si>
    <t>Alexander Hernandez vs. Drew Dober</t>
  </si>
  <si>
    <t>http://ufcstats.com/fight-details/46c050a827ee83d6</t>
  </si>
  <si>
    <t>Mitch Clarke vs. Alex White</t>
  </si>
  <si>
    <t>http://ufcstats.com/fight-details/31c4518a1e71c050</t>
  </si>
  <si>
    <t>Lukasz Sajewski vs. Marc Diakiese</t>
  </si>
  <si>
    <t>http://ufcstats.com/fight-details/8794b5f9a591daf6</t>
  </si>
  <si>
    <t>Benoit Saint Denis vs. Thiago Moises</t>
  </si>
  <si>
    <t>http://ufcstats.com/fight-details/dfa8fd0b82b37fa1</t>
  </si>
  <si>
    <t>Donald Cerrone vs. John Makdessi</t>
  </si>
  <si>
    <t>http://ufcstats.com/fight-details/bee780601ad13583</t>
  </si>
  <si>
    <t>Michael Johnson vs. Justin Gaethje</t>
  </si>
  <si>
    <t>http://ufcstats.com/fight-details/0d5356c506111a57</t>
  </si>
  <si>
    <t>Diego Ferreira vs. Gregor Gillespie</t>
  </si>
  <si>
    <t>http://ufcstats.com/fight-details/295a0bf12a7373c0</t>
  </si>
  <si>
    <t>Jason Saggo vs. Gilbert Burns</t>
  </si>
  <si>
    <t>http://ufcstats.com/fight-details/2ec12d4bbc0752db</t>
  </si>
  <si>
    <t>Nick Hein vs. Frank Camacho</t>
  </si>
  <si>
    <t>http://ufcstats.com/fight-details/fedb6a1b15b05694</t>
  </si>
  <si>
    <t>Gregor Gillespie vs. Yancy Medeiros</t>
  </si>
  <si>
    <t>http://ufcstats.com/fight-details/0261adcfc6e49150</t>
  </si>
  <si>
    <t>James Vick vs. Joe Duffy</t>
  </si>
  <si>
    <t>http://ufcstats.com/fight-details/13635ba71963ad0c</t>
  </si>
  <si>
    <t>Tony Ferguson vs. Anthony Pettis</t>
  </si>
  <si>
    <t>http://ufcstats.com/fight-details/8f6dda53ea3b09c7</t>
  </si>
  <si>
    <t>Joe Lauzon vs. Chris Gruetzemacher</t>
  </si>
  <si>
    <t>http://ufcstats.com/fight-details/bab65d16fa74fc5b</t>
  </si>
  <si>
    <t>Marcin Held vs. Damir Hadzovic</t>
  </si>
  <si>
    <t>Bobby Rehman</t>
  </si>
  <si>
    <t>http://ufcstats.com/fight-details/b166f1582946fbbc</t>
  </si>
  <si>
    <t>Kajan Johnson vs. Adriano Martins</t>
  </si>
  <si>
    <t>http://ufcstats.com/fight-details/cce5b9dfe84630fa</t>
  </si>
  <si>
    <t>Alex Oliveira vs. Piotr Hallmann</t>
  </si>
  <si>
    <t>http://ufcstats.com/fight-details/a637cd1012af870f</t>
  </si>
  <si>
    <t>Matt Wiman vs. Luis Pena</t>
  </si>
  <si>
    <t>http://ufcstats.com/fight-details/ab4862ea4cbd0750</t>
  </si>
  <si>
    <t>Drew Dober vs. Rafael Alves</t>
  </si>
  <si>
    <t>http://ufcstats.com/fight-details/81a18de517a3336a</t>
  </si>
  <si>
    <t>Francisco Trinaldo vs. Jai Herbert</t>
  </si>
  <si>
    <t>http://ufcstats.com/fight-details/3b209a2aee014ac2</t>
  </si>
  <si>
    <t>Marco Polo Reyes vs. Dong Hyun Ma</t>
  </si>
  <si>
    <t>http://ufcstats.com/fight-details/1cbb930fb77a3781</t>
  </si>
  <si>
    <t>Yan Cabral vs. Reza Madadi</t>
  </si>
  <si>
    <t>http://ufcstats.com/fight-details/711fcf95370fa90b</t>
  </si>
  <si>
    <t>Dustin Poirier vs. Anthony Pettis</t>
  </si>
  <si>
    <t>http://ufcstats.com/fight-details/b55605791a4d72b9</t>
  </si>
  <si>
    <t>Edson Barboza vs. Dan Hooker</t>
  </si>
  <si>
    <t>http://ufcstats.com/fight-details/920b6f739a36e721</t>
  </si>
  <si>
    <t>Brad Riddell vs. Rafael Fiziev</t>
  </si>
  <si>
    <t>Kick to Head At DistanceWheel kick</t>
  </si>
  <si>
    <t>http://ufcstats.com/fight-details/a38648a1c190f9be</t>
  </si>
  <si>
    <t>Jared Gordon vs. Joaquim Silva</t>
  </si>
  <si>
    <t>http://ufcstats.com/fight-details/92fd2127f46b0cb7</t>
  </si>
  <si>
    <t>Guram Kutateladze vs. Elves Brener</t>
  </si>
  <si>
    <t>http://ufcstats.com/fight-details/454265014520a3f8</t>
  </si>
  <si>
    <t>Arman Tsarukyan vs. Joaquim Silva</t>
  </si>
  <si>
    <t>http://ufcstats.com/fight-details/6c2199524d762b11</t>
  </si>
  <si>
    <t>Will Brooks vs. Alex Oliveira</t>
  </si>
  <si>
    <t>http://ufcstats.com/fight-details/3a8cc4cda195d758</t>
  </si>
  <si>
    <t>Scott Holtzman vs. Alan Patrick</t>
  </si>
  <si>
    <t>http://ufcstats.com/fight-details/c835ccffa472970e</t>
  </si>
  <si>
    <t>Eddie Alvarez vs. Justin Gaethje</t>
  </si>
  <si>
    <t>http://ufcstats.com/fight-details/23e5acd1549b538a</t>
  </si>
  <si>
    <t>Rong Zhu vs. Brandon Jenkins</t>
  </si>
  <si>
    <t>http://ufcstats.com/fight-details/85e5498808346d6b</t>
  </si>
  <si>
    <t>Mike Davis vs. Thomas Gifford</t>
  </si>
  <si>
    <t>http://ufcstats.com/fight-details/6a0217099efee13f</t>
  </si>
  <si>
    <t>Roosevelt Roberts vs. Ignacio Bahamondes</t>
  </si>
  <si>
    <t>http://ufcstats.com/fight-details/8badcb2134c1cdaf</t>
  </si>
  <si>
    <t>Leonardo Santos vs. Grant Dawson</t>
  </si>
  <si>
    <t>http://ufcstats.com/fight-details/a043e279434d5c8c</t>
  </si>
  <si>
    <t>http://ufcstats.com/fight-details/bfae2fb50efbdb0f</t>
  </si>
  <si>
    <t>Rafael Dos Anjos vs. Rafael Fiziev</t>
  </si>
  <si>
    <t>http://ufcstats.com/fight-details/be69cbf1f1671c8e</t>
  </si>
  <si>
    <t>Roosevelt Roberts vs. Kevin Croom</t>
  </si>
  <si>
    <t>Failed Drug Test by Croom</t>
  </si>
  <si>
    <t>http://ufcstats.com/fight-details/e1bb0b615c02d715</t>
  </si>
  <si>
    <t>Teemu Packalen vs. Thibault Gouti</t>
  </si>
  <si>
    <t>http://ufcstats.com/fight-details/4bf6b6904ec94421</t>
  </si>
  <si>
    <t>Joe Duffy vs. Mitch Clarke</t>
  </si>
  <si>
    <t>http://ufcstats.com/fight-details/d39010c3511fb972</t>
  </si>
  <si>
    <t>Renato Moicano vs. Damir Hadzovic</t>
  </si>
  <si>
    <t>http://ufcstats.com/fight-details/c26a3f4c08333886</t>
  </si>
  <si>
    <t>Brad Riddell vs. Jalin Turner</t>
  </si>
  <si>
    <t>http://ufcstats.com/fight-details/98411542ca0e847d</t>
  </si>
  <si>
    <t>Efrain Escudero vs. Drew Dober</t>
  </si>
  <si>
    <t>http://ufcstats.com/fight-details/47e8726b301f3f32</t>
  </si>
  <si>
    <t>Jim Miller vs. Clay Guida</t>
  </si>
  <si>
    <t>http://ufcstats.com/fight-details/e96d929f8207a3e0</t>
  </si>
  <si>
    <t>Jeremy Stephens vs. Mateusz Gamrot</t>
  </si>
  <si>
    <t>http://ufcstats.com/fight-details/72105dd82d964e7a</t>
  </si>
  <si>
    <t>Takanori Gomi vs. Jon Tuck</t>
  </si>
  <si>
    <t>http://ufcstats.com/fight-details/fc2585e234e49dee</t>
  </si>
  <si>
    <t>Jim Miller vs. Charles Oliveira</t>
  </si>
  <si>
    <t>http://ufcstats.com/fight-details/f3e289f1423c0e6f</t>
  </si>
  <si>
    <t>Daron Cruickshank vs. James Krause</t>
  </si>
  <si>
    <t>http://ufcstats.com/fight-details/da7d7b4f20cd2af5</t>
  </si>
  <si>
    <t>Jim Miller vs. Alex White</t>
  </si>
  <si>
    <t>http://ufcstats.com/fight-details/e40a5bd62ce710ac</t>
  </si>
  <si>
    <t>Michel Prazeres vs. Joshua Burkman</t>
  </si>
  <si>
    <t>North-South Choke</t>
  </si>
  <si>
    <t>http://ufcstats.com/fight-details/12740c6b17779fe9</t>
  </si>
  <si>
    <t>Marc Diakiese vs. Rafael Alves</t>
  </si>
  <si>
    <t>http://ufcstats.com/fight-details/2c21abbc28e3876a</t>
  </si>
  <si>
    <t>Davi Ramos vs. John Gunther</t>
  </si>
  <si>
    <t>http://ufcstats.com/fight-details/933cf2674503c63d</t>
  </si>
  <si>
    <t>Alvaro Herrera Mendoza vs. Jordan Rinaldi</t>
  </si>
  <si>
    <t>http://ufcstats.com/fight-details/e02fca0d258283ce</t>
  </si>
  <si>
    <t>Frank Camacho vs. Beneil Dariush</t>
  </si>
  <si>
    <t>http://ufcstats.com/fight-details/b2d05ae88f820421</t>
  </si>
  <si>
    <t>Terrance McKinney vs. Fares Ziam</t>
  </si>
  <si>
    <t>http://ufcstats.com/fight-details/cb1f27818d46af0e</t>
  </si>
  <si>
    <t>Jim Miller vs. Jason Gonzalez</t>
  </si>
  <si>
    <t>Larry Downs, Jr.</t>
  </si>
  <si>
    <t>http://ufcstats.com/fight-details/3b6c18a966a2cea4</t>
  </si>
  <si>
    <t>Terrance McKinney vs. Erick Gonzalez</t>
  </si>
  <si>
    <t>http://ufcstats.com/fight-details/b530bb13aac1e48b</t>
  </si>
  <si>
    <t>Clay Guida vs. Charles Oliveira</t>
  </si>
  <si>
    <t>http://ufcstats.com/fight-details/e82d734674ce4d46</t>
  </si>
  <si>
    <t>Islam Makhachev vs. Dan Hooker</t>
  </si>
  <si>
    <t>http://ufcstats.com/fight-details/5ad4c0eae7512878</t>
  </si>
  <si>
    <t>Joe Duffy vs. Joel Alvarez</t>
  </si>
  <si>
    <t>http://ufcstats.com/fight-details/b76c0b0ed2926737</t>
  </si>
  <si>
    <t>Will Brooks vs. Charles Oliveira</t>
  </si>
  <si>
    <t>http://ufcstats.com/fight-details/56c7c59c9bb3b610</t>
  </si>
  <si>
    <t>BJ Penn vs. Ryan Hall</t>
  </si>
  <si>
    <t>Heel Hook After Drop to Ground</t>
  </si>
  <si>
    <t>http://ufcstats.com/fight-details/bd7a8c6c74655afc</t>
  </si>
  <si>
    <t>Kevin Lee vs. James Moontasri</t>
  </si>
  <si>
    <t>http://ufcstats.com/fight-details/b8019af428c064ef</t>
  </si>
  <si>
    <t>Joel Alvarez vs. Alexander Yakovlev</t>
  </si>
  <si>
    <t>http://ufcstats.com/fight-details/2279d909f6e3e552</t>
  </si>
  <si>
    <t>Clay Guida vs. Claudio Puelles</t>
  </si>
  <si>
    <t>Kneebar From Bottom Half Guard</t>
  </si>
  <si>
    <t>http://ufcstats.com/fight-details/6017351e164dbca3</t>
  </si>
  <si>
    <t>Thiago Moises vs. Christos Giagos</t>
  </si>
  <si>
    <t>http://ufcstats.com/fight-details/029a12d36a4687e1</t>
  </si>
  <si>
    <t>Joe Duffy vs. Ivan Jorge</t>
  </si>
  <si>
    <t>http://ufcstats.com/fight-details/c7780ac294530c0d</t>
  </si>
  <si>
    <t>Abel Trujillo vs. Tony Sims</t>
  </si>
  <si>
    <t>http://ufcstats.com/fight-details/5337461354f23b98</t>
  </si>
  <si>
    <t>Brad Riddell vs. Renato Moicano</t>
  </si>
  <si>
    <t>http://ufcstats.com/fight-details/1f922cfe6178e830</t>
  </si>
  <si>
    <t>Charles Oliveira vs. Justin Gaethje</t>
  </si>
  <si>
    <t>http://ufcstats.com/fight-details/7d4e49d8a6678157</t>
  </si>
  <si>
    <t>Luis Pena vs. Richie Smullen</t>
  </si>
  <si>
    <t>http://ufcstats.com/fight-details/4caa0dcdaa253612</t>
  </si>
  <si>
    <t>Paddy Pimblett vs. Kazula Vargas</t>
  </si>
  <si>
    <t>http://ufcstats.com/fight-details/001441f70c293931</t>
  </si>
  <si>
    <t>Austin Hubbard vs. Joe Solecki</t>
  </si>
  <si>
    <t>http://ufcstats.com/fight-details/23e548f618dd0e5f</t>
  </si>
  <si>
    <t>Jason Gonzalez vs. JC Cottrell</t>
  </si>
  <si>
    <t>http://ufcstats.com/fight-details/6eb382e2c51fc4f5</t>
  </si>
  <si>
    <t>Tae Hyun Bang vs. Jon Tuck</t>
  </si>
  <si>
    <t>http://ufcstats.com/fight-details/1e176413438fabd5</t>
  </si>
  <si>
    <t>Uros Medic vs. Jalin Turner</t>
  </si>
  <si>
    <t>http://ufcstats.com/fight-details/7abc4520f63f2c06</t>
  </si>
  <si>
    <t>Davi Ramos vs. Nick Hein</t>
  </si>
  <si>
    <t>http://ufcstats.com/fight-details/5ea39e0fc3b64e83</t>
  </si>
  <si>
    <t>Chris Wade vs. Mehdi Baghdad</t>
  </si>
  <si>
    <t>http://ufcstats.com/fight-details/226c6a86f4f81122</t>
  </si>
  <si>
    <t>Michael Chiesa vs. Kevin Lee</t>
  </si>
  <si>
    <t>http://ufcstats.com/fight-details/7013a95ea4014606</t>
  </si>
  <si>
    <t>Kajan Johnson vs. Islam Makhachev</t>
  </si>
  <si>
    <t>Andy Social</t>
  </si>
  <si>
    <t>http://ufcstats.com/fight-details/e54c16d867875738</t>
  </si>
  <si>
    <t>Ismael Bonfim vs. Benoit Saint Denis</t>
  </si>
  <si>
    <t>http://ufcstats.com/fight-details/cd137988da724076</t>
  </si>
  <si>
    <t>Roosevelt Roberts vs. Darrell Horcher</t>
  </si>
  <si>
    <t>http://ufcstats.com/fight-details/d2ef04d5f384c05a</t>
  </si>
  <si>
    <t>Jake Matthews vs. James Vick</t>
  </si>
  <si>
    <t>http://ufcstats.com/fight-details/418b6f692abe9e35</t>
  </si>
  <si>
    <t>Lando Vannata vs. Marcos Mariano</t>
  </si>
  <si>
    <t>http://ufcstats.com/fight-details/aa71cf96ba4e5a36</t>
  </si>
  <si>
    <t>Gilbert Burns vs. Lukasz Sajewski</t>
  </si>
  <si>
    <t>http://ufcstats.com/fight-details/e71a155192ff2f6c</t>
  </si>
  <si>
    <t>Michael Johnson vs. Thiago Moises</t>
  </si>
  <si>
    <t>Ankle Lock After Drop to Ground</t>
  </si>
  <si>
    <t>http://ufcstats.com/fight-details/87f58feac6b50367</t>
  </si>
  <si>
    <t>Sage Northcutt vs. Cody Pfister</t>
  </si>
  <si>
    <t>http://ufcstats.com/fight-details/cc1993d02d28a3b9</t>
  </si>
  <si>
    <t>Michael Chiesa vs. Anthony Pettis</t>
  </si>
  <si>
    <t>http://ufcstats.com/fight-details/d3f26e0fbf694375</t>
  </si>
  <si>
    <t>Charles Oliveira vs. David Teymur</t>
  </si>
  <si>
    <t>http://ufcstats.com/fight-details/85036b967403cdab</t>
  </si>
  <si>
    <t>Christos Giagos vs. Sean Soriano</t>
  </si>
  <si>
    <t>http://ufcstats.com/fight-details/de332779baa1b103</t>
  </si>
  <si>
    <t>Nazim Sadykhov vs. Terrance McKinney</t>
  </si>
  <si>
    <t>http://ufcstats.com/fight-details/e4620f3fa451a3a4</t>
  </si>
  <si>
    <t>Beneil Dariush vs. Michael Chiesa</t>
  </si>
  <si>
    <t>http://ufcstats.com/fight-details/613a288e8819fead</t>
  </si>
  <si>
    <t>Clay Guida vs. Leonardo Santos</t>
  </si>
  <si>
    <t>http://ufcstats.com/fight-details/5d64044b985004e7</t>
  </si>
  <si>
    <t>Alexander Hernandez vs. Renato Moicano</t>
  </si>
  <si>
    <t>http://ufcstats.com/fight-details/238832b58a66ae07</t>
  </si>
  <si>
    <t>Niklas Stolze vs. Benoit Saint Denis</t>
  </si>
  <si>
    <t>http://ufcstats.com/fight-details/ed32da52aff68944</t>
  </si>
  <si>
    <t>Anthony Pettis vs. Diego Ferreira</t>
  </si>
  <si>
    <t>http://ufcstats.com/fight-details/32a8f38bd1d46e3e</t>
  </si>
  <si>
    <t>Jordan Leavitt vs. Matt Sayles</t>
  </si>
  <si>
    <t>Inverted Triangle On Ground</t>
  </si>
  <si>
    <t>http://ufcstats.com/fight-details/ea76a3af8c5ecc55</t>
  </si>
  <si>
    <t>Nik Lentz vs. Will Brooks</t>
  </si>
  <si>
    <t>http://ufcstats.com/fight-details/fd2c018aade60a14</t>
  </si>
  <si>
    <t>Gregor Gillespie vs. Jason Gonzalez</t>
  </si>
  <si>
    <t>http://ufcstats.com/fight-details/128e818254ebfabe</t>
  </si>
  <si>
    <t>Tony Ferguson vs. Lando Vannata</t>
  </si>
  <si>
    <t>D'Arce Choke After Drop to Ground</t>
  </si>
  <si>
    <t>http://ufcstats.com/fight-details/824fb74f5fc34218</t>
  </si>
  <si>
    <t>Islam Makhachev vs. Leo Kuntz</t>
  </si>
  <si>
    <t>http://ufcstats.com/fight-details/3c3da227fbe36a28</t>
  </si>
  <si>
    <t>Kurt Holobaugh vs. Austin Hubbard</t>
  </si>
  <si>
    <t>John English</t>
  </si>
  <si>
    <t>http://ufcstats.com/fight-details/62d53ad8f8769666</t>
  </si>
  <si>
    <t>Paddy Pimblett vs. Jordan Leavitt</t>
  </si>
  <si>
    <t>http://ufcstats.com/fight-details/8e02bdaac8ed50e5</t>
  </si>
  <si>
    <t>Edson Barboza vs. Tony Ferguson</t>
  </si>
  <si>
    <t>http://ufcstats.com/fight-details/c64c2ca5d4d2c7b8</t>
  </si>
  <si>
    <t>Olivier Aubin-Mercier vs. Drew Dober</t>
  </si>
  <si>
    <t>http://ufcstats.com/fight-details/04f27a78e4ffce47</t>
  </si>
  <si>
    <t>Jim Miller vs. Michael Chiesa</t>
  </si>
  <si>
    <t>http://ufcstats.com/fight-details/045c298c72fe196a</t>
  </si>
  <si>
    <t>Erik Koch vs. Shane Campbell</t>
  </si>
  <si>
    <t>http://ufcstats.com/fight-details/5724a9cf463c8390</t>
  </si>
  <si>
    <t>Alexander Yakovlev vs. Alex Da Silva</t>
  </si>
  <si>
    <t>Schultz Front Headlock On Ground</t>
  </si>
  <si>
    <t>http://ufcstats.com/fight-details/d9a797f632686568</t>
  </si>
  <si>
    <t>Francisco Trinaldo vs. Kevin Lee</t>
  </si>
  <si>
    <t>http://ufcstats.com/fight-details/76602c3658d70273</t>
  </si>
  <si>
    <t>Charles Oliveira vs. Christos Giagos</t>
  </si>
  <si>
    <t>http://ufcstats.com/fight-details/ba766bd03090dab9</t>
  </si>
  <si>
    <t>Daniel Zellhuber vs. Christos Giagos</t>
  </si>
  <si>
    <t>http://ufcstats.com/fight-details/2e1435c160bfe8b2</t>
  </si>
  <si>
    <t>Roosevelt Roberts vs. Brok Weaver</t>
  </si>
  <si>
    <t>http://ufcstats.com/fight-details/03e5127d4832750c</t>
  </si>
  <si>
    <t>Thiago Moises vs. Melquizael Costa</t>
  </si>
  <si>
    <t>http://ufcstats.com/fight-details/8cdcdfb76d1670dd</t>
  </si>
  <si>
    <t>Gregor Gillespie vs. Vinc Pichel</t>
  </si>
  <si>
    <t>http://ufcstats.com/fight-details/921a8db065cd8cc5</t>
  </si>
  <si>
    <t>Gilbert Burns vs. Mike Davis</t>
  </si>
  <si>
    <t>http://ufcstats.com/fight-details/c2bcdcc472228768</t>
  </si>
  <si>
    <t>Marc Diakiese vs. Joel Alvarez</t>
  </si>
  <si>
    <t>D'Arce Choke From Side Control</t>
  </si>
  <si>
    <t>http://ufcstats.com/fight-details/319b96f615a0a154</t>
  </si>
  <si>
    <t>Kevin Lee vs. Magomed Mustafaev</t>
  </si>
  <si>
    <t>http://ufcstats.com/fight-details/dad034faf3d62cb9</t>
  </si>
  <si>
    <t>Renato Moicano vs. Jai Herbert</t>
  </si>
  <si>
    <t>http://ufcstats.com/fight-details/4341ebb5a56e6943</t>
  </si>
  <si>
    <t>Beneil Dariush vs. Drew Dober</t>
  </si>
  <si>
    <t>http://ufcstats.com/fight-details/9cfad21ef1911728</t>
  </si>
  <si>
    <t>Rafa Garcia vs. Jesse Ronson</t>
  </si>
  <si>
    <t>http://ufcstats.com/fight-details/0987b3f785e26d1c</t>
  </si>
  <si>
    <t>Joe Solecki vs. Carl Deaton</t>
  </si>
  <si>
    <t>http://ufcstats.com/fight-details/12d9b4a3931be5ec</t>
  </si>
  <si>
    <t>Kevin Lee vs. Charles Oliveira</t>
  </si>
  <si>
    <t>http://ufcstats.com/fight-details/e0b323dae5bf4c90</t>
  </si>
  <si>
    <t>Dan Hooker vs. Marc Diakiese</t>
  </si>
  <si>
    <t>http://ufcstats.com/fight-details/3d76ed7e224e9c99</t>
  </si>
  <si>
    <t>Abel Trujillo vs. James Vick</t>
  </si>
  <si>
    <t>http://ufcstats.com/fight-details/94cecf4bd29793e1</t>
  </si>
  <si>
    <t>Chris Gruetzemacher vs. Davi Ramos</t>
  </si>
  <si>
    <t>http://ufcstats.com/fight-details/f9536ea60551b840</t>
  </si>
  <si>
    <t>Michel Prazeres vs. Mads Burnell</t>
  </si>
  <si>
    <t>http://ufcstats.com/fight-details/5afbc04a153d7efd</t>
  </si>
  <si>
    <t>Olivier Aubin-Mercier vs. David Michaud</t>
  </si>
  <si>
    <t>http://ufcstats.com/fight-details/0590fb4acc06fa93</t>
  </si>
  <si>
    <t>Islam Makhachev vs. Drew Dober</t>
  </si>
  <si>
    <t>http://ufcstats.com/fight-details/c06d7bb29bc24d00</t>
  </si>
  <si>
    <t>Rong Zhu vs. Ignacio Bahamondes</t>
  </si>
  <si>
    <t>http://ufcstats.com/fight-details/61a20ff34b6948ba</t>
  </si>
  <si>
    <t>Dustin Poirier vs. Michael Chandler</t>
  </si>
  <si>
    <t>http://ufcstats.com/fight-details/4bf3010fdeea9d93</t>
  </si>
  <si>
    <t>Grant Dawson vs. Mark Madsen</t>
  </si>
  <si>
    <t>http://ufcstats.com/fight-details/1535fb6549fa8bab</t>
  </si>
  <si>
    <t>Claudio Puelles vs. Felipe Silva</t>
  </si>
  <si>
    <t>http://ufcstats.com/fight-details/866b2c2e354aa27b</t>
  </si>
  <si>
    <t>Olivier Aubin-Mercier vs. Thibault Gouti</t>
  </si>
  <si>
    <t>http://ufcstats.com/fight-details/c69c5830064fd591</t>
  </si>
  <si>
    <t>Khabib Nurmagomedov vs. Michael Johnson</t>
  </si>
  <si>
    <t>http://ufcstats.com/fight-details/c26806c2d554e50c</t>
  </si>
  <si>
    <t>Anthony Christodoulou vs. Scott Holtzman</t>
  </si>
  <si>
    <t>David Ferguson</t>
  </si>
  <si>
    <t>http://ufcstats.com/fight-details/503a9ac5679c9cf7</t>
  </si>
  <si>
    <t>Luis Pena vs. Khama Worthy</t>
  </si>
  <si>
    <t>http://ufcstats.com/fight-details/9025e3c6b6d71253</t>
  </si>
  <si>
    <t>Anthony Rocco Martin vs. Felipe Olivieri</t>
  </si>
  <si>
    <t>http://ufcstats.com/fight-details/318449b3f9346566</t>
  </si>
  <si>
    <t>Claudio Puelles vs. Chris Gruetzemacher</t>
  </si>
  <si>
    <t>http://ufcstats.com/fight-details/c74b03337a8441ed</t>
  </si>
  <si>
    <t>Paul Felder vs. Daron Cruickshank</t>
  </si>
  <si>
    <t>http://ufcstats.com/fight-details/52abce3a11b43b1d</t>
  </si>
  <si>
    <t>Jared Gordon vs. Grant Dawson</t>
  </si>
  <si>
    <t>http://ufcstats.com/fight-details/7c8701bb78cb4de8</t>
  </si>
  <si>
    <t>Jake Matthews vs. Johnny Case</t>
  </si>
  <si>
    <t>http://ufcstats.com/fight-details/784a57385d0e87ff</t>
  </si>
  <si>
    <t>Tony Ferguson vs. Bobby Green</t>
  </si>
  <si>
    <t>http://ufcstats.com/fight-details/f1eca70738ca073e</t>
  </si>
  <si>
    <t>Joe Proctor vs. Justin Edwards</t>
  </si>
  <si>
    <t>Myron Gaudet</t>
  </si>
  <si>
    <t>http://ufcstats.com/fight-details/3caa22209cb559b7</t>
  </si>
  <si>
    <t>Islam Makhachev vs. Thiago Moises</t>
  </si>
  <si>
    <t>http://ufcstats.com/fight-details/7d4c160dab6eae73</t>
  </si>
  <si>
    <t>http://ufcstats.com/fight-details/7d0ce28ce8a77eb1</t>
  </si>
  <si>
    <t>Piotr Hallmann vs. Magomed Mustafaev</t>
  </si>
  <si>
    <t>http://ufcstats.com/fight-details/08cbd4c521831adf</t>
  </si>
  <si>
    <t>Austin Hubbard vs. Max Rohskopf</t>
  </si>
  <si>
    <t>http://ufcstats.com/fight-details/d333a6c34ff16397</t>
  </si>
  <si>
    <t>Scott Holtzman vs. Dong Hyun Ma</t>
  </si>
  <si>
    <t>http://ufcstats.com/fight-details/1d9f862a47540785</t>
  </si>
  <si>
    <t>Tony Ferguson vs. Donald Cerrone</t>
  </si>
  <si>
    <t>http://ufcstats.com/fight-details/323dc938d93a849b</t>
  </si>
  <si>
    <t>Jake Matthews vs. Akbarh Arreola</t>
  </si>
  <si>
    <t>http://ufcstats.com/fight-details/0f85a1d9ce42d13e</t>
  </si>
  <si>
    <t>Nazim Sadykhov vs. Evan Elder</t>
  </si>
  <si>
    <t>http://ufcstats.com/fight-details/d45d9c7d60f332da</t>
  </si>
  <si>
    <t>Francisco Trinaldo vs. Paul Felder</t>
  </si>
  <si>
    <t>http://ufcstats.com/fight-details/845907142e023077</t>
  </si>
  <si>
    <t>Edson Barboza vs. Kevin Lee</t>
  </si>
  <si>
    <t>http://ufcstats.com/fight-details/dbb0ca0198ac514a</t>
  </si>
  <si>
    <t>Aliaskhab Khizriev vs. Makhmud Muradov</t>
  </si>
  <si>
    <t>eye injury</t>
  </si>
  <si>
    <t>http://ufcstats.com/fight-details/415ea2520b7ba720</t>
  </si>
  <si>
    <t>Antonio Carlos Junior vs. Kevin Casey</t>
  </si>
  <si>
    <t>Eye Poke by Carlos Junior</t>
  </si>
  <si>
    <t>http://ufcstats.com/fight-details/633fbb0894c002d2</t>
  </si>
  <si>
    <t>Illegal Knee by Anders</t>
  </si>
  <si>
    <t>http://ufcstats.com/fight-details/dc48627a5f2daba9</t>
  </si>
  <si>
    <t>Nassourdine Imavov vs. Chris Curtis</t>
  </si>
  <si>
    <t>Accidental Head Butt</t>
  </si>
  <si>
    <t>http://ufcstats.com/fight-details/96eaf07b34538b8b</t>
  </si>
  <si>
    <t>Junyong Park vs. Tafon Nchukwi</t>
  </si>
  <si>
    <t>Ron McCarthy 25 - 30.Sal D'amato 26 - 29.Tony Weeks 28 - 28.</t>
  </si>
  <si>
    <t>http://ufcstats.com/fight-details/8a95f0e3f9111f0c</t>
  </si>
  <si>
    <t>Phil Hawes vs. Nassourdine Imavov</t>
  </si>
  <si>
    <t>Junichiro Kamijo 28 - 28.Mike Bell 28 - 29.Chris Lee 28 - 29.</t>
  </si>
  <si>
    <t>http://ufcstats.com/fight-details/05ceb8b2f93993a6</t>
  </si>
  <si>
    <t>Marvin Vettori vs. Omari Akhmedov</t>
  </si>
  <si>
    <t>Tony Weeks 28 - 28.Glenn Trowbridge 28 - 29.Sal D'amato 28 - 28.</t>
  </si>
  <si>
    <t>http://ufcstats.com/fight-details/0be6540982a5b0cd</t>
  </si>
  <si>
    <t>Andre Petroski vs. Gerald Meerschaert</t>
  </si>
  <si>
    <t>Marcel Valera 28 - 29.Sal D'amato 29 - 28.Steve Rita 28 - 29.</t>
  </si>
  <si>
    <t>http://ufcstats.com/fight-details/9f7c28381b6913c8</t>
  </si>
  <si>
    <t>Chidi Njokuani vs. Albert Duraev</t>
  </si>
  <si>
    <t>Chris Lee 29 - 28.Sal D'amato 28 - 29.Dan Miragliotta 28 - 29.</t>
  </si>
  <si>
    <t>http://ufcstats.com/fight-details/2f382615155e32b9</t>
  </si>
  <si>
    <t>Eryk Anders vs. Junyong Park</t>
  </si>
  <si>
    <t>Anthony Maness 28 - 29.Mike Bell 29 - 28.Sal D'amato 28 - 29.</t>
  </si>
  <si>
    <t>http://ufcstats.com/fight-details/4a789cdd5aaf4439</t>
  </si>
  <si>
    <t>Armen Petrosyan vs. Gregory Rodrigues</t>
  </si>
  <si>
    <t>Mike Bell 28 - 29.Doug Crosby 29 - 28.Tony Weeks 27 - 30.</t>
  </si>
  <si>
    <t>http://ufcstats.com/fight-details/84d633d4a9fbf331</t>
  </si>
  <si>
    <t>Joaquin Buckley vs. Abdul Razak Alhassan</t>
  </si>
  <si>
    <t>Sal D'amato 28 - 29.Anthony Maness 29 - 28.Junichiro Kamijo 28 - 29.</t>
  </si>
  <si>
    <t>http://ufcstats.com/fight-details/04e2d50c24a88dbd</t>
  </si>
  <si>
    <t>Punahele Soriano vs. Nick Maximov</t>
  </si>
  <si>
    <t>Mike Bell 29 - 28.Doug Crosby 27 - 30.Ron McCarthy 28 - 29.</t>
  </si>
  <si>
    <t>http://ufcstats.com/fight-details/ace166f26c2ac2e8</t>
  </si>
  <si>
    <t>Misha Cirkunov vs. Krzysztof Jotko</t>
  </si>
  <si>
    <t>Sal D'amato 28 - 29.Dave Hagen 29 - 28.Chris Lee 28 - 29.</t>
  </si>
  <si>
    <t>http://ufcstats.com/fight-details/dba710edbc3c29ff</t>
  </si>
  <si>
    <t>Sam Alvey vs. Wellington Turman</t>
  </si>
  <si>
    <t>Derek Cleary 27 - 28.Adalaide Byrd 28 - 27.Ron McCarthy 27 - 28.</t>
  </si>
  <si>
    <t>http://ufcstats.com/fight-details/58d5e4afc2dd35d1</t>
  </si>
  <si>
    <t>Omari Akhmedov vs. Brad Tavares</t>
  </si>
  <si>
    <t>Eric Colon 28 - 29.Mike Bell 28 - 29.Ron McCarthy 29 - 28.</t>
  </si>
  <si>
    <t>http://ufcstats.com/fight-details/1aba46988c9b58f9</t>
  </si>
  <si>
    <t>Kevin Holland vs. Darren Stewart</t>
  </si>
  <si>
    <t>Sal D'amato 28 - 29.Ron McCarthy 29 - 28.Eric Colon 28 - 29.</t>
  </si>
  <si>
    <t>http://ufcstats.com/fight-details/78c3ca588e55bf31</t>
  </si>
  <si>
    <t>Trevin Giles vs. James Krause</t>
  </si>
  <si>
    <t>Joe Soliz 28 - 29.Patrick Patlan 29 - 28.Joshua Ferraro 28 - 29.</t>
  </si>
  <si>
    <t>http://ufcstats.com/fight-details/11f7bac5037a184c</t>
  </si>
  <si>
    <t>Kelvin Gastelum vs. Darren Till</t>
  </si>
  <si>
    <t>Dave Tirelli 30 - 27.Eric Colon 28 - 29.Chris Lee 27 - 30.</t>
  </si>
  <si>
    <t>http://ufcstats.com/fight-details/7c40aa2cb6883a91</t>
  </si>
  <si>
    <t>Deron Winn vs. Darren Stewart</t>
  </si>
  <si>
    <t>Eric Colon 28 - 29.Nick Mahmood 28 - 29.Dave Tirelli 29 - 28.</t>
  </si>
  <si>
    <t>http://ufcstats.com/fight-details/93f3e9b9f093ad57</t>
  </si>
  <si>
    <t>Eryk Anders vs. Gerald Meerschaert</t>
  </si>
  <si>
    <t>Derek Cleary 29 - 28.Tony Weeks 28 - 29.Michelle Olney 28 - 29.</t>
  </si>
  <si>
    <t>http://ufcstats.com/fight-details/834f67e96612cd6f</t>
  </si>
  <si>
    <t>Uriah Hall vs. Antonio Carlos Junior</t>
  </si>
  <si>
    <t>David Therien 28 - 29.Mike Bell 29 - 28.Sal D'amato 28 - 29.</t>
  </si>
  <si>
    <t>http://ufcstats.com/fight-details/ece3a7a9e930ef9d</t>
  </si>
  <si>
    <t>Marc-Andre Barriault vs. Krzysztof Jotko</t>
  </si>
  <si>
    <t>Dave Hagen 28 - 29.Derek Cleary 28 - 29.Kevin Dornan 29 - 28.</t>
  </si>
  <si>
    <t>http://ufcstats.com/fight-details/dbca9f6bb7290c0d</t>
  </si>
  <si>
    <t>Karl Roberson vs. Wellington Turman</t>
  </si>
  <si>
    <t>Derek Cleary 29 - 28.Wade Vierra 28 - 29.Mike Bell 28 - 29.</t>
  </si>
  <si>
    <t>http://ufcstats.com/fight-details/a7cf716f5d73b558</t>
  </si>
  <si>
    <t>Kevin Holland vs. Gerald Meerschaert</t>
  </si>
  <si>
    <t>Greg Monskie 28 - 29.Dave Tirelli 29 - 28.Cardo Urso 27 - 30.</t>
  </si>
  <si>
    <t>http://ufcstats.com/fight-details/7dc3ada8f2135477</t>
  </si>
  <si>
    <t>Jack Marshman vs. John Phillips</t>
  </si>
  <si>
    <t>Pawel Harasim 29 - 28.Mark Collett 28 - 29.Andy Roberts 28 - 29.</t>
  </si>
  <si>
    <t>http://ufcstats.com/fight-details/437c6e18f41287f1</t>
  </si>
  <si>
    <t>Elias Theodorou vs. Eryk Anders</t>
  </si>
  <si>
    <t>Christopher Doyle 28 - 29.Benoit Roussel 29 - 28.Sal D'amato 28 - 29.</t>
  </si>
  <si>
    <t>http://ufcstats.com/fight-details/7d679c16024f6f38</t>
  </si>
  <si>
    <t>Darren Stewart vs. Edmen Shahbazyan</t>
  </si>
  <si>
    <t>Chris Lee 28 - 29.Junichiro Kamijo 29 - 28.Patricia Morse-Jarman 28 - 29.</t>
  </si>
  <si>
    <t>http://ufcstats.com/fight-details/5b2835ac76f05993</t>
  </si>
  <si>
    <t>Alessio Di Chirico vs. Julian Marquez</t>
  </si>
  <si>
    <t>Dave Hagen 30 - 27.Sal D'amato 28 - 29.Adalaide Byrd 28 - 29.</t>
  </si>
  <si>
    <t>http://ufcstats.com/fight-details/760b90b0805e0fbf</t>
  </si>
  <si>
    <t>Jacare Souza vs. Kelvin Gastelum</t>
  </si>
  <si>
    <t>Guilherme Bravo 28 - 29.Sal D'amato 29 - 28.Chris Lee 28 - 29.</t>
  </si>
  <si>
    <t>http://ufcstats.com/fight-details/d86e31793564cd31</t>
  </si>
  <si>
    <t>Israel Adesanya vs. Marvin Vettori</t>
  </si>
  <si>
    <t>Chris Hayes 28 - 29.Chris Lee 29 - 28.Derek Cleary 28 - 29.</t>
  </si>
  <si>
    <t>http://ufcstats.com/fight-details/b8b9a8e504d51ba5</t>
  </si>
  <si>
    <t>Nate Marquardt vs. Cezar Ferreira</t>
  </si>
  <si>
    <t>Jeff Mullen 28 - 29.Chris Lee 29 - 28.Brian Costello 28 - 29.</t>
  </si>
  <si>
    <t>http://ufcstats.com/fight-details/7ad85c84025c0db0</t>
  </si>
  <si>
    <t>Sam Alvey vs. Rashad Evans</t>
  </si>
  <si>
    <t>Derek Cleary 28 - 29.Jeff Mullen 29 - 28.Eric Colon 28 - 29.</t>
  </si>
  <si>
    <t>http://ufcstats.com/fight-details/c8f619a71b714ec7</t>
  </si>
  <si>
    <t>Krzysztof Jotko vs. David Branch</t>
  </si>
  <si>
    <t>Jeff Mullen 28 - 29.Chris Reed 29 - 28.Troy Wincapaw 28 - 29.</t>
  </si>
  <si>
    <t>http://ufcstats.com/fight-details/362a5b3cd4a70330</t>
  </si>
  <si>
    <t>Brad Scott vs. Scott Askham</t>
  </si>
  <si>
    <t>Andy Roberts 29 - 28.Ben Cartlidge 28 - 29.Takeo Kobayashi 28 - 29.</t>
  </si>
  <si>
    <t>http://ufcstats.com/fight-details/794b63b4c1e1e789</t>
  </si>
  <si>
    <t>Rashad Evans vs. Daniel Kelly</t>
  </si>
  <si>
    <t>Dave Hagen 28 - 29.Chris Lee 29 - 28.Derek Cleary 28 - 29.</t>
  </si>
  <si>
    <t>http://ufcstats.com/fight-details/e3ca9462ad0d7685</t>
  </si>
  <si>
    <t>Brad Tavares vs. Caio Magalhaes</t>
  </si>
  <si>
    <t>Rick Winter 29 - 28.Derek Cleary 27 - 30.Eric Colon 28 - 29.</t>
  </si>
  <si>
    <t>http://ufcstats.com/fight-details/c8ca99d1adc5448d</t>
  </si>
  <si>
    <t>Garreth McLellan vs. Alessio Di Chirico</t>
  </si>
  <si>
    <t>John Cooper 28 - 29.Tony Weeks 29 - 28.David Therien 28 - 29.</t>
  </si>
  <si>
    <t>http://ufcstats.com/fight-details/f8df4cb5f22656c0</t>
  </si>
  <si>
    <t>Kevin Casey vs. Elvis Mutapcic</t>
  </si>
  <si>
    <t>Ron McCarthy 28 - 29.Marcos Rosales 29 - 28.Derek Cleary 28 - 28.</t>
  </si>
  <si>
    <t>http://ufcstats.com/fight-details/e640fd983577d349</t>
  </si>
  <si>
    <t>Jacare Souza vs. Yoel Romero</t>
  </si>
  <si>
    <t>Glenn Trowbridge 27 - 29.Lester Griffin 29 - 28.Tony Weeks 28 - 29.</t>
  </si>
  <si>
    <t>http://ufcstats.com/fight-details/f83c6bdd553b5851</t>
  </si>
  <si>
    <t>Scott Askham vs. Krzysztof Jotko</t>
  </si>
  <si>
    <t>Andy Haigh 28 - 29.Paul Sutherland 29 - 28.Dean Weir 28 - 29.</t>
  </si>
  <si>
    <t>http://ufcstats.com/fight-details/3e39829aedc9346f</t>
  </si>
  <si>
    <t>Ricardo Abreu vs. Jake Collier</t>
  </si>
  <si>
    <t>Jordan Bass</t>
  </si>
  <si>
    <t>Myron Gaudet 28 - 29.Cardo Urso 29 - 28.Robbie Scheuermann 28 - 29.</t>
  </si>
  <si>
    <t>http://ufcstats.com/fight-details/c39da8538d9c0321</t>
  </si>
  <si>
    <t>Uriah Hall vs. Rafael Natal</t>
  </si>
  <si>
    <t>Sal D'amato 28 - 29.Patricia Morse-Jarman 29 - 28.Junichiro Kamijo 28 - 29.</t>
  </si>
  <si>
    <t>http://ufcstats.com/fight-details/b34c608bdfa655e8</t>
  </si>
  <si>
    <t>Eddie Gordon vs. Chris Dempsey</t>
  </si>
  <si>
    <t>Michelle Agustin 28 - 29.Michael Depasquale 29 - 28.Cardo Urso 28 - 29.</t>
  </si>
  <si>
    <t>http://ufcstats.com/fight-details/642a8cc1195c5198</t>
  </si>
  <si>
    <t>Jared Cannonier vs. Sean Strickland</t>
  </si>
  <si>
    <t>Derek Cleary 46 - 49.Sal D'amato 49 - 46.Junichiro Kamijo 46 - 49.</t>
  </si>
  <si>
    <t>http://ufcstats.com/fight-details/4ea48bf2407b405d</t>
  </si>
  <si>
    <t>Jack Hermansson vs. Sean Strickland</t>
  </si>
  <si>
    <t>Derek Cleary 46 - 49.Sal D'amato 48 - 47.Junichiro Kamijo 46 - 49.</t>
  </si>
  <si>
    <t>http://ufcstats.com/fight-details/4b67a1875390e7ad</t>
  </si>
  <si>
    <t>Robert Whittaker vs. Yoel Romero</t>
  </si>
  <si>
    <t>Brian Puccillo 47 - 48.Sal D'amato 48 - 47.Chris Lee 47 - 48.</t>
  </si>
  <si>
    <t>http://ufcstats.com/fight-details/5a09fd7cb3db9705</t>
  </si>
  <si>
    <t>Lyoto Machida vs. Eryk Anders</t>
  </si>
  <si>
    <t>Guilherme Bravo 47 - 48.Marcos Rosales 48 - 47.Tony Weeks 46 - 49.</t>
  </si>
  <si>
    <t>http://ufcstats.com/fight-details/420dd305cd1d062f</t>
  </si>
  <si>
    <t>Michael Bisping vs. Thales Leites</t>
  </si>
  <si>
    <t>Paul Sutherland 48 - 47.Mark Collett 46 - 49.Howard Hughes 47 - 48.</t>
  </si>
  <si>
    <t>http://ufcstats.com/fight-details/2e47823d38a5649b</t>
  </si>
  <si>
    <t>Caio Borralho vs. Gadzhi Omargadzhiev</t>
  </si>
  <si>
    <t>Technical DecisionMike Bell 27 - 29.Doug Crosby 27 - 29.Junichiro Kamijo 27 - 29.</t>
  </si>
  <si>
    <t>http://ufcstats.com/fight-details/a0a120c50d93f70a</t>
  </si>
  <si>
    <t>http://ufcstats.com/fight-details/7d474fbf31894108</t>
  </si>
  <si>
    <t>Chris Weidman vs. Brad Tavares</t>
  </si>
  <si>
    <t>Sal D'amato 27 - 30.Nick Mahmood 27 - 30.Ben Cartlidge 27 - 30.</t>
  </si>
  <si>
    <t>http://ufcstats.com/fight-details/1a95cc401f68f4c8</t>
  </si>
  <si>
    <t>AJ Dobson vs. Tafon Nchukwi</t>
  </si>
  <si>
    <t>http://ufcstats.com/fight-details/560a971c6ab8b854</t>
  </si>
  <si>
    <t>Josh Fremd vs. Jamie Pickett</t>
  </si>
  <si>
    <t>Adalaide Byrd 27 - 30.Sal D'amato 27 - 30.Ron McCarthy 27 - 30.</t>
  </si>
  <si>
    <t>http://ufcstats.com/fight-details/9a9479663bedf8b4</t>
  </si>
  <si>
    <t>Makhmud Muradov vs. Bryan Barberena</t>
  </si>
  <si>
    <t>Junichiro Kamijo 27 - 30.David Lethaby 27 - 30.Anders Ohlsson 27 - 30.</t>
  </si>
  <si>
    <t>http://ufcstats.com/fight-details/8b341eb556c97c23</t>
  </si>
  <si>
    <t>Cody Brundage vs. Sedriques Dumas</t>
  </si>
  <si>
    <t>Troy Wincapaw 27 - 30.Eric Colon 28 - 29.Derek Cleary 27 - 30.</t>
  </si>
  <si>
    <t>http://ufcstats.com/fight-details/7b909acede0a26eb</t>
  </si>
  <si>
    <t>Armen Petrosyan vs. Christian Leroy Duncan</t>
  </si>
  <si>
    <t>Tony Weeks 27 - 30.Derek Cleary 28 - 29.Sal D'amato 28 - 29.</t>
  </si>
  <si>
    <t>http://ufcstats.com/fight-details/5d9b84493f1ed114</t>
  </si>
  <si>
    <t>Marc-Andre Barriault vs. Eryk Anders</t>
  </si>
  <si>
    <t>Sal D'amato 27 - 30.Mike Bell 27 - 30.Chris Lee 27 - 30.</t>
  </si>
  <si>
    <t>http://ufcstats.com/fight-details/5311298f79414125</t>
  </si>
  <si>
    <t>Chris Curtis vs. Kelvin Gastelum</t>
  </si>
  <si>
    <t>Eric Colon 28 - 29.Derek Cleary 28 - 29.MichaelTate 27 - 30.</t>
  </si>
  <si>
    <t>http://ufcstats.com/fight-details/bbc76ff9e1b1b142</t>
  </si>
  <si>
    <t>Marvin Vettori vs. Roman Dolidze</t>
  </si>
  <si>
    <t>http://ufcstats.com/fight-details/5e9c027fb24efc2b</t>
  </si>
  <si>
    <t>Andre Petroski vs. Wellington Turman</t>
  </si>
  <si>
    <t>Doug Crosby 27 - 30.Dave Tirelli 27 - 30.Bryan Miner 28 - 29.</t>
  </si>
  <si>
    <t>http://ufcstats.com/fight-details/65ce9335b93d9c57</t>
  </si>
  <si>
    <t>Makhmud Muradov vs. Caio Borralho</t>
  </si>
  <si>
    <t>Junichiro Kamijo 27 - 30.Vito Paolillo 27 - 30.Clemens Werner 28 - 29.</t>
  </si>
  <si>
    <t>http://ufcstats.com/fight-details/2d36e2c10ee349fe</t>
  </si>
  <si>
    <t>Armen Petrosyan vs. AJ Dobson</t>
  </si>
  <si>
    <t>Junichiro Kamijo 27 - 30.David Lethaby 27 - 30.Darryl Ransom 27 - 30.</t>
  </si>
  <si>
    <t>http://ufcstats.com/fight-details/1b204fc28bb023e6</t>
  </si>
  <si>
    <t>Nick Maximov vs. Jacob Malkoun</t>
  </si>
  <si>
    <t>http://ufcstats.com/fight-details/860050f211b44d10</t>
  </si>
  <si>
    <t>Robert Whittaker vs. Marvin Vettori</t>
  </si>
  <si>
    <t>Mark Collett 27 - 30.Howard Hughes 27 - 30.Clemens Werner 28 - 29.</t>
  </si>
  <si>
    <t>http://ufcstats.com/fight-details/b8ca1acdf3dc2f58</t>
  </si>
  <si>
    <t>Nassourdine Imavov vs. Joaquin Buckley</t>
  </si>
  <si>
    <t>Ben Cartlidge 28 - 29.Mark Collett 28 - 29.Derek Cleary 27 - 30.</t>
  </si>
  <si>
    <t>http://ufcstats.com/fight-details/20f316f96c9e4458</t>
  </si>
  <si>
    <t>Paulo Costa vs. Luke Rockhold</t>
  </si>
  <si>
    <t>Derek Cleary 27 - 30.Mike Bell 27 - 30.Chris Lee 27 - 30.</t>
  </si>
  <si>
    <t>http://ufcstats.com/fight-details/2de6652160cc7b9f</t>
  </si>
  <si>
    <t>Jack Hermansson vs. Chris Curtis</t>
  </si>
  <si>
    <t>Darryl Ransom 28 - 29.Cezary Wojciechowski 28 - 29.Clemens Werner 27 - 30.</t>
  </si>
  <si>
    <t>http://ufcstats.com/fight-details/925a36a4af600291</t>
  </si>
  <si>
    <t>Dwight Grant vs. Dustin Stoltzfus</t>
  </si>
  <si>
    <t>Mike Bell 28 - 29.Derek Cleary 28 - 29.Chris Lee 28 - 29.</t>
  </si>
  <si>
    <t>http://ufcstats.com/fight-details/9f3326195672c2b9</t>
  </si>
  <si>
    <t>Caio Borralho vs. Armen Petrosyan</t>
  </si>
  <si>
    <t>Doug Crosby 27 - 30.Sal D'amato 27 - 30.Mike Bell 28 - 29.</t>
  </si>
  <si>
    <t>http://ufcstats.com/fight-details/6c60e58f8e9e7a4c</t>
  </si>
  <si>
    <t>Brad Tavares vs. Dricus Du Plessis</t>
  </si>
  <si>
    <t>Mike Bell 28 - 29.Ron McCarthy 28 - 29.Tony Weeks 28 - 29.</t>
  </si>
  <si>
    <t>http://ufcstats.com/fight-details/57775c8af89007c7</t>
  </si>
  <si>
    <t>Uriah Hall vs. Andre Muniz</t>
  </si>
  <si>
    <t>Derek Cleary 27 - 30.Anthony Maness 27 - 30.Junichiro Kamijo 27 - 30.</t>
  </si>
  <si>
    <t>http://ufcstats.com/fight-details/99ac96bb67e5c5e4</t>
  </si>
  <si>
    <t>Chris Curtis vs. Rodolfo Vieira</t>
  </si>
  <si>
    <t>http://ufcstats.com/fight-details/3f38100fd8dae286</t>
  </si>
  <si>
    <t>Brendan Allen vs. Jacob Malkoun</t>
  </si>
  <si>
    <t>Evan Field 28 - 29.Garth Harriman 28 - 29.Howard Hughes 28 - 29.</t>
  </si>
  <si>
    <t>http://ufcstats.com/fight-details/50eed57ea1390e16</t>
  </si>
  <si>
    <t>Krzysztof Jotko vs. Gerald Meerschaert</t>
  </si>
  <si>
    <t>Sal D'amato 27 - 30.Adalaide Byrd 27 - 30.Junichiro Kamijo 27 - 30.</t>
  </si>
  <si>
    <t>http://ufcstats.com/fight-details/6b956992204ec040</t>
  </si>
  <si>
    <t>Anthony Hernandez vs. Josh Fremd</t>
  </si>
  <si>
    <t>Barry Luxenberg 27 - 30.Chris Lee 27 - 30.Sal D'amato 28 - 29.</t>
  </si>
  <si>
    <t>http://ufcstats.com/fight-details/7c6ed5b3d830d0cb</t>
  </si>
  <si>
    <t>Alex Pereira vs. Bruno Silva</t>
  </si>
  <si>
    <t>Derek Cleary 27 - 30.Rick Winter 27 - 30.Junichiro Kamijo 27 - 30.</t>
  </si>
  <si>
    <t>http://ufcstats.com/fight-details/226884e46a10865d</t>
  </si>
  <si>
    <t>AJ Dobson vs. Jacob Malkoun</t>
  </si>
  <si>
    <t>Jeff Rexroad 28 - 29.Doug Crosby 28 - 29.Patrick Patlan 28 - 29.</t>
  </si>
  <si>
    <t>http://ufcstats.com/fight-details/c16bda7548181613</t>
  </si>
  <si>
    <t>Tresean Gore vs. Bryan Battle</t>
  </si>
  <si>
    <t>Mike Bell 28 - 29.Doug Crosby 28 - 29.Ron McCarthy 28 - 29.</t>
  </si>
  <si>
    <t>http://ufcstats.com/fight-details/0489b42ac0ab6d4b</t>
  </si>
  <si>
    <t>Jamie Pickett vs. Joseph Holmes</t>
  </si>
  <si>
    <t>Eric Colon 28 - 29.Chris Lee 28 - 29.Adalaide Byrd 28 - 29.</t>
  </si>
  <si>
    <t>http://ufcstats.com/fight-details/e8517ed0b49abc37</t>
  </si>
  <si>
    <t>Albert Duraev vs. Roman Kopylov</t>
  </si>
  <si>
    <t>Vito Paolillo 27 - 30.Ben Cartlidge 27 - 29.Clemens Werner 27 - 29.</t>
  </si>
  <si>
    <t>http://ufcstats.com/fight-details/768c86e307295944</t>
  </si>
  <si>
    <t>Jamie Pickett vs. Laureano Staropoli</t>
  </si>
  <si>
    <t>http://ufcstats.com/fight-details/85f920746c58d0a6</t>
  </si>
  <si>
    <t>Cody Brundage vs. Nick Maximov</t>
  </si>
  <si>
    <t>Sal D'amato 28 - 29.Dave Hagen 28 - 29.Bryan Miner 28 - 29.</t>
  </si>
  <si>
    <t>http://ufcstats.com/fight-details/d8189169b2c8a2aa</t>
  </si>
  <si>
    <t>Dalcha Lungiambula vs. Marc-Andre Barriault</t>
  </si>
  <si>
    <t>Derek Cleary 28 - 29.Sal D'amato 28 - 29.Bryan Miner 27 - 30.</t>
  </si>
  <si>
    <t>http://ufcstats.com/fight-details/a7c38d4d66abf923</t>
  </si>
  <si>
    <t>Punahele Soriano vs. Brendan Allen</t>
  </si>
  <si>
    <t>Dave Hagen 27 - 30.Junichiro Kamijo 27 - 30.Chris Lee 28 - 29.</t>
  </si>
  <si>
    <t>http://ufcstats.com/fight-details/4911094a4ee26868</t>
  </si>
  <si>
    <t>Roman Dolidze vs. Laureano Staropoli</t>
  </si>
  <si>
    <t>Ron McCarthy 27 - 30.Bryan Miner 27 - 30.Junichiro Kamijo 27 - 30.</t>
  </si>
  <si>
    <t>http://ufcstats.com/fight-details/bb6438338bb8aebf</t>
  </si>
  <si>
    <t>Dusko Todorovic vs. Gregory Rodrigues</t>
  </si>
  <si>
    <t>Rick Winter 27 - 30.Tony Weeks 27 - 30.Ron McCarthy 28 - 29.</t>
  </si>
  <si>
    <t>http://ufcstats.com/fight-details/9252ad2304fd9a26</t>
  </si>
  <si>
    <t>Jack Hermansson vs. Edmen Shahbazyan</t>
  </si>
  <si>
    <t>Sal D'amato 27 - 29.Adalaide Byrd 27 - 29.Junichiro Kamijo 27 - 29.</t>
  </si>
  <si>
    <t>http://ufcstats.com/fight-details/7f8340dfe4220c3e</t>
  </si>
  <si>
    <t>Phil Hawes vs. Kyle Daukaus</t>
  </si>
  <si>
    <t>Tony Weeks 26 - 30.Mike Bell 26 - 30.Sal D'amato 27 - 29.</t>
  </si>
  <si>
    <t>http://ufcstats.com/fight-details/00fbeda449926c13</t>
  </si>
  <si>
    <t>Sean Strickland vs. Krzysztof Jotko</t>
  </si>
  <si>
    <t>Sal D'amato 27 - 30.Junichiro Kamijo 27 - 30.Adalaide Byrd 28 - 29.</t>
  </si>
  <si>
    <t>http://ufcstats.com/fight-details/ffd8e8575a551875</t>
  </si>
  <si>
    <t>Andreas Michailidis vs. KB Bhullar</t>
  </si>
  <si>
    <t>Rick Winter 27 - 30.Tony Weeks 27 - 30.Eric Colon 28 - 29.</t>
  </si>
  <si>
    <t>http://ufcstats.com/fight-details/78dc032441394331</t>
  </si>
  <si>
    <t>Abdul Razak Alhassan vs. Jacob Malkoun</t>
  </si>
  <si>
    <t>Chris Lee 27 - 30.Adalaide Byrd 27 - 30.Junichiro Kamijo 27 - 30.</t>
  </si>
  <si>
    <t>http://ufcstats.com/fight-details/a850ba762f3c5334</t>
  </si>
  <si>
    <t>Trevin Giles vs. Roman Dolidze</t>
  </si>
  <si>
    <t>Eric Colon 28 - 29.Bryan Miner 28 - 29.Adalaide Byrd 28 - 29.</t>
  </si>
  <si>
    <t>http://ufcstats.com/fight-details/68cf99b6551dc3b3</t>
  </si>
  <si>
    <t>Kelvin Gastelum vs. Ian Heinisch</t>
  </si>
  <si>
    <t>Ron McCarthy 27 - 30.Bryan Miner 28 - 29.Derek Cleary 28 - 29.</t>
  </si>
  <si>
    <t>http://ufcstats.com/fight-details/26fbf026beb8e9f8</t>
  </si>
  <si>
    <t>Brad Tavares vs. Antonio Carlos Junior</t>
  </si>
  <si>
    <t>Ben Cartlidge 27 - 30.Anders Ohlsson 27 - 30.David Lethaby 28 - 29.</t>
  </si>
  <si>
    <t>http://ufcstats.com/fight-details/92f569a6d9374b86</t>
  </si>
  <si>
    <t>Dalcha Lungiambula vs. Markus Perez</t>
  </si>
  <si>
    <t>Mike Bell 28 - 29.Anders Ohlsson 28 - 29.Paul Sutherland 28 - 29.</t>
  </si>
  <si>
    <t>http://ufcstats.com/fight-details/76b61ff4c9760f79</t>
  </si>
  <si>
    <t>Tafon Nchukwi vs. Jamie Pickett</t>
  </si>
  <si>
    <t>Eric Colon 25 - 30.Mike Bell 26 - 30.Chris Lee 26 - 30.</t>
  </si>
  <si>
    <t>http://ufcstats.com/fight-details/0fe4906754b2d0f9</t>
  </si>
  <si>
    <t>Kyle Daukaus vs. Dustin Stoltzfus</t>
  </si>
  <si>
    <t>Tony Weeks 27 - 30.Junichiro Kamijo 27 - 30.Mike Bell 26 - 30.</t>
  </si>
  <si>
    <t>http://ufcstats.com/fight-details/90eb22b9eb6ed2a8</t>
  </si>
  <si>
    <t>Sean Strickland vs. Jack Marshman</t>
  </si>
  <si>
    <t>Sal D'amato 27 - 30.Derek Cleary 27 - 30.Adalaide Byrd 27 - 30.</t>
  </si>
  <si>
    <t>http://ufcstats.com/fight-details/09f5fb0bec3c948a</t>
  </si>
  <si>
    <t>Robert Whittaker vs. Jared Cannonier</t>
  </si>
  <si>
    <t>Derek Cleary 28 - 29.Sal D'amato 28 - 29.David Lethaby 28 - 29.</t>
  </si>
  <si>
    <t>http://ufcstats.com/fight-details/51108eabae8391ca</t>
  </si>
  <si>
    <t>Junyong Park vs. John Phillips</t>
  </si>
  <si>
    <t>Ben Cartlidge 25 - 30.David Lethaby 25 - 30.Victor Wolf 25 - 30.</t>
  </si>
  <si>
    <t>http://ufcstats.com/fight-details/50e0bcba7551a25f</t>
  </si>
  <si>
    <t>Jordan Williams vs. Nassourdine Imavov</t>
  </si>
  <si>
    <t>Ahmed Korchi 27 - 29.Dave Tirelli 27 - 29.Anders Ohlsson 28 - 29.</t>
  </si>
  <si>
    <t>http://ufcstats.com/fight-details/15a422574c3b89e1</t>
  </si>
  <si>
    <t>Maki Pitolo vs. Impa Kasanganay</t>
  </si>
  <si>
    <t>Sal D'amato 27 - 30.Dave Hagen 27 - 30.Ron McCarthy 27 - 30.</t>
  </si>
  <si>
    <t>http://ufcstats.com/fight-details/eb9097be07a3c26a</t>
  </si>
  <si>
    <t>Alessio Di Chirico vs. Zak Cummings</t>
  </si>
  <si>
    <t>Derek Cleary 28 - 29.Chris Lee 28 - 29.Junichiro Kamijo 27 - 30.</t>
  </si>
  <si>
    <t>http://ufcstats.com/fight-details/0a7517a16d2d9db6</t>
  </si>
  <si>
    <t>Omari Akhmedov vs. Chris Weidman</t>
  </si>
  <si>
    <t>Mike Bell 27 - 29.Ron McCarthy 27 - 29.Eric Colon 28 - 29.</t>
  </si>
  <si>
    <t>http://ufcstats.com/fight-details/22e10b23784e5efc</t>
  </si>
  <si>
    <t>Brendan Allen vs. Kyle Daukaus</t>
  </si>
  <si>
    <t>Sal D'amato 28 - 29.Mike Bell 27 - 29.Dave Hagen 27 - 30.</t>
  </si>
  <si>
    <t>http://ufcstats.com/fight-details/cfd47fddbb705f26</t>
  </si>
  <si>
    <t>Eryk Anders vs. Krzysztof Jotko</t>
  </si>
  <si>
    <t>Troy Wincapaw 27 - 30.Derek Cleary 28 - 29.Sal D'amato 28 - 29.</t>
  </si>
  <si>
    <t>http://ufcstats.com/fight-details/821a1c6f5d7fab14</t>
  </si>
  <si>
    <t>Bevon Lewis vs. Dequan Townsend</t>
  </si>
  <si>
    <t>Eric Colon 27 - 30.Sal D'amato 27 - 30.Tony Weeks 27 - 30.</t>
  </si>
  <si>
    <t>http://ufcstats.com/fight-details/3fd3b871e83434c5</t>
  </si>
  <si>
    <t>Junyong Park vs. Marc-Andre Barriault</t>
  </si>
  <si>
    <t>Evan Field 27 - 30.Anthony Dimitriou 28 - 29.Mark Collett 28 - 29.</t>
  </si>
  <si>
    <t>http://ufcstats.com/fight-details/b3bd27affa038e9c</t>
  </si>
  <si>
    <t>Ian Heinisch vs. Omari Akhmedov</t>
  </si>
  <si>
    <t>Mike Bell 28 - 29.Sal D'amato 28 - 29.Ron McCarthy 28 - 29.</t>
  </si>
  <si>
    <t>http://ufcstats.com/fight-details/dd88960598219eba</t>
  </si>
  <si>
    <t>Antonio Arroyo vs. Andre Muniz</t>
  </si>
  <si>
    <t>Sal D'amato 27 - 30.Marcelo Vilhena 27 - 30.Chris Lee 27 - 30.</t>
  </si>
  <si>
    <t>http://ufcstats.com/fight-details/57b111b54a2d2323</t>
  </si>
  <si>
    <t>Markus Perez vs. Wellington Turman</t>
  </si>
  <si>
    <t>Chris Lee 27 - 30.Marcelo Vilhena 27 - 30.Guilherme Bravo 27 - 30.</t>
  </si>
  <si>
    <t>http://ufcstats.com/fight-details/9e1ecdb9a8856a8c</t>
  </si>
  <si>
    <t>Marvin Vettori vs. Andrew Sanchez</t>
  </si>
  <si>
    <t>Daniel Torres 27 - 30.Dave Tirelli 27 - 30.Derek Cleary 27 - 30.</t>
  </si>
  <si>
    <t>http://ufcstats.com/fight-details/bac178dea57bd545</t>
  </si>
  <si>
    <t>Alessio Di Chirico vs. Makhmud Muradov</t>
  </si>
  <si>
    <t>Nicolaj Bulow 28 - 29.Cezary Wojciechowski 28 - 29.Andy Roberts 28 - 29.</t>
  </si>
  <si>
    <t>http://ufcstats.com/fight-details/d5e927306f5d859b</t>
  </si>
  <si>
    <t>Omari Akhmedov vs. Zak Cummings</t>
  </si>
  <si>
    <t>Howie Booth 27 - 30.Pawel Harasim 28 - 29.Maria Makhmutova 28 - 29.</t>
  </si>
  <si>
    <t>http://ufcstats.com/fight-details/9a46f95c1c1e57f0</t>
  </si>
  <si>
    <t>Yoel Romero vs. Paulo Costa</t>
  </si>
  <si>
    <t>Mike Bell 28 - 29.Ron McCarthy 28 - 29.Guilherme Bravo 28 - 29.</t>
  </si>
  <si>
    <t>http://ufcstats.com/fight-details/3e16a71836e85212</t>
  </si>
  <si>
    <t>Derek Brunson vs. Ian Heinisch</t>
  </si>
  <si>
    <t>Mike Bell 28 - 29.Derek Cleary 28 - 29.Guilherme Bravo 28 - 29.</t>
  </si>
  <si>
    <t>http://ufcstats.com/fight-details/2eb56023c4a54504</t>
  </si>
  <si>
    <t>Marvin Vettori vs. Cezar Ferreira</t>
  </si>
  <si>
    <t>Mike Bell 27 - 30.Ron McCarthy 27 - 30.Derek Cleary 27 - 30.</t>
  </si>
  <si>
    <t>http://ufcstats.com/fight-details/9b0de83b4e504bf6</t>
  </si>
  <si>
    <t>Kevin Holland vs. Alessio Di Chirico</t>
  </si>
  <si>
    <t>Kevin James 28 - 29.Chris Lee 28 - 29.Sal D'amato 28 - 29.</t>
  </si>
  <si>
    <t>http://ufcstats.com/fight-details/b1da312483a974b3</t>
  </si>
  <si>
    <t>Deron Winn vs. Eric Spicely</t>
  </si>
  <si>
    <t>Eric Colon 28 - 29.Matthew Mesardjian 28 - 29.Chris Lee 28 - 29.</t>
  </si>
  <si>
    <t>http://ufcstats.com/fight-details/f81f8cfe30e0a1e9</t>
  </si>
  <si>
    <t>Bevon Lewis vs. Darren Stewart</t>
  </si>
  <si>
    <t>Brian Puccillo 28 - 29.Ron McCarthy 28 - 29.Gabriel Sabaitis 27 - 30.</t>
  </si>
  <si>
    <t>http://ufcstats.com/fight-details/a255ed658a2ac9bb</t>
  </si>
  <si>
    <t>Antonio Carlos Junior vs. Ian Heinisch</t>
  </si>
  <si>
    <t>Derek Cleary 28 - 29.Bryan Miner 28 - 29.Tim Corrado 28 - 29.</t>
  </si>
  <si>
    <t>http://ufcstats.com/fight-details/9fb9af6599d67b1d</t>
  </si>
  <si>
    <t>Derek Brunson vs. Elias Theodorou</t>
  </si>
  <si>
    <t>David Therien 28 - 29.Eric Colon 28 - 29.Dave Tirelli 27 - 30.</t>
  </si>
  <si>
    <t>http://ufcstats.com/fight-details/ad59540382d5b7f6</t>
  </si>
  <si>
    <t>Marc-Andre Barriault vs. Andrew Sanchez</t>
  </si>
  <si>
    <t>Declan Woods 28 - 29.David Therien 28 - 29.Eric Colon 28 - 29.</t>
  </si>
  <si>
    <t>http://ufcstats.com/fight-details/a6cc776330194937</t>
  </si>
  <si>
    <t>Krzysztof Jotko vs. Alen Amedovski</t>
  </si>
  <si>
    <t>Ben Cartlidge 25 - 30.David Lethaby 26 - 30.Maciej Motylewski 26 - 30.</t>
  </si>
  <si>
    <t>http://ufcstats.com/fight-details/e458ace6a440b738</t>
  </si>
  <si>
    <t>Tim Boetsch vs. Omari Akhmedov</t>
  </si>
  <si>
    <t>Kevin Chamion 27 - 30.Derek Cleary 27 - 30.Sal D'amato 27 - 30.</t>
  </si>
  <si>
    <t>http://ufcstats.com/fight-details/aaad7e29825b3264</t>
  </si>
  <si>
    <t>Israel Adesanya vs. Anderson Silva</t>
  </si>
  <si>
    <t>Garth Harriman 28 - 29.Albert Shen 27 - 30.Charlie Keech 27 - 30.</t>
  </si>
  <si>
    <t>http://ufcstats.com/fight-details/4eb91cfc892a108e</t>
  </si>
  <si>
    <t>Trevor Smith vs. Zak Cummings</t>
  </si>
  <si>
    <t>Sal D'amato 28 - 29.Gabriel Sabaitis 28 - 29.Larry Struck 28 - 29.</t>
  </si>
  <si>
    <t>http://ufcstats.com/fight-details/bf41783b9446891e</t>
  </si>
  <si>
    <t>Cezar Ferreira vs. Ian Heinisch</t>
  </si>
  <si>
    <t>Mike Bell 27 - 30.Guilherme Bravo 28 - 29.Joseph Terrell 28 - 29.</t>
  </si>
  <si>
    <t>http://ufcstats.com/fight-details/3bde8910fabf0dd3</t>
  </si>
  <si>
    <t>Karl Roberson vs. Jack Marshman</t>
  </si>
  <si>
    <t>Chris Lee 26 - 30.Sal D'amato 26 - 30.Doug Crosby 27 - 30.</t>
  </si>
  <si>
    <t>http://ufcstats.com/fight-details/7aede55e4e47c698</t>
  </si>
  <si>
    <t>Thales Leites vs. Hector Lombard</t>
  </si>
  <si>
    <t>Guilherme Bravo 28 - 29.Chris Lee 28 - 29.Hallison Pontes 28 - 29.</t>
  </si>
  <si>
    <t>http://ufcstats.com/fight-details/c5479f20e4db357d</t>
  </si>
  <si>
    <t>Andrew Sanchez vs. Markus Perez</t>
  </si>
  <si>
    <t>Glenn Hamada 28 - 29.Sal D'amato 28 - 29.Matt Prieto 28 - 29.</t>
  </si>
  <si>
    <t>http://ufcstats.com/fight-details/5e3779f7c1c39679</t>
  </si>
  <si>
    <t>Thiago Santos vs. Kevin Holland</t>
  </si>
  <si>
    <t>Derek Cleary 27 - 29.Mike Bell 27 - 29.Guilherme Bravo 26 - 29.</t>
  </si>
  <si>
    <t>http://ufcstats.com/fight-details/3b03f8d3a55f3cb2</t>
  </si>
  <si>
    <t>Vitor Miranda vs. Abu Azaitar</t>
  </si>
  <si>
    <t>Andreas Gruner 27 - 30.Takeo Kobayashi 27 - 30.David Lethaby 28 - 29.</t>
  </si>
  <si>
    <t>http://ufcstats.com/fight-details/20bbf7e139c73e8d</t>
  </si>
  <si>
    <t>Elias Theodorou vs. Trevor Smith</t>
  </si>
  <si>
    <t>David Lethaby 27 - 30.Ben Cartlidge 27 - 30.Paul Sutherland 28 - 29.</t>
  </si>
  <si>
    <t>http://ufcstats.com/fight-details/f71d46f804307bd2</t>
  </si>
  <si>
    <t>Eryk Anders vs. Markus Perez</t>
  </si>
  <si>
    <t>Ron McCarthy 26 - 30.Abe Belardo 25 - 30.Marcos Rosales 28 - 29.</t>
  </si>
  <si>
    <t>http://ufcstats.com/fight-details/c9e19742c4146bff</t>
  </si>
  <si>
    <t>Elias Theodorou vs. Daniel Kelly</t>
  </si>
  <si>
    <t>Chris Aliendi 28 - 30.Evan Field 27 - 30.Charlie Keech 26 - 30.</t>
  </si>
  <si>
    <t>http://ufcstats.com/fight-details/569e2c02f7699c0d</t>
  </si>
  <si>
    <t>Oskar Piechota vs. Jonathan Wilson</t>
  </si>
  <si>
    <t>Ben Cartlidge 27 - 30.Andreas Gruner 27 - 30.Maciej Motylewski 27 - 30.</t>
  </si>
  <si>
    <t>http://ufcstats.com/fight-details/fdfc700e56575d67</t>
  </si>
  <si>
    <t>Sam Alvey vs. Ramazan Emeev</t>
  </si>
  <si>
    <t>http://ufcstats.com/fight-details/9da4e06a403f0d27</t>
  </si>
  <si>
    <t>Thales Leites vs. Brad Tavares</t>
  </si>
  <si>
    <t>Glenn Trowbridge 27 - 30.Sal D'amato 26 - 30.Dave Hagen 26 - 30.</t>
  </si>
  <si>
    <t>http://ufcstats.com/fight-details/2142ff2a46d22741</t>
  </si>
  <si>
    <t>Jack Marshman vs. Ryan Janes</t>
  </si>
  <si>
    <t>Mark Collett 28 - 29.Pawel Harasim 28 - 29.Howard Hughes 28 - 29.</t>
  </si>
  <si>
    <t>http://ufcstats.com/fight-details/86892d114b204bf3</t>
  </si>
  <si>
    <t>Brad Tavares vs. Elias Theodorou</t>
  </si>
  <si>
    <t>Derek Cleary 28 - 29.Jeff Mullen 28 - 29.Tony Weeks 28 - 29.</t>
  </si>
  <si>
    <t>http://ufcstats.com/fight-details/6ec0a046de95fe16</t>
  </si>
  <si>
    <t>Vitor Miranda vs. Marvin Vettori</t>
  </si>
  <si>
    <t>Marcos Rosales 28 - 29.Cardo Urso 27 - 30.Gerald Ritter 27 - 30.</t>
  </si>
  <si>
    <t>http://ufcstats.com/fight-details/3d1f83264d87c529</t>
  </si>
  <si>
    <t>Vitor Belfort vs. Nate Marquardt</t>
  </si>
  <si>
    <t>Chris Lee 28 - 29.Jeff Mullen 28 - 29.Phillipe Iorio 28 - 29.</t>
  </si>
  <si>
    <t>http://ufcstats.com/fight-details/823e9449bd47e408</t>
  </si>
  <si>
    <t>Trevor Smith vs. Chris Camozzi</t>
  </si>
  <si>
    <t>Jorgen Segerlind 27 - 30.Ben Cartlidge 26 - 30.Andreas Gruner 26 - 30.</t>
  </si>
  <si>
    <t>http://ufcstats.com/fight-details/ac6cb989ccc38f73</t>
  </si>
  <si>
    <t>Thales Leites vs. Sam Alvey</t>
  </si>
  <si>
    <t>Chris Lee 27 - 30.Dave Tirelli 27 - 30.Anthony Maness 27 - 30.</t>
  </si>
  <si>
    <t>http://ufcstats.com/fight-details/2d6182d1d398ed6a</t>
  </si>
  <si>
    <t>Johny Hendricks vs. Hector Lombard</t>
  </si>
  <si>
    <t>Hubert Earle 27 - 30.Robert MacAvoy 27 - 30.Don Robinson 28 - 29.</t>
  </si>
  <si>
    <t>http://ufcstats.com/fight-details/a5d24caed8afbeef</t>
  </si>
  <si>
    <t>Elias Theodorou vs. Cezar Ferreira</t>
  </si>
  <si>
    <t>Robert MacAvoy 27 - 30.Don Robinson 28 - 29.Craig Smith 28 - 29.</t>
  </si>
  <si>
    <t>http://ufcstats.com/fight-details/16e28dd989ee1dea</t>
  </si>
  <si>
    <t>Anderson Silva vs. Derek Brunson</t>
  </si>
  <si>
    <t>Doug Crosby 28 - 29.Derek Cleary 28 - 29.Eric Colon 27 - 30.</t>
  </si>
  <si>
    <t>http://ufcstats.com/fight-details/d29750cee389a0b9</t>
  </si>
  <si>
    <t>Nate Marquardt vs. Sam Alvey</t>
  </si>
  <si>
    <t>Sal D'amato 28 - 29.Jeff Mullen 28 - 29.Ron Mann 28 - 29.</t>
  </si>
  <si>
    <t>http://ufcstats.com/fight-details/3c8eb8ad5e98876f</t>
  </si>
  <si>
    <t>Antonio Carlos Junior vs. Marvin Vettori</t>
  </si>
  <si>
    <t>Marcos Rosales 28 - 29.Dave Hagen 28 - 29.Sal D'amato 28 - 29.</t>
  </si>
  <si>
    <t>http://ufcstats.com/fight-details/78736e322574e500</t>
  </si>
  <si>
    <t>Andrew Sanchez vs. Trevor Smith</t>
  </si>
  <si>
    <t>Doug Crosby 27 - 30.Glenn Trowbridge 27 - 30.Cardo Urso 27 - 30.</t>
  </si>
  <si>
    <t>http://ufcstats.com/fight-details/0b26d635106aea1c</t>
  </si>
  <si>
    <t>Keith Berish vs. Ryan Janes</t>
  </si>
  <si>
    <t>Doug Crosby 28 - 29.Glenn Trowbridge 28 - 29.Derek Cleary 28 - 29.</t>
  </si>
  <si>
    <t>http://ufcstats.com/fight-details/770312f3ca8506b6</t>
  </si>
  <si>
    <t>Daniel Kelly vs. Chris Camozzi</t>
  </si>
  <si>
    <t>Barry Foley 28 - 29.Albert Shen 28 - 29.Charlie Keech 27 - 30.</t>
  </si>
  <si>
    <t>http://ufcstats.com/fight-details/71854cfe738d6ee1</t>
  </si>
  <si>
    <t>Thales Leites vs. Krzysztof Jotko</t>
  </si>
  <si>
    <t>Eric Colon 27 - 29.Hallison Pontes 27 - 30.Joseph Terrell 27 - 30.</t>
  </si>
  <si>
    <t>http://ufcstats.com/fight-details/3e1bd51261cb61df</t>
  </si>
  <si>
    <t>Sam Alvey vs. Alex Nicholson</t>
  </si>
  <si>
    <t>Derek Cleary 28 - 29.Chris Lee 28 - 29.Brian Puccillo 28 - 29.</t>
  </si>
  <si>
    <t>http://ufcstats.com/fight-details/2c39797c6574ff29</t>
  </si>
  <si>
    <t>Scott Askham vs. Jack Hermansson</t>
  </si>
  <si>
    <t>Ben Cartlidge 27 - 30.Paul Sutherland 27 - 30.Howard Hughes 28 - 29.</t>
  </si>
  <si>
    <t>http://ufcstats.com/fight-details/d38cd293a0c3fdfd</t>
  </si>
  <si>
    <t>Trevor Smith vs. Joseph Gigliotti</t>
  </si>
  <si>
    <t>Tony Weeks 26 - 30.Dennis McMahon 26 - 30.Glenn Trowbridge 26 - 30.</t>
  </si>
  <si>
    <t>http://ufcstats.com/fight-details/e35d878ba90d9769</t>
  </si>
  <si>
    <t>Cezar Ferreira vs. Anthony Smith</t>
  </si>
  <si>
    <t>Glenn Trowbridge 28 - 29.Lester Griffin 28 - 29.Chris Lee 28 - 29.</t>
  </si>
  <si>
    <t>http://ufcstats.com/fight-details/0c703bf17c04fee4</t>
  </si>
  <si>
    <t>Elias Theodorou vs. Sam Alvey</t>
  </si>
  <si>
    <t>Sal D'amato 28 - 29.David Therien 27 - 30.Graham Bettes 27 - 30.</t>
  </si>
  <si>
    <t>http://ufcstats.com/fight-details/b2039609019496d9</t>
  </si>
  <si>
    <t>Chris Camozzi vs. Vitor Miranda</t>
  </si>
  <si>
    <t>Junichiro Kamijo 27 - 30.Patricia Morse-Jarman 27 - 30.Marcos Rosales 27 - 30.</t>
  </si>
  <si>
    <t>http://ufcstats.com/fight-details/313801a4262f1ea5</t>
  </si>
  <si>
    <t>Robert Whittaker vs. Rafael Natal</t>
  </si>
  <si>
    <t>Patricia Morse-Jarman 28 - 29.Chris Lee 27 - 30.Derek Cleary 27 - 30.</t>
  </si>
  <si>
    <t>http://ufcstats.com/fight-details/b65d0243d397802c</t>
  </si>
  <si>
    <t>Oluwale Bamgbose vs. Cezar Ferreira</t>
  </si>
  <si>
    <t>Rich Green 28 - 29.Richard Davis 28 - 29.Sal D'amato 27 - 29.</t>
  </si>
  <si>
    <t>http://ufcstats.com/fight-details/3daf1c5fb854e626</t>
  </si>
  <si>
    <t>Alessio Di Chirico vs. Bojan Velickovic</t>
  </si>
  <si>
    <t>Mark Collett 28 - 29.Ben Cartlidge 28 - 29.Paul Sutherland 27 - 30.</t>
  </si>
  <si>
    <t>http://ufcstats.com/fight-details/fcb225f454ebf1a1</t>
  </si>
  <si>
    <t>Gegard Mousasi vs. Thales Leites</t>
  </si>
  <si>
    <t>Mark Collett 27 - 30.Peter Lavery 28 - 29.Maciej Motylewski 27 - 30.</t>
  </si>
  <si>
    <t>http://ufcstats.com/fight-details/b45d0e0d2bba01e9</t>
  </si>
  <si>
    <t>Brad Scott vs. Krzysztof Jotko</t>
  </si>
  <si>
    <t>http://ufcstats.com/fight-details/2af50cc7f34f6fc2</t>
  </si>
  <si>
    <t>Anthony Smith vs. Leonardo Guimaraes</t>
  </si>
  <si>
    <t>Eric Colon 28 - 29.Phil Rogers 28 - 29.Todd Kruszka 28 - 29.</t>
  </si>
  <si>
    <t>http://ufcstats.com/fight-details/d373de3e072f7e57</t>
  </si>
  <si>
    <t>Elias Theodorou vs. Thiago Santos</t>
  </si>
  <si>
    <t>Junichiro Kamijo 28 - 29.Dave Hagen 27 - 29.Glenn Trowbridge 27 - 29.</t>
  </si>
  <si>
    <t>http://ufcstats.com/fight-details/3e6babcbd7b9d364</t>
  </si>
  <si>
    <t>Uriah Hall vs. Robert Whittaker</t>
  </si>
  <si>
    <t>Mark Collett 27 - 30.Albert Shen 27 - 30.Barry Foley 28 - 29.</t>
  </si>
  <si>
    <t>http://ufcstats.com/fight-details/766dc3c5592b4d0d</t>
  </si>
  <si>
    <t>Daniel Kelly vs. Steve Montgomery</t>
  </si>
  <si>
    <t>Mark Collett 28 - 29.Anthony Dimitriou 28 - 29.Charlie Keech 28 - 29.</t>
  </si>
  <si>
    <t>http://ufcstats.com/fight-details/d5149f02b1ee7dc6</t>
  </si>
  <si>
    <t>Chris Camozzi vs. Tom Watson</t>
  </si>
  <si>
    <t>Point Deducted: Low Blow by WatsonRichard Bertrand 27 - 29.Sal D'amato 26 - 30.Derek Cleary 27 - 29.</t>
  </si>
  <si>
    <t>http://ufcstats.com/fight-details/00dcad4611fc63fe</t>
  </si>
  <si>
    <t>Kevin Casey vs. Ildemar Alcantara</t>
  </si>
  <si>
    <t>Mike Beltran 27 - 30.Derek Cleary 27 - 30.Mark Smith 27 - 30.</t>
  </si>
  <si>
    <t>http://ufcstats.com/fight-details/a16d8d0cc93372c4</t>
  </si>
  <si>
    <t>Dan Miller vs. Trevor Smith</t>
  </si>
  <si>
    <t>Junichiro Kamijo 25 - 30.Chris Lee 25 - 30.Marcos Rosales 26 - 30.</t>
  </si>
  <si>
    <t>http://ufcstats.com/fight-details/44e3a7b4f4c7d95d</t>
  </si>
  <si>
    <t>Gegard Mousasi vs. Constantinos Philippou</t>
  </si>
  <si>
    <t>Mark Craig 27 - 30.Evan Field 27 - 30.Christopher Shen 27 - 30.</t>
  </si>
  <si>
    <t>http://ufcstats.com/fight-details/1caec47dc08613a7</t>
  </si>
  <si>
    <t>Mark Munoz vs. Luke Barnatt</t>
  </si>
  <si>
    <t>Barry Foley 28 - 29.Howie Booth 27 - 30.Evan Field 27 - 30.</t>
  </si>
  <si>
    <t>http://ufcstats.com/fight-details/3b463d688d598a72</t>
  </si>
  <si>
    <t>Michael Bisping vs. CB Dollaway</t>
  </si>
  <si>
    <t>Richard Bertrand 28 - 29.Benoit Roussel 28 - 29.David Therien 28 - 29.</t>
  </si>
  <si>
    <t>http://ufcstats.com/fight-details/ccbbf1ccd4513551</t>
  </si>
  <si>
    <t>Marvin Vettori vs. Jared Cannonier</t>
  </si>
  <si>
    <t>Mike Bell 45 - 49.Ben Cartlidge 45 - 49.Sal D'amato 46 - 48.</t>
  </si>
  <si>
    <t>http://ufcstats.com/fight-details/175d9e1ac0725145</t>
  </si>
  <si>
    <t>Jared Cannonier vs. Kelvin Gastelum</t>
  </si>
  <si>
    <t>Mike Bell 47 - 48.Sal D'amato 47 - 48.Junichiro Kamijo 47 - 48.</t>
  </si>
  <si>
    <t>http://ufcstats.com/fight-details/f536ba47f006474a</t>
  </si>
  <si>
    <t>Uriah Hall vs. Sean Strickland</t>
  </si>
  <si>
    <t>Mike Bell 44 - 50.Junichiro Kamijo 45 - 50.Eric Colon 46 - 49.</t>
  </si>
  <si>
    <t>http://ufcstats.com/fight-details/8522bc62e8d942ab</t>
  </si>
  <si>
    <t>Robert Whittaker vs. Kelvin Gastelum</t>
  </si>
  <si>
    <t>http://ufcstats.com/fight-details/f67aa0b16e16a9ea</t>
  </si>
  <si>
    <t>Marvin Vettori vs. Kevin Holland</t>
  </si>
  <si>
    <t>Derek Cleary 44 - 50.Sal D'amato 44 - 50.Junichiro Kamijo 44 - 50.</t>
  </si>
  <si>
    <t>http://ufcstats.com/fight-details/ddd63237f1b857a6</t>
  </si>
  <si>
    <t>Derek Brunson vs. Kevin Holland</t>
  </si>
  <si>
    <t>Mike Bell 45 - 49.Sal D'amato 46 - 49.Junichiro Kamijo 46 - 49.</t>
  </si>
  <si>
    <t>http://ufcstats.com/fight-details/2efbcd870f1f7bc7</t>
  </si>
  <si>
    <t>Jack Hermansson vs. Marvin Vettori</t>
  </si>
  <si>
    <t>Derek Cleary 46 - 49.Sal D'amato 46 - 49.Junichiro Kamijo 45 - 49.</t>
  </si>
  <si>
    <t>http://ufcstats.com/fight-details/2723f4d275d3f619</t>
  </si>
  <si>
    <t>Robert Whittaker vs. Darren Till</t>
  </si>
  <si>
    <t>Ben Cartlidge 47 - 48.Anders Ohlsson 47 - 48.Clemens Werner 47 - 48.</t>
  </si>
  <si>
    <t>http://ufcstats.com/fight-details/11f715fa5e825e51</t>
  </si>
  <si>
    <t>Jacare Souza vs. Jack Hermansson</t>
  </si>
  <si>
    <t>Chris Lee 47 - 48.Derek Cleary 46 - 49.Sal D'amato 47 - 48.</t>
  </si>
  <si>
    <t>http://ufcstats.com/fight-details/f0ca713121289d24</t>
  </si>
  <si>
    <t>Brad Tavares vs. Israel Adesanya</t>
  </si>
  <si>
    <t>Chris Lee 46 - 49.Derek Cleary 45 - 50.Sal D'amato 45 - 50.</t>
  </si>
  <si>
    <t>http://ufcstats.com/fight-details/247f9e56965a1c07</t>
  </si>
  <si>
    <t>Anderson Silva vs. Michael Bisping</t>
  </si>
  <si>
    <t>Ben Cartlidge 47 - 48.Jeff Mullen 47 - 48.Andy Roberts 47 - 48.</t>
  </si>
  <si>
    <t>http://ufcstats.com/fight-details/0e9091311ca565ce</t>
  </si>
  <si>
    <t>Jacob Malkoun vs. Cody Brundage</t>
  </si>
  <si>
    <t>Strike to back of head</t>
  </si>
  <si>
    <t>http://ufcstats.com/fight-details/1496969c1497dc85</t>
  </si>
  <si>
    <t>CB Dollaway vs. Hector Lombard</t>
  </si>
  <si>
    <t>Punches After the Round by Lombard</t>
  </si>
  <si>
    <t>http://ufcstats.com/fight-details/6c2f05c47f494e15</t>
  </si>
  <si>
    <t>Joe Riggs vs. Ron Stallings</t>
  </si>
  <si>
    <t>Illegal Upkick by Stallings</t>
  </si>
  <si>
    <t>http://ufcstats.com/fight-details/86afc59ec117c1ba</t>
  </si>
  <si>
    <t>Chidi Njokuani vs. Marc-Andre Barriault</t>
  </si>
  <si>
    <t>http://ufcstats.com/fight-details/f9ab966e63968c15</t>
  </si>
  <si>
    <t>Alessio Di Chirico vs. Abdul Razak Alhassan</t>
  </si>
  <si>
    <t>http://ufcstats.com/fight-details/e24c8aab497b4fe1</t>
  </si>
  <si>
    <t>Uriah Hall vs. Chris Weidman</t>
  </si>
  <si>
    <t>http://ufcstats.com/fight-details/1820fed0fbcf6294</t>
  </si>
  <si>
    <t>Khamzat Chimaev vs. Gerald Meerschaert</t>
  </si>
  <si>
    <t>http://ufcstats.com/fight-details/498766b46b8b4a7f</t>
  </si>
  <si>
    <t>Alen Amedovski vs. John Phillips</t>
  </si>
  <si>
    <t>http://ufcstats.com/fight-details/9fa3623172adb4cd</t>
  </si>
  <si>
    <t>Jacob Malkoun vs. Phil Hawes</t>
  </si>
  <si>
    <t>http://ufcstats.com/fight-details/a2620cbef573a837</t>
  </si>
  <si>
    <t>Abus Magomedov vs. Dustin Stoltzfus</t>
  </si>
  <si>
    <t>http://ufcstats.com/fight-details/cf9035f2fc2e232f</t>
  </si>
  <si>
    <t>Chris Camozzi vs. Joe Riggs</t>
  </si>
  <si>
    <t>http://ufcstats.com/fight-details/a06a3bc70d7c4264</t>
  </si>
  <si>
    <t>Tim Boetsch vs. Dan Henderson</t>
  </si>
  <si>
    <t>http://ufcstats.com/fight-details/97febb293c99e5a8</t>
  </si>
  <si>
    <t>Thiago Santos vs. Steve Bosse</t>
  </si>
  <si>
    <t>http://ufcstats.com/fight-details/7ad6511fb5fb28a4</t>
  </si>
  <si>
    <t>Bo Nickal vs. Val Woodburn</t>
  </si>
  <si>
    <t>http://ufcstats.com/fight-details/1ffe6e8df6dbefd2</t>
  </si>
  <si>
    <t>Edmen Shahbazyan vs. Charles Byrd</t>
  </si>
  <si>
    <t>http://ufcstats.com/fight-details/7a26c9407ef64e10</t>
  </si>
  <si>
    <t>Anthony Hernandez vs. Kevin Holland</t>
  </si>
  <si>
    <t>http://ufcstats.com/fight-details/51461da4ba467901</t>
  </si>
  <si>
    <t>Zak Cummings vs. Dominique Steele</t>
  </si>
  <si>
    <t>Otto Torriero</t>
  </si>
  <si>
    <t>http://ufcstats.com/fight-details/c1bfbf5447f21f37</t>
  </si>
  <si>
    <t>Brad Tavares vs. Robert Whittaker</t>
  </si>
  <si>
    <t>http://ufcstats.com/fight-details/7ec24848cac6c5a1</t>
  </si>
  <si>
    <t>Daniel Kelly vs. Sam Alvey</t>
  </si>
  <si>
    <t>http://ufcstats.com/fight-details/f208b79b0d78045b</t>
  </si>
  <si>
    <t>Tamdan McCrory vs. Krzysztof Jotko</t>
  </si>
  <si>
    <t>http://ufcstats.com/fight-details/68a93f8eb34f3251</t>
  </si>
  <si>
    <t>Daniel Sarafian vs. Oluwale Bamgbose</t>
  </si>
  <si>
    <t>http://ufcstats.com/fight-details/014a3acf91ada8af</t>
  </si>
  <si>
    <t>Jordan Wright vs. Jamie Pickett</t>
  </si>
  <si>
    <t>http://ufcstats.com/fight-details/5573d46130d6b967</t>
  </si>
  <si>
    <t>http://ufcstats.com/fight-details/6acd1c591170f597</t>
  </si>
  <si>
    <t>Roman Dolidze vs. Kyle Daukaus</t>
  </si>
  <si>
    <t>http://ufcstats.com/fight-details/e8a5e53ffd33c0f9</t>
  </si>
  <si>
    <t>Ian Heinisch vs. Gerald Meerschaert</t>
  </si>
  <si>
    <t>http://ufcstats.com/fight-details/6fe8bce03a46350b</t>
  </si>
  <si>
    <t>Derek Brunson vs. Daniel Kelly</t>
  </si>
  <si>
    <t>http://ufcstats.com/fight-details/ad772f626b5dd31d</t>
  </si>
  <si>
    <t>Brunno Ferreira vs. Nursulton Ruziboev</t>
  </si>
  <si>
    <t>http://ufcstats.com/fight-details/288f7fb936c1523c</t>
  </si>
  <si>
    <t>Garreth McLellan vs. Paulo Costa</t>
  </si>
  <si>
    <t>http://ufcstats.com/fight-details/0ace7e71f5d66bc9</t>
  </si>
  <si>
    <t>Jordan Wright vs. Bruno Silva</t>
  </si>
  <si>
    <t>http://ufcstats.com/fight-details/9039762cb9f4abdb</t>
  </si>
  <si>
    <t>Uriah Hall vs. Derek Brunson</t>
  </si>
  <si>
    <t>http://ufcstats.com/fight-details/f4cdc944e27c2cd2</t>
  </si>
  <si>
    <t>Tom Breese vs. KB Bhullar</t>
  </si>
  <si>
    <t>http://ufcstats.com/fight-details/7c4eb0b4845eb0ed</t>
  </si>
  <si>
    <t>Gregory Rodrigues vs. Denis Tiuliulin</t>
  </si>
  <si>
    <t>http://ufcstats.com/fight-details/f995ed679ef8bdf4</t>
  </si>
  <si>
    <t>Kevin Holland vs. Jacare Souza</t>
  </si>
  <si>
    <t>Punch to Head From Bottom</t>
  </si>
  <si>
    <t>http://ufcstats.com/fight-details/4a172a5191cb8e60</t>
  </si>
  <si>
    <t>Christian Duncan vs. Dusko Todorovic</t>
  </si>
  <si>
    <t>http://ufcstats.com/fight-details/38094db8e3539cba</t>
  </si>
  <si>
    <t>Oskar Piechota vs. Tim Williams</t>
  </si>
  <si>
    <t>http://ufcstats.com/fight-details/d07dd6239afe1cb0</t>
  </si>
  <si>
    <t>Sam Alvey vs. Michal Oleksiejczuk</t>
  </si>
  <si>
    <t>http://ufcstats.com/fight-details/eda397c27787afa4</t>
  </si>
  <si>
    <t>Jack Hermansson vs. Alex Nicholson</t>
  </si>
  <si>
    <t>http://ufcstats.com/fight-details/2105210529457ffd</t>
  </si>
  <si>
    <t>Vitor Belfort vs. Dan Henderson</t>
  </si>
  <si>
    <t>http://ufcstats.com/fight-details/93c4b798134c71d4</t>
  </si>
  <si>
    <t>Phil Hawes vs. Ikram Aliskerov</t>
  </si>
  <si>
    <t>http://ufcstats.com/fight-details/d22de60b7a3d908c</t>
  </si>
  <si>
    <t>Joaquin Buckley vs. Alessio Di Chirico</t>
  </si>
  <si>
    <t>http://ufcstats.com/fight-details/775c1f401815bbd8</t>
  </si>
  <si>
    <t>Derek Brunson vs. Sam Alvey</t>
  </si>
  <si>
    <t>http://ufcstats.com/fight-details/9900550cc697eef2</t>
  </si>
  <si>
    <t>Brad Tavares vs. Edmen Shahbazyan</t>
  </si>
  <si>
    <t>http://ufcstats.com/fight-details/a3e8ef1ce72a7d02</t>
  </si>
  <si>
    <t>Michael Bisping vs. Kelvin Gastelum</t>
  </si>
  <si>
    <t>http://ufcstats.com/fight-details/32ad75f6c8ca7e9f</t>
  </si>
  <si>
    <t>Derek Brunson vs. Lyoto Machida</t>
  </si>
  <si>
    <t>http://ufcstats.com/fight-details/405c0b8d3960016d</t>
  </si>
  <si>
    <t>David Branch vs. Thiago Santos</t>
  </si>
  <si>
    <t>http://ufcstats.com/fight-details/62aab95c866a9c5b</t>
  </si>
  <si>
    <t>Uriah Hall vs. Oluwale Bamgbose</t>
  </si>
  <si>
    <t>http://ufcstats.com/fight-details/664e56d8a98e2b49</t>
  </si>
  <si>
    <t>Sean Strickland vs. Alex Pereira</t>
  </si>
  <si>
    <t>http://ufcstats.com/fight-details/0308bcdd00cc72e2</t>
  </si>
  <si>
    <t>Derek Brunson vs. Roan Carneiro</t>
  </si>
  <si>
    <t>http://ufcstats.com/fight-details/eadb215519406e92</t>
  </si>
  <si>
    <t>Scott Askham vs. Antonio Dos Santos</t>
  </si>
  <si>
    <t>http://ufcstats.com/fight-details/e00da416750f75a9</t>
  </si>
  <si>
    <t>Rafael Natal vs. Eryk Anders</t>
  </si>
  <si>
    <t>http://ufcstats.com/fight-details/7e2bc09d866b3bd7</t>
  </si>
  <si>
    <t>Gerald Meerschaert vs. Joe Pyfer</t>
  </si>
  <si>
    <t>http://ufcstats.com/fight-details/28e3d939eb043664</t>
  </si>
  <si>
    <t>Cody Brundage vs. Michal Oleksiejczuk</t>
  </si>
  <si>
    <t>http://ufcstats.com/fight-details/e0444752d18fda7f</t>
  </si>
  <si>
    <t>Punahele Soriano vs. Oskar Piechota</t>
  </si>
  <si>
    <t>http://ufcstats.com/fight-details/30523303e8d85c25</t>
  </si>
  <si>
    <t>Julian Marquez vs. Gregory Rodrigues</t>
  </si>
  <si>
    <t>http://ufcstats.com/fight-details/5095f6290670009d</t>
  </si>
  <si>
    <t>Markus Perez vs. Dricus Du Plessis</t>
  </si>
  <si>
    <t>http://ufcstats.com/fight-details/e64075c104471ff0</t>
  </si>
  <si>
    <t>Rafael Natal vs. Tim Boetsch</t>
  </si>
  <si>
    <t>http://ufcstats.com/fight-details/8172d8d996335d0a</t>
  </si>
  <si>
    <t>Daniel Kelly vs. Tom Breese</t>
  </si>
  <si>
    <t>http://ufcstats.com/fight-details/8b1dc96a00a8e881</t>
  </si>
  <si>
    <t>Brad Tavares vs. Bruno Silva</t>
  </si>
  <si>
    <t>http://ufcstats.com/fight-details/d00d5ef4ae0ac01b</t>
  </si>
  <si>
    <t>Thiago Santos vs. Nate Marquardt</t>
  </si>
  <si>
    <t>http://ufcstats.com/fight-details/e99f92b92e90b228</t>
  </si>
  <si>
    <t>Jacare Souza vs. Derek Brunson</t>
  </si>
  <si>
    <t>http://ufcstats.com/fight-details/3a94bf34e62ae5fd</t>
  </si>
  <si>
    <t>Cody Brundage vs. Tresean Gore</t>
  </si>
  <si>
    <t>http://ufcstats.com/fight-details/04e1ff7aeda2a018</t>
  </si>
  <si>
    <t>Brad Scott vs. Jack Hermansson</t>
  </si>
  <si>
    <t>http://ufcstats.com/fight-details/a3e4322f55454897</t>
  </si>
  <si>
    <t>Joe Pyfer vs. Alen Amedovski</t>
  </si>
  <si>
    <t>http://ufcstats.com/fight-details/160c17b8fcb0e2a1</t>
  </si>
  <si>
    <t>Robert Whittaker vs. Derek Brunson</t>
  </si>
  <si>
    <t>http://ufcstats.com/fight-details/6d04fbef6b8e4551</t>
  </si>
  <si>
    <t>Phil Hawes vs. Roman Dolidze</t>
  </si>
  <si>
    <t>to At Distance</t>
  </si>
  <si>
    <t>http://ufcstats.com/fight-details/f32d918ee06cb83b</t>
  </si>
  <si>
    <t>Gregory Rodrigues vs. Brunno Ferreira</t>
  </si>
  <si>
    <t>http://ufcstats.com/fight-details/5ad8aa57c8d69680</t>
  </si>
  <si>
    <t>Andrew Sanchez vs. Wellington Turman</t>
  </si>
  <si>
    <t>http://ufcstats.com/fight-details/e8f4e8ff49678b44</t>
  </si>
  <si>
    <t>Phil Hawes vs. Chris Curtis</t>
  </si>
  <si>
    <t>http://ufcstats.com/fight-details/fa3b28ff3585b4a0</t>
  </si>
  <si>
    <t>Gegard Mousasi vs. Thiago Santos</t>
  </si>
  <si>
    <t>http://ufcstats.com/fight-details/7679c5ee3514e119</t>
  </si>
  <si>
    <t>Maki Pitolo vs. Dusko Todorovic</t>
  </si>
  <si>
    <t>http://ufcstats.com/fight-details/723a8a8c82cab1c8</t>
  </si>
  <si>
    <t>Gegard Mousasi vs. Uriah Hall</t>
  </si>
  <si>
    <t>http://ufcstats.com/fight-details/b5268a0c2df32a24</t>
  </si>
  <si>
    <t>Jacare Souza vs. Vitor Belfort</t>
  </si>
  <si>
    <t>http://ufcstats.com/fight-details/80c4f70b7f7a1945</t>
  </si>
  <si>
    <t>Wellington Turman vs. Bruno Silva</t>
  </si>
  <si>
    <t>http://ufcstats.com/fight-details/bb1ac382e0277b3f</t>
  </si>
  <si>
    <t>Scott Askham vs. Chris Dempsey</t>
  </si>
  <si>
    <t>http://ufcstats.com/fight-details/5bff1ece35abac7f</t>
  </si>
  <si>
    <t>Brendan Allen vs. Tom Breese</t>
  </si>
  <si>
    <t>http://ufcstats.com/fight-details/d9a218ac3e148541</t>
  </si>
  <si>
    <t>Jared Cannonier vs. Anderson Silva</t>
  </si>
  <si>
    <t>http://ufcstats.com/fight-details/a08dffad240dc3d4</t>
  </si>
  <si>
    <t>Chidi Njokuani vs. Dusko Todorovic</t>
  </si>
  <si>
    <t>http://ufcstats.com/fight-details/f682118709b4143e</t>
  </si>
  <si>
    <t>Punahele Soriano vs. Dusko Todorovic</t>
  </si>
  <si>
    <t>http://ufcstats.com/fight-details/358f816aff469270</t>
  </si>
  <si>
    <t>Derek Brunson vs. Israel Adesanya</t>
  </si>
  <si>
    <t>http://ufcstats.com/fight-details/e4e1d12441b90866</t>
  </si>
  <si>
    <t>Devin Clark vs. Alex Nicholson</t>
  </si>
  <si>
    <t>http://ufcstats.com/fight-details/0864112e968630ea</t>
  </si>
  <si>
    <t>Thiago Santos vs. Jack Hermansson</t>
  </si>
  <si>
    <t>http://ufcstats.com/fight-details/23ea24013d15c09c</t>
  </si>
  <si>
    <t>Alex Pereira vs. Andreas Michailidis</t>
  </si>
  <si>
    <t>http://ufcstats.com/fight-details/385101e8ad828c39</t>
  </si>
  <si>
    <t>Joaquin Buckley vs. Jordan Wright</t>
  </si>
  <si>
    <t>http://ufcstats.com/fight-details/6c1b38dd918793ff</t>
  </si>
  <si>
    <t>http://ufcstats.com/fight-details/6712440cd01dffdb</t>
  </si>
  <si>
    <t>Jack Hermansson vs. Jared Cannonier</t>
  </si>
  <si>
    <t>http://ufcstats.com/fight-details/476c31184332698e</t>
  </si>
  <si>
    <t>Claudio Ribeiro vs. Abdul Razak Alhassan</t>
  </si>
  <si>
    <t>http://ufcstats.com/fight-details/5305049e4215d263</t>
  </si>
  <si>
    <t>Punahele Soriano vs. Dalcha Lungiambula</t>
  </si>
  <si>
    <t>http://ufcstats.com/fight-details/ebefe958473b3843</t>
  </si>
  <si>
    <t>CB Dollaway vs. Nate Marquardt</t>
  </si>
  <si>
    <t>http://ufcstats.com/fight-details/3fc9fea36fc7ec37</t>
  </si>
  <si>
    <t>Roman Kopylov vs. Claudio Ribeiro</t>
  </si>
  <si>
    <t>http://ufcstats.com/fight-details/5116f9398bfca446</t>
  </si>
  <si>
    <t>David Branch vs. Jared Cannonier</t>
  </si>
  <si>
    <t>http://ufcstats.com/fight-details/b4ec3e067604f90a</t>
  </si>
  <si>
    <t>Tim Boetsch vs. Johny Hendricks</t>
  </si>
  <si>
    <t>http://ufcstats.com/fight-details/0ad57af26ddc7930</t>
  </si>
  <si>
    <t>Magnus Cedenblad vs. Garreth McLellan</t>
  </si>
  <si>
    <t>http://ufcstats.com/fight-details/6d47170d069df8bb</t>
  </si>
  <si>
    <t>Vitor Belfort vs. Lyoto Machida</t>
  </si>
  <si>
    <t>http://ufcstats.com/fight-details/7072a324a82c4297</t>
  </si>
  <si>
    <t>Thiago Santos vs. Anthony Smith</t>
  </si>
  <si>
    <t>http://ufcstats.com/fight-details/bc767f1eb6176dfb</t>
  </si>
  <si>
    <t>Paulo Costa vs. Oluwale Bamgbose</t>
  </si>
  <si>
    <t>http://ufcstats.com/fight-details/6b581bb1bc9289ef</t>
  </si>
  <si>
    <t>Jake Collier vs. Alberto Uda</t>
  </si>
  <si>
    <t>http://ufcstats.com/fight-details/09b8253a30360429</t>
  </si>
  <si>
    <t>Vitor Miranda vs. Marcelo Guimaraes</t>
  </si>
  <si>
    <t>http://ufcstats.com/fight-details/49f83168974fb60f</t>
  </si>
  <si>
    <t>Charles Byrd vs. Maki Pitolo</t>
  </si>
  <si>
    <t>http://ufcstats.com/fight-details/1c7ea3928c7d0ad8</t>
  </si>
  <si>
    <t>Johny Hendricks vs. Paulo Costa</t>
  </si>
  <si>
    <t>http://ufcstats.com/fight-details/0a46cb2887890502</t>
  </si>
  <si>
    <t>Chidi Njokuani vs. Gregory Rodrigues</t>
  </si>
  <si>
    <t>http://ufcstats.com/fight-details/bd06f1c2d7e6c4a0</t>
  </si>
  <si>
    <t>Dan Henderson vs. Hector Lombard</t>
  </si>
  <si>
    <t>http://ufcstats.com/fight-details/c33cc8b85b9a202c</t>
  </si>
  <si>
    <t>Trevin Giles vs. Dricus Du Plessis</t>
  </si>
  <si>
    <t>http://ufcstats.com/fight-details/858feabaf429a963</t>
  </si>
  <si>
    <t>Eric Spicely vs. Darren Stewart</t>
  </si>
  <si>
    <t>http://ufcstats.com/fight-details/20b5de395c0f1375</t>
  </si>
  <si>
    <t>Dongi Yang vs. Jake Collier</t>
  </si>
  <si>
    <t>http://ufcstats.com/fight-details/3266f569a6246d90</t>
  </si>
  <si>
    <t>http://ufcstats.com/fight-details/9e5bbbacf1d92cb4</t>
  </si>
  <si>
    <t>Impa Kasanganay vs. Joaquin Buckley</t>
  </si>
  <si>
    <t>http://ufcstats.com/fight-details/ee57cbd0b68c689d</t>
  </si>
  <si>
    <t>Thiago Santos vs. Gerald Meerschaert</t>
  </si>
  <si>
    <t>http://ufcstats.com/fight-details/323fb015ca2444e3</t>
  </si>
  <si>
    <t>Alessio Di Chirico vs. Oluwale Bamgbose</t>
  </si>
  <si>
    <t>http://ufcstats.com/fight-details/1e3c67921162561d</t>
  </si>
  <si>
    <t>Charles Byrd vs. Darren Stewart</t>
  </si>
  <si>
    <t>http://ufcstats.com/fight-details/7658965c2a700b39</t>
  </si>
  <si>
    <t>Eric Spicely vs. Gerald Meerschaert</t>
  </si>
  <si>
    <t>http://ufcstats.com/fight-details/52db9c816eb99800</t>
  </si>
  <si>
    <t>Jack Marshman vs. Thiago Santos</t>
  </si>
  <si>
    <t>http://ufcstats.com/fight-details/e59aabdfba9d6c45</t>
  </si>
  <si>
    <t>Robert Whittaker vs. Dricus Du Plessis</t>
  </si>
  <si>
    <t>http://ufcstats.com/fight-details/4ec5d9bd1442e6c1</t>
  </si>
  <si>
    <t>Krzysztof Jotko vs. Uriah Hall</t>
  </si>
  <si>
    <t>http://ufcstats.com/fight-details/7094c05bf73eee81</t>
  </si>
  <si>
    <t>Uriah Hall vs. Paulo Costa</t>
  </si>
  <si>
    <t>http://ufcstats.com/fight-details/c9e4aa12aaa7309e</t>
  </si>
  <si>
    <t>Vitor Miranda vs. Clint Hester</t>
  </si>
  <si>
    <t>Elbows to Head From Side Control</t>
  </si>
  <si>
    <t>http://ufcstats.com/fight-details/959de17703476f44</t>
  </si>
  <si>
    <t>Vitor Belfort vs. Gegard Mousasi</t>
  </si>
  <si>
    <t>http://ufcstats.com/fight-details/ebc7ec239faf7b0b</t>
  </si>
  <si>
    <t>Eryk Anders vs. Kyle Daukaus</t>
  </si>
  <si>
    <t>http://ufcstats.com/fight-details/ca0f0a35a1fcb453</t>
  </si>
  <si>
    <t>Chris Curtis vs. Joaquin Buckley</t>
  </si>
  <si>
    <t>http://ufcstats.com/fight-details/a346180c8b109469</t>
  </si>
  <si>
    <t>Nassourdine Imavov vs. Ian Heinisch</t>
  </si>
  <si>
    <t>http://ufcstats.com/fight-details/dff1dbb8fe1f31cb</t>
  </si>
  <si>
    <t>Siyar Bahadurzada vs. Rob Wilkinson</t>
  </si>
  <si>
    <t>http://ufcstats.com/fight-details/75a978e0ecce2536</t>
  </si>
  <si>
    <t>Jordan Wright vs. Dusko Todorovic</t>
  </si>
  <si>
    <t>http://ufcstats.com/fight-details/759c55755d70f7ba</t>
  </si>
  <si>
    <t>Junyong Park vs. Gregory Rodrigues</t>
  </si>
  <si>
    <t>http://ufcstats.com/fight-details/88256dd5a9aef1cc</t>
  </si>
  <si>
    <t>Chris Weidman vs. Gegard Mousasi</t>
  </si>
  <si>
    <t>http://ufcstats.com/fight-details/87a969d51de6e179</t>
  </si>
  <si>
    <t>Dequan Townsend vs. Dusko Todorovic</t>
  </si>
  <si>
    <t>http://ufcstats.com/fight-details/1e7caef3f6dfde10</t>
  </si>
  <si>
    <t>Punahele Soriano vs. Roman Kopylov</t>
  </si>
  <si>
    <t>http://ufcstats.com/fight-details/d4420be78065de03</t>
  </si>
  <si>
    <t>Joseph Holmes vs. Claudio Ribeiro</t>
  </si>
  <si>
    <t>http://ufcstats.com/fight-details/93fb6c7e590487f9</t>
  </si>
  <si>
    <t>Elvis Mutapcic vs. Anthony Smith</t>
  </si>
  <si>
    <t>http://ufcstats.com/fight-details/163fbb2185730846</t>
  </si>
  <si>
    <t>Jacare Souza vs. Robert Whittaker</t>
  </si>
  <si>
    <t>http://ufcstats.com/fight-details/0459297e86a14981</t>
  </si>
  <si>
    <t>Rob Wilkinson vs. Israel Adesanya</t>
  </si>
  <si>
    <t>http://ufcstats.com/fight-details/1cd5d5e271b646a3</t>
  </si>
  <si>
    <t>Magnus Cedenblad vs. Jack Marshman</t>
  </si>
  <si>
    <t>http://ufcstats.com/fight-details/f1afa75c8d492550</t>
  </si>
  <si>
    <t>Tim Boetsch vs. Josh Samman</t>
  </si>
  <si>
    <t>http://ufcstats.com/fight-details/0f73ee9121ec7539</t>
  </si>
  <si>
    <t>Luke Rockhold vs. David Branch</t>
  </si>
  <si>
    <t>Punches to Head From Back ControlSubmission to Strikes</t>
  </si>
  <si>
    <t>http://ufcstats.com/fight-details/24438a644b975751</t>
  </si>
  <si>
    <t>Jack Hermansson vs. Roman Dolidze</t>
  </si>
  <si>
    <t>http://ufcstats.com/fight-details/a71764d5da04e3bc</t>
  </si>
  <si>
    <t>Julian Marquez vs. Marc-Andre Barriault</t>
  </si>
  <si>
    <t>http://ufcstats.com/fight-details/c29e2c49e1e417c8</t>
  </si>
  <si>
    <t>Sean Strickland vs. Abus Magomedov</t>
  </si>
  <si>
    <t>http://ufcstats.com/fight-details/f557405652165aa3</t>
  </si>
  <si>
    <t>Phil Hawes vs. Deron Winn</t>
  </si>
  <si>
    <t>Elbows to Head At Distance</t>
  </si>
  <si>
    <t>http://ufcstats.com/fight-details/897d9e21c59d0633</t>
  </si>
  <si>
    <t>Jared Cannonier vs. Derek Brunson</t>
  </si>
  <si>
    <t>http://ufcstats.com/fight-details/18a1617ee7356352</t>
  </si>
  <si>
    <t>Paul Craig vs. Andre Muniz</t>
  </si>
  <si>
    <t>http://ufcstats.com/fight-details/8104fe27bdc46914</t>
  </si>
  <si>
    <t>Edmen Shahbazyan vs. Dalcha Lungiambula</t>
  </si>
  <si>
    <t>http://ufcstats.com/fight-details/4e9d76ed54f1f352</t>
  </si>
  <si>
    <t>Roman Kopylov vs. Josh Fremd</t>
  </si>
  <si>
    <t>http://ufcstats.com/fight-details/7a0813ec0fadc84e</t>
  </si>
  <si>
    <t>Nate Marquardt vs. Tamdan McCrory</t>
  </si>
  <si>
    <t>http://ufcstats.com/fight-details/ba7250ef080d1603</t>
  </si>
  <si>
    <t>Denis Tiuliulin vs. Jamie Pickett</t>
  </si>
  <si>
    <t>http://ufcstats.com/fight-details/77acb96700e89c92</t>
  </si>
  <si>
    <t>Edmen Shahbazyan vs. Nassourdine Imavov</t>
  </si>
  <si>
    <t>http://ufcstats.com/fight-details/095a351dd6f09f7e</t>
  </si>
  <si>
    <t>Sam Alvey vs. Kevin Casey</t>
  </si>
  <si>
    <t>http://ufcstats.com/fight-details/70ab91b37be75408</t>
  </si>
  <si>
    <t>Derek Brunson vs. Dricus Du Plessis</t>
  </si>
  <si>
    <t>Punches to Head From GuardCorner Stoppage</t>
  </si>
  <si>
    <t>http://ufcstats.com/fight-details/c2fc4c1e0c769655</t>
  </si>
  <si>
    <t>Khalid Murtazaliev vs. CB Dollaway</t>
  </si>
  <si>
    <t>http://ufcstats.com/fight-details/d40f865aa6be9cd0</t>
  </si>
  <si>
    <t>Kelvin Gastelum vs. Nate Marquardt</t>
  </si>
  <si>
    <t>http://ufcstats.com/fight-details/dc93921bd9342341</t>
  </si>
  <si>
    <t>Chris Weidman vs. Yoel Romero</t>
  </si>
  <si>
    <t>http://ufcstats.com/fight-details/f37d18b5c35145bf</t>
  </si>
  <si>
    <t>Derek Brunson vs. Edmen Shahbazyan</t>
  </si>
  <si>
    <t>http://ufcstats.com/fight-details/0b88d0c76f9cd7e4</t>
  </si>
  <si>
    <t>Kevin Holland vs. Joaquin Buckley</t>
  </si>
  <si>
    <t>http://ufcstats.com/fight-details/05f6459d1f3ed13f</t>
  </si>
  <si>
    <t>Nick Diaz vs. Robbie Lawler</t>
  </si>
  <si>
    <t>http://ufcstats.com/fight-details/92e006a93f983fb5</t>
  </si>
  <si>
    <t>Andrew Sanchez vs. Ryan Janes</t>
  </si>
  <si>
    <t>http://ufcstats.com/fight-details/b40bed83fc062380</t>
  </si>
  <si>
    <t>Edmen Shahbazyan vs. Anthony Hernandez</t>
  </si>
  <si>
    <t>http://ufcstats.com/fight-details/3638ee66c7d34fe0</t>
  </si>
  <si>
    <t>Alessio Di Chirico vs. Roman Kopylov</t>
  </si>
  <si>
    <t>http://ufcstats.com/fight-details/1a191251620a84ca</t>
  </si>
  <si>
    <t>Trevin Giles vs. Bevon Lewis</t>
  </si>
  <si>
    <t>http://ufcstats.com/fight-details/fea7dd5904ab4c91</t>
  </si>
  <si>
    <t>Uriah Hall vs. Bevon Lewis</t>
  </si>
  <si>
    <t>http://ufcstats.com/fight-details/4de25b19c4dedb14</t>
  </si>
  <si>
    <t>Daniel Kelly vs. Antonio Carlos Junior</t>
  </si>
  <si>
    <t>http://ufcstats.com/fight-details/b33d1e693e3c9958</t>
  </si>
  <si>
    <t>Lyoto Machida vs. Yoel Romero</t>
  </si>
  <si>
    <t>http://ufcstats.com/fight-details/42d09ca167ecae07</t>
  </si>
  <si>
    <t>Thales Leites vs. Jack Hermansson</t>
  </si>
  <si>
    <t>http://ufcstats.com/fight-details/014f7dc96c90c199</t>
  </si>
  <si>
    <t>Krzysztof Jotko vs. Brad Tavares</t>
  </si>
  <si>
    <t>http://ufcstats.com/fight-details/01c9acf719298187</t>
  </si>
  <si>
    <t>Joaquin Buckley vs. Antonio Arroyo</t>
  </si>
  <si>
    <t>http://ufcstats.com/fight-details/401f5f4714132d50</t>
  </si>
  <si>
    <t>Antonio Braga Neto vs. Trevin Giles</t>
  </si>
  <si>
    <t>http://ufcstats.com/fight-details/7a57289563f9d974</t>
  </si>
  <si>
    <t>Hector Lombard vs. Anthony Smith</t>
  </si>
  <si>
    <t>http://ufcstats.com/fight-details/ff4cef86bef2d0aa</t>
  </si>
  <si>
    <t>Andrew Sanchez vs. Bruno Silva</t>
  </si>
  <si>
    <t>http://ufcstats.com/fight-details/fefa96b6d939ffea</t>
  </si>
  <si>
    <t>Tim Kennedy vs. Kelvin Gastelum</t>
  </si>
  <si>
    <t>http://ufcstats.com/fight-details/07b98dbf5d2c62a2</t>
  </si>
  <si>
    <t>Chris Weidman vs. Jacare Souza</t>
  </si>
  <si>
    <t>http://ufcstats.com/fight-details/c037cdc1de53de8e</t>
  </si>
  <si>
    <t>Andrew Sanchez vs. Makhmud Muradov</t>
  </si>
  <si>
    <t>http://ufcstats.com/fight-details/65352221c0bfe52d</t>
  </si>
  <si>
    <t>Andre Petroski vs. Micheal Gillmore</t>
  </si>
  <si>
    <t>http://ufcstats.com/fight-details/ad3aa9520131ff2e</t>
  </si>
  <si>
    <t>Rafael Natal vs. Kevin Casey</t>
  </si>
  <si>
    <t>http://ufcstats.com/fight-details/7bb335510a749419</t>
  </si>
  <si>
    <t>Anthony Smith vs. Andrew Sanchez</t>
  </si>
  <si>
    <t>http://ufcstats.com/fight-details/0673d8ab0add7a05</t>
  </si>
  <si>
    <t>Makhmud Muradov vs. Trevor Smith</t>
  </si>
  <si>
    <t>http://ufcstats.com/fight-details/81af3b60203d92df</t>
  </si>
  <si>
    <t>Eryk Anders vs. Tim Williams</t>
  </si>
  <si>
    <t>http://ufcstats.com/fight-details/3b701c0a0525341b</t>
  </si>
  <si>
    <t>Marc-Andre Barriault vs. Abu Azaitar</t>
  </si>
  <si>
    <t>http://ufcstats.com/fight-details/41622791b276ad9e</t>
  </si>
  <si>
    <t>Bubba Bush vs. Garreth McLellan</t>
  </si>
  <si>
    <t>http://ufcstats.com/fight-details/43313a340ff0d2b5</t>
  </si>
  <si>
    <t>Uriah Hall vs. Anderson Silva</t>
  </si>
  <si>
    <t>http://ufcstats.com/fight-details/039c645e8f3ac00f</t>
  </si>
  <si>
    <t>Kevin Holland vs. Kyle Daukaus</t>
  </si>
  <si>
    <t>Other</t>
  </si>
  <si>
    <t>Accidental Headbutt</t>
  </si>
  <si>
    <t>http://ufcstats.com/fight-details/ce151e053721fe69</t>
  </si>
  <si>
    <t>Vitor Belfort vs. Kelvin Gastelum</t>
  </si>
  <si>
    <t>Failed Drug Test by Gastelum</t>
  </si>
  <si>
    <t>http://ufcstats.com/fight-details/58450502a93454c8</t>
  </si>
  <si>
    <t>Marc-Andre Barriault vs. Oskar Piechota</t>
  </si>
  <si>
    <t>Failed Drug Test by Barriault</t>
  </si>
  <si>
    <t>http://ufcstats.com/fight-details/f044802db5688bbe</t>
  </si>
  <si>
    <t>David Branch vs. Jack Hermansson</t>
  </si>
  <si>
    <t>http://ufcstats.com/fight-details/a0163cdde4ec785d</t>
  </si>
  <si>
    <t>Joseph Holmes vs. Alen Amedovski</t>
  </si>
  <si>
    <t>http://ufcstats.com/fight-details/cbdfb3c648d7bada</t>
  </si>
  <si>
    <t>Edmen Shahbazyan vs. Jack Marshman</t>
  </si>
  <si>
    <t>http://ufcstats.com/fight-details/e9f00c16810e0e61</t>
  </si>
  <si>
    <t>Nick Maximov vs. Andre Petroski</t>
  </si>
  <si>
    <t>http://ufcstats.com/fight-details/afed0bac5ce5a2f3</t>
  </si>
  <si>
    <t>Jack Hermansson vs. Kelvin Gastelum</t>
  </si>
  <si>
    <t>Heel Hook From Bottom Guard</t>
  </si>
  <si>
    <t>http://ufcstats.com/fight-details/fcfd2e6eed519cb9</t>
  </si>
  <si>
    <t>Gerald Meerschaert vs. Ryan Janes</t>
  </si>
  <si>
    <t>Armbar From Bottom</t>
  </si>
  <si>
    <t>http://ufcstats.com/fight-details/c1d86f1e6d41cd03</t>
  </si>
  <si>
    <t>Bartosz Fabinski vs. Gerald Meerschaert</t>
  </si>
  <si>
    <t>http://ufcstats.com/fight-details/627c0a50cff30405</t>
  </si>
  <si>
    <t>Eric Spicely vs. Alessio Di Chirico</t>
  </si>
  <si>
    <t>http://ufcstats.com/fight-details/481aef2d2802ec68</t>
  </si>
  <si>
    <t>Jacare Souza vs. Chris Camozzi</t>
  </si>
  <si>
    <t>http://ufcstats.com/fight-details/f4717203e762d780</t>
  </si>
  <si>
    <t>Kevin Holland vs. Charlie Ontiveros</t>
  </si>
  <si>
    <t>InjuryVerbal submission</t>
  </si>
  <si>
    <t>http://ufcstats.com/fight-details/997dcf5fd2eb0f2f</t>
  </si>
  <si>
    <t>Andre Muniz vs. Bartosz Fabinski</t>
  </si>
  <si>
    <t>http://ufcstats.com/fight-details/e8206c7380441fbb</t>
  </si>
  <si>
    <t>Eric Spicely vs. Sam Alvey</t>
  </si>
  <si>
    <t>http://ufcstats.com/fight-details/2ef96a4eb306fbb4</t>
  </si>
  <si>
    <t>Josh Samman vs. Caio Magalhaes</t>
  </si>
  <si>
    <t>http://ufcstats.com/fight-details/b823aa523c9618b5</t>
  </si>
  <si>
    <t>Bo Nickal vs. Jamie Pickett</t>
  </si>
  <si>
    <t>http://ufcstats.com/fight-details/2b9daf452ab40b9b</t>
  </si>
  <si>
    <t>Rodolfo Vieira vs. Saparbeg Safarov</t>
  </si>
  <si>
    <t>http://ufcstats.com/fight-details/a70c43cafabc73c3</t>
  </si>
  <si>
    <t>Thiago Santos vs. Eric Spicely</t>
  </si>
  <si>
    <t>http://ufcstats.com/fight-details/66b8f3426f36fdf7</t>
  </si>
  <si>
    <t>Andre Muniz vs. Eryk Anders</t>
  </si>
  <si>
    <t>http://ufcstats.com/fight-details/16243b1470887cb6</t>
  </si>
  <si>
    <t>Dalcha Lungiambula vs. Cody Brundage</t>
  </si>
  <si>
    <t>http://ufcstats.com/fight-details/9cb78122a23e6a7d</t>
  </si>
  <si>
    <t>Maki Pitolo vs. Darren Stewart</t>
  </si>
  <si>
    <t>http://ufcstats.com/fight-details/c2ddadfa1a1056be</t>
  </si>
  <si>
    <t>Darren Stewart vs. Karl Roberson</t>
  </si>
  <si>
    <t>http://ufcstats.com/fight-details/4b202bae6c87b98b</t>
  </si>
  <si>
    <t>Jacare Souza vs. Tim Boetsch</t>
  </si>
  <si>
    <t>http://ufcstats.com/fight-details/ced241b99eab5f22</t>
  </si>
  <si>
    <t>John Phillips vs. Charles Byrd</t>
  </si>
  <si>
    <t>http://ufcstats.com/fight-details/f8ee14dbf966b9e6</t>
  </si>
  <si>
    <t>Jacare Souza vs. Andre Muniz</t>
  </si>
  <si>
    <t>http://ufcstats.com/fight-details/ca22bafab913aae7</t>
  </si>
  <si>
    <t>JunYong Park vs. Denis Tiuliulin</t>
  </si>
  <si>
    <t>http://ufcstats.com/fight-details/983fab4080743ed0</t>
  </si>
  <si>
    <t>Joseph Gigliotti vs. Gerald Meerschaert</t>
  </si>
  <si>
    <t>http://ufcstats.com/fight-details/85feac6924abb35b</t>
  </si>
  <si>
    <t>Krzysztof Jotko vs. Brendan Allen</t>
  </si>
  <si>
    <t>http://ufcstats.com/fight-details/8c9ff13791378784</t>
  </si>
  <si>
    <t>Karl Roberson vs. Marvin Vettori</t>
  </si>
  <si>
    <t>http://ufcstats.com/fight-details/e857ca0bc3b9fdcd</t>
  </si>
  <si>
    <t>Gerald Meerschaert vs. Jack Hermansson</t>
  </si>
  <si>
    <t>http://ufcstats.com/fight-details/986f0b480389ad25</t>
  </si>
  <si>
    <t>Markus Perez vs. James Bochnovic</t>
  </si>
  <si>
    <t>http://ufcstats.com/fight-details/5f1a828f8d4c3b01</t>
  </si>
  <si>
    <t>Tim Boetsch vs. Antonio Carlos Junior</t>
  </si>
  <si>
    <t>http://ufcstats.com/fight-details/5164f1c4103616fd</t>
  </si>
  <si>
    <t>Antonio Carlos Junior vs. Jack Marshman</t>
  </si>
  <si>
    <t>http://ufcstats.com/fight-details/72d703db67371e1d</t>
  </si>
  <si>
    <t>Alberto Uda vs. Marvin Vettori</t>
  </si>
  <si>
    <t>http://ufcstats.com/fight-details/41eb39f532e148d9</t>
  </si>
  <si>
    <t>Brendan Allen vs. Bruno Silva</t>
  </si>
  <si>
    <t>http://ufcstats.com/fight-details/9124740fe7816d70</t>
  </si>
  <si>
    <t>Cezar Ferreira vs. Karl Roberson</t>
  </si>
  <si>
    <t>Arm Triangle From Side ControlTechnical Submission</t>
  </si>
  <si>
    <t>http://ufcstats.com/fight-details/c8fdd3f7178fbfa4</t>
  </si>
  <si>
    <t>Karl Roberson vs. Brendan Allen</t>
  </si>
  <si>
    <t>Ankle Lock On Ground</t>
  </si>
  <si>
    <t>http://ufcstats.com/fight-details/f5dd0a24a7dba53c</t>
  </si>
  <si>
    <t>Adam Yandiev vs. Jordan Johnson</t>
  </si>
  <si>
    <t>http://ufcstats.com/fight-details/ed72edc2ce0f3c5f</t>
  </si>
  <si>
    <t>Josh Fremd vs. Tresean Gore</t>
  </si>
  <si>
    <t>http://ufcstats.com/fight-details/6a7db3750822d7be</t>
  </si>
  <si>
    <t>Markus Perez vs. Anthony Hernandez</t>
  </si>
  <si>
    <t>http://ufcstats.com/fight-details/ebb685a81f65ce1b</t>
  </si>
  <si>
    <t>John Phillips vs. Khamzat Chimaev</t>
  </si>
  <si>
    <t>http://ufcstats.com/fight-details/7fd810af30144119</t>
  </si>
  <si>
    <t>Rodolfo Vieira vs. Cody Brundage</t>
  </si>
  <si>
    <t>http://ufcstats.com/fight-details/37ae5c09d6f03f33</t>
  </si>
  <si>
    <t>Misha Cirkunov vs. Wellington Turman</t>
  </si>
  <si>
    <t>http://ufcstats.com/fight-details/01468f766dd7385c</t>
  </si>
  <si>
    <t>Omari Akhmedov vs. Tom Breese</t>
  </si>
  <si>
    <t>http://ufcstats.com/fight-details/ac475de5a3d0d7e2</t>
  </si>
  <si>
    <t>Makhmud Muradov vs. Gerald Meerschaert</t>
  </si>
  <si>
    <t>http://ufcstats.com/fight-details/1de342e9309c5f0f</t>
  </si>
  <si>
    <t>Rodolfo Vieira vs. Anthony Hernandez</t>
  </si>
  <si>
    <t>http://ufcstats.com/fight-details/96b1430379c0694a</t>
  </si>
  <si>
    <t>Aliaskhab Khizriev vs. Denis Tiuliulin</t>
  </si>
  <si>
    <t>http://ufcstats.com/fight-details/6ed495c177d69a3a</t>
  </si>
  <si>
    <t>http://ufcstats.com/fight-details/e966de63c8e6b1d5</t>
  </si>
  <si>
    <t>Sam Alvey vs. Julian Marquez</t>
  </si>
  <si>
    <t>http://ufcstats.com/fight-details/646eeca9447c6965</t>
  </si>
  <si>
    <t>Cezar Ferreira vs. Jack Hermansson</t>
  </si>
  <si>
    <t>http://ufcstats.com/fight-details/13d2b7aef67cb6ea</t>
  </si>
  <si>
    <t>Bryan Battle vs. Gilbert Urbina</t>
  </si>
  <si>
    <t>http://ufcstats.com/fight-details/5086f9fb4fdc2f60</t>
  </si>
  <si>
    <t>Lyoto Machida vs. Luke Rockhold</t>
  </si>
  <si>
    <t>http://ufcstats.com/fight-details/5965800d88e0677c</t>
  </si>
  <si>
    <t>Julian Marquez vs. Darren Stewart</t>
  </si>
  <si>
    <t>http://ufcstats.com/fight-details/535b8e5494cbc580</t>
  </si>
  <si>
    <t>Caio Borralho vs. Michal Oleksiejczuk</t>
  </si>
  <si>
    <t>http://ufcstats.com/fight-details/ecec1b0dd64ca2ae</t>
  </si>
  <si>
    <t>Sedriques Dumas vs. Josh Fremd</t>
  </si>
  <si>
    <t>http://ufcstats.com/fight-details/3cf3771274a4f8b1</t>
  </si>
  <si>
    <t>Joseph Holmes vs. Junyong Park</t>
  </si>
  <si>
    <t>http://ufcstats.com/fight-details/d6d141afdd31c3f1</t>
  </si>
  <si>
    <t>Brendan Allen vs. Kevin Holland</t>
  </si>
  <si>
    <t>http://ufcstats.com/fight-details/74b44635535cb290</t>
  </si>
  <si>
    <t>Antonio Carlos Junior vs. Eric Spicely</t>
  </si>
  <si>
    <t>http://ufcstats.com/fight-details/3ad3acca165a5d90</t>
  </si>
  <si>
    <t>Rodolfo Vieira vs. Oskar Piechota</t>
  </si>
  <si>
    <t>http://ufcstats.com/fight-details/8da94b2c1c0443d4</t>
  </si>
  <si>
    <t>Junyong Park vs. Anthony Hernandez</t>
  </si>
  <si>
    <t>http://ufcstats.com/fight-details/8182dbc752c71137</t>
  </si>
  <si>
    <t>Albert Duraev vs. JunYong Park</t>
  </si>
  <si>
    <t>http://ufcstats.com/fight-details/6adfe44b110c1510</t>
  </si>
  <si>
    <t>Dylan Andrews vs. Brad Scott</t>
  </si>
  <si>
    <t>http://ufcstats.com/fight-details/8a39075a9ffaa971</t>
  </si>
  <si>
    <t>Gerald Meerschaert vs. Oskar Piechota</t>
  </si>
  <si>
    <t>http://ufcstats.com/fight-details/363b72bf7f75091c</t>
  </si>
  <si>
    <t>Bruno Silva vs. Gerald Meerschaert</t>
  </si>
  <si>
    <t>http://ufcstats.com/fight-details/38b6ef176439c39b</t>
  </si>
  <si>
    <t>Trevin Giles vs. Gerald Meerschaert</t>
  </si>
  <si>
    <t>http://ufcstats.com/fight-details/dc49373c52eedaa3</t>
  </si>
  <si>
    <t>Anthony Hernandez vs. Marc-Andre Barriault</t>
  </si>
  <si>
    <t>http://ufcstats.com/fight-details/ce5ebaf8caf8c4a7</t>
  </si>
  <si>
    <t>Rodolfo Vieira vs. Dustin Stoltzfus</t>
  </si>
  <si>
    <t>http://ufcstats.com/fight-details/813444e109995c97</t>
  </si>
  <si>
    <t>Derek Brunson vs. Darren Till</t>
  </si>
  <si>
    <t>http://ufcstats.com/fight-details/14f2bb86fd888e91</t>
  </si>
  <si>
    <t>Gerald Meerschaert vs. Deron Winn</t>
  </si>
  <si>
    <t>http://ufcstats.com/fight-details/d671f436fab2a252</t>
  </si>
  <si>
    <t>Darren Till vs. Dricus Du Plessis</t>
  </si>
  <si>
    <t>http://ufcstats.com/fight-details/ecab8b8b36727b8d</t>
  </si>
  <si>
    <t>Dustin Stoltzfus vs. Gerald Meerschaert</t>
  </si>
  <si>
    <t>http://ufcstats.com/fight-details/bdaca0a96d44438a</t>
  </si>
  <si>
    <t>Thales Leites vs. Chris Camozzi</t>
  </si>
  <si>
    <t>http://ufcstats.com/fight-details/78410b48feaba213</t>
  </si>
  <si>
    <t>Chris Weidman vs. Kelvin Gastelum</t>
  </si>
  <si>
    <t>http://ufcstats.com/fight-details/5be97c1fa222093d</t>
  </si>
  <si>
    <t>Roman Kopylov vs. Karl Roberson</t>
  </si>
  <si>
    <t>http://ufcstats.com/fight-details/495e64df4c4ce7a7</t>
  </si>
  <si>
    <t>Zak Cummings vs. Trevin Giles</t>
  </si>
  <si>
    <t>http://ufcstats.com/fight-details/35f80e003d16a439</t>
  </si>
  <si>
    <t>Kevin Holland vs. John Phillips</t>
  </si>
  <si>
    <t>http://ufcstats.com/fight-details/02731f017c838ad4</t>
  </si>
  <si>
    <t>Josh Samman vs. Tamdan McCrory</t>
  </si>
  <si>
    <t>http://ufcstats.com/fight-details/7c883cf0b5eedc59</t>
  </si>
  <si>
    <t>Maki Pitolo vs. Julian Marquez</t>
  </si>
  <si>
    <t>http://ufcstats.com/fight-details/9201312dd860fa5a</t>
  </si>
  <si>
    <t>Andre Muniz vs. Brendan Allen</t>
  </si>
  <si>
    <t>http://ufcstats.com/fight-details/2ba11e0bf32829d6</t>
  </si>
  <si>
    <t>Antonio Carlos Junior vs. Eddie Gordon</t>
  </si>
  <si>
    <t>http://ufcstats.com/fight-details/5b51610a9c8c88ef</t>
  </si>
  <si>
    <t>Hu Yaozong vs. Andre Petroski</t>
  </si>
  <si>
    <t>http://ufcstats.com/fight-details/4a5e5232346993c7</t>
  </si>
  <si>
    <t>Antonio Carlos Junior vs. Leonardo Guimaraes</t>
  </si>
  <si>
    <t>http://ufcstats.com/fight-details/c87d2569da8d4305</t>
  </si>
  <si>
    <t>Joaquin Buckley vs. Albert Duraev</t>
  </si>
  <si>
    <t>http://ufcstats.com/fight-details/11e83902f5b8ff63</t>
  </si>
  <si>
    <t>Aljamain Sterling vs. Henry Cejudo</t>
  </si>
  <si>
    <t>Derek Cleary 47 - 48.Mike Bell 48 - 47.Eric Colon 47 - 48.</t>
  </si>
  <si>
    <t>http://ufcstats.com/fight-details/e3aad51099a23ba4</t>
  </si>
  <si>
    <t>Aljamain Sterling vs. Petr Yan</t>
  </si>
  <si>
    <t>Sal D'amato 47 - 48.Chris Lee 48 - 47.Eliseo Rodriguez 47 - 48.</t>
  </si>
  <si>
    <t>http://ufcstats.com/fight-details/9a8964b148cb5923</t>
  </si>
  <si>
    <t>TJ Dillashaw vs. Dominick Cruz</t>
  </si>
  <si>
    <t>David Ginsberg 47 - 48.Sal D'amato 49 - 46.Tony Weeks 46 - 49.</t>
  </si>
  <si>
    <t>http://ufcstats.com/fight-details/c4938baf92d2dc31</t>
  </si>
  <si>
    <t>Dominick Cruz vs. Cody Garbrandt</t>
  </si>
  <si>
    <t>Derek Cleary 46 - 48.Tony Weeks 47 - 48.Jeff Mullen 46 - 48.</t>
  </si>
  <si>
    <t>http://ufcstats.com/fight-details/25e6b11e1cf45b83</t>
  </si>
  <si>
    <t>Dominick Cruz vs. Urijah Faber</t>
  </si>
  <si>
    <t>Ron McCarthy 45 - 50.Jeff Mullen 45 - 50.Wade Vierra 46 - 49.</t>
  </si>
  <si>
    <t>http://ufcstats.com/fight-details/9c884cbc3791bf60</t>
  </si>
  <si>
    <t>Petr Yan vs. Aljamain Sterling</t>
  </si>
  <si>
    <t>Illegal Knee to Grounded Opponent</t>
  </si>
  <si>
    <t>http://ufcstats.com/fight-details/15c9cb5f9320c555</t>
  </si>
  <si>
    <t>TJ Dillashaw vs. Cody Garbrandt</t>
  </si>
  <si>
    <t>http://ufcstats.com/fight-details/de32c5a78aaf89e9</t>
  </si>
  <si>
    <t>Aljamain Sterling vs. Sean O'Malley</t>
  </si>
  <si>
    <t>http://ufcstats.com/fight-details/ee796ecb4ee8680b</t>
  </si>
  <si>
    <t>Cody Garbrandt vs. TJ Dillashaw</t>
  </si>
  <si>
    <t>http://ufcstats.com/fight-details/b3a304eadb9f7fb4</t>
  </si>
  <si>
    <t>Aljamain Sterling vs. TJ Dillashaw</t>
  </si>
  <si>
    <t>http://ufcstats.com/fight-details/1f0d4572e0facbea</t>
  </si>
  <si>
    <t>Henry Cejudo vs. Dominick Cruz</t>
  </si>
  <si>
    <t>http://ufcstats.com/fight-details/4e77cc2c8d604241</t>
  </si>
  <si>
    <t>Henry Cejudo vs. Marlon Moraes</t>
  </si>
  <si>
    <t>http://ufcstats.com/fight-details/cf4199c8517bc1fd</t>
  </si>
  <si>
    <t>TJ Dillashaw vs. Renan Barao</t>
  </si>
  <si>
    <t>http://ufcstats.com/fight-details/f963d716384153ff</t>
  </si>
  <si>
    <t>Petr Yan vs. Jose Aldo</t>
  </si>
  <si>
    <t>http://ufcstats.com/fight-details/0f9be7ac405772f8</t>
  </si>
  <si>
    <t>Alexander Volkanovski vs. Max Holloway</t>
  </si>
  <si>
    <t>Mark Collett 47 - 48.David Lethaby 48 - 47.Clemens Werner 47 - 48.</t>
  </si>
  <si>
    <t>http://ufcstats.com/fight-details/94b1596c6ff9a25d</t>
  </si>
  <si>
    <t>Mike Bell 45 - 50.Sal D'amato 45 - 50.Ron McCarthy 45 - 50.</t>
  </si>
  <si>
    <t>http://ufcstats.com/fight-details/4047e98132306cd5</t>
  </si>
  <si>
    <t>Alexander Volkanovski vs. Brian Ortega</t>
  </si>
  <si>
    <t>Mike Bell 46 - 49.Junichiro Kamijo 45 - 50.Sal D'amato 44 - 50.</t>
  </si>
  <si>
    <t>http://ufcstats.com/fight-details/18f1b88d8977c216</t>
  </si>
  <si>
    <t>Max Holloway vs. Alexander Volkanovski</t>
  </si>
  <si>
    <t>Mike Bell 47 - 48.Chris Lee 47 - 48.Junichiro Kamijo 45 - 50.</t>
  </si>
  <si>
    <t>http://ufcstats.com/fight-details/efc40ec41114d8fa</t>
  </si>
  <si>
    <t>Max Holloway vs. Frankie Edgar</t>
  </si>
  <si>
    <t>Chris Lee 45 - 50.Dave Hagen 46 - 49.Tony Weeks 47 - 48.</t>
  </si>
  <si>
    <t>http://ufcstats.com/fight-details/c4704eab5e2f51b8</t>
  </si>
  <si>
    <t>Jose Aldo vs. Conor McGregor</t>
  </si>
  <si>
    <t>http://ufcstats.com/fight-details/b302e12550278ffd</t>
  </si>
  <si>
    <t>Jose Aldo vs. Max Holloway</t>
  </si>
  <si>
    <t>http://ufcstats.com/fight-details/9ed0c3acc436eb56</t>
  </si>
  <si>
    <t>Alexander Volkanovski vs. Yair Rodriguez</t>
  </si>
  <si>
    <t>http://ufcstats.com/fight-details/4b12a4b48755cd6b</t>
  </si>
  <si>
    <t>Max Holloway vs. Jose Aldo</t>
  </si>
  <si>
    <t>http://ufcstats.com/fight-details/21f7fc538ea646e8</t>
  </si>
  <si>
    <t>Alexander Volkanovski vs. Chan Sung Jung</t>
  </si>
  <si>
    <t>http://ufcstats.com/fight-details/dc0ab34f1952cb48</t>
  </si>
  <si>
    <t>Max Holloway vs. Brian Ortega</t>
  </si>
  <si>
    <t>http://ufcstats.com/fight-details/4e55251b7a0df0c2</t>
  </si>
  <si>
    <t>Deiveson Figueiredo vs. Brandon Moreno</t>
  </si>
  <si>
    <t>Derek Cleary 46 - 48.Sal D'amato 47 - 47.Junichiro Kamijo 47 - 47.</t>
  </si>
  <si>
    <t>http://ufcstats.com/fight-details/c258996570faeec9</t>
  </si>
  <si>
    <t>Ben Cartlidge 49 - 46.Derek Cleary 47 - 48.Junichiro Kamijo 47 - 48.</t>
  </si>
  <si>
    <t>http://ufcstats.com/fight-details/0f24f3bc1b39ea45</t>
  </si>
  <si>
    <t>Demetrious Johnson vs. Henry Cejudo</t>
  </si>
  <si>
    <t>Ron McCarthy 47 - 48.Marcos Rosales 48 - 47.Sal D'amato 47 - 48.</t>
  </si>
  <si>
    <t>http://ufcstats.com/fight-details/f2ca358ea9bec156</t>
  </si>
  <si>
    <t>Brandon Moreno vs. Deiveson Figueiredo</t>
  </si>
  <si>
    <t>Chris Crail 47 - 48.Wade Vierra 47 - 48.Mike Bell 47 - 48.</t>
  </si>
  <si>
    <t>http://ufcstats.com/fight-details/cddd3d4febe097f8</t>
  </si>
  <si>
    <t>Demetrious Johnson vs. Tim Elliott</t>
  </si>
  <si>
    <t>Junichiro Kamijo 46 - 49.Jeff Mullen 46 - 49.Sal D'amato 45 - 49.</t>
  </si>
  <si>
    <t>http://ufcstats.com/fight-details/02822c35ffef5a50</t>
  </si>
  <si>
    <t>Demetrious Johnson vs. John Dodson</t>
  </si>
  <si>
    <t>Marcos Rosales 46 - 49.Tony Weeks 46 - 49.Derek Cleary 45 - 50.</t>
  </si>
  <si>
    <t>http://ufcstats.com/fight-details/4496c2fa6aaccba6</t>
  </si>
  <si>
    <t>Henry Cejudo vs. TJ Dillashaw</t>
  </si>
  <si>
    <t>http://ufcstats.com/fight-details/85511ab7fd9ed061</t>
  </si>
  <si>
    <t>http://ufcstats.com/fight-details/20dda78057d17a5a</t>
  </si>
  <si>
    <t>Deiveson Figueiredo vs. Alex Perez</t>
  </si>
  <si>
    <t>http://ufcstats.com/fight-details/3c098e2946b4c824</t>
  </si>
  <si>
    <t>Deiveson Figueiredo vs. Joseph Benavidez</t>
  </si>
  <si>
    <t>http://ufcstats.com/fight-details/4dc5039b21013b3a</t>
  </si>
  <si>
    <t>http://ufcstats.com/fight-details/0f51869f98afa6c0</t>
  </si>
  <si>
    <t>Demetrious Johnson vs. Wilson Reis</t>
  </si>
  <si>
    <t>http://ufcstats.com/fight-details/f63961f9d14bc33d</t>
  </si>
  <si>
    <t>Demetrious Johnson vs. Ray Borg</t>
  </si>
  <si>
    <t>http://ufcstats.com/fight-details/d042d18ad568190a</t>
  </si>
  <si>
    <t>Demetrious Johnson vs. Kyoji Horiguchi</t>
  </si>
  <si>
    <t>http://ufcstats.com/fight-details/6c2097664ac1bf16</t>
  </si>
  <si>
    <t>http://ufcstats.com/fight-details/0462bcc27498f7c4</t>
  </si>
  <si>
    <t>Francis Ngannou vs. Ciryl Gane</t>
  </si>
  <si>
    <t>UFC Heavyweight Title Bout</t>
  </si>
  <si>
    <t>Sal D'amato 46 - 49.Ron McCarthy 47 - 48.Derek Cleary 47 - 48.</t>
  </si>
  <si>
    <t>http://ufcstats.com/fight-details/e786542667fdecf0</t>
  </si>
  <si>
    <t>Stipe Miocic vs. Daniel Cormier</t>
  </si>
  <si>
    <t>Derek Cleary 46 - 49.Sal D'amato 46 - 49.Junichiro Kamijo 47 - 48.</t>
  </si>
  <si>
    <t>http://ufcstats.com/fight-details/3bdacc82209b33f5</t>
  </si>
  <si>
    <t>Stipe Miocic vs. Francis Ngannou</t>
  </si>
  <si>
    <t>David Ginsberg 44 - 50.Chris Lee 44 - 50.Doug Crosby 44 - 50.</t>
  </si>
  <si>
    <t>http://ufcstats.com/fight-details/8238f9d2fd961757</t>
  </si>
  <si>
    <t>Stipe Miocic vs. Junior Dos Santos</t>
  </si>
  <si>
    <t>http://ufcstats.com/fight-details/16a0352f3e19b931</t>
  </si>
  <si>
    <t>Fabricio Werdum vs. Stipe Miocic</t>
  </si>
  <si>
    <t>http://ufcstats.com/fight-details/e27504d07ebbc441</t>
  </si>
  <si>
    <t>Stipe Miocic vs. Alistair Overeem</t>
  </si>
  <si>
    <t>http://ufcstats.com/fight-details/19df0d0cb1269fa7</t>
  </si>
  <si>
    <t>http://ufcstats.com/fight-details/fccedc456048216b</t>
  </si>
  <si>
    <t>http://ufcstats.com/fight-details/b1eff235241e719b</t>
  </si>
  <si>
    <t>Daniel Cormier vs. Stipe Miocic</t>
  </si>
  <si>
    <t>http://ufcstats.com/fight-details/6921344f8e706d0f</t>
  </si>
  <si>
    <t>Jon Jones vs. Ciryl Gane</t>
  </si>
  <si>
    <t>http://ufcstats.com/fight-details/636fd144716a3084</t>
  </si>
  <si>
    <t>Daniel Cormier vs. Derrick Lewis</t>
  </si>
  <si>
    <t>http://ufcstats.com/fight-details/e9700d51ec2b940b</t>
  </si>
  <si>
    <t>Cain Velasquez vs. Fabricio Werdum</t>
  </si>
  <si>
    <t>http://ufcstats.com/fight-details/93f1b09aa792405e</t>
  </si>
  <si>
    <t>Petr Yan vs. Cory Sandhagen</t>
  </si>
  <si>
    <t>UFC Interim Bantamweight Title Bout</t>
  </si>
  <si>
    <t>David Lethaby 46 - 49.Anders Ohlsson 46 - 49.Vito Paolillo 46 - 49.</t>
  </si>
  <si>
    <t>http://ufcstats.com/fight-details/18edff5447989b3f</t>
  </si>
  <si>
    <t>Jose Aldo vs. Frankie Edgar</t>
  </si>
  <si>
    <t>UFC Interim Featherweight Title Bout</t>
  </si>
  <si>
    <t>Derek Cleary 46 - 49.Marcos Rosales 46 - 49.Junichiro Kamijo 47 - 48.</t>
  </si>
  <si>
    <t>http://ufcstats.com/fight-details/84c5035830ebb421</t>
  </si>
  <si>
    <t>Chad Mendes vs. Conor McGregor</t>
  </si>
  <si>
    <t>http://ufcstats.com/fight-details/70290140b6a8e038</t>
  </si>
  <si>
    <t>Max Holloway vs. Anthony Pettis</t>
  </si>
  <si>
    <t>http://ufcstats.com/fight-details/977a758d869f9e7a</t>
  </si>
  <si>
    <t>Yair Rodriguez vs. Josh Emmett</t>
  </si>
  <si>
    <t>http://ufcstats.com/fight-details/2208b9f471a201d9</t>
  </si>
  <si>
    <t>UFC Interim Flyweight Title Bout</t>
  </si>
  <si>
    <t>http://ufcstats.com/fight-details/5a1ce88ec1f75160</t>
  </si>
  <si>
    <t>Derrick Lewis vs. Ciryl Gane</t>
  </si>
  <si>
    <t>http://ufcstats.com/fight-details/bf732e22055e8634</t>
  </si>
  <si>
    <t>Jon Jones vs. Ovince Saint Preux</t>
  </si>
  <si>
    <t>UFC Interim Light Heavyweight Title Bout</t>
  </si>
  <si>
    <t>Sal D'amato 44 - 50.Chris Lee 45 - 50.Junichiro Kamijo 45 - 50.</t>
  </si>
  <si>
    <t>http://ufcstats.com/fight-details/05c8aeb2806be99c</t>
  </si>
  <si>
    <t>Max Holloway vs. Dustin Poirier</t>
  </si>
  <si>
    <t>UFC Interim Lightweight Title Bout</t>
  </si>
  <si>
    <t>Sal D'amato 46 - 49.Mike Bell 46 - 49.Derek Cleary 46 - 49.</t>
  </si>
  <si>
    <t>http://ufcstats.com/fight-details/87126427cfcaee52</t>
  </si>
  <si>
    <t>Tony Ferguson vs. Justin Gaethje</t>
  </si>
  <si>
    <t>http://ufcstats.com/fight-details/d395828f5cb045a5</t>
  </si>
  <si>
    <t>Tony Ferguson vs. Kevin Lee</t>
  </si>
  <si>
    <t>http://ufcstats.com/fight-details/03aec9073946907f</t>
  </si>
  <si>
    <t>Kelvin Gastelum vs. Israel Adesanya</t>
  </si>
  <si>
    <t>UFC Interim Middleweight Title Bout</t>
  </si>
  <si>
    <t>Mike Bell 46 - 48.Anthony Maness 46 - 48.Ken Coffey 46 - 48.</t>
  </si>
  <si>
    <t>http://ufcstats.com/fight-details/9bfda7c26578aaac</t>
  </si>
  <si>
    <t>Yoel Romero vs. Robert Whittaker</t>
  </si>
  <si>
    <t>Sal D'amato 47 - 48.Junichiro Kamijo 47 - 48.Jeff Mullen 47 - 48.</t>
  </si>
  <si>
    <t>http://ufcstats.com/fight-details/06cd9812e2b9b747</t>
  </si>
  <si>
    <t>Yoel Romero vs. Luke Rockhold</t>
  </si>
  <si>
    <t>http://ufcstats.com/fight-details/9444cfe0c7c0f6a7</t>
  </si>
  <si>
    <t>Rafael Dos Anjos vs. Colby Covington</t>
  </si>
  <si>
    <t>UFC Interim Welterweight Title Bout</t>
  </si>
  <si>
    <t>Sal D'amato 46 - 49.Kelvin Caldwell 47 - 48.Mike Bell 47 - 48.</t>
  </si>
  <si>
    <t>http://ufcstats.com/fight-details/eb6f80ccaf2a3dbc</t>
  </si>
  <si>
    <t>Jan Blachowicz vs. Magomed Ankalaev</t>
  </si>
  <si>
    <t>Mike Bell 47 - 48.Derek Cleary 48 - 46.Sal D'amato 47 - 47.</t>
  </si>
  <si>
    <t>http://ufcstats.com/fight-details/3c3a9c1ec0604fc2</t>
  </si>
  <si>
    <t>Jon Jones vs. Thiago Santos</t>
  </si>
  <si>
    <t>Mike Bell 47 - 48.Junichiro Kamijo 48 - 47.Derek Cleary 47 - 48.</t>
  </si>
  <si>
    <t>http://ufcstats.com/fight-details/8fcdfee81cc604e3</t>
  </si>
  <si>
    <t>Daniel Cormier vs. Alexander Gustafsson</t>
  </si>
  <si>
    <t>Derek Cleary 48 - 47.Sal D'amato 47 - 48.Kerry Hatley 46 - 49.</t>
  </si>
  <si>
    <t>http://ufcstats.com/fight-details/f5de8b2c81e91129</t>
  </si>
  <si>
    <t>Glover Teixeira vs. Jamahal Hill</t>
  </si>
  <si>
    <t>Fabio Alves 44 - 50.Derek Cleary 44 - 50.Sal D'amato 44 - 50.</t>
  </si>
  <si>
    <t>http://ufcstats.com/fight-details/dde7d29cc443e263</t>
  </si>
  <si>
    <t>Jan Blachowicz vs. Israel Adesanya</t>
  </si>
  <si>
    <t>Sal D'amato 46 - 49.Derek Cleary 45 - 49.Junichiro Kamijo 45 - 49.</t>
  </si>
  <si>
    <t>http://ufcstats.com/fight-details/7de9867b7cc2b1b1</t>
  </si>
  <si>
    <t>Jon Jones vs. Dominick Reyes</t>
  </si>
  <si>
    <t>Marcos Rosales 47 - 48.Chris Lee 47 - 48.Joe Soliz 46 - 49.</t>
  </si>
  <si>
    <t>http://ufcstats.com/fight-details/fae99a4089f8abb0</t>
  </si>
  <si>
    <t>Jon Jones vs. Anthony Smith</t>
  </si>
  <si>
    <t>Sal D'amato 44 - 48.Chris Lee 44 - 48.Junichiro Kamijo 44 - 48.</t>
  </si>
  <si>
    <t>http://ufcstats.com/fight-details/5b9f545890407976</t>
  </si>
  <si>
    <t>Daniel Cormier vs. Volkan Oezdemir</t>
  </si>
  <si>
    <t>Punches to Head From Crucifix</t>
  </si>
  <si>
    <t>http://ufcstats.com/fight-details/9f96d11017f9c824</t>
  </si>
  <si>
    <t>Dominick Reyes vs. Jan Blachowicz</t>
  </si>
  <si>
    <t>http://ufcstats.com/fight-details/4c12c9085200121f</t>
  </si>
  <si>
    <t>Jon Jones vs. Alexander Gustafsson</t>
  </si>
  <si>
    <t>http://ufcstats.com/fight-details/ceaae1db8ccde29c</t>
  </si>
  <si>
    <t>Daniel Cormier vs. Jon Jones</t>
  </si>
  <si>
    <t>http://ufcstats.com/fight-details/5ab286735ccee803</t>
  </si>
  <si>
    <t>Jan Blachowicz vs. Glover Teixeira</t>
  </si>
  <si>
    <t>http://ufcstats.com/fight-details/919fb76d2f3e5827</t>
  </si>
  <si>
    <t>Daniel Cormier vs. Anthony Johnson</t>
  </si>
  <si>
    <t>http://ufcstats.com/fight-details/ea8eaf881d38713e</t>
  </si>
  <si>
    <t>Anthony Johnson vs. Daniel Cormier</t>
  </si>
  <si>
    <t>http://ufcstats.com/fight-details/530fb0d1a26fc57a</t>
  </si>
  <si>
    <t>Glover Teixeira vs. Jiri Prochazka</t>
  </si>
  <si>
    <t>http://ufcstats.com/fight-details/fd49f89b9d97566b</t>
  </si>
  <si>
    <t>Islam Makhachev vs. Alexander Volkanovski</t>
  </si>
  <si>
    <t>UFC Lightweight Title Bout</t>
  </si>
  <si>
    <t>Ben Cartlidge 47 - 48.David Lethaby 47 - 48.Derek Cleary 46 - 49.</t>
  </si>
  <si>
    <t>http://ufcstats.com/fight-details/256894b49303537b</t>
  </si>
  <si>
    <t>Khabib Nurmagomedov vs. Al Iaquinta</t>
  </si>
  <si>
    <t>Sal D'amato 43 - 50.Derek Cleary 44 - 50.Chris Lee 43 - 50.</t>
  </si>
  <si>
    <t>http://ufcstats.com/fight-details/eab7b76e177e1903</t>
  </si>
  <si>
    <t>Rafael Dos Anjos vs. Donald Cerrone</t>
  </si>
  <si>
    <t>http://ufcstats.com/fight-details/81f287d035190506</t>
  </si>
  <si>
    <t>Rafael Dos Anjos vs. Eddie Alvarez</t>
  </si>
  <si>
    <t>http://ufcstats.com/fight-details/bb9020ac324fb706</t>
  </si>
  <si>
    <t>Charles Oliveira vs. Michael Chandler</t>
  </si>
  <si>
    <t>http://ufcstats.com/fight-details/fef29aa73bd5b907</t>
  </si>
  <si>
    <t>Eddie Alvarez vs. Conor McGregor</t>
  </si>
  <si>
    <t>http://ufcstats.com/fight-details/1d7015553debd1c8</t>
  </si>
  <si>
    <t>Khabib Nurmagomedov vs. Justin Gaethje</t>
  </si>
  <si>
    <t>http://ufcstats.com/fight-details/59eea37af7efb06c</t>
  </si>
  <si>
    <t>Charles Oliveira vs. Islam Makhachev</t>
  </si>
  <si>
    <t>http://ufcstats.com/fight-details/523815acf1bb2420</t>
  </si>
  <si>
    <t>Charles Oliveira vs. Dustin Poirier</t>
  </si>
  <si>
    <t>http://ufcstats.com/fight-details/b22eab3aa1522f40</t>
  </si>
  <si>
    <t>Khabib Nurmagomedov vs. Dustin Poirier</t>
  </si>
  <si>
    <t>http://ufcstats.com/fight-details/01a4827b3596d111</t>
  </si>
  <si>
    <t>Khabib Nurmagomedov vs. Conor McGregor</t>
  </si>
  <si>
    <t>http://ufcstats.com/fight-details/3eea92e7f26fb05b</t>
  </si>
  <si>
    <t>Israel Adesanya vs. Sean Strickland</t>
  </si>
  <si>
    <t>Eric Colon 46 - 49.David Lethaby 46 - 49.Clemens Werner 46 - 49.</t>
  </si>
  <si>
    <t>http://ufcstats.com/fight-details/7f16e7725245bb2d</t>
  </si>
  <si>
    <t>Israel Adesanya vs. Jared Cannonier</t>
  </si>
  <si>
    <t>Derek Cleary 46 - 49.Junichiro Kamijo 46 - 49.Sal D'amato 45 - 50.</t>
  </si>
  <si>
    <t>http://ufcstats.com/fight-details/a7eaf7b101166d3e</t>
  </si>
  <si>
    <t>Israel Adesanya vs. Robert Whittaker</t>
  </si>
  <si>
    <t>Jacob Montalvo 47 - 48.Doug Crosby 47 - 48.Mike Beltran 46 - 49.</t>
  </si>
  <si>
    <t>http://ufcstats.com/fight-details/ca8f73d038c4d6e7</t>
  </si>
  <si>
    <t>Derek Cleary 45 - 50.Sal D'amato 45 - 50.Chris Flores 45 - 50.</t>
  </si>
  <si>
    <t>http://ufcstats.com/fight-details/6cd44e1b2d093ea4</t>
  </si>
  <si>
    <t>Israel Adesanya vs. Yoel Romero</t>
  </si>
  <si>
    <t>Chris Lee 46 - 49.Sal D'amato 47 - 48.Ron McCarthy 47 - 48.</t>
  </si>
  <si>
    <t>http://ufcstats.com/fight-details/b46f2f007b622bce</t>
  </si>
  <si>
    <t>Michael Bisping vs. Dan Henderson</t>
  </si>
  <si>
    <t>Andreas Gruner 47 - 48.Jeff Mullen 47 - 48.Andy Roberts 46 - 49.</t>
  </si>
  <si>
    <t>http://ufcstats.com/fight-details/eaa63c8fb9379426</t>
  </si>
  <si>
    <t>Chris Weidman vs. Vitor Belfort</t>
  </si>
  <si>
    <t>Punches to From Mount</t>
  </si>
  <si>
    <t>http://ufcstats.com/fight-details/318460613b6018e9</t>
  </si>
  <si>
    <t>Luke Rockhold vs. Michael Bisping</t>
  </si>
  <si>
    <t>http://ufcstats.com/fight-details/812ff38f0ed409ca</t>
  </si>
  <si>
    <t>Robert Whittaker vs. Israel Adesanya</t>
  </si>
  <si>
    <t>http://ufcstats.com/fight-details/2556b7520536ce1d</t>
  </si>
  <si>
    <t>Israel Adesanya vs. Paulo Costa</t>
  </si>
  <si>
    <t>http://ufcstats.com/fight-details/fd76b75c28dc247a</t>
  </si>
  <si>
    <t>Alex Pereira vs. Israel Adesanya</t>
  </si>
  <si>
    <t>http://ufcstats.com/fight-details/fe143cb868adfded</t>
  </si>
  <si>
    <t>Chris Weidman vs. Luke Rockhold</t>
  </si>
  <si>
    <t>http://ufcstats.com/fight-details/ff389a4326fc9255</t>
  </si>
  <si>
    <t>Israel Adesanya vs. Alex Pereira</t>
  </si>
  <si>
    <t>http://ufcstats.com/fight-details/04f32bb0c0d3a8cc</t>
  </si>
  <si>
    <t>Michael Bisping vs. Georges St-Pierre</t>
  </si>
  <si>
    <t>http://ufcstats.com/fight-details/d361b51952944a26</t>
  </si>
  <si>
    <t>Leon Edwards vs. Kamaru Usman</t>
  </si>
  <si>
    <t>Ben Cartlidge 46 - 48.Chris Lee 46 - 48.David Lethaby 47 - 47.</t>
  </si>
  <si>
    <t>http://ufcstats.com/fight-details/c483ac06b1e33c3b</t>
  </si>
  <si>
    <t>Tyron Woodley vs. Stephen Thompson</t>
  </si>
  <si>
    <t>Derek Cleary 47 - 48.Sal D'amato 47 - 47.Chris Lee 47 - 48.</t>
  </si>
  <si>
    <t>http://ufcstats.com/fight-details/dfc8c5161ea0ccb5</t>
  </si>
  <si>
    <t>Derek Cleary 47 - 47.Doug Crosby 47 - 47.Glenn Trowbridge 47 - 48.</t>
  </si>
  <si>
    <t>http://ufcstats.com/fight-details/b80ef7cdc36ab48b</t>
  </si>
  <si>
    <t>Robbie Lawler vs. Carlos Condit</t>
  </si>
  <si>
    <t>Derek Cleary 47 - 48.Tony Weeks 48 - 47.Chris Lee 47 - 48.</t>
  </si>
  <si>
    <t>http://ufcstats.com/fight-details/f079cb2db8dbbf04</t>
  </si>
  <si>
    <t>Kamaru Usman vs. Colby Covington</t>
  </si>
  <si>
    <t>Sal D'amato 47 - 48.Dave Tirelli 47 - 48.Derek Cleary 46 - 49.</t>
  </si>
  <si>
    <t>http://ufcstats.com/fight-details/31b3ae9352d9389b</t>
  </si>
  <si>
    <t>Kamaru Usman vs. Jorge Masvidal</t>
  </si>
  <si>
    <t>Ben Cartlidge 45 - 50.Mark Collett 45 - 50.David Lethaby 46 - 49.</t>
  </si>
  <si>
    <t>http://ufcstats.com/fight-details/d292243c6499b2fe</t>
  </si>
  <si>
    <t>Tyron Woodley vs. Kamaru Usman</t>
  </si>
  <si>
    <t>Dave Hagen 44 - 50.Mike Bell 44 - 50.Derek Cleary 45 - 50.</t>
  </si>
  <si>
    <t>http://ufcstats.com/fight-details/851645c373f50e16</t>
  </si>
  <si>
    <t>Tyron Woodley vs. Demian Maia</t>
  </si>
  <si>
    <t>Marcos Rosales 45 - 50.Sal D'amato 46 - 49.Wade Vierra 46 - 49.</t>
  </si>
  <si>
    <t>http://ufcstats.com/fight-details/30553d630491094a</t>
  </si>
  <si>
    <t>Robbie Lawler vs. Tyron Woodley</t>
  </si>
  <si>
    <t>http://ufcstats.com/fight-details/c67e5fec8e1876f0</t>
  </si>
  <si>
    <t>http://ufcstats.com/fight-details/6a5eb525331fa1fc</t>
  </si>
  <si>
    <t>Kamaru Usman vs. Gilbert Burns</t>
  </si>
  <si>
    <t>http://ufcstats.com/fight-details/be94e5b7a35ce5f2</t>
  </si>
  <si>
    <t>Robbie Lawler vs. Rory MacDonald</t>
  </si>
  <si>
    <t>http://ufcstats.com/fight-details/ecb4534c0066c5f3</t>
  </si>
  <si>
    <t>Kamaru Usman vs. Leon Edwards</t>
  </si>
  <si>
    <t>http://ufcstats.com/fight-details/f70c817388602681</t>
  </si>
  <si>
    <t>http://ufcstats.com/fight-details/82177c0f91d9618a</t>
  </si>
  <si>
    <t>Tyron Woodley vs. Darren Till</t>
  </si>
  <si>
    <t>http://ufcstats.com/fight-details/b66ac52bfb217761</t>
  </si>
  <si>
    <t>Amanda Nunes vs. Valentina Shevchenko</t>
  </si>
  <si>
    <t>Sal D'amato 47 - 48.Tony Weeks 48 - 47.David Therien 47 - 48.</t>
  </si>
  <si>
    <t>http://ufcstats.com/fight-details/cb16346d93746ebc</t>
  </si>
  <si>
    <t>Amanda Nunes vs. Irene Aldana</t>
  </si>
  <si>
    <t>Sal D'amato 44 - 50.Mike Bell 44 - 50.Chris Lee 43 - 50.</t>
  </si>
  <si>
    <t>http://ufcstats.com/fight-details/69bc7ca8ce831731</t>
  </si>
  <si>
    <t>Julianna Pena vs. Amanda Nunes</t>
  </si>
  <si>
    <t>Jacob Montalvo 45 - 50.Doug Crosby 43 - 50.Sal D'amato 44 - 50.</t>
  </si>
  <si>
    <t>http://ufcstats.com/fight-details/72c3e5eacde4f0e5</t>
  </si>
  <si>
    <t>Amanda Nunes vs. Germaine de Randamie</t>
  </si>
  <si>
    <t>Sal D'amato 44 - 49.Dave Hagen 46 - 49.Ron McCarthy 45 - 49.</t>
  </si>
  <si>
    <t>http://ufcstats.com/fight-details/36fcfd186a8d6df7</t>
  </si>
  <si>
    <t>Ronda Rousey vs. Bethe Correia</t>
  </si>
  <si>
    <t>http://ufcstats.com/fight-details/60c62fb7bd17a8b3</t>
  </si>
  <si>
    <t>Amanda Nunes vs. Ronda Rousey</t>
  </si>
  <si>
    <t>http://ufcstats.com/fight-details/0aad210fbaa1db6c</t>
  </si>
  <si>
    <t>Amanda Nunes vs. Holly Holm</t>
  </si>
  <si>
    <t>http://ufcstats.com/fight-details/69c06be4f87ccdab</t>
  </si>
  <si>
    <t>Ronda Rousey vs. Holly Holm</t>
  </si>
  <si>
    <t>http://ufcstats.com/fight-details/08af25ef4252b138</t>
  </si>
  <si>
    <t>Amanda Nunes vs. Raquel Pennington</t>
  </si>
  <si>
    <t>http://ufcstats.com/fight-details/3454f5c7203467aa</t>
  </si>
  <si>
    <t>Miesha Tate vs. Amanda Nunes</t>
  </si>
  <si>
    <t>http://ufcstats.com/fight-details/135760b07e1fb79b</t>
  </si>
  <si>
    <t>Amanda Nunes vs. Julianna Pena</t>
  </si>
  <si>
    <t>http://ufcstats.com/fight-details/0b633295d9e017a3</t>
  </si>
  <si>
    <t>Holly Holm vs. Miesha Tate</t>
  </si>
  <si>
    <t>http://ufcstats.com/fight-details/7ffd80b65b0ff942</t>
  </si>
  <si>
    <t>Amanda Nunes vs. Felicia Spencer</t>
  </si>
  <si>
    <t>UFC Women's Featherweight Title Bout</t>
  </si>
  <si>
    <t>Derek Cleary 44 - 50.Chris Lee 44 - 50.Sal D'amato 45 - 50.</t>
  </si>
  <si>
    <t>http://ufcstats.com/fight-details/dc38c78358e053c3</t>
  </si>
  <si>
    <t>Cristiane Justino vs. Holly Holm</t>
  </si>
  <si>
    <t>Derek Cleary 46 - 49.Dave Hagen 47 - 48.Chris Lee 47 - 48.</t>
  </si>
  <si>
    <t>http://ufcstats.com/fight-details/279b4190d9ef1379</t>
  </si>
  <si>
    <t>Holly Holm vs. Germaine de Randamie</t>
  </si>
  <si>
    <t>Chris Lee 47 - 48.Sal D'amato 47 - 48.Jeff Mullen 47 - 48.</t>
  </si>
  <si>
    <t>http://ufcstats.com/fight-details/252074c8554bf30d</t>
  </si>
  <si>
    <t>Cristiane Justino vs. Amanda Nunes</t>
  </si>
  <si>
    <t>http://ufcstats.com/fight-details/3278e45b30f7dd33</t>
  </si>
  <si>
    <t>Cristiane Justino vs. Yana Kunitskaya</t>
  </si>
  <si>
    <t>http://ufcstats.com/fight-details/4960379abe6ed525</t>
  </si>
  <si>
    <t>Cristiane Justino vs. Tonya Evinger</t>
  </si>
  <si>
    <t>http://ufcstats.com/fight-details/79817ab0129c5598</t>
  </si>
  <si>
    <t>Amanda Nunes vs. Megan Anderson</t>
  </si>
  <si>
    <t>http://ufcstats.com/fight-details/fd92fe0c494d0959</t>
  </si>
  <si>
    <t>Alexa Grasso vs. Valentina Shevchenko</t>
  </si>
  <si>
    <t>UFC Women's Flyweight Title Bout</t>
  </si>
  <si>
    <t>Junichiro Kamijo 47 - 48.Sal D'amato 48 - 47.Mike Bell 47 - 47.</t>
  </si>
  <si>
    <t>http://ufcstats.com/fight-details/b395c89e19a3fec4</t>
  </si>
  <si>
    <t>Valentina Shevchenko vs. Taila Santos</t>
  </si>
  <si>
    <t>Howard Hughes 47 - 48.David Lethaby 48 - 47.Clemens Werner 46 - 49.</t>
  </si>
  <si>
    <t>http://ufcstats.com/fight-details/049ad6d87b42eba8</t>
  </si>
  <si>
    <t>Valentina Shevchenko vs. Jennifer Maia</t>
  </si>
  <si>
    <t>Sal D'amato 46 - 49.Mike Bell 46 - 49.Junichiro Kamijo 46 - 49.</t>
  </si>
  <si>
    <t>http://ufcstats.com/fight-details/c93eebe24aa0299d</t>
  </si>
  <si>
    <t>Valentina Shevchenko vs. Liz Carmouche</t>
  </si>
  <si>
    <t>Guilherme Bravo 45 - 50.Eric Colon 45 - 50.Tony Weeks 45 - 50.</t>
  </si>
  <si>
    <t>http://ufcstats.com/fight-details/9d80bd1f92d23dfa</t>
  </si>
  <si>
    <t>Valentina Shevchenko vs. Joanna Jedrzejczyk</t>
  </si>
  <si>
    <t>Benoit Roussel 46 - 49.Eric Colon 46 - 49.Jason Rodgers 46 - 49.</t>
  </si>
  <si>
    <t>http://ufcstats.com/fight-details/48a2a476d3b59866</t>
  </si>
  <si>
    <t>Nicco Montano vs. Roxanne Modafferi</t>
  </si>
  <si>
    <t>Derek Cleary 45 - 50.Jeff Mullen 46 - 49.Junichiro Kamijo 46 - 49.</t>
  </si>
  <si>
    <t>http://ufcstats.com/fight-details/2f1f16c86a8cc6e2</t>
  </si>
  <si>
    <t>Valentina Shevchenko vs. Jessica Eye</t>
  </si>
  <si>
    <t>http://ufcstats.com/fight-details/4127b45c3d546eef</t>
  </si>
  <si>
    <t>Valentina Shevchenko vs. Jessica Andrade</t>
  </si>
  <si>
    <t>http://ufcstats.com/fight-details/34d2632fd26e7078</t>
  </si>
  <si>
    <t>Valentina Shevchenko vs. Katlyn Chookagian</t>
  </si>
  <si>
    <t>http://ufcstats.com/fight-details/05cceae674c81b86</t>
  </si>
  <si>
    <t>Valentina Shevchenko vs. Lauren Murphy</t>
  </si>
  <si>
    <t>http://ufcstats.com/fight-details/7233b2a56438d77a</t>
  </si>
  <si>
    <t>Valentina Shevchenko vs. Alexa Grasso</t>
  </si>
  <si>
    <t>http://ufcstats.com/fight-details/a69afe4a88c0ca12</t>
  </si>
  <si>
    <t>Rose Namajunas vs. Carla Esparza</t>
  </si>
  <si>
    <t>Brad Frank 47 - 48.Rick Winter 46 - 49.Eric Colon 48 - 47.</t>
  </si>
  <si>
    <t>http://ufcstats.com/fight-details/9d61012a6020516e</t>
  </si>
  <si>
    <t>Rose Namajunas vs. Zhang Weili</t>
  </si>
  <si>
    <t>Doug Crosby 47 - 48.Eric Colon 46 - 49.Mike Bell 48 - 47.</t>
  </si>
  <si>
    <t>http://ufcstats.com/fight-details/19722043e7eb4e39</t>
  </si>
  <si>
    <t>Zhang Weili vs. Joanna Jedrzejczyk</t>
  </si>
  <si>
    <t>Mike Bell 47 - 48.Eric Colon 48 - 47.Derek Cleary 47 - 48.</t>
  </si>
  <si>
    <t>http://ufcstats.com/fight-details/cf0a6466b762c668</t>
  </si>
  <si>
    <t>Zhang Weili vs. Amanda Lemos</t>
  </si>
  <si>
    <t>Sal D'amato 43 - 50.Chris Lee 44 - 50.Nick Mahmood 45 - 49.</t>
  </si>
  <si>
    <t>http://ufcstats.com/fight-details/845e38dfbfea6e53</t>
  </si>
  <si>
    <t>Rose Namajunas vs. Joanna Jedrzejczyk</t>
  </si>
  <si>
    <t>Dave Tirelli 46 - 49.Glenn Trowbridge 46 - 49.Chris Lee 46 - 49.</t>
  </si>
  <si>
    <t>http://ufcstats.com/fight-details/829b3ee4145a1ae6</t>
  </si>
  <si>
    <t>Joanna Jedrzejczyk vs. Jessica Andrade</t>
  </si>
  <si>
    <t>Jeff Mullen 45 - 50.Sal D'amato 44 - 50.Troy Wincapaw 45 - 50.</t>
  </si>
  <si>
    <t>http://ufcstats.com/fight-details/0fd8214ac276728e</t>
  </si>
  <si>
    <t>Joanna Jedrzejczyk vs. Karolina Kowalkiewicz</t>
  </si>
  <si>
    <t>Cardo Urso 46 - 49.Jeff Mullen 46 - 49.Chris Lee 46 - 49.</t>
  </si>
  <si>
    <t>http://ufcstats.com/fight-details/4403857f545ede75</t>
  </si>
  <si>
    <t>Joanna Jedrzejczyk vs. Claudia Gadelha</t>
  </si>
  <si>
    <t>Dave Hagen 45 - 48.Jeff Mullen 46 - 48.Marcos Rosales 46 - 48.</t>
  </si>
  <si>
    <t>http://ufcstats.com/fight-details/6ab9d2d334f613c8</t>
  </si>
  <si>
    <t>Joanna Jedrzejczyk vs. Valerie Letourneau</t>
  </si>
  <si>
    <t>Anthony Dimitriou 46 - 49.Albert Shen 46 - 49.Evan Field 45 - 50.</t>
  </si>
  <si>
    <t>http://ufcstats.com/fight-details/391d458db6dae33b</t>
  </si>
  <si>
    <t>Jessica Andrade vs. Zhang Weili</t>
  </si>
  <si>
    <t>http://ufcstats.com/fight-details/357cf8a9b6737625</t>
  </si>
  <si>
    <t>Zhang Weili vs. Rose Namajunas</t>
  </si>
  <si>
    <t>http://ufcstats.com/fight-details/6d8da45352344964</t>
  </si>
  <si>
    <t>Joanna Jedrzejczyk vs. Rose Namajunas</t>
  </si>
  <si>
    <t>http://ufcstats.com/fight-details/fc29884851f9cebb</t>
  </si>
  <si>
    <t>Rose Namajunas vs. Jessica Andrade</t>
  </si>
  <si>
    <t>http://ufcstats.com/fight-details/07c00213ec388e07</t>
  </si>
  <si>
    <t>Joanna Jedrzejczyk vs. Jessica Penne</t>
  </si>
  <si>
    <t>http://ufcstats.com/fight-details/2f0cbf0502173a79</t>
  </si>
  <si>
    <t>Carla Esparza vs. Zhang Weili</t>
  </si>
  <si>
    <t>Rear Naked ChokeFrom back crucifix</t>
  </si>
  <si>
    <t>http://ufcstats.com/fight-details/85b5d59f8eea976a</t>
  </si>
  <si>
    <t>Kamaru Usman vs. Hayder Hassan</t>
  </si>
  <si>
    <t>Ultimate Fighter 21 Welterweight Tournament Title Bout</t>
  </si>
  <si>
    <t>http://ufcstats.com/fight-details/d4e3baff532df842</t>
  </si>
  <si>
    <t>Artem Lobov vs. Ryan Hall</t>
  </si>
  <si>
    <t>Ultimate Fighter 22 Lightweight Tournament Title Bout</t>
  </si>
  <si>
    <t>Sal D'amato 27 - 30.Derek Cleary 26 - 30.Junichiro Kamijo 26 - 30.</t>
  </si>
  <si>
    <t>http://ufcstats.com/fight-details/1123fceef316106e</t>
  </si>
  <si>
    <t>Andrew Sanchez vs. Khalil Rountree Jr.</t>
  </si>
  <si>
    <t>Ultimate Fighter 23 Light Heavyweight Tournament Title Bout</t>
  </si>
  <si>
    <t>Derek Cleary 25 - 30.Sal D'amato 25 - 30.Chris Lee 26 - 30.</t>
  </si>
  <si>
    <t>http://ufcstats.com/fight-details/9fc85aef42733a16</t>
  </si>
  <si>
    <t>Tatiana Suarez vs. Amanda Cooper</t>
  </si>
  <si>
    <t>Ultimate Fighter 23 Women's Strawweight Tournament Title Bout</t>
  </si>
  <si>
    <t>http://ufcstats.com/fight-details/f8b9b5ee3d4a8ac3</t>
  </si>
  <si>
    <t>Dhiego Lima vs. Jesse Taylor</t>
  </si>
  <si>
    <t>Ultimate Fighter 25 Welterweight Tournament Title Bout</t>
  </si>
  <si>
    <t>http://ufcstats.com/fight-details/5934de85b9c53e7c</t>
  </si>
  <si>
    <t>Jay Cucciniello vs. Brad Katona</t>
  </si>
  <si>
    <t>Ultimate Fighter 27 Featherweight Tournament Title Bout</t>
  </si>
  <si>
    <t>Mike Bell 26 - 30.Sal D'amato 26 - 30.Adalaide Byrd 26 - 30.</t>
  </si>
  <si>
    <t>http://ufcstats.com/fight-details/1901d27ea35ae733</t>
  </si>
  <si>
    <t>Michael Trizano vs. Joe Giannetti</t>
  </si>
  <si>
    <t>Ultimate Fighter 27 Lightweight Tournament Title Bout</t>
  </si>
  <si>
    <t>Dave Hagen 28 - 29.Glenn Trowbridge 29 - 28.Junichiro Kamijo 28 - 29.</t>
  </si>
  <si>
    <t>http://ufcstats.com/fight-details/1d8e2e8e3bd28cad</t>
  </si>
  <si>
    <t>Juan Espino vs. Justin Frazier</t>
  </si>
  <si>
    <t>Ultimate Fighter 28 Heavyweight Tournament Title Bout</t>
  </si>
  <si>
    <t>Armbar From Crucifix</t>
  </si>
  <si>
    <t>http://ufcstats.com/fight-details/cc73c73e6e3412d4</t>
  </si>
  <si>
    <t>Ultimate Fighter 28 Women's Featherweight Tournament Title Bout</t>
  </si>
  <si>
    <t>http://ufcstats.com/fight-details/d99b2abf50e9a03e</t>
  </si>
  <si>
    <t>Reginaldo Vieira vs. Dileno Lopes</t>
  </si>
  <si>
    <t>Ultimate Fighter Brazil 4 Bantamweight Tournament Title Bout</t>
  </si>
  <si>
    <t>Richard Bertrand 28 - 29.Hallison Pontes 27 - 30.Tony Weeks 27 - 30.</t>
  </si>
  <si>
    <t>http://ufcstats.com/fight-details/480aca1906276700</t>
  </si>
  <si>
    <t>Glaico Franca Moreira vs. Fernando Bruno</t>
  </si>
  <si>
    <t>Ultimate Fighter Brazil 4 Lightweight Tournament Title Bout</t>
  </si>
  <si>
    <t>http://ufcstats.com/fight-details/431e7931d8be8b5d</t>
  </si>
  <si>
    <t>Horacio Gutierrez vs. Enrique Barzola</t>
  </si>
  <si>
    <t>Ultimate Fighter Latin America 2 Lightweight Tournament Title Bout</t>
  </si>
  <si>
    <t>Derek Cleary 27 - 30.Roy Silbert 27 - 30.Marcos Rosales 26 - 30.</t>
  </si>
  <si>
    <t>http://ufcstats.com/fight-details/0cbeda449bc94af7</t>
  </si>
  <si>
    <t>Erick Montano vs. Enrique Marin</t>
  </si>
  <si>
    <t>Ultimate Fighter Latin America 2 Welterweight Tournament Title Bout</t>
  </si>
  <si>
    <t>Roy Silbert 28 - 29.Eric Colon 29 - 28.Cardo Urso 28 - 29.</t>
  </si>
  <si>
    <t>http://ufcstats.com/fight-details/06c124a55f77a7a5</t>
  </si>
  <si>
    <t>Martin Bravo vs. Claudio Puelles</t>
  </si>
  <si>
    <t>Ultimate Fighter Latin America 3 Lightweight Tournament Title Bout</t>
  </si>
  <si>
    <t>http://ufcstats.com/fight-details/43a941e005a2d463</t>
  </si>
  <si>
    <t>Alex Oliveira vs. Tim Means</t>
  </si>
  <si>
    <t>Knees by Means</t>
  </si>
  <si>
    <t>http://ufcstats.com/fight-details/9d4b2767f6630fc9</t>
  </si>
  <si>
    <t>Leon Edwards vs. Belal Muhammad</t>
  </si>
  <si>
    <t>Eye Poke by Edwards</t>
  </si>
  <si>
    <t>http://ufcstats.com/fight-details/2c13b938e0f8190b</t>
  </si>
  <si>
    <t>http://ufcstats.com/fight-details/b5ea6535748edbce</t>
  </si>
  <si>
    <t>Bryan Barberena vs. Jason Witt</t>
  </si>
  <si>
    <t>Tony Weeks 28 - 28.Mike Bell 27 - 29.Rick Winter 28 - 29.</t>
  </si>
  <si>
    <t>http://ufcstats.com/fight-details/9eef9b7967991296</t>
  </si>
  <si>
    <t>Demian Maia vs. Anthony Rocco Martin</t>
  </si>
  <si>
    <t>Chris Lee 28 - 29.Sal D'amato 28 - 29.Nick Palmer 28 - 28.</t>
  </si>
  <si>
    <t>http://ufcstats.com/fight-details/5fcf65d4de66c970</t>
  </si>
  <si>
    <t>Max Griffin vs. Zelim Imadaev</t>
  </si>
  <si>
    <t>Derek Cleary 27 - 29.Will Fisher 27 - 29.Mike Bell 28 - 28.</t>
  </si>
  <si>
    <t>http://ufcstats.com/fight-details/bf719cf83cab229b</t>
  </si>
  <si>
    <t>Michael Graves vs. Bojan Velickovic</t>
  </si>
  <si>
    <t>James Corbett 27 - 30.Derek Cleary 28 - 28.Jeff Mullen 28 - 28.</t>
  </si>
  <si>
    <t>http://ufcstats.com/fight-details/855338a9a68e4c9f</t>
  </si>
  <si>
    <t>Nicolas Dalby vs. Darren Till</t>
  </si>
  <si>
    <t>Mark Collett 29 - 28.Andy Roberts 28 - 28.Dean Weir 28 - 28.</t>
  </si>
  <si>
    <t>http://ufcstats.com/fight-details/2e0ae17a22a6f824</t>
  </si>
  <si>
    <t>Nate Diaz vs. Conor McGregor</t>
  </si>
  <si>
    <t>Derek Cleary 47 - 48.Glenn Trowbridge 47 - 47.Jeff Mullen 47 - 48.</t>
  </si>
  <si>
    <t>http://ufcstats.com/fight-details/648396cc751c730d</t>
  </si>
  <si>
    <t>Kevin Holland vs. Jack Della Maddalena</t>
  </si>
  <si>
    <t>Eric Colon 28 - 29.Mike Bell 29 - 28.Sal D'amato 28 - 29.</t>
  </si>
  <si>
    <t>http://ufcstats.com/fight-details/697efaf0d162e877</t>
  </si>
  <si>
    <t>Jack Della Maddalena vs. Bassil Hafez</t>
  </si>
  <si>
    <t>Junichiro Kamijo 28 - 29.Sal D'amato 29 - 28.Chris Lee 28 - 29.</t>
  </si>
  <si>
    <t>http://ufcstats.com/fight-details/3352c65f3f6d9b2a</t>
  </si>
  <si>
    <t>Neil Magny vs. Phil Rowe</t>
  </si>
  <si>
    <t>Barry Luxenberg 28 - 29.Chris Lee 29 - 28.Sal D'amato 28 - 29.</t>
  </si>
  <si>
    <t>http://ufcstats.com/fight-details/ced01368259428f5</t>
  </si>
  <si>
    <t>Abubakar Nurmagomedov vs. Elizeu Zaleski dos Santos</t>
  </si>
  <si>
    <t>Derek Cleary 29 - 28.Bryan Miner 28 - 29.Ron McCarthy 28 - 29.</t>
  </si>
  <si>
    <t>http://ufcstats.com/fight-details/a122968e96068800</t>
  </si>
  <si>
    <t>Khaos Williams vs. Rolando Bedoya</t>
  </si>
  <si>
    <t>Mike Bell 28 - 29.28 - 29.Derek Cleary 30 - 27.</t>
  </si>
  <si>
    <t>http://ufcstats.com/fight-details/4c9bbd9758be1168</t>
  </si>
  <si>
    <t>Jeremiah Wells vs. Matthew Semelsberger</t>
  </si>
  <si>
    <t>Eric Colon 27 - 30.Rick Winter 29 - 28.Junichiro Kamijo 27 - 30.</t>
  </si>
  <si>
    <t>http://ufcstats.com/fight-details/06d9fb9c995f1e4f</t>
  </si>
  <si>
    <t>Trevin Giles vs. Preston Parsons</t>
  </si>
  <si>
    <t>Gino Garcia 28 - 29.Sal D'amato 29 - 28.Jacob Montalvo 28 - 29.</t>
  </si>
  <si>
    <t>http://ufcstats.com/fight-details/07e39fd5f4f23270</t>
  </si>
  <si>
    <t>Warlley Alves vs. Nicolas Dalby</t>
  </si>
  <si>
    <t>Fabio Alves 28 - 29.Derek Cleary 29 - 28.Sal D'amato 28 - 29.</t>
  </si>
  <si>
    <t>http://ufcstats.com/fight-details/f09c3d8a26806761</t>
  </si>
  <si>
    <t>Tim Means vs. Max Griffin</t>
  </si>
  <si>
    <t>Ben Cartlidge 28 - 29.Eric Colon 29 - 28.Derek Cleary 27 - 30.</t>
  </si>
  <si>
    <t>http://ufcstats.com/fight-details/bf59d9f8bd9536f3</t>
  </si>
  <si>
    <t>Darian Weeks vs. Yohan Lainesse</t>
  </si>
  <si>
    <t>Mike Bell 28 - 29.Ron McCarthy 29 - 28.Tony Weeks 28 - 29.</t>
  </si>
  <si>
    <t>http://ufcstats.com/fight-details/86d57e8ef2191316</t>
  </si>
  <si>
    <t>Santiago Ponzinibbio vs. Michel Pereira</t>
  </si>
  <si>
    <t>Mike Bell 28 - 29.Ron McCarthy 27 - 30.Junichiro Kamijo 29 - 28.</t>
  </si>
  <si>
    <t>http://ufcstats.com/fight-details/5d4fb748ad246269</t>
  </si>
  <si>
    <t>Randy Brown vs. Khaos Williams</t>
  </si>
  <si>
    <t>Chris Lee 28 - 29.Rick Winter 29 - 28.Junichiro Kamijo 28 - 29.</t>
  </si>
  <si>
    <t>http://ufcstats.com/fight-details/8390441d93736719</t>
  </si>
  <si>
    <t>Matt Brown vs. Bryan Barberena</t>
  </si>
  <si>
    <t>Mike Bell 28 - 29.Andrew Adkins 29 - 28.Eric Colon 28 - 29.</t>
  </si>
  <si>
    <t>http://ufcstats.com/fight-details/f3c37e23ca30c87d</t>
  </si>
  <si>
    <t>Neil Magny vs. Max Griffin</t>
  </si>
  <si>
    <t>Eric Colon 28 - 29.Todd Schwarz 29 - 28.Sal D'amato 28 - 29.</t>
  </si>
  <si>
    <t>http://ufcstats.com/fight-details/3f92025b29e06bfd</t>
  </si>
  <si>
    <t>Geoff Neal vs. Santiago Ponzinibbio</t>
  </si>
  <si>
    <t>Derek Cleary 27 - 30.Doug Crosby 29 - 28.Sal D'amato 28 - 29.</t>
  </si>
  <si>
    <t>http://ufcstats.com/fight-details/2d0d13dfc6c37ba8</t>
  </si>
  <si>
    <t>Francisco Trinaldo vs. Dwight Grant</t>
  </si>
  <si>
    <t>Adalaide Byrd 27 - 29.Ron McCarthy 27 - 29.Sal D'amato 29 - 27.</t>
  </si>
  <si>
    <t>http://ufcstats.com/fight-details/587d373f18f6c8c0</t>
  </si>
  <si>
    <t>Danny Roberts vs. Ramazan Emeev</t>
  </si>
  <si>
    <t>Rick Winter 28 - 29.Sal D'amato 29 - 28.Chris Lee 27 - 30.</t>
  </si>
  <si>
    <t>http://ufcstats.com/fight-details/e3881a6895be3e9e</t>
  </si>
  <si>
    <t>Dwight Grant vs. Stefan Sekulic</t>
  </si>
  <si>
    <t>James Folsom</t>
  </si>
  <si>
    <t>Howard Reichbach 28 - 29.Derek Cleary 29 - 28.Chris Lee 28 - 29.</t>
  </si>
  <si>
    <t>http://ufcstats.com/fight-details/c5dfce1eaa2dc169</t>
  </si>
  <si>
    <t>David Zawada vs. Ramazan Emeev</t>
  </si>
  <si>
    <t>Ben Cartlidge 28 - 29.Mike Bell 29 - 28.David Lethaby 28 - 29.</t>
  </si>
  <si>
    <t>http://ufcstats.com/fight-details/3fcd53eb27945231</t>
  </si>
  <si>
    <t>Elizeu Zaleski dos Santos vs. Muslim Salikhov</t>
  </si>
  <si>
    <t>Lukasz Bosacki 27 - 30.David Lethaby 29 - 28.Clemens Werner 28 - 29.</t>
  </si>
  <si>
    <t>http://ufcstats.com/fight-details/ce7cd2ec773bea7f</t>
  </si>
  <si>
    <t>Alex Oliveira vs. Max Griffin</t>
  </si>
  <si>
    <t>Chris Lee 28 - 29.Sal D'amato 29 - 28.Dave Hagen 28 - 29.</t>
  </si>
  <si>
    <t>http://ufcstats.com/fight-details/4d607b6ddc77a34c</t>
  </si>
  <si>
    <t>Luke Jumeau vs. Dhiego Lima</t>
  </si>
  <si>
    <t>Garth Harriman 28 - 29.Christopher Shen 29 - 28.Charlie Keech 28 - 29.</t>
  </si>
  <si>
    <t>http://ufcstats.com/fight-details/fd0fd9a2d6ef8c4f</t>
  </si>
  <si>
    <t>Vicente Luque vs. Mike Perry</t>
  </si>
  <si>
    <t>Guilherme Bravo 29 - 28.Eric Colon 28 - 29.Joseph Terrell 28 - 29.</t>
  </si>
  <si>
    <t>http://ufcstats.com/fight-details/7feadf01c5920285</t>
  </si>
  <si>
    <t>Court McGee vs. Dhiego Lima</t>
  </si>
  <si>
    <t>Sal D'amato 27 - 30.Richard Bertrand 29 - 28.Chris Lee 28 - 29.</t>
  </si>
  <si>
    <t>http://ufcstats.com/fight-details/7c13de66ce543d84</t>
  </si>
  <si>
    <t>Alan Jouban vs. Dwight Grant</t>
  </si>
  <si>
    <t>Ken Coffey 28 - 29.Anthony Maness 30 - 27.Derek Cleary 28 - 29.</t>
  </si>
  <si>
    <t>http://ufcstats.com/fight-details/7dc87736c304b3dd</t>
  </si>
  <si>
    <t>Leon Edwards vs. Gunnar Nelson</t>
  </si>
  <si>
    <t>Howard Hughes 29 - 28.Anders Ohlsson 27 - 29.Andy Roberts 28 - 29.</t>
  </si>
  <si>
    <t>http://ufcstats.com/fight-details/e068f14acd47ed69</t>
  </si>
  <si>
    <t>Thiago Alves vs. Max Griffin</t>
  </si>
  <si>
    <t>Guilherme Bravo 28 - 29.Mike Bell 29 - 28.Hallison Pontes 28 - 29.</t>
  </si>
  <si>
    <t>http://ufcstats.com/fight-details/59097097bc09cdef</t>
  </si>
  <si>
    <t>Zak Ottow vs. Dwight Grant</t>
  </si>
  <si>
    <t>Brian Puccillo 29 - 28.Chris Lee 28 - 29.Rick Winter 28 - 29.</t>
  </si>
  <si>
    <t>http://ufcstats.com/fight-details/c0ab927864bb6e98</t>
  </si>
  <si>
    <t>Keita Nakamura vs. Salim Touahri</t>
  </si>
  <si>
    <t>Howie Booth 27 - 30.Howard Hughes 29 - 28.Charlie Keech 28 - 29.</t>
  </si>
  <si>
    <t>http://ufcstats.com/fight-details/94dcbc64641cbb6e</t>
  </si>
  <si>
    <t>Danny Roberts vs. David Zawada</t>
  </si>
  <si>
    <t>Takeo Kobayashi 30 - 27.Ben Cartlidge 28 - 29.Howard Hughes 28 - 29.</t>
  </si>
  <si>
    <t>http://ufcstats.com/fight-details/23e03d226eb7af80</t>
  </si>
  <si>
    <t>Paul Felder vs. Mike Perry</t>
  </si>
  <si>
    <t>Mike Bell 28 - 29.Dave Hagen 29 - 28.Chris Lee 28 - 29.</t>
  </si>
  <si>
    <t>http://ufcstats.com/fight-details/7a3947a0e7bc3558</t>
  </si>
  <si>
    <t>Brad Scott vs. Carlo Pedersoli Jr.</t>
  </si>
  <si>
    <t>Howard Hughes 28 - 29.Paul Sutherland 29 - 28.Andy Roberts 28 - 29.</t>
  </si>
  <si>
    <t>http://ufcstats.com/fight-details/3e9ddcd30fdc5d85</t>
  </si>
  <si>
    <t>Zak Cummings vs. Michel Prazeres</t>
  </si>
  <si>
    <t>Fabio Alves 28 - 29.Chris Lee 29 - 28.Marcelo Vilhena 28 - 29.</t>
  </si>
  <si>
    <t>http://ufcstats.com/fight-details/df0d4130944776d9</t>
  </si>
  <si>
    <t>Sergio Moraes vs. Tim Means</t>
  </si>
  <si>
    <t>Marcos Rosales 29 - 28.Phillipe Iorio 28 - 29.Tony Weeks 28 - 29.</t>
  </si>
  <si>
    <t>http://ufcstats.com/fight-details/eb0f7127f22457e9</t>
  </si>
  <si>
    <t>Tim Means vs. Belal Muhammad</t>
  </si>
  <si>
    <t>Kevin Manderson 28 - 29.Charlie Keech 29 - 28.Evan Field 28 - 29.</t>
  </si>
  <si>
    <t>http://ufcstats.com/fight-details/5ebe8d3849273776</t>
  </si>
  <si>
    <t>Jake Matthews vs. Bojan Velickovic</t>
  </si>
  <si>
    <t>Storm Oshyer 28 - 29.Kon Papaioannou 29 - 28.Anthony Dimitriou 28 - 29.</t>
  </si>
  <si>
    <t>http://ufcstats.com/fight-details/344bfe9c1ff511bb</t>
  </si>
  <si>
    <t>Keita Nakamura vs. Alex Morono</t>
  </si>
  <si>
    <t>Ben Cartlidge 28 - 29.Barry Foley 29 - 28.Charlie Keech 28 - 29.</t>
  </si>
  <si>
    <t>http://ufcstats.com/fight-details/296cc69bcc3c1635</t>
  </si>
  <si>
    <t>Lyman Good vs. Elizeu Zaleski dos Santos</t>
  </si>
  <si>
    <t>Doug Crosby 27 - 30.Cardo Urso 29 - 28.Jeff Mullen 27 - 30.</t>
  </si>
  <si>
    <t>http://ufcstats.com/fight-details/657fd7ab7bdf9f15</t>
  </si>
  <si>
    <t>Kiichi Kunimoto vs. Zak Ottow</t>
  </si>
  <si>
    <t>Peter Hickmont 28 - 29.Luke Hill 29 - 28.Charlie Keech 28 - 29.</t>
  </si>
  <si>
    <t>http://ufcstats.com/fight-details/1b1d1900b4051344</t>
  </si>
  <si>
    <t>Abdul Razak Alhassan vs. Omari Akhmedov</t>
  </si>
  <si>
    <t>Mans Nilsson 27 - 30.Jorgen Segerlind 29 - 28.Andy Roberts 27 - 30.</t>
  </si>
  <si>
    <t>http://ufcstats.com/fight-details/78e38f1ad43c3479</t>
  </si>
  <si>
    <t>Demian Maia vs. Jorge Masvidal</t>
  </si>
  <si>
    <t>Jeff Mullen 28 - 29.Aladin Martinez 29 - 28.Sal D'amato 28 - 29.</t>
  </si>
  <si>
    <t>http://ufcstats.com/fight-details/6e3139f066149a81</t>
  </si>
  <si>
    <t>Dong Hyun Kim vs. Tarec Saffiedine</t>
  </si>
  <si>
    <t>Glenn Trowbridge 30 - 27.Jeff Mullen 28 - 29.Derek Cleary 28 - 29.</t>
  </si>
  <si>
    <t>http://ufcstats.com/fight-details/3d07a533feca7458</t>
  </si>
  <si>
    <t>Bojan Velickovic vs. Sultan Aliev</t>
  </si>
  <si>
    <t>Brandon Saucedo 29 - 28.Mike Guingona 27 - 30.Ron McCarthy 27 - 30.</t>
  </si>
  <si>
    <t>http://ufcstats.com/fight-details/1ca4274019680d23</t>
  </si>
  <si>
    <t>Sergio Moraes vs. Zak Ottow</t>
  </si>
  <si>
    <t>Hallison Pontes 29 - 28.Joseph Terrell 27 - 30.Guilherme Bravo 27 - 30.</t>
  </si>
  <si>
    <t>http://ufcstats.com/fight-details/edcf1d6a1bd8acc7</t>
  </si>
  <si>
    <t>Joshua Burkman vs. Zak Ottow</t>
  </si>
  <si>
    <t>Sal D'amato 28 - 29.Glenn Trowbridge 29 - 28.Jeff Mullen 28 - 29.</t>
  </si>
  <si>
    <t>http://ufcstats.com/fight-details/21b361d723fcf3cd</t>
  </si>
  <si>
    <t>Roan Carneiro vs. Kenny Robertson</t>
  </si>
  <si>
    <t>Marcos Rosales 28 - 29.Hector Maldonado 27 - 30.Guadalupe Chapa 29 - 28.</t>
  </si>
  <si>
    <t>http://ufcstats.com/fight-details/054f1423ba7c121e</t>
  </si>
  <si>
    <t>Jessin Ayari vs. Jim Wallhead</t>
  </si>
  <si>
    <t>Ben Cartlidge 29 - 28.Takeo Kobayashi 28 - 29.Paul Sutherland 27 - 30.</t>
  </si>
  <si>
    <t>http://ufcstats.com/fight-details/d6389fa434e86916</t>
  </si>
  <si>
    <t>Sean Strickland vs. Tom Breese</t>
  </si>
  <si>
    <t>Jeff Mullen 28 - 29.Mike Bell 29 - 28.Wade Vierra 28 - 29.</t>
  </si>
  <si>
    <t>http://ufcstats.com/fight-details/3e020d62796a7ce3</t>
  </si>
  <si>
    <t>Jorge Masvidal vs. Lorenz Larkin</t>
  </si>
  <si>
    <t>Glenn Trowbridge 28 - 29.Adalaide Byrd 29 - 28.Dave Hagen 28 - 29.</t>
  </si>
  <si>
    <t>http://ufcstats.com/fight-details/8d975de5d033ccde</t>
  </si>
  <si>
    <t>Sergio Moraes vs. Luan Chagas</t>
  </si>
  <si>
    <t>Tony Weeks 28 - 29.Alessandro Vieira 29 - 28.Joseph Terrell 28 - 28.</t>
  </si>
  <si>
    <t>http://ufcstats.com/fight-details/bc6100e6dd239db7</t>
  </si>
  <si>
    <t>Lorenz Larkin vs. Albert Tumenov</t>
  </si>
  <si>
    <t>http://ufcstats.com/fight-details/050eb872a69c66bd</t>
  </si>
  <si>
    <t>Kyle Noke vs. Alex Morono</t>
  </si>
  <si>
    <t>Sal D'amato 28 - 29.Patricia Morse-Jarman 30 - 27.Chris Lee 28 - 29.</t>
  </si>
  <si>
    <t>http://ufcstats.com/fight-details/454861874ecc52d7</t>
  </si>
  <si>
    <t>Yoshihiro Akiyama vs. Alberto Mina</t>
  </si>
  <si>
    <t>Evan Field 28 - 29.Mark Craig 29 - 28.Barry Foley 28 - 29.</t>
  </si>
  <si>
    <t>http://ufcstats.com/fight-details/caef4f8801f39345</t>
  </si>
  <si>
    <t>Kenny Robertson vs. Ben Saunders</t>
  </si>
  <si>
    <t>Kelvin Caldwell 28 - 29.Sal D'amato 29 - 28.Rick Winter 28 - 29.</t>
  </si>
  <si>
    <t>http://ufcstats.com/fight-details/e8f499827178a321</t>
  </si>
  <si>
    <t>Cathal Pendred vs. John Howard</t>
  </si>
  <si>
    <t>Marcos Rosales 28 - 29.Tony Weeks 29 - 28.Adalaide Byrd 28 - 29.</t>
  </si>
  <si>
    <t>http://ufcstats.com/fight-details/2c5d329bdf182468</t>
  </si>
  <si>
    <t>Elizeu Zaleski dos Santos vs. Nicolas Dalby</t>
  </si>
  <si>
    <t>Guilherme Bravo 28 - 29.Rick Winter 29 - 28.Felipe Frank 28 - 29.</t>
  </si>
  <si>
    <t>http://ufcstats.com/fight-details/7af604e5aa43bb3b</t>
  </si>
  <si>
    <t>Kyle Noke vs. Jonavin Webb</t>
  </si>
  <si>
    <t>Christopher Shen 30 - 27.Barry Foley 28 - 29.Charlie Keech 28 - 29.</t>
  </si>
  <si>
    <t>http://ufcstats.com/fight-details/43baf5b905686ebf</t>
  </si>
  <si>
    <t>Benson Henderson vs. Jorge Masvidal</t>
  </si>
  <si>
    <t>Barry Foley 47 - 48.Mark Craig 48 - 47.Charlie Keech 46 - 49.</t>
  </si>
  <si>
    <t>http://ufcstats.com/fight-details/982f4f96b6d0f346</t>
  </si>
  <si>
    <t>Neil Magny vs. Kelvin Gastelum</t>
  </si>
  <si>
    <t>Marcos Rosales 47 - 48.Cardo Urso 48 - 47.Eric Colon 47 - 48.</t>
  </si>
  <si>
    <t>http://ufcstats.com/fight-details/d3ccf71e68480007</t>
  </si>
  <si>
    <t>http://ufcstats.com/fight-details/eb76a5b76a68e4c4</t>
  </si>
  <si>
    <t>Blood Diamond vs. Charles Radtke</t>
  </si>
  <si>
    <t>Chris Aliendi 27 - 29.Mark Collett 27 - 29.David Lethaby 27 - 29.</t>
  </si>
  <si>
    <t>http://ufcstats.com/fight-details/56809feb4fe7ea61</t>
  </si>
  <si>
    <t>Ange Loosa vs. Rhys McKee</t>
  </si>
  <si>
    <t>Christophe Chapuis 27 - 30.David Lethaby 28 - 29.Darryl Ransom 28 - 29.</t>
  </si>
  <si>
    <t>http://ufcstats.com/fight-details/1be27d95bba03f17</t>
  </si>
  <si>
    <t>Neil Magny vs. Ian Garry</t>
  </si>
  <si>
    <t>Ben Cartlidge 26 - 30.Marcel Valera 26 - 30.David Ginsberg 24 - 30.</t>
  </si>
  <si>
    <t>http://ufcstats.com/fight-details/78d2c01dc963f204</t>
  </si>
  <si>
    <t>Max Griffin vs. Michael Morales</t>
  </si>
  <si>
    <t>Eric Colon 28 - 29.Junichiro Kamijo 28 - 29.Ron McCarthy 28 - 29.</t>
  </si>
  <si>
    <t>http://ufcstats.com/fight-details/0548a24a9bf8d7a0</t>
  </si>
  <si>
    <t>Randy Brown vs. Wellington Turman</t>
  </si>
  <si>
    <t>Barry Luxenberg 28 - 29.Sal D'amato 28 - 29.Chris Lee 28 - 29.</t>
  </si>
  <si>
    <t>http://ufcstats.com/fight-details/42922bab8a3e1828</t>
  </si>
  <si>
    <t>Nicolas Dalby vs. Muslim Salikhov</t>
  </si>
  <si>
    <t>Derek Cleary 27 - 30.Sal D'amato 27 - 30.Mike Bell 28 - 29.</t>
  </si>
  <si>
    <t>http://ufcstats.com/fight-details/870672b1b443311e</t>
  </si>
  <si>
    <t>Takashi Sato vs. Themba Gorimbo</t>
  </si>
  <si>
    <t>Mike Bell 27 - 30.Junichiro Kamijo 27 - 30.Tony Weeks 27 - 30.</t>
  </si>
  <si>
    <t>http://ufcstats.com/fight-details/8502f245aabd64ac</t>
  </si>
  <si>
    <t>Josh Quinlan vs. Trey Waters</t>
  </si>
  <si>
    <t>http://ufcstats.com/fight-details/c02d44564cb006a9</t>
  </si>
  <si>
    <t>Gilbert Burns vs. Jorge Masvidal</t>
  </si>
  <si>
    <t>Dave Tirelli 27 - 30.Chris Lee 27 - 30.Eric Colon 28 - 29.</t>
  </si>
  <si>
    <t>http://ufcstats.com/fight-details/71ea7d7985dad804</t>
  </si>
  <si>
    <t>Carlston Harris vs. Jared Gooden</t>
  </si>
  <si>
    <t>Eric Colon 27 - 30.Junichiro Kamijo 27 - 30.Bryan Miner 27 - 30.</t>
  </si>
  <si>
    <t>http://ufcstats.com/fight-details/ccb5e29cd0347110</t>
  </si>
  <si>
    <t>Jake Matthews vs. Matthew Semelsberger</t>
  </si>
  <si>
    <t>Ron McCarthy 27 - 30.Mike Bell 28 - 29.Chris Lee 28 - 29.</t>
  </si>
  <si>
    <t>http://ufcstats.com/fight-details/5f4e944ff1bdcd9c</t>
  </si>
  <si>
    <t>Bryan Battle vs. Rinat Fakhretdinov</t>
  </si>
  <si>
    <t>Adalaide Byrd 25 - 30.Junichiro Kamijo 25 - 30.Ron McCarthy 27 - 30.</t>
  </si>
  <si>
    <t>http://ufcstats.com/fight-details/8f00da6ea8186ce2</t>
  </si>
  <si>
    <t>Abubakar Nurmagomedov vs. Gadzhi Omargadzhiev</t>
  </si>
  <si>
    <t>Ben Cartlidge 28 - 29.Vito Paolillo 28 - 29.Anders Ohlsson 27 - 30.</t>
  </si>
  <si>
    <t>http://ufcstats.com/fight-details/cea6760d7bfbe19b</t>
  </si>
  <si>
    <t>Randy Brown vs. Francisco Trinaldo</t>
  </si>
  <si>
    <t>Chris Lee 28 - 29.Sal D'amato 28 - 29.Eric Colon 28 - 29.</t>
  </si>
  <si>
    <t>http://ufcstats.com/fight-details/7d0d2cecab358ba1</t>
  </si>
  <si>
    <t>Trevin Giles vs. Louis Cosce</t>
  </si>
  <si>
    <t>Anthony Maness 27 - 30.Chris Lee 28 - 29.Junichiro Kamijo 28 - 29.</t>
  </si>
  <si>
    <t>http://ufcstats.com/fight-details/46b9acec12a35d37</t>
  </si>
  <si>
    <t>AJ Fletcher vs. Ange Loosa</t>
  </si>
  <si>
    <t>Chris Lee 28 - 29.Dan Furse 28 - 29.Sal D'amato 27 - 29.</t>
  </si>
  <si>
    <t>http://ufcstats.com/fight-details/4dac5258f22be059</t>
  </si>
  <si>
    <t>Alex Morono vs. Matthew Semelsberger</t>
  </si>
  <si>
    <t>Kent Basinger 27 - 30.Seth Fuller 28 - 29.Steve Armstrong 28 - 29.</t>
  </si>
  <si>
    <t>http://ufcstats.com/fight-details/579b5770129b328a</t>
  </si>
  <si>
    <t>Orion Cosce vs. Blood Diamond</t>
  </si>
  <si>
    <t>Dan Mathisen 28 - 29.Seth Fuller 28 - 29.Kent Basinger 28 - 29.</t>
  </si>
  <si>
    <t>http://ufcstats.com/fight-details/66f7bb31d24b3b36</t>
  </si>
  <si>
    <t>Claudio Silva vs. Nicolas Dalby</t>
  </si>
  <si>
    <t>Ben Cartlidge 28 - 29.David Lethaby 28 - 29.Anders Ohlsson 27 - 29.</t>
  </si>
  <si>
    <t>http://ufcstats.com/fight-details/1c84dafe38694c05</t>
  </si>
  <si>
    <t>Ian Garry vs. Gabe Green</t>
  </si>
  <si>
    <t>Derek Cleary 27 - 30.Adalaide Byrd 27 - 30.Junichiro Kamijo 27 - 30.</t>
  </si>
  <si>
    <t>http://ufcstats.com/fight-details/4d8d1701c43c5fea</t>
  </si>
  <si>
    <t>Rinat Fakhretdinov vs. Andreas Michailidis</t>
  </si>
  <si>
    <t>Tony Weeks 26 - 30.Chris Lee 26 - 30.Doug Crosby 27 - 30.</t>
  </si>
  <si>
    <t>http://ufcstats.com/fight-details/a09447d185a62251</t>
  </si>
  <si>
    <t>Francisco Trinaldo vs. Danny Roberts</t>
  </si>
  <si>
    <t>Chris Flores 27 - 30.Junichiro Kamijo 26 - 30.Eric Colon 28 - 29.</t>
  </si>
  <si>
    <t>http://ufcstats.com/fight-details/6a902b97ac98c283</t>
  </si>
  <si>
    <t>Preston Parsons vs. Evan Elder</t>
  </si>
  <si>
    <t>Ron McCarthy 26 - 30.Rick Winter 27 - 30.Junichiro Kamijo 27 - 30.</t>
  </si>
  <si>
    <t>http://ufcstats.com/fight-details/e4d946470fd150fe</t>
  </si>
  <si>
    <t>Mounir Lazzez vs. Ange Loosa</t>
  </si>
  <si>
    <t>Mike Bell 27 - 30.Doug Crosby 27 - 30.Junichiro Kamijo 27 - 30.</t>
  </si>
  <si>
    <t>http://ufcstats.com/fight-details/559031e51ced0b53</t>
  </si>
  <si>
    <t>Gilbert Burns vs. Khamzat Chimaev</t>
  </si>
  <si>
    <t>Troy Wincapaw 28 - 29.Chris Lee 28 - 29.Eric Colon 28 - 29.</t>
  </si>
  <si>
    <t>http://ufcstats.com/fight-details/394b0347b0438622</t>
  </si>
  <si>
    <t>Ian Garry vs. Darian Weeks</t>
  </si>
  <si>
    <t>Eric Colon 28 - 29.Troy Wincapaw 27 - 30.Derek Cleary 27 - 30.</t>
  </si>
  <si>
    <t>http://ufcstats.com/fight-details/313b85fe82b2ba80</t>
  </si>
  <si>
    <t>Gunnar Nelson vs. Takashi Sato</t>
  </si>
  <si>
    <t>David Lethaby 26 - 30.Anders Ohlsson 26 - 30.Paul Sutherland 26 - 30.</t>
  </si>
  <si>
    <t>http://ufcstats.com/fight-details/bcd1e1d71a172d53</t>
  </si>
  <si>
    <t>Matthew Semelsberger vs. AJ Fletcher</t>
  </si>
  <si>
    <t>Mike Bell 28 - 29.Sal D'amato 28 - 29.Dave Hagen 28 - 29.</t>
  </si>
  <si>
    <t>http://ufcstats.com/fight-details/3b06c512abfa0494</t>
  </si>
  <si>
    <t>Michel Pereira vs. Andre Fialho</t>
  </si>
  <si>
    <t>Doug Crosby 28 - 29.Sal D'amato 28 - 29.Derek Cleary 28 - 29.</t>
  </si>
  <si>
    <t>http://ufcstats.com/fight-details/5ba543efdce072f5</t>
  </si>
  <si>
    <t>Court McGee vs. Ramiz Brahimaj</t>
  </si>
  <si>
    <t>http://ufcstats.com/fight-details/3738135e4c9d8273</t>
  </si>
  <si>
    <t>Stephen Thompson vs. Belal Muhammad</t>
  </si>
  <si>
    <t>Mike Bell 25 - 30.Doug Crosby 26 - 30.Sal D'amato 26 - 30.</t>
  </si>
  <si>
    <t>http://ufcstats.com/fight-details/8b3b38167060b1d7</t>
  </si>
  <si>
    <t>Alex Morono vs. Mickey Gall</t>
  </si>
  <si>
    <t>Derek Cleary 27 - 30.Sal D'amato 27 - 30.Adalaide Byrd 27 - 30.</t>
  </si>
  <si>
    <t>http://ufcstats.com/fight-details/657b7da9c89352fe</t>
  </si>
  <si>
    <t>Bryan Barberena vs. Darian Weeks</t>
  </si>
  <si>
    <t>http://ufcstats.com/fight-details/405bded9cc7a7c15</t>
  </si>
  <si>
    <t>Michael Chiesa vs. Sean Brady</t>
  </si>
  <si>
    <t>Eric Colon 28 - 29.Doug Crosby 28 - 29.Junichiro Kamijo 28 - 29.</t>
  </si>
  <si>
    <t>http://ufcstats.com/fight-details/50bf4bb2f8d9aba4</t>
  </si>
  <si>
    <t>Elizeu Zaleski dos Santos vs. Benoit Saint Denis</t>
  </si>
  <si>
    <t>David Lethaby 26 - 29.Anders Ohlsson 26 - 29.Clemens Werner 26 - 29.</t>
  </si>
  <si>
    <t>http://ufcstats.com/fight-details/efc6af0151f72b87</t>
  </si>
  <si>
    <t>Randy Brown vs. Jared Gooden</t>
  </si>
  <si>
    <t>Rick Winter 27 - 30.Sal D'amato 27 - 30.Dave Hagen 27 - 30.</t>
  </si>
  <si>
    <t>http://ufcstats.com/fight-details/d5ffdb5388ffabc6</t>
  </si>
  <si>
    <t>Alex Oliveira vs. Niko Price</t>
  </si>
  <si>
    <t>http://ufcstats.com/fight-details/9c33c8d4a381ba70</t>
  </si>
  <si>
    <t>Alex Morono vs. David Zawada</t>
  </si>
  <si>
    <t>Derek Cleary 27 - 30.Sal D'amato 27 - 30.Bryan Miner 27 - 30.</t>
  </si>
  <si>
    <t>http://ufcstats.com/fight-details/f09912e9d8eaa968</t>
  </si>
  <si>
    <t>Kevin Lee vs. Daniel Rodriguez</t>
  </si>
  <si>
    <t>Sal D'amato 28 - 29.Dave Hagen 28 - 29.Ron McCarthy 28 - 29.</t>
  </si>
  <si>
    <t>http://ufcstats.com/fight-details/089a17e450cc98aa</t>
  </si>
  <si>
    <t>Gilbert Burns vs. Stephen Thompson</t>
  </si>
  <si>
    <t>Ron McCarthy 28 - 29.Sal D'amato 28 - 29.Mike Bell 28 - 29.</t>
  </si>
  <si>
    <t>http://ufcstats.com/fight-details/8245791a3d3403c6</t>
  </si>
  <si>
    <t>Carlos Condit vs. Max Griffin</t>
  </si>
  <si>
    <t>Ron McCarthy 28 - 29.Sal D'amato 28 - 29.Derek Cleary 27 - 30.</t>
  </si>
  <si>
    <t>http://ufcstats.com/fight-details/7070abfa26c079b8</t>
  </si>
  <si>
    <t>Niko Price vs. Michel Pereira</t>
  </si>
  <si>
    <t>Junichiro Kamijo 28 - 29.Adalaide Byrd 28 - 29.Mike Bell 28 - 29.</t>
  </si>
  <si>
    <t>http://ufcstats.com/fight-details/96bbb6c573dac27a</t>
  </si>
  <si>
    <t>Tim Means vs. Nicolas Dalby</t>
  </si>
  <si>
    <t>Tony Weeks 28 - 29.Junichiro Kamijo 28 - 29.Mike Bell 28 - 29.</t>
  </si>
  <si>
    <t>http://ufcstats.com/fight-details/c9283da5f4d7aaf4</t>
  </si>
  <si>
    <t>Khaos Williams vs. Matthew Semelsberger</t>
  </si>
  <si>
    <t>Rick Winter 27 - 30.Dave Hagen 28 - 29.Mike Bell 28 - 29.</t>
  </si>
  <si>
    <t>http://ufcstats.com/fight-details/87c8e086c29ae543</t>
  </si>
  <si>
    <t>Demian Maia vs. Belal Muhammad</t>
  </si>
  <si>
    <t>Chris Lee 28 - 29.Chris Flores 28 - 29.Sal D'amato 27 - 30.</t>
  </si>
  <si>
    <t>http://ufcstats.com/fight-details/43dfb2c1e5fecac9</t>
  </si>
  <si>
    <t>Santiago Ponzinibbio vs. Miguel Baeza</t>
  </si>
  <si>
    <t>http://ufcstats.com/fight-details/5c0e5d850d8e661f</t>
  </si>
  <si>
    <t>Francisco Trinaldo vs. Muslim Salikhov</t>
  </si>
  <si>
    <t>http://ufcstats.com/fight-details/23b943e9ce495f0b</t>
  </si>
  <si>
    <t>Court McGee vs. Claudio Silva</t>
  </si>
  <si>
    <t>Adalaide Byrd 26 - 30.Derek Cleary 26 - 30.Mike Bell 27 - 29.</t>
  </si>
  <si>
    <t>http://ufcstats.com/fight-details/e624d85a0d718578</t>
  </si>
  <si>
    <t>Neil Magny vs. Geoff Neal</t>
  </si>
  <si>
    <t>Derek Cleary 28 - 29.Sal D'amato 28 - 29.Ron McCarthy 27 - 30.</t>
  </si>
  <si>
    <t>http://ufcstats.com/fight-details/178c4926223dca0c</t>
  </si>
  <si>
    <t>Mike Perry vs. Daniel Rodriguez</t>
  </si>
  <si>
    <t>Derek Cleary 27 - 30.Junichiro Kamijo 27 - 30.Tony Weeks 26 - 30.</t>
  </si>
  <si>
    <t>http://ufcstats.com/fight-details/ac9a8b73e58f3d71</t>
  </si>
  <si>
    <t>Jared Gooden vs. Abubakar Nurmagomedov</t>
  </si>
  <si>
    <t>Dave Hagen 27 - 30.Derek Cleary 27 - 30.Mike Bell 27 - 30.</t>
  </si>
  <si>
    <t>http://ufcstats.com/fight-details/4b3af85b0df51d09</t>
  </si>
  <si>
    <t>Belal Muhammad vs. Dhiego Lima</t>
  </si>
  <si>
    <t>Jerin Valel 27 - 30.Sal D'amato 27 - 30.Derek Cleary 27 - 30.</t>
  </si>
  <si>
    <t>http://ufcstats.com/fight-details/8cf076524cad5a55</t>
  </si>
  <si>
    <t>Gabe Green vs. Phil Rowe</t>
  </si>
  <si>
    <t>Tony Weeks 27 - 30.Dave Hagen 28 - 29.Eric Colon 28 - 29.</t>
  </si>
  <si>
    <t>http://ufcstats.com/fight-details/357c5b86ec83b826</t>
  </si>
  <si>
    <t>Carlos Condit vs. Matt Brown</t>
  </si>
  <si>
    <t>Anders Ohlsson 27 - 30.Paul Sutherland 27 - 30.Clemens Werner 27 - 30.</t>
  </si>
  <si>
    <t>http://ufcstats.com/fight-details/6b0da0b1cda7799f</t>
  </si>
  <si>
    <t>Michel Pereira vs. Khaos Williams</t>
  </si>
  <si>
    <t>Mike Bell 28 - 29.Eric Colon 28 - 29.Tony Weeks 28 - 29.</t>
  </si>
  <si>
    <t>http://ufcstats.com/fight-details/3d35eb2d46bf74de</t>
  </si>
  <si>
    <t>Anthony Pettis vs. Alex Morono</t>
  </si>
  <si>
    <t>Derek Cleary 28 - 29.Eric Colon 28 - 29.Ron McCarthy 28 - 29.</t>
  </si>
  <si>
    <t>http://ufcstats.com/fight-details/1c4602efe5587902</t>
  </si>
  <si>
    <t>Mike Perry vs. Tim Means</t>
  </si>
  <si>
    <t>Dave Hagen 27 - 30.Chris Lee 28 - 29.Mike Bell 28 - 29.</t>
  </si>
  <si>
    <t>http://ufcstats.com/fight-details/2b13651b97f57b6c</t>
  </si>
  <si>
    <t>Daniel Rodriguez vs. Nicolas Dalby</t>
  </si>
  <si>
    <t>Tony Weeks 27 - 30.Anthony Maness 28 - 29.Derek Cleary 28 - 29.</t>
  </si>
  <si>
    <t>http://ufcstats.com/fight-details/e22d5aab3d099c7c</t>
  </si>
  <si>
    <t>Alan Jouban vs. Jared Gooden</t>
  </si>
  <si>
    <t>Dave Hagen 27 - 30.Eric Colon 27 - 30.Mike Bell 27 - 30.</t>
  </si>
  <si>
    <t>http://ufcstats.com/fight-details/a02764f92a84dd36</t>
  </si>
  <si>
    <t>Alex Morono vs. Rhys McKee</t>
  </si>
  <si>
    <t>Rick Winter 27 - 30.Junichiro Kamijo 27 - 30.Mike Bell 27 - 30.</t>
  </si>
  <si>
    <t>http://ufcstats.com/fight-details/d80fd2ec736f7df2</t>
  </si>
  <si>
    <t>Claudio Silva vs. James Krause</t>
  </si>
  <si>
    <t>http://ufcstats.com/fight-details/4eb5f99202f5fe97</t>
  </si>
  <si>
    <t>Carlos Condit vs. Court McGee</t>
  </si>
  <si>
    <t>Anders Ohlsson 27 - 30.Dave Tirelli 27 - 30.Clemens Werner 27 - 30.</t>
  </si>
  <si>
    <t>http://ufcstats.com/fight-details/24ff0bb908095565</t>
  </si>
  <si>
    <t>Diego Sanchez vs. Jake Matthews</t>
  </si>
  <si>
    <t>Anders Ohlsson 26 - 30.Dave Tirelli 26 - 30.Clemens Werner 26 - 30.</t>
  </si>
  <si>
    <t>http://ufcstats.com/fight-details/73dbbdfcf7f989c0</t>
  </si>
  <si>
    <t>Bryan Barberena vs. Anthony Ivy</t>
  </si>
  <si>
    <t>Rick Winter 27 - 30.Junichiro Kamijo 27 - 30.Dave Hagen 28 - 29.</t>
  </si>
  <si>
    <t>http://ufcstats.com/fight-details/463fc1fd1f17befb</t>
  </si>
  <si>
    <t>Robbie Lawler vs. Neil Magny</t>
  </si>
  <si>
    <t>Mike Bell 27 - 30.Derek Cleary 27 - 30.Ron McCarthy 27 - 30.</t>
  </si>
  <si>
    <t>http://ufcstats.com/fight-details/864cddd6e165ea2d</t>
  </si>
  <si>
    <t>Carlton Minus vs. Matthew Semelsberger</t>
  </si>
  <si>
    <t>Mike Bell 26 - 30.Ron McCarthy 27 - 30.Anthony Maness 28 - 29.</t>
  </si>
  <si>
    <t>http://ufcstats.com/fight-details/949619e1b1de9e5f</t>
  </si>
  <si>
    <t>Tim Means vs. Laureano Staropoli</t>
  </si>
  <si>
    <t>Junichiro Kamijo 27 - 30.Ron McCarthy 28 - 29.Derek Cleary 28 - 29.</t>
  </si>
  <si>
    <t>http://ufcstats.com/fight-details/6f1892ed71d943d7</t>
  </si>
  <si>
    <t>Alex Oliveira vs. Peter Sobotta</t>
  </si>
  <si>
    <t>Ben Cartlidge 27 - 30.Anders Ohlsson 27 - 30.Vito Paolillo 27 - 30.</t>
  </si>
  <si>
    <t>http://ufcstats.com/fight-details/58e07add007685f8</t>
  </si>
  <si>
    <t>Ramazan Emeev vs. Niklas Stolze</t>
  </si>
  <si>
    <t>Ben Cartlidge 27 - 30.Anders Ohlsson 27 - 30.Vito Paolillo 28 - 29.</t>
  </si>
  <si>
    <t>http://ufcstats.com/fight-details/87daaa6db4f6940c</t>
  </si>
  <si>
    <t>Abdul Razak Alhassan vs. Mounir Lazzez</t>
  </si>
  <si>
    <t>Ben Cartlidge 27 - 30.Clemens Werner 27 - 30.Vito Paolillo 28 - 29.</t>
  </si>
  <si>
    <t>http://ufcstats.com/fight-details/33d2a1dbb8a7fef5</t>
  </si>
  <si>
    <t>Mike Perry vs. Mickey Gall</t>
  </si>
  <si>
    <t>http://ufcstats.com/fight-details/f2d9814936a6eb35</t>
  </si>
  <si>
    <t>Belal Muhammad vs. Lyman Good</t>
  </si>
  <si>
    <t>Derek Cleary 28 - 29.Chris Lee 28 - 29.Ron McCarthy 28 - 29.</t>
  </si>
  <si>
    <t>http://ufcstats.com/fight-details/f00921c62315be96</t>
  </si>
  <si>
    <t>Neil Magny vs. Anthony Rocco Martin</t>
  </si>
  <si>
    <t>Rick Winter 27 - 30.Dave Hagen 27 - 30.Eric Colon 28 - 29.</t>
  </si>
  <si>
    <t>http://ufcstats.com/fight-details/8bede5047e97d602</t>
  </si>
  <si>
    <t>Daniel Rodriguez vs. Gabe Green</t>
  </si>
  <si>
    <t>http://ufcstats.com/fight-details/767819f321431bed</t>
  </si>
  <si>
    <t>Anthony Pettis vs. Donald Cerrone</t>
  </si>
  <si>
    <t>Dave Tirelli 28 - 29.Troy Wincapaw 28 - 29.Sal D'amato 28 - 29.</t>
  </si>
  <si>
    <t>http://ufcstats.com/fight-details/b9abcce29378e5cc</t>
  </si>
  <si>
    <t>Elizeu Zaleski dos Santos vs. Aleksei Kunchenko</t>
  </si>
  <si>
    <t>Sal D'amato 28 - 29.Joseph Terrell 28 - 29.Guilherme Bravo 28 - 29.</t>
  </si>
  <si>
    <t>http://ufcstats.com/fight-details/9fc6aba53508dc48</t>
  </si>
  <si>
    <t>Neil Magny vs. Li Jingliang</t>
  </si>
  <si>
    <t>Derek Cleary 27 - 30.Eric Colon 27 - 30.Junichiro Kamijo 27 - 30.</t>
  </si>
  <si>
    <t>http://ufcstats.com/fight-details/d66a8591af39ca7b</t>
  </si>
  <si>
    <t>Sean Brady vs. Ismail Naurdiev</t>
  </si>
  <si>
    <t>Brian Costello 28 - 29.Chris Lee 27 - 29.Lisa Cuellar 27 - 30.</t>
  </si>
  <si>
    <t>http://ufcstats.com/fight-details/533d0b5c0adfa15f</t>
  </si>
  <si>
    <t>Jake Matthews vs. Emil Meek</t>
  </si>
  <si>
    <t>Howie Booth 28 - 29.Barry Foley 28 - 29.Mark Rodgers 28 - 29.</t>
  </si>
  <si>
    <t>http://ufcstats.com/fight-details/3bd20b66b585d621</t>
  </si>
  <si>
    <t>Rafael Dos Anjos vs. Michael Chiesa</t>
  </si>
  <si>
    <t>Tony Weeks 27 - 30.Chris Lee 28 - 29.Eric Colon 28 - 29.</t>
  </si>
  <si>
    <t>http://ufcstats.com/fight-details/2ef54419defb2364</t>
  </si>
  <si>
    <t>Ramazan Emeev vs. Anthony Rocco Martin</t>
  </si>
  <si>
    <t>Mark Collett 27 - 30.David Lethaby 28 - 29.Clemens Werner 28 - 29.</t>
  </si>
  <si>
    <t>http://ufcstats.com/fight-details/1317d7cd79495a0e</t>
  </si>
  <si>
    <t>Rustam Khabilov vs. Sergey Khandozhko</t>
  </si>
  <si>
    <t>Lukasz Bosacki 27 - 30.Magomed Magomedov 28 - 29.Paul Sutherland 28 - 29.</t>
  </si>
  <si>
    <t>http://ufcstats.com/fight-details/c8dfcbee63266273</t>
  </si>
  <si>
    <t>Stephen Thompson vs. Vicente Luque</t>
  </si>
  <si>
    <t>Derek Cleary 26 - 30.Doug Crosby 26 - 30.Sal D'amato 27 - 29.</t>
  </si>
  <si>
    <t>http://ufcstats.com/fight-details/28deed0ab55ca350</t>
  </si>
  <si>
    <t>Muslim Salikhov vs. Laureano Staropoli</t>
  </si>
  <si>
    <t>Evan Field 26 - 30.Howard Hughes 26 - 30.Takeo Kobayashi 28 - 29.</t>
  </si>
  <si>
    <t>http://ufcstats.com/fight-details/89266a872e1f92d9</t>
  </si>
  <si>
    <t>Court McGee vs. Sean Brady</t>
  </si>
  <si>
    <t>Chris Lee 28 - 29.Dave Tirelli 27 - 30.Macel Varella 27 - 30.</t>
  </si>
  <si>
    <t>http://ufcstats.com/fight-details/26d75187369ecf2c</t>
  </si>
  <si>
    <t>Max Griffin vs. Alex Morono</t>
  </si>
  <si>
    <t>Michelle Olney 28 - 29.Tony Weeks 27 - 29.Dave Tirelli 27 - 29.</t>
  </si>
  <si>
    <t>http://ufcstats.com/fight-details/c5b8a996eff18540</t>
  </si>
  <si>
    <t>Jake Matthews vs. Rostem Akman</t>
  </si>
  <si>
    <t>Ben Cartlidge 27 - 30.Christopher Shen 27 - 30.Charlie Keech 27 - 30.</t>
  </si>
  <si>
    <t>http://ufcstats.com/fight-details/1cb7138b107b93b5</t>
  </si>
  <si>
    <t>Callan Potter vs. Maki Pitolo</t>
  </si>
  <si>
    <t>Anthony Dimitriou 28 - 29.David Lethaby 28 - 29.Richie Gerrard 28 - 29.</t>
  </si>
  <si>
    <t>http://ufcstats.com/fight-details/578987d534a0d205</t>
  </si>
  <si>
    <t>Gunnar Nelson vs. Gilbert Burns</t>
  </si>
  <si>
    <t>Thomas Knudsen 28 - 29.Maciej Motylewski 28 - 29.Paul Sutherland 28 - 29.</t>
  </si>
  <si>
    <t>http://ufcstats.com/fight-details/7410ac7e4e5acb74</t>
  </si>
  <si>
    <t>Nicolas Dalby vs. Alex Oliveira</t>
  </si>
  <si>
    <t>http://ufcstats.com/fight-details/9c7b6a20f35fb708</t>
  </si>
  <si>
    <t>Siyar Bahadurzada vs. Ismail Naurdiev</t>
  </si>
  <si>
    <t>Andreas Gruner 26 - 30.Thomas Knudsen 25 - 30.Maciej Motylewski 25 - 30.</t>
  </si>
  <si>
    <t>http://ufcstats.com/fight-details/18d84b333b28de36</t>
  </si>
  <si>
    <t>Michel Pereira vs. Tristan Connelly</t>
  </si>
  <si>
    <t>Derek Cleary 28 - 29.Sal D'amato 27 - 29.Dave Hagen 27 - 29.</t>
  </si>
  <si>
    <t>http://ufcstats.com/fight-details/dadaee9624256e07</t>
  </si>
  <si>
    <t>Song Kenan vs. Derrick Krantz</t>
  </si>
  <si>
    <t>Anthony Dimitriou 28 - 29.Evan Field 28 - 29.Howard Hughes 28 - 29.</t>
  </si>
  <si>
    <t>http://ufcstats.com/fight-details/676561d9690ce31d</t>
  </si>
  <si>
    <t>Anthony Pettis vs. Nate Diaz</t>
  </si>
  <si>
    <t>Ron McCarthy 27 - 30.Derek Cleary 27 - 30.Guilherme Bravo 28 - 29.</t>
  </si>
  <si>
    <t>http://ufcstats.com/fight-details/f2ce79565c0820dd</t>
  </si>
  <si>
    <t>Gilbert Burns vs. Aleksei Kunchenko</t>
  </si>
  <si>
    <t>Guilherme Bravo 28 - 29.Phillipe Iorio 28 - 29.Eric Colon 28 - 29.</t>
  </si>
  <si>
    <t>http://ufcstats.com/fight-details/1019f2a9c012e949</t>
  </si>
  <si>
    <t>Mickey Gall vs. Salim Touahri</t>
  </si>
  <si>
    <t>Eric Colon 28 - 29.Dave Tirelli 28 - 29.Cardo Urso 28 - 29.</t>
  </si>
  <si>
    <t>http://ufcstats.com/fight-details/f4bd11655adeb078</t>
  </si>
  <si>
    <t>Erik Koch vs. Kyle Stewart</t>
  </si>
  <si>
    <t>Brian Puccillo 27 - 30.Thomas Collins 28 - 29.Derek Cleary 28 - 29.</t>
  </si>
  <si>
    <t>http://ufcstats.com/fight-details/d47fd8fc3886f86c</t>
  </si>
  <si>
    <t>Diego Sanchez vs. Michael Chiesa</t>
  </si>
  <si>
    <t>Derek Cleary 26 - 30.Patricia Morse-Jarman 26 - 30.Junichiro Kamijo 26 - 30.</t>
  </si>
  <si>
    <t>http://ufcstats.com/fight-details/feaffeb1af7e82ef</t>
  </si>
  <si>
    <t>Ismail Naurdiev vs. Chance Rencountre</t>
  </si>
  <si>
    <t>Tony Weeks 27 - 30.Dave Hagen 28 - 29.Sal D'amato 27 - 29.</t>
  </si>
  <si>
    <t>http://ufcstats.com/fight-details/f6a03399c7a721cd</t>
  </si>
  <si>
    <t>Rostem Akman vs. Sergey Khandozhko</t>
  </si>
  <si>
    <t>Ben Cartlidge 28 - 29.Mark Collett 28 - 29.Andreas Gruner 28 - 29.</t>
  </si>
  <si>
    <t>http://ufcstats.com/fight-details/93330422e1f2e0be</t>
  </si>
  <si>
    <t>Thiago Alves vs. Laureano Staropoli</t>
  </si>
  <si>
    <t>Sal D'amato 27 - 30.Marcelo Vilhena 27 - 30.Derek Cleary 28 - 29.</t>
  </si>
  <si>
    <t>http://ufcstats.com/fight-details/3d941525f5c623e3</t>
  </si>
  <si>
    <t>Nordine Taleb vs. Kyle Prepolec</t>
  </si>
  <si>
    <t>Salleem Haniff 27 - 30.Jason Rodgers 27 - 30.Eric Colon 27 - 30.</t>
  </si>
  <si>
    <t>http://ufcstats.com/fight-details/003c84fc7c3fa028</t>
  </si>
  <si>
    <t>Alex Oliveira vs. Mike Perry</t>
  </si>
  <si>
    <t>Sal D'amato 28 - 29.Derek Cleary 28 - 29.Daniel Torres 28 - 29.</t>
  </si>
  <si>
    <t>http://ufcstats.com/fight-details/3286d8406eff5c85</t>
  </si>
  <si>
    <t>Sultan Aliev vs. Keita Nakamura</t>
  </si>
  <si>
    <t>Lukasz Bosacki 27 - 30.Mark Collett 27 - 30.Howard Hughes 27 - 30.</t>
  </si>
  <si>
    <t>http://ufcstats.com/fight-details/23ba354e606df0ac</t>
  </si>
  <si>
    <t>Curtis Millender vs. Belal Muhammad</t>
  </si>
  <si>
    <t>Mike Bell 27 - 29.Derek Cleary 27 - 29.Sal D'amato 26 - 30.</t>
  </si>
  <si>
    <t>http://ufcstats.com/fight-details/23fd92555246d61e</t>
  </si>
  <si>
    <t>Anthony Rocco Martin vs. Sergio Moraes</t>
  </si>
  <si>
    <t>Mike Bell 27 - 30.Chris Lee 27 - 30.Greg DiVilbiss 27 - 30.</t>
  </si>
  <si>
    <t>http://ufcstats.com/fight-details/51808d929c84b8ae</t>
  </si>
  <si>
    <t>Michel Prazeres vs. Ismail Naurdiev</t>
  </si>
  <si>
    <t>David Lethaby 26 - 30.Andreas Gruner 27 - 30.Mark Collett 27 - 30.</t>
  </si>
  <si>
    <t>http://ufcstats.com/fight-details/c77486266b05f934</t>
  </si>
  <si>
    <t>Belal Muhammad vs. Geoff Neal</t>
  </si>
  <si>
    <t>Sal D'amato 28 - 29.Eric Colon 27 - 30.Tim Corrado 27 - 30.</t>
  </si>
  <si>
    <t>http://ufcstats.com/fight-details/2cc1fe3570999428</t>
  </si>
  <si>
    <t>Curtis Millender vs. Siyar Bahadurzada</t>
  </si>
  <si>
    <t>Sal D'amato 28 - 29.Dave Hagen 28 - 29.Mike Bell 27 - 30.</t>
  </si>
  <si>
    <t>http://ufcstats.com/fight-details/3f5a623cf360c494</t>
  </si>
  <si>
    <t>Yushin Okami vs. Aleksei Kunchenko</t>
  </si>
  <si>
    <t>Evan Field 26 - 30.Charlie Keech 26 - 30.Howie Booth 27 - 30.</t>
  </si>
  <si>
    <t>http://ufcstats.com/fight-details/73a299d44d2ef5cd</t>
  </si>
  <si>
    <t>Song Kenan vs. Alex Morono</t>
  </si>
  <si>
    <t>Mark Craig 27 - 30.Garth Harriman 27 - 30.Paul Sutherland 27 - 30.</t>
  </si>
  <si>
    <t>http://ufcstats.com/fight-details/9e1853861f58191f</t>
  </si>
  <si>
    <t>Laureano Staropoli vs. Hector Aldana</t>
  </si>
  <si>
    <t>Mike Bell 27 - 30.Joseph Terrell 27 - 30.Hallison Pontes 27 - 30.</t>
  </si>
  <si>
    <t>http://ufcstats.com/fight-details/629c0eb319e01374</t>
  </si>
  <si>
    <t>Alex Garcia vs. Court McGee</t>
  </si>
  <si>
    <t>Declan Woods 28 - 29.Emile Arsenault 28 - 29.Doug Crosby 28 - 30.</t>
  </si>
  <si>
    <t>http://ufcstats.com/fight-details/8a08b8043f83d245</t>
  </si>
  <si>
    <t>Aleksei Kunchenko vs. Thiago Alves</t>
  </si>
  <si>
    <t>Pawel Harasim 27 - 30.Mark Collett 28 - 29.Maciej Motylewski 28 - 29.</t>
  </si>
  <si>
    <t>http://ufcstats.com/fight-details/dd0a3aedba5cee87</t>
  </si>
  <si>
    <t>Ramazan Emeev vs. Stefan Sekulic</t>
  </si>
  <si>
    <t>Maria Makhmutova 28 - 29.Lukasz Bosacki 27 - 30.Derek Cleary 26 - 30.</t>
  </si>
  <si>
    <t>http://ufcstats.com/fight-details/67f559403a6ec7cb</t>
  </si>
  <si>
    <t>Diego Sanchez vs. Craig White</t>
  </si>
  <si>
    <t>Dan Mathisen 27 - 30.Steve Armstrong 27 - 30.Aladin Martinez 27 - 30.</t>
  </si>
  <si>
    <t>http://ufcstats.com/fight-details/294a9e9780afa789</t>
  </si>
  <si>
    <t>Jordan Mein vs. Alex Morono</t>
  </si>
  <si>
    <t>Derek Cleary 28 - 29.Chris Lee 28 - 29.Greg Jackson 28 - 29.</t>
  </si>
  <si>
    <t>http://ufcstats.com/fight-details/77be83973766e104</t>
  </si>
  <si>
    <t>Emil Meek vs. Bartosz Fabinski</t>
  </si>
  <si>
    <t>Mark Collett 27 - 30.Takeo Kobayashi 28 - 29.David Lethaby 28 - 29.</t>
  </si>
  <si>
    <t>http://ufcstats.com/fight-details/e8190df7465ba2df</t>
  </si>
  <si>
    <t>Curtis Millender vs. Max Griffin</t>
  </si>
  <si>
    <t>Derek Cleary 28 - 29.Dave Hagen 28 - 29.Rick Winter 28 - 29.</t>
  </si>
  <si>
    <t>http://ufcstats.com/fight-details/9589b41c4637b057</t>
  </si>
  <si>
    <t>Li Jingliang vs. Daichi Abe</t>
  </si>
  <si>
    <t>Ben Cartlidge 26 - 30.Mark Craig 27 - 30.Evan Field 27 - 30.</t>
  </si>
  <si>
    <t>http://ufcstats.com/fight-details/484c48d3723e72cd</t>
  </si>
  <si>
    <t>Belal Muhammad vs. Chance Rencountre</t>
  </si>
  <si>
    <t>Derek Cleary 27 - 30.Sal D'amato 27 - 30.Dave Tirelli 27 - 30.</t>
  </si>
  <si>
    <t>http://ufcstats.com/fight-details/026c4a26106cc158</t>
  </si>
  <si>
    <t>Alberto Mina vs. Ramazan Emeev</t>
  </si>
  <si>
    <t>Derek Cleary 27 - 30.Sal D'amato 27 - 30.Fabio Alves 27 - 30.</t>
  </si>
  <si>
    <t>http://ufcstats.com/fight-details/53d6a7634c7fc036</t>
  </si>
  <si>
    <t>Ryan LaFlare vs. Alex Garcia</t>
  </si>
  <si>
    <t>Jon Bilyk 27 - 30.Dominic Carolei 27 - 30.Cardo Urso 27 - 30.</t>
  </si>
  <si>
    <t>http://ufcstats.com/fight-details/ef86720364837f68</t>
  </si>
  <si>
    <t>Anthony Rocco Martin vs. Keita Nakamura</t>
  </si>
  <si>
    <t>Jon Bilyk 27 - 30.Munah Holland 27 - 30.Dave Tirelli 27 - 30.</t>
  </si>
  <si>
    <t>http://ufcstats.com/fight-details/d2b5ce5548b71668</t>
  </si>
  <si>
    <t>Dhiego Lima vs. Yushin Okami</t>
  </si>
  <si>
    <t>Brad Frank 26 - 30.Chris Lee 26 - 30.Sal D'amato 26 - 30.</t>
  </si>
  <si>
    <t>http://ufcstats.com/fight-details/418a7100e490e791</t>
  </si>
  <si>
    <t>Mike Perry vs. Max Griffin</t>
  </si>
  <si>
    <t>Dave Tirelli 27 - 29.Eric Colon 27 - 29.Chris Lee 27 - 30.</t>
  </si>
  <si>
    <t>http://ufcstats.com/fight-details/424a20da52b4f956</t>
  </si>
  <si>
    <t>Jake Matthews vs. Li Jingliang</t>
  </si>
  <si>
    <t>Mark Simpson</t>
  </si>
  <si>
    <t>28 - 29.26 - 30.26 - 30.</t>
  </si>
  <si>
    <t>http://ufcstats.com/fight-details/0d7dc1ed5eb995e4</t>
  </si>
  <si>
    <t>Luke Jumeau vs. Daichi Abe</t>
  </si>
  <si>
    <t>28 - 29.27 - 29.27 - 28.</t>
  </si>
  <si>
    <t>http://ufcstats.com/fight-details/194d3950076b2f83</t>
  </si>
  <si>
    <t>Drew Dober vs. Frank Camacho</t>
  </si>
  <si>
    <t>Andrew Hopper Jr. 28 - 29.Derek Cleary 28 - 29.Roy Silbert 27 - 30.</t>
  </si>
  <si>
    <t>http://ufcstats.com/fight-details/f23e2bed86b62462</t>
  </si>
  <si>
    <t>Kamaru Usman vs. Emil Meek</t>
  </si>
  <si>
    <t>Sal D'amato 27 - 30.Marcos Rosales 27 - 30.Travis Buesking 27 - 30.</t>
  </si>
  <si>
    <t>http://ufcstats.com/fight-details/f767243bb48ab9d7</t>
  </si>
  <si>
    <t>Carlos Condit vs. Neil Magny</t>
  </si>
  <si>
    <t>Derek Cleary 27 - 30.Dave Hagen 27 - 30.Glenn Trowbridge 28 - 29.</t>
  </si>
  <si>
    <t>http://ufcstats.com/fight-details/c381ad2c0bf34dd9</t>
  </si>
  <si>
    <t>Santiago Ponzinibbio vs. Mike Perry</t>
  </si>
  <si>
    <t>Chris Lee 28 - 29.Jason Rodgers 28 - 29.David Therien 28 - 29.</t>
  </si>
  <si>
    <t>http://ufcstats.com/fight-details/11b8d7e801713abc</t>
  </si>
  <si>
    <t>Jordan Mein vs. Erick Silva</t>
  </si>
  <si>
    <t>Greg Jackson 26 - 30.Chris Lee 27 - 30.Jason Rodgers 27 - 30.</t>
  </si>
  <si>
    <t>http://ufcstats.com/fight-details/a6fbd8964400dd89</t>
  </si>
  <si>
    <t>Court McGee vs. Sean Strickland</t>
  </si>
  <si>
    <t>Elvis Bello</t>
  </si>
  <si>
    <t>Luc Belhumeur 27 - 30.Jeff Mullen 28 - 29.Derek Cleary 28 - 29.</t>
  </si>
  <si>
    <t>http://ufcstats.com/fight-details/d3c78cc516417797</t>
  </si>
  <si>
    <t>Stephen Thompson vs. Jorge Masvidal</t>
  </si>
  <si>
    <t>Sal D'amato 26 - 30.Dave Tirelli 27 - 30.Eric Colon 27 - 30.</t>
  </si>
  <si>
    <t>http://ufcstats.com/fight-details/80572cac6ab57866</t>
  </si>
  <si>
    <t>Randy Brown vs. Mickey Gall</t>
  </si>
  <si>
    <t>Derek Cleary 28 - 29.Dave Tirelli 28 - 29.Chris Lee 27 - 29.</t>
  </si>
  <si>
    <t>http://ufcstats.com/fight-details/e686df21c24c6c03</t>
  </si>
  <si>
    <t>Demian Maia vs. Colby Covington</t>
  </si>
  <si>
    <t>Guilherme Bravo 27 - 29.Derek Cleary 27 - 30.Dave Tirelli 26 - 30.</t>
  </si>
  <si>
    <t>http://ufcstats.com/fight-details/7a5baef71925258c</t>
  </si>
  <si>
    <t>Elizeu Zaleski dos Santos vs. Max Griffin</t>
  </si>
  <si>
    <t>Guilherme Bravo 28 - 29.Dave Tirelli 27 - 29.Derek Cleary 28 - 29.</t>
  </si>
  <si>
    <t>http://ufcstats.com/fight-details/9dd9affa41eead4c</t>
  </si>
  <si>
    <t>Salim Touahri vs. Warlley Alves</t>
  </si>
  <si>
    <t>Maciej Motylewski 27 - 30.Mark Collett 28 - 29.Andreas Gruner 28 - 29.</t>
  </si>
  <si>
    <t>http://ufcstats.com/fight-details/88f36fa2945ccac5</t>
  </si>
  <si>
    <t>Shinsho Anzai vs. Luke Jumeau</t>
  </si>
  <si>
    <t>Barry Foley 28 - 29.Junichiro Kamijo 28 - 29.Kon Papaioannou 27 - 30.</t>
  </si>
  <si>
    <t>http://ufcstats.com/fight-details/da7afd49fefe6a46</t>
  </si>
  <si>
    <t>Daichi Abe vs. Hyun Gyu Lim</t>
  </si>
  <si>
    <t>http://ufcstats.com/fight-details/e0e4ce7595b5c26a</t>
  </si>
  <si>
    <t>Leon Edwards vs. Bryan Barberena</t>
  </si>
  <si>
    <t>Ben Cartlidge 28 - 29.Howard Hughes 28 - 29.Paul Sutherland 28 - 29.</t>
  </si>
  <si>
    <t>http://ufcstats.com/fight-details/7303ae36077411d9</t>
  </si>
  <si>
    <t>Darren Till vs. Bojan Velickovic</t>
  </si>
  <si>
    <t>http://ufcstats.com/fight-details/b1f7bc82f7dce1b9</t>
  </si>
  <si>
    <t>Robbie Lawler vs. Donald Cerrone</t>
  </si>
  <si>
    <t>Derek Cleary 28 - 29.Marcos Rosales 28 - 29.Mike Bell 28 - 29.</t>
  </si>
  <si>
    <t>http://ufcstats.com/fight-details/b8c967c742d3c107</t>
  </si>
  <si>
    <t>Jordan Mein vs. Belal Muhammad</t>
  </si>
  <si>
    <t>Jeff Mullen 28 - 29.Sal D'amato 28 - 29.Derek Cleary 27 - 30.</t>
  </si>
  <si>
    <t>http://ufcstats.com/fight-details/9298175cb2ad7d41</t>
  </si>
  <si>
    <t>James Krause vs. Tom Gallicchio</t>
  </si>
  <si>
    <t>Dave Hagen 27 - 30.Marcos Rosales 27 - 30.Patricia Morse-Jarman 27 - 30.</t>
  </si>
  <si>
    <t>http://ufcstats.com/fight-details/c7c7be3b0d65a7da</t>
  </si>
  <si>
    <t>Tim Means vs. Alex Garcia</t>
  </si>
  <si>
    <t>Glenn Trowbridge 28 - 29.Brian Beauchamp 28 - 29.David Sutherland 28 - 29.</t>
  </si>
  <si>
    <t>http://ufcstats.com/fight-details/b53fd8bce62aa1c6</t>
  </si>
  <si>
    <t>Dong Hyun Kim vs. Colby Covington</t>
  </si>
  <si>
    <t>Evan Field 25 - 30.Christopher Shen 26 - 30.Howie Booth 27 - 30.</t>
  </si>
  <si>
    <t>http://ufcstats.com/fight-details/b6464850da8f3099</t>
  </si>
  <si>
    <t>Tarec Saffiedine vs. Rafael Dos Anjos</t>
  </si>
  <si>
    <t>Barry Foley 27 - 30.Kon Papaioannou 27 - 30.Albert Shen 28 - 29.</t>
  </si>
  <si>
    <t>http://ufcstats.com/fight-details/a69a155a25b84679</t>
  </si>
  <si>
    <t>Li Jingliang vs. Frank Camacho</t>
  </si>
  <si>
    <t>Evan Field 27 - 29.Howie Booth 27 - 28.Albert Shen 27 - 29.</t>
  </si>
  <si>
    <t>http://ufcstats.com/fight-details/8984ab656cb1818d</t>
  </si>
  <si>
    <t>Luke Jumeau vs. Dominique Steele</t>
  </si>
  <si>
    <t>Howie Booth 28 - 29.Peter Hickmont 28 - 29.Cameron Quinn 28 - 29.</t>
  </si>
  <si>
    <t>http://ufcstats.com/fight-details/288b479c485c48b2</t>
  </si>
  <si>
    <t>Oliver Enkamp vs. Nordine Taleb</t>
  </si>
  <si>
    <t>Andy Roberts 27 - 30.Jorgen Segerlind 27 - 30.Anders Ohlsson 28 - 29.</t>
  </si>
  <si>
    <t>http://ufcstats.com/fight-details/33913e8e56c49a4c</t>
  </si>
  <si>
    <t>Darren Till vs. Jessin Ayari</t>
  </si>
  <si>
    <t>Ben Cartlidge 27 - 30.Anders Ohlsson 27 - 30.Mans Nilsson 27 - 29.</t>
  </si>
  <si>
    <t>http://ufcstats.com/fight-details/1ed9dbbe604654b9</t>
  </si>
  <si>
    <t>Thiago Alves vs. Patrick Cote</t>
  </si>
  <si>
    <t>Jeff Mullen 27 - 30.Sal D'amato 27 - 30.Derek Cleary 27 - 30.</t>
  </si>
  <si>
    <t>http://ufcstats.com/fight-details/a68672f66e12a3c2</t>
  </si>
  <si>
    <t>Kamaru Usman vs. Sean Strickland</t>
  </si>
  <si>
    <t>Sal D'amato 27 - 30.Jeff Mullen 26 - 30.Dave Tirelli 26 - 30.</t>
  </si>
  <si>
    <t>http://ufcstats.com/fight-details/b2c1f9bdd5d3073d</t>
  </si>
  <si>
    <t>Leon Edwards vs. Vicente Luque</t>
  </si>
  <si>
    <t>Mark Collett 28 - 29.Andy Roberts 28 - 29.Paul Sutherland 28 - 29.</t>
  </si>
  <si>
    <t>http://ufcstats.com/fight-details/88ce808e4e604180</t>
  </si>
  <si>
    <t>Sergio Moraes vs. Davi Ramos</t>
  </si>
  <si>
    <t>Tony Weeks 27 - 30.Guilherme Bravo 27 - 30.Marco Borges 27 - 30.</t>
  </si>
  <si>
    <t>http://ufcstats.com/fight-details/f4f5049e789b7716</t>
  </si>
  <si>
    <t>Nordine Taleb vs. Santiago Ponzinibbio</t>
  </si>
  <si>
    <t>Ian Bridgeman 28 - 29.Sal D'amato 28 - 29.Craig Smith 28 - 29.</t>
  </si>
  <si>
    <t>http://ufcstats.com/fight-details/1db121859d2fcda8</t>
  </si>
  <si>
    <t>Randy Brown vs. Belal Muhammad</t>
  </si>
  <si>
    <t>Doug Crosby 27 - 30.Sal D'amato 27 - 30.Jeff Mullen 28 - 29.</t>
  </si>
  <si>
    <t>http://ufcstats.com/fight-details/f680e6ebe3bdfe3e</t>
  </si>
  <si>
    <t>Ryan LaFlare vs. Roan Carneiro</t>
  </si>
  <si>
    <t>Jeff Mullen 26 - 30.Eric Colon 27 - 30.Chris Lee 28 - 29.</t>
  </si>
  <si>
    <t>http://ufcstats.com/fight-details/1f9ac1648b8e501e</t>
  </si>
  <si>
    <t>Court McGee vs. Ben Saunders</t>
  </si>
  <si>
    <t>Chris Flores 28 - 29.Derek Cleary 28 - 29.Marcos Rosales 28 - 29.</t>
  </si>
  <si>
    <t>http://ufcstats.com/fight-details/8edb831924d69dd9</t>
  </si>
  <si>
    <t>Johny Hendricks vs. Neil Magny</t>
  </si>
  <si>
    <t>Tony Weeks 28 - 29.Jeff Mullen 28 - 29.Derek Cleary 28 - 29.</t>
  </si>
  <si>
    <t>http://ufcstats.com/fight-details/abf0f8234f6be37e</t>
  </si>
  <si>
    <t>Alan Jouban vs. Mike Perry</t>
  </si>
  <si>
    <t>Brandon Saucedo 28 - 29.Ron McCarthy 27 - 30.Wade Vierra 27 - 30.</t>
  </si>
  <si>
    <t>http://ufcstats.com/fight-details/473b9b56cdaedba3</t>
  </si>
  <si>
    <t>Bryan Barberena vs. Colby Covington</t>
  </si>
  <si>
    <t>Ron McCarthy 27 - 30.Wade Vierra 27 - 30.Derek Cleary 27 - 30.</t>
  </si>
  <si>
    <t>http://ufcstats.com/fight-details/677588ea237aa5c0</t>
  </si>
  <si>
    <t>James Moontasri vs. Alex Morono</t>
  </si>
  <si>
    <t>Ron McCarthy 28 - 29.Mike Guingona 28 - 29.Derek Cleary 28 - 29.</t>
  </si>
  <si>
    <t>http://ufcstats.com/fight-details/30f6cf4253b13b76</t>
  </si>
  <si>
    <t>Jordan Mein vs. Emil Meek</t>
  </si>
  <si>
    <t>Pasquale Procopio 28 - 29.Cardo Urso 28 - 29.David Therien 28 - 29.</t>
  </si>
  <si>
    <t>http://ufcstats.com/fight-details/761a215d51a0442e</t>
  </si>
  <si>
    <t>Kyle Noke vs. Omari Akhmedov</t>
  </si>
  <si>
    <t>Barry Foley 28 - 29.Evan Field 28 - 29.Albert Shen 27 - 30.</t>
  </si>
  <si>
    <t>http://ufcstats.com/fight-details/450760216f5643ca</t>
  </si>
  <si>
    <t>Richard Walsh vs. Jonathan Meunier</t>
  </si>
  <si>
    <t>Anthony Dimitriou 27 - 30.Albert Shen 27 - 30.Ben Cartlidge 28 - 29.</t>
  </si>
  <si>
    <t>http://ufcstats.com/fight-details/2c0a58ef0324e18b</t>
  </si>
  <si>
    <t>Warlley Alves vs. Kamaru Usman</t>
  </si>
  <si>
    <t>Guilherme Bravo 27 - 29.Fabio Alves 26 - 30.Eric Colon 28 - 29.</t>
  </si>
  <si>
    <t>http://ufcstats.com/fight-details/939cc30f07131724</t>
  </si>
  <si>
    <t>Keita Nakamura vs. Elizeu Zaleski dos Santos</t>
  </si>
  <si>
    <t>Rick Campos 28 - 29.Glenn Trowbridge 28 - 29.Jeff Mullen 28 - 29.</t>
  </si>
  <si>
    <t>http://ufcstats.com/fight-details/958f6e5b79ff8c33</t>
  </si>
  <si>
    <t>Peter Sobotta vs. Nicolas Dalby</t>
  </si>
  <si>
    <t>Mark Collett 26 - 30.Howard Hughes 26 - 30.Andy Roberts 26 - 30.</t>
  </si>
  <si>
    <t>http://ufcstats.com/fight-details/69ecd4aa5a550f7b</t>
  </si>
  <si>
    <t>Santiago Ponzinibbio vs. Zak Cummings</t>
  </si>
  <si>
    <t>Tony Weeks 28 - 29.Dennis McMahon 28 - 29.Derek Cleary 27 - 30.</t>
  </si>
  <si>
    <t>http://ufcstats.com/fight-details/787d94246afe18a3</t>
  </si>
  <si>
    <t>Court McGee vs. Dominique Steele</t>
  </si>
  <si>
    <t>Tony Weeks 27 - 30.Derek Cleary 28 - 29.Glenn Trowbridge 28 - 29.</t>
  </si>
  <si>
    <t>http://ufcstats.com/fight-details/4a46b63c19cfa932</t>
  </si>
  <si>
    <t>Ross Pearson vs. Jorge Masvidal</t>
  </si>
  <si>
    <t>Jon Marigliano 28 - 29.Ken Coffey 28 - 29.Jeff Mullen 27 - 30.</t>
  </si>
  <si>
    <t>http://ufcstats.com/fight-details/806ee07a1a7042b8</t>
  </si>
  <si>
    <t>Kamaru Usman vs. Alexander Yakovlev</t>
  </si>
  <si>
    <t>Gabriel Sabaitis 25 - 30.Brandon Mason 25 - 30.Rick Winter 25 - 30.</t>
  </si>
  <si>
    <t>http://ufcstats.com/fight-details/e09d17f97d6fc6b8</t>
  </si>
  <si>
    <t>Alex Oliveira vs. James Moontasri</t>
  </si>
  <si>
    <t>Brian Puccillo 26 - 30.Brandon Mason 26 - 30.Sal D'amato 25 - 30.</t>
  </si>
  <si>
    <t>http://ufcstats.com/fight-details/3aace29fcc65ec51</t>
  </si>
  <si>
    <t>Johny Hendricks vs. Kelvin Gastelum</t>
  </si>
  <si>
    <t>Sal D'amato 28 - 29.Adalaide Byrd 27 - 30.Derek Cleary 27 - 30.</t>
  </si>
  <si>
    <t>http://ufcstats.com/fight-details/8c2e4d3cc4b9e93a</t>
  </si>
  <si>
    <t>Alan Jouban vs. Belal Muhammad</t>
  </si>
  <si>
    <t>Sal D'amato 27 - 28.Tony Weeks 28 - 29.Derek Cleary 27 - 29.</t>
  </si>
  <si>
    <t>http://ufcstats.com/fight-details/420f4e4dc341eb57</t>
  </si>
  <si>
    <t>Tarec Saffiedine vs. Rick Story</t>
  </si>
  <si>
    <t>Sal D'amato 28 - 29.Tony Weeks 28 - 29.Chris Lee 27 - 30.</t>
  </si>
  <si>
    <t>http://ufcstats.com/fight-details/a78ccbb549d36ddd</t>
  </si>
  <si>
    <t>Warlley Alves vs. Bryan Barberena</t>
  </si>
  <si>
    <t>Tony Weeks 28 - 29.Otto Torriero 28 - 29.Hallison Pontes 28 - 29.</t>
  </si>
  <si>
    <t>http://ufcstats.com/fight-details/93026e3763542c05</t>
  </si>
  <si>
    <t>Leon Edwards vs. Dominic Waters</t>
  </si>
  <si>
    <t>Mark Collett 27 - 30.Peter Lavery 27 - 30.Paul Sutherland 27 - 30.</t>
  </si>
  <si>
    <t>http://ufcstats.com/fight-details/6ccf478dca83757e</t>
  </si>
  <si>
    <t>Danny Roberts vs. Dominique Steele</t>
  </si>
  <si>
    <t>Chris Lee 28 - 29.Marcos Rosales 28 - 29.Tony Weeks 28 - 29.</t>
  </si>
  <si>
    <t>http://ufcstats.com/fight-details/be0af5916c8e8e99</t>
  </si>
  <si>
    <t>Nicolas Dalby vs. Zak Cummings</t>
  </si>
  <si>
    <t>Ben Cartlidge 27 - 30.Pawel Harasim 27 - 30.Paul Sutherland 27 - 30.</t>
  </si>
  <si>
    <t>http://ufcstats.com/fight-details/5aa7ecc6507841bd</t>
  </si>
  <si>
    <t>Richard Walsh vs. Viscardi Andrade</t>
  </si>
  <si>
    <t>Peter Hickmont 28 - 29.Charlie Keech 28 - 29.Paul Sutherland 28 - 29.</t>
  </si>
  <si>
    <t>http://ufcstats.com/fight-details/d2105d00baa3e15e</t>
  </si>
  <si>
    <t>Tom Breese vs. Keita Nakamura</t>
  </si>
  <si>
    <t>Howard Hughes 27 - 30.Andy Roberts 27 - 30.Paul Sutherland 28 - 29.</t>
  </si>
  <si>
    <t>http://ufcstats.com/fight-details/0d043ecaf5bbc3ae</t>
  </si>
  <si>
    <t>Jonavin Webb vs. Nathan Coy</t>
  </si>
  <si>
    <t>Drew Long 28 - 29.Todd Kruszka 28 - 29.Cardo Urso 28 - 29.</t>
  </si>
  <si>
    <t>http://ufcstats.com/fight-details/94d708a8a8fefdef</t>
  </si>
  <si>
    <t>Tarec Saffiedine vs. Jake Ellenberger</t>
  </si>
  <si>
    <t>Michelle Agustin 28 - 29.Derek Cleary 28 - 29.Dave Tirelli 28 - 29.</t>
  </si>
  <si>
    <t>http://ufcstats.com/fight-details/44c6d87116bb3a10</t>
  </si>
  <si>
    <t>Matt Dwyer vs. Randy Brown</t>
  </si>
  <si>
    <t>http://ufcstats.com/fight-details/15f48dd8cf8ae455</t>
  </si>
  <si>
    <t>Don Balas 28 - 29.Barry Luxenberg 27 - 30.Sal D'amato 28 - 29.</t>
  </si>
  <si>
    <t>http://ufcstats.com/fight-details/2f0bfdc3c325662d</t>
  </si>
  <si>
    <t>Demian Maia vs. Gunnar Nelson</t>
  </si>
  <si>
    <t>Adalaide Byrd 26 - 30.Derek Cleary 25 - 30.Sal D'amato 25 - 30.</t>
  </si>
  <si>
    <t>http://ufcstats.com/fight-details/8fe1859721e95ce3</t>
  </si>
  <si>
    <t>Court McGee vs. Marcio Alexandre Junior</t>
  </si>
  <si>
    <t>Tony Weeks 27 - 30.Derek Cleary 28 - 29.Junichiro Kamijo 28 - 29.</t>
  </si>
  <si>
    <t>http://ufcstats.com/fight-details/d48f938269b8ed0b</t>
  </si>
  <si>
    <t>Ryan LaFlare vs. Mike Pierce</t>
  </si>
  <si>
    <t>Lester Griffin 27 - 30.Junichiro Kamijo 28 - 29.Marcos Rosales 28 - 29.</t>
  </si>
  <si>
    <t>http://ufcstats.com/fight-details/465707233fa9cf7c</t>
  </si>
  <si>
    <t>Hector Urbina vs. Bartosz Fabinski</t>
  </si>
  <si>
    <t>Roy Silbert 28 - 29.Derek Cleary 27 - 30.Marcos Rosales 27 - 30.</t>
  </si>
  <si>
    <t>http://ufcstats.com/fight-details/2a702055a79d95a7</t>
  </si>
  <si>
    <t>Richard Walsh vs. Steve Kennedy</t>
  </si>
  <si>
    <t>Evan Field 27 - 30.Barry Foley 27 - 30.Albert Shen 28 - 29.</t>
  </si>
  <si>
    <t>http://ufcstats.com/fight-details/f281a6775bccb8df</t>
  </si>
  <si>
    <t>Viscardi Andrade vs. Gasan Umalatov</t>
  </si>
  <si>
    <t>Guilherme Bravo 27 - 30.Chris Lee 27 - 30.Otto Torriero 28 - 29.</t>
  </si>
  <si>
    <t>http://ufcstats.com/fight-details/4ff0075d932d5b14</t>
  </si>
  <si>
    <t>Neil Magny vs. Erick Silva</t>
  </si>
  <si>
    <t>Gregory Jackson 29 - 28.David Therien 28 - 29.Sal D'amato 27 - 30.</t>
  </si>
  <si>
    <t>http://ufcstats.com/fight-details/2c01f4df404ff6ee</t>
  </si>
  <si>
    <t>Leon Edwards vs. Pawel Pawlak</t>
  </si>
  <si>
    <t>Garth Harriman 27 - 30.Andy Roberts 27 - 30.Dean Weir 27 - 30.</t>
  </si>
  <si>
    <t>http://ufcstats.com/fight-details/979538ff8ae1ccd5</t>
  </si>
  <si>
    <t>Alan Jouban vs. Matt Dwyer</t>
  </si>
  <si>
    <t>Point Deducted: Illegal Knee by JoubanMike Bell 27 - 29.Mike Beltran 27 - 29.Wade Vierra 27 - 29.</t>
  </si>
  <si>
    <t>http://ufcstats.com/fight-details/464133df9ca19865</t>
  </si>
  <si>
    <t>Igor Araujo vs. Sean Strickland</t>
  </si>
  <si>
    <t>Mike Bell 26 - 30.Wade Vierra 27 - 30.Mark Smith 26 - 30.</t>
  </si>
  <si>
    <t>http://ufcstats.com/fight-details/5301d765d64f863e</t>
  </si>
  <si>
    <t>Michael Graves vs. Vicente Luque</t>
  </si>
  <si>
    <t>Sal D'amato 28 - 29.Patricia Morse-Jarman 28 - 29.Junichiro Kamijo 28 - 29.</t>
  </si>
  <si>
    <t>http://ufcstats.com/fight-details/43b9e58ebf4a75ea</t>
  </si>
  <si>
    <t>George Sullivan vs. Dominic Waters</t>
  </si>
  <si>
    <t>Derek Cleary 27 - 29.Patricia Morse-Jarman 25 - 30.Glenn Trowbridge 28 - 29.</t>
  </si>
  <si>
    <t>http://ufcstats.com/fight-details/b2eccc1b75633d3d</t>
  </si>
  <si>
    <t>Mike Swick vs. Alex Garcia</t>
  </si>
  <si>
    <t>Lester Griffin 28 - 29.Derek Cleary 27 - 30.Chris Lee 27 - 30.</t>
  </si>
  <si>
    <t>http://ufcstats.com/fight-details/824368db1ed8191f</t>
  </si>
  <si>
    <t>Alex Oliveira vs. Joe Merritt</t>
  </si>
  <si>
    <t>Richard Bertrand 27 - 30.Chris Lee 27 - 30.Eliseo Rodriguez 27 - 30.</t>
  </si>
  <si>
    <t>http://ufcstats.com/fight-details/fd80d6d9f4e54387</t>
  </si>
  <si>
    <t>Leandro Silva vs. Lewis Gonzalez</t>
  </si>
  <si>
    <t>Richard Bertrand 27 - 30.Hector Gomez 28 - 29.Chris Lee 28 - 29.</t>
  </si>
  <si>
    <t>http://ufcstats.com/fight-details/babfd62f1d4a43a8</t>
  </si>
  <si>
    <t>Augusto Montano vs. Cathal Pendred</t>
  </si>
  <si>
    <t>Richard Bertrand 28 - 29.Derek Cleary 28 - 29.Cardo Urso 28 - 29.</t>
  </si>
  <si>
    <t>http://ufcstats.com/fight-details/ac2887a0855a3266</t>
  </si>
  <si>
    <t>Mike Pyle vs. Colby Covington</t>
  </si>
  <si>
    <t>Adalaide Byrd 27 - 30.Junichiro Kamijo 28 - 29.Marcos Rosales 27 - 30.</t>
  </si>
  <si>
    <t>http://ufcstats.com/fight-details/0c36a08b1bf60f45</t>
  </si>
  <si>
    <t>Vik Grujic vs. Brendan O'Reilly</t>
  </si>
  <si>
    <t>Barry Foley 28 - 29.Brett Hinde 28 - 29.Christopher Shen 28 - 29.</t>
  </si>
  <si>
    <t>http://ufcstats.com/fight-details/979269d4ab5784af</t>
  </si>
  <si>
    <t>Patrick Cote vs. Joe Riggs</t>
  </si>
  <si>
    <t>Richard Bertrand 28 - 29.Sal D'amato 28 - 29.David Therien 28 - 29.</t>
  </si>
  <si>
    <t>http://ufcstats.com/fight-details/591699203b264f6c</t>
  </si>
  <si>
    <t>Nordine Taleb vs. Chris Clements</t>
  </si>
  <si>
    <t>Luc Lefebvre 27 - 30.Pasquale Procopio 27 - 30.David Therien 27 - 30.</t>
  </si>
  <si>
    <t>http://ufcstats.com/fight-details/059dcd0b3b8e0a3f</t>
  </si>
  <si>
    <t>Vicente Luque vs. Rafael Dos Anjos</t>
  </si>
  <si>
    <t>Ron McCarthy 46 - 49.Sal D'amato 47 - 48.Junichiro Kamijo 47 - 48.</t>
  </si>
  <si>
    <t>http://ufcstats.com/fight-details/e346f2b7af63e804</t>
  </si>
  <si>
    <t>Belal Muhammad vs. Gilbert Burns</t>
  </si>
  <si>
    <t>Mike Bell 45 - 50.Derek Cleary 46 - 49.Eric Colon 46 - 49.</t>
  </si>
  <si>
    <t>http://ufcstats.com/fight-details/ed707998b13d0101</t>
  </si>
  <si>
    <t>Vicente Luque vs. Belal Muhammad</t>
  </si>
  <si>
    <t>Derek Cleary 46 - 49.Sal D'amato 46 - 49.Chris Lee 47 - 48.</t>
  </si>
  <si>
    <t>http://ufcstats.com/fight-details/6d4b6224f26572f9</t>
  </si>
  <si>
    <t>Colby Covington vs. Jorge Masvidal</t>
  </si>
  <si>
    <t>Junichiro Kamijo 46 - 49.Derek Cleary 44 - 50.Sal D'amato 45 - 50.</t>
  </si>
  <si>
    <t>http://ufcstats.com/fight-details/d03d0abf331df751</t>
  </si>
  <si>
    <t>Leon Edwards vs. Nate Diaz</t>
  </si>
  <si>
    <t>Junichiro Kamijo 46 - 49.Derek Cleary 46 - 49.Brad Frank 46 - 49.</t>
  </si>
  <si>
    <t>http://ufcstats.com/fight-details/b070b8c2c489d838</t>
  </si>
  <si>
    <t>Michael Chiesa vs. Neil Magny</t>
  </si>
  <si>
    <t>Mike Bell 46 - 49.Sal D'amato 46 - 49.David Lethaby 46 - 49.</t>
  </si>
  <si>
    <t>http://ufcstats.com/fight-details/61bedad39b15db7a</t>
  </si>
  <si>
    <t>Stephen Thompson vs. Geoff Neal</t>
  </si>
  <si>
    <t>http://ufcstats.com/fight-details/c7375d5db21cbaae</t>
  </si>
  <si>
    <t>Tyron Woodley vs. Gilbert Burns</t>
  </si>
  <si>
    <t>Eric Colon 45 - 50.Derek Cleary 44 - 50.Sal D'amato 44 - 50.</t>
  </si>
  <si>
    <t>http://ufcstats.com/fight-details/e9eab0fa03eecd9b</t>
  </si>
  <si>
    <t>Colby Covington vs. Robbie Lawler</t>
  </si>
  <si>
    <t>Eric Colon 44 - 50.Dave Tirelli 45 - 50.Dominic Carolei 45 - 50.</t>
  </si>
  <si>
    <t>http://ufcstats.com/fight-details/e139628170777bef</t>
  </si>
  <si>
    <t>Rafael Dos Anjos vs. Leon Edwards</t>
  </si>
  <si>
    <t>Gino Garcia 45 - 50.Perry Hillin 46 - 49.Marcos Rosales 46 - 49.</t>
  </si>
  <si>
    <t>http://ufcstats.com/fight-details/816662e622987a14</t>
  </si>
  <si>
    <t>Rafael Dos Anjos vs. Kamaru Usman</t>
  </si>
  <si>
    <t>Junichiro Kamijo 43 - 50.Dave Hagen 45 - 49.Chris Lee 47 - 48.</t>
  </si>
  <si>
    <t>http://ufcstats.com/fight-details/0d077813b6164fe1</t>
  </si>
  <si>
    <t>Donald Cerrone vs. Leon Edwards</t>
  </si>
  <si>
    <t>Howie Booth 47 - 48.Evan Field 47 - 48.Charlie Keech 47 - 48.</t>
  </si>
  <si>
    <t>http://ufcstats.com/fight-details/28c70663b99560a8</t>
  </si>
  <si>
    <t>Stephen Thompson vs. Darren Till</t>
  </si>
  <si>
    <t>Mark Collett 47 - 48.Andy Roberts 46 - 49.Paul Sutherland 46 - 49.</t>
  </si>
  <si>
    <t>http://ufcstats.com/fight-details/cd117bfce747184f</t>
  </si>
  <si>
    <t>Demian Maia vs. Kamaru Usman</t>
  </si>
  <si>
    <t>Chris Lee 45 - 50.Guilherme Bravo 46 - 49.Sal D'amato 46 - 49.</t>
  </si>
  <si>
    <t>http://ufcstats.com/fight-details/47f42aa7cf851a29</t>
  </si>
  <si>
    <t>Robbie Lawler vs. Rafael Dos Anjos</t>
  </si>
  <si>
    <t>Derek Cleary 45 - 50.Sal D'amato 45 - 50.Jason Rodgers 45 - 50.</t>
  </si>
  <si>
    <t>http://ufcstats.com/fight-details/d9375ede2ec2f924</t>
  </si>
  <si>
    <t>Rory MacDonald vs. Stephen Thompson</t>
  </si>
  <si>
    <t>Chris Lee 45 - 50.David Therien 45 - 50.Sal D'amato 47 - 48.</t>
  </si>
  <si>
    <t>http://ufcstats.com/fight-details/75e21e2f5f3be42e</t>
  </si>
  <si>
    <t>Dean Barry vs. Mike Jackson</t>
  </si>
  <si>
    <t>http://ufcstats.com/fight-details/7cf7960c6ccb5fa1</t>
  </si>
  <si>
    <t>Diego Sanchez vs. Michel Pereira</t>
  </si>
  <si>
    <t>http://ufcstats.com/fight-details/a02ffaf1fe462d28</t>
  </si>
  <si>
    <t>Jorge Masvidal vs. Ben Askren</t>
  </si>
  <si>
    <t>http://ufcstats.com/fight-details/70af72a72b31fe4d</t>
  </si>
  <si>
    <t>Bryan Battle vs. Gabe Green</t>
  </si>
  <si>
    <t>http://ufcstats.com/fight-details/81fda78adcaedbc7</t>
  </si>
  <si>
    <t>Matthew Semelsberger vs. Martin Sano</t>
  </si>
  <si>
    <t>http://ufcstats.com/fight-details/73f6b72b4889088f</t>
  </si>
  <si>
    <t>Song Kenan vs. Bobby Nash</t>
  </si>
  <si>
    <t>http://ufcstats.com/fight-details/43ae6a9daa51ed93</t>
  </si>
  <si>
    <t>Matthew Semelsberger vs. Jason Witt</t>
  </si>
  <si>
    <t>http://ufcstats.com/fight-details/d0ebb0551377a1c1</t>
  </si>
  <si>
    <t>Alex Morono vs. Khaos Williams</t>
  </si>
  <si>
    <t>http://ufcstats.com/fight-details/ed499508be1e5532</t>
  </si>
  <si>
    <t>Abdul Razak Alhassan vs. Khaos Williams</t>
  </si>
  <si>
    <t>http://ufcstats.com/fight-details/30eb24f7904c2128</t>
  </si>
  <si>
    <t>Vernon Ramos Ho vs. Alvaro Herrera Mendoza</t>
  </si>
  <si>
    <t>http://ufcstats.com/fight-details/44502b8c5546fb12</t>
  </si>
  <si>
    <t>Robbie Lawler vs. Niko Price</t>
  </si>
  <si>
    <t>http://ufcstats.com/fight-details/20d8f6b4b7c8bae7</t>
  </si>
  <si>
    <t>Alex Oliveira vs. Carlo Pedersoli Jr.</t>
  </si>
  <si>
    <t>http://ufcstats.com/fight-details/a409a5381f082e8f</t>
  </si>
  <si>
    <t>Conor McGregor vs. Donald Cerrone</t>
  </si>
  <si>
    <t>http://ufcstats.com/fight-details/eed6c9aff2234b7a</t>
  </si>
  <si>
    <t>Abdul Razak Alhassan vs. Niko Price</t>
  </si>
  <si>
    <t>http://ufcstats.com/fight-details/f3bebb48771a414a</t>
  </si>
  <si>
    <t>Bryan Battle vs. Takashi Sato</t>
  </si>
  <si>
    <t>http://ufcstats.com/fight-details/4adef20ce69217be</t>
  </si>
  <si>
    <t>Takashi Sato vs. Jason Witt</t>
  </si>
  <si>
    <t>http://ufcstats.com/fight-details/67ed3ad521ef619c</t>
  </si>
  <si>
    <t>Charlie Ward vs. Abdul Razak Alhassan</t>
  </si>
  <si>
    <t>http://ufcstats.com/fight-details/bd6909a463a1de2b</t>
  </si>
  <si>
    <t>Erick Montano vs. Max Griffin</t>
  </si>
  <si>
    <t>http://ufcstats.com/fight-details/23c6a428df1569bc</t>
  </si>
  <si>
    <t>Anthony Ivy vs. Christian Aguilera</t>
  </si>
  <si>
    <t>http://ufcstats.com/fight-details/58e72b1a38880ba9</t>
  </si>
  <si>
    <t>Nordine Taleb vs. Danny Roberts</t>
  </si>
  <si>
    <t>http://ufcstats.com/fight-details/71dc4379c738450f</t>
  </si>
  <si>
    <t>Vicente Luque vs. Hector Urbina</t>
  </si>
  <si>
    <t>http://ufcstats.com/fight-details/5948876f1d80c21a</t>
  </si>
  <si>
    <t>Niklas Stolze vs. Jared Gooden</t>
  </si>
  <si>
    <t>http://ufcstats.com/fight-details/e3ecb94228c2739f</t>
  </si>
  <si>
    <t>Tim Means vs. Ricky Rainey</t>
  </si>
  <si>
    <t>http://ufcstats.com/fight-details/c7df07266a9597d9</t>
  </si>
  <si>
    <t>Mike Perry vs. Alex Reyes</t>
  </si>
  <si>
    <t>http://ufcstats.com/fight-details/3dd22a9a0ea68cc6</t>
  </si>
  <si>
    <t>http://ufcstats.com/fight-details/14477908199435e1</t>
  </si>
  <si>
    <t>Gunnar Nelson vs. Santiago Ponzinibbio</t>
  </si>
  <si>
    <t>http://ufcstats.com/fight-details/8417a20d56fe6776</t>
  </si>
  <si>
    <t>Li Jingliang vs. Dhiego Lima</t>
  </si>
  <si>
    <t>http://ufcstats.com/fight-details/00684df5ed23e6ca</t>
  </si>
  <si>
    <t>Geoff Neal vs. Mike Perry</t>
  </si>
  <si>
    <t>http://ufcstats.com/fight-details/ad5ef8d8678ff97f</t>
  </si>
  <si>
    <t>Lyman Good vs. Ben Saunders</t>
  </si>
  <si>
    <t>http://ufcstats.com/fight-details/b8b2cdf962cc65a0</t>
  </si>
  <si>
    <t>Mike Jackson vs. Pete Rodriguez</t>
  </si>
  <si>
    <t>http://ufcstats.com/fight-details/84b04e8d6b251c54</t>
  </si>
  <si>
    <t>Court McGee vs. Jeremiah Wells</t>
  </si>
  <si>
    <t>http://ufcstats.com/fight-details/9a92d376fba2379d</t>
  </si>
  <si>
    <t>Chad Laprise vs. Dhiego Lima</t>
  </si>
  <si>
    <t>Graham Bettes</t>
  </si>
  <si>
    <t>http://ufcstats.com/fight-details/e909e34cdee01831</t>
  </si>
  <si>
    <t>Niko Price vs. James Vick</t>
  </si>
  <si>
    <t>Kick to Head From Bottom GuardUpkick</t>
  </si>
  <si>
    <t>http://ufcstats.com/fight-details/f3169b755afcdc5b</t>
  </si>
  <si>
    <t>Alan Jouban vs. Niko Price</t>
  </si>
  <si>
    <t>http://ufcstats.com/fight-details/cd54325a9a538837</t>
  </si>
  <si>
    <t>Matt Brown vs. Jake Ellenberger</t>
  </si>
  <si>
    <t>http://ufcstats.com/fight-details/82d057278298846f</t>
  </si>
  <si>
    <t>Danny Roberts vs. Michel Pereira</t>
  </si>
  <si>
    <t>http://ufcstats.com/fight-details/04c9ebe419195f8b</t>
  </si>
  <si>
    <t>Jake Ellenberger vs. Ben Saunders</t>
  </si>
  <si>
    <t>http://ufcstats.com/fight-details/b7c7707ccea492c7</t>
  </si>
  <si>
    <t>Kyle Noke vs. Peter Sobotta</t>
  </si>
  <si>
    <t>http://ufcstats.com/fight-details/77185ff8b4dade6a</t>
  </si>
  <si>
    <t>Charlie Ward vs. Galore Bofando</t>
  </si>
  <si>
    <t>http://ufcstats.com/fight-details/7e7fba47f511f8ad</t>
  </si>
  <si>
    <t>Danny Roberts vs. Oliver Enkamp</t>
  </si>
  <si>
    <t>http://ufcstats.com/fight-details/288c942b0ad152a6</t>
  </si>
  <si>
    <t>Brendan O'Reilly vs. Alan Jouban</t>
  </si>
  <si>
    <t>http://ufcstats.com/fight-details/ee31f081cf576273</t>
  </si>
  <si>
    <t>Song Kenan vs. Max Griffin</t>
  </si>
  <si>
    <t>http://ufcstats.com/fight-details/edac9fd482177a64</t>
  </si>
  <si>
    <t>Callan Potter vs. Song Kenan</t>
  </si>
  <si>
    <t>http://ufcstats.com/fight-details/03c2707563915d7d</t>
  </si>
  <si>
    <t>Daniel Rodriguez vs. Dwight Grant</t>
  </si>
  <si>
    <t>http://ufcstats.com/fight-details/cfa0dbc7534f3545</t>
  </si>
  <si>
    <t>Jake Ellenberger vs. Bryan Barberena</t>
  </si>
  <si>
    <t>http://ufcstats.com/fight-details/aa91cb7567d6c48a</t>
  </si>
  <si>
    <t>Jack Della Maddalena vs. Ramazan Emeev</t>
  </si>
  <si>
    <t>http://ufcstats.com/fight-details/f115a91066a77ee7</t>
  </si>
  <si>
    <t>Demian Maia vs. Gilbert Burns</t>
  </si>
  <si>
    <t>http://ufcstats.com/fight-details/5cee1d8f1e43d6f5</t>
  </si>
  <si>
    <t>Mike Pyle vs. Zak Ottow</t>
  </si>
  <si>
    <t>http://ufcstats.com/fight-details/c6c975ca66a7f91a</t>
  </si>
  <si>
    <t>Andre Fialho vs. Cameron VanCamp</t>
  </si>
  <si>
    <t>http://ufcstats.com/fight-details/397dd9a8694ef413</t>
  </si>
  <si>
    <t>Warlley Alves vs. Mounir Lazzez</t>
  </si>
  <si>
    <t>http://ufcstats.com/fight-details/dd34dd337e637767</t>
  </si>
  <si>
    <t>Impa Kasanganay vs. Carlston Harris</t>
  </si>
  <si>
    <t>http://ufcstats.com/fight-details/06b3226c34c17001</t>
  </si>
  <si>
    <t>Steve Montgomery vs. Tony Sims</t>
  </si>
  <si>
    <t>http://ufcstats.com/fight-details/665e9a25c5d8c17f</t>
  </si>
  <si>
    <t>Li Jingliang vs. Anton Zafir</t>
  </si>
  <si>
    <t>http://ufcstats.com/fight-details/b3b5bd50fa34342c</t>
  </si>
  <si>
    <t>Kamaru Usman vs. Sergio Moraes</t>
  </si>
  <si>
    <t>http://ufcstats.com/fight-details/4c1fd940e1619e68</t>
  </si>
  <si>
    <t>Alan Jouban vs. Albert Tumenov</t>
  </si>
  <si>
    <t>http://ufcstats.com/fight-details/2615d94ab16380f9</t>
  </si>
  <si>
    <t>Daniel Rodriguez vs. Ian Garry</t>
  </si>
  <si>
    <t>http://ufcstats.com/fight-details/b0f4c7788782e26e</t>
  </si>
  <si>
    <t>Li Jingliang vs. Zak Ottow</t>
  </si>
  <si>
    <t>http://ufcstats.com/fight-details/52bae6f01ea9f926</t>
  </si>
  <si>
    <t>Jack Della Maddalena vs. Pete Rodriguez</t>
  </si>
  <si>
    <t>http://ufcstats.com/fight-details/0669231ebe3dd560</t>
  </si>
  <si>
    <t>Khamzat Chimaev vs. Rhys McKee</t>
  </si>
  <si>
    <t>http://ufcstats.com/fight-details/573d3a6984cbcd29</t>
  </si>
  <si>
    <t>Dong Hyun Kim vs. Dominic Waters</t>
  </si>
  <si>
    <t>http://ufcstats.com/fight-details/6ec62f8822843edf</t>
  </si>
  <si>
    <t>Sheldon Westcott vs. Edgar Garcia</t>
  </si>
  <si>
    <t>http://ufcstats.com/fight-details/d5778494ce663d7f</t>
  </si>
  <si>
    <t>Jack Della Maddalena vs. Danny Roberts</t>
  </si>
  <si>
    <t>http://ufcstats.com/fight-details/d0c01840c72429c6</t>
  </si>
  <si>
    <t>Bryan Barberena vs. Joe Proctor</t>
  </si>
  <si>
    <t>http://ufcstats.com/fight-details/7d4e11c2a9485320</t>
  </si>
  <si>
    <t>Johny Hendricks vs. Stephen Thompson</t>
  </si>
  <si>
    <t>http://ufcstats.com/fight-details/3cbbf947fd0d2144</t>
  </si>
  <si>
    <t>Alex Morono vs. Zak Ottow</t>
  </si>
  <si>
    <t>http://ufcstats.com/fight-details/583f2c3cd0e2385b</t>
  </si>
  <si>
    <t>Mike Pyle vs. Alex Garcia</t>
  </si>
  <si>
    <t>http://ufcstats.com/fight-details/31acf87e89a4a401</t>
  </si>
  <si>
    <t>Hyun Gyu Lim vs. Mike Perry</t>
  </si>
  <si>
    <t>http://ufcstats.com/fight-details/70f08a4771138817</t>
  </si>
  <si>
    <t>Elizeu Zaleski dos Santos vs. Sean Strickland</t>
  </si>
  <si>
    <t>http://ufcstats.com/fight-details/6b325792b8fb1f46</t>
  </si>
  <si>
    <t>Mickey Gall vs. Mike Malott</t>
  </si>
  <si>
    <t>http://ufcstats.com/fight-details/7458a37feabf8788</t>
  </si>
  <si>
    <t>Matt Brown vs. Diego Sanchez</t>
  </si>
  <si>
    <t>http://ufcstats.com/fight-details/b6b5ec324449befd</t>
  </si>
  <si>
    <t>Daniel Rodriguez vs. Preston Parsons</t>
  </si>
  <si>
    <t>http://ufcstats.com/fight-details/8151659b2bc16f0e</t>
  </si>
  <si>
    <t>Sabah Homasi vs. Abdul Razak Alhassan</t>
  </si>
  <si>
    <t>http://ufcstats.com/fight-details/f91709b071e8295a</t>
  </si>
  <si>
    <t>Vicente Luque vs. Derrick Krantz</t>
  </si>
  <si>
    <t>http://ufcstats.com/fight-details/083a6edd8bb21bc8</t>
  </si>
  <si>
    <t>Vicente Luque vs. Jalin Turner</t>
  </si>
  <si>
    <t>http://ufcstats.com/fight-details/48ea8a30f7b88cfc</t>
  </si>
  <si>
    <t>George Sullivan vs. Alexander Yakovlev</t>
  </si>
  <si>
    <t>http://ufcstats.com/fight-details/6eb4b84c4b10854a</t>
  </si>
  <si>
    <t>Jake Ellenberger vs. Jorge Masvidal</t>
  </si>
  <si>
    <t>http://ufcstats.com/fight-details/27ff7028ec8c2161</t>
  </si>
  <si>
    <t>Michael Morales vs. Trevin Giles</t>
  </si>
  <si>
    <t>http://ufcstats.com/fight-details/453283e947919ff7</t>
  </si>
  <si>
    <t>Neil Magny vs. Lorenz Larkin</t>
  </si>
  <si>
    <t>http://ufcstats.com/fight-details/ec067e9c9efd7aa1</t>
  </si>
  <si>
    <t>Matt Brown vs. Court McGee</t>
  </si>
  <si>
    <t>http://ufcstats.com/fight-details/f2ced83baf0457fc</t>
  </si>
  <si>
    <t>Shavkat Rakhmonov vs. Carlston Harris</t>
  </si>
  <si>
    <t>http://ufcstats.com/fight-details/6b4c2cc27855506a</t>
  </si>
  <si>
    <t>Chad Laprise vs. Galore Bofando</t>
  </si>
  <si>
    <t>http://ufcstats.com/fight-details/5b8d693bd1780102</t>
  </si>
  <si>
    <t>Court McGee vs. Santiago Ponzinibbio</t>
  </si>
  <si>
    <t>http://ufcstats.com/fight-details/110e1d794443b736</t>
  </si>
  <si>
    <t>Vicente Luque vs. Chad Laprise</t>
  </si>
  <si>
    <t>http://ufcstats.com/fight-details/47c140debc977214</t>
  </si>
  <si>
    <t>Donald Cerrone vs. Darren Till</t>
  </si>
  <si>
    <t>http://ufcstats.com/fight-details/aa7b1fca60a21f3a</t>
  </si>
  <si>
    <t>http://ufcstats.com/fight-details/6aea6d3e6944999c</t>
  </si>
  <si>
    <t>Jorge Masvidal vs. Cezar Ferreira</t>
  </si>
  <si>
    <t>http://ufcstats.com/fight-details/11aac355349ecc94</t>
  </si>
  <si>
    <t>Santiago Ponzinibbio vs. Li Jingliang</t>
  </si>
  <si>
    <t>http://ufcstats.com/fight-details/aeb7ff8ce6e1beac</t>
  </si>
  <si>
    <t>Santiago Ponzinibbio vs. Andreas Stahl</t>
  </si>
  <si>
    <t>http://ufcstats.com/fight-details/3636ca71c557c5e8</t>
  </si>
  <si>
    <t>Nordine Taleb vs. Muslim Salikhov</t>
  </si>
  <si>
    <t>http://ufcstats.com/fight-details/43496ff308e681a0</t>
  </si>
  <si>
    <t>Jake Ellenberger vs. Stephen Thompson</t>
  </si>
  <si>
    <t>http://ufcstats.com/fight-details/54a15700ab185420</t>
  </si>
  <si>
    <t>Neil Magny vs. Craig White</t>
  </si>
  <si>
    <t>http://ufcstats.com/fight-details/426ca5caeb857f1e</t>
  </si>
  <si>
    <t>Yusaku Kinoshita vs. Adam Fugitt</t>
  </si>
  <si>
    <t>http://ufcstats.com/fight-details/c63d8062c89c4c33</t>
  </si>
  <si>
    <t>James Moontasri vs. Anton Zafir</t>
  </si>
  <si>
    <t>http://ufcstats.com/fight-details/d20dc2d68305fc31</t>
  </si>
  <si>
    <t>Cathal Pendred vs. Tom Breese</t>
  </si>
  <si>
    <t>http://ufcstats.com/fight-details/2ad291d61792fd7d</t>
  </si>
  <si>
    <t>Miguel Baeza vs. Andre Fialho</t>
  </si>
  <si>
    <t>http://ufcstats.com/fight-details/7c5fc3fc7be4a997</t>
  </si>
  <si>
    <t>Donald Cerrone vs. Alex Morono</t>
  </si>
  <si>
    <t>http://ufcstats.com/fight-details/db2c805201a3116e</t>
  </si>
  <si>
    <t>Tim Means vs. Niko Price</t>
  </si>
  <si>
    <t>http://ufcstats.com/fight-details/aeb0322f619213b1</t>
  </si>
  <si>
    <t>Donald Cerrone vs. Yancy Medeiros</t>
  </si>
  <si>
    <t>http://ufcstats.com/fight-details/8f7a73d05387b159</t>
  </si>
  <si>
    <t>Luiz Dutra vs. Tom Breese</t>
  </si>
  <si>
    <t>http://ufcstats.com/fight-details/0c5640433ba44a1b</t>
  </si>
  <si>
    <t>Ian Garry vs. Jordan Williams</t>
  </si>
  <si>
    <t>http://ufcstats.com/fight-details/733dcfec0cc9b439</t>
  </si>
  <si>
    <t>Dwight Grant vs. Carlo Pedersoli Jr.</t>
  </si>
  <si>
    <t>http://ufcstats.com/fight-details/fd438db3e60f062a</t>
  </si>
  <si>
    <t>Brian Ebersole vs. Omari Akhmedov</t>
  </si>
  <si>
    <t>http://ufcstats.com/fight-details/245009a9e1a0f60b</t>
  </si>
  <si>
    <t>Matt Brown vs. Miguel Baeza</t>
  </si>
  <si>
    <t>http://ufcstats.com/fight-details/adac148ee6fa3bf7</t>
  </si>
  <si>
    <t>Tim Means vs. John Howard</t>
  </si>
  <si>
    <t>http://ufcstats.com/fight-details/69aa797cef2e4782</t>
  </si>
  <si>
    <t>Warlley Alves vs. Jeremiah Wells</t>
  </si>
  <si>
    <t>http://ufcstats.com/fight-details/81de3929330076d2</t>
  </si>
  <si>
    <t>Kevin Holland vs. Alex Oliveira</t>
  </si>
  <si>
    <t>http://ufcstats.com/fight-details/43b43c5d439b2f98</t>
  </si>
  <si>
    <t>Donald Cerrone vs. Jorge Masvidal</t>
  </si>
  <si>
    <t>http://ufcstats.com/fight-details/b91756d955e14d2e</t>
  </si>
  <si>
    <t>Jake Ellenberger vs. Mike Perry</t>
  </si>
  <si>
    <t>http://ufcstats.com/fight-details/3905e5dc489811d6</t>
  </si>
  <si>
    <t>Randy Brown vs. Niko Price</t>
  </si>
  <si>
    <t>http://ufcstats.com/fight-details/a3dd2249d046cf9d</t>
  </si>
  <si>
    <t>Patrick Cote vs. Ben Saunders</t>
  </si>
  <si>
    <t>http://ufcstats.com/fight-details/a7adbceeff234b61</t>
  </si>
  <si>
    <t>Mike Pyle vs. Alberto Mina</t>
  </si>
  <si>
    <t>http://ufcstats.com/fight-details/d18b33bdd37f4683</t>
  </si>
  <si>
    <t>Ben Saunders vs. Takashi Sato</t>
  </si>
  <si>
    <t>http://ufcstats.com/fight-details/80e68a6453e15ab9</t>
  </si>
  <si>
    <t>Elizeu Zaleski dos Santos vs. Luigi Vendramini</t>
  </si>
  <si>
    <t>http://ufcstats.com/fight-details/1c6d3ef6beb9966e</t>
  </si>
  <si>
    <t>Geoff Neal vs. Frank Camacho</t>
  </si>
  <si>
    <t>http://ufcstats.com/fight-details/6caf9ebf42ddae2e</t>
  </si>
  <si>
    <t>Hyun Gyu Lim vs. Neil Magny</t>
  </si>
  <si>
    <t>http://ufcstats.com/fight-details/14a40f30e0cb22c9</t>
  </si>
  <si>
    <t>Randy Brown vs. Brian Camozzi</t>
  </si>
  <si>
    <t>http://ufcstats.com/fight-details/02e3699be1d8daa2</t>
  </si>
  <si>
    <t>Erick Silva vs. Nordine Taleb</t>
  </si>
  <si>
    <t>http://ufcstats.com/fight-details/90a5ddd6738605d9</t>
  </si>
  <si>
    <t>Wendell Oliveira Marques vs. Darren Till</t>
  </si>
  <si>
    <t>http://ufcstats.com/fight-details/61d6b591430b6e25</t>
  </si>
  <si>
    <t>Ryan LaFlare vs. Alex Oliveira</t>
  </si>
  <si>
    <t>http://ufcstats.com/fight-details/d0e5487f55c57ad2</t>
  </si>
  <si>
    <t>Erick Silva vs. Yancy Medeiros</t>
  </si>
  <si>
    <t>http://ufcstats.com/fight-details/6c9fdcb95393a49c</t>
  </si>
  <si>
    <t>Rick Story vs. Donald Cerrone</t>
  </si>
  <si>
    <t>http://ufcstats.com/fight-details/781f9a642e7a9278</t>
  </si>
  <si>
    <t>Jason Witt vs. Phil Rowe</t>
  </si>
  <si>
    <t>http://ufcstats.com/fight-details/342779192b116314</t>
  </si>
  <si>
    <t>Andre Fialho vs. Jake Matthews</t>
  </si>
  <si>
    <t>http://ufcstats.com/fight-details/d7a7ba46c4f075d7</t>
  </si>
  <si>
    <t>James Krause vs. Warlley Alves</t>
  </si>
  <si>
    <t>http://ufcstats.com/fight-details/62fecd327391557e</t>
  </si>
  <si>
    <t>Peter Sobotta vs. Ben Saunders</t>
  </si>
  <si>
    <t>http://ufcstats.com/fight-details/8cdc9c13d75adb28</t>
  </si>
  <si>
    <t>Miguel Baeza vs. Hector Aldana</t>
  </si>
  <si>
    <t>http://ufcstats.com/fight-details/1d26ceb1c995655e</t>
  </si>
  <si>
    <t>Ben Saunders vs. Alan Jouban</t>
  </si>
  <si>
    <t>http://ufcstats.com/fight-details/093ebd3375591101</t>
  </si>
  <si>
    <t>Geoff Neal vs. Niko Price</t>
  </si>
  <si>
    <t>http://ufcstats.com/fight-details/e186bd5e556f1b5e</t>
  </si>
  <si>
    <t>Siyar Bahadurzada vs. Luan Chagas</t>
  </si>
  <si>
    <t>http://ufcstats.com/fight-details/dbed6292db8b0212</t>
  </si>
  <si>
    <t>Orion Cosce vs. Gilbert Urbina</t>
  </si>
  <si>
    <t>http://ufcstats.com/fight-details/7d583e4002622848</t>
  </si>
  <si>
    <t>Tim Means vs. Sabah Homasi</t>
  </si>
  <si>
    <t>http://ufcstats.com/fight-details/a69a6da9560ed62c</t>
  </si>
  <si>
    <t>Matt Brown vs. Dhiego Lima</t>
  </si>
  <si>
    <t>http://ufcstats.com/fight-details/2bdf774dc8b17504</t>
  </si>
  <si>
    <t>Darren Till vs. Jorge Masvidal</t>
  </si>
  <si>
    <t>http://ufcstats.com/fight-details/c6dd17ab89437805</t>
  </si>
  <si>
    <t>Santiago Ponzinibbio vs. Lorenz Larkin</t>
  </si>
  <si>
    <t>http://ufcstats.com/fight-details/87b0475688168a42</t>
  </si>
  <si>
    <t>Nordine Taleb vs. Sean Strickland</t>
  </si>
  <si>
    <t>http://ufcstats.com/fight-details/6fd7f6f1deaef4e8</t>
  </si>
  <si>
    <t>Sage Northcutt vs. Zak Ottow</t>
  </si>
  <si>
    <t>http://ufcstats.com/fight-details/543de77637ad2a20</t>
  </si>
  <si>
    <t>Andrew Craig vs. Lyman Good</t>
  </si>
  <si>
    <t>http://ufcstats.com/fight-details/c3b733bf084c2cd0</t>
  </si>
  <si>
    <t>Danny Roberts vs. Bobby Nash</t>
  </si>
  <si>
    <t>http://ufcstats.com/fight-details/1ccde17f48fb709e</t>
  </si>
  <si>
    <t>Gabe Green vs. Yohan Lainesse</t>
  </si>
  <si>
    <t>http://ufcstats.com/fight-details/5b731da9e4be4391</t>
  </si>
  <si>
    <t>Muslim Salikhov vs. Ricky Rainey</t>
  </si>
  <si>
    <t>http://ufcstats.com/fight-details/17c53d93d549cb03</t>
  </si>
  <si>
    <t>Diego Sanchez vs. Mickey Gall</t>
  </si>
  <si>
    <t>http://ufcstats.com/fight-details/e3826e06d68ed4af</t>
  </si>
  <si>
    <t>Andre Fialho vs. Joaquin Buckley</t>
  </si>
  <si>
    <t>http://ufcstats.com/fight-details/73700c8c5107f719</t>
  </si>
  <si>
    <t>Dwight Grant vs. Sergey Khandozhko</t>
  </si>
  <si>
    <t>http://ufcstats.com/fight-details/9b8a82276f06829f</t>
  </si>
  <si>
    <t>Thiago Alves vs. Curtis Millender</t>
  </si>
  <si>
    <t>http://ufcstats.com/fight-details/357a5bc5de4f545d</t>
  </si>
  <si>
    <t>Phil Rowe vs. Orion Cosce</t>
  </si>
  <si>
    <t>http://ufcstats.com/fight-details/fb9095887dca34c7</t>
  </si>
  <si>
    <t>http://ufcstats.com/fight-details/3a81276a9641c6a1</t>
  </si>
  <si>
    <t>Li Jingliang vs. Muslim Salikhov</t>
  </si>
  <si>
    <t>http://ufcstats.com/fight-details/dd456668731bd52a</t>
  </si>
  <si>
    <t>Song Kenan vs. Hector Aldana</t>
  </si>
  <si>
    <t>http://ufcstats.com/fight-details/b125025990755616</t>
  </si>
  <si>
    <t>Bobby Nash vs. Li Jingliang</t>
  </si>
  <si>
    <t>http://ufcstats.com/fight-details/c5865afc31cb6c59</t>
  </si>
  <si>
    <t>Belal Muhammad vs. Sean Brady</t>
  </si>
  <si>
    <t>http://ufcstats.com/fight-details/d325a1483d78ae75</t>
  </si>
  <si>
    <t>Robbie Lawler vs. Bryan Barberena</t>
  </si>
  <si>
    <t>http://ufcstats.com/fight-details/12a33d16e1d4e2d9</t>
  </si>
  <si>
    <t>Zelim Imadaev vs. Danny Roberts</t>
  </si>
  <si>
    <t>http://ufcstats.com/fight-details/071a1cd551b7b4d5</t>
  </si>
  <si>
    <t>Stephen Thompson vs. Anthony Pettis</t>
  </si>
  <si>
    <t>http://ufcstats.com/fight-details/56ae02578b1163ee</t>
  </si>
  <si>
    <t>Matt Brown vs. Ben Saunders</t>
  </si>
  <si>
    <t>http://ufcstats.com/fight-details/98dd88d83f57c17a</t>
  </si>
  <si>
    <t>Vicente Luque vs. Randy Brown</t>
  </si>
  <si>
    <t>http://ufcstats.com/fight-details/2fb1abeb337e0ccc</t>
  </si>
  <si>
    <t>Danny Roberts vs. Jonny Parsons</t>
  </si>
  <si>
    <t>http://ufcstats.com/fight-details/d54ebd2a3435a357</t>
  </si>
  <si>
    <t>Dominique Steele vs. Dong Hyun Ma</t>
  </si>
  <si>
    <t>http://ufcstats.com/fight-details/5a79d4b9a8f8352f</t>
  </si>
  <si>
    <t>Donald Cerrone vs. Matt Brown</t>
  </si>
  <si>
    <t>http://ufcstats.com/fight-details/96404a3b32791c8d</t>
  </si>
  <si>
    <t>Hector Lombard vs. Neil Magny</t>
  </si>
  <si>
    <t>http://ufcstats.com/fight-details/a26db2cee9eab1f9</t>
  </si>
  <si>
    <t>Ryan LaFlare vs. Anthony Rocco Martin</t>
  </si>
  <si>
    <t>http://ufcstats.com/fight-details/68ba4aca75b02496</t>
  </si>
  <si>
    <t>Miguel Baeza vs. Khaos Williams</t>
  </si>
  <si>
    <t>http://ufcstats.com/fight-details/8636b67096df4b27</t>
  </si>
  <si>
    <t>Andre Fialho vs. Muslim Salikhov</t>
  </si>
  <si>
    <t>http://ufcstats.com/fight-details/c317f85a8266313e</t>
  </si>
  <si>
    <t>Michael Morales vs. Adam Fugitt</t>
  </si>
  <si>
    <t>http://ufcstats.com/fight-details/e492dc60d8e44866</t>
  </si>
  <si>
    <t>Tim Means vs. Andre Fialho</t>
  </si>
  <si>
    <t>http://ufcstats.com/fight-details/b3c7a5a97978d156</t>
  </si>
  <si>
    <t>Patrick Cote vs. Joshua Burkman</t>
  </si>
  <si>
    <t>http://ufcstats.com/fight-details/499557c33e67deaf</t>
  </si>
  <si>
    <t>Chad Laprise vs. Brian Camozzi</t>
  </si>
  <si>
    <t>http://ufcstats.com/fight-details/19eed5d9781b47ac</t>
  </si>
  <si>
    <t>Vicente Luque vs. Geoff Neal</t>
  </si>
  <si>
    <t>http://ufcstats.com/fight-details/a6b328733d610e2b</t>
  </si>
  <si>
    <t>Alex Oliveira vs. Yancy Medeiros</t>
  </si>
  <si>
    <t>http://ufcstats.com/fight-details/54c5284c1b792912</t>
  </si>
  <si>
    <t>Max Griffin vs. Ramiz Brahimaj</t>
  </si>
  <si>
    <t>Elbow to Head In ClinchEar Injury</t>
  </si>
  <si>
    <t>http://ufcstats.com/fight-details/55019da3a4bd5d54</t>
  </si>
  <si>
    <t>Lyman Good vs. Chance Rencountre</t>
  </si>
  <si>
    <t>http://ufcstats.com/fight-details/a6c29d2cb319d923</t>
  </si>
  <si>
    <t>Colby Covington vs. Max Griffin</t>
  </si>
  <si>
    <t>http://ufcstats.com/fight-details/0294253e4a5b4725</t>
  </si>
  <si>
    <t>Omari Akhmedov vs. Sergio Moraes</t>
  </si>
  <si>
    <t>http://ufcstats.com/fight-details/1cc9816d18aa29d0</t>
  </si>
  <si>
    <t>Donald Cerrone vs. Patrick Cote</t>
  </si>
  <si>
    <t>http://ufcstats.com/fight-details/4b8c8ae61251ff83</t>
  </si>
  <si>
    <t>Matthew Semelsberger vs. Uros Medic</t>
  </si>
  <si>
    <t>http://ufcstats.com/fight-details/3de326b65aa6245d</t>
  </si>
  <si>
    <t>Louis Cosce vs. Sasha Palatnikov</t>
  </si>
  <si>
    <t>http://ufcstats.com/fight-details/91afc389191d41fb</t>
  </si>
  <si>
    <t>Bryan Barberena vs. Randy Brown</t>
  </si>
  <si>
    <t>http://ufcstats.com/fight-details/4096b302747d47b3</t>
  </si>
  <si>
    <t>Elizeu Zaleski dos Santos vs. Omari Akhmedov</t>
  </si>
  <si>
    <t>http://ufcstats.com/fight-details/815fd4ebdc288e83</t>
  </si>
  <si>
    <t>Kevin Holland vs. Santiago Ponzinibbio</t>
  </si>
  <si>
    <t>http://ufcstats.com/fight-details/3165b03ddc6d3b6e</t>
  </si>
  <si>
    <t>Niko Price vs. Phil Rowe</t>
  </si>
  <si>
    <t>http://ufcstats.com/fight-details/7fbf09533c59e43f</t>
  </si>
  <si>
    <t>Li Jingliang vs. David Zawada</t>
  </si>
  <si>
    <t>http://ufcstats.com/fight-details/21992c366d3b4602</t>
  </si>
  <si>
    <t>Warlley Alves vs. Sergio Moraes</t>
  </si>
  <si>
    <t>http://ufcstats.com/fight-details/2b038a467a89c73c</t>
  </si>
  <si>
    <t>Sergio Moraes vs. James Krause</t>
  </si>
  <si>
    <t>http://ufcstats.com/fight-details/aa232e53d285cc6d</t>
  </si>
  <si>
    <t>Augusto Montano vs. Belal Muhammad</t>
  </si>
  <si>
    <t>http://ufcstats.com/fight-details/4df1d3183929d021</t>
  </si>
  <si>
    <t>Ian Garry vs. Song Kenan</t>
  </si>
  <si>
    <t>http://ufcstats.com/fight-details/ed9f8f702585ed44</t>
  </si>
  <si>
    <t>Alex Garcia vs. Sean Strickland</t>
  </si>
  <si>
    <t>http://ufcstats.com/fight-details/607d22f0b3db4f1f</t>
  </si>
  <si>
    <t>Mike Pyle vs. Sean Spencer</t>
  </si>
  <si>
    <t>http://ufcstats.com/fight-details/d6e1205babf27a9d</t>
  </si>
  <si>
    <t>Nicholas Musoke vs. Bojan Velickovic</t>
  </si>
  <si>
    <t>http://ufcstats.com/fight-details/9c3f3bc7f7472e0c</t>
  </si>
  <si>
    <t>Danny Roberts vs. Mike Perry</t>
  </si>
  <si>
    <t>http://ufcstats.com/fight-details/85bec51d0bdf511f</t>
  </si>
  <si>
    <t>Li Jingliang vs. Elizeu Zaleski dos Santos</t>
  </si>
  <si>
    <t>http://ufcstats.com/fight-details/55480808b1fa1f9c</t>
  </si>
  <si>
    <t>Vicente Luque vs. Bryan Barberena</t>
  </si>
  <si>
    <t>http://ufcstats.com/fight-details/1521f94cafdfd783</t>
  </si>
  <si>
    <t>Leon Edwards vs. Peter Sobotta</t>
  </si>
  <si>
    <t>http://ufcstats.com/fight-details/e84fa12d87993ec5</t>
  </si>
  <si>
    <t>Neil Magny vs. Santiago Ponzinibbio</t>
  </si>
  <si>
    <t>http://ufcstats.com/fight-details/7e695ad026b2ec66</t>
  </si>
  <si>
    <t>Stephen Thompson vs. Kevin Holland</t>
  </si>
  <si>
    <t>http://ufcstats.com/fight-details/a419e6df765aa755</t>
  </si>
  <si>
    <t>Colby Covington vs. Tyron Woodley</t>
  </si>
  <si>
    <t>toRib injury</t>
  </si>
  <si>
    <t>http://ufcstats.com/fight-details/ca531425f5c042db</t>
  </si>
  <si>
    <t>Nicolas Dalby vs. Jesse Ronson</t>
  </si>
  <si>
    <t>Rear Naked ChokeFailed Drug Test by Ronson</t>
  </si>
  <si>
    <t>http://ufcstats.com/fight-details/407e1c6850e7022c</t>
  </si>
  <si>
    <t>Alex Morono vs. Niko Price</t>
  </si>
  <si>
    <t>Failed Drug Test by Price</t>
  </si>
  <si>
    <t>http://ufcstats.com/fight-details/48e51d4e7172048e</t>
  </si>
  <si>
    <t>Donald Cerrone vs. Niko Price</t>
  </si>
  <si>
    <t>Failed Drug Test by PriceEric Colon 27 - 29.Chris Lee 28 - 28.Ron McCarthy 28 - 28.</t>
  </si>
  <si>
    <t>http://ufcstats.com/fight-details/c0568b225d5f0fe6</t>
  </si>
  <si>
    <t>CM Punk vs. Mike Jackson</t>
  </si>
  <si>
    <t>Failed Drug Test by JacksonSal D'amato 30 - 26.Chris Lee 30 - 26.Brandon Mason 30 - 26.</t>
  </si>
  <si>
    <t>http://ufcstats.com/fight-details/64756e0f4b305da8</t>
  </si>
  <si>
    <t>Mickey Gall vs. Mike Jackson</t>
  </si>
  <si>
    <t>http://ufcstats.com/fight-details/ee9173615ef4cfae</t>
  </si>
  <si>
    <t>Gabriel Bonfim vs. Mounir Lazzez</t>
  </si>
  <si>
    <t>http://ufcstats.com/fight-details/7ed9e8f3258446c7</t>
  </si>
  <si>
    <t>Kevin Lee vs. Rinat Fakhretdinov</t>
  </si>
  <si>
    <t>http://ufcstats.com/fight-details/962e74250884e4c1</t>
  </si>
  <si>
    <t>Michel Prazeres vs. Bartosz Fabinski</t>
  </si>
  <si>
    <t>http://ufcstats.com/fight-details/410aca28fda60f76</t>
  </si>
  <si>
    <t>Mickey Gall vs. George Sullivan</t>
  </si>
  <si>
    <t>http://ufcstats.com/fight-details/67e1ec8ee2db3423</t>
  </si>
  <si>
    <t>Gabriel Bonfim vs. Trevin Giles</t>
  </si>
  <si>
    <t>http://ufcstats.com/fight-details/4327fe98e1b6f222</t>
  </si>
  <si>
    <t>Warlley Alves vs. Colby Covington</t>
  </si>
  <si>
    <t>http://ufcstats.com/fight-details/01924e35b149b28f</t>
  </si>
  <si>
    <t>Demian Maia vs. Carlos Condit</t>
  </si>
  <si>
    <t>http://ufcstats.com/fight-details/f19d1c8ca5660240</t>
  </si>
  <si>
    <t>Ramiz Brahimaj vs. Micheal Gillmore</t>
  </si>
  <si>
    <t>http://ufcstats.com/fight-details/c5d5fcf290cc029e</t>
  </si>
  <si>
    <t>Joshua Burkman vs. Alex Morono</t>
  </si>
  <si>
    <t>http://ufcstats.com/fight-details/5edd1cd479f3919e</t>
  </si>
  <si>
    <t>Jack Della Maddalena vs. Randy Brown</t>
  </si>
  <si>
    <t>http://ufcstats.com/fight-details/4f672dd40867d8c6</t>
  </si>
  <si>
    <t>Hayder Hassan vs. Vicente Luque</t>
  </si>
  <si>
    <t>Anaconda Choke After Drop to Guard</t>
  </si>
  <si>
    <t>http://ufcstats.com/fight-details/e1ec8774466db669</t>
  </si>
  <si>
    <t>CM Punk vs. Mickey Gall</t>
  </si>
  <si>
    <t>http://ufcstats.com/fight-details/26e6a2705a1e9e72</t>
  </si>
  <si>
    <t>Kyle Stewart vs. Chance Rencountre</t>
  </si>
  <si>
    <t>http://ufcstats.com/fight-details/e76227f395b94e47</t>
  </si>
  <si>
    <t>Donald Cerrone vs. Alex Oliveira</t>
  </si>
  <si>
    <t>Triangle Choke From Mount</t>
  </si>
  <si>
    <t>http://ufcstats.com/fight-details/214fa13c3f230259</t>
  </si>
  <si>
    <t>Sasha Palatnikov vs. Ramiz Brahimaj</t>
  </si>
  <si>
    <t>http://ufcstats.com/fight-details/47a157222b2c9092</t>
  </si>
  <si>
    <t>Claudio Silva vs. Cole Williams</t>
  </si>
  <si>
    <t>http://ufcstats.com/fight-details/f6ab2eec90980ac0</t>
  </si>
  <si>
    <t>Elizeu Zaleski dos Santos vs. Curtis Millender</t>
  </si>
  <si>
    <t>http://ufcstats.com/fight-details/710c7f8c7dc2af46</t>
  </si>
  <si>
    <t>Thiago Alves vs. Tim Means</t>
  </si>
  <si>
    <t>http://ufcstats.com/fight-details/57d04160f5438654</t>
  </si>
  <si>
    <t>Demian Maia vs. Lyman Good</t>
  </si>
  <si>
    <t>http://ufcstats.com/fight-details/ce246b336b6bd638</t>
  </si>
  <si>
    <t>Michael Chiesa vs. Kevin Holland</t>
  </si>
  <si>
    <t>http://ufcstats.com/fight-details/cbf1e76186a0c8b3</t>
  </si>
  <si>
    <t>Shinsho Anzai vs. Jake Matthews</t>
  </si>
  <si>
    <t>http://ufcstats.com/fight-details/ab6cd718c5459eeb</t>
  </si>
  <si>
    <t>Danny Roberts vs. Nathan Coy</t>
  </si>
  <si>
    <t>Triangle Choke From Bottom GuardTechnical Submission</t>
  </si>
  <si>
    <t>http://ufcstats.com/fight-details/3e875e1625bbdfbd</t>
  </si>
  <si>
    <t>Geoff Neal vs. Brian Camozzi</t>
  </si>
  <si>
    <t>http://ufcstats.com/fight-details/4335683beee93652</t>
  </si>
  <si>
    <t>Alex Oliveira vs. Randy Brown</t>
  </si>
  <si>
    <t>Rear Naked ChokeOne-arm RNC</t>
  </si>
  <si>
    <t>http://ufcstats.com/fight-details/512af32553d9bd70</t>
  </si>
  <si>
    <t>Abubakar Nurmagomedov vs. David Zawada</t>
  </si>
  <si>
    <t>http://ufcstats.com/fight-details/1af574c0814429ac</t>
  </si>
  <si>
    <t>KJ Noons vs. Alex Oliveira</t>
  </si>
  <si>
    <t>http://ufcstats.com/fight-details/bf658320ccd69021</t>
  </si>
  <si>
    <t>Christian Aguilera vs. Carlston Harris</t>
  </si>
  <si>
    <t>http://ufcstats.com/fight-details/37fda56a435a9b24</t>
  </si>
  <si>
    <t>Gunnar Nelson vs. Brandon Thatch</t>
  </si>
  <si>
    <t>http://ufcstats.com/fight-details/4b997af9fb321123</t>
  </si>
  <si>
    <t>Mickey Gall vs. Jordan Williams</t>
  </si>
  <si>
    <t>http://ufcstats.com/fight-details/1be65a0d2c1383f6</t>
  </si>
  <si>
    <t>Peter Sobotta vs. Steve Kennedy</t>
  </si>
  <si>
    <t>http://ufcstats.com/fight-details/008d0158831dcbd4</t>
  </si>
  <si>
    <t>Li Jingliang vs. Khamzat Chimaev</t>
  </si>
  <si>
    <t>http://ufcstats.com/fight-details/987cdcbc809e210d</t>
  </si>
  <si>
    <t>Robbie Lawler vs. Ben Askren</t>
  </si>
  <si>
    <t>Bulldog Choke On Ground</t>
  </si>
  <si>
    <t>http://ufcstats.com/fight-details/97dabff880f33202</t>
  </si>
  <si>
    <t>Michael Chiesa vs. Vicente Luque</t>
  </si>
  <si>
    <t>http://ufcstats.com/fight-details/efe985e626a0d8c0</t>
  </si>
  <si>
    <t>Neil Magny vs. Rafael Dos Anjos</t>
  </si>
  <si>
    <t>http://ufcstats.com/fight-details/b6082b551288aa5a</t>
  </si>
  <si>
    <t>Tyron Woodley vs. Vicente Luque</t>
  </si>
  <si>
    <t>http://ufcstats.com/fight-details/39d188fa9b95d550</t>
  </si>
  <si>
    <t>Mike Malott vs. Yohan Lainesse</t>
  </si>
  <si>
    <t>http://ufcstats.com/fight-details/00a94d5fc7ce55cf</t>
  </si>
  <si>
    <t>Gilbert Burns vs. Neil Magny</t>
  </si>
  <si>
    <t>http://ufcstats.com/fight-details/1c51f405e5c46572</t>
  </si>
  <si>
    <t>Zak Cummings vs. Nathan Coy</t>
  </si>
  <si>
    <t>http://ufcstats.com/fight-details/2a0d4dd0997bd712</t>
  </si>
  <si>
    <t>Brandon Thatch vs. Niko Price</t>
  </si>
  <si>
    <t>http://ufcstats.com/fight-details/d8c7497043e7e5bd</t>
  </si>
  <si>
    <t>Claudio Silva vs. Nordine Taleb</t>
  </si>
  <si>
    <t>http://ufcstats.com/fight-details/9dcf8ce308eaa050</t>
  </si>
  <si>
    <t>Jeremiah Wells vs. Blood Diamond</t>
  </si>
  <si>
    <t>http://ufcstats.com/fight-details/507080ccded73591</t>
  </si>
  <si>
    <t>Alex Oliveira vs. Shavkat Rakhmonov</t>
  </si>
  <si>
    <t>http://ufcstats.com/fight-details/5b062be91c65fb73</t>
  </si>
  <si>
    <t>Matt Brown vs. Tim Means</t>
  </si>
  <si>
    <t>http://ufcstats.com/fight-details/c4a7f7d8eb8fe484</t>
  </si>
  <si>
    <t>Donald Cerrone vs. Mike Perry</t>
  </si>
  <si>
    <t>http://ufcstats.com/fight-details/46cfd4aaa02ce202</t>
  </si>
  <si>
    <t>Kevin Jousset vs. Kiefer Crosbie</t>
  </si>
  <si>
    <t>http://ufcstats.com/fight-details/65c89e0c92e51bb8</t>
  </si>
  <si>
    <t>Gunnar Nelson vs. Bryan Barberena</t>
  </si>
  <si>
    <t>http://ufcstats.com/fight-details/019b4d006800504b</t>
  </si>
  <si>
    <t>Impa Kasanganay vs. Sasha Palatnikov</t>
  </si>
  <si>
    <t>http://ufcstats.com/fight-details/3209bcfaf95de90b</t>
  </si>
  <si>
    <t>Gunnar Nelson vs. Alan Jouban</t>
  </si>
  <si>
    <t>http://ufcstats.com/fight-details/7e6f91cbf8e93210</t>
  </si>
  <si>
    <t>Yancy Medeiros vs. Sean Spencer</t>
  </si>
  <si>
    <t>http://ufcstats.com/fight-details/1c85f793ea4f9caa</t>
  </si>
  <si>
    <t>Carlos Condit vs. Michael Chiesa</t>
  </si>
  <si>
    <t>http://ufcstats.com/fight-details/1ca41d3b11d88b36</t>
  </si>
  <si>
    <t>Mike Malott vs. Adam Fugitt</t>
  </si>
  <si>
    <t>http://ufcstats.com/fight-details/e9d5ffcacf7d8757</t>
  </si>
  <si>
    <t>Warlley Alves vs. Randy Brown</t>
  </si>
  <si>
    <t>http://ufcstats.com/fight-details/e6a0f19af995c432</t>
  </si>
  <si>
    <t>Tim Means vs. Kevin Holland</t>
  </si>
  <si>
    <t>http://ufcstats.com/fight-details/1bc662949337a8c4</t>
  </si>
  <si>
    <t>Jim Miller vs. Donald Cerrone</t>
  </si>
  <si>
    <t>http://ufcstats.com/fight-details/459bc7c0b47719c3</t>
  </si>
  <si>
    <t>AJ Fletcher vs. Themba Gorimbo</t>
  </si>
  <si>
    <t>http://ufcstats.com/fight-details/435ba9b407b844ef</t>
  </si>
  <si>
    <t>Sage Northcutt vs. Mickey Gall</t>
  </si>
  <si>
    <t>http://ufcstats.com/fight-details/23bc29f1b6baacad</t>
  </si>
  <si>
    <t>Sean Brady vs. Christian Aguilera</t>
  </si>
  <si>
    <t>http://ufcstats.com/fight-details/c5ba56d51f6b0171</t>
  </si>
  <si>
    <t>Tim Means vs. Alex Morono</t>
  </si>
  <si>
    <t>http://ufcstats.com/fight-details/838a022ca5d99cc1</t>
  </si>
  <si>
    <t>Cole Williams vs. Jason Witt</t>
  </si>
  <si>
    <t>http://ufcstats.com/fight-details/696ff200d98fa878</t>
  </si>
  <si>
    <t>Shavkat Rakhmonov vs. Michel Prazeres</t>
  </si>
  <si>
    <t>http://ufcstats.com/fight-details/086c2a0cae0835c4</t>
  </si>
  <si>
    <t>Randy Brown vs. Michael Graves</t>
  </si>
  <si>
    <t>http://ufcstats.com/fight-details/8d9c71e110196262</t>
  </si>
  <si>
    <t>Jake Matthews vs. Darrius Flowers</t>
  </si>
  <si>
    <t>http://ufcstats.com/fight-details/7a8f218c07347c88</t>
  </si>
  <si>
    <t>http://ufcstats.com/fight-details/24f156a78bd32026</t>
  </si>
  <si>
    <t>Demian Maia vs. Neil Magny</t>
  </si>
  <si>
    <t>http://ufcstats.com/fight-details/17daeb7e36e60cdf</t>
  </si>
  <si>
    <t>Sage Northcutt vs. Bryan Barberena</t>
  </si>
  <si>
    <t>http://ufcstats.com/fight-details/d2591df4fa9cc44e</t>
  </si>
  <si>
    <t>Albert Tumenov vs. Gunnar Nelson</t>
  </si>
  <si>
    <t>http://ufcstats.com/fight-details/03b9922d777e430c</t>
  </si>
  <si>
    <t>Carlos Condit vs. Alex Oliveira</t>
  </si>
  <si>
    <t>http://ufcstats.com/fight-details/e18a8b333529cc09</t>
  </si>
  <si>
    <t>Bryan Barberena vs. Rafael Dos Anjos</t>
  </si>
  <si>
    <t>http://ufcstats.com/fight-details/f17813d03fcd8e7a</t>
  </si>
  <si>
    <t>Muslim Salikhov vs. Alex Garcia</t>
  </si>
  <si>
    <t>http://ufcstats.com/fight-details/9f428684f3db247f</t>
  </si>
  <si>
    <t>Tim Means vs. Daniel Rodriguez</t>
  </si>
  <si>
    <t>http://ufcstats.com/fight-details/2dc48a745d6c662b</t>
  </si>
  <si>
    <t>Vicente Luque vs. Alvaro Herrera Mendoza</t>
  </si>
  <si>
    <t>http://ufcstats.com/fight-details/caf3ca7fc0195412</t>
  </si>
  <si>
    <t>Zak Cummings vs. Alexander Yakovlev</t>
  </si>
  <si>
    <t>http://ufcstats.com/fight-details/1b52e24d09700dd9</t>
  </si>
  <si>
    <t>Vicente Luque vs. Niko Price</t>
  </si>
  <si>
    <t>http://ufcstats.com/fight-details/4838bf4ca76c1c6b</t>
  </si>
  <si>
    <t>Warlley Alves vs. Nordine Taleb</t>
  </si>
  <si>
    <t>http://ufcstats.com/fight-details/72330020a732c635</t>
  </si>
  <si>
    <t>Conor McGregor vs. Nate Diaz</t>
  </si>
  <si>
    <t>http://ufcstats.com/fight-details/4ace70bff9debdfb</t>
  </si>
  <si>
    <t>Alex Oliveira vs. Gunnar Nelson</t>
  </si>
  <si>
    <t>http://ufcstats.com/fight-details/3a42dd84680f444b</t>
  </si>
  <si>
    <t>Niko Price vs. George Sullivan</t>
  </si>
  <si>
    <t>http://ufcstats.com/fight-details/4fcbee643660d679</t>
  </si>
  <si>
    <t>Miguel Baeza vs. Takashi Sato</t>
  </si>
  <si>
    <t>http://ufcstats.com/fight-details/28b6ee9c3eb8b753</t>
  </si>
  <si>
    <t>Bryan Battle vs. AJ Fletcher</t>
  </si>
  <si>
    <t>http://ufcstats.com/fight-details/bf647be41de365e4</t>
  </si>
  <si>
    <t>Sergio Moraes vs. Ben Saunders</t>
  </si>
  <si>
    <t>http://ufcstats.com/fight-details/b509c337d181c567</t>
  </si>
  <si>
    <t>Luan Chagas vs. Jim Wallhead</t>
  </si>
  <si>
    <t>http://ufcstats.com/fight-details/88e0de323a83f241</t>
  </si>
  <si>
    <t>Neil Magny vs. Shavkat Rakhmonov</t>
  </si>
  <si>
    <t>http://ufcstats.com/fight-details/3c98739eb42f96bf</t>
  </si>
  <si>
    <t>Kyle Noke vs. Keita Nakamura</t>
  </si>
  <si>
    <t>http://ufcstats.com/fight-details/bb0770ead53940f5</t>
  </si>
  <si>
    <t>Erick Montano vs. Randy Brown</t>
  </si>
  <si>
    <t>http://ufcstats.com/fight-details/30b33d032605c885</t>
  </si>
  <si>
    <t>Colby Covington vs. Jonathan Meunier</t>
  </si>
  <si>
    <t>http://ufcstats.com/fight-details/315b6e91a0239148</t>
  </si>
  <si>
    <t>Jake Matthews vs. Anthony Rocco Martin</t>
  </si>
  <si>
    <t>http://ufcstats.com/fight-details/60cc0ac9ace28324</t>
  </si>
  <si>
    <t>Jeremiah Wells vs. Carlston Harris</t>
  </si>
  <si>
    <t>http://ufcstats.com/fight-details/bda7992779a005fa</t>
  </si>
  <si>
    <t>Belal Muhammad vs. Takashi Sato</t>
  </si>
  <si>
    <t>http://ufcstats.com/fight-details/18aff757c54687f1</t>
  </si>
  <si>
    <t>Dong Hyun Kim vs. Joshua Burkman</t>
  </si>
  <si>
    <t>http://ufcstats.com/fight-details/c2f0a53cd67e1736</t>
  </si>
  <si>
    <t>Keita Nakamura vs. Li Jingliang</t>
  </si>
  <si>
    <t>http://ufcstats.com/fight-details/85e1b21ea88fe7e3</t>
  </si>
  <si>
    <t>Danny Roberts vs. Claudio Silva</t>
  </si>
  <si>
    <t>http://ufcstats.com/fight-details/8a8190f3f71408a4</t>
  </si>
  <si>
    <t>Leon Edwards vs. Albert Tumenov</t>
  </si>
  <si>
    <t>http://ufcstats.com/fight-details/47dfd70b5780d68a</t>
  </si>
  <si>
    <t>Sean Brady vs. Jake Matthews</t>
  </si>
  <si>
    <t>http://ufcstats.com/fight-details/7ad09f889d2cdb6f</t>
  </si>
  <si>
    <t>Neil Magny vs. Daniel Rodriguez</t>
  </si>
  <si>
    <t>http://ufcstats.com/fight-details/b279559f15ecf29b</t>
  </si>
  <si>
    <t>George Sullivan vs. Tim Means</t>
  </si>
  <si>
    <t>http://ufcstats.com/fight-details/bd246b9789f88e1c</t>
  </si>
  <si>
    <t>Demian Maia vs. Ben Askren</t>
  </si>
  <si>
    <t>http://ufcstats.com/fight-details/241a0833e1c76804</t>
  </si>
  <si>
    <t>Erick Silva vs. Luan Chagas</t>
  </si>
  <si>
    <t>http://ufcstats.com/fight-details/0e9b7e682e0a79f1</t>
  </si>
  <si>
    <t>Brandon Thatch vs. Siyar Bahadurzada</t>
  </si>
  <si>
    <t>http://ufcstats.com/fight-details/e86f7b7f3a047d2a</t>
  </si>
  <si>
    <t>Geoff Neal vs. Shavkat Rakhmonov</t>
  </si>
  <si>
    <t>http://ufcstats.com/fight-details/22fc6b3f4e48cfa3</t>
  </si>
  <si>
    <t>Demian Maia vs. Matt Brown</t>
  </si>
  <si>
    <t>http://ufcstats.com/fight-details/9231cef371b89a46</t>
  </si>
  <si>
    <t>Michel Pereira vs. Zelim Imadaev</t>
  </si>
  <si>
    <t>http://ufcstats.com/fight-details/0f279b25ccbecc76</t>
  </si>
  <si>
    <t>Nate Diaz vs. Tony Ferguson</t>
  </si>
  <si>
    <t>http://ufcstats.com/fight-details/7e8fd03e070d0c25</t>
  </si>
  <si>
    <t>Rafael Dos Anjos vs. Kevin Lee</t>
  </si>
  <si>
    <t>http://ufcstats.com/fight-details/d401522de73b7bee</t>
  </si>
  <si>
    <t>Carlos Condit vs. Thiago Alves</t>
  </si>
  <si>
    <t>Stoppage Between Rounds</t>
  </si>
  <si>
    <t>http://ufcstats.com/fight-details/8801fbb87bdedbe3</t>
  </si>
  <si>
    <t>Warlley Alves vs. Sultan Aliev</t>
  </si>
  <si>
    <t>http://ufcstats.com/fight-details/25da6035f591c245</t>
  </si>
  <si>
    <t>Shinsho Anzai vs. Roger Zapata</t>
  </si>
  <si>
    <t>Finger Injury</t>
  </si>
  <si>
    <t>http://ufcstats.com/fight-details/74e86c7782cafe27</t>
  </si>
  <si>
    <t>http://ufcstats.com/fight-details/3f810c3433dddb80</t>
  </si>
  <si>
    <t>Jorge Masvidal vs. Nate Diaz</t>
  </si>
  <si>
    <t>Facial Cuts</t>
  </si>
  <si>
    <t>http://ufcstats.com/fight-details/ac0a63ad13897564</t>
  </si>
  <si>
    <t>Karol Rosa vs. Lina Lansberg</t>
  </si>
  <si>
    <t>Ben Cartlidge 27 - 29.Darryl Ransom 27 - 29.David Lethaby 28 - 28.</t>
  </si>
  <si>
    <t>http://ufcstats.com/fight-details/4011cdf1f182804c</t>
  </si>
  <si>
    <t>Bethe Correia vs. Marion Reneau</t>
  </si>
  <si>
    <t>Marco Borges 27 - 29.Tony Weeks 28 - 28.Guilherme Bravo 28 - 28.</t>
  </si>
  <si>
    <t>http://ufcstats.com/fight-details/b03dd50785e761a0</t>
  </si>
  <si>
    <t>Tamires Vidal vs. Montserrat Rendon</t>
  </si>
  <si>
    <t>Junichiro Kamijo 28 - 29.Chris Leben 29 - 28.Jacob Montalvo 28 - 29.</t>
  </si>
  <si>
    <t>http://ufcstats.com/fight-details/0732e6b6eb0a607d</t>
  </si>
  <si>
    <t>Joselyne Edwards vs. Lucie Pudilova</t>
  </si>
  <si>
    <t>Ross Swanberg 28 - 29.Henry Guery 29 - 28.David Huyette 28 - 29.</t>
  </si>
  <si>
    <t>http://ufcstats.com/fight-details/8b2b2562884821a7</t>
  </si>
  <si>
    <t>Ketlen Vieira vs. Raquel Pennington</t>
  </si>
  <si>
    <t>Mike Bell 28 - 29.Sal D'amato 29 - 28.Derek Cleary 28 - 29.</t>
  </si>
  <si>
    <t>http://ufcstats.com/fight-details/622cc4ef46913020</t>
  </si>
  <si>
    <t>Joselyne Edwards vs. Ji Yeon Kim</t>
  </si>
  <si>
    <t>Seth Fuller 27 - 30.Steve Armstrong 29 - 28.Kent Basinger 28 - 29.</t>
  </si>
  <si>
    <t>http://ufcstats.com/fight-details/0366e183296fea07</t>
  </si>
  <si>
    <t>Karol Rosa vs. Lara Procopio</t>
  </si>
  <si>
    <t>Garth Harriman 28 - 29.Howard Hughes 27 - 30.Albert Shen 29 - 28.</t>
  </si>
  <si>
    <t>http://ufcstats.com/fight-details/a072be4f806d360f</t>
  </si>
  <si>
    <t>Raquel Pennington vs. Irene Aldana</t>
  </si>
  <si>
    <t>Ruben Carrion 29 - 28.Perry Hillin 28 - 29.Marcos Rosales 28 - 29.</t>
  </si>
  <si>
    <t>http://ufcstats.com/fight-details/017e0b7e864b0aa3</t>
  </si>
  <si>
    <t>Irene Aldana vs. Lucie Pudilova</t>
  </si>
  <si>
    <t>http://ufcstats.com/fight-details/a65909d4083c2088</t>
  </si>
  <si>
    <t>Cat Zingano vs. Ketlen Vieira</t>
  </si>
  <si>
    <t>Dave Hagen 28 - 29.Marcos Rosales 29 - 28.Sal D'amato 28 - 29.</t>
  </si>
  <si>
    <t>http://ufcstats.com/fight-details/1f52e665587dc645</t>
  </si>
  <si>
    <t>Katlyn Chookagian vs. Irene Aldana</t>
  </si>
  <si>
    <t>Jeff Mullen 28 - 29.Eric Colon 28 - 29.Derek Cleary 29 - 28.</t>
  </si>
  <si>
    <t>http://ufcstats.com/fight-details/2464a75ee75dbf2f</t>
  </si>
  <si>
    <t>Liz Carmouche vs. Katlyn Chookagian</t>
  </si>
  <si>
    <t>Cardo Urso 28 - 29.Glenn Trowbridge 29 - 28.Chris Lee 28 - 29.</t>
  </si>
  <si>
    <t>http://ufcstats.com/fight-details/706228ddb6076b3f</t>
  </si>
  <si>
    <t>Kelly Faszholz vs. Ketlen Vieira</t>
  </si>
  <si>
    <t>Jeff Mullen 29 - 28.Rick Campos 28 - 29.Sal D'amato 28 - 29.</t>
  </si>
  <si>
    <t>http://ufcstats.com/fight-details/98e3b4d05ecc36a2</t>
  </si>
  <si>
    <t>Jessica Eye vs. Bethe Correia</t>
  </si>
  <si>
    <t>Eric Colon 28 - 29.Sal D'amato 29 - 28.Derek Cleary 28 - 29.</t>
  </si>
  <si>
    <t>http://ufcstats.com/fight-details/e9ffcf05270a320a</t>
  </si>
  <si>
    <t>Bethe Correia vs. Raquel Pennington</t>
  </si>
  <si>
    <t>Sal D'amato 28 - 29.Richard Davis 29 - 28.Chris Lee 28 - 29.</t>
  </si>
  <si>
    <t>http://ufcstats.com/fight-details/377c8eb085bb8e00</t>
  </si>
  <si>
    <t>Marion Reneau vs. Ashlee Evans-Smith</t>
  </si>
  <si>
    <t>Andrew Adkins 27 - 30.Phil Rogers 29 - 28.John Lapcevic 28 - 29.</t>
  </si>
  <si>
    <t>http://ufcstats.com/fight-details/5d000de6fa836f66</t>
  </si>
  <si>
    <t>Sarah Kaufman vs. Valentina Shevchenko</t>
  </si>
  <si>
    <t>Barry Luxenberg 29 - 28.Don Balas 28 - 29.Hector Gomez 28 - 29.</t>
  </si>
  <si>
    <t>http://ufcstats.com/fight-details/b26ec098a5a57401</t>
  </si>
  <si>
    <t>Holly Holm vs. Ketlen Vieira</t>
  </si>
  <si>
    <t>Mike Bell 47 - 48.Sal D'amato 48 - 47.Derek Cleary 47 - 48.</t>
  </si>
  <si>
    <t>http://ufcstats.com/fight-details/7a2c841693b54dd7</t>
  </si>
  <si>
    <t>http://ufcstats.com/fight-details/5b7b5b01f4dcbd9c</t>
  </si>
  <si>
    <t>http://ufcstats.com/fight-details/1ba282da76ca82ad</t>
  </si>
  <si>
    <t>Nora Cornolle vs. Joselyne Edwards</t>
  </si>
  <si>
    <t>Ben Cartlidge 27 - 30.Damien Gluski 27 - 30.Clemens Werner 28 - 29.</t>
  </si>
  <si>
    <t>http://ufcstats.com/fight-details/e3a5a7ede88a2555</t>
  </si>
  <si>
    <t>Ketlen Vieira vs. Pannie Kianzad</t>
  </si>
  <si>
    <t>Mike Bell 28 - 29.Ben Cartlidge 28 - 29.Cezary Wojciechowski 28 - 29.</t>
  </si>
  <si>
    <t>http://ufcstats.com/fight-details/a0bc695b35f155f1</t>
  </si>
  <si>
    <t>Ashlee Evans-Smith vs. Ailin Perez</t>
  </si>
  <si>
    <t>Mike Bell 25 - 30.Derek Cleary 25 - 30.Brian Puccillo 26 - 30.</t>
  </si>
  <si>
    <t>http://ufcstats.com/fight-details/cae7de0873e03947</t>
  </si>
  <si>
    <t>Hailey Cowan vs. Jamey-Lyn Horth</t>
  </si>
  <si>
    <t>Junichiro Kamijo 28 - 29.Anthony Maness 28 - 29.Ron McCarthy 28 - 29.</t>
  </si>
  <si>
    <t>http://ufcstats.com/fight-details/e434035be5453be0</t>
  </si>
  <si>
    <t>Holly Holm vs. Yana Santos</t>
  </si>
  <si>
    <t>Chris Lee 26 - 30.Sal D'amato 27 - 30.Jason Herzog 27 - 30.</t>
  </si>
  <si>
    <t>http://ufcstats.com/fight-details/1c2d0db1c9eed052</t>
  </si>
  <si>
    <t>Mayra Bueno Silva vs. Wu Yanan</t>
  </si>
  <si>
    <t>Mike Bell 28 - 29.Adalaide Byrd 28 - 29.Junichiro Kamijo 27 - 30.</t>
  </si>
  <si>
    <t>http://ufcstats.com/fight-details/2e94ee4b9f5fddea</t>
  </si>
  <si>
    <t>Lina Lansberg vs. Pannie Kianzad</t>
  </si>
  <si>
    <t>Mike Bell 28 - 29.Derek Cleary 28 - 29.Junichiro Kamijo 28 - 29.</t>
  </si>
  <si>
    <t>http://ufcstats.com/fight-details/c20e6697335c3b3d</t>
  </si>
  <si>
    <t>Aspen Ladd vs. Raquel Pennington</t>
  </si>
  <si>
    <t>Sal D'amato 28 - 29.Eric Colon 28 - 29.Barry Luxenberg 28 - 29.</t>
  </si>
  <si>
    <t>http://ufcstats.com/fight-details/88c6e7f71b79fd65</t>
  </si>
  <si>
    <t>Sara McMann vs. Karol Rosa</t>
  </si>
  <si>
    <t>http://ufcstats.com/fight-details/bb31c77bddd1317e</t>
  </si>
  <si>
    <t>Alexis Davis vs. Julija Stoliarenko</t>
  </si>
  <si>
    <t>Derek Cleary 27 - 29.Eric Colon 27 - 29.Sal D'amato 27 - 30.</t>
  </si>
  <si>
    <t>http://ufcstats.com/fight-details/673ed36fa5c12d5f</t>
  </si>
  <si>
    <t>Jessica-Rose Clark vs. Joselyne Edwards</t>
  </si>
  <si>
    <t>Sal D'amato 27 - 30.Ron McCarthy 27 - 30.Eric Colon 28 - 29.</t>
  </si>
  <si>
    <t>http://ufcstats.com/fight-details/69167b996ce7a7e4</t>
  </si>
  <si>
    <t>Bethe Correia vs. Karol Rosa</t>
  </si>
  <si>
    <t>Sal D'amato 27 - 30.Adalaide Byrd 27 - 30.Chris Lee 26 - 30.</t>
  </si>
  <si>
    <t>http://ufcstats.com/fight-details/16d31775a8dcb31d</t>
  </si>
  <si>
    <t>Pannie Kianzad vs. Raquel Pennington</t>
  </si>
  <si>
    <t>http://ufcstats.com/fight-details/2d42742aade53799</t>
  </si>
  <si>
    <t>Pannie Kianzad vs. Alexis Davis</t>
  </si>
  <si>
    <t>Junichiro Kamijo 27 - 30.Chris Flores 27 - 30.Mike Bell 28 - 29.</t>
  </si>
  <si>
    <t>http://ufcstats.com/fight-details/34d38d77c1d3f00e</t>
  </si>
  <si>
    <t>Marion Reneau vs. Macy Chiasson</t>
  </si>
  <si>
    <t>http://ufcstats.com/fight-details/dcfbbebc0aee6ded</t>
  </si>
  <si>
    <t>Alexis Davis vs. Sabina Mazo</t>
  </si>
  <si>
    <t>Mike Bell 27 - 30.Tony Weeks 27 - 30.Derek Cleary 26 - 30.</t>
  </si>
  <si>
    <t>http://ufcstats.com/fight-details/a7315147a7022a93</t>
  </si>
  <si>
    <t>Ketlen Vieira vs. Yana Kunitskaya</t>
  </si>
  <si>
    <t>http://ufcstats.com/fight-details/a4814d682954e8ab</t>
  </si>
  <si>
    <t>Karol Rosa vs. Joselyne Edwards</t>
  </si>
  <si>
    <t>http://ufcstats.com/fight-details/8c34e1e0d842618d</t>
  </si>
  <si>
    <t>Wu Yanan vs. Joselyne Edwards</t>
  </si>
  <si>
    <t>Lukasz Bosacki 27 - 30.Anders Ohlsson 27 - 30.Ben Cartlidge 28 - 29.</t>
  </si>
  <si>
    <t>http://ufcstats.com/fight-details/97ad63e644757cf4</t>
  </si>
  <si>
    <t>Sarah Moras vs. Vanessa Melo</t>
  </si>
  <si>
    <t>Lukasz Bosacki 27 - 30.Anders Ohlsson 28 - 29.Clemens Werner 28 - 29.</t>
  </si>
  <si>
    <t>http://ufcstats.com/fight-details/97c80f69ac312030</t>
  </si>
  <si>
    <t>Sijara Eubanks vs. Pannie Kianzad</t>
  </si>
  <si>
    <t>Derek Cleary 28 - 29.Sal D'amato 28 - 29.Junichiro Kamijo 28 - 29.</t>
  </si>
  <si>
    <t>http://ufcstats.com/fight-details/4cb249714ff56656</t>
  </si>
  <si>
    <t>Ashlee Evans-Smith vs. Norma Dumont</t>
  </si>
  <si>
    <t>Mike Bell 26 - 30.Derek Cleary 26 - 30.Dave Hagen 26 - 30.</t>
  </si>
  <si>
    <t>http://ufcstats.com/fight-details/2a7909acde26a240</t>
  </si>
  <si>
    <t>Tracy Cortez vs. Stephanie Egger</t>
  </si>
  <si>
    <t>Vito Paolillo 27 - 30.Darryl Ransom 27 - 30.Clemens Werner 27 - 30.</t>
  </si>
  <si>
    <t>http://ufcstats.com/fight-details/849cc2c331e9b24f</t>
  </si>
  <si>
    <t>Ketlen Vieira vs. Sijara Eubanks</t>
  </si>
  <si>
    <t>Mike Bell 28 - 29.Anders Ohlsson 28 - 29.Dave Tirelli 28 - 29.</t>
  </si>
  <si>
    <t>http://ufcstats.com/fight-details/e842c6f63fa2e27a</t>
  </si>
  <si>
    <t>Julia Avila vs. Sijara Eubanks</t>
  </si>
  <si>
    <t>Ron McCarthy 27 - 29.Sal D'amato 27 - 29.Mike Bell 27 - 29.</t>
  </si>
  <si>
    <t>http://ufcstats.com/fight-details/cf0e0f95524f187a</t>
  </si>
  <si>
    <t>Yana Kunitskaya vs. Julija Stoliarenko</t>
  </si>
  <si>
    <t>Derek Cleary 26 - 30.Eric Colon 27 - 30.Ron McCarthy 27 - 30.</t>
  </si>
  <si>
    <t>http://ufcstats.com/fight-details/ad62675e819e92fc</t>
  </si>
  <si>
    <t>Bethe Correia vs. Pannie Kianzad</t>
  </si>
  <si>
    <t>Lukasz Bosacki 27 - 30.Clemens Werner 27 - 30.David Lethaby 28 - 29.</t>
  </si>
  <si>
    <t>http://ufcstats.com/fight-details/54bbc7974df586a1</t>
  </si>
  <si>
    <t>Karol Rosa vs. Vanessa Melo</t>
  </si>
  <si>
    <t>David Lethaby 26 - 30.Anders Ohlsson 27 - 29.Clemens Werner 26 - 30.</t>
  </si>
  <si>
    <t>http://ufcstats.com/fight-details/08e48648e3504638</t>
  </si>
  <si>
    <t>Raquel Pennington vs. Marion Reneau</t>
  </si>
  <si>
    <t>Mike Bell 28 - 29.Eric Colon 27 - 30.Sal D'amato 28 - 29.</t>
  </si>
  <si>
    <t>http://ufcstats.com/fight-details/8b9e9f283e76b429</t>
  </si>
  <si>
    <t>Sijara Eubanks vs. Sarah Moras</t>
  </si>
  <si>
    <t>Chris Lee 27 - 30.Dave Tirelli 27 - 30.Barry Luxenberg 26 - 30.</t>
  </si>
  <si>
    <t>http://ufcstats.com/fight-details/fbbba3da4438cb04</t>
  </si>
  <si>
    <t>Veronica Macedo vs. Bea Malecki</t>
  </si>
  <si>
    <t>Sal D'amato 28 - 29.Joseph Terrell 28 - 29.Hallison Pontes 28 - 29.</t>
  </si>
  <si>
    <t>http://ufcstats.com/fight-details/ef526567c4dcf371</t>
  </si>
  <si>
    <t>Macy Chiasson vs. Shanna Young</t>
  </si>
  <si>
    <t>Mark Sanchez 26 - 30.Glenn Trowbridge 26 - 30.Tony Weeks 26 - 30.</t>
  </si>
  <si>
    <t>http://ufcstats.com/fight-details/d629aa5eb31a1e38</t>
  </si>
  <si>
    <t>Sara McMann vs. Lina Lansberg</t>
  </si>
  <si>
    <t>David Ebert 27 - 30.Chris Lee 26 - 30.Eric Colon 25 - 30.</t>
  </si>
  <si>
    <t>http://ufcstats.com/fight-details/79161bde28636128</t>
  </si>
  <si>
    <t>Holly Holm vs. Raquel Pennington</t>
  </si>
  <si>
    <t>Mike Bell 28 - 29.Eric Colon 27 - 30.Ron McCarthy 27 - 30.</t>
  </si>
  <si>
    <t>http://ufcstats.com/fight-details/36032308b7e86fd0</t>
  </si>
  <si>
    <t>Vanessa Melo vs. Tracy Cortez</t>
  </si>
  <si>
    <t>Sal D'amato 27 - 30.Marcelo Vilhena 27 - 30.Hallison Pontes 27 - 29.</t>
  </si>
  <si>
    <t>http://ufcstats.com/fight-details/18e1b0df8da7010e</t>
  </si>
  <si>
    <t>Jessica-Rose Clark vs. Pannie Kianzad</t>
  </si>
  <si>
    <t>Mark Collett 27 - 30.David Lethaby 27 - 30.Magomed Magomedov 27 - 30.</t>
  </si>
  <si>
    <t>http://ufcstats.com/fight-details/c814ef3b3a26e2fe</t>
  </si>
  <si>
    <t>Macy Chiasson vs. Lina Lansberg</t>
  </si>
  <si>
    <t>Thomas Knudsen 27 - 29.Paul Sutherland 27 - 29.Andy Roberts 28 - 29.</t>
  </si>
  <si>
    <t>http://ufcstats.com/fight-details/0a3df9b1918cfc2f</t>
  </si>
  <si>
    <t>Irene Aldana vs. Vanessa Melo</t>
  </si>
  <si>
    <t>Doug Crosby 26 - 30.Junichiro Kamijo 26 - 30.Brian Puccillo 26 - 30.</t>
  </si>
  <si>
    <t>http://ufcstats.com/fight-details/c163ed45c21c8548</t>
  </si>
  <si>
    <t>Sijara Eubanks vs. Bethe Correia</t>
  </si>
  <si>
    <t>Doug Crosby 28 - 29.Junichiro Kamijo 28 - 29.Rick Winter 28 - 29.</t>
  </si>
  <si>
    <t>http://ufcstats.com/fight-details/c2b842fae4e9f1dc</t>
  </si>
  <si>
    <t>Julianna Pena vs. Nicco Montano</t>
  </si>
  <si>
    <t>Mike Bell 28 - 29.Derek Cleary 28 - 29.Ron McCarthy 27 - 29.</t>
  </si>
  <si>
    <t>http://ufcstats.com/fight-details/60be02c5566c8348</t>
  </si>
  <si>
    <t>Julia Avila vs. Pannie Kianzad</t>
  </si>
  <si>
    <t>Junichiro Kamijo 27 - 30.Derek Cleary 26 - 30.Patricia Morse-Jarman 26 - 30.</t>
  </si>
  <si>
    <t>http://ufcstats.com/fight-details/934b44ddcb3d95e6</t>
  </si>
  <si>
    <t>Tonya Evinger vs. Lina Lansberg</t>
  </si>
  <si>
    <t>David Lethaby 26 - 30.Anders Ohlsson 27 - 30.Dave Tirelli 26 - 30.</t>
  </si>
  <si>
    <t>http://ufcstats.com/fight-details/f993be991eea6016</t>
  </si>
  <si>
    <t>Aspen Ladd vs. Sijara Eubanks</t>
  </si>
  <si>
    <t>Derek Cleary 28 - 29.Bryan Miner 27 - 29.Eric Colon 26 - 30.</t>
  </si>
  <si>
    <t>http://ufcstats.com/fight-details/1f5178fe56c5423f</t>
  </si>
  <si>
    <t>Marion Reneau vs. Yana Kunitskaya</t>
  </si>
  <si>
    <t>Kevin Chamion 28 - 29.Derek Cleary 28 - 29.Sal D'amato 28 - 29.</t>
  </si>
  <si>
    <t>http://ufcstats.com/fight-details/fb34734f84d0a14d</t>
  </si>
  <si>
    <t>Raquel Pennington vs. Germaine de Randamie</t>
  </si>
  <si>
    <t>Chris Lee 27 - 30.Derek Cleary 27 - 30.Ben Ramirez 27 - 30.</t>
  </si>
  <si>
    <t>http://ufcstats.com/fight-details/0a667143584a2d96</t>
  </si>
  <si>
    <t>Sarah Moras vs. Talita Bernardo</t>
  </si>
  <si>
    <t>Doug Crosby 27 - 30.Emile Arsenault 28 - 29.James Locke 28 - 29.</t>
  </si>
  <si>
    <t>http://ufcstats.com/fight-details/8dcfa933877e3a0b</t>
  </si>
  <si>
    <t>Lina Lansberg vs. Yana Kunitskaya</t>
  </si>
  <si>
    <t>Sal D'amato 27 - 30.Marcos Rosales 27 - 30.Adalaide Byrd 27 - 30.</t>
  </si>
  <si>
    <t>http://ufcstats.com/fight-details/21be9181725ab599</t>
  </si>
  <si>
    <t>Cat Zingano vs. Marion Reneau</t>
  </si>
  <si>
    <t>Dave Hagen 27 - 30.Tim Turner 27 - 30.Tony Weeks 26 - 30.</t>
  </si>
  <si>
    <t>http://ufcstats.com/fight-details/691c0d2f30e4de5a</t>
  </si>
  <si>
    <t>Lina Lansberg vs. Gina Mazany</t>
  </si>
  <si>
    <t>Howard Hughes 27 - 30.Andy Roberts 27 - 30.Mark Collett 28 - 29.</t>
  </si>
  <si>
    <t>http://ufcstats.com/fight-details/b3096e8dd4e90718</t>
  </si>
  <si>
    <t>Sarah Moras vs. Lucie Pudilova</t>
  </si>
  <si>
    <t>Jennie Cardenas 28 - 29.Jay Stafin 28 - 29.Anthony Townsend 27 - 29.</t>
  </si>
  <si>
    <t>http://ufcstats.com/fight-details/0bfb221a0944f8e0</t>
  </si>
  <si>
    <t>Talita Bernardo vs. Irene Aldana</t>
  </si>
  <si>
    <t>Chris Lee 27 - 30.Marcos Rosales 27 - 30.Justin Brown 27 - 30.</t>
  </si>
  <si>
    <t>http://ufcstats.com/fight-details/738e0ccad2c9224b</t>
  </si>
  <si>
    <t>Wu Yanan vs. Gina Mazany</t>
  </si>
  <si>
    <t>Evan Field 27 - 30.Kon Papaioannou 27 - 30.Christopher Shen 27 - 30.</t>
  </si>
  <si>
    <t>http://ufcstats.com/fight-details/e5fbb99bc3907516</t>
  </si>
  <si>
    <t>Ji Yeon Kim vs. Lucie Pudilova</t>
  </si>
  <si>
    <t>http://ufcstats.com/fight-details/7d14f95d03afb359</t>
  </si>
  <si>
    <t>Alexis Davis vs. Cindy Dandois</t>
  </si>
  <si>
    <t>Chris Lee 28 - 29.Jeff Mullen 28 - 29.Roy Silbert 28 - 29.</t>
  </si>
  <si>
    <t>http://ufcstats.com/fight-details/f313eae425b7c539</t>
  </si>
  <si>
    <t>Ashlee Evans-Smith vs. Ketlen Vieira</t>
  </si>
  <si>
    <t>http://ufcstats.com/fight-details/94ce682e4a3e556a</t>
  </si>
  <si>
    <t>Lina Lansberg vs. Lucie Pudilova</t>
  </si>
  <si>
    <t>Mark Collett 28 - 29.Howard Hughes 28 - 29.Paul Sutherland 28 - 29.</t>
  </si>
  <si>
    <t>http://ufcstats.com/fight-details/0bb419537705fb04</t>
  </si>
  <si>
    <t>Leslie Smith vs. Irene Aldana</t>
  </si>
  <si>
    <t>Mike Guingona 28 - 29.Wade Vierra 28 - 29.Brandon Saucedo 27 - 30.</t>
  </si>
  <si>
    <t>http://ufcstats.com/fight-details/d77ace7aadb2383e</t>
  </si>
  <si>
    <t>Miesha Tate vs. Raquel Pennington</t>
  </si>
  <si>
    <t>Doug Crosby 28 - 29.Jeff Mullen 27 - 30.Derek Cleary 27 - 30.</t>
  </si>
  <si>
    <t>http://ufcstats.com/fight-details/9ebfd601c43b89b3</t>
  </si>
  <si>
    <t>Raquel Pennington vs. Elizabeth Phillips</t>
  </si>
  <si>
    <t>Tony Weeks 27 - 30.Adalaide Byrd 27 - 30.Jeff Mullen 27 - 30.</t>
  </si>
  <si>
    <t>http://ufcstats.com/fight-details/6b6680338558bd46</t>
  </si>
  <si>
    <t>Lauren Murphy vs. Katlyn Chookagian</t>
  </si>
  <si>
    <t>Sal D'amato 28 - 29.Jeff Mullen 28 - 29.Shawn Ruml 28 - 29.</t>
  </si>
  <si>
    <t>http://ufcstats.com/fight-details/ee46c069ebe691ff</t>
  </si>
  <si>
    <t>Cat Zingano vs. Julianna Pena</t>
  </si>
  <si>
    <t>Glenn Trowbridge 28 - 29.Chris Lee 28 - 29.Marcos Rosales 28 - 29.</t>
  </si>
  <si>
    <t>http://ufcstats.com/fight-details/96c93167c982c467</t>
  </si>
  <si>
    <t>Sara McMann vs. Jessica Eye</t>
  </si>
  <si>
    <t>Dave Hagen 27 - 30.Sal D'amato 27 - 30.Junichiro Kamijo 27 - 30.</t>
  </si>
  <si>
    <t>http://ufcstats.com/fight-details/934718256f4d082c</t>
  </si>
  <si>
    <t>Leslie Smith vs. Rin Nakai</t>
  </si>
  <si>
    <t>Albert Shen 27 - 30.Evan Field 28 - 29.Peter Hickmont 28 - 29.</t>
  </si>
  <si>
    <t>http://ufcstats.com/fight-details/aa92030dfd8b5d40</t>
  </si>
  <si>
    <t>Junichiro Kamijo 28 - 29.Glenn Trowbridge 27 - 29.Lester Griffin 27 - 29.</t>
  </si>
  <si>
    <t>http://ufcstats.com/fight-details/ba2f3b9a12400aa0</t>
  </si>
  <si>
    <t>Jessica Eye vs. Julianna Pena</t>
  </si>
  <si>
    <t>Joshua Ferraro 27 - 29.Patrick Patlan 27 - 29.Chris Reed 27 - 29.</t>
  </si>
  <si>
    <t>http://ufcstats.com/fight-details/bdc1561ed4c6e22f</t>
  </si>
  <si>
    <t>Miesha Tate vs. Jessica Eye</t>
  </si>
  <si>
    <t>Sal D'amato 27 - 30.Brian Puccillo 27 - 30.Rick Winter 27 - 30.</t>
  </si>
  <si>
    <t>http://ufcstats.com/fight-details/05065fa2bc3693b4</t>
  </si>
  <si>
    <t>Jessamyn Duke vs. Elizabeth Phillips</t>
  </si>
  <si>
    <t>Kelvin Caldwell 28 - 29.Brian Puccillo 28 - 29.Gabriel Sabaitis 28 - 29.</t>
  </si>
  <si>
    <t>http://ufcstats.com/fight-details/53efc226c8eaf768</t>
  </si>
  <si>
    <t>Holly Holm vs. Marion Reneau</t>
  </si>
  <si>
    <t>Mark Smith 27 - 30.Wade Vierra 26 - 30.Mike Beltran 28 - 29.</t>
  </si>
  <si>
    <t>http://ufcstats.com/fight-details/fd984e8a9e25c927</t>
  </si>
  <si>
    <t>Jessica Andrade vs. Sarah Moras</t>
  </si>
  <si>
    <t>Mike Beltran 26 - 30.Derek Cleary 26 - 30.Mark Smith 27 - 30.</t>
  </si>
  <si>
    <t>http://ufcstats.com/fight-details/d447919ec1a9f34c</t>
  </si>
  <si>
    <t>Ketlen Vieira vs. Miesha Tate</t>
  </si>
  <si>
    <t>Mike Bell 47 - 48.Sal D'amato 47 - 48.Junichiro Kamijo 46 - 49.</t>
  </si>
  <si>
    <t>http://ufcstats.com/fight-details/18f19b1422e8154b</t>
  </si>
  <si>
    <t>Holly Holm vs. Irene Aldana</t>
  </si>
  <si>
    <t>Mike Bell 44 - 50.Dave Tirelli 45 - 50.Clemens Werner 45 - 50.</t>
  </si>
  <si>
    <t>http://ufcstats.com/fight-details/0005e00b07cee542</t>
  </si>
  <si>
    <t>Holly Holm vs. Valentina Shevchenko</t>
  </si>
  <si>
    <t>Sal D'amato 46 - 49.Brian Puccillo 46 - 49.Rick Winter 46 - 49.</t>
  </si>
  <si>
    <t>http://ufcstats.com/fight-details/9e90800495c1d607</t>
  </si>
  <si>
    <t>Germaine de Randamie vs. Aspen Ladd</t>
  </si>
  <si>
    <t>http://ufcstats.com/fight-details/edc87836fd998929</t>
  </si>
  <si>
    <t>Julia Avila vs. Gina Mazany</t>
  </si>
  <si>
    <t>http://ufcstats.com/fight-details/97125cd6a94b6394</t>
  </si>
  <si>
    <t>Priscila Cachoeira vs. Ariane Lipski</t>
  </si>
  <si>
    <t>http://ufcstats.com/fight-details/abd50fad1e7b030b</t>
  </si>
  <si>
    <t>Gina Mazany vs. Macy Chiasson</t>
  </si>
  <si>
    <t>http://ufcstats.com/fight-details/8adc6266a7c2fd40</t>
  </si>
  <si>
    <t>Tamires Vidal vs. Ramona Pascual</t>
  </si>
  <si>
    <t>Flying Knee Body</t>
  </si>
  <si>
    <t>http://ufcstats.com/fight-details/b87ac039e3b13940</t>
  </si>
  <si>
    <t>Aspen Ladd vs. Tonya Evinger</t>
  </si>
  <si>
    <t>http://ufcstats.com/fight-details/e2e524bb5392a3ea</t>
  </si>
  <si>
    <t>Germaine de Randamie vs. Anna Elmose</t>
  </si>
  <si>
    <t>http://ufcstats.com/fight-details/692ceb2ac5fa4427</t>
  </si>
  <si>
    <t>Irene Aldana vs. Yana Kunitskaya</t>
  </si>
  <si>
    <t>http://ufcstats.com/fight-details/3740c8033e31c90d</t>
  </si>
  <si>
    <t>Ketlen Vieira vs. Irene Aldana</t>
  </si>
  <si>
    <t>http://ufcstats.com/fight-details/c4eaeec8ac778b27</t>
  </si>
  <si>
    <t>Bea Malecki vs. Josiane Nunes</t>
  </si>
  <si>
    <t>http://ufcstats.com/fight-details/92d39a17e34cf581</t>
  </si>
  <si>
    <t>Stephanie Egger vs. Shanna Young</t>
  </si>
  <si>
    <t>http://ufcstats.com/fight-details/c1e5859053263811</t>
  </si>
  <si>
    <t>Macy Chiasson vs. Sarah Moras</t>
  </si>
  <si>
    <t>http://ufcstats.com/fight-details/3011439ecaf74180</t>
  </si>
  <si>
    <t>Lina Lansberg vs. Aspen Ladd</t>
  </si>
  <si>
    <t>http://ufcstats.com/fight-details/f3f252b9810cff0d</t>
  </si>
  <si>
    <t>Leslie Smith vs. Amanda Lemos</t>
  </si>
  <si>
    <t>http://ufcstats.com/fight-details/d49d2c810583a56a</t>
  </si>
  <si>
    <t>Wu Yanan vs. Lucie Pudilova</t>
  </si>
  <si>
    <t>http://ufcstats.com/fight-details/2cd9e3796be57a79</t>
  </si>
  <si>
    <t>Aspen Ladd vs. Yana Kunitskaya</t>
  </si>
  <si>
    <t>http://ufcstats.com/fight-details/b5365d22172e414b</t>
  </si>
  <si>
    <t>Talita Bernardo vs. Viviane Araujo</t>
  </si>
  <si>
    <t>http://ufcstats.com/fight-details/e4bbec619aa04dea</t>
  </si>
  <si>
    <t>Holly Holm vs. Bethe Correia</t>
  </si>
  <si>
    <t>http://ufcstats.com/fight-details/0096879f5708526b</t>
  </si>
  <si>
    <t>Marion Reneau vs. Miesha Tate</t>
  </si>
  <si>
    <t>http://ufcstats.com/fight-details/f0b83b05f3dd9580</t>
  </si>
  <si>
    <t>Liana Jojua vs. Sarah Moras</t>
  </si>
  <si>
    <t>http://ufcstats.com/fight-details/8e1ae2ae6694b131</t>
  </si>
  <si>
    <t>Ashlee Evans-Smith vs. Veronica Macedo</t>
  </si>
  <si>
    <t>http://ufcstats.com/fight-details/bd887c173d3050bf</t>
  </si>
  <si>
    <t>Marion Reneau vs. Milana Dudieva</t>
  </si>
  <si>
    <t>http://ufcstats.com/fight-details/7fce3efc5d2add6e</t>
  </si>
  <si>
    <t>Jessica-Rose Clark vs. Sarah Alpar</t>
  </si>
  <si>
    <t>http://ufcstats.com/fight-details/bf614956b28f231c</t>
  </si>
  <si>
    <t>Marion Reneau vs. Talita Bernardo</t>
  </si>
  <si>
    <t>http://ufcstats.com/fight-details/0ac25b4180406ca1</t>
  </si>
  <si>
    <t>Lauren Murphy vs. Kelly Faszholz</t>
  </si>
  <si>
    <t>http://ufcstats.com/fight-details/cc4a23ed2cbc8aa4</t>
  </si>
  <si>
    <t>Jessica-Rose Clark vs. Julija Stoliarenko</t>
  </si>
  <si>
    <t>http://ufcstats.com/fight-details/0e2c7ec02a095813</t>
  </si>
  <si>
    <t>Sara McMann vs. Gina Mazany</t>
  </si>
  <si>
    <t>http://ufcstats.com/fight-details/9c256e94c6b584b6</t>
  </si>
  <si>
    <t>Mayra Bueno Silva vs. Stephanie Egger</t>
  </si>
  <si>
    <t>Armbar From Guard</t>
  </si>
  <si>
    <t>http://ufcstats.com/fight-details/a274ed04c36d40d4</t>
  </si>
  <si>
    <t>Stephanie Egger vs. Irina Alekseeva</t>
  </si>
  <si>
    <t>Kneebar After Drop to Ground</t>
  </si>
  <si>
    <t>http://ufcstats.com/fight-details/f9345fa82bf43847</t>
  </si>
  <si>
    <t>Sarah Moras vs. Ashlee Evans-Smith</t>
  </si>
  <si>
    <t>http://ufcstats.com/fight-details/a773883743242df9</t>
  </si>
  <si>
    <t>Sara McMann vs. Amanda Nunes</t>
  </si>
  <si>
    <t>http://ufcstats.com/fight-details/bd6d144f5c0b6cab</t>
  </si>
  <si>
    <t>Jessica-Rose Clark vs. Stephanie Egger</t>
  </si>
  <si>
    <t>http://ufcstats.com/fight-details/e36a5d4d53b97d4e</t>
  </si>
  <si>
    <t>Holly Holm vs. Mayra Bueno Silva</t>
  </si>
  <si>
    <t>http://ufcstats.com/fight-details/73370221b3fa3676</t>
  </si>
  <si>
    <t>Bea Malecki vs. Duda Santana</t>
  </si>
  <si>
    <t>http://ufcstats.com/fight-details/b58972ad7dcf65e6</t>
  </si>
  <si>
    <t>Sara McMann vs. Alexis Davis</t>
  </si>
  <si>
    <t>http://ufcstats.com/fight-details/a716172939767cab</t>
  </si>
  <si>
    <t>Alexis Davis vs. Sarah Kaufman</t>
  </si>
  <si>
    <t>http://ufcstats.com/fight-details/6b532f492e98d22f</t>
  </si>
  <si>
    <t>Sara McMann vs. Marion Reneau</t>
  </si>
  <si>
    <t>http://ufcstats.com/fight-details/3cf4582b48302bb6</t>
  </si>
  <si>
    <t>Sara McMann vs. Ketlen Vieira</t>
  </si>
  <si>
    <t>http://ufcstats.com/fight-details/92eb0a297c7ea197</t>
  </si>
  <si>
    <t>Valentina Shevchenko vs. Julianna Pena</t>
  </si>
  <si>
    <t>http://ufcstats.com/fight-details/ab79fe7b35ccc3dc</t>
  </si>
  <si>
    <t>Lina Lansberg vs. Mayra Bueno Silva</t>
  </si>
  <si>
    <t>http://ufcstats.com/fight-details/c3a4187fc821bfff</t>
  </si>
  <si>
    <t>Jessica Andrade vs. Raquel Pennington</t>
  </si>
  <si>
    <t>http://ufcstats.com/fight-details/1b52b08f195581ad</t>
  </si>
  <si>
    <t>Irene Aldana vs. Bethe Correia</t>
  </si>
  <si>
    <t>http://ufcstats.com/fight-details/8cf4836e2b43c241</t>
  </si>
  <si>
    <t>Germaine de Randamie vs. Julianna Pena</t>
  </si>
  <si>
    <t>http://ufcstats.com/fight-details/81b16b26774be5d1</t>
  </si>
  <si>
    <t>Julianna Pena vs. Sara McMann</t>
  </si>
  <si>
    <t>http://ufcstats.com/fight-details/83da743f6dda7dcc</t>
  </si>
  <si>
    <t>Julia Avila vs. Julija Stoliarenko</t>
  </si>
  <si>
    <t>http://ufcstats.com/fight-details/0eac7075bf3d7ab7</t>
  </si>
  <si>
    <t>Jessica-Rose Clark vs. Tainara Lisboa</t>
  </si>
  <si>
    <t>http://ufcstats.com/fight-details/acfcf75f0215b7ab</t>
  </si>
  <si>
    <t>Yana Santos vs. Karol Rosa</t>
  </si>
  <si>
    <t>Women's Featherweight Bout</t>
  </si>
  <si>
    <t>Chris Lee 28 - 29.Sal D'amato 29 - 28.Ron McCarthy 28 - 29.</t>
  </si>
  <si>
    <t>http://ufcstats.com/fight-details/fe370c518cf7873e</t>
  </si>
  <si>
    <t>Macy Chiasson vs. Norma Dumont</t>
  </si>
  <si>
    <t>Eric Colon 27 - 30.Chris Flores 27 - 30.Junichiro Kamijo 29 - 28.</t>
  </si>
  <si>
    <t>http://ufcstats.com/fight-details/fc4939b3c9071e66</t>
  </si>
  <si>
    <t>Felicia Spencer vs. Norma Dumont</t>
  </si>
  <si>
    <t>Sal D'amato 27 - 30.Bryan Miner 29 - 28.Junichiro Kamijo 28 - 29.</t>
  </si>
  <si>
    <t>http://ufcstats.com/fight-details/138f719d370e8ba0</t>
  </si>
  <si>
    <t>Julija Stoliarenko vs. Leah Letson</t>
  </si>
  <si>
    <t>Ron McCarthy 28 - 29.Adalaide Byrd 29 - 28.Junichiro Kamijo 28 - 29.</t>
  </si>
  <si>
    <t>http://ufcstats.com/fight-details/6abf4f61a1e11d34</t>
  </si>
  <si>
    <t>Norma Dumont vs. Chelsea Chandler</t>
  </si>
  <si>
    <t>Mike Bell 27 - 30.Derek Cleary 27 - 30.Sal D'amato 27 - 30.</t>
  </si>
  <si>
    <t>http://ufcstats.com/fight-details/81b7a6aa147bd912</t>
  </si>
  <si>
    <t>Karol Rosa vs. Norma Dumont</t>
  </si>
  <si>
    <t>Ben Cartlidge 28 - 29.Junichiro Kamijo 28 - 29.Ron McCarthy 28 - 29.</t>
  </si>
  <si>
    <t>http://ufcstats.com/fight-details/01aa5949ac6851f3</t>
  </si>
  <si>
    <t>Josiane Nunes vs. Zarah Fairn</t>
  </si>
  <si>
    <t>Hallison Pontes 28 - 29.Derek Cleary 28 - 29.Mike Bell 28 - 29.</t>
  </si>
  <si>
    <t>http://ufcstats.com/fight-details/fcf385ae75191b57</t>
  </si>
  <si>
    <t>Norma Dumont vs. Danyelle Wolf</t>
  </si>
  <si>
    <t>Doug Crosby 27 - 30.Junichiro Kamijo 27 - 30.Sal D'amato 26 - 30.</t>
  </si>
  <si>
    <t>http://ufcstats.com/fight-details/db3e26d02d790c97</t>
  </si>
  <si>
    <t>Ramona Pascual vs. Joselyne Edwards</t>
  </si>
  <si>
    <t>Anthony Dimitriou 27 - 30.Ben Cartlidge 28 - 29.Clemens Werner 28 - 29.</t>
  </si>
  <si>
    <t>http://ufcstats.com/fight-details/5f4a107d930e4852</t>
  </si>
  <si>
    <t>Josiane Nunes vs. Ramona Pascual</t>
  </si>
  <si>
    <t>Doug Crosby 27 - 30.Tony Weeks 27 - 30.Chris Lee 26 - 30.</t>
  </si>
  <si>
    <t>http://ufcstats.com/fight-details/f087a10a6f2bcc99</t>
  </si>
  <si>
    <t>Cristiane Justino vs. Felicia Spencer</t>
  </si>
  <si>
    <t>Kevin Dornan 27 - 30.Brian Puccillo 27 - 30.Thomas Collins 27 - 30.</t>
  </si>
  <si>
    <t>http://ufcstats.com/fight-details/240e9389cca3bd18</t>
  </si>
  <si>
    <t>Holly Holm vs. Megan Anderson</t>
  </si>
  <si>
    <t>Brian Puccillo 27 - 30.Kelvin Caldwell 26 - 30.Mike Bell 26 - 30.</t>
  </si>
  <si>
    <t>http://ufcstats.com/fight-details/051124b25d576906</t>
  </si>
  <si>
    <t>Aspen Ladd vs. Norma Dumont</t>
  </si>
  <si>
    <t>Sal D'amato 46 - 49.Chris Lee 46 - 49.Junichiro Kamijo 47 - 48.</t>
  </si>
  <si>
    <t>http://ufcstats.com/fight-details/330e67abac6e5ce7</t>
  </si>
  <si>
    <t>Cat Zingano vs. Megan Anderson</t>
  </si>
  <si>
    <t>Kick to Head At DistanceEye Injury to Zingano</t>
  </si>
  <si>
    <t>http://ufcstats.com/fight-details/b0e16dd491bc4fea</t>
  </si>
  <si>
    <t>Megan Anderson vs. Norma Dumont</t>
  </si>
  <si>
    <t>http://ufcstats.com/fight-details/671f42536454e541</t>
  </si>
  <si>
    <t>Felicia Spencer vs. Zarah Fairn</t>
  </si>
  <si>
    <t>http://ufcstats.com/fight-details/8a85dffa80e6c7bd</t>
  </si>
  <si>
    <t>Felicia Spencer vs. Leah Letson</t>
  </si>
  <si>
    <t>http://ufcstats.com/fight-details/e6ce8360ef43891c</t>
  </si>
  <si>
    <t>Megan Anderson vs. Felicia Spencer</t>
  </si>
  <si>
    <t>http://ufcstats.com/fight-details/4fe799b4fa1afb76</t>
  </si>
  <si>
    <t>Megan Anderson vs. Zarah Fairn</t>
  </si>
  <si>
    <t>http://ufcstats.com/fight-details/b8c21a311f3f7953</t>
  </si>
  <si>
    <t>Raquel Pennington vs. Macy Chiasson</t>
  </si>
  <si>
    <t>http://ufcstats.com/fight-details/85d9a516c3c6c205</t>
  </si>
  <si>
    <t>Stephanie Egger vs. Ailin Perez</t>
  </si>
  <si>
    <t>http://ufcstats.com/fight-details/ce62a50e97d497f9</t>
  </si>
  <si>
    <t>Montana De La Rosa vs. Mayra Bueno Silva</t>
  </si>
  <si>
    <t>Eric Colon 27 - 28.Derek Cleary 28 - 28.Sal D'amato 28 - 28.</t>
  </si>
  <si>
    <t>http://ufcstats.com/fight-details/f3ad8ad8d242678e</t>
  </si>
  <si>
    <t>DeAnna Bennett vs. Melinda Fabian</t>
  </si>
  <si>
    <t>Point Deducted: Holding Fence by FabianTony Weeks 27 - 29.Glenn Trowbridge 28 - 28.Jeff Mullen 28 - 28.</t>
  </si>
  <si>
    <t>http://ufcstats.com/fight-details/c4785ee94698e532</t>
  </si>
  <si>
    <t>Ji Yeon Kim vs. Mandy Bohm</t>
  </si>
  <si>
    <t>technical decision after accidental foulMike Bell 27 - 28.Bobby Harris 28 - 27.Junichiro Kamijo 27 - 28.</t>
  </si>
  <si>
    <t>http://ufcstats.com/fight-details/6ca856d1950d8f7f</t>
  </si>
  <si>
    <t>Ariane Lipski vs. Melissa Gatto</t>
  </si>
  <si>
    <t>Adalaide Byrd 29 - 28.Sal D'amato 27 - 30.Chris Lee 28 - 29.</t>
  </si>
  <si>
    <t>http://ufcstats.com/fight-details/ea29714dcfb07ce2</t>
  </si>
  <si>
    <t>Andrea Lee vs. Maycee Barber</t>
  </si>
  <si>
    <t>Chris Lee 29 - 28.Frank Collazo 28 - 29.Dan Miragliotta 27 - 30.</t>
  </si>
  <si>
    <t>http://ufcstats.com/fight-details/9433730f95d52fc8</t>
  </si>
  <si>
    <t>Joanne Wood vs. Luana Carolina</t>
  </si>
  <si>
    <t>David Lethaby 27 - 30.Vito Paolillo 29 - 28.Ben Cartlidge 28 - 29.</t>
  </si>
  <si>
    <t>http://ufcstats.com/fight-details/8a3e7085e8e5a6e9</t>
  </si>
  <si>
    <t>Cynthia Calvillo vs. Nina Nunes</t>
  </si>
  <si>
    <t>Derek Cleary 29 - 28.Junichiro Kamijo 28 - 29.Chris Crail 27 - 30.</t>
  </si>
  <si>
    <t>http://ufcstats.com/fight-details/8986373b4a6e90b6</t>
  </si>
  <si>
    <t>Antonina Shevchenko vs. Cortney Casey</t>
  </si>
  <si>
    <t>Derek Cleary 28 - 29.Junichiro Kamijo 29 - 28.Adalaide Byrd 28 - 29.</t>
  </si>
  <si>
    <t>http://ufcstats.com/fight-details/81cbb709dedc914d</t>
  </si>
  <si>
    <t>Katlyn Chookagian vs. Amanda Ribas</t>
  </si>
  <si>
    <t>Sal D'amato 28 - 29.Derek Cleary 29 - 28.Junichiro Kamijo 28 - 29.</t>
  </si>
  <si>
    <t>http://ufcstats.com/fight-details/fad150a0288efbd7</t>
  </si>
  <si>
    <t>Roxanne Modafferi vs. Casey O'Neill</t>
  </si>
  <si>
    <t>Kerry Hatley 28 - 29.Robert Alexander 29 - 28.Ivan Guzman 28 - 29.</t>
  </si>
  <si>
    <t>http://ufcstats.com/fight-details/b1e048825b5bbe1c</t>
  </si>
  <si>
    <t>Miranda Maverick vs. Maycee Barber</t>
  </si>
  <si>
    <t>Chris Lee 29 - 28.Dave Hagen 28 - 29.Sal D'amato 28 - 29.</t>
  </si>
  <si>
    <t>http://ufcstats.com/fight-details/7c3ad06a520b8716</t>
  </si>
  <si>
    <t>Lauren Murphy vs. Joanne Wood</t>
  </si>
  <si>
    <t>Junichiro Kamijo 28 - 29.Derek Cleary 29 - 28.Dennis O'Connell 28 - 29.</t>
  </si>
  <si>
    <t>http://ufcstats.com/fight-details/34cb6e9952cd30a4</t>
  </si>
  <si>
    <t>Poliana Botelho vs. Luana Carolina</t>
  </si>
  <si>
    <t>Dave Hagen 28 - 29.Sal D'amato 29 - 28.Junichiro Kamijo 28 - 29.</t>
  </si>
  <si>
    <t>http://ufcstats.com/fight-details/2ef09c8fe29251ac</t>
  </si>
  <si>
    <t>Tracy Cortez vs. Justine Kish</t>
  </si>
  <si>
    <t>Derek Cleary 28 - 29.Sal D'amato 29 - 28.Rick Winter 27 - 30.</t>
  </si>
  <si>
    <t>http://ufcstats.com/fight-details/0b2c3c4306620d6d</t>
  </si>
  <si>
    <t>Cortney Casey vs. JJ Aldrich</t>
  </si>
  <si>
    <t>Rick Winter 28 - 29.Mike Bell 28 - 29.Sal D'amato 29 - 28.</t>
  </si>
  <si>
    <t>http://ufcstats.com/fight-details/e8adfbbe0053c321</t>
  </si>
  <si>
    <t>Lauren Murphy vs. Andrea Lee</t>
  </si>
  <si>
    <t>Patrick Patlan 28 - 29.Chris Lee 29 - 28.Danny De Alejandro 27 - 30.</t>
  </si>
  <si>
    <t>http://ufcstats.com/fight-details/cb56e868deaddac4</t>
  </si>
  <si>
    <t>Sabina Mazo vs. JJ Aldrich</t>
  </si>
  <si>
    <t>Junichiro Kamijo 28 - 29.Chris Lee 29 - 28.Adalaide Byrd 28 - 29.</t>
  </si>
  <si>
    <t>http://ufcstats.com/fight-details/96fe84d051847591</t>
  </si>
  <si>
    <t>Joanne Wood vs. Andrea Lee</t>
  </si>
  <si>
    <t>Ben Cartlidge 29 - 28.Pawel Harasim 27 - 30.Maria Makhmutova 28 - 29.</t>
  </si>
  <si>
    <t>http://ufcstats.com/fight-details/77f123712368bcbc</t>
  </si>
  <si>
    <t>Wu Yanan vs. Inoue Mizuki</t>
  </si>
  <si>
    <t>Barry Foley 28 - 29.Garth Harriman 28 - 29.Albert Shen 29 - 28.</t>
  </si>
  <si>
    <t>http://ufcstats.com/fight-details/5f900e4437e079b3</t>
  </si>
  <si>
    <t>Roxanne Modafferi vs. Antonina Shevchenko</t>
  </si>
  <si>
    <t>Mark Collett 28 - 29.Maria Makhmutova 29 - 28.Howard Hughes 28 - 29.</t>
  </si>
  <si>
    <t>http://ufcstats.com/fight-details/a40c70d5a1a1be01</t>
  </si>
  <si>
    <t>Mara Romero Borella vs. Taila Santos</t>
  </si>
  <si>
    <t>Chris Lee 29 - 28.Hallison Pontes 28 - 29.Joseph Terrell 28 - 29.</t>
  </si>
  <si>
    <t>http://ufcstats.com/fight-details/904e0e46392dff93</t>
  </si>
  <si>
    <t>Katlyn Chookagian vs. Jessica Eye</t>
  </si>
  <si>
    <t>Declan Woods 28 - 29.Benoit Roussel 29 - 28.Gregory Jackson 28 - 29.</t>
  </si>
  <si>
    <t>http://ufcstats.com/fight-details/00b1e95f6aea7027</t>
  </si>
  <si>
    <t>Ji Yeon Kim vs. Melinda Fabian</t>
  </si>
  <si>
    <t>Ben Cartlidge 28 - 29.Charlie Keech 29 - 28.Garth Harriman 28 - 29.</t>
  </si>
  <si>
    <t>http://ufcstats.com/fight-details/3d12c63c47828937</t>
  </si>
  <si>
    <t>Justine Kish vs. Ji Yeon Kim</t>
  </si>
  <si>
    <t>Cardo Urso 28 - 29.Sal D'amato 29 - 28.Steve Elliott 27 - 30.</t>
  </si>
  <si>
    <t>http://ufcstats.com/fight-details/6e65bec924996b5a</t>
  </si>
  <si>
    <t>Kalindra Faria vs. Jessica Eye</t>
  </si>
  <si>
    <t>Brian Puccillo 28 - 29.Rob Francis 29 - 28.Sal D'amato 28 - 29.</t>
  </si>
  <si>
    <t>http://ufcstats.com/fight-details/f8bb0aed83bd8638</t>
  </si>
  <si>
    <t>Alexis Davis vs. Liz Carmouche</t>
  </si>
  <si>
    <t>Derek Cleary 28 - 29.Jason McCoy 29 - 28.Ron McCarthy 28 - 29.</t>
  </si>
  <si>
    <t>http://ufcstats.com/fight-details/10a1947cb3feabc1</t>
  </si>
  <si>
    <t>Barb Honchak vs. Lauren Murphy</t>
  </si>
  <si>
    <t>Derek Cleary 28 - 29.Jeff Mullen 29 - 28.Junichiro Kamijo 28 - 29.</t>
  </si>
  <si>
    <t>http://ufcstats.com/fight-details/dd0c8e9880c6fa24</t>
  </si>
  <si>
    <t>Bec Rawlings vs. Jessica-Rose Clark</t>
  </si>
  <si>
    <t>Charlie Keech 28 - 29.Evan Field 29 - 28.Storm Oshyer 28 - 29.</t>
  </si>
  <si>
    <t>http://ufcstats.com/fight-details/2060e8172f820d80</t>
  </si>
  <si>
    <t>http://ufcstats.com/fight-details/751cf3d52fce1d1f</t>
  </si>
  <si>
    <t>http://ufcstats.com/fight-details/cc4fcfede19bc196</t>
  </si>
  <si>
    <t>Tracy Cortez vs. Jasmine Jasudavicius</t>
  </si>
  <si>
    <t>Mike Bell 27 - 30.Sal D'amato 27 - 30.Jacob Montalvo 28 - 29.</t>
  </si>
  <si>
    <t>http://ufcstats.com/fight-details/bcec26b425194e40</t>
  </si>
  <si>
    <t>Manon Fiorot vs. Rose Namajunas</t>
  </si>
  <si>
    <t>Darryl Ransom 27 - 30.Sal D'amato 28 - 29.Anders Ohlsson 28 - 29.</t>
  </si>
  <si>
    <t>http://ufcstats.com/fight-details/4eaf54ad3c82b6fa</t>
  </si>
  <si>
    <t>Andrea Lee vs. Natalia Silva</t>
  </si>
  <si>
    <t>David Ginsberg 27 - 30.Nick Mahmood 27 - 30.Ben Cartlidge 27 - 30.</t>
  </si>
  <si>
    <t>http://ufcstats.com/fight-details/8c7b5b21b3532027</t>
  </si>
  <si>
    <t>Ivana Petrovic vs. Luana Carolina</t>
  </si>
  <si>
    <t>David Lethaby 28 - 29.Ron McCarthy 28 - 29.Tony Weeks 28 - 29.</t>
  </si>
  <si>
    <t>http://ufcstats.com/fight-details/dffc65202afb881d</t>
  </si>
  <si>
    <t>Tereza Bleda vs. Gabriella Fernandes</t>
  </si>
  <si>
    <t>http://ufcstats.com/fight-details/9cfb84817a43b63c</t>
  </si>
  <si>
    <t>Miranda Maverick vs. Jasmine Jasudavicius</t>
  </si>
  <si>
    <t>Sal D'amato 28 - 29.Sal Ram 28 - 29.Chris Lee 28 - 29.</t>
  </si>
  <si>
    <t>http://ufcstats.com/fight-details/47a5d4bb68352055</t>
  </si>
  <si>
    <t>Iasmin Lucindo vs. Brogan Walker</t>
  </si>
  <si>
    <t>Adalaide Byrd 27 - 30.Chris Lee 27 - 30.Ron McCarthy 27 - 30.</t>
  </si>
  <si>
    <t>http://ufcstats.com/fight-details/20c0f50c11509301</t>
  </si>
  <si>
    <t>Jennifer Maia vs. Casey O'Neill</t>
  </si>
  <si>
    <t>Vito Paolillo 27 - 30.Chris Lee 28 - 29.David Lethaby 28 - 29.</t>
  </si>
  <si>
    <t>http://ufcstats.com/fight-details/dd9cbf6d6284de26</t>
  </si>
  <si>
    <t>Juliana Miller vs. Veronica Hardy</t>
  </si>
  <si>
    <t>Chris Lee 27 - 30.Vito Paolillo 27 - 30.Paul Sutherland 27 - 30.</t>
  </si>
  <si>
    <t>http://ufcstats.com/fight-details/53d6d5ad08ac0694</t>
  </si>
  <si>
    <t>Ariane Lipski vs. JJ Aldrich</t>
  </si>
  <si>
    <t>Mike Bell 27 - 30.Adalaide Byrd 27 - 30.Junichiro Kamijo 27 - 30.</t>
  </si>
  <si>
    <t>http://ufcstats.com/fight-details/8e5ce3308c0e2046</t>
  </si>
  <si>
    <t>Viviane Araujo vs. Amanda Ribas</t>
  </si>
  <si>
    <t>Sal D'amato 26 - 30.Ron McCarthy 27 - 30.Mike Bell 27 - 29.</t>
  </si>
  <si>
    <t>http://ufcstats.com/fight-details/009feda296ae589c</t>
  </si>
  <si>
    <t>Jasmine Jasudavicius vs. Gabriella Fernandes</t>
  </si>
  <si>
    <t>Chris Lee 26 - 30.David Lethaby 26 - 30.Ron McCarthy 26 - 30.</t>
  </si>
  <si>
    <t>http://ufcstats.com/fight-details/faac24c1b3d6368a</t>
  </si>
  <si>
    <t>Lauren Murphy vs. Jessica Andrade</t>
  </si>
  <si>
    <t>Rafael Ferreira 25 - 30.Fabio Alves 25 - 30.Sal D'amato 26 - 30.</t>
  </si>
  <si>
    <t>http://ufcstats.com/fight-details/0221982930283140</t>
  </si>
  <si>
    <t>Jennifer Maia vs. Maryna Moroz</t>
  </si>
  <si>
    <t>Sal D'amato 27 - 30.Derek Cleary 28 - 29.Junichiro Kamijo 28 - 29.</t>
  </si>
  <si>
    <t>http://ufcstats.com/fight-details/144443d4dbf43990</t>
  </si>
  <si>
    <t>Miranda Maverick vs. Shanna Young</t>
  </si>
  <si>
    <t>Mike Bell 26 - 30.Eric Colon 26 - 30.Junichiro Kamijo 26 - 30.</t>
  </si>
  <si>
    <t>http://ufcstats.com/fight-details/71afa8354da2491e</t>
  </si>
  <si>
    <t>Katlyn Chookagian vs. Manon Fiorot</t>
  </si>
  <si>
    <t>David Lethaby 28 - 29.Anders Ohlsson 28 - 29.Vito Paolillo 28 - 29.</t>
  </si>
  <si>
    <t>http://ufcstats.com/fight-details/25f3e4fa781c1c8a</t>
  </si>
  <si>
    <t>Mandy Bohm vs. Victoria Leonardo</t>
  </si>
  <si>
    <t>Vito Paolillo 27 - 30.Clemens Werner 27 - 30.Cezary Wojciechowski 27 - 30.</t>
  </si>
  <si>
    <t>http://ufcstats.com/fight-details/e600b78e5a652dc0</t>
  </si>
  <si>
    <t>Lauren Murphy vs. Miesha Tate</t>
  </si>
  <si>
    <t>Doug Crosby 27 - 30.Dave Tirelli 27 - 30.Derek Cleary 28 - 29.</t>
  </si>
  <si>
    <t>http://ufcstats.com/fight-details/4965d8eab468b839</t>
  </si>
  <si>
    <t>Jessica Eye vs. Maycee Barber</t>
  </si>
  <si>
    <t>Sal D'amato 28 - 29.Ron McCarthy 28 - 29.Adalaide Byrd 27 - 30.</t>
  </si>
  <si>
    <t>http://ufcstats.com/fight-details/1c85003f6ec59c9d</t>
  </si>
  <si>
    <t>Jasmine Jasudavicius vs. Natalia Silva</t>
  </si>
  <si>
    <t>Chris Lee 26 - 30.Joel Ojeda 27 - 30.Jon Schorle 27 - 30.</t>
  </si>
  <si>
    <t>http://ufcstats.com/fight-details/2c7c7648e847f2e5</t>
  </si>
  <si>
    <t>Viviane Araujo vs. Andrea Lee</t>
  </si>
  <si>
    <t>Derek Cleary 28 - 29.Sal D'amato 27 - 29.Junichiro Kamijo 27 - 29.</t>
  </si>
  <si>
    <t>http://ufcstats.com/fight-details/7e047b195135ef06</t>
  </si>
  <si>
    <t>Tracy Cortez vs. Melissa Gatto</t>
  </si>
  <si>
    <t>Chris Lee 28 - 29.Rick Winter 28 - 29.Brad Frank 28 - 29.</t>
  </si>
  <si>
    <t>http://ufcstats.com/fight-details/60d9d50b763adc62</t>
  </si>
  <si>
    <t>Maycee Barber vs. Montana De La Rosa</t>
  </si>
  <si>
    <t>Ron McCarthy 27 - 30.Adalaide Byrd 27 - 30.Junichiro Kamijo 27 - 30.</t>
  </si>
  <si>
    <t>http://ufcstats.com/fight-details/a45d4327bc82bc28</t>
  </si>
  <si>
    <t>Jennifer Maia vs. Manon Fiorot</t>
  </si>
  <si>
    <t>http://ufcstats.com/fight-details/3ecccdab76baa59c</t>
  </si>
  <si>
    <t>JJ Aldrich vs. Gillian Robertson</t>
  </si>
  <si>
    <t>http://ufcstats.com/fight-details/26fbee4ed13ff35d</t>
  </si>
  <si>
    <t>Ji Yeon Kim vs. Priscila Cachoeira</t>
  </si>
  <si>
    <t>Mike Bell 28 - 29.Sal D'amato 28 - 29.Adalaide Byrd 28 - 29.</t>
  </si>
  <si>
    <t>http://ufcstats.com/fight-details/c4eb14c3de579842</t>
  </si>
  <si>
    <t>Kay Hansen vs. Jasmine Jasudavicius</t>
  </si>
  <si>
    <t>Wade Vierra 27 - 30.Chris Crail 28 - 29.Marcel Valera 28 - 29.</t>
  </si>
  <si>
    <t>http://ufcstats.com/fight-details/0a0beb5aa9810de4</t>
  </si>
  <si>
    <t>Katlyn Chookagian vs. Jennifer Maia</t>
  </si>
  <si>
    <t>http://ufcstats.com/fight-details/f9a4e625dffc30d4</t>
  </si>
  <si>
    <t>Miranda Maverick vs. Erin Blanchfield</t>
  </si>
  <si>
    <t>Sal D'amato 27 - 30.Chris Lee 27 - 30.Ron McCarthy 27 - 30.</t>
  </si>
  <si>
    <t>http://ufcstats.com/fight-details/fc2a30bfb760bdf8</t>
  </si>
  <si>
    <t>Cortney Casey vs. Liana Jojua</t>
  </si>
  <si>
    <t>Mike Bell 27 - 30.Dave Tirelli 27 - 30.Junichiro Kamijo 27 - 30.</t>
  </si>
  <si>
    <t>http://ufcstats.com/fight-details/66eee2320e900a8a</t>
  </si>
  <si>
    <t>Manon Fiorot vs. Mayra Bueno Silva</t>
  </si>
  <si>
    <t>Tony Weeks 26 - 30.Eric Colon 27 - 30.Doug Crosby 27 - 30.</t>
  </si>
  <si>
    <t>http://ufcstats.com/fight-details/b193e2317b21125c</t>
  </si>
  <si>
    <t>Loopy Godinez vs. Luana Carolina</t>
  </si>
  <si>
    <t>Junichiro Kamijo 28 - 29.Eric Colon 28 - 29.Sal D'amato 28 - 29.</t>
  </si>
  <si>
    <t>http://ufcstats.com/fight-details/be8bee783d22bee2</t>
  </si>
  <si>
    <t>Roxanne Modafferi vs. Taila Santos</t>
  </si>
  <si>
    <t>Mike Bell 27 - 30.Eric Colon 27 - 30.Sal D'amato 27 - 30.</t>
  </si>
  <si>
    <t>http://ufcstats.com/fight-details/e7bb37681652c2c2</t>
  </si>
  <si>
    <t>Ariane Lipski vs. Mandy Bohm</t>
  </si>
  <si>
    <t>Adalaide Byrd 27 - 30.Junichiro Kamijo 27 - 30.Derek Cleary 27 - 30.</t>
  </si>
  <si>
    <t>http://ufcstats.com/fight-details/ceaf7ed5ade30d9f</t>
  </si>
  <si>
    <t>Erin Blanchfield vs. Sarah Alpar</t>
  </si>
  <si>
    <t>Adalaide Byrd 25 - 30.Junichiro Kamijo 25 - 30.Derek Cleary 26 - 30.</t>
  </si>
  <si>
    <t>http://ufcstats.com/fight-details/0ce63c2148e70b4c</t>
  </si>
  <si>
    <t>Molly McCann vs. Ji Yeon Kim</t>
  </si>
  <si>
    <t>http://ufcstats.com/fight-details/06c0c7dda5a5909d</t>
  </si>
  <si>
    <t>JJ Aldrich vs. Vanessa Demopoulos</t>
  </si>
  <si>
    <t>Derek Cleary 27 - 30.Dave Hagen 27 - 30.Ron McCarthy 27 - 30.</t>
  </si>
  <si>
    <t>http://ufcstats.com/fight-details/2cb9ba68fc855f33</t>
  </si>
  <si>
    <t>Jennifer Maia vs. Jessica Eye</t>
  </si>
  <si>
    <t>Adalaide Byrd 28 - 29.Derek Cleary 28 - 29.Sal D'amato 27 - 30.</t>
  </si>
  <si>
    <t>http://ufcstats.com/fight-details/5d5bf07dbfada0e3</t>
  </si>
  <si>
    <t>Katlyn Chookagian vs. Viviane Araujo</t>
  </si>
  <si>
    <t>Chris Lee 28 - 29.Jeff Rexroad 28 - 29.Marcos Rosales 27 - 30.</t>
  </si>
  <si>
    <t>http://ufcstats.com/fight-details/8cb4e3f056a84b0d</t>
  </si>
  <si>
    <t>Gillian Robertson vs. Miranda Maverick</t>
  </si>
  <si>
    <t>Sal D'amato 27 - 30.Mike Bell 27 - 30.Eric Colon 28 - 29.</t>
  </si>
  <si>
    <t>http://ufcstats.com/fight-details/8317208cfb030ed3</t>
  </si>
  <si>
    <t>Maycee Barber vs. Alexa Grasso</t>
  </si>
  <si>
    <t>Junichiro Kamijo 28 - 29.Sal D'amato 28 - 29.Eric Colon 28 - 29.</t>
  </si>
  <si>
    <t>http://ufcstats.com/fight-details/25b8c932da5e91f4</t>
  </si>
  <si>
    <t>Molly McCann vs. Lara Procopio</t>
  </si>
  <si>
    <t>Sal D'amato 27 - 29.Chris Lee 28 - 29.Jerin Valel 27 - 30.</t>
  </si>
  <si>
    <t>http://ufcstats.com/fight-details/d65da3a3bc675449</t>
  </si>
  <si>
    <t>Jessica Eye vs. Joanne Wood</t>
  </si>
  <si>
    <t>Eric Colon 27 - 30.Anders Ohlsson 27 - 30.Ben Cartlidge 28 - 29.</t>
  </si>
  <si>
    <t>http://ufcstats.com/fight-details/c4ea3f6fae702459</t>
  </si>
  <si>
    <t>Roxanne Modafferi vs. Viviane Araujo</t>
  </si>
  <si>
    <t>Sal D'amato 27 - 30.David Lethaby 27 - 30.Clemens Werner 26 - 30.</t>
  </si>
  <si>
    <t>http://ufcstats.com/fight-details/a003e8305d4dbdc8</t>
  </si>
  <si>
    <t>Gillian Robertson vs. Taila Santos</t>
  </si>
  <si>
    <t>Chris Lee 26 - 30.Derek Cleary 26 - 30.Dave Hagen 28 - 29.</t>
  </si>
  <si>
    <t>http://ufcstats.com/fight-details/f2fb049980631302</t>
  </si>
  <si>
    <t>Katlyn Chookagian vs. Cynthia Calvillo</t>
  </si>
  <si>
    <t>Junichiro Kamijo 27 - 30.Sal D'amato 27 - 30.Derek Cleary 27 - 30.</t>
  </si>
  <si>
    <t>http://ufcstats.com/fight-details/08ef2ed7393efd24</t>
  </si>
  <si>
    <t>Gillian Robertson vs. Poliana Botelho</t>
  </si>
  <si>
    <t>Victor Wolf 28 - 29.Clemens Werner 27 - 29.Ben Cartlidge 27 - 29.</t>
  </si>
  <si>
    <t>http://ufcstats.com/fight-details/9b6135943a4c8fe7</t>
  </si>
  <si>
    <t>Roxanne Modafferi vs. Andrea Lee</t>
  </si>
  <si>
    <t>Chris Lee 28 - 29.Sal D'amato 28 - 29.Derek Cleary 28 - 29.</t>
  </si>
  <si>
    <t>http://ufcstats.com/fight-details/764012f51c7dc223</t>
  </si>
  <si>
    <t>Viviane Araujo vs. Montana De La Rosa</t>
  </si>
  <si>
    <t>Ron McCarthy 27 - 30.Rick Winter 27 - 30.Derek Cleary 28 - 29.</t>
  </si>
  <si>
    <t>http://ufcstats.com/fight-details/7930c605c6a6ec88</t>
  </si>
  <si>
    <t>Ji Yeon Kim vs. Alexa Grasso</t>
  </si>
  <si>
    <t>http://ufcstats.com/fight-details/0a9f22de8600c762</t>
  </si>
  <si>
    <t>Molly McCann vs. Taila Santos</t>
  </si>
  <si>
    <t>David Lethaby 27 - 30.Anders Ohlsson 27 - 30.Lukasz Bosacki 26 - 30.</t>
  </si>
  <si>
    <t>http://ufcstats.com/fight-details/15def71ff1679e06</t>
  </si>
  <si>
    <t>Roxanne Modafferi vs. Lauren Murphy</t>
  </si>
  <si>
    <t>Derek Cleary 27 - 30.Rick Winter 27 - 30.Chris Lee 28 - 29.</t>
  </si>
  <si>
    <t>http://ufcstats.com/fight-details/088b47d890b389e9</t>
  </si>
  <si>
    <t>Katlyn Chookagian vs. Antonina Shevchenko</t>
  </si>
  <si>
    <t>Derek Cleary 25 - 30.Eric Colon 25 - 30.Dave Hagen 25 - 30.</t>
  </si>
  <si>
    <t>http://ufcstats.com/fight-details/a41384da70013373</t>
  </si>
  <si>
    <t>Mayra Bueno Silva vs. Maryna Moroz</t>
  </si>
  <si>
    <t>Sal D'amato 28 - 29.Joseph Terrell 28 - 29.Mike Bell 28 - 29.</t>
  </si>
  <si>
    <t>http://ufcstats.com/fight-details/2a1826612a7d739c</t>
  </si>
  <si>
    <t>Montana De La Rosa vs. Mara Romero Borella</t>
  </si>
  <si>
    <t>Derek Cleary 27 - 30.Sal D'amato 27 - 30.Ester Lopez 27 - 30.</t>
  </si>
  <si>
    <t>http://ufcstats.com/fight-details/96919cf8d3e988ff</t>
  </si>
  <si>
    <t>Justine Kish vs. Lucie Pudilova</t>
  </si>
  <si>
    <t>Eric Colon 27 - 30.David Ebert 27 - 30.Tony Weeks 27 - 30.</t>
  </si>
  <si>
    <t>http://ufcstats.com/fight-details/151c2bd6dfefb4b5</t>
  </si>
  <si>
    <t>Roxanne Modafferi vs. Maycee Barber</t>
  </si>
  <si>
    <t>Eric Colon 27 - 30.Sal D'amato 27 - 30.Dave Hagen 26 - 30.</t>
  </si>
  <si>
    <t>http://ufcstats.com/fight-details/760b5b16b4931a77</t>
  </si>
  <si>
    <t>Jessica Eye vs. Viviane Araujo</t>
  </si>
  <si>
    <t>Mike Bell 28 - 29.Derek Cleary 28 - 29.Dave Hagen 28 - 29.</t>
  </si>
  <si>
    <t>http://ufcstats.com/fight-details/35d0ef51fede263c</t>
  </si>
  <si>
    <t>Ariane Lipski vs. Isabela de Padua</t>
  </si>
  <si>
    <t>Chris Lee 27 - 30.Hallison Pontes 27 - 30.Guilherme Bravo 28 - 29.</t>
  </si>
  <si>
    <t>http://ufcstats.com/fight-details/1800ffbb34ac7ed8</t>
  </si>
  <si>
    <t>Derek Cleary 28 - 29.Eric Colon 28 - 29.Sal D'amato 28 - 29.</t>
  </si>
  <si>
    <t>http://ufcstats.com/fight-details/515ecc54219bcc4c</t>
  </si>
  <si>
    <t>David Ginsberg 25 - 30.Chris Lee 25 - 30.Dave Tirelli 25 - 30.</t>
  </si>
  <si>
    <t>http://ufcstats.com/fight-details/baf17e5e1fe1c744</t>
  </si>
  <si>
    <t>JJ Aldrich vs. Lauren Mueller</t>
  </si>
  <si>
    <t>Tony Weeks 27 - 30.Chris Lee 28 - 29.Michelle Olney 28 - 29.</t>
  </si>
  <si>
    <t>http://ufcstats.com/fight-details/64bee58391921b4b</t>
  </si>
  <si>
    <t>Sabina Mazo vs. Shana Dobson</t>
  </si>
  <si>
    <t>Luis Cobian 24 - 30.Ron McCarthy 25 - 30.Mike Bell 25 - 30.</t>
  </si>
  <si>
    <t>http://ufcstats.com/fight-details/51f955029dbf6978</t>
  </si>
  <si>
    <t>Miranda Granger vs. Hannah Goldy</t>
  </si>
  <si>
    <t>Jon Bilyk 27 - 30.Dominic Carolei 27 - 30.Munah Holland 27 - 30.</t>
  </si>
  <si>
    <t>http://ufcstats.com/fight-details/94560d1dc6248347</t>
  </si>
  <si>
    <t>Alexis Davis vs. Viviane Araujo</t>
  </si>
  <si>
    <t>Brian Puccillo 28 - 29.Chris Lee 28 - 29.Thomas Collins 28 - 29.</t>
  </si>
  <si>
    <t>http://ufcstats.com/fight-details/dfa2fda311df08cf</t>
  </si>
  <si>
    <t>Roxanne Modafferi vs. Jennifer Maia</t>
  </si>
  <si>
    <t>Jennie Cardenas 27 - 30.Ruben Carrion 27 - 30.Gino Garcia 27 - 30.</t>
  </si>
  <si>
    <t>http://ufcstats.com/fight-details/dd51d1aed9536da6</t>
  </si>
  <si>
    <t>Andrea Lee vs. Montana De La Rosa</t>
  </si>
  <si>
    <t>Matthew Mesardjian 27 - 30.Derek Cleary 27 - 30.Eric Colon 28 - 29.</t>
  </si>
  <si>
    <t>http://ufcstats.com/fight-details/13129c1f044fdd47</t>
  </si>
  <si>
    <t>Ariane Lipski vs. Molly McCann</t>
  </si>
  <si>
    <t>Nikki Messer 27 - 30.Kevin James 27 - 30.Derek Cleary 27 - 30.</t>
  </si>
  <si>
    <t>http://ufcstats.com/fight-details/fa98e2b8dceca9bb</t>
  </si>
  <si>
    <t>Katlyn Chookagian vs. Joanne Wood</t>
  </si>
  <si>
    <t>Sal D'amato 27 - 30.Brandon Mason 28 - 29.Chris Lee 28 - 29.</t>
  </si>
  <si>
    <t>http://ufcstats.com/fight-details/82eb6fa58ae52428</t>
  </si>
  <si>
    <t>Luana Carolina vs. Priscila Cachoeira</t>
  </si>
  <si>
    <t>Fabio Alves 26 - 30.Dave Tirelli 26 - 30.Hallison Pontes 27 - 29.</t>
  </si>
  <si>
    <t>http://ufcstats.com/fight-details/707cb14717df5960</t>
  </si>
  <si>
    <t>Lauren Mueller vs. Poliana Botelho</t>
  </si>
  <si>
    <t>Derek Cleary 28 - 29.Nate Mann 28 - 29.Sal D'amato 28 - 29.</t>
  </si>
  <si>
    <t>http://ufcstats.com/fight-details/75e580d5ea37c519</t>
  </si>
  <si>
    <t>Sabina Mazo vs. Maryna Moroz</t>
  </si>
  <si>
    <t>Dave Tirelli 27 - 30.Brent Colflesh 28 - 29.Wilfredo Cintron 28 - 29.</t>
  </si>
  <si>
    <t>http://ufcstats.com/fight-details/b695fc80bd538172</t>
  </si>
  <si>
    <t>Alexis Davis vs. Jennifer Maia</t>
  </si>
  <si>
    <t>Tony Weeks 28 - 29.Sal D'amato 28 - 29.Anthony Maness 28 - 29.</t>
  </si>
  <si>
    <t>http://ufcstats.com/fight-details/8d70694ceeb0dc9a</t>
  </si>
  <si>
    <t>Molly McCann vs. Priscila Cachoeira</t>
  </si>
  <si>
    <t>http://ufcstats.com/fight-details/a2f4acc81f7886a2</t>
  </si>
  <si>
    <t>Liz Carmouche vs. Lucie Pudilova</t>
  </si>
  <si>
    <t>Mark Collett 27 - 30.Ben Cartlidge 28 - 29.David Lethaby 28 - 29.</t>
  </si>
  <si>
    <t>http://ufcstats.com/fight-details/1db00b3e736c22bf</t>
  </si>
  <si>
    <t>Ashlee Evans-Smith vs. Andrea Lee</t>
  </si>
  <si>
    <t>Chris Lee 27 - 30.Derek Cleary 27 - 30.Raul Porrata 27 - 30.</t>
  </si>
  <si>
    <t>http://ufcstats.com/fight-details/bdeca00572419011</t>
  </si>
  <si>
    <t>Joanne Wood vs. Ariane Lipski</t>
  </si>
  <si>
    <t>Darryl Porter 26 - 30.Sal D'amato 26 - 30.Dave Tirelli 27 - 30.</t>
  </si>
  <si>
    <t>http://ufcstats.com/fight-details/77c6a6f33289b872</t>
  </si>
  <si>
    <t>Ji Yeon Kim vs. Antonina Shevchenko</t>
  </si>
  <si>
    <t>Dave Hagen 27 - 30.Rick Winter 27 - 30.Tony Weeks 27 - 30.</t>
  </si>
  <si>
    <t>http://ufcstats.com/fight-details/c2fd3d874f558408</t>
  </si>
  <si>
    <t>Sijara Eubanks vs. Roxanne Modafferi</t>
  </si>
  <si>
    <t>Dave Tirelli 27 - 30.Bryan Miner 27 - 30.Chris Lee 27 - 30.</t>
  </si>
  <si>
    <t>http://ufcstats.com/fight-details/752f19e9c201ea57</t>
  </si>
  <si>
    <t>Alexis Davis vs. Katlyn Chookagian</t>
  </si>
  <si>
    <t>Sal D'amato 28 - 29.Tony Weeks 28 - 29.Jason Rodgers 27 - 30.</t>
  </si>
  <si>
    <t>http://ufcstats.com/fight-details/c4253cb471013765</t>
  </si>
  <si>
    <t>Liz Carmouche vs. Jennifer Maia</t>
  </si>
  <si>
    <t>Marcos Rosales 27 - 30.Scott Marker 27 - 30.Dave Hagen 28 - 29.</t>
  </si>
  <si>
    <t>http://ufcstats.com/fight-details/cda0d9b5ce9b9c12</t>
  </si>
  <si>
    <t>Jessica-Rose Clark vs. Jessica Eye</t>
  </si>
  <si>
    <t>Albert Shen 27 - 30.Howie Booth 28 - 29.Charlie Keech 28 - 29.</t>
  </si>
  <si>
    <t>http://ufcstats.com/fight-details/2242e7df6f320ea6</t>
  </si>
  <si>
    <t>Sijara Eubanks vs. Lauren Murphy</t>
  </si>
  <si>
    <t>Doug Crosby 28 - 29.Derek Cleary 27 - 30.Sal D'amato 27 - 30.</t>
  </si>
  <si>
    <t>http://ufcstats.com/fight-details/9fb0a4e18ddcd14c</t>
  </si>
  <si>
    <t>Veronica Macedo vs. Andrea Lee</t>
  </si>
  <si>
    <t>Guilherme Bravo 27 - 30.Sal D'amato 27 - 30.Marcelo Vilhena 27 - 30.</t>
  </si>
  <si>
    <t>http://ufcstats.com/fight-details/6222cdc86b12d251</t>
  </si>
  <si>
    <t>Shana Dobson vs. Lauren Mueller</t>
  </si>
  <si>
    <t>Chris Flores 28 - 29.Derek Cleary 28 - 29.Dave Hagen 28 - 29.</t>
  </si>
  <si>
    <t>http://ufcstats.com/fight-details/85060e6e71ed14e4</t>
  </si>
  <si>
    <t>Bec Rawlings vs. Ashlee Evans-Smith</t>
  </si>
  <si>
    <t>Dave Bruce 27 - 30.Dave Tirelli 27 - 30.Chris Lee 27 - 30.</t>
  </si>
  <si>
    <t>http://ufcstats.com/fight-details/28f7ba820350e3a3</t>
  </si>
  <si>
    <t>Katlyn Chookagian vs. Mara Romero Borella</t>
  </si>
  <si>
    <t>Pedro Claudio 28 - 29.Sal D'amato 28 - 29.Cardo Urso 27 - 30.</t>
  </si>
  <si>
    <t>http://ufcstats.com/fight-details/c5f0c83e303d80bf</t>
  </si>
  <si>
    <t>Paige VanZant vs. Jessica-Rose Clark</t>
  </si>
  <si>
    <t>Justin Brown 27 - 30.Chris Lee 28 - 29.Brian Puccillo 28 - 29.</t>
  </si>
  <si>
    <t>http://ufcstats.com/fight-details/0820a29a03d58282</t>
  </si>
  <si>
    <t>Alexa Grasso vs. Viviane Araujo</t>
  </si>
  <si>
    <t>Mike Bell 45 - 50.Sal D'amato 46 - 49.Junichiro Kamijo 46 - 49.</t>
  </si>
  <si>
    <t>http://ufcstats.com/fight-details/904cf687d22bb486</t>
  </si>
  <si>
    <t>Marina Rodriguez vs. Michelle Waterson</t>
  </si>
  <si>
    <t>Derek Cleary 47 - 48.Sal D'amato 46 - 49.Ron McCarthy 46 - 49.</t>
  </si>
  <si>
    <t>http://ufcstats.com/fight-details/b948102c6205af63</t>
  </si>
  <si>
    <t>Jessica Eye vs. Cynthia Calvillo</t>
  </si>
  <si>
    <t>Sal D'amato 46 - 49.Derek Cleary 46 - 49.Eric Colon 47 - 48.</t>
  </si>
  <si>
    <t>http://ufcstats.com/fight-details/b8b692aa2aae3310</t>
  </si>
  <si>
    <t>Priscila Cachoeira vs. Shana Dobson</t>
  </si>
  <si>
    <t>http://ufcstats.com/fight-details/102fb91414fd24ab</t>
  </si>
  <si>
    <t>Natalia Silva vs. Victoria Leonardo</t>
  </si>
  <si>
    <t>http://ufcstats.com/fight-details/744cbe6e49d4f41c</t>
  </si>
  <si>
    <t>Maycee Barber vs. Gillian Robertson</t>
  </si>
  <si>
    <t>http://ufcstats.com/fight-details/7510b0c96f5707ea</t>
  </si>
  <si>
    <t>Juliana Miller vs. Luana Santos</t>
  </si>
  <si>
    <t>http://ufcstats.com/fight-details/e3573545220ca4ea</t>
  </si>
  <si>
    <t>Sijara Eubanks vs. Elise Reed</t>
  </si>
  <si>
    <t>http://ufcstats.com/fight-details/c13474b85d3ced32</t>
  </si>
  <si>
    <t>Molly McCann vs. Hannah Goldy</t>
  </si>
  <si>
    <t>http://ufcstats.com/fight-details/a57969d4ba7d4a79</t>
  </si>
  <si>
    <t>Jessica Andrade vs. Cynthia Calvillo</t>
  </si>
  <si>
    <t>http://ufcstats.com/fight-details/f4a2806f77ac1cdc</t>
  </si>
  <si>
    <t>Katlyn Chookagian vs. Jessica Andrade</t>
  </si>
  <si>
    <t>http://ufcstats.com/fight-details/e7a915f39ecf6db0</t>
  </si>
  <si>
    <t>Mariya Agapova vs. Shana Dobson</t>
  </si>
  <si>
    <t>http://ufcstats.com/fight-details/37a6fc5e69a7932d</t>
  </si>
  <si>
    <t>Ariel Beck vs. Shana Dobson</t>
  </si>
  <si>
    <t>http://ufcstats.com/fight-details/f0e0effb1b2de6ae</t>
  </si>
  <si>
    <t>Manon Fiorot vs. Tabatha Ricci</t>
  </si>
  <si>
    <t>http://ufcstats.com/fight-details/419d1e29668b57fb</t>
  </si>
  <si>
    <t>Maycee Barber vs. JJ Aldrich</t>
  </si>
  <si>
    <t>http://ufcstats.com/fight-details/55b53fdad307b708</t>
  </si>
  <si>
    <t>Gina Mazany vs. Shanna Young</t>
  </si>
  <si>
    <t>http://ufcstats.com/fight-details/80cf37627a129145</t>
  </si>
  <si>
    <t>Roxanne Modafferi vs. Barb Honchak</t>
  </si>
  <si>
    <t>http://ufcstats.com/fight-details/7c2b219fe208c565</t>
  </si>
  <si>
    <t>Shana Dobson vs. Casey O'Neill</t>
  </si>
  <si>
    <t>http://ufcstats.com/fight-details/1d892fec31dc7ad7</t>
  </si>
  <si>
    <t>Amanda Ribas vs. Maycee Barber</t>
  </si>
  <si>
    <t>http://ufcstats.com/fight-details/07cb64236ae7aaea</t>
  </si>
  <si>
    <t>Victoria Leonardo vs. Manon Fiorot</t>
  </si>
  <si>
    <t>http://ufcstats.com/fight-details/ae38fb2a6b6a0cc1</t>
  </si>
  <si>
    <t>Gillian Robertson vs. Sarah Frota</t>
  </si>
  <si>
    <t>http://ufcstats.com/fight-details/68c77a11b2d308dd</t>
  </si>
  <si>
    <t>Montana De La Rosa vs. Ariane Lipski</t>
  </si>
  <si>
    <t>http://ufcstats.com/fight-details/1a50d5c7e1e5c058</t>
  </si>
  <si>
    <t>Antonina Shevchenko vs. Ariane Lipski</t>
  </si>
  <si>
    <t>http://ufcstats.com/fight-details/a485281be8e9d2e2</t>
  </si>
  <si>
    <t>Antonina Shevchenko vs. Casey O'Neill</t>
  </si>
  <si>
    <t>http://ufcstats.com/fight-details/6832e9e62da0f9d3</t>
  </si>
  <si>
    <t>Gina Mazany vs. Priscila Cachoeira</t>
  </si>
  <si>
    <t>http://ufcstats.com/fight-details/bfd672cac0726a9a</t>
  </si>
  <si>
    <t>Nadia Kassem vs. Ji Yeon Kim</t>
  </si>
  <si>
    <t>http://ufcstats.com/fight-details/668d077ac9d7d3c9</t>
  </si>
  <si>
    <t>Cynthia Calvillo vs. Andrea Lee</t>
  </si>
  <si>
    <t>toStoppage Between Rounds</t>
  </si>
  <si>
    <t>http://ufcstats.com/fight-details/c0518d213b67e754</t>
  </si>
  <si>
    <t>Sijara Eubanks vs. Melissa Gatto</t>
  </si>
  <si>
    <t>http://ufcstats.com/fight-details/dd552b389152636a</t>
  </si>
  <si>
    <t>Natalia Silva vs. Tereza Bleda</t>
  </si>
  <si>
    <t>http://ufcstats.com/fight-details/33719a2d9c69ed17</t>
  </si>
  <si>
    <t>Lauren Murphy vs. Mara Romero Borella</t>
  </si>
  <si>
    <t>http://ufcstats.com/fight-details/e3acb789f7dcd34c</t>
  </si>
  <si>
    <t>Molly McCann vs. Luana Carolina</t>
  </si>
  <si>
    <t>http://ufcstats.com/fight-details/5a878a6bebc973d7</t>
  </si>
  <si>
    <t>Valerie Letourneau vs. Joanne Wood</t>
  </si>
  <si>
    <t>http://ufcstats.com/fight-details/fe6da751f2a4859a</t>
  </si>
  <si>
    <t>Brogan Walker vs. Juliana Miller</t>
  </si>
  <si>
    <t>http://ufcstats.com/fight-details/2b11aa4b90b1dd41</t>
  </si>
  <si>
    <t>Gina Mazany vs. Rachael Ostovich</t>
  </si>
  <si>
    <t>http://ufcstats.com/fight-details/711f00d287344c77</t>
  </si>
  <si>
    <t>Veronica Macedo vs. Polyana Viana</t>
  </si>
  <si>
    <t>http://ufcstats.com/fight-details/494042bf96730bc0</t>
  </si>
  <si>
    <t>Ariane Lipski vs. Luana Carolina</t>
  </si>
  <si>
    <t>http://ufcstats.com/fight-details/c4c379b8f99fea88</t>
  </si>
  <si>
    <t>Karine Gevorgyan vs. Rachael Ostovich</t>
  </si>
  <si>
    <t>http://ufcstats.com/fight-details/8b79a80f775d9f03</t>
  </si>
  <si>
    <t>Karine Silva vs. Ketlen Souza</t>
  </si>
  <si>
    <t>Other - Lock On GroundZ-Lock</t>
  </si>
  <si>
    <t>http://ufcstats.com/fight-details/4d0029ad31bdd85a</t>
  </si>
  <si>
    <t>Molly McCann vs. Julija Stoliarenko</t>
  </si>
  <si>
    <t>http://ufcstats.com/fight-details/743a04674ab72ee0</t>
  </si>
  <si>
    <t>Christina Marks vs. Montana De La Rosa</t>
  </si>
  <si>
    <t>http://ufcstats.com/fight-details/f9830f1c23ac92d0</t>
  </si>
  <si>
    <t>Gillian Robertson vs. Emily Whitmire</t>
  </si>
  <si>
    <t>http://ufcstats.com/fight-details/1eccf793b54b84f8</t>
  </si>
  <si>
    <t>Amanda Ribas vs. Paige VanZant</t>
  </si>
  <si>
    <t>http://ufcstats.com/fight-details/6e0c1faaf40caf9a</t>
  </si>
  <si>
    <t>Mayra Bueno Silva vs. Mara Romero Borella</t>
  </si>
  <si>
    <t>http://ufcstats.com/fight-details/4f3cd94861c6a876</t>
  </si>
  <si>
    <t>Mariya Agapova vs. Hannah Cifers</t>
  </si>
  <si>
    <t>http://ufcstats.com/fight-details/7606d2f8d8b0e889</t>
  </si>
  <si>
    <t>Diana Belbita vs. Liana Jojua</t>
  </si>
  <si>
    <t>http://ufcstats.com/fight-details/dccea04cc3567955</t>
  </si>
  <si>
    <t>Mara Romero Borella vs. Kalindra Faria</t>
  </si>
  <si>
    <t>http://ufcstats.com/fight-details/1ff3dff34d0b60b8</t>
  </si>
  <si>
    <t>Cortney Casey vs. Mara Romero Borella</t>
  </si>
  <si>
    <t>http://ufcstats.com/fight-details/906283a2adcbc3e0</t>
  </si>
  <si>
    <t>Erin Blanchfield vs. Molly McCann</t>
  </si>
  <si>
    <t>http://ufcstats.com/fight-details/93da91272d4a7ce3</t>
  </si>
  <si>
    <t>Joanne Wood vs. Alexa Grasso</t>
  </si>
  <si>
    <t>http://ufcstats.com/fight-details/1b650c76387c0f4b</t>
  </si>
  <si>
    <t>Wu Yanan vs. Lauren Mueller</t>
  </si>
  <si>
    <t>http://ufcstats.com/fight-details/d1a93a55c8063ff3</t>
  </si>
  <si>
    <t>Emily Whitmire vs. Hannah Goldy</t>
  </si>
  <si>
    <t>http://ufcstats.com/fight-details/eb10feae98ea7d36</t>
  </si>
  <si>
    <t>Joanne Wood vs. Jennifer Maia</t>
  </si>
  <si>
    <t>http://ufcstats.com/fight-details/5885445f39dac389</t>
  </si>
  <si>
    <t>Joanne Wood vs. Taila Santos</t>
  </si>
  <si>
    <t>http://ufcstats.com/fight-details/bb15c0a2911043bd</t>
  </si>
  <si>
    <t>Karine Silva vs. Poliana Botelho</t>
  </si>
  <si>
    <t>http://ufcstats.com/fight-details/3aa49ed298e4c34f</t>
  </si>
  <si>
    <t>Mayra Bueno Silva vs. Gillian Robertson</t>
  </si>
  <si>
    <t>http://ufcstats.com/fight-details/0c618cd41b88c558</t>
  </si>
  <si>
    <t>Joanne Wood vs. Kalindra Faria</t>
  </si>
  <si>
    <t>http://ufcstats.com/fight-details/9115354413739aa8</t>
  </si>
  <si>
    <t>Karine Silva vs. Maryna Moroz</t>
  </si>
  <si>
    <t>http://ufcstats.com/fight-details/f329bd89e375d6df</t>
  </si>
  <si>
    <t>Gillian Robertson vs. Priscila Cachoeira</t>
  </si>
  <si>
    <t>http://ufcstats.com/fight-details/505397f405e40206</t>
  </si>
  <si>
    <t>Antonina Shevchenko vs. Lucie Pudilova</t>
  </si>
  <si>
    <t>http://ufcstats.com/fight-details/326de7f7ec9e7035</t>
  </si>
  <si>
    <t>Jessica Andrade vs. Erin Blanchfield</t>
  </si>
  <si>
    <t>http://ufcstats.com/fight-details/dcc3da324eb5f26c</t>
  </si>
  <si>
    <t>Paige VanZant vs. Rachael Ostovich</t>
  </si>
  <si>
    <t>http://ufcstats.com/fight-details/7ddd21d48e3b34b9</t>
  </si>
  <si>
    <t>Gillian Robertson vs. Molly McCann</t>
  </si>
  <si>
    <t>http://ufcstats.com/fight-details/326c3eaa1e9e3dc4</t>
  </si>
  <si>
    <t>Sabina Mazo vs. Miranda Maverick</t>
  </si>
  <si>
    <t>http://ufcstats.com/fight-details/b55de7d791b9f62d</t>
  </si>
  <si>
    <t>Mariya Agapova vs. Gillian Robertson</t>
  </si>
  <si>
    <t>http://ufcstats.com/fight-details/d9f5d05b07bae09e</t>
  </si>
  <si>
    <t>Montana De La Rosa vs. Nadia Kassem</t>
  </si>
  <si>
    <t>http://ufcstats.com/fight-details/fd1854062406d287</t>
  </si>
  <si>
    <t>Erin Blanchfield vs. JJ Aldrich</t>
  </si>
  <si>
    <t>http://ufcstats.com/fight-details/59b2bbb251968ca9</t>
  </si>
  <si>
    <t>Tatiana Suarez vs. Montana De La Rosa</t>
  </si>
  <si>
    <t>http://ufcstats.com/fight-details/5737084215c45792</t>
  </si>
  <si>
    <t>Maryna Moroz vs. Mariya Agapova</t>
  </si>
  <si>
    <t>http://ufcstats.com/fight-details/c6fc43c351b08bda</t>
  </si>
  <si>
    <t>Veronica Macedo vs. Gillian Robertson</t>
  </si>
  <si>
    <t>http://ufcstats.com/fight-details/4e22e3cdb8757be1</t>
  </si>
  <si>
    <t>Lauren Murphy vs. Liliya Shakirova</t>
  </si>
  <si>
    <t>http://ufcstats.com/fight-details/e8ef17c0babcfca5</t>
  </si>
  <si>
    <t>Valentina Shevchenko vs. Priscila Cachoeira</t>
  </si>
  <si>
    <t>http://ufcstats.com/fight-details/10f5bb70feb1df53</t>
  </si>
  <si>
    <t>Andrea Lee vs. Antonina Shevchenko</t>
  </si>
  <si>
    <t>http://ufcstats.com/fight-details/2b894d87ad9aae05</t>
  </si>
  <si>
    <t>Sabina Mazo vs. Mariya Agapova</t>
  </si>
  <si>
    <t>http://ufcstats.com/fight-details/38957d8eb185391c</t>
  </si>
  <si>
    <t>Miranda Maverick vs. Priscila Cachoeira</t>
  </si>
  <si>
    <t>http://ufcstats.com/fight-details/74fef059e229d217</t>
  </si>
  <si>
    <t>Casey O'Neill vs. Lara Procopio</t>
  </si>
  <si>
    <t>http://ufcstats.com/fight-details/d684d8b02ab53031</t>
  </si>
  <si>
    <t>Sabina Mazo vs. Justine Kish</t>
  </si>
  <si>
    <t>http://ufcstats.com/fight-details/ed8fb10b596e6fa4</t>
  </si>
  <si>
    <t>Montana De La Rosa vs. Rachael Ostovich</t>
  </si>
  <si>
    <t>http://ufcstats.com/fight-details/b3caae587e956f54</t>
  </si>
  <si>
    <t>Cortney Casey vs. Gillian Robertson</t>
  </si>
  <si>
    <t>http://ufcstats.com/fight-details/90715135a543b6e3</t>
  </si>
  <si>
    <t>Liana Jojua vs. Miranda Maverick</t>
  </si>
  <si>
    <t>http://ufcstats.com/fight-details/47f9c14a7dca1ad7</t>
  </si>
  <si>
    <t>Victoria Leonardo vs. Melissa Gatto</t>
  </si>
  <si>
    <t>Arm Injury</t>
  </si>
  <si>
    <t>http://ufcstats.com/fight-details/cce232c1b1b2e4a0</t>
  </si>
  <si>
    <t>Istela Nunes vs. Sam Hughes</t>
  </si>
  <si>
    <t>Doug Crosby 27 - 29.Sal D'amato 27 - 29.Adalaide Byrd 28 - 28.</t>
  </si>
  <si>
    <t>http://ufcstats.com/fight-details/0daf776bd222daad</t>
  </si>
  <si>
    <t>Marina Rodriguez vs. Cynthia Calvillo</t>
  </si>
  <si>
    <t>Chris Lee 28 - 29.David Braslow 28 - 28.Sal D'amato 28 - 28.</t>
  </si>
  <si>
    <t>http://ufcstats.com/fight-details/3b8cac9910af1c61</t>
  </si>
  <si>
    <t>Carla Esparza vs. Alexa Grasso</t>
  </si>
  <si>
    <t>Brian Puccillo 28 - 28.Doug Crosby 28 - 29.Rick Winter 28 - 29.</t>
  </si>
  <si>
    <t>http://ufcstats.com/fight-details/b2cdb4c34f37ad37</t>
  </si>
  <si>
    <t>Randa Markos vs. Marina Rodriguez</t>
  </si>
  <si>
    <t>Chris Lee 28 - 28.Derek Cleary 28 - 28.Hallison Pontes 28 - 29.</t>
  </si>
  <si>
    <t>http://ufcstats.com/fight-details/a7492cbfb9b5d4a3</t>
  </si>
  <si>
    <t>Mackenzie Dern vs. Yan Xiaonan</t>
  </si>
  <si>
    <t>Junichiro Kamijo 47 - 48.Sal D'amato 47 - 48.Mike Bell 47 - 47.</t>
  </si>
  <si>
    <t>http://ufcstats.com/fight-details/d33814971932422a</t>
  </si>
  <si>
    <t>Michelle Waterson-Gomez vs. Luana Pinheiro</t>
  </si>
  <si>
    <t>Eric Colon 29 - 28.Chris Lee 28 - 29.Eliseo Rodriguez 28 - 29.</t>
  </si>
  <si>
    <t>http://ufcstats.com/fight-details/95349402616097cd</t>
  </si>
  <si>
    <t>Cynthia Calvillo vs. Loopy Godinez</t>
  </si>
  <si>
    <t>Eliseo Rodriguez 28 - 29.Eric Colon 29 - 28.Dave Tirelli 27 - 30.</t>
  </si>
  <si>
    <t>http://ufcstats.com/fight-details/780147f2ed2637d1</t>
  </si>
  <si>
    <t>Vanessa Demopoulos vs. Jinh Yu Frey</t>
  </si>
  <si>
    <t>Ron McCarthy 28 - 29.Sal D'amato 29 - 28.Jerin Valel 27 - 30.</t>
  </si>
  <si>
    <t>http://ufcstats.com/fight-details/2c73bf152247f25a</t>
  </si>
  <si>
    <t>Maria Oliveira vs. Gloria de Paula</t>
  </si>
  <si>
    <t>Chris Lee 28 - 29.Jon Schorle 29 - 28.Joel Ojeda 28 - 29.</t>
  </si>
  <si>
    <t>http://ufcstats.com/fight-details/5b5d7f7ae712c6d8</t>
  </si>
  <si>
    <t>Mackenzie Dern vs. Tecia Torres</t>
  </si>
  <si>
    <t>Chris Lee 28 - 29.Barry Luxenberg 29 - 28.Derek Cleary 28 - 29.</t>
  </si>
  <si>
    <t>http://ufcstats.com/fight-details/d8945e21a63e2451</t>
  </si>
  <si>
    <t>Cory McKenna vs. Elise Reed</t>
  </si>
  <si>
    <t>Derek Cleary 30 - 27.Anders Ohlsson 28 - 29.Clemens Werner 28 - 29.</t>
  </si>
  <si>
    <t>http://ufcstats.com/fight-details/5e378c52f26935d6</t>
  </si>
  <si>
    <t>Marina Rodriguez vs. Yan Xiaonan</t>
  </si>
  <si>
    <t>Mike Bell 28 - 29.Derek Cleary 29 - 28.Ron McCarthy 28 - 29.</t>
  </si>
  <si>
    <t>http://ufcstats.com/fight-details/9321b3c90ea5ca6c</t>
  </si>
  <si>
    <t>Amanda Lemos vs. Angela Hill</t>
  </si>
  <si>
    <t>Mike Bell 29 - 28.Doug Crosby 27 - 30.Junichiro Kamijo 28 - 29.</t>
  </si>
  <si>
    <t>http://ufcstats.com/fight-details/2e200563dd7c4922</t>
  </si>
  <si>
    <t>Jessica Penne vs. Loopy Godinez</t>
  </si>
  <si>
    <t>Rick Winter 29 - 28.Mike Bell 28 - 29.Derek Cleary 28 - 29.</t>
  </si>
  <si>
    <t>http://ufcstats.com/fight-details/25d4376e00b16510</t>
  </si>
  <si>
    <t>Carla Esparza vs. Marina Rodriguez</t>
  </si>
  <si>
    <t>Ben Cartlidge 28 - 29.Anders Ohlsson 29 - 28.Clemens Werner 27 - 30.</t>
  </si>
  <si>
    <t>http://ufcstats.com/fight-details/5632f2364016e879</t>
  </si>
  <si>
    <t>Jessica Andrade vs. Rose Namajunas</t>
  </si>
  <si>
    <t>Anders Ohlsson 28 - 29.Mark Collett 29 - 28.Vito Paolillo 28 - 29.</t>
  </si>
  <si>
    <t>http://ufcstats.com/fight-details/e16f42a666e163d8</t>
  </si>
  <si>
    <t>Claudia Gadelha vs. Angela Hill</t>
  </si>
  <si>
    <t>Chris Lee 28 - 29.Dave Tirelli 28 - 29.Sal D'amato 29 - 28.</t>
  </si>
  <si>
    <t>http://ufcstats.com/fight-details/27bfb9205119f23b</t>
  </si>
  <si>
    <t>Carla Esparza vs. Michelle Waterson</t>
  </si>
  <si>
    <t>Dave Tirelli 30 - 27.Sal D'amato 28 - 29.Howard Reichbach 27 - 30.</t>
  </si>
  <si>
    <t>http://ufcstats.com/fight-details/f2520dd5457ab293</t>
  </si>
  <si>
    <t>Randa Markos vs. Ashley Yoder</t>
  </si>
  <si>
    <t>Mark Collett 28 - 29.Howard Hughes 28 - 29.Evan Field 29 - 28.</t>
  </si>
  <si>
    <t>http://ufcstats.com/fight-details/1f9a6f2120835615</t>
  </si>
  <si>
    <t>Loma Lookboonmee vs. Aleksandra Albu</t>
  </si>
  <si>
    <t>Mark Collett 27 - 30.Pawel Harasim 27 - 30.Barry Foley 29 - 28.</t>
  </si>
  <si>
    <t>http://ufcstats.com/fight-details/4ea4d0a73a90bfb0</t>
  </si>
  <si>
    <t>Polyana Viana vs. Hannah Cifers</t>
  </si>
  <si>
    <t>Tony Weeks 28 - 29.Ron McCarthy 28 - 29.Dave Hagen 29 - 28.</t>
  </si>
  <si>
    <t>http://ufcstats.com/fight-details/0405e4446e8f239a</t>
  </si>
  <si>
    <t>Livinha Souza vs. Sarah Frota</t>
  </si>
  <si>
    <t>Guilherme Bravo 28 - 29.Joseph Terrell 28 - 29.Hallison Pontes 29 - 28.</t>
  </si>
  <si>
    <t>http://ufcstats.com/fight-details/53abea410a0541c8</t>
  </si>
  <si>
    <t>Ashley Yoder vs. Amanda Cooper</t>
  </si>
  <si>
    <t>Derek Cleary 28 - 29.Mark Van Tine 30 - 27.Curtis Thrasher 28 - 29.</t>
  </si>
  <si>
    <t>http://ufcstats.com/fight-details/bd5efa4b53dc1642</t>
  </si>
  <si>
    <t>Cortney Casey vs. Angela Hill</t>
  </si>
  <si>
    <t>Glenn Trowbridge 27 - 30.Matt Prieto 29 - 28.Sal D'amato 28 - 29.</t>
  </si>
  <si>
    <t>http://ufcstats.com/fight-details/f20e742e6b0c0b3b</t>
  </si>
  <si>
    <t>Claudia Gadelha vs. Carla Esparza</t>
  </si>
  <si>
    <t>Brian Puccillo 28 - 29.Kelvin Caldwell 29 - 28.Mike Bell 28 - 29.</t>
  </si>
  <si>
    <t>http://ufcstats.com/fight-details/c3425412e4f2f486</t>
  </si>
  <si>
    <t>Michelle Waterson vs. Cortney Casey</t>
  </si>
  <si>
    <t>Chris Flores 28 - 29.Sal D'amato 29 - 28.Dave Hagen 28 - 29.</t>
  </si>
  <si>
    <t>http://ufcstats.com/fight-details/57d05d28e3fbee4f</t>
  </si>
  <si>
    <t>Karolina Kowalkiewicz vs. Felice Herrig</t>
  </si>
  <si>
    <t>http://ufcstats.com/fight-details/5315bd4542b21c4b</t>
  </si>
  <si>
    <t>Ashley Yoder vs. Mackenzie Dern</t>
  </si>
  <si>
    <t>Adalaide Byrd 29 - 28.Junichiro Kamijo 28 - 29.Derek Cleary 28 - 29.</t>
  </si>
  <si>
    <t>http://ufcstats.com/fight-details/ead2ca0d2afb46be</t>
  </si>
  <si>
    <t>Felice Herrig vs. Cortney Casey</t>
  </si>
  <si>
    <t>Sal D'amato 28 - 29.Roy Silbert 29 - 28.Bryan Miner 28 - 29.</t>
  </si>
  <si>
    <t>http://ufcstats.com/fight-details/1a502852b706f674</t>
  </si>
  <si>
    <t>Syuri Kondo vs. Chan-Mi Jeon</t>
  </si>
  <si>
    <t>Evan Field 29 - 28.Anthony Dimitriou 27 - 30.Ben Cartlidge 27 - 30.</t>
  </si>
  <si>
    <t>http://ufcstats.com/fight-details/37cdf5bd5c975a5d</t>
  </si>
  <si>
    <t>Randa Markos vs. Alexa Grasso</t>
  </si>
  <si>
    <t>Marcos Rosales 28 - 29.Dave Tirelli 29 - 28.Roy Silbert 28 - 29.</t>
  </si>
  <si>
    <t>http://ufcstats.com/fight-details/d5598322f81db6c9</t>
  </si>
  <si>
    <t>Carla Esparza vs. Randa Markos</t>
  </si>
  <si>
    <t>Robert MacAvoy 29 - 28.Hubert Earle 28 - 29.Don Robinson 28 - 29.</t>
  </si>
  <si>
    <t>http://ufcstats.com/fight-details/e4c4c54a10e06973</t>
  </si>
  <si>
    <t>Valerie Letourneau vs. Viviane Pereira</t>
  </si>
  <si>
    <t>Eric Colon 28 - 29.Gregory Jackson 29 - 28.Cardo Urso 28 - 29.</t>
  </si>
  <si>
    <t>http://ufcstats.com/fight-details/ca9804845b010845</t>
  </si>
  <si>
    <t>Seo Hee Ham vs. Danielle Taylor</t>
  </si>
  <si>
    <t>Christopher Shen 29 - 28.Anthony Dimitriou 27 - 30.Evan Field 27 - 30.</t>
  </si>
  <si>
    <t>http://ufcstats.com/fight-details/314aea77cd24210f</t>
  </si>
  <si>
    <t>Maryna Moroz vs. Danielle Taylor</t>
  </si>
  <si>
    <t>Dan Furse 29 - 28.Derek Cleary 28 - 29.Rich Montanez 27 - 30.</t>
  </si>
  <si>
    <t>http://ufcstats.com/fight-details/58c73a9562adcfe5</t>
  </si>
  <si>
    <t>Rose Namajunas vs. Karolina Kowalkiewicz</t>
  </si>
  <si>
    <t>Chris Lee 29 - 28.Ken Coffey 28 - 29.Jeff Mullen 28 - 29.</t>
  </si>
  <si>
    <t>http://ufcstats.com/fight-details/7f3763caa99a3486</t>
  </si>
  <si>
    <t>Michelle Waterson vs. Angela Hill</t>
  </si>
  <si>
    <t>Chris Lee 48 - 47.Sal D'amato 46 - 49.Derek Cleary 47 - 48.</t>
  </si>
  <si>
    <t>http://ufcstats.com/fight-details/0ffbf3096a13b47e</t>
  </si>
  <si>
    <t>http://ufcstats.com/fight-details/7df5998eca143c04</t>
  </si>
  <si>
    <t>http://ufcstats.com/fight-details/85a130a4b655c8f5</t>
  </si>
  <si>
    <t>http://ufcstats.com/fight-details/b6a6ba08898f3b6a</t>
  </si>
  <si>
    <t>http://ufcstats.com/fight-details/5ee83e03aaff5fa1</t>
  </si>
  <si>
    <t>Mizuki vs. Hannah Goldy</t>
  </si>
  <si>
    <t>Adalaide Byrd 28 - 29.Junichiro Kamijo 28 - 29.David Lethaby 28 - 29.</t>
  </si>
  <si>
    <t>http://ufcstats.com/fight-details/adb411b0f418ce33</t>
  </si>
  <si>
    <t>Josefine Knutsson vs. Marnic Mann</t>
  </si>
  <si>
    <t>Mike Bell 24 - 30.Sal D'amato 25 - 30.Bryan Miner 27 - 30.</t>
  </si>
  <si>
    <t>http://ufcstats.com/fight-details/11318a7807cee8ca</t>
  </si>
  <si>
    <t>Shauna Bannon vs. Bruna Brasil</t>
  </si>
  <si>
    <t>Mike Bell 28 - 29.Clemens Werner 28 - 29.Anders Ohlsson 27 - 30.</t>
  </si>
  <si>
    <t>http://ufcstats.com/fight-details/c81d1facf185467d</t>
  </si>
  <si>
    <t>Tabatha Ricci vs. Gillian Robertson</t>
  </si>
  <si>
    <t>Sal D'amato 28 - 29.Barry Luxenberg 28 - 29.Chris Lee 27 - 30.</t>
  </si>
  <si>
    <t>http://ufcstats.com/fight-details/c22de92b9d9030dc</t>
  </si>
  <si>
    <t>Diana Belbita vs. Maria Oliveira</t>
  </si>
  <si>
    <t>Phil Koldyk</t>
  </si>
  <si>
    <t>Jerin Valel 27 - 30.Jason Darrah 27 - 30.Chris Lee 28 - 29.</t>
  </si>
  <si>
    <t>http://ufcstats.com/fight-details/1676c64a94be0557</t>
  </si>
  <si>
    <t>Elise Reed vs. Jinh Yu Frey</t>
  </si>
  <si>
    <t>Bryan Miner 28 - 29.Ron McCarthy 28 - 29.Mike Bell 28 - 29.</t>
  </si>
  <si>
    <t>http://ufcstats.com/fight-details/dfc62aa72446e4a8</t>
  </si>
  <si>
    <t>Karolina Kowalkiewicz vs. Vanessa Demopoulos</t>
  </si>
  <si>
    <t>Mike Bell 27 - 30.Derek Cleary 27 - 30.Jacob Montalvo 27 - 30.</t>
  </si>
  <si>
    <t>http://ufcstats.com/fight-details/33007109c9ca1ede</t>
  </si>
  <si>
    <t>Marina Rodriguez vs. Virna Jandiroba</t>
  </si>
  <si>
    <t>Mike Bell 28 - 29.Dominic Carolei 28 - 29.Maimunah Querido 27 - 30.</t>
  </si>
  <si>
    <t>http://ufcstats.com/fight-details/5f44d6d9e6bbecff</t>
  </si>
  <si>
    <t>Jaqueline Amorim vs. Sam Hughes</t>
  </si>
  <si>
    <t>Eliseo Rodriguez 28 - 29.Sal D'amato 28 - 29.Eric Colon 28 - 29.</t>
  </si>
  <si>
    <t>http://ufcstats.com/fight-details/355a2f4090c0ca31</t>
  </si>
  <si>
    <t>Cheyanne Vlismas vs. Cory McKenna</t>
  </si>
  <si>
    <t>http://ufcstats.com/fight-details/c960184a583f1861</t>
  </si>
  <si>
    <t>Angela Hill vs. Emily Ducote</t>
  </si>
  <si>
    <t>Derek Cleary 27 - 30.Dave Tirelli 27 - 30.Daniel Torres 27 - 30.</t>
  </si>
  <si>
    <t>http://ufcstats.com/fight-details/0c9faf26efe2cdcc</t>
  </si>
  <si>
    <t>Vanessa Demopoulos vs. Maria Oliveira</t>
  </si>
  <si>
    <t>http://ufcstats.com/fight-details/bd064deb3494b41a</t>
  </si>
  <si>
    <t>Karolina Kowalkiewicz vs. Silvana Gomez Juarez</t>
  </si>
  <si>
    <t>Mike Bell 28 - 29.Sal D'amato 28 - 29.Dave Tirelli 28 - 29.</t>
  </si>
  <si>
    <t>http://ufcstats.com/fight-details/ff2e4b411f695017</t>
  </si>
  <si>
    <t>Piera Rodriguez vs. Sam Hughes</t>
  </si>
  <si>
    <t>http://ufcstats.com/fight-details/60bd4d2878c85f70</t>
  </si>
  <si>
    <t>Denise Gomes vs. Loma Lookboonmee</t>
  </si>
  <si>
    <t>Mike Bell 27 - 30.Sal D'amato 27 - 30.Derek Cleary 28 - 29.</t>
  </si>
  <si>
    <t>http://ufcstats.com/fight-details/ec0740be19b2ef90</t>
  </si>
  <si>
    <t>Melissa Martinez vs. Elise Reed</t>
  </si>
  <si>
    <t>Sal D'amato 28 - 29.Adalaide Byrd 28 - 29.Junichiro Kamijo 28 - 29.</t>
  </si>
  <si>
    <t>http://ufcstats.com/fight-details/a5cf273faa3982b7</t>
  </si>
  <si>
    <t>Yazmin Jauregui vs. Iasmin Lucindo</t>
  </si>
  <si>
    <t>Ron McCarthy 27 - 30.Derek Cleary 28 - 29.Sal D'amato 28 - 29.</t>
  </si>
  <si>
    <t>http://ufcstats.com/fight-details/833d67f423315d18</t>
  </si>
  <si>
    <t>Jessica Penne vs. Emily Ducote</t>
  </si>
  <si>
    <t>Doug Crosby 28 - 29.Eric Colon 28 - 29.Dave Tirelli 27 - 30.</t>
  </si>
  <si>
    <t>http://ufcstats.com/fight-details/b1af3bd0f8266a90</t>
  </si>
  <si>
    <t>Polyana Viana vs. Tabatha Ricci</t>
  </si>
  <si>
    <t>Mike Bell 28 - 29.Ron McCarthy 28 - 29.Adalaide Byrd 28 - 29.</t>
  </si>
  <si>
    <t>http://ufcstats.com/fight-details/5eaff5c832430378</t>
  </si>
  <si>
    <t>Virna Jandiroba vs. Angela Hill</t>
  </si>
  <si>
    <t>Sal D'amato 27 - 30.Chris Lee 27 - 30.Junichiro Kamijo 27 - 30.</t>
  </si>
  <si>
    <t>http://ufcstats.com/fight-details/f549164690d723bb</t>
  </si>
  <si>
    <t>Ariane Carnelossi vs. Loopy Godinez</t>
  </si>
  <si>
    <t>Eric Colon 26 - 30.Chris Lee 26 - 30.Chris Flores 27 - 30.</t>
  </si>
  <si>
    <t>http://ufcstats.com/fight-details/88455c967a7ef6fc</t>
  </si>
  <si>
    <t>Piera Rodriguez vs. Kay Hansen</t>
  </si>
  <si>
    <t>Eric Colon 28 - 29.Troy Wincapaw 28 - 29.Derek Cleary 28 - 29.</t>
  </si>
  <si>
    <t>http://ufcstats.com/fight-details/9e52a67410f2c879</t>
  </si>
  <si>
    <t>Diana Belbita vs. Gloria de Paula</t>
  </si>
  <si>
    <t>Mike Bell 28 - 29.Derek Cleary 28 - 29.Adalaide Byrd 28 - 29.</t>
  </si>
  <si>
    <t>http://ufcstats.com/fight-details/33cc40fc1da409d3</t>
  </si>
  <si>
    <t>Cheyanne Vlismas vs. Mallory Martin</t>
  </si>
  <si>
    <t>Dave Hagen 27 - 30.Derek Cleary 28 - 29.Sal D'amato 28 - 29.</t>
  </si>
  <si>
    <t>http://ufcstats.com/fight-details/3fc8afbb23b9ac16</t>
  </si>
  <si>
    <t>Loma Lookboonmee vs. Loopy Godinez</t>
  </si>
  <si>
    <t>Mike Bell 27 - 30.Sal D'amato 27 - 30.Dave Hagen 27 - 30.</t>
  </si>
  <si>
    <t>http://ufcstats.com/fight-details/450534f9fb9b13cd</t>
  </si>
  <si>
    <t>Luana Pinheiro vs. Sam Hughes</t>
  </si>
  <si>
    <t>Adalaide Byrd 27 - 30.Eric Colon 27 - 30.Mike Bell 28 - 29.</t>
  </si>
  <si>
    <t>http://ufcstats.com/fight-details/8dd086e2e70144fd</t>
  </si>
  <si>
    <t>Amanda Ribas vs. Virna Jandiroba</t>
  </si>
  <si>
    <t>Ben Cartlidge 28 - 29.Howard Hughes 28 - 29.Anders Ohlsson 28 - 29.</t>
  </si>
  <si>
    <t>http://ufcstats.com/fight-details/d84968d7e9fcb4f3</t>
  </si>
  <si>
    <t>Tabatha Ricci vs. Maria Oliveira</t>
  </si>
  <si>
    <t>Junichiro Kamijo 27 - 30.Tony Weeks 27 - 30.Doug Crosby 27 - 30.</t>
  </si>
  <si>
    <t>http://ufcstats.com/fight-details/1fe58cdab57d233b</t>
  </si>
  <si>
    <t>Livinha Souza vs. Randa Markos</t>
  </si>
  <si>
    <t>Eric Colon 27 - 30.Sal D'amato 27 - 30.Derek Cleary 28 - 29.</t>
  </si>
  <si>
    <t>http://ufcstats.com/fight-details/61d9eff5fa4c8578</t>
  </si>
  <si>
    <t>Tecia Torres vs. Angela Hill</t>
  </si>
  <si>
    <t>Jacob Montalvo 28 - 29.Jeff Rexroad 27 - 30.Doug Crosby 27 - 30.</t>
  </si>
  <si>
    <t>http://ufcstats.com/fight-details/903d2c361d005b70</t>
  </si>
  <si>
    <t>Jinh Yu Frey vs. Ashley Yoder</t>
  </si>
  <si>
    <t>Mike Bell 27 - 30.Ron McCarthy 27 - 30.Dave Tirelli 27 - 30.</t>
  </si>
  <si>
    <t>http://ufcstats.com/fight-details/96c51bc6316a4b47</t>
  </si>
  <si>
    <t>Diana Belbita vs. Hannah Goldy</t>
  </si>
  <si>
    <t>Derek Cleary 27 - 30.Jerin Valel 27 - 30.Junichiro Kamijo 27 - 30.</t>
  </si>
  <si>
    <t>http://ufcstats.com/fight-details/40ce202eaa78860c</t>
  </si>
  <si>
    <t>Loma Lookboonmee vs. Sam Hughes</t>
  </si>
  <si>
    <t>http://ufcstats.com/fight-details/d6b5a6ad27a730ae</t>
  </si>
  <si>
    <t>Cheyanne Vlismas vs. Montserrat Conejo</t>
  </si>
  <si>
    <t>Mike Bell 28 - 29.Junichiro Kamijo 28 - 29.Bryan Miner 27 - 29.</t>
  </si>
  <si>
    <t>http://ufcstats.com/fight-details/dd7f3f91ea6067d4</t>
  </si>
  <si>
    <t>Angela Hill vs. Ashley Yoder</t>
  </si>
  <si>
    <t>Mike Bell 27 - 30.Sal D'amato 27 - 30.Rick Winter 27 - 30.</t>
  </si>
  <si>
    <t>http://ufcstats.com/fight-details/18c67631b76c18e5</t>
  </si>
  <si>
    <t>Gloria de Paula vs. Jinh Yu Frey</t>
  </si>
  <si>
    <t>Sal D'amato 28 - 29.Chris Lee 28 - 29.Bryan Miner 28 - 29.</t>
  </si>
  <si>
    <t>http://ufcstats.com/fight-details/8a7b0cd5ad9ca4fe</t>
  </si>
  <si>
    <t>Mackenzie Dern vs. Virna Jandiroba</t>
  </si>
  <si>
    <t>http://ufcstats.com/fight-details/27200d53ba9020b8</t>
  </si>
  <si>
    <t>Ashley Yoder vs. Miranda Granger</t>
  </si>
  <si>
    <t>Ron McCarthy 26 - 30.Chris Lee 27 - 29.Derek Cleary 27 - 29.</t>
  </si>
  <si>
    <t>http://ufcstats.com/fight-details/34db1e0e2499e7ae</t>
  </si>
  <si>
    <t>Kay Hansen vs. Cory McKenna</t>
  </si>
  <si>
    <t>http://ufcstats.com/fight-details/742dc4196d329db0</t>
  </si>
  <si>
    <t>Randa Markos vs. Kanako Murata</t>
  </si>
  <si>
    <t>Junichiro Kamijo 27 - 30.Sal D'amato 27 - 30.Mike Bell 27 - 30.</t>
  </si>
  <si>
    <t>http://ufcstats.com/fight-details/470391c4067bf49b</t>
  </si>
  <si>
    <t>Claudia Gadelha vs. Yan Xiaonan</t>
  </si>
  <si>
    <t>http://ufcstats.com/fight-details/b76590c02f86e705</t>
  </si>
  <si>
    <t>Loma Lookboonmee vs. Jinh Yu Frey</t>
  </si>
  <si>
    <t>Mike Bell 27 - 30.Lukasz Bosacki 27 - 30.Clemens Werner 28 - 29.</t>
  </si>
  <si>
    <t>http://ufcstats.com/fight-details/87105c63df95f929</t>
  </si>
  <si>
    <t>Amanda Lemos vs. Inoue Mizuki</t>
  </si>
  <si>
    <t>Mike Bell 27 - 30.Dave Hagen 27 - 30.Adalaide Byrd 27 - 30.</t>
  </si>
  <si>
    <t>http://ufcstats.com/fight-details/0a3e48cdd97267f4</t>
  </si>
  <si>
    <t>Ashley Yoder vs. Livinha Souza</t>
  </si>
  <si>
    <t>Mike Bell 28 - 29.Junichiro Kamijo 28 - 29.Dave Hagen 27 - 30.</t>
  </si>
  <si>
    <t>http://ufcstats.com/fight-details/745bdd823161da89</t>
  </si>
  <si>
    <t>Tecia Torres vs. Brianna Van Buren</t>
  </si>
  <si>
    <t>http://ufcstats.com/fight-details/1adee75d6c671cc8</t>
  </si>
  <si>
    <t>Amanda Ribas vs. Randa Markos</t>
  </si>
  <si>
    <t>Mike Bell 26 - 30.Hallison Pontes 25 - 30.Joseph Terrell 25 - 30.</t>
  </si>
  <si>
    <t>http://ufcstats.com/fight-details/ea303a8e6e31f264</t>
  </si>
  <si>
    <t>Karolina Kowalkiewicz vs. Yan Xiaonan</t>
  </si>
  <si>
    <t>Luke Hill 26 - 30.Howard Hughes 26 - 30.David Lethaby 26 - 30.</t>
  </si>
  <si>
    <t>http://ufcstats.com/fight-details/060987bb3025a0a8</t>
  </si>
  <si>
    <t>Loma Lookboonmee vs. Angela Hill</t>
  </si>
  <si>
    <t>Howie Booth 28 - 29.Mark Rodgers 28 - 29.David Lethaby 27 - 30.</t>
  </si>
  <si>
    <t>http://ufcstats.com/fight-details/af5b940f2c686524</t>
  </si>
  <si>
    <t>Mackenzie Dern vs. Amanda Ribas</t>
  </si>
  <si>
    <t>Tony Weeks 27 - 30.Troy Wincapaw 27 - 30.Michelle Olney 27 - 30.</t>
  </si>
  <si>
    <t>http://ufcstats.com/fight-details/2d7f29ec900a8948</t>
  </si>
  <si>
    <t>Hannah Cifers vs. Jodie Esquibel</t>
  </si>
  <si>
    <t>Mike Bell 28 - 29.Luis Cobian 27 - 30.Guilherme Bravo 27 - 30.</t>
  </si>
  <si>
    <t>http://ufcstats.com/fight-details/8ebd6e9d41a51e31</t>
  </si>
  <si>
    <t>Tecia Torres vs. Marina Rodriguez</t>
  </si>
  <si>
    <t>Joseph Terrell 27 - 30.Eric Colon 27 - 30.Guilherme Bravo 26 - 30.</t>
  </si>
  <si>
    <t>http://ufcstats.com/fight-details/d93b589bcec80ffe</t>
  </si>
  <si>
    <t>Livinha Souza vs. Brianna Van Buren</t>
  </si>
  <si>
    <t>Wade Vierra 27 - 30.Marcos Rosales 27 - 30.Mike Bell 27 - 30.</t>
  </si>
  <si>
    <t>http://ufcstats.com/fight-details/2d42ef44ad2470e1</t>
  </si>
  <si>
    <t>Claudia Gadelha vs. Randa Markos</t>
  </si>
  <si>
    <t>http://ufcstats.com/fight-details/7fe0cec2b0f1c146</t>
  </si>
  <si>
    <t>Ashley Yoder vs. Syuri Kondo</t>
  </si>
  <si>
    <t>Chris Lee 26 - 30.Sal D'amato 25 - 30.Matthew Mesardjian 24 - 30.</t>
  </si>
  <si>
    <t>http://ufcstats.com/fight-details/6e9cf53cd87e1b7e</t>
  </si>
  <si>
    <t>Tatiana Suarez vs. Nina Nunes</t>
  </si>
  <si>
    <t>Gabriel Sabaitis 28 - 29.Ron McCarthy 28 - 29.Brian Puccillo 28 - 29.</t>
  </si>
  <si>
    <t>http://ufcstats.com/fight-details/56403d0fd259c5d9</t>
  </si>
  <si>
    <t>Karolina Kowalkiewicz vs. Alexa Grasso</t>
  </si>
  <si>
    <t>Sal D'amato 27 - 30.Brandon Mason 27 - 30.Chris Lee 27 - 30.</t>
  </si>
  <si>
    <t>http://ufcstats.com/fight-details/a4446299c1f85d74</t>
  </si>
  <si>
    <t>Yan Xiaonan vs. Angela Hill</t>
  </si>
  <si>
    <t>http://ufcstats.com/fight-details/97c76d44699f7c93</t>
  </si>
  <si>
    <t>Carla Esparza vs. Virna Jandiroba</t>
  </si>
  <si>
    <t>Barry Luxenberg 27 - 30.Derek Cleary 28 - 29.Sal D'amato 28 - 29.</t>
  </si>
  <si>
    <t>http://ufcstats.com/fight-details/f08ccad48500eb2b</t>
  </si>
  <si>
    <t>Angela Hill vs. Jodie Esquibel</t>
  </si>
  <si>
    <t>Barry Luxenberg 28 - 29.Daniel Torres 27 - 30.Troy Wincapaw 27 - 30.</t>
  </si>
  <si>
    <t>http://ufcstats.com/fight-details/c300085cc08357b5</t>
  </si>
  <si>
    <t>Karolina Kowalkiewicz vs. Michelle Waterson</t>
  </si>
  <si>
    <t>Cardo Urso 27 - 30.Dave Tirelli 27 - 30.Wilfredo Cintron 27 - 30.</t>
  </si>
  <si>
    <t>http://ufcstats.com/fight-details/b70e72f23446520a</t>
  </si>
  <si>
    <t>Marina Rodriguez vs. Jessica Aguilar</t>
  </si>
  <si>
    <t>Cardo Urso 26 - 29.David Brogan 27 - 29.Wilfredo Cintron 27 - 29.</t>
  </si>
  <si>
    <t>http://ufcstats.com/fight-details/f5a038c18f7a44fc</t>
  </si>
  <si>
    <t>Tecia Torres vs. Zhang Weili</t>
  </si>
  <si>
    <t>Mike Bell 28 - 29.Derek Cleary 27 - 30.Glenn Trowbridge 27 - 30.</t>
  </si>
  <si>
    <t>http://ufcstats.com/fight-details/ec149b086b0e7fac</t>
  </si>
  <si>
    <t>Cortney Casey vs. Cynthia Calvillo</t>
  </si>
  <si>
    <t>Derek Cleary 28 - 29.Dennis O'Connell 28 - 29.Chris Lee 27 - 30.</t>
  </si>
  <si>
    <t>http://ufcstats.com/fight-details/354425c41008a01f</t>
  </si>
  <si>
    <t>Claudia Gadelha vs. Nina Nunes</t>
  </si>
  <si>
    <t>Declan Woods 28 - 29.David Therien 28 - 29.Gregory Jackson 28 - 29.</t>
  </si>
  <si>
    <t>http://ufcstats.com/fight-details/d5577e3272ef3032</t>
  </si>
  <si>
    <t>Yan Xiaonan vs. Syuri Kondo</t>
  </si>
  <si>
    <t>http://ufcstats.com/fight-details/e8093d77f566fe51</t>
  </si>
  <si>
    <t>Michelle Waterson vs. Felice Herrig</t>
  </si>
  <si>
    <t>Chris Lee 26 - 30.Mike Bell 28 - 29.Dave Hagen 27 - 30.</t>
  </si>
  <si>
    <t>http://ufcstats.com/fight-details/adee1fc200ed1a12</t>
  </si>
  <si>
    <t>Polyana Viana vs. JJ Aldrich</t>
  </si>
  <si>
    <t>Marcos Rosales 28 - 29.Sal D'amato 28 - 29.Ron McCarthy 27 - 30.</t>
  </si>
  <si>
    <t>http://ufcstats.com/fight-details/d2f6b87189908088</t>
  </si>
  <si>
    <t>Danielle Taylor vs. Zhang Weili</t>
  </si>
  <si>
    <t>http://ufcstats.com/fight-details/5d8a1daadda47ace</t>
  </si>
  <si>
    <t>Joanna Jedrzejczyk vs. Tecia Torres</t>
  </si>
  <si>
    <t>http://ufcstats.com/fight-details/0b2ae6c368369d1b</t>
  </si>
  <si>
    <t>Randa Markos vs. Nina Nunes</t>
  </si>
  <si>
    <t>Sal D'amato 28 - 29.Tony Weeks 28 - 29.Jason Rodgers 28 - 29.</t>
  </si>
  <si>
    <t>http://ufcstats.com/fight-details/d441715577c5934c</t>
  </si>
  <si>
    <t>Jessica Aguilar vs. Jodie Esquibel</t>
  </si>
  <si>
    <t>http://ufcstats.com/fight-details/7fe2b6a9fc4748fa</t>
  </si>
  <si>
    <t>Jamie Moyle vs. Emily Whitmire</t>
  </si>
  <si>
    <t>Chris Lee 28 - 29.Rick Winter 28 - 29.Junichiro Kamijo 28 - 29.</t>
  </si>
  <si>
    <t>http://ufcstats.com/fight-details/c931097a857ed60c</t>
  </si>
  <si>
    <t>Viviane Pereira vs. Yan Xiaonan</t>
  </si>
  <si>
    <t>Howie Booth 28 - 29.Albert Shen 28 - 29.Mark Craig 27 - 30.</t>
  </si>
  <si>
    <t>http://ufcstats.com/fight-details/d80b0bea0e260b95</t>
  </si>
  <si>
    <t>Jessica Andrade vs. Tecia Torres</t>
  </si>
  <si>
    <t>Eric Colon 27 - 29.Dave Tirelli 28 - 29.Tim Vannatta 28 - 29.</t>
  </si>
  <si>
    <t>http://ufcstats.com/fight-details/4d9d371b8db6fb91</t>
  </si>
  <si>
    <t>Maryna Moroz vs. Angela Hill</t>
  </si>
  <si>
    <t>Chris Lee 27 - 30.Dave Tirelli 27 - 30.Eric Colon 27 - 30.</t>
  </si>
  <si>
    <t>http://ufcstats.com/fight-details/037c68d03c970609</t>
  </si>
  <si>
    <t>Randa Markos vs. Juliana Lima</t>
  </si>
  <si>
    <t>Roy Silbert 27 - 30.Andrew Hopper Jr. 27 - 30.Derek Cleary 27 - 30.</t>
  </si>
  <si>
    <t>http://ufcstats.com/fight-details/5a096f2acb44c776</t>
  </si>
  <si>
    <t>Danielle Taylor vs. JJ Aldrich</t>
  </si>
  <si>
    <t>Rob Francis 28 - 29.Sal D'amato 28 - 29.Travis Buesking 28 - 29.</t>
  </si>
  <si>
    <t>http://ufcstats.com/fight-details/9f10afab94cafc45</t>
  </si>
  <si>
    <t>Cynthia Calvillo vs. Carla Esparza</t>
  </si>
  <si>
    <t>Sal D'amato 28 - 29.Junichiro Kamijo 28 - 29.Marcos Rosales 28 - 29.</t>
  </si>
  <si>
    <t>http://ufcstats.com/fight-details/f77e3c681fe1b04e</t>
  </si>
  <si>
    <t>Tecia Torres vs. Michelle Waterson</t>
  </si>
  <si>
    <t>Bryan Miner 27 - 30.Eric Colon 28 - 29.Roy Silbert 28 - 29.</t>
  </si>
  <si>
    <t>http://ufcstats.com/fight-details/ea674e0285fb77f5</t>
  </si>
  <si>
    <t>Kailin Curran vs. Yan Xiaonan</t>
  </si>
  <si>
    <t>Barry Foley 28 - 29.Kon Papaioannou 28 - 29.Albert Shen 27 - 30.</t>
  </si>
  <si>
    <t>http://ufcstats.com/fight-details/47628ab025f19796</t>
  </si>
  <si>
    <t>Alex Chambers vs. Nadia Kassem</t>
  </si>
  <si>
    <t>Kon Papaioannou 28 - 29.Anthony Dimitriou 27 - 29.Storm Oshyer 27 - 29.</t>
  </si>
  <si>
    <t>http://ufcstats.com/fight-details/23b6ffc0223f8cce</t>
  </si>
  <si>
    <t>Tatiana Suarez vs. Viviane Pereira</t>
  </si>
  <si>
    <t>Elvis Bello 27 - 30.Brian Costello 27 - 30.Jeff Mullen 26 - 30.</t>
  </si>
  <si>
    <t>http://ufcstats.com/fight-details/5db3e2fdd18129a4</t>
  </si>
  <si>
    <t>Angela Hill vs. Nina Nunes</t>
  </si>
  <si>
    <t>Chris Lee 28 - 29.Ron Rodriquez 28 - 29.Brian Costello 28 - 29.</t>
  </si>
  <si>
    <t>http://ufcstats.com/fight-details/7006a98fe9944571</t>
  </si>
  <si>
    <t>Karolina Kowalkiewicz vs. Jodie Esquibel</t>
  </si>
  <si>
    <t>http://ufcstats.com/fight-details/d71ad0033de24fff</t>
  </si>
  <si>
    <t>Pearl Gonzalez vs. Poliana Botelho</t>
  </si>
  <si>
    <t>Sal D'amato 27 - 30.Rick Winter 27 - 30.Chris Lee 27 - 30.</t>
  </si>
  <si>
    <t>http://ufcstats.com/fight-details/0f826e7bbb73b53f</t>
  </si>
  <si>
    <t>Claudia Gadelha vs. Jessica Andrade</t>
  </si>
  <si>
    <t>Barry Foley 25 - 30.Anthony Dimitriou 26 - 30.Kon Papaioannou 27 - 30.</t>
  </si>
  <si>
    <t>http://ufcstats.com/fight-details/e8d59c27b467d716</t>
  </si>
  <si>
    <t>Kailin Curran vs. Aleksandra Albu</t>
  </si>
  <si>
    <t>Sal D'amato 28 - 29.Marcos Rosales 28 - 29.Wade Vierra 28 - 29.</t>
  </si>
  <si>
    <t>http://ufcstats.com/fight-details/e80a8338d86e730b</t>
  </si>
  <si>
    <t>Joanne Wood vs. Cynthia Calvillo</t>
  </si>
  <si>
    <t>Pawel Harasim 27 - 30.Maciej Motylewski 27 - 30.Howard Hughes 28 - 29.</t>
  </si>
  <si>
    <t>http://ufcstats.com/fight-details/b7f6d05d3afbb266</t>
  </si>
  <si>
    <t>http://ufcstats.com/fight-details/c94c3e4bbed24421</t>
  </si>
  <si>
    <t>Felice Herrig vs. Justine Kish</t>
  </si>
  <si>
    <t>Gerald Ritter 26 - 30.Brian Puccillo 26 - 30.Glenn Trowbridge 27 - 29.</t>
  </si>
  <si>
    <t>http://ufcstats.com/fight-details/bd59c07a106d331b</t>
  </si>
  <si>
    <t>Carla Esparza vs. Maryna Moroz</t>
  </si>
  <si>
    <t>Brian Puccillo 27 - 30.David Sutherland 28 - 29.Glenn Trowbridge 28 - 29.</t>
  </si>
  <si>
    <t>http://ufcstats.com/fight-details/1bd52b0c01018f4a</t>
  </si>
  <si>
    <t>JJ Aldrich vs. Chan-Mi Jeon</t>
  </si>
  <si>
    <t>Ritchie Gerard 27 - 30.Charlie Keech 27 - 30.Cameron Quinn 27 - 30.</t>
  </si>
  <si>
    <t>http://ufcstats.com/fight-details/bd4a648bebaefab3</t>
  </si>
  <si>
    <t>Viviane Pereira vs. Jamie Moyle</t>
  </si>
  <si>
    <t>Fabio Alves 28 - 29.Jeff Mullen 27 - 30.Derek Cleary 27 - 30.</t>
  </si>
  <si>
    <t>http://ufcstats.com/fight-details/2fd43be584ef522b</t>
  </si>
  <si>
    <t>Jessica Aguilar vs. Cortney Casey</t>
  </si>
  <si>
    <t>Dan Mathisen 27 - 30.Chris Reed 27 - 30.Aladin Martinez 27 - 30.</t>
  </si>
  <si>
    <t>http://ufcstats.com/fight-details/af2ef75664656957</t>
  </si>
  <si>
    <t>Jessica Penne vs. Danielle Taylor</t>
  </si>
  <si>
    <t>Eric Colon 28 - 29.Jeff Mullen 28 - 29.Roy Silbert 28 - 29.</t>
  </si>
  <si>
    <t>http://ufcstats.com/fight-details/c0c587cb52de929b</t>
  </si>
  <si>
    <t>Alexa Grasso vs. Felice Herrig</t>
  </si>
  <si>
    <t>Kevin Hancock 28 - 29.Jeff Mullen 28 - 29.Patrick Patlan 27 - 30.</t>
  </si>
  <si>
    <t>http://ufcstats.com/fight-details/4a2e7e2c8cfdaf5f</t>
  </si>
  <si>
    <t>Jessica Andrade vs. Angela Hill</t>
  </si>
  <si>
    <t>Sal D'amato 27 - 30.Jeff Mullen 27 - 30.Patrick Patlan 27 - 30.</t>
  </si>
  <si>
    <t>http://ufcstats.com/fight-details/451525a1abe30a91</t>
  </si>
  <si>
    <t>Tecia Torres vs. Bec Rawlings</t>
  </si>
  <si>
    <t>Kevin Hancock 27 - 30.Jeff Mullen 27 - 30.Joshua Ferraro 27 - 30.</t>
  </si>
  <si>
    <t>http://ufcstats.com/fight-details/ebe38ba75cbf2320</t>
  </si>
  <si>
    <t>Justine Kish vs. Ashley Yoder</t>
  </si>
  <si>
    <t>Doug Crosby 28 - 29.Dominic Carolei 28 - 29.Cardo Urso 28 - 29.</t>
  </si>
  <si>
    <t>http://ufcstats.com/fight-details/9555d8941df4a998</t>
  </si>
  <si>
    <t>Juliana Lima vs. JJ Aldrich</t>
  </si>
  <si>
    <t>Dominic Carolei 27 - 30.Cardo Urso 27 - 30.Derek Cleary 27 - 30.</t>
  </si>
  <si>
    <t>http://ufcstats.com/fight-details/87b6c507a7684ec2</t>
  </si>
  <si>
    <t>Kailin Curran vs. Jamie Moyle</t>
  </si>
  <si>
    <t>Tony Weeks 27 - 30.Patricia Morse-Jarman 27 - 30.Derek Cleary 27 - 30.</t>
  </si>
  <si>
    <t>http://ufcstats.com/fight-details/5ae45d20a60dc109</t>
  </si>
  <si>
    <t>Claudia Gadelha vs. Cortney Casey</t>
  </si>
  <si>
    <t>Hallison Pontes 27 - 30.Joseph Terrell 27 - 30.Fabio Alves 27 - 30.</t>
  </si>
  <si>
    <t>http://ufcstats.com/fight-details/4c05732d411d6412</t>
  </si>
  <si>
    <t>Anna Elmose vs. Amanda Cooper</t>
  </si>
  <si>
    <t>Peter Lavery 27 - 30.Howard Hughes 28 - 29.Paul Sutherland 28 - 29.</t>
  </si>
  <si>
    <t>http://ufcstats.com/fight-details/24411c5356903d11</t>
  </si>
  <si>
    <t>Alexa Grasso vs. Heather Clark</t>
  </si>
  <si>
    <t>Derek Cleary 27 - 30.Chris Lee 27 - 30.Brian Puccillo 28 - 29.</t>
  </si>
  <si>
    <t>http://ufcstats.com/fight-details/52943c821416dc38</t>
  </si>
  <si>
    <t>Randa Markos vs. Jocelyn Jones-Lybarger</t>
  </si>
  <si>
    <t>Graham Bettes 27 - 30.Sal D'amato 28 - 29.David Therien 28 - 29.</t>
  </si>
  <si>
    <t>http://ufcstats.com/fight-details/afd53c8033f6ee82</t>
  </si>
  <si>
    <t>Karolina Kowalkiewicz vs. Heather Clark</t>
  </si>
  <si>
    <t>Mark Collett 28 - 29.Peter Lavery 28 - 29.Paul Sutherland 27 - 30.</t>
  </si>
  <si>
    <t>http://ufcstats.com/fight-details/c5990f9767b16c48</t>
  </si>
  <si>
    <t>Carla Esparza vs. Juliana Lima</t>
  </si>
  <si>
    <t>Derek Cleary 27 - 30.Jeff Mullen 27 - 30.Junichiro Kamijo 27 - 30.</t>
  </si>
  <si>
    <t>http://ufcstats.com/fight-details/2c0ece9f70a62408</t>
  </si>
  <si>
    <t>Rose Namajunas vs. Tecia Torres</t>
  </si>
  <si>
    <t>Roy Silbert 28 - 29.Sal D'amato 28 - 29.Tim Vannatta 28 - 29.</t>
  </si>
  <si>
    <t>http://ufcstats.com/fight-details/28f5f50617f2b686</t>
  </si>
  <si>
    <t>Maryna Moroz vs. Cristina Stanciu</t>
  </si>
  <si>
    <t>Jadranko Cacic 27 - 30.Andreas Gruner 27 - 30.Howard Hughes 27 - 30.</t>
  </si>
  <si>
    <t>http://ufcstats.com/fight-details/1a0bf11582ae518b</t>
  </si>
  <si>
    <t>Bec Rawlings vs. Seo Hee Ham</t>
  </si>
  <si>
    <t>Anthony Dimitriou 27 - 30.Barry Foley 27 - 30.Albert Shen 28 - 29.</t>
  </si>
  <si>
    <t>http://ufcstats.com/fight-details/8bf419824ca91470</t>
  </si>
  <si>
    <t>Justine Kish vs. Nina Nunes</t>
  </si>
  <si>
    <t>Marcos Rosales 28 - 29.Junichiro Kamijo 27 - 30.Glenn Trowbridge 27 - 30.</t>
  </si>
  <si>
    <t>http://ufcstats.com/fight-details/595557b808febe27</t>
  </si>
  <si>
    <t>Randa Markos vs. Karolina Kowalkiewicz</t>
  </si>
  <si>
    <t>Derek Cleary 28 - 29.Roy Silbert 28 - 29.Don Balas 27 - 30.</t>
  </si>
  <si>
    <t>http://ufcstats.com/fight-details/95ead23dc0c73285</t>
  </si>
  <si>
    <t>Tecia Torres vs. Jocelyn Jones-Lybarger</t>
  </si>
  <si>
    <t>Sal D'amato 27 - 30.Chris Lee 27 - 30.Glenn Trowbridge 27 - 30.</t>
  </si>
  <si>
    <t>http://ufcstats.com/fight-details/0eab2845f901f8b6</t>
  </si>
  <si>
    <t>Seo Hee Ham vs. Cortney Casey</t>
  </si>
  <si>
    <t>Mark Craig 28 - 29.Evan Field 28 - 29.Barry Foley 28 - 29.</t>
  </si>
  <si>
    <t>http://ufcstats.com/fight-details/0f641756e99605ad</t>
  </si>
  <si>
    <t>Aisling Daly vs. Ericka Almeida</t>
  </si>
  <si>
    <t>Andreas Gruner 27 - 30.Howard Hughes 27 - 29.Paul Sutherland 28 - 29.</t>
  </si>
  <si>
    <t>http://ufcstats.com/fight-details/475a41d83edd47dd</t>
  </si>
  <si>
    <t>Maryna Moroz vs. Valerie Letourneau</t>
  </si>
  <si>
    <t>Kevin Dornan 28 - 29.Gregory Jackson 28 - 29.David Therien 27 - 30.</t>
  </si>
  <si>
    <t>http://ufcstats.com/fight-details/20b70a226f1c13fb</t>
  </si>
  <si>
    <t>Claudia Gadelha vs. Jessica Aguilar</t>
  </si>
  <si>
    <t>Richard Bertrand 27 - 30.Guilherme Bravo 27 - 30.Joseph Terrell 27 - 30.</t>
  </si>
  <si>
    <t>http://ufcstats.com/fight-details/0bf405dabb25251a</t>
  </si>
  <si>
    <t>Joanne Wood vs. Cortney Casey</t>
  </si>
  <si>
    <t>Andy Haigh 27 - 30.Mark Collett 28 - 29.Andy Roberts 27 - 30.</t>
  </si>
  <si>
    <t>http://ufcstats.com/fight-details/d45474993a750878</t>
  </si>
  <si>
    <t>Richard Bertrand 27 - 30.27 - 30.28 - 29.</t>
  </si>
  <si>
    <t>http://ufcstats.com/fight-details/3b6dfd089301d16e</t>
  </si>
  <si>
    <t>Juliana Lima vs. Ericka Almeida</t>
  </si>
  <si>
    <t>Felipe Frank 27 - 30.Rick Winter 27 - 30.Chris Lee 25 - 30.</t>
  </si>
  <si>
    <t>http://ufcstats.com/fight-details/109674a1ee00f55d</t>
  </si>
  <si>
    <t>Jessica Rakoczy vs. Valerie Letourneau</t>
  </si>
  <si>
    <t>Richard Bertrand 28 - 29.Benoit Roussel 28 - 29.Sal D'amato 27 - 30.</t>
  </si>
  <si>
    <t>http://ufcstats.com/fight-details/71e123d40fff9edb</t>
  </si>
  <si>
    <t>Randa Markos vs. Aisling Daly</t>
  </si>
  <si>
    <t>David Therien 27 - 30.Luc Lefebvre 28 - 29.Pasquale Procopio 28 - 29.</t>
  </si>
  <si>
    <t>http://ufcstats.com/fight-details/ab475a3a4487d6d3</t>
  </si>
  <si>
    <t>Felice Herrig vs. Paige VanZant</t>
  </si>
  <si>
    <t>Derek Cleary 27 - 29.Michelle Agustin 26 - 30.Jose Tabora 26 - 30.</t>
  </si>
  <si>
    <t>http://ufcstats.com/fight-details/e2b4130c7b1ff8bc</t>
  </si>
  <si>
    <t>Mackenzie Dern vs. Angela Hill</t>
  </si>
  <si>
    <t>Ron McCarthy 43 - 49.Sal D'amato 44 - 49.Mike Bell 44 - 49.</t>
  </si>
  <si>
    <t>http://ufcstats.com/fight-details/cb9654746447b934</t>
  </si>
  <si>
    <t>Mackenzie Dern vs. Marina Rodriguez</t>
  </si>
  <si>
    <t>Mike Bell 46 - 49.Sal D'amato 46 - 49.Junichiro Kamijo 46 - 49.</t>
  </si>
  <si>
    <t>http://ufcstats.com/fight-details/149d6b90f33634a4</t>
  </si>
  <si>
    <t>Joanna Jedrzejczyk vs. Michelle Waterson</t>
  </si>
  <si>
    <t>Chris Lee 45 - 50.Derek Cleary 45 - 50.Dave Tirelli 46 - 49.</t>
  </si>
  <si>
    <t>http://ufcstats.com/fight-details/f61f5adf7e0a80c4</t>
  </si>
  <si>
    <t>Randa Markos vs. Luana Pinheiro</t>
  </si>
  <si>
    <t>Illegal Upkick</t>
  </si>
  <si>
    <t>http://ufcstats.com/fight-details/c9c79de21823d941</t>
  </si>
  <si>
    <t>Yazmin Jauregui vs. Denise Gomes</t>
  </si>
  <si>
    <t>http://ufcstats.com/fight-details/ef270d8cf29d071b</t>
  </si>
  <si>
    <t>Poliana Botelho vs. Syuri Kondo</t>
  </si>
  <si>
    <t>http://ufcstats.com/fight-details/c571ac76ca45c1cb</t>
  </si>
  <si>
    <t>Viktoriia Dudakova vs. Istela Nunes</t>
  </si>
  <si>
    <t>to On GroundInjury</t>
  </si>
  <si>
    <t>http://ufcstats.com/fight-details/eb30c9c975e15436</t>
  </si>
  <si>
    <t>Amanda Lemos vs. Montserrat Conejo</t>
  </si>
  <si>
    <t>http://ufcstats.com/fight-details/c5e71fbf22f669f7</t>
  </si>
  <si>
    <t>Polyana Viana vs. Jinh Yu Frey</t>
  </si>
  <si>
    <t>http://ufcstats.com/fight-details/5475f5b6bad40989</t>
  </si>
  <si>
    <t>Cheyanne Vlismas vs. Gloria de Paula</t>
  </si>
  <si>
    <t>http://ufcstats.com/fight-details/b4622ca7cf0e8506</t>
  </si>
  <si>
    <t>Liang Na vs. Silvana Gomez Juarez</t>
  </si>
  <si>
    <t>http://ufcstats.com/fight-details/f466cd99d02644e9</t>
  </si>
  <si>
    <t>Jessica Andrade vs. Karolina Kowalkiewicz</t>
  </si>
  <si>
    <t>http://ufcstats.com/fight-details/dbf786f9808c6a08</t>
  </si>
  <si>
    <t>Jessica Andrade vs. Yan Xiaonan</t>
  </si>
  <si>
    <t>http://ufcstats.com/fight-details/11a5a852313d1f5b</t>
  </si>
  <si>
    <t>Cortney Casey vs. Cristina Stanciu</t>
  </si>
  <si>
    <t>http://ufcstats.com/fight-details/2d205cc1da2e7930</t>
  </si>
  <si>
    <t>Livinha Souza vs. Amanda Lemos</t>
  </si>
  <si>
    <t>http://ufcstats.com/fight-details/50ef636148fa6fac</t>
  </si>
  <si>
    <t>Paige VanZant vs. Bec Rawlings</t>
  </si>
  <si>
    <t>http://ufcstats.com/fight-details/0bf8bb9b4ef329f9</t>
  </si>
  <si>
    <t>Marina Rodriguez vs. Amanda Ribas</t>
  </si>
  <si>
    <t>http://ufcstats.com/fight-details/cd08b68f0bafafbf</t>
  </si>
  <si>
    <t>Na Liang vs. Ariane Carnelossi</t>
  </si>
  <si>
    <t>http://ufcstats.com/fight-details/a3cde349c8e018fb</t>
  </si>
  <si>
    <t>Maycee Barber vs. Hannah Cifers</t>
  </si>
  <si>
    <t>http://ufcstats.com/fight-details/17f69a241aa952fd</t>
  </si>
  <si>
    <t>http://ufcstats.com/fight-details/9e2bb8d5961b44d4</t>
  </si>
  <si>
    <t>http://ufcstats.com/fight-details/4305cb30533dac77</t>
  </si>
  <si>
    <t>Marina Rodriguez vs. Michelle Waterson-Gomez</t>
  </si>
  <si>
    <t>http://ufcstats.com/fight-details/d8335b728604b222</t>
  </si>
  <si>
    <t>Bruna Brasil vs. Denise Gomes</t>
  </si>
  <si>
    <t>http://ufcstats.com/fight-details/5de3a1bbcf705b58</t>
  </si>
  <si>
    <t>Jessica Penne vs. Jessica Andrade</t>
  </si>
  <si>
    <t>http://ufcstats.com/fight-details/e06f96f3484ad74a</t>
  </si>
  <si>
    <t>Yan Xiaonan vs. Carla Esparza</t>
  </si>
  <si>
    <t>http://ufcstats.com/fight-details/16369fa06392f6a0</t>
  </si>
  <si>
    <t>Yazmin Jauregui vs. Istela Nunes</t>
  </si>
  <si>
    <t>http://ufcstats.com/fight-details/2cec230248d7eb97</t>
  </si>
  <si>
    <t>Hannah Cifers vs. Angela Hill</t>
  </si>
  <si>
    <t>http://ufcstats.com/fight-details/b88b170a7fe40544</t>
  </si>
  <si>
    <t>Amanda Cooper vs. Angela Magana</t>
  </si>
  <si>
    <t>http://ufcstats.com/fight-details/6c25f8fd66f16d7e</t>
  </si>
  <si>
    <t>Marina Rodriguez vs. Amanda Lemos</t>
  </si>
  <si>
    <t>http://ufcstats.com/fight-details/abfc03893551ae73</t>
  </si>
  <si>
    <t>Jaqueline Amorim vs. Montserrat Conejo Ruiz</t>
  </si>
  <si>
    <t>http://ufcstats.com/fight-details/ca2aa660bea0cb60</t>
  </si>
  <si>
    <t>Elise Reed vs. Sam Hughes</t>
  </si>
  <si>
    <t>http://ufcstats.com/fight-details/bc7228d30ff5be46</t>
  </si>
  <si>
    <t>Carla Esparza vs. Tatiana Suarez</t>
  </si>
  <si>
    <t>http://ufcstats.com/fight-details/fd61e6146f3b2942</t>
  </si>
  <si>
    <t>Aleksandra Albu vs. Emily Whitmire</t>
  </si>
  <si>
    <t>http://ufcstats.com/fight-details/a9184def876faec6</t>
  </si>
  <si>
    <t>Livinha Souza vs. Alex Chambers</t>
  </si>
  <si>
    <t>http://ufcstats.com/fight-details/37ff18106c6e38fc</t>
  </si>
  <si>
    <t>Felice Herrig vs. Virna Jandiroba</t>
  </si>
  <si>
    <t>http://ufcstats.com/fight-details/5081319e58f9759f</t>
  </si>
  <si>
    <t>Polyana Viana vs. Emily Whitmire</t>
  </si>
  <si>
    <t>http://ufcstats.com/fight-details/16358c536d739017</t>
  </si>
  <si>
    <t>Felice Herrig vs. Kailin Curran</t>
  </si>
  <si>
    <t>http://ufcstats.com/fight-details/5a09a7a3f2792d1a</t>
  </si>
  <si>
    <t>Silvana Gomez Juarez vs. Vanessa Demopoulos</t>
  </si>
  <si>
    <t>http://ufcstats.com/fight-details/4047c2e259529179</t>
  </si>
  <si>
    <t>Mackenzie Dern vs. Amanda Cooper</t>
  </si>
  <si>
    <t>http://ufcstats.com/fight-details/7ec70261afdecda8</t>
  </si>
  <si>
    <t>Mackenzie Dern vs. Hannah Cifers</t>
  </si>
  <si>
    <t>Kneebar From Bottom Guard</t>
  </si>
  <si>
    <t>http://ufcstats.com/fight-details/3640defb8294bd37</t>
  </si>
  <si>
    <t>Alexa Grasso vs. Tatiana Suarez</t>
  </si>
  <si>
    <t>http://ufcstats.com/fight-details/24f2d2dd9fea5d79</t>
  </si>
  <si>
    <t>Rose Namajunas vs. Angela Hill</t>
  </si>
  <si>
    <t>http://ufcstats.com/fight-details/32b030138bfd4f88</t>
  </si>
  <si>
    <t>Claudia Gadelha vs. Karolina Kowalkiewicz</t>
  </si>
  <si>
    <t>http://ufcstats.com/fight-details/5bfaa389a67139fd</t>
  </si>
  <si>
    <t>Amanda Lemos vs. Jessica Andrade</t>
  </si>
  <si>
    <t>Arm Triangle In Clinch</t>
  </si>
  <si>
    <t>http://ufcstats.com/fight-details/3a3ac7b3987f6799</t>
  </si>
  <si>
    <t>Polyana Viana vs. Mallory Martin</t>
  </si>
  <si>
    <t>http://ufcstats.com/fight-details/17616514e8fdacb9</t>
  </si>
  <si>
    <t>Amanda Cooper vs. Cynthia Calvillo</t>
  </si>
  <si>
    <t>http://ufcstats.com/fight-details/54f9e3e1fad7a589</t>
  </si>
  <si>
    <t>Paige VanZant vs. Michelle Waterson</t>
  </si>
  <si>
    <t>http://ufcstats.com/fight-details/5840527835a8ffb2</t>
  </si>
  <si>
    <t>Zhang Weili vs. Jessica Aguilar</t>
  </si>
  <si>
    <t>http://ufcstats.com/fight-details/a932059e61f4c25e</t>
  </si>
  <si>
    <t>Miranda Granger vs. Amanda Lemos</t>
  </si>
  <si>
    <t>http://ufcstats.com/fight-details/60e1b3ac3182f5b3</t>
  </si>
  <si>
    <t>Mackenzie Dern vs. Randa Markos</t>
  </si>
  <si>
    <t>http://ufcstats.com/fight-details/859ca56770ac7672</t>
  </si>
  <si>
    <t>Maia Stevenson vs. Polyana Viana</t>
  </si>
  <si>
    <t>http://ufcstats.com/fight-details/7bfb92f7ea59dbbd</t>
  </si>
  <si>
    <t>Bec Rawlings vs. Lisa Ellis</t>
  </si>
  <si>
    <t>http://ufcstats.com/fight-details/e4549c57faca7a64</t>
  </si>
  <si>
    <t>Loopy Godinez vs. Silvana Gomez Juarez</t>
  </si>
  <si>
    <t>http://ufcstats.com/fight-details/f526892a27b50576</t>
  </si>
  <si>
    <t>Randa Markos vs. Angela Hill</t>
  </si>
  <si>
    <t>http://ufcstats.com/fight-details/0f9679fda36f7f41</t>
  </si>
  <si>
    <t>Karolina Kowalkiewicz vs. Jessica Penne</t>
  </si>
  <si>
    <t>http://ufcstats.com/fight-details/f2336b7545f5f442</t>
  </si>
  <si>
    <t>Randa Markos vs. Cortney Casey</t>
  </si>
  <si>
    <t>http://ufcstats.com/fight-details/ec381753e852cb63</t>
  </si>
  <si>
    <t>Jessica Andrade vs. Joanne Wood</t>
  </si>
  <si>
    <t>http://ufcstats.com/fight-details/52bc6927e80aca5d</t>
  </si>
  <si>
    <t>Nina Nunes vs. Mackenzie Dern</t>
  </si>
  <si>
    <t>http://ufcstats.com/fight-details/0992795fd0fa06d0</t>
  </si>
  <si>
    <t>Cynthia Calvillo vs. Poliana Botelho</t>
  </si>
  <si>
    <t>http://ufcstats.com/fight-details/99bfad1679112591</t>
  </si>
  <si>
    <t>Loma Lookboonmee vs. Elise Reed</t>
  </si>
  <si>
    <t>http://ufcstats.com/fight-details/51a12878b151d67b</t>
  </si>
  <si>
    <t>Tecia Torres vs. Juliana Lima</t>
  </si>
  <si>
    <t>http://ufcstats.com/fight-details/f0ac3761d3fdda3e</t>
  </si>
  <si>
    <t>Cory McKenna vs. Miranda Granger</t>
  </si>
  <si>
    <t>http://ufcstats.com/fight-details/b5274277ef6707c9</t>
  </si>
  <si>
    <t>Virna Jandiroba vs. Mallory Martin</t>
  </si>
  <si>
    <t>http://ufcstats.com/fight-details/652a956adab8ad0e</t>
  </si>
  <si>
    <t>Jessica Andrade vs. Tatiana Suarez</t>
  </si>
  <si>
    <t>http://ufcstats.com/fight-details/ec2358459ffbe7de</t>
  </si>
  <si>
    <t>Mallory Martin vs. Hannah Cifers</t>
  </si>
  <si>
    <t>http://ufcstats.com/fight-details/e1e31a8dfa9c27f6</t>
  </si>
  <si>
    <t>Michelle Waterson-Gomez vs. Amanda Lemos</t>
  </si>
  <si>
    <t>http://ufcstats.com/fight-details/e57bfadb506e4f51</t>
  </si>
  <si>
    <t>Emily Whitmire vs. Amanda Ribas</t>
  </si>
  <si>
    <t>http://ufcstats.com/fight-details/e460bf4db340ca9e</t>
  </si>
  <si>
    <t>Jessica Penne vs. Tabatha Ricci</t>
  </si>
  <si>
    <t>http://ufcstats.com/fight-details/c3b9b97467f828d1</t>
  </si>
  <si>
    <t>Rose Namajunas vs. Michelle Waterson</t>
  </si>
  <si>
    <t>http://ufcstats.com/fight-details/e52318719d839d2d</t>
  </si>
  <si>
    <t>Loopy Godinez vs. Elise Reed</t>
  </si>
  <si>
    <t>http://ufcstats.com/fight-details/79f03eca3fe5cdb3</t>
  </si>
  <si>
    <t>Polyana Viana vs. Iasmin Lucindo</t>
  </si>
  <si>
    <t>http://ufcstats.com/fight-details/c2f730cb33df5221</t>
  </si>
  <si>
    <t>Felice Herrig vs. Karolina Kowalkiewicz</t>
  </si>
  <si>
    <t>http://ufcstats.com/fight-details/4f2501e804c84abe</t>
  </si>
  <si>
    <t>Kailin Curran vs. Emily Kagan</t>
  </si>
  <si>
    <t>http://ufcstats.com/fight-details/8bfa9df5341c95c0</t>
  </si>
  <si>
    <t>Gillian Robertson vs. Piera Rodriguez</t>
  </si>
  <si>
    <t>http://ufcstats.com/fight-details/68c1b833ed8849a3</t>
  </si>
  <si>
    <t>Paige VanZant vs. Alex Chambers</t>
  </si>
  <si>
    <t>http://ufcstats.com/fight-details/05d2534e0f2d5042</t>
  </si>
  <si>
    <t>Kay Hansen vs. Jinh Yu Frey</t>
  </si>
  <si>
    <t>http://ufcstats.com/fight-details/1b8d366ac0f110f3</t>
  </si>
  <si>
    <t>Angela Magana vs. Michelle Waterson</t>
  </si>
  <si>
    <t>http://ufcstats.com/fight-details/95233ca23cdb02e6</t>
  </si>
  <si>
    <t>Istela Nunes vs. Ariane Carnelossi</t>
  </si>
  <si>
    <t>http://ufcstats.com/fight-details/814d481e79e9a525</t>
  </si>
  <si>
    <t>Alex Chambers vs. Kailin Curran</t>
  </si>
  <si>
    <t>http://ufcstats.com/fight-details/d1c4c06780cbd36e</t>
  </si>
  <si>
    <t>Jocelyn Jones-Lybarger vs. Nina Nunes</t>
  </si>
  <si>
    <t>http://ufcstats.com/fight-details/53c3565ee1d3411a</t>
  </si>
  <si>
    <t>Cynthia Calvillo vs. Pearl Gonzalez</t>
  </si>
  <si>
    <t>http://ufcstats.com/fight-details/687d973d71e068dc</t>
  </si>
  <si>
    <t>Rose Namajunas vs. Paige VanZant</t>
  </si>
  <si>
    <t>http://ufcstats.com/fight-details/d8fe965281e2e312</t>
  </si>
  <si>
    <t>Tecia Torres vs. Sam Hughes</t>
  </si>
  <si>
    <t>http://ufcstats.com/fight-details/5ddf45e816a50fac</t>
  </si>
  <si>
    <t>Kanako Murata vs. Virna Jandiroba</t>
  </si>
  <si>
    <t>http://ufcstats.com/fight-details/53ed3f8f653b37b2</t>
  </si>
  <si>
    <t>Ariane Carnelossi vs. Angela Hill</t>
  </si>
  <si>
    <t>http://ufcstats.com/fight-details/52311c2cd0c84d67</t>
  </si>
  <si>
    <t>Count</t>
  </si>
  <si>
    <t>Total Decision</t>
  </si>
  <si>
    <t>%</t>
  </si>
  <si>
    <t>Dec - split</t>
  </si>
  <si>
    <t>Dec%</t>
  </si>
  <si>
    <t>Sub%</t>
  </si>
  <si>
    <t>KO%</t>
  </si>
  <si>
    <t>New Model Prediction</t>
  </si>
  <si>
    <t>outcome</t>
  </si>
  <si>
    <t>No Fighter Data</t>
  </si>
  <si>
    <t>NaN</t>
  </si>
  <si>
    <t>Nan</t>
  </si>
  <si>
    <t>NaN value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</si>
</sst>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m\-d\-yyyy"/>
    <numFmt numFmtId="166" formatCode="m\-d"/>
  </numFmts>
  <fonts count="30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  <font>
      <sz val="11"/>
      <color rgb="FF000000"/>
      <name val="&quot;Aptos Narrow&quot;"/>
    </font>
    <font>
      <b/>
      <sz val="10"/>
      <color theme="1"/>
      <name val="Arial"/>
    </font>
    <font>
      <b/>
      <sz val="9"/>
      <color rgb="FF1F1F1F"/>
      <name val="&quot;Google Sans&quot;"/>
    </font>
    <font>
      <sz val="11"/>
      <color rgb="FF000000"/>
      <name val="Arial"/>
    </font>
    <font>
      <sz val="11"/>
      <color theme="1"/>
      <name val="Arial"/>
    </font>
    <font>
      <sz val="9"/>
      <color theme="1"/>
      <name val="&quot;Google Sans Mono&quot;"/>
    </font>
    <font>
      <u/>
      <sz val="11"/>
      <color rgb="FF000000"/>
      <name val="&quot;Aptos Narrow&quot;"/>
    </font>
    <font>
      <sz val="11"/>
      <color theme="1"/>
      <name val="Docs-Calibri"/>
    </font>
    <font>
      <sz val="11"/>
      <color theme="1"/>
      <name val="Calibri"/>
    </font>
    <font>
      <u/>
      <sz val="10"/>
      <color rgb="FF1155CC"/>
      <name val="Arial"/>
    </font>
    <font>
      <u/>
      <sz val="10"/>
      <color rgb="FF0000FF"/>
      <name val="Arial"/>
    </font>
    <font>
      <sz val="10"/>
      <color rgb="FF222222"/>
      <name val="Arial"/>
    </font>
    <font>
      <u/>
      <sz val="10"/>
      <color rgb="FF0000FF"/>
      <name val="Arial"/>
    </font>
    <font>
      <sz val="10"/>
      <color rgb="FF274E13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b/>
      <sz val="9"/>
      <color rgb="FF1F1F1F"/>
      <name val="Google Sans"/>
    </font>
    <font>
      <b/>
      <sz val="11"/>
      <color theme="1"/>
      <name val="Docs-Calibri"/>
    </font>
    <font>
      <b/>
      <sz val="12"/>
      <color theme="1"/>
      <name val="Docs-Calibri"/>
    </font>
    <font>
      <sz val="10"/>
      <name val="Arial"/>
    </font>
    <font>
      <sz val="12"/>
      <color theme="1"/>
      <name val="Arial"/>
    </font>
    <font>
      <b/>
      <sz val="11"/>
      <color theme="1"/>
      <name val="Arial"/>
    </font>
    <font>
      <b/>
      <sz val="11"/>
      <color theme="1"/>
      <name val="Calibri"/>
    </font>
    <font>
      <u/>
      <sz val="11"/>
      <color rgb="FF000000"/>
      <name val="&quot;Aptos Narrow&quot;"/>
    </font>
    <font>
      <sz val="11"/>
      <color rgb="FF1F1F1F"/>
      <name val="&quot;Google Sans&quot;"/>
    </font>
    <font>
      <sz val="11"/>
      <color theme="1"/>
      <name val="Aptos Narrow"/>
    </font>
    <font>
      <u/>
      <sz val="11"/>
      <color rgb="FF0000FF"/>
      <name val="Aptos Narrow"/>
    </font>
  </fonts>
  <fills count="100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5A6BD"/>
        <bgColor rgb="FFD5A6BD"/>
      </patternFill>
    </fill>
    <fill>
      <patternFill patternType="solid">
        <fgColor rgb="FFEAD1DC"/>
        <bgColor rgb="FFEAD1DC"/>
      </patternFill>
    </fill>
    <fill>
      <patternFill patternType="solid">
        <fgColor rgb="FF000000"/>
        <bgColor rgb="FF000000"/>
      </patternFill>
    </fill>
    <fill>
      <patternFill patternType="solid">
        <fgColor rgb="FFFFFF99"/>
        <bgColor rgb="FFFFFF99"/>
      </patternFill>
    </fill>
    <fill>
      <patternFill patternType="solid">
        <fgColor rgb="FFFF7C80"/>
        <bgColor rgb="FFFF7C80"/>
      </patternFill>
    </fill>
    <fill>
      <patternFill patternType="solid">
        <fgColor rgb="FF00FFFF"/>
        <bgColor rgb="FF00FFFF"/>
      </patternFill>
    </fill>
    <fill>
      <patternFill patternType="solid">
        <fgColor rgb="FFCC99FF"/>
        <bgColor rgb="FFCC99FF"/>
      </patternFill>
    </fill>
    <fill>
      <patternFill patternType="solid">
        <fgColor rgb="FF99FF99"/>
        <bgColor rgb="FF99FF99"/>
      </patternFill>
    </fill>
    <fill>
      <patternFill patternType="solid">
        <fgColor rgb="FF66FF66"/>
        <bgColor rgb="FF66FF66"/>
      </patternFill>
    </fill>
    <fill>
      <patternFill patternType="solid">
        <fgColor rgb="FFE7E6E6"/>
        <bgColor rgb="FFE7E6E6"/>
      </patternFill>
    </fill>
    <fill>
      <patternFill patternType="solid">
        <fgColor rgb="FFFAC269"/>
        <bgColor rgb="FFFAC269"/>
      </patternFill>
    </fill>
    <fill>
      <patternFill patternType="solid">
        <fgColor rgb="FFE67C73"/>
        <bgColor rgb="FFE67C73"/>
      </patternFill>
    </fill>
    <fill>
      <patternFill patternType="solid">
        <fgColor rgb="FFF7D567"/>
        <bgColor rgb="FFF7D567"/>
      </patternFill>
    </fill>
    <fill>
      <patternFill patternType="solid">
        <fgColor rgb="FFBACA75"/>
        <bgColor rgb="FFBACA75"/>
      </patternFill>
    </fill>
    <fill>
      <patternFill patternType="solid">
        <fgColor rgb="FFEA8D71"/>
        <bgColor rgb="FFEA8D71"/>
      </patternFill>
    </fill>
    <fill>
      <patternFill patternType="solid">
        <fgColor rgb="FFF3AC6D"/>
        <bgColor rgb="FFF3AC6D"/>
      </patternFill>
    </fill>
    <fill>
      <patternFill patternType="solid">
        <fgColor rgb="FFF7B96B"/>
        <bgColor rgb="FFF7B96B"/>
      </patternFill>
    </fill>
    <fill>
      <patternFill patternType="solid">
        <fgColor rgb="FFF8BD6A"/>
        <bgColor rgb="FFF8BD6A"/>
      </patternFill>
    </fill>
    <fill>
      <patternFill patternType="solid">
        <fgColor rgb="FFFAC569"/>
        <bgColor rgb="FFFAC569"/>
      </patternFill>
    </fill>
    <fill>
      <patternFill patternType="solid">
        <fgColor rgb="FFC9CE71"/>
        <bgColor rgb="FFC9CE71"/>
      </patternFill>
    </fill>
    <fill>
      <patternFill patternType="solid">
        <fgColor rgb="FFE98972"/>
        <bgColor rgb="FFE98972"/>
      </patternFill>
    </fill>
    <fill>
      <patternFill patternType="solid">
        <fgColor rgb="FFF2AA6D"/>
        <bgColor rgb="FFF2AA6D"/>
      </patternFill>
    </fill>
    <fill>
      <patternFill patternType="solid">
        <fgColor rgb="FFFDD666"/>
        <bgColor rgb="FFFDD666"/>
      </patternFill>
    </fill>
    <fill>
      <patternFill patternType="solid">
        <fgColor rgb="FF57BB8A"/>
        <bgColor rgb="FF57BB8A"/>
      </patternFill>
    </fill>
    <fill>
      <patternFill patternType="solid">
        <fgColor rgb="FFEE9A6F"/>
        <bgColor rgb="FFEE9A6F"/>
      </patternFill>
    </fill>
    <fill>
      <patternFill patternType="solid">
        <fgColor rgb="FFF8BD69"/>
        <bgColor rgb="FFF8BD69"/>
      </patternFill>
    </fill>
    <fill>
      <patternFill patternType="solid">
        <fgColor rgb="FFF4D568"/>
        <bgColor rgb="FFF4D568"/>
      </patternFill>
    </fill>
    <fill>
      <patternFill patternType="solid">
        <fgColor rgb="FFFBC568"/>
        <bgColor rgb="FFFBC568"/>
      </patternFill>
    </fill>
    <fill>
      <patternFill patternType="solid">
        <fgColor rgb="FFBBE3D0"/>
        <bgColor rgb="FFBBE3D0"/>
      </patternFill>
    </fill>
    <fill>
      <patternFill patternType="solid">
        <fgColor rgb="FF65C194"/>
        <bgColor rgb="FF65C194"/>
      </patternFill>
    </fill>
    <fill>
      <patternFill patternType="solid">
        <fgColor rgb="FF62BF92"/>
        <bgColor rgb="FF62BF92"/>
      </patternFill>
    </fill>
    <fill>
      <patternFill patternType="solid">
        <fgColor rgb="FFD8CF6F"/>
        <bgColor rgb="FFD8CF6F"/>
      </patternFill>
    </fill>
    <fill>
      <patternFill patternType="solid">
        <fgColor rgb="FFFAC669"/>
        <bgColor rgb="FFFAC669"/>
      </patternFill>
    </fill>
    <fill>
      <patternFill patternType="solid">
        <fgColor rgb="FFFED267"/>
        <bgColor rgb="FFFED267"/>
      </patternFill>
    </fill>
    <fill>
      <patternFill patternType="solid">
        <fgColor rgb="FFF6B46A"/>
        <bgColor rgb="FFF6B46A"/>
      </patternFill>
    </fill>
    <fill>
      <patternFill patternType="solid">
        <fgColor rgb="FFEE996F"/>
        <bgColor rgb="FFEE996F"/>
      </patternFill>
    </fill>
    <fill>
      <patternFill patternType="solid">
        <fgColor rgb="FFEF9F6E"/>
        <bgColor rgb="FFEF9F6E"/>
      </patternFill>
    </fill>
    <fill>
      <patternFill patternType="solid">
        <fgColor rgb="FFEAD36A"/>
        <bgColor rgb="FFEAD36A"/>
      </patternFill>
    </fill>
    <fill>
      <patternFill patternType="solid">
        <fgColor rgb="FFFCCE68"/>
        <bgColor rgb="FFFCCE68"/>
      </patternFill>
    </fill>
    <fill>
      <patternFill patternType="solid">
        <fgColor rgb="FFC4CD72"/>
        <bgColor rgb="FFC4CD72"/>
      </patternFill>
    </fill>
    <fill>
      <patternFill patternType="solid">
        <fgColor rgb="FFE0D16C"/>
        <bgColor rgb="FFE0D16C"/>
      </patternFill>
    </fill>
    <fill>
      <patternFill patternType="solid">
        <fgColor rgb="FFEF9C6F"/>
        <bgColor rgb="FFEF9C6F"/>
      </patternFill>
    </fill>
    <fill>
      <patternFill patternType="solid">
        <fgColor rgb="FFF0D469"/>
        <bgColor rgb="FFF0D469"/>
      </patternFill>
    </fill>
    <fill>
      <patternFill patternType="solid">
        <fgColor rgb="FFEDD469"/>
        <bgColor rgb="FFEDD469"/>
      </patternFill>
    </fill>
    <fill>
      <patternFill patternType="solid">
        <fgColor rgb="FFEC9270"/>
        <bgColor rgb="FFEC9270"/>
      </patternFill>
    </fill>
    <fill>
      <patternFill patternType="solid">
        <fgColor rgb="FFFFD666"/>
        <bgColor rgb="FFFFD666"/>
      </patternFill>
    </fill>
    <fill>
      <patternFill patternType="solid">
        <fgColor rgb="FFE2D26C"/>
        <bgColor rgb="FFE2D26C"/>
      </patternFill>
    </fill>
    <fill>
      <patternFill patternType="solid">
        <fgColor rgb="FFFBC968"/>
        <bgColor rgb="FFFBC968"/>
      </patternFill>
    </fill>
    <fill>
      <patternFill patternType="solid">
        <fgColor rgb="FFF4C3BF"/>
        <bgColor rgb="FFF4C3BF"/>
      </patternFill>
    </fill>
    <fill>
      <patternFill patternType="solid">
        <fgColor rgb="FFE1F2EA"/>
        <bgColor rgb="FFE1F2EA"/>
      </patternFill>
    </fill>
    <fill>
      <patternFill patternType="solid">
        <fgColor rgb="FFFBFDFC"/>
        <bgColor rgb="FFFBFDFC"/>
      </patternFill>
    </fill>
    <fill>
      <patternFill patternType="solid">
        <fgColor rgb="FF65C094"/>
        <bgColor rgb="FF65C094"/>
      </patternFill>
    </fill>
    <fill>
      <patternFill patternType="solid">
        <fgColor rgb="FFF3BCB7"/>
        <bgColor rgb="FFF3BCB7"/>
      </patternFill>
    </fill>
    <fill>
      <patternFill patternType="solid">
        <fgColor rgb="FFF4AD6C"/>
        <bgColor rgb="FFF4AD6C"/>
      </patternFill>
    </fill>
    <fill>
      <patternFill patternType="solid">
        <fgColor rgb="FFF7BC6A"/>
        <bgColor rgb="FFF7BC6A"/>
      </patternFill>
    </fill>
    <fill>
      <patternFill patternType="solid">
        <fgColor rgb="FFEAD26B"/>
        <bgColor rgb="FFEAD26B"/>
      </patternFill>
    </fill>
    <fill>
      <patternFill patternType="solid">
        <fgColor rgb="FFF8D567"/>
        <bgColor rgb="FFF8D567"/>
      </patternFill>
    </fill>
    <fill>
      <patternFill patternType="solid">
        <fgColor rgb="FFCBCE71"/>
        <bgColor rgb="FFCBCE71"/>
      </patternFill>
    </fill>
    <fill>
      <patternFill patternType="solid">
        <fgColor rgb="FFFAD667"/>
        <bgColor rgb="FFFAD667"/>
      </patternFill>
    </fill>
    <fill>
      <patternFill patternType="solid">
        <fgColor rgb="FFFDD067"/>
        <bgColor rgb="FFFDD067"/>
      </patternFill>
    </fill>
    <fill>
      <patternFill patternType="solid">
        <fgColor rgb="FFB0CA76"/>
        <bgColor rgb="FFB0CA76"/>
      </patternFill>
    </fill>
    <fill>
      <patternFill patternType="solid">
        <fgColor rgb="FFF3A96C"/>
        <bgColor rgb="FFF3A96C"/>
      </patternFill>
    </fill>
    <fill>
      <patternFill patternType="solid">
        <fgColor rgb="FFDED16D"/>
        <bgColor rgb="FFDED16D"/>
      </patternFill>
    </fill>
    <fill>
      <patternFill patternType="solid">
        <fgColor rgb="FFDFF2E9"/>
        <bgColor rgb="FFDFF2E9"/>
      </patternFill>
    </fill>
    <fill>
      <patternFill patternType="solid">
        <fgColor rgb="FFB8E2CE"/>
        <bgColor rgb="FFB8E2CE"/>
      </patternFill>
    </fill>
    <fill>
      <patternFill patternType="solid">
        <fgColor rgb="FFF3FAF6"/>
        <bgColor rgb="FFF3FAF6"/>
      </patternFill>
    </fill>
    <fill>
      <patternFill patternType="solid">
        <fgColor rgb="FF74C79E"/>
        <bgColor rgb="FF74C79E"/>
      </patternFill>
    </fill>
    <fill>
      <patternFill patternType="solid">
        <fgColor rgb="FFACDDC5"/>
        <bgColor rgb="FFACDDC5"/>
      </patternFill>
    </fill>
    <fill>
      <patternFill patternType="solid">
        <fgColor rgb="FFF8D7D4"/>
        <bgColor rgb="FFF8D7D4"/>
      </patternFill>
    </fill>
    <fill>
      <patternFill patternType="solid">
        <fgColor rgb="FFF0F9F5"/>
        <bgColor rgb="FFF0F9F5"/>
      </patternFill>
    </fill>
    <fill>
      <patternFill patternType="solid">
        <fgColor rgb="FFB1C977"/>
        <bgColor rgb="FFB1C977"/>
      </patternFill>
    </fill>
    <fill>
      <patternFill patternType="solid">
        <fgColor rgb="FFF6B76B"/>
        <bgColor rgb="FFF6B76B"/>
      </patternFill>
    </fill>
    <fill>
      <patternFill patternType="solid">
        <fgColor rgb="FFF5B36B"/>
        <bgColor rgb="FFF5B36B"/>
      </patternFill>
    </fill>
    <fill>
      <patternFill patternType="solid">
        <fgColor rgb="FFECD36A"/>
        <bgColor rgb="FFECD36A"/>
      </patternFill>
    </fill>
    <fill>
      <patternFill patternType="solid">
        <fgColor rgb="FF84C380"/>
        <bgColor rgb="FF84C380"/>
      </patternFill>
    </fill>
    <fill>
      <patternFill patternType="solid">
        <fgColor rgb="FFF8BE6A"/>
        <bgColor rgb="FFF8BE6A"/>
      </patternFill>
    </fill>
    <fill>
      <patternFill patternType="solid">
        <fgColor rgb="FF67BE86"/>
        <bgColor rgb="FF67BE86"/>
      </patternFill>
    </fill>
    <fill>
      <patternFill patternType="solid">
        <fgColor rgb="FFEB9071"/>
        <bgColor rgb="FFEB9071"/>
      </patternFill>
    </fill>
    <fill>
      <patternFill patternType="solid">
        <fgColor rgb="FFCECF70"/>
        <bgColor rgb="FFCECF70"/>
      </patternFill>
    </fill>
    <fill>
      <patternFill patternType="solid">
        <fgColor rgb="FFBACB74"/>
        <bgColor rgb="FFBACB74"/>
      </patternFill>
    </fill>
    <fill>
      <patternFill patternType="solid">
        <fgColor rgb="FFFCCA67"/>
        <bgColor rgb="FFFCCA67"/>
      </patternFill>
    </fill>
    <fill>
      <patternFill patternType="solid">
        <fgColor rgb="FFF4AF6C"/>
        <bgColor rgb="FFF4AF6C"/>
      </patternFill>
    </fill>
    <fill>
      <patternFill patternType="solid">
        <fgColor rgb="FFEB8E70"/>
        <bgColor rgb="FFEB8E70"/>
      </patternFill>
    </fill>
    <fill>
      <patternFill patternType="solid">
        <fgColor rgb="FFF0AEA8"/>
        <bgColor rgb="FFF0AEA8"/>
      </patternFill>
    </fill>
    <fill>
      <patternFill patternType="solid">
        <fgColor rgb="FFF4C1BC"/>
        <bgColor rgb="FFF4C1BC"/>
      </patternFill>
    </fill>
    <fill>
      <patternFill patternType="solid">
        <fgColor rgb="FFF8FCFA"/>
        <bgColor rgb="FFF8FCFA"/>
      </patternFill>
    </fill>
    <fill>
      <patternFill patternType="solid">
        <fgColor rgb="FFF3FAF7"/>
        <bgColor rgb="FFF3FAF7"/>
      </patternFill>
    </fill>
    <fill>
      <patternFill patternType="solid">
        <fgColor rgb="FF8BD0AE"/>
        <bgColor rgb="FF8BD0AE"/>
      </patternFill>
    </fill>
    <fill>
      <patternFill patternType="solid">
        <fgColor rgb="FFF9E0DE"/>
        <bgColor rgb="FFF9E0DE"/>
      </patternFill>
    </fill>
    <fill>
      <patternFill patternType="solid">
        <fgColor rgb="FF63BD88"/>
        <bgColor rgb="FF63BD88"/>
      </patternFill>
    </fill>
    <fill>
      <patternFill patternType="solid">
        <fgColor rgb="FFCDCE70"/>
        <bgColor rgb="FFCDCE70"/>
      </patternFill>
    </fill>
    <fill>
      <patternFill patternType="solid">
        <fgColor rgb="FFFAD568"/>
        <bgColor rgb="FFFAD568"/>
      </patternFill>
    </fill>
    <fill>
      <patternFill patternType="solid">
        <fgColor rgb="FFF7BA6A"/>
        <bgColor rgb="FFF7BA6A"/>
      </patternFill>
    </fill>
    <fill>
      <patternFill patternType="solid">
        <fgColor rgb="FFFBCA68"/>
        <bgColor rgb="FFFBCA68"/>
      </patternFill>
    </fill>
    <fill>
      <patternFill patternType="solid">
        <fgColor rgb="FFCFCF70"/>
        <bgColor rgb="FFCFCF70"/>
      </patternFill>
    </fill>
    <fill>
      <patternFill patternType="solid">
        <fgColor rgb="FFFDCF67"/>
        <bgColor rgb="FFFDCF67"/>
      </patternFill>
    </fill>
    <fill>
      <patternFill patternType="solid">
        <fgColor rgb="FFF3AC6C"/>
        <bgColor rgb="FFF3AC6C"/>
      </patternFill>
    </fill>
    <fill>
      <patternFill patternType="solid">
        <fgColor rgb="FFD3CF6F"/>
        <bgColor rgb="FFD3CF6F"/>
      </patternFill>
    </fill>
    <fill>
      <patternFill patternType="solid">
        <fgColor rgb="FFED9F99"/>
        <bgColor rgb="FFED9F99"/>
      </patternFill>
    </fill>
    <fill>
      <patternFill patternType="solid">
        <fgColor rgb="FFF6FBF9"/>
        <bgColor rgb="FFF6FBF9"/>
      </patternFill>
    </fill>
    <fill>
      <patternFill patternType="solid">
        <fgColor rgb="FFFCEFEE"/>
        <bgColor rgb="FFFCEFEE"/>
      </patternFill>
    </fill>
    <fill>
      <patternFill patternType="solid">
        <fgColor rgb="FFFFFEFE"/>
        <bgColor rgb="FFFFFEFE"/>
      </patternFill>
    </fill>
    <fill>
      <patternFill patternType="solid">
        <fgColor rgb="FFEBF7F1"/>
        <bgColor rgb="FFEBF7F1"/>
      </patternFill>
    </fill>
    <fill>
      <patternFill patternType="solid">
        <fgColor rgb="FFE88372"/>
        <bgColor rgb="FFE88372"/>
      </patternFill>
    </fill>
    <fill>
      <patternFill patternType="solid">
        <fgColor rgb="FFE8D36B"/>
        <bgColor rgb="FFE8D36B"/>
      </patternFill>
    </fill>
    <fill>
      <patternFill patternType="solid">
        <fgColor rgb="FFC2CD73"/>
        <bgColor rgb="FFC2CD73"/>
      </patternFill>
    </fill>
    <fill>
      <patternFill patternType="solid">
        <fgColor rgb="FFF9C06A"/>
        <bgColor rgb="FFF9C06A"/>
      </patternFill>
    </fill>
    <fill>
      <patternFill patternType="solid">
        <fgColor rgb="FFE5D26B"/>
        <bgColor rgb="FFE5D26B"/>
      </patternFill>
    </fill>
    <fill>
      <patternFill patternType="solid">
        <fgColor rgb="FF99C67B"/>
        <bgColor rgb="FF99C67B"/>
      </patternFill>
    </fill>
    <fill>
      <patternFill patternType="solid">
        <fgColor rgb="FFCACE71"/>
        <bgColor rgb="FFCACE71"/>
      </patternFill>
    </fill>
    <fill>
      <patternFill patternType="solid">
        <fgColor rgb="FFF9D567"/>
        <bgColor rgb="FFF9D567"/>
      </patternFill>
    </fill>
    <fill>
      <patternFill patternType="solid">
        <fgColor rgb="FFF6D568"/>
        <bgColor rgb="FFF6D568"/>
      </patternFill>
    </fill>
    <fill>
      <patternFill patternType="solid">
        <fgColor rgb="FFF6B86B"/>
        <bgColor rgb="FFF6B86B"/>
      </patternFill>
    </fill>
    <fill>
      <patternFill patternType="solid">
        <fgColor rgb="FF89CFAD"/>
        <bgColor rgb="FF89CFAD"/>
      </patternFill>
    </fill>
    <fill>
      <patternFill patternType="solid">
        <fgColor rgb="FF6AC297"/>
        <bgColor rgb="FF6AC297"/>
      </patternFill>
    </fill>
    <fill>
      <patternFill patternType="solid">
        <fgColor rgb="FF68C296"/>
        <bgColor rgb="FF68C296"/>
      </patternFill>
    </fill>
    <fill>
      <patternFill patternType="solid">
        <fgColor rgb="FFFBE9E7"/>
        <bgColor rgb="FFFBE9E7"/>
      </patternFill>
    </fill>
    <fill>
      <patternFill patternType="solid">
        <fgColor rgb="FFDBF0E6"/>
        <bgColor rgb="FFDBF0E6"/>
      </patternFill>
    </fill>
    <fill>
      <patternFill patternType="solid">
        <fgColor rgb="FFFED467"/>
        <bgColor rgb="FFFED467"/>
      </patternFill>
    </fill>
    <fill>
      <patternFill patternType="solid">
        <fgColor rgb="FFEB8E71"/>
        <bgColor rgb="FFEB8E71"/>
      </patternFill>
    </fill>
    <fill>
      <patternFill patternType="solid">
        <fgColor rgb="FFF4D469"/>
        <bgColor rgb="FFF4D469"/>
      </patternFill>
    </fill>
    <fill>
      <patternFill patternType="solid">
        <fgColor rgb="FFFDD167"/>
        <bgColor rgb="FFFDD167"/>
      </patternFill>
    </fill>
    <fill>
      <patternFill patternType="solid">
        <fgColor rgb="FFFDCE68"/>
        <bgColor rgb="FFFDCE68"/>
      </patternFill>
    </fill>
    <fill>
      <patternFill patternType="solid">
        <fgColor rgb="FFF5B36C"/>
        <bgColor rgb="FFF5B36C"/>
      </patternFill>
    </fill>
    <fill>
      <patternFill patternType="solid">
        <fgColor rgb="FFFED367"/>
        <bgColor rgb="FFFED367"/>
      </patternFill>
    </fill>
    <fill>
      <patternFill patternType="solid">
        <fgColor rgb="FFF0A26E"/>
        <bgColor rgb="FFF0A26E"/>
      </patternFill>
    </fill>
    <fill>
      <patternFill patternType="solid">
        <fgColor rgb="FFB2CA76"/>
        <bgColor rgb="FFB2CA76"/>
      </patternFill>
    </fill>
    <fill>
      <patternFill patternType="solid">
        <fgColor rgb="FFD0CF70"/>
        <bgColor rgb="FFD0CF70"/>
      </patternFill>
    </fill>
    <fill>
      <patternFill patternType="solid">
        <fgColor rgb="FFFAC469"/>
        <bgColor rgb="FFFAC469"/>
      </patternFill>
    </fill>
    <fill>
      <patternFill patternType="solid">
        <fgColor rgb="FFF8BF6A"/>
        <bgColor rgb="FFF8BF6A"/>
      </patternFill>
    </fill>
    <fill>
      <patternFill patternType="solid">
        <fgColor rgb="FFF7B96A"/>
        <bgColor rgb="FFF7B96A"/>
      </patternFill>
    </fill>
    <fill>
      <patternFill patternType="solid">
        <fgColor rgb="FFD8D06E"/>
        <bgColor rgb="FFD8D06E"/>
      </patternFill>
    </fill>
    <fill>
      <patternFill patternType="solid">
        <fgColor rgb="FFB1CA76"/>
        <bgColor rgb="FFB1CA76"/>
      </patternFill>
    </fill>
    <fill>
      <patternFill patternType="solid">
        <fgColor rgb="FFEB938B"/>
        <bgColor rgb="FFEB938B"/>
      </patternFill>
    </fill>
    <fill>
      <patternFill patternType="solid">
        <fgColor rgb="FF9DC67B"/>
        <bgColor rgb="FF9DC67B"/>
      </patternFill>
    </fill>
    <fill>
      <patternFill patternType="solid">
        <fgColor rgb="FFD4CF6F"/>
        <bgColor rgb="FFD4CF6F"/>
      </patternFill>
    </fill>
    <fill>
      <patternFill patternType="solid">
        <fgColor rgb="FFE9D36A"/>
        <bgColor rgb="FFE9D36A"/>
      </patternFill>
    </fill>
    <fill>
      <patternFill patternType="solid">
        <fgColor rgb="FFA1C77A"/>
        <bgColor rgb="FFA1C77A"/>
      </patternFill>
    </fill>
    <fill>
      <patternFill patternType="solid">
        <fgColor rgb="FF8EC47E"/>
        <bgColor rgb="FF8EC47E"/>
      </patternFill>
    </fill>
    <fill>
      <patternFill patternType="solid">
        <fgColor rgb="FF98C67C"/>
        <bgColor rgb="FF98C67C"/>
      </patternFill>
    </fill>
    <fill>
      <patternFill patternType="solid">
        <fgColor rgb="FFF9C16A"/>
        <bgColor rgb="FFF9C16A"/>
      </patternFill>
    </fill>
    <fill>
      <patternFill patternType="solid">
        <fgColor rgb="FFA5C879"/>
        <bgColor rgb="FFA5C879"/>
      </patternFill>
    </fill>
    <fill>
      <patternFill patternType="solid">
        <fgColor rgb="FF91D2B2"/>
        <bgColor rgb="FF91D2B2"/>
      </patternFill>
    </fill>
    <fill>
      <patternFill patternType="solid">
        <fgColor rgb="FF7DC182"/>
        <bgColor rgb="FF7DC182"/>
      </patternFill>
    </fill>
    <fill>
      <patternFill patternType="solid">
        <fgColor rgb="FFD6CF6F"/>
        <bgColor rgb="FFD6CF6F"/>
      </patternFill>
    </fill>
    <fill>
      <patternFill patternType="solid">
        <fgColor rgb="FFABC978"/>
        <bgColor rgb="FFABC978"/>
      </patternFill>
    </fill>
    <fill>
      <patternFill patternType="solid">
        <fgColor rgb="FFFED567"/>
        <bgColor rgb="FFFED567"/>
      </patternFill>
    </fill>
    <fill>
      <patternFill patternType="solid">
        <fgColor rgb="FFF1D469"/>
        <bgColor rgb="FFF1D469"/>
      </patternFill>
    </fill>
    <fill>
      <patternFill patternType="solid">
        <fgColor rgb="FFDBD16D"/>
        <bgColor rgb="FFDBD16D"/>
      </patternFill>
    </fill>
    <fill>
      <patternFill patternType="solid">
        <fgColor rgb="FF6EBF85"/>
        <bgColor rgb="FF6EBF85"/>
      </patternFill>
    </fill>
    <fill>
      <patternFill patternType="solid">
        <fgColor rgb="FFF1B2AD"/>
        <bgColor rgb="FFF1B2AD"/>
      </patternFill>
    </fill>
    <fill>
      <patternFill patternType="solid">
        <fgColor rgb="FFEB938C"/>
        <bgColor rgb="FFEB938C"/>
      </patternFill>
    </fill>
    <fill>
      <patternFill patternType="solid">
        <fgColor rgb="FFF5C7C3"/>
        <bgColor rgb="FFF5C7C3"/>
      </patternFill>
    </fill>
    <fill>
      <patternFill patternType="solid">
        <fgColor rgb="FFEB968F"/>
        <bgColor rgb="FFEB968F"/>
      </patternFill>
    </fill>
    <fill>
      <patternFill patternType="solid">
        <fgColor rgb="FFA8DCC2"/>
        <bgColor rgb="FFA8DCC2"/>
      </patternFill>
    </fill>
    <fill>
      <patternFill patternType="solid">
        <fgColor rgb="FFBEE4D2"/>
        <bgColor rgb="FFBEE4D2"/>
      </patternFill>
    </fill>
    <fill>
      <patternFill patternType="solid">
        <fgColor rgb="FFEC9170"/>
        <bgColor rgb="FFEC9170"/>
      </patternFill>
    </fill>
    <fill>
      <patternFill patternType="solid">
        <fgColor rgb="FFFCCB67"/>
        <bgColor rgb="FFFCCB67"/>
      </patternFill>
    </fill>
    <fill>
      <patternFill patternType="solid">
        <fgColor rgb="FFFED666"/>
        <bgColor rgb="FFFED666"/>
      </patternFill>
    </fill>
    <fill>
      <patternFill patternType="solid">
        <fgColor rgb="FFBBCC74"/>
        <bgColor rgb="FFBBCC74"/>
      </patternFill>
    </fill>
    <fill>
      <patternFill patternType="solid">
        <fgColor rgb="FFA3C879"/>
        <bgColor rgb="FFA3C879"/>
      </patternFill>
    </fill>
    <fill>
      <patternFill patternType="solid">
        <fgColor rgb="FFF2D468"/>
        <bgColor rgb="FFF2D468"/>
      </patternFill>
    </fill>
    <fill>
      <patternFill patternType="solid">
        <fgColor rgb="FFF5B56B"/>
        <bgColor rgb="FFF5B56B"/>
      </patternFill>
    </fill>
    <fill>
      <patternFill patternType="solid">
        <fgColor rgb="FFF1A46E"/>
        <bgColor rgb="FFF1A46E"/>
      </patternFill>
    </fill>
    <fill>
      <patternFill patternType="solid">
        <fgColor rgb="FF69BE86"/>
        <bgColor rgb="FF69BE86"/>
      </patternFill>
    </fill>
    <fill>
      <patternFill patternType="solid">
        <fgColor rgb="FFF0A36E"/>
        <bgColor rgb="FFF0A36E"/>
      </patternFill>
    </fill>
    <fill>
      <patternFill patternType="solid">
        <fgColor rgb="FFF2A96D"/>
        <bgColor rgb="FFF2A96D"/>
      </patternFill>
    </fill>
    <fill>
      <patternFill patternType="solid">
        <fgColor rgb="FFA6DBC1"/>
        <bgColor rgb="FFA6DBC1"/>
      </patternFill>
    </fill>
    <fill>
      <patternFill patternType="solid">
        <fgColor rgb="FFF7D4D1"/>
        <bgColor rgb="FFF7D4D1"/>
      </patternFill>
    </fill>
    <fill>
      <patternFill patternType="solid">
        <fgColor rgb="FFFEF7F7"/>
        <bgColor rgb="FFFEF7F7"/>
      </patternFill>
    </fill>
    <fill>
      <patternFill patternType="solid">
        <fgColor rgb="FFFFFBFB"/>
        <bgColor rgb="FFFFFBFB"/>
      </patternFill>
    </fill>
    <fill>
      <patternFill patternType="solid">
        <fgColor rgb="FF94D3B5"/>
        <bgColor rgb="FF94D3B5"/>
      </patternFill>
    </fill>
    <fill>
      <patternFill patternType="solid">
        <fgColor rgb="FF8AC37F"/>
        <bgColor rgb="FF8AC37F"/>
      </patternFill>
    </fill>
    <fill>
      <patternFill patternType="solid">
        <fgColor rgb="FFF3D468"/>
        <bgColor rgb="FFF3D468"/>
      </patternFill>
    </fill>
    <fill>
      <patternFill patternType="solid">
        <fgColor rgb="FFFCCC68"/>
        <bgColor rgb="FFFCCC68"/>
      </patternFill>
    </fill>
    <fill>
      <patternFill patternType="solid">
        <fgColor rgb="FFF6D567"/>
        <bgColor rgb="FFF6D567"/>
      </patternFill>
    </fill>
    <fill>
      <patternFill patternType="solid">
        <fgColor rgb="FFF2A86D"/>
        <bgColor rgb="FFF2A86D"/>
      </patternFill>
    </fill>
    <fill>
      <patternFill patternType="solid">
        <fgColor rgb="FF9EC77A"/>
        <bgColor rgb="FF9EC77A"/>
      </patternFill>
    </fill>
    <fill>
      <patternFill patternType="solid">
        <fgColor rgb="FFFBC868"/>
        <bgColor rgb="FFFBC868"/>
      </patternFill>
    </fill>
    <fill>
      <patternFill patternType="solid">
        <fgColor rgb="FFABC878"/>
        <bgColor rgb="FFABC878"/>
      </patternFill>
    </fill>
    <fill>
      <patternFill patternType="solid">
        <fgColor rgb="FFEB948D"/>
        <bgColor rgb="FFEB948D"/>
      </patternFill>
    </fill>
    <fill>
      <patternFill patternType="solid">
        <fgColor rgb="FFF0B0AB"/>
        <bgColor rgb="FFF0B0AB"/>
      </patternFill>
    </fill>
    <fill>
      <patternFill patternType="solid">
        <fgColor rgb="FFB0DFC8"/>
        <bgColor rgb="FFB0DFC8"/>
      </patternFill>
    </fill>
    <fill>
      <patternFill patternType="solid">
        <fgColor rgb="FFDDF1E7"/>
        <bgColor rgb="FFDDF1E7"/>
      </patternFill>
    </fill>
    <fill>
      <patternFill patternType="solid">
        <fgColor rgb="FFEE986F"/>
        <bgColor rgb="FFEE986F"/>
      </patternFill>
    </fill>
    <fill>
      <patternFill patternType="solid">
        <fgColor rgb="FFE77D72"/>
        <bgColor rgb="FFE77D72"/>
      </patternFill>
    </fill>
    <fill>
      <patternFill patternType="solid">
        <fgColor rgb="FF99D5B8"/>
        <bgColor rgb="FF99D5B8"/>
      </patternFill>
    </fill>
    <fill>
      <patternFill patternType="solid">
        <fgColor rgb="FFA1D9BE"/>
        <bgColor rgb="FFA1D9BE"/>
      </patternFill>
    </fill>
    <fill>
      <patternFill patternType="solid">
        <fgColor rgb="FFF3C0BC"/>
        <bgColor rgb="FFF3C0BC"/>
      </patternFill>
    </fill>
    <fill>
      <patternFill patternType="solid">
        <fgColor rgb="FFEDA19A"/>
        <bgColor rgb="FFEDA19A"/>
      </patternFill>
    </fill>
    <fill>
      <patternFill patternType="solid">
        <fgColor rgb="FFCBCD72"/>
        <bgColor rgb="FFCBCD72"/>
      </patternFill>
    </fill>
    <fill>
      <patternFill patternType="solid">
        <fgColor rgb="FFDFD16C"/>
        <bgColor rgb="FFDFD16C"/>
      </patternFill>
    </fill>
    <fill>
      <patternFill patternType="solid">
        <fgColor rgb="FFF6B66B"/>
        <bgColor rgb="FFF6B66B"/>
      </patternFill>
    </fill>
    <fill>
      <patternFill patternType="solid">
        <fgColor rgb="FF96C67C"/>
        <bgColor rgb="FF96C67C"/>
      </patternFill>
    </fill>
    <fill>
      <patternFill patternType="solid">
        <fgColor rgb="FFFCCD68"/>
        <bgColor rgb="FFFCCD68"/>
      </patternFill>
    </fill>
    <fill>
      <patternFill patternType="solid">
        <fgColor rgb="FFF0B0AA"/>
        <bgColor rgb="FFF0B0AA"/>
      </patternFill>
    </fill>
    <fill>
      <patternFill patternType="solid">
        <fgColor rgb="FFFBE7E6"/>
        <bgColor rgb="FFFBE7E6"/>
      </patternFill>
    </fill>
    <fill>
      <patternFill patternType="solid">
        <fgColor rgb="FFFDF2F1"/>
        <bgColor rgb="FFFDF2F1"/>
      </patternFill>
    </fill>
    <fill>
      <patternFill patternType="solid">
        <fgColor rgb="FFF8BB6A"/>
        <bgColor rgb="FFF8BB6A"/>
      </patternFill>
    </fill>
    <fill>
      <patternFill patternType="solid">
        <fgColor rgb="FFF5D568"/>
        <bgColor rgb="FFF5D568"/>
      </patternFill>
    </fill>
    <fill>
      <patternFill patternType="solid">
        <fgColor rgb="FFC8CE71"/>
        <bgColor rgb="FFC8CE71"/>
      </patternFill>
    </fill>
    <fill>
      <patternFill patternType="solid">
        <fgColor rgb="FFFCC968"/>
        <bgColor rgb="FFFCC968"/>
      </patternFill>
    </fill>
    <fill>
      <patternFill patternType="solid">
        <fgColor rgb="FFF3AE6C"/>
        <bgColor rgb="FFF3AE6C"/>
      </patternFill>
    </fill>
    <fill>
      <patternFill patternType="solid">
        <fgColor rgb="FFF1A56D"/>
        <bgColor rgb="FFF1A56D"/>
      </patternFill>
    </fill>
    <fill>
      <patternFill patternType="solid">
        <fgColor rgb="FFED9570"/>
        <bgColor rgb="FFED9570"/>
      </patternFill>
    </fill>
    <fill>
      <patternFill patternType="solid">
        <fgColor rgb="FFE3F3EB"/>
        <bgColor rgb="FFE3F3EB"/>
      </patternFill>
    </fill>
    <fill>
      <patternFill patternType="solid">
        <fgColor rgb="FFEFAAA4"/>
        <bgColor rgb="FFEFAAA4"/>
      </patternFill>
    </fill>
    <fill>
      <patternFill patternType="solid">
        <fgColor rgb="FF97C57D"/>
        <bgColor rgb="FF97C57D"/>
      </patternFill>
    </fill>
    <fill>
      <patternFill patternType="solid">
        <fgColor rgb="FFEBD36A"/>
        <bgColor rgb="FFEBD36A"/>
      </patternFill>
    </fill>
    <fill>
      <patternFill patternType="solid">
        <fgColor rgb="FFBCCB75"/>
        <bgColor rgb="FFBCCB75"/>
      </patternFill>
    </fill>
    <fill>
      <patternFill patternType="solid">
        <fgColor rgb="FFEF9E6F"/>
        <bgColor rgb="FFEF9E6F"/>
      </patternFill>
    </fill>
    <fill>
      <patternFill patternType="solid">
        <fgColor rgb="FF77C183"/>
        <bgColor rgb="FF77C183"/>
      </patternFill>
    </fill>
    <fill>
      <patternFill patternType="solid">
        <fgColor rgb="FF86C380"/>
        <bgColor rgb="FF86C380"/>
      </patternFill>
    </fill>
    <fill>
      <patternFill patternType="solid">
        <fgColor rgb="FFC7CD72"/>
        <bgColor rgb="FFC7CD72"/>
      </patternFill>
    </fill>
    <fill>
      <patternFill patternType="solid">
        <fgColor rgb="FFEFA9A3"/>
        <bgColor rgb="FFEFA9A3"/>
      </patternFill>
    </fill>
    <fill>
      <patternFill patternType="solid">
        <fgColor rgb="FFF0F8F4"/>
        <bgColor rgb="FFF0F8F4"/>
      </patternFill>
    </fill>
    <fill>
      <patternFill patternType="solid">
        <fgColor rgb="FFFFFBFA"/>
        <bgColor rgb="FFFFFBFA"/>
      </patternFill>
    </fill>
    <fill>
      <patternFill patternType="solid">
        <fgColor rgb="FF7DCAA4"/>
        <bgColor rgb="FF7DCAA4"/>
      </patternFill>
    </fill>
    <fill>
      <patternFill patternType="solid">
        <fgColor rgb="FFF09F6E"/>
        <bgColor rgb="FFF09F6E"/>
      </patternFill>
    </fill>
    <fill>
      <patternFill patternType="solid">
        <fgColor rgb="FFF3D469"/>
        <bgColor rgb="FFF3D469"/>
      </patternFill>
    </fill>
    <fill>
      <patternFill patternType="solid">
        <fgColor rgb="FFEFD469"/>
        <bgColor rgb="FFEFD469"/>
      </patternFill>
    </fill>
    <fill>
      <patternFill patternType="solid">
        <fgColor rgb="FF93C57D"/>
        <bgColor rgb="FF93C57D"/>
      </patternFill>
    </fill>
    <fill>
      <patternFill patternType="solid">
        <fgColor rgb="FFD0ECDE"/>
        <bgColor rgb="FFD0ECDE"/>
      </patternFill>
    </fill>
    <fill>
      <patternFill patternType="solid">
        <fgColor rgb="FFB3E0CA"/>
        <bgColor rgb="FFB3E0CA"/>
      </patternFill>
    </fill>
    <fill>
      <patternFill patternType="solid">
        <fgColor rgb="FF63C092"/>
        <bgColor rgb="FF63C092"/>
      </patternFill>
    </fill>
    <fill>
      <patternFill patternType="solid">
        <fgColor rgb="FF73C69E"/>
        <bgColor rgb="FF73C69E"/>
      </patternFill>
    </fill>
    <fill>
      <patternFill patternType="solid">
        <fgColor rgb="FFFCEDEC"/>
        <bgColor rgb="FFFCEDEC"/>
      </patternFill>
    </fill>
    <fill>
      <patternFill patternType="solid">
        <fgColor rgb="FFFCC967"/>
        <bgColor rgb="FFFCC967"/>
      </patternFill>
    </fill>
    <fill>
      <patternFill patternType="solid">
        <fgColor rgb="FFF5B26B"/>
        <bgColor rgb="FFF5B26B"/>
      </patternFill>
    </fill>
    <fill>
      <patternFill patternType="solid">
        <fgColor rgb="FF7EC281"/>
        <bgColor rgb="FF7EC281"/>
      </patternFill>
    </fill>
    <fill>
      <patternFill patternType="solid">
        <fgColor rgb="FFE1D26C"/>
        <bgColor rgb="FFE1D26C"/>
      </patternFill>
    </fill>
    <fill>
      <patternFill patternType="solid">
        <fgColor rgb="FFE98872"/>
        <bgColor rgb="FFE98872"/>
      </patternFill>
    </fill>
    <fill>
      <patternFill patternType="solid">
        <fgColor rgb="FFC3E6D5"/>
        <bgColor rgb="FFC3E6D5"/>
      </patternFill>
    </fill>
    <fill>
      <patternFill patternType="solid">
        <fgColor rgb="FFE8827A"/>
        <bgColor rgb="FFE8827A"/>
      </patternFill>
    </fill>
    <fill>
      <patternFill patternType="solid">
        <fgColor rgb="FFF6CECA"/>
        <bgColor rgb="FFF6CECA"/>
      </patternFill>
    </fill>
    <fill>
      <patternFill patternType="solid">
        <fgColor rgb="FF9AD6B8"/>
        <bgColor rgb="FF9AD6B8"/>
      </patternFill>
    </fill>
    <fill>
      <patternFill patternType="solid">
        <fgColor rgb="FF93D3B4"/>
        <bgColor rgb="FF93D3B4"/>
      </patternFill>
    </fill>
    <fill>
      <patternFill patternType="solid">
        <fgColor rgb="FFE5D16C"/>
        <bgColor rgb="FFE5D16C"/>
      </patternFill>
    </fill>
    <fill>
      <patternFill patternType="solid">
        <fgColor rgb="FFED976F"/>
        <bgColor rgb="FFED976F"/>
      </patternFill>
    </fill>
    <fill>
      <patternFill patternType="solid">
        <fgColor rgb="FFF5CAC6"/>
        <bgColor rgb="FFF5CAC6"/>
      </patternFill>
    </fill>
    <fill>
      <patternFill patternType="solid">
        <fgColor rgb="FFEC9890"/>
        <bgColor rgb="FFEC9890"/>
      </patternFill>
    </fill>
    <fill>
      <patternFill patternType="solid">
        <fgColor rgb="FFA8DCC3"/>
        <bgColor rgb="FFA8DCC3"/>
      </patternFill>
    </fill>
    <fill>
      <patternFill patternType="solid">
        <fgColor rgb="FFA4C77A"/>
        <bgColor rgb="FFA4C77A"/>
      </patternFill>
    </fill>
    <fill>
      <patternFill patternType="solid">
        <fgColor rgb="FFCECE70"/>
        <bgColor rgb="FFCECE70"/>
      </patternFill>
    </fill>
    <fill>
      <patternFill patternType="solid">
        <fgColor rgb="FFFAC268"/>
        <bgColor rgb="FFFAC268"/>
      </patternFill>
    </fill>
    <fill>
      <patternFill patternType="solid">
        <fgColor rgb="FFCCCE70"/>
        <bgColor rgb="FFCCCE70"/>
      </patternFill>
    </fill>
    <fill>
      <patternFill patternType="solid">
        <fgColor rgb="FF5DBC88"/>
        <bgColor rgb="FF5DBC88"/>
      </patternFill>
    </fill>
    <fill>
      <patternFill patternType="solid">
        <fgColor rgb="FFB3CA76"/>
        <bgColor rgb="FFB3CA76"/>
      </patternFill>
    </fill>
    <fill>
      <patternFill patternType="solid">
        <fgColor rgb="FFF4C1BD"/>
        <bgColor rgb="FFF4C1BD"/>
      </patternFill>
    </fill>
    <fill>
      <patternFill patternType="solid">
        <fgColor rgb="FFFDF3F2"/>
        <bgColor rgb="FFFDF3F2"/>
      </patternFill>
    </fill>
    <fill>
      <patternFill patternType="solid">
        <fgColor rgb="FFFBEAE8"/>
        <bgColor rgb="FFFBEAE8"/>
      </patternFill>
    </fill>
    <fill>
      <patternFill patternType="solid">
        <fgColor rgb="FFF2A66C"/>
        <bgColor rgb="FFF2A66C"/>
      </patternFill>
    </fill>
    <fill>
      <patternFill patternType="solid">
        <fgColor rgb="FFF8C06A"/>
        <bgColor rgb="FFF8C06A"/>
      </patternFill>
    </fill>
    <fill>
      <patternFill patternType="solid">
        <fgColor rgb="FFFDCC67"/>
        <bgColor rgb="FFFDCC67"/>
      </patternFill>
    </fill>
    <fill>
      <patternFill patternType="solid">
        <fgColor rgb="FFD7D06E"/>
        <bgColor rgb="FFD7D06E"/>
      </patternFill>
    </fill>
    <fill>
      <patternFill patternType="solid">
        <fgColor rgb="FFD9D06E"/>
        <bgColor rgb="FFD9D06E"/>
      </patternFill>
    </fill>
    <fill>
      <patternFill patternType="solid">
        <fgColor rgb="FFB9E2CE"/>
        <bgColor rgb="FFB9E2CE"/>
      </patternFill>
    </fill>
    <fill>
      <patternFill patternType="solid">
        <fgColor rgb="FF76C7A0"/>
        <bgColor rgb="FF76C7A0"/>
      </patternFill>
    </fill>
    <fill>
      <patternFill patternType="solid">
        <fgColor rgb="FFBECB74"/>
        <bgColor rgb="FFBECB74"/>
      </patternFill>
    </fill>
    <fill>
      <patternFill patternType="solid">
        <fgColor rgb="FFE3D16C"/>
        <bgColor rgb="FFE3D16C"/>
      </patternFill>
    </fill>
    <fill>
      <patternFill patternType="solid">
        <fgColor rgb="FFF5B46B"/>
        <bgColor rgb="FFF5B46B"/>
      </patternFill>
    </fill>
    <fill>
      <patternFill patternType="solid">
        <fgColor rgb="FFFCCB68"/>
        <bgColor rgb="FFFCCB68"/>
      </patternFill>
    </fill>
    <fill>
      <patternFill patternType="solid">
        <fgColor rgb="FFE7D36B"/>
        <bgColor rgb="FFE7D36B"/>
      </patternFill>
    </fill>
    <fill>
      <patternFill patternType="solid">
        <fgColor rgb="FFF3BDB9"/>
        <bgColor rgb="FFF3BDB9"/>
      </patternFill>
    </fill>
    <fill>
      <patternFill patternType="solid">
        <fgColor rgb="FFF2B8B3"/>
        <bgColor rgb="FFF2B8B3"/>
      </patternFill>
    </fill>
    <fill>
      <patternFill patternType="solid">
        <fgColor rgb="FFF6B46B"/>
        <bgColor rgb="FFF6B46B"/>
      </patternFill>
    </fill>
    <fill>
      <patternFill patternType="solid">
        <fgColor rgb="FFF7BA6B"/>
        <bgColor rgb="FFF7BA6B"/>
      </patternFill>
    </fill>
    <fill>
      <patternFill patternType="solid">
        <fgColor rgb="FFE6D26C"/>
        <bgColor rgb="FFE6D26C"/>
      </patternFill>
    </fill>
    <fill>
      <patternFill patternType="solid">
        <fgColor rgb="FFF0A16E"/>
        <bgColor rgb="FFF0A16E"/>
      </patternFill>
    </fill>
    <fill>
      <patternFill patternType="solid">
        <fgColor rgb="FFF7BB6A"/>
        <bgColor rgb="FFF7BB6A"/>
      </patternFill>
    </fill>
    <fill>
      <patternFill patternType="solid">
        <fgColor rgb="FF71C084"/>
        <bgColor rgb="FF71C084"/>
      </patternFill>
    </fill>
    <fill>
      <patternFill patternType="solid">
        <fgColor rgb="FFB5E1CB"/>
        <bgColor rgb="FFB5E1CB"/>
      </patternFill>
    </fill>
    <fill>
      <patternFill patternType="solid">
        <fgColor rgb="FF95D4B5"/>
        <bgColor rgb="FF95D4B5"/>
      </patternFill>
    </fill>
    <fill>
      <patternFill patternType="solid">
        <fgColor rgb="FF9AD6B9"/>
        <bgColor rgb="FF9AD6B9"/>
      </patternFill>
    </fill>
    <fill>
      <patternFill patternType="solid">
        <fgColor rgb="FF70BF85"/>
        <bgColor rgb="FF70BF85"/>
      </patternFill>
    </fill>
    <fill>
      <patternFill patternType="solid">
        <fgColor rgb="FFFCD666"/>
        <bgColor rgb="FFFCD666"/>
      </patternFill>
    </fill>
    <fill>
      <patternFill patternType="solid">
        <fgColor rgb="FFE3D26C"/>
        <bgColor rgb="FFE3D26C"/>
      </patternFill>
    </fill>
    <fill>
      <patternFill patternType="solid">
        <fgColor rgb="FFFBC768"/>
        <bgColor rgb="FFFBC768"/>
      </patternFill>
    </fill>
    <fill>
      <patternFill patternType="solid">
        <fgColor rgb="FFE78279"/>
        <bgColor rgb="FFE78279"/>
      </patternFill>
    </fill>
    <fill>
      <patternFill patternType="solid">
        <fgColor rgb="FFFAE0DE"/>
        <bgColor rgb="FFFAE0DE"/>
      </patternFill>
    </fill>
    <fill>
      <patternFill patternType="solid">
        <fgColor rgb="FFFAE2E0"/>
        <bgColor rgb="FFFAE2E0"/>
      </patternFill>
    </fill>
    <fill>
      <patternFill patternType="solid">
        <fgColor rgb="FFEA8A71"/>
        <bgColor rgb="FFEA8A71"/>
      </patternFill>
    </fill>
    <fill>
      <patternFill patternType="solid">
        <fgColor rgb="FFF3AB6C"/>
        <bgColor rgb="FFF3AB6C"/>
      </patternFill>
    </fill>
    <fill>
      <patternFill patternType="solid">
        <fgColor rgb="FFC3CD72"/>
        <bgColor rgb="FFC3CD72"/>
      </patternFill>
    </fill>
    <fill>
      <patternFill patternType="solid">
        <fgColor rgb="FFA3DABF"/>
        <bgColor rgb="FFA3DABF"/>
      </patternFill>
    </fill>
    <fill>
      <patternFill patternType="solid">
        <fgColor rgb="FFCCEADC"/>
        <bgColor rgb="FFCCEADC"/>
      </patternFill>
    </fill>
    <fill>
      <patternFill patternType="solid">
        <fgColor rgb="FFC5E7D6"/>
        <bgColor rgb="FFC5E7D6"/>
      </patternFill>
    </fill>
    <fill>
      <patternFill patternType="solid">
        <fgColor rgb="FFA5DAC1"/>
        <bgColor rgb="FFA5DAC1"/>
      </patternFill>
    </fill>
    <fill>
      <patternFill patternType="solid">
        <fgColor rgb="FFF2D369"/>
        <bgColor rgb="FFF2D369"/>
      </patternFill>
    </fill>
    <fill>
      <patternFill patternType="solid">
        <fgColor rgb="FFF8BB69"/>
        <bgColor rgb="FFF8BB69"/>
      </patternFill>
    </fill>
    <fill>
      <patternFill patternType="solid">
        <fgColor rgb="FFEF9E6E"/>
        <bgColor rgb="FFEF9E6E"/>
      </patternFill>
    </fill>
    <fill>
      <patternFill patternType="solid">
        <fgColor rgb="FFEF9D6F"/>
        <bgColor rgb="FFEF9D6F"/>
      </patternFill>
    </fill>
    <fill>
      <patternFill patternType="solid">
        <fgColor rgb="FF6FBF85"/>
        <bgColor rgb="FF6FBF85"/>
      </patternFill>
    </fill>
    <fill>
      <patternFill patternType="solid">
        <fgColor rgb="FFE88672"/>
        <bgColor rgb="FFE88672"/>
      </patternFill>
    </fill>
    <fill>
      <patternFill patternType="solid">
        <fgColor rgb="FFC0E5D3"/>
        <bgColor rgb="FFC0E5D3"/>
      </patternFill>
    </fill>
    <fill>
      <patternFill patternType="solid">
        <fgColor rgb="FFF5C8C4"/>
        <bgColor rgb="FFF5C8C4"/>
      </patternFill>
    </fill>
    <fill>
      <patternFill patternType="solid">
        <fgColor rgb="FFFED066"/>
        <bgColor rgb="FFFED066"/>
      </patternFill>
    </fill>
    <fill>
      <patternFill patternType="solid">
        <fgColor rgb="FFF1A66D"/>
        <bgColor rgb="FFF1A66D"/>
      </patternFill>
    </fill>
    <fill>
      <patternFill patternType="solid">
        <fgColor rgb="FFEC9470"/>
        <bgColor rgb="FFEC9470"/>
      </patternFill>
    </fill>
    <fill>
      <patternFill patternType="solid">
        <fgColor rgb="FFFBD666"/>
        <bgColor rgb="FFFBD666"/>
      </patternFill>
    </fill>
    <fill>
      <patternFill patternType="solid">
        <fgColor rgb="FFADC977"/>
        <bgColor rgb="FFADC977"/>
      </patternFill>
    </fill>
    <fill>
      <patternFill patternType="solid">
        <fgColor rgb="FFEEA29B"/>
        <bgColor rgb="FFEEA29B"/>
      </patternFill>
    </fill>
    <fill>
      <patternFill patternType="solid">
        <fgColor rgb="FFEEA39D"/>
        <bgColor rgb="FFEEA39D"/>
      </patternFill>
    </fill>
    <fill>
      <patternFill patternType="solid">
        <fgColor rgb="FF9FD8BC"/>
        <bgColor rgb="FF9FD8BC"/>
      </patternFill>
    </fill>
    <fill>
      <patternFill patternType="solid">
        <fgColor rgb="FFF4AC6C"/>
        <bgColor rgb="FFF4AC6C"/>
      </patternFill>
    </fill>
    <fill>
      <patternFill patternType="solid">
        <fgColor rgb="FFFBD667"/>
        <bgColor rgb="FFFBD667"/>
      </patternFill>
    </fill>
    <fill>
      <patternFill patternType="solid">
        <fgColor rgb="FFFFD466"/>
        <bgColor rgb="FFFFD466"/>
      </patternFill>
    </fill>
    <fill>
      <patternFill patternType="solid">
        <fgColor rgb="FFF4B16C"/>
        <bgColor rgb="FFF4B16C"/>
      </patternFill>
    </fill>
    <fill>
      <patternFill patternType="solid">
        <fgColor rgb="FFFDD267"/>
        <bgColor rgb="FFFDD267"/>
      </patternFill>
    </fill>
    <fill>
      <patternFill patternType="solid">
        <fgColor rgb="FFF3D568"/>
        <bgColor rgb="FFF3D568"/>
      </patternFill>
    </fill>
    <fill>
      <patternFill patternType="solid">
        <fgColor rgb="FFC5CD72"/>
        <bgColor rgb="FFC5CD72"/>
      </patternFill>
    </fill>
    <fill>
      <patternFill patternType="solid">
        <fgColor rgb="FFE6D26B"/>
        <bgColor rgb="FFE6D26B"/>
      </patternFill>
    </fill>
    <fill>
      <patternFill patternType="solid">
        <fgColor rgb="FF95C57C"/>
        <bgColor rgb="FF95C57C"/>
      </patternFill>
    </fill>
    <fill>
      <patternFill patternType="solid">
        <fgColor rgb="FFA2C77A"/>
        <bgColor rgb="FFA2C77A"/>
      </patternFill>
    </fill>
    <fill>
      <patternFill patternType="solid">
        <fgColor rgb="FFF1A36D"/>
        <bgColor rgb="FFF1A36D"/>
      </patternFill>
    </fill>
    <fill>
      <patternFill patternType="solid">
        <fgColor rgb="FFABDDC4"/>
        <bgColor rgb="FFABDDC4"/>
      </patternFill>
    </fill>
    <fill>
      <patternFill patternType="solid">
        <fgColor rgb="FFCCEADB"/>
        <bgColor rgb="FFCCEADB"/>
      </patternFill>
    </fill>
    <fill>
      <patternFill patternType="solid">
        <fgColor rgb="FFB0C977"/>
        <bgColor rgb="FFB0C977"/>
      </patternFill>
    </fill>
    <fill>
      <patternFill patternType="solid">
        <fgColor rgb="FFFDD567"/>
        <bgColor rgb="FFFDD567"/>
      </patternFill>
    </fill>
    <fill>
      <patternFill patternType="solid">
        <fgColor rgb="FF88C37F"/>
        <bgColor rgb="FF88C37F"/>
      </patternFill>
    </fill>
    <fill>
      <patternFill patternType="solid">
        <fgColor rgb="FFD2CF6F"/>
        <bgColor rgb="FFD2CF6F"/>
      </patternFill>
    </fill>
    <fill>
      <patternFill patternType="solid">
        <fgColor rgb="FFF1B3AE"/>
        <bgColor rgb="FFF1B3AE"/>
      </patternFill>
    </fill>
    <fill>
      <patternFill patternType="solid">
        <fgColor rgb="FFF6CBC8"/>
        <bgColor rgb="FFF6CBC8"/>
      </patternFill>
    </fill>
    <fill>
      <patternFill patternType="solid">
        <fgColor rgb="FFFFD566"/>
        <bgColor rgb="FFFFD566"/>
      </patternFill>
    </fill>
    <fill>
      <patternFill patternType="solid">
        <fgColor rgb="FFBFCC73"/>
        <bgColor rgb="FFBFCC73"/>
      </patternFill>
    </fill>
    <fill>
      <patternFill patternType="solid">
        <fgColor rgb="FFF9C269"/>
        <bgColor rgb="FFF9C269"/>
      </patternFill>
    </fill>
    <fill>
      <patternFill patternType="solid">
        <fgColor rgb="FFB5CA76"/>
        <bgColor rgb="FFB5CA76"/>
      </patternFill>
    </fill>
    <fill>
      <patternFill patternType="solid">
        <fgColor rgb="FFF8DAD8"/>
        <bgColor rgb="FFF8DAD8"/>
      </patternFill>
    </fill>
    <fill>
      <patternFill patternType="solid">
        <fgColor rgb="FFD5EEE1"/>
        <bgColor rgb="FFD5EEE1"/>
      </patternFill>
    </fill>
    <fill>
      <patternFill patternType="solid">
        <fgColor rgb="FFE8D26B"/>
        <bgColor rgb="FFE8D26B"/>
      </patternFill>
    </fill>
    <fill>
      <patternFill patternType="solid">
        <fgColor rgb="FFFBC769"/>
        <bgColor rgb="FFFBC769"/>
      </patternFill>
    </fill>
    <fill>
      <patternFill patternType="solid">
        <fgColor rgb="FFED986F"/>
        <bgColor rgb="FFED986F"/>
      </patternFill>
    </fill>
    <fill>
      <patternFill patternType="solid">
        <fgColor rgb="FF8AC47F"/>
        <bgColor rgb="FF8AC47F"/>
      </patternFill>
    </fill>
    <fill>
      <patternFill patternType="solid">
        <fgColor rgb="FF73C084"/>
        <bgColor rgb="FF73C084"/>
      </patternFill>
    </fill>
    <fill>
      <patternFill patternType="solid">
        <fgColor rgb="FFF9C069"/>
        <bgColor rgb="FFF9C069"/>
      </patternFill>
    </fill>
    <fill>
      <patternFill patternType="solid">
        <fgColor rgb="FFD9EFE4"/>
        <bgColor rgb="FFD9EFE4"/>
      </patternFill>
    </fill>
    <fill>
      <patternFill patternType="solid">
        <fgColor rgb="FFF7D3D0"/>
        <bgColor rgb="FFF7D3D0"/>
      </patternFill>
    </fill>
    <fill>
      <patternFill patternType="solid">
        <fgColor rgb="FF6DBE86"/>
        <bgColor rgb="FF6DBE86"/>
      </patternFill>
    </fill>
    <fill>
      <patternFill patternType="solid">
        <fgColor rgb="FFFDCD67"/>
        <bgColor rgb="FFFDCD67"/>
      </patternFill>
    </fill>
    <fill>
      <patternFill patternType="solid">
        <fgColor rgb="FFED9670"/>
        <bgColor rgb="FFED9670"/>
      </patternFill>
    </fill>
    <fill>
      <patternFill patternType="solid">
        <fgColor rgb="FFF4B06C"/>
        <bgColor rgb="FFF4B06C"/>
      </patternFill>
    </fill>
    <fill>
      <patternFill patternType="solid">
        <fgColor rgb="FFDFD16D"/>
        <bgColor rgb="FFDFD16D"/>
      </patternFill>
    </fill>
    <fill>
      <patternFill patternType="solid">
        <fgColor rgb="FFF5B06B"/>
        <bgColor rgb="FFF5B06B"/>
      </patternFill>
    </fill>
    <fill>
      <patternFill patternType="solid">
        <fgColor rgb="FFE8847C"/>
        <bgColor rgb="FFE8847C"/>
      </patternFill>
    </fill>
    <fill>
      <patternFill patternType="solid">
        <fgColor rgb="FFEA8871"/>
        <bgColor rgb="FFEA8871"/>
      </patternFill>
    </fill>
    <fill>
      <patternFill patternType="solid">
        <fgColor rgb="FFBDCB75"/>
        <bgColor rgb="FFBDCB75"/>
      </patternFill>
    </fill>
    <fill>
      <patternFill patternType="solid">
        <fgColor rgb="FFB8CB75"/>
        <bgColor rgb="FFB8CB75"/>
      </patternFill>
    </fill>
    <fill>
      <patternFill patternType="solid">
        <fgColor rgb="FFA9C978"/>
        <bgColor rgb="FFA9C978"/>
      </patternFill>
    </fill>
    <fill>
      <patternFill patternType="solid">
        <fgColor rgb="FFAEC977"/>
        <bgColor rgb="FFAEC977"/>
      </patternFill>
    </fill>
    <fill>
      <patternFill patternType="solid">
        <fgColor rgb="FF79C8A1"/>
        <bgColor rgb="FF79C8A1"/>
      </patternFill>
    </fill>
    <fill>
      <patternFill patternType="solid">
        <fgColor rgb="FF65C093"/>
        <bgColor rgb="FF65C093"/>
      </patternFill>
    </fill>
    <fill>
      <patternFill patternType="solid">
        <fgColor rgb="FF97C67C"/>
        <bgColor rgb="FF97C67C"/>
      </patternFill>
    </fill>
    <fill>
      <patternFill patternType="solid">
        <fgColor rgb="FF79C182"/>
        <bgColor rgb="FF79C182"/>
      </patternFill>
    </fill>
    <fill>
      <patternFill patternType="solid">
        <fgColor rgb="FF7DC281"/>
        <bgColor rgb="FF7DC281"/>
      </patternFill>
    </fill>
    <fill>
      <patternFill patternType="solid">
        <fgColor rgb="FFFAC769"/>
        <bgColor rgb="FFFAC769"/>
      </patternFill>
    </fill>
    <fill>
      <patternFill patternType="solid">
        <fgColor rgb="FFEDD36A"/>
        <bgColor rgb="FFEDD36A"/>
      </patternFill>
    </fill>
    <fill>
      <patternFill patternType="solid">
        <fgColor rgb="FF62BC88"/>
        <bgColor rgb="FF62BC88"/>
      </patternFill>
    </fill>
    <fill>
      <patternFill patternType="solid">
        <fgColor rgb="FFF2A76D"/>
        <bgColor rgb="FFF2A76D"/>
      </patternFill>
    </fill>
    <fill>
      <patternFill patternType="solid">
        <fgColor rgb="FFD1CE70"/>
        <bgColor rgb="FFD1CE70"/>
      </patternFill>
    </fill>
    <fill>
      <patternFill patternType="solid">
        <fgColor rgb="FFF3AB6D"/>
        <bgColor rgb="FFF3AB6D"/>
      </patternFill>
    </fill>
    <fill>
      <patternFill patternType="solid">
        <fgColor rgb="FF70BF84"/>
        <bgColor rgb="FF70BF84"/>
      </patternFill>
    </fill>
    <fill>
      <patternFill patternType="solid">
        <fgColor rgb="FFEC9992"/>
        <bgColor rgb="FFEC9992"/>
      </patternFill>
    </fill>
    <fill>
      <patternFill patternType="solid">
        <fgColor rgb="FFE88272"/>
        <bgColor rgb="FFE88272"/>
      </patternFill>
    </fill>
    <fill>
      <patternFill patternType="solid">
        <fgColor rgb="FFA0C67B"/>
        <bgColor rgb="FFA0C67B"/>
      </patternFill>
    </fill>
    <fill>
      <patternFill patternType="solid">
        <fgColor rgb="FF99C67C"/>
        <bgColor rgb="FF99C67C"/>
      </patternFill>
    </fill>
    <fill>
      <patternFill patternType="solid">
        <fgColor rgb="FF88CFAC"/>
        <bgColor rgb="FF88CFAC"/>
      </patternFill>
    </fill>
    <fill>
      <patternFill patternType="solid">
        <fgColor rgb="FFD2CE70"/>
        <bgColor rgb="FFD2CE70"/>
      </patternFill>
    </fill>
    <fill>
      <patternFill patternType="solid">
        <fgColor rgb="FFADC878"/>
        <bgColor rgb="FFADC878"/>
      </patternFill>
    </fill>
    <fill>
      <patternFill patternType="solid">
        <fgColor rgb="FF8FC47E"/>
        <bgColor rgb="FF8FC47E"/>
      </patternFill>
    </fill>
    <fill>
      <patternFill patternType="solid">
        <fgColor rgb="FF78C183"/>
        <bgColor rgb="FF78C183"/>
      </patternFill>
    </fill>
    <fill>
      <patternFill patternType="solid">
        <fgColor rgb="FFA4C879"/>
        <bgColor rgb="FFA4C879"/>
      </patternFill>
    </fill>
    <fill>
      <patternFill patternType="solid">
        <fgColor rgb="FFF8D9D6"/>
        <bgColor rgb="FFF8D9D6"/>
      </patternFill>
    </fill>
    <fill>
      <patternFill patternType="solid">
        <fgColor rgb="FFF9BF69"/>
        <bgColor rgb="FFF9BF69"/>
      </patternFill>
    </fill>
    <fill>
      <patternFill patternType="solid">
        <fgColor rgb="FFC4CC73"/>
        <bgColor rgb="FFC4CC73"/>
      </patternFill>
    </fill>
    <fill>
      <patternFill patternType="solid">
        <fgColor rgb="FFE4D26B"/>
        <bgColor rgb="FFE4D26B"/>
      </patternFill>
    </fill>
    <fill>
      <patternFill patternType="solid">
        <fgColor rgb="FFB6CB75"/>
        <bgColor rgb="FFB6CB75"/>
      </patternFill>
    </fill>
    <fill>
      <patternFill patternType="solid">
        <fgColor rgb="FFDAF0E5"/>
        <bgColor rgb="FFDAF0E5"/>
      </patternFill>
    </fill>
    <fill>
      <patternFill patternType="solid">
        <fgColor rgb="FF83C281"/>
        <bgColor rgb="FF83C281"/>
      </patternFill>
    </fill>
    <fill>
      <patternFill patternType="solid">
        <fgColor rgb="FFDAD06E"/>
        <bgColor rgb="FFDAD06E"/>
      </patternFill>
    </fill>
    <fill>
      <patternFill patternType="solid">
        <fgColor rgb="FFEB9070"/>
        <bgColor rgb="FFEB9070"/>
      </patternFill>
    </fill>
    <fill>
      <patternFill patternType="solid">
        <fgColor rgb="FFE98672"/>
        <bgColor rgb="FFE98672"/>
      </patternFill>
    </fill>
    <fill>
      <patternFill patternType="solid">
        <fgColor rgb="FF6ABE86"/>
        <bgColor rgb="FF6ABE86"/>
      </patternFill>
    </fill>
    <fill>
      <patternFill patternType="solid">
        <fgColor rgb="FFED9F98"/>
        <bgColor rgb="FFED9F98"/>
      </patternFill>
    </fill>
    <fill>
      <patternFill patternType="solid">
        <fgColor rgb="FFEB928A"/>
        <bgColor rgb="FFEB928A"/>
      </patternFill>
    </fill>
    <fill>
      <patternFill patternType="solid">
        <fgColor rgb="FFED946F"/>
        <bgColor rgb="FFED946F"/>
      </patternFill>
    </fill>
    <fill>
      <patternFill patternType="solid">
        <fgColor rgb="FFBECC73"/>
        <bgColor rgb="FFBECC73"/>
      </patternFill>
    </fill>
    <fill>
      <patternFill patternType="solid">
        <fgColor rgb="FF93D3B3"/>
        <bgColor rgb="FF93D3B3"/>
      </patternFill>
    </fill>
    <fill>
      <patternFill patternType="solid">
        <fgColor rgb="FF9AC57C"/>
        <bgColor rgb="FF9AC57C"/>
      </patternFill>
    </fill>
    <fill>
      <patternFill patternType="solid">
        <fgColor rgb="FFFBC668"/>
        <bgColor rgb="FFFBC668"/>
      </patternFill>
    </fill>
    <fill>
      <patternFill patternType="solid">
        <fgColor rgb="FFF1A36E"/>
        <bgColor rgb="FFF1A36E"/>
      </patternFill>
    </fill>
    <fill>
      <patternFill patternType="solid">
        <fgColor rgb="FF85C380"/>
        <bgColor rgb="FF85C380"/>
      </patternFill>
    </fill>
    <fill>
      <patternFill patternType="solid">
        <fgColor rgb="FFF3BFBA"/>
        <bgColor rgb="FFF3BFBA"/>
      </patternFill>
    </fill>
    <fill>
      <patternFill patternType="solid">
        <fgColor rgb="FFF2B9B4"/>
        <bgColor rgb="FFF2B9B4"/>
      </patternFill>
    </fill>
    <fill>
      <patternFill patternType="solid">
        <fgColor rgb="FFF0A06D"/>
        <bgColor rgb="FFF0A06D"/>
      </patternFill>
    </fill>
    <fill>
      <patternFill patternType="solid">
        <fgColor rgb="FF87C280"/>
        <bgColor rgb="FF87C280"/>
      </patternFill>
    </fill>
    <fill>
      <patternFill patternType="solid">
        <fgColor rgb="FF91C57D"/>
        <bgColor rgb="FF91C57D"/>
      </patternFill>
    </fill>
    <fill>
      <patternFill patternType="solid">
        <fgColor rgb="FFBAE3CF"/>
        <bgColor rgb="FFBAE3CF"/>
      </patternFill>
    </fill>
    <fill>
      <patternFill patternType="solid">
        <fgColor rgb="FFB6E1CC"/>
        <bgColor rgb="FFB6E1CC"/>
      </patternFill>
    </fill>
    <fill>
      <patternFill patternType="solid">
        <fgColor rgb="FFDCD16D"/>
        <bgColor rgb="FFDCD16D"/>
      </patternFill>
    </fill>
    <fill>
      <patternFill patternType="solid">
        <fgColor rgb="FFB7CB75"/>
        <bgColor rgb="FFB7CB75"/>
      </patternFill>
    </fill>
    <fill>
      <patternFill patternType="solid">
        <fgColor rgb="FFFECF67"/>
        <bgColor rgb="FFFECF67"/>
      </patternFill>
    </fill>
    <fill>
      <patternFill patternType="solid">
        <fgColor rgb="FFA7C878"/>
        <bgColor rgb="FFA7C878"/>
      </patternFill>
    </fill>
    <fill>
      <patternFill patternType="solid">
        <fgColor rgb="FFF7D5D2"/>
        <bgColor rgb="FFF7D5D2"/>
      </patternFill>
    </fill>
    <fill>
      <patternFill patternType="solid">
        <fgColor rgb="FFD7EEE3"/>
        <bgColor rgb="FFD7EEE3"/>
      </patternFill>
    </fill>
    <fill>
      <patternFill patternType="solid">
        <fgColor rgb="FFF3AD6C"/>
        <bgColor rgb="FFF3AD6C"/>
      </patternFill>
    </fill>
    <fill>
      <patternFill patternType="solid">
        <fgColor rgb="FF85C281"/>
        <bgColor rgb="FF85C281"/>
      </patternFill>
    </fill>
    <fill>
      <patternFill patternType="solid">
        <fgColor rgb="FF60BD88"/>
        <bgColor rgb="FF60BD88"/>
      </patternFill>
    </fill>
    <fill>
      <patternFill patternType="solid">
        <fgColor rgb="FFBDCC74"/>
        <bgColor rgb="FFBDCC74"/>
      </patternFill>
    </fill>
    <fill>
      <patternFill patternType="solid">
        <fgColor rgb="FFD1CF70"/>
        <bgColor rgb="FFD1CF70"/>
      </patternFill>
    </fill>
    <fill>
      <patternFill patternType="solid">
        <fgColor rgb="FFDDD16D"/>
        <bgColor rgb="FFDDD16D"/>
      </patternFill>
    </fill>
    <fill>
      <patternFill patternType="solid">
        <fgColor rgb="FFD4EDE1"/>
        <bgColor rgb="FFD4EDE1"/>
      </patternFill>
    </fill>
    <fill>
      <patternFill patternType="solid">
        <fgColor rgb="FFBBCB75"/>
        <bgColor rgb="FFBBCB75"/>
      </patternFill>
    </fill>
    <fill>
      <patternFill patternType="solid">
        <fgColor rgb="FFEB9170"/>
        <bgColor rgb="FFEB9170"/>
      </patternFill>
    </fill>
    <fill>
      <patternFill patternType="solid">
        <fgColor rgb="FFEB8F71"/>
        <bgColor rgb="FFEB8F71"/>
      </patternFill>
    </fill>
    <fill>
      <patternFill patternType="solid">
        <fgColor rgb="FFF6B36B"/>
        <bgColor rgb="FFF6B36B"/>
      </patternFill>
    </fill>
    <fill>
      <patternFill patternType="solid">
        <fgColor rgb="FF87C37F"/>
        <bgColor rgb="FF87C37F"/>
      </patternFill>
    </fill>
    <fill>
      <patternFill patternType="solid">
        <fgColor rgb="FFEFD36A"/>
        <bgColor rgb="FFEFD36A"/>
      </patternFill>
    </fill>
    <fill>
      <patternFill patternType="solid">
        <fgColor rgb="FF76C083"/>
        <bgColor rgb="FF76C083"/>
      </patternFill>
    </fill>
    <fill>
      <patternFill patternType="solid">
        <fgColor rgb="FFF1A56E"/>
        <bgColor rgb="FFF1A56E"/>
      </patternFill>
    </fill>
    <fill>
      <patternFill patternType="solid">
        <fgColor rgb="FFD2ECDF"/>
        <bgColor rgb="FFD2ECDF"/>
      </patternFill>
    </fill>
    <fill>
      <patternFill patternType="solid">
        <fgColor rgb="FFD6EEE2"/>
        <bgColor rgb="FFD6EEE2"/>
      </patternFill>
    </fill>
    <fill>
      <patternFill patternType="solid">
        <fgColor rgb="FFFED266"/>
        <bgColor rgb="FFFED266"/>
      </patternFill>
    </fill>
    <fill>
      <patternFill patternType="solid">
        <fgColor rgb="FFCDEADC"/>
        <bgColor rgb="FFCDEADC"/>
      </patternFill>
    </fill>
    <fill>
      <patternFill patternType="solid">
        <fgColor rgb="FFDDD06E"/>
        <bgColor rgb="FFDDD06E"/>
      </patternFill>
    </fill>
    <fill>
      <patternFill patternType="solid">
        <fgColor rgb="FFF6CECB"/>
        <bgColor rgb="FFF6CECB"/>
      </patternFill>
    </fill>
    <fill>
      <patternFill patternType="solid">
        <fgColor rgb="FFF6D0CD"/>
        <bgColor rgb="FFF6D0CD"/>
      </patternFill>
    </fill>
    <fill>
      <patternFill patternType="solid">
        <fgColor rgb="FFF2A76C"/>
        <bgColor rgb="FFF2A76C"/>
      </patternFill>
    </fill>
    <fill>
      <patternFill patternType="solid">
        <fgColor rgb="FFAFCA77"/>
        <bgColor rgb="FFAFCA77"/>
      </patternFill>
    </fill>
    <fill>
      <patternFill patternType="solid">
        <fgColor rgb="FFC8E9D9"/>
        <bgColor rgb="FFC8E9D9"/>
      </patternFill>
    </fill>
    <fill>
      <patternFill patternType="solid">
        <fgColor rgb="FFA5C77A"/>
        <bgColor rgb="FFA5C77A"/>
      </patternFill>
    </fill>
    <fill>
      <patternFill patternType="solid">
        <fgColor rgb="FFF6B56B"/>
        <bgColor rgb="FFF6B56B"/>
      </patternFill>
    </fill>
    <fill>
      <patternFill patternType="solid">
        <fgColor rgb="FF64BE87"/>
        <bgColor rgb="FF64BE87"/>
      </patternFill>
    </fill>
    <fill>
      <patternFill patternType="solid">
        <fgColor rgb="FFF0A06E"/>
        <bgColor rgb="FFF0A06E"/>
      </patternFill>
    </fill>
    <fill>
      <patternFill patternType="solid">
        <fgColor rgb="FFF4C6C2"/>
        <bgColor rgb="FFF4C6C2"/>
      </patternFill>
    </fill>
    <fill>
      <patternFill patternType="solid">
        <fgColor rgb="FFF5C9C6"/>
        <bgColor rgb="FFF5C9C6"/>
      </patternFill>
    </fill>
    <fill>
      <patternFill patternType="solid">
        <fgColor rgb="FFEED469"/>
        <bgColor rgb="FFEED469"/>
      </patternFill>
    </fill>
    <fill>
      <patternFill patternType="solid">
        <fgColor rgb="FF68BE86"/>
        <bgColor rgb="FF68BE86"/>
      </patternFill>
    </fill>
    <fill>
      <patternFill patternType="solid">
        <fgColor rgb="FFC6CC73"/>
        <bgColor rgb="FFC6CC73"/>
      </patternFill>
    </fill>
    <fill>
      <patternFill patternType="solid">
        <fgColor rgb="FF78C083"/>
        <bgColor rgb="FF78C083"/>
      </patternFill>
    </fill>
    <fill>
      <patternFill patternType="solid">
        <fgColor rgb="FFBDCB74"/>
        <bgColor rgb="FFBDCB74"/>
      </patternFill>
    </fill>
    <fill>
      <patternFill patternType="solid">
        <fgColor rgb="FFBCCC74"/>
        <bgColor rgb="FFBCCC74"/>
      </patternFill>
    </fill>
    <fill>
      <patternFill patternType="solid">
        <fgColor rgb="FFFED166"/>
        <bgColor rgb="FFFED166"/>
      </patternFill>
    </fill>
    <fill>
      <patternFill patternType="solid">
        <fgColor rgb="FFFBD567"/>
        <bgColor rgb="FFFBD567"/>
      </patternFill>
    </fill>
    <fill>
      <patternFill patternType="solid">
        <fgColor rgb="FFFBC869"/>
        <bgColor rgb="FFFBC869"/>
      </patternFill>
    </fill>
    <fill>
      <patternFill patternType="solid">
        <fgColor rgb="FFEE9C6F"/>
        <bgColor rgb="FFEE9C6F"/>
      </patternFill>
    </fill>
    <fill>
      <patternFill patternType="solid">
        <fgColor rgb="FFB4CA76"/>
        <bgColor rgb="FFB4CA76"/>
      </patternFill>
    </fill>
    <fill>
      <patternFill patternType="solid">
        <fgColor rgb="FFD7EFE3"/>
        <bgColor rgb="FFD7EFE3"/>
      </patternFill>
    </fill>
    <fill>
      <patternFill patternType="solid">
        <fgColor rgb="FFE67D73"/>
        <bgColor rgb="FFE67D73"/>
      </patternFill>
    </fill>
    <fill>
      <patternFill patternType="solid">
        <fgColor rgb="FF8DC47E"/>
        <bgColor rgb="FF8DC47E"/>
      </patternFill>
    </fill>
    <fill>
      <patternFill patternType="solid">
        <fgColor rgb="FFF8D8D6"/>
        <bgColor rgb="FFF8D8D6"/>
      </patternFill>
    </fill>
    <fill>
      <patternFill patternType="solid">
        <fgColor rgb="FFF7B66A"/>
        <bgColor rgb="FFF7B66A"/>
      </patternFill>
    </fill>
    <fill>
      <patternFill patternType="solid">
        <fgColor rgb="FFE0D26C"/>
        <bgColor rgb="FFE0D26C"/>
      </patternFill>
    </fill>
    <fill>
      <patternFill patternType="solid">
        <fgColor rgb="FFF4AE6C"/>
        <bgColor rgb="FFF4AE6C"/>
      </patternFill>
    </fill>
    <fill>
      <patternFill patternType="solid">
        <fgColor rgb="FF81C281"/>
        <bgColor rgb="FF81C281"/>
      </patternFill>
    </fill>
    <fill>
      <patternFill patternType="solid">
        <fgColor rgb="FFEF9B6E"/>
        <bgColor rgb="FFEF9B6E"/>
      </patternFill>
    </fill>
    <fill>
      <patternFill patternType="solid">
        <fgColor rgb="FF90C57D"/>
        <bgColor rgb="FF90C57D"/>
      </patternFill>
    </fill>
    <fill>
      <patternFill patternType="solid">
        <fgColor rgb="FFE9F6EF"/>
        <bgColor rgb="FFE9F6EF"/>
      </patternFill>
    </fill>
    <fill>
      <patternFill patternType="solid">
        <fgColor rgb="FFD8EFE3"/>
        <bgColor rgb="FFD8EFE3"/>
      </patternFill>
    </fill>
    <fill>
      <patternFill patternType="solid">
        <fgColor rgb="FFFFFAFA"/>
        <bgColor rgb="FFFFFAFA"/>
      </patternFill>
    </fill>
    <fill>
      <patternFill patternType="solid">
        <fgColor rgb="FFE4F4EC"/>
        <bgColor rgb="FFE4F4EC"/>
      </patternFill>
    </fill>
    <fill>
      <patternFill patternType="solid">
        <fgColor rgb="FFFEF7F6"/>
        <bgColor rgb="FFFEF7F6"/>
      </patternFill>
    </fill>
    <fill>
      <patternFill patternType="solid">
        <fgColor rgb="FF78C8A1"/>
        <bgColor rgb="FF78C8A1"/>
      </patternFill>
    </fill>
    <fill>
      <patternFill patternType="solid">
        <fgColor rgb="FFCAE9DA"/>
        <bgColor rgb="FFCAE9DA"/>
      </patternFill>
    </fill>
    <fill>
      <patternFill patternType="solid">
        <fgColor rgb="FFC3CD73"/>
        <bgColor rgb="FFC3CD73"/>
      </patternFill>
    </fill>
    <fill>
      <patternFill patternType="solid">
        <fgColor rgb="FF9DC77B"/>
        <bgColor rgb="FF9DC77B"/>
      </patternFill>
    </fill>
    <fill>
      <patternFill patternType="solid">
        <fgColor rgb="FFED9770"/>
        <bgColor rgb="FFED9770"/>
      </patternFill>
    </fill>
    <fill>
      <patternFill patternType="solid">
        <fgColor rgb="FFFDCE67"/>
        <bgColor rgb="FFFDCE67"/>
      </patternFill>
    </fill>
    <fill>
      <patternFill patternType="solid">
        <fgColor rgb="FFF4C4C0"/>
        <bgColor rgb="FFF4C4C0"/>
      </patternFill>
    </fill>
    <fill>
      <patternFill patternType="solid">
        <fgColor rgb="FFFFFFFE"/>
        <bgColor rgb="FFFFFFFE"/>
      </patternFill>
    </fill>
    <fill>
      <patternFill patternType="solid">
        <fgColor rgb="FFEDF7F2"/>
        <bgColor rgb="FFEDF7F2"/>
      </patternFill>
    </fill>
    <fill>
      <patternFill patternType="solid">
        <fgColor rgb="FFFCEEED"/>
        <bgColor rgb="FFFCEEED"/>
      </patternFill>
    </fill>
    <fill>
      <patternFill patternType="solid">
        <fgColor rgb="FFFCECEA"/>
        <bgColor rgb="FFFCECEA"/>
      </patternFill>
    </fill>
    <fill>
      <patternFill patternType="solid">
        <fgColor rgb="FFF2A86C"/>
        <bgColor rgb="FFF2A86C"/>
      </patternFill>
    </fill>
    <fill>
      <patternFill patternType="solid">
        <fgColor rgb="FFF9D667"/>
        <bgColor rgb="FFF9D667"/>
      </patternFill>
    </fill>
    <fill>
      <patternFill patternType="solid">
        <fgColor rgb="FFF5B26C"/>
        <bgColor rgb="FFF5B26C"/>
      </patternFill>
    </fill>
    <fill>
      <patternFill patternType="solid">
        <fgColor rgb="FFE8D36A"/>
        <bgColor rgb="FFE8D36A"/>
      </patternFill>
    </fill>
    <fill>
      <patternFill patternType="solid">
        <fgColor rgb="FFF9BE69"/>
        <bgColor rgb="FFF9BE69"/>
      </patternFill>
    </fill>
    <fill>
      <patternFill patternType="solid">
        <fgColor rgb="FFD1ECDF"/>
        <bgColor rgb="FFD1ECDF"/>
      </patternFill>
    </fill>
    <fill>
      <patternFill patternType="solid">
        <fgColor rgb="FF6EC49A"/>
        <bgColor rgb="FF6EC49A"/>
      </patternFill>
    </fill>
    <fill>
      <patternFill patternType="solid">
        <fgColor rgb="FF7BC9A3"/>
        <bgColor rgb="FF7BC9A3"/>
      </patternFill>
    </fill>
    <fill>
      <patternFill patternType="solid">
        <fgColor rgb="FFD3EDE0"/>
        <bgColor rgb="FFD3EDE0"/>
      </patternFill>
    </fill>
    <fill>
      <patternFill patternType="solid">
        <fgColor rgb="FFF9DCD9"/>
        <bgColor rgb="FFF9DCD9"/>
      </patternFill>
    </fill>
    <fill>
      <patternFill patternType="solid">
        <fgColor rgb="FF98C57D"/>
        <bgColor rgb="FF98C57D"/>
      </patternFill>
    </fill>
    <fill>
      <patternFill patternType="solid">
        <fgColor rgb="FFF1A16D"/>
        <bgColor rgb="FFF1A16D"/>
      </patternFill>
    </fill>
    <fill>
      <patternFill patternType="solid">
        <fgColor rgb="FFF9C369"/>
        <bgColor rgb="FFF9C369"/>
      </patternFill>
    </fill>
    <fill>
      <patternFill patternType="solid">
        <fgColor rgb="FF94C57D"/>
        <bgColor rgb="FF94C57D"/>
      </patternFill>
    </fill>
    <fill>
      <patternFill patternType="solid">
        <fgColor rgb="FFF2B7B2"/>
        <bgColor rgb="FFF2B7B2"/>
      </patternFill>
    </fill>
    <fill>
      <patternFill patternType="solid">
        <fgColor rgb="FFF2FAF6"/>
        <bgColor rgb="FFF2FAF6"/>
      </patternFill>
    </fill>
    <fill>
      <patternFill patternType="solid">
        <fgColor rgb="FFED9C95"/>
        <bgColor rgb="FFED9C95"/>
      </patternFill>
    </fill>
    <fill>
      <patternFill patternType="solid">
        <fgColor rgb="FFC3CC73"/>
        <bgColor rgb="FFC3CC73"/>
      </patternFill>
    </fill>
    <fill>
      <patternFill patternType="solid">
        <fgColor rgb="FFF9C169"/>
        <bgColor rgb="FFF9C169"/>
      </patternFill>
    </fill>
    <fill>
      <patternFill patternType="solid">
        <fgColor rgb="FFF4AE6B"/>
        <bgColor rgb="FFF4AE6B"/>
      </patternFill>
    </fill>
    <fill>
      <patternFill patternType="solid">
        <fgColor rgb="FFFFFCFC"/>
        <bgColor rgb="FFFFFCFC"/>
      </patternFill>
    </fill>
    <fill>
      <patternFill patternType="solid">
        <fgColor rgb="FFFEF9F8"/>
        <bgColor rgb="FFFEF9F8"/>
      </patternFill>
    </fill>
    <fill>
      <patternFill patternType="solid">
        <fgColor rgb="FFFDF4F3"/>
        <bgColor rgb="FFFDF4F3"/>
      </patternFill>
    </fill>
    <fill>
      <patternFill patternType="solid">
        <fgColor rgb="FFF1B5B0"/>
        <bgColor rgb="FFF1B5B0"/>
      </patternFill>
    </fill>
    <fill>
      <patternFill patternType="solid">
        <fgColor rgb="FFF8D468"/>
        <bgColor rgb="FFF8D468"/>
      </patternFill>
    </fill>
    <fill>
      <patternFill patternType="solid">
        <fgColor rgb="FFBBCB74"/>
        <bgColor rgb="FFBBCB74"/>
      </patternFill>
    </fill>
    <fill>
      <patternFill patternType="solid">
        <fgColor rgb="FF9CC77B"/>
        <bgColor rgb="FF9CC77B"/>
      </patternFill>
    </fill>
    <fill>
      <patternFill patternType="solid">
        <fgColor rgb="FFFDFEFD"/>
        <bgColor rgb="FFFDFEFD"/>
      </patternFill>
    </fill>
    <fill>
      <patternFill patternType="solid">
        <fgColor rgb="FFEEF8F3"/>
        <bgColor rgb="FFEEF8F3"/>
      </patternFill>
    </fill>
    <fill>
      <patternFill patternType="solid">
        <fgColor rgb="FFF4FAF7"/>
        <bgColor rgb="FFF4FAF7"/>
      </patternFill>
    </fill>
    <fill>
      <patternFill patternType="solid">
        <fgColor rgb="FF67C195"/>
        <bgColor rgb="FF67C195"/>
      </patternFill>
    </fill>
    <fill>
      <patternFill patternType="solid">
        <fgColor rgb="FF8DC37F"/>
        <bgColor rgb="FF8DC37F"/>
      </patternFill>
    </fill>
    <fill>
      <patternFill patternType="solid">
        <fgColor rgb="FFDFD06D"/>
        <bgColor rgb="FFDFD06D"/>
      </patternFill>
    </fill>
    <fill>
      <patternFill patternType="solid">
        <fgColor rgb="FFC6CD72"/>
        <bgColor rgb="FFC6CD72"/>
      </patternFill>
    </fill>
    <fill>
      <patternFill patternType="solid">
        <fgColor rgb="FFEFA7A1"/>
        <bgColor rgb="FFEFA7A1"/>
      </patternFill>
    </fill>
    <fill>
      <patternFill patternType="solid">
        <fgColor rgb="FFFEFAF9"/>
        <bgColor rgb="FFFEFAF9"/>
      </patternFill>
    </fill>
    <fill>
      <patternFill patternType="solid">
        <fgColor rgb="FF6DBF85"/>
        <bgColor rgb="FF6DBF85"/>
      </patternFill>
    </fill>
    <fill>
      <patternFill patternType="solid">
        <fgColor rgb="FFB4E0CB"/>
        <bgColor rgb="FFB4E0CB"/>
      </patternFill>
    </fill>
    <fill>
      <patternFill patternType="solid">
        <fgColor rgb="FFC1E6D4"/>
        <bgColor rgb="FFC1E6D4"/>
      </patternFill>
    </fill>
    <fill>
      <patternFill patternType="solid">
        <fgColor rgb="FFF7D468"/>
        <bgColor rgb="FFF7D468"/>
      </patternFill>
    </fill>
    <fill>
      <patternFill patternType="solid">
        <fgColor rgb="FFF2F9F6"/>
        <bgColor rgb="FFF2F9F6"/>
      </patternFill>
    </fill>
    <fill>
      <patternFill patternType="solid">
        <fgColor rgb="FFE2F3EB"/>
        <bgColor rgb="FFE2F3EB"/>
      </patternFill>
    </fill>
    <fill>
      <patternFill patternType="solid">
        <fgColor rgb="FFFCFEFD"/>
        <bgColor rgb="FFFCFEFD"/>
      </patternFill>
    </fill>
    <fill>
      <patternFill patternType="solid">
        <fgColor rgb="FFFCFDFC"/>
        <bgColor rgb="FFFCFDFC"/>
      </patternFill>
    </fill>
    <fill>
      <patternFill patternType="solid">
        <fgColor rgb="FF8ACFAD"/>
        <bgColor rgb="FF8ACFAD"/>
      </patternFill>
    </fill>
    <fill>
      <patternFill patternType="solid">
        <fgColor rgb="FFB8CA76"/>
        <bgColor rgb="FFB8CA76"/>
      </patternFill>
    </fill>
    <fill>
      <patternFill patternType="solid">
        <fgColor rgb="FFDBF0E5"/>
        <bgColor rgb="FFDBF0E5"/>
      </patternFill>
    </fill>
    <fill>
      <patternFill patternType="solid">
        <fgColor rgb="FFF6CCC8"/>
        <bgColor rgb="FFF6CCC8"/>
      </patternFill>
    </fill>
    <fill>
      <patternFill patternType="solid">
        <fgColor rgb="FF82C181"/>
        <bgColor rgb="FF82C181"/>
      </patternFill>
    </fill>
    <fill>
      <patternFill patternType="solid">
        <fgColor rgb="FFFFD366"/>
        <bgColor rgb="FFFFD366"/>
      </patternFill>
    </fill>
    <fill>
      <patternFill patternType="solid">
        <fgColor rgb="FFCCCE71"/>
        <bgColor rgb="FFCCCE71"/>
      </patternFill>
    </fill>
    <fill>
      <patternFill patternType="solid">
        <fgColor rgb="FFEB8D70"/>
        <bgColor rgb="FFEB8D70"/>
      </patternFill>
    </fill>
    <fill>
      <patternFill patternType="solid">
        <fgColor rgb="FFFAE5E3"/>
        <bgColor rgb="FFFAE5E3"/>
      </patternFill>
    </fill>
    <fill>
      <patternFill patternType="solid">
        <fgColor rgb="FFEE996E"/>
        <bgColor rgb="FFEE996E"/>
      </patternFill>
    </fill>
    <fill>
      <patternFill patternType="solid">
        <fgColor rgb="FFB9CB75"/>
        <bgColor rgb="FFB9CB75"/>
      </patternFill>
    </fill>
    <fill>
      <patternFill patternType="solid">
        <fgColor rgb="FFA8C878"/>
        <bgColor rgb="FFA8C878"/>
      </patternFill>
    </fill>
    <fill>
      <patternFill patternType="solid">
        <fgColor rgb="FFA0D8BD"/>
        <bgColor rgb="FFA0D8BD"/>
      </patternFill>
    </fill>
    <fill>
      <patternFill patternType="solid">
        <fgColor rgb="FF70C59B"/>
        <bgColor rgb="FF70C59B"/>
      </patternFill>
    </fill>
    <fill>
      <patternFill patternType="solid">
        <fgColor rgb="FFE77F76"/>
        <bgColor rgb="FFE77F76"/>
      </patternFill>
    </fill>
    <fill>
      <patternFill patternType="solid">
        <fgColor rgb="FFF4C5C1"/>
        <bgColor rgb="FFF4C5C1"/>
      </patternFill>
    </fill>
    <fill>
      <patternFill patternType="solid">
        <fgColor rgb="FFBEE5D2"/>
        <bgColor rgb="FFBEE5D2"/>
      </patternFill>
    </fill>
    <fill>
      <patternFill patternType="solid">
        <fgColor rgb="FFF09E6E"/>
        <bgColor rgb="FFF09E6E"/>
      </patternFill>
    </fill>
    <fill>
      <patternFill patternType="solid">
        <fgColor rgb="FFACC977"/>
        <bgColor rgb="FFACC977"/>
      </patternFill>
    </fill>
    <fill>
      <patternFill patternType="solid">
        <fgColor rgb="FF5BBC8D"/>
        <bgColor rgb="FF5BBC8D"/>
      </patternFill>
    </fill>
    <fill>
      <patternFill patternType="solid">
        <fgColor rgb="FFC7E8D8"/>
        <bgColor rgb="FFC7E8D8"/>
      </patternFill>
    </fill>
    <fill>
      <patternFill patternType="solid">
        <fgColor rgb="FFAADCC3"/>
        <bgColor rgb="FFAADCC3"/>
      </patternFill>
    </fill>
    <fill>
      <patternFill patternType="solid">
        <fgColor rgb="FFCECE71"/>
        <bgColor rgb="FFCECE71"/>
      </patternFill>
    </fill>
    <fill>
      <patternFill patternType="solid">
        <fgColor rgb="FFE98980"/>
        <bgColor rgb="FFE98980"/>
      </patternFill>
    </fill>
    <fill>
      <patternFill patternType="solid">
        <fgColor rgb="FFFCEBE9"/>
        <bgColor rgb="FFFCEBE9"/>
      </patternFill>
    </fill>
    <fill>
      <patternFill patternType="solid">
        <fgColor rgb="FFF7D1CE"/>
        <bgColor rgb="FFF7D1CE"/>
      </patternFill>
    </fill>
    <fill>
      <patternFill patternType="solid">
        <fgColor rgb="FFFCCC67"/>
        <bgColor rgb="FFFCCC67"/>
      </patternFill>
    </fill>
    <fill>
      <patternFill patternType="solid">
        <fgColor rgb="FFFDF1F0"/>
        <bgColor rgb="FFFDF1F0"/>
      </patternFill>
    </fill>
    <fill>
      <patternFill patternType="solid">
        <fgColor rgb="FFE1F3EA"/>
        <bgColor rgb="FFE1F3EA"/>
      </patternFill>
    </fill>
    <fill>
      <patternFill patternType="solid">
        <fgColor rgb="FFD9CF6F"/>
        <bgColor rgb="FFD9CF6F"/>
      </patternFill>
    </fill>
    <fill>
      <patternFill patternType="solid">
        <fgColor rgb="FFEC9891"/>
        <bgColor rgb="FFEC9891"/>
      </patternFill>
    </fill>
    <fill>
      <patternFill patternType="solid">
        <fgColor rgb="FFFEF6F5"/>
        <bgColor rgb="FFFEF6F5"/>
      </patternFill>
    </fill>
    <fill>
      <patternFill patternType="solid">
        <fgColor rgb="FFD9EFE5"/>
        <bgColor rgb="FFD9EFE5"/>
      </patternFill>
    </fill>
    <fill>
      <patternFill patternType="solid">
        <fgColor rgb="FFFED366"/>
        <bgColor rgb="FFFED366"/>
      </patternFill>
    </fill>
    <fill>
      <patternFill patternType="solid">
        <fgColor rgb="FF9FC77A"/>
        <bgColor rgb="FF9FC77A"/>
      </patternFill>
    </fill>
    <fill>
      <patternFill patternType="solid">
        <fgColor rgb="FFFDFEFE"/>
        <bgColor rgb="FFFDFEFE"/>
      </patternFill>
    </fill>
    <fill>
      <patternFill patternType="solid">
        <fgColor rgb="FFFFFCFB"/>
        <bgColor rgb="FFFFFCFB"/>
      </patternFill>
    </fill>
    <fill>
      <patternFill patternType="solid">
        <fgColor rgb="FFBBE3CF"/>
        <bgColor rgb="FFBBE3CF"/>
      </patternFill>
    </fill>
    <fill>
      <patternFill patternType="solid">
        <fgColor rgb="FF77C084"/>
        <bgColor rgb="FF77C084"/>
      </patternFill>
    </fill>
    <fill>
      <patternFill patternType="solid">
        <fgColor rgb="FFF6B56A"/>
        <bgColor rgb="FFF6B56A"/>
      </patternFill>
    </fill>
    <fill>
      <patternFill patternType="solid">
        <fgColor rgb="FFEB958E"/>
        <bgColor rgb="FFEB958E"/>
      </patternFill>
    </fill>
    <fill>
      <patternFill patternType="solid">
        <fgColor rgb="FFEC926F"/>
        <bgColor rgb="FFEC926F"/>
      </patternFill>
    </fill>
    <fill>
      <patternFill patternType="solid">
        <fgColor rgb="FFA8C879"/>
        <bgColor rgb="FFA8C879"/>
      </patternFill>
    </fill>
    <fill>
      <patternFill patternType="solid">
        <fgColor rgb="FF74C083"/>
        <bgColor rgb="FF74C083"/>
      </patternFill>
    </fill>
    <fill>
      <patternFill patternType="solid">
        <fgColor rgb="FFD5D06F"/>
        <bgColor rgb="FFD5D06F"/>
      </patternFill>
    </fill>
    <fill>
      <patternFill patternType="solid">
        <fgColor rgb="FF94D3B4"/>
        <bgColor rgb="FF94D3B4"/>
      </patternFill>
    </fill>
    <fill>
      <patternFill patternType="solid">
        <fgColor rgb="FFF9FCFA"/>
        <bgColor rgb="FFF9FCFA"/>
      </patternFill>
    </fill>
    <fill>
      <patternFill patternType="solid">
        <fgColor rgb="FFF9D568"/>
        <bgColor rgb="FFF9D568"/>
      </patternFill>
    </fill>
    <fill>
      <patternFill patternType="solid">
        <fgColor rgb="FFB3C977"/>
        <bgColor rgb="FFB3C977"/>
      </patternFill>
    </fill>
    <fill>
      <patternFill patternType="solid">
        <fgColor rgb="FF8DD1AF"/>
        <bgColor rgb="FF8DD1AF"/>
      </patternFill>
    </fill>
    <fill>
      <patternFill patternType="solid">
        <fgColor rgb="FFE88471"/>
        <bgColor rgb="FFE88471"/>
      </patternFill>
    </fill>
    <fill>
      <patternFill patternType="solid">
        <fgColor rgb="FFB0CA77"/>
        <bgColor rgb="FFB0CA77"/>
      </patternFill>
    </fill>
    <fill>
      <patternFill patternType="solid">
        <fgColor rgb="FFC6E7D7"/>
        <bgColor rgb="FFC6E7D7"/>
      </patternFill>
    </fill>
    <fill>
      <patternFill patternType="solid">
        <fgColor rgb="FF61BC88"/>
        <bgColor rgb="FF61BC88"/>
      </patternFill>
    </fill>
    <fill>
      <patternFill patternType="solid">
        <fgColor rgb="FF5FBD88"/>
        <bgColor rgb="FF5FBD88"/>
      </patternFill>
    </fill>
    <fill>
      <patternFill patternType="solid">
        <fgColor rgb="FFF3BCB8"/>
        <bgColor rgb="FFF3BCB8"/>
      </patternFill>
    </fill>
    <fill>
      <patternFill patternType="solid">
        <fgColor rgb="FFF0ADA7"/>
        <bgColor rgb="FFF0ADA7"/>
      </patternFill>
    </fill>
    <fill>
      <patternFill patternType="solid">
        <fgColor rgb="FFF6CCC9"/>
        <bgColor rgb="FFF6CCC9"/>
      </patternFill>
    </fill>
    <fill>
      <patternFill patternType="solid">
        <fgColor rgb="FFF09D6E"/>
        <bgColor rgb="FFF09D6E"/>
      </patternFill>
    </fill>
    <fill>
      <patternFill patternType="solid">
        <fgColor rgb="FFF0AFA9"/>
        <bgColor rgb="FFF0AFA9"/>
      </patternFill>
    </fill>
    <fill>
      <patternFill patternType="solid">
        <fgColor rgb="FFFCEBEA"/>
        <bgColor rgb="FFFCEBEA"/>
      </patternFill>
    </fill>
    <fill>
      <patternFill patternType="solid">
        <fgColor rgb="FFF5AF6B"/>
        <bgColor rgb="FFF5AF6B"/>
      </patternFill>
    </fill>
    <fill>
      <patternFill patternType="solid">
        <fgColor rgb="FFF7B76A"/>
        <bgColor rgb="FFF7B76A"/>
      </patternFill>
    </fill>
    <fill>
      <patternFill patternType="solid">
        <fgColor rgb="FF9AC67B"/>
        <bgColor rgb="FF9AC67B"/>
      </patternFill>
    </fill>
    <fill>
      <patternFill patternType="solid">
        <fgColor rgb="FFC3E7D5"/>
        <bgColor rgb="FFC3E7D5"/>
      </patternFill>
    </fill>
    <fill>
      <patternFill patternType="solid">
        <fgColor rgb="FF88CEAC"/>
        <bgColor rgb="FF88CEAC"/>
      </patternFill>
    </fill>
    <fill>
      <patternFill patternType="solid">
        <fgColor rgb="FFBCE4D1"/>
        <bgColor rgb="FFBCE4D1"/>
      </patternFill>
    </fill>
    <fill>
      <patternFill patternType="solid">
        <fgColor rgb="FFE7D26C"/>
        <bgColor rgb="FFE7D26C"/>
      </patternFill>
    </fill>
    <fill>
      <patternFill patternType="solid">
        <fgColor rgb="FF5ABC89"/>
        <bgColor rgb="FF5ABC89"/>
      </patternFill>
    </fill>
    <fill>
      <patternFill patternType="solid">
        <fgColor rgb="FFEC9070"/>
        <bgColor rgb="FFEC9070"/>
      </patternFill>
    </fill>
    <fill>
      <patternFill patternType="solid">
        <fgColor rgb="FFFBCB68"/>
        <bgColor rgb="FFFBCB68"/>
      </patternFill>
    </fill>
    <fill>
      <patternFill patternType="solid">
        <fgColor rgb="FFD1CF6F"/>
        <bgColor rgb="FFD1CF6F"/>
      </patternFill>
    </fill>
    <fill>
      <patternFill patternType="solid">
        <fgColor rgb="FF7BC083"/>
        <bgColor rgb="FF7BC083"/>
      </patternFill>
    </fill>
    <fill>
      <patternFill patternType="solid">
        <fgColor rgb="FFE88472"/>
        <bgColor rgb="FFE88472"/>
      </patternFill>
    </fill>
    <fill>
      <patternFill patternType="solid">
        <fgColor rgb="FF6CBF85"/>
        <bgColor rgb="FF6CBF85"/>
      </patternFill>
    </fill>
    <fill>
      <patternFill patternType="solid">
        <fgColor rgb="FFEA8C71"/>
        <bgColor rgb="FFEA8C71"/>
      </patternFill>
    </fill>
    <fill>
      <patternFill patternType="solid">
        <fgColor rgb="FFC0CC73"/>
        <bgColor rgb="FFC0CC73"/>
      </patternFill>
    </fill>
    <fill>
      <patternFill patternType="solid">
        <fgColor rgb="FF8CC47E"/>
        <bgColor rgb="FF8CC47E"/>
      </patternFill>
    </fill>
    <fill>
      <patternFill patternType="solid">
        <fgColor rgb="FF63BD87"/>
        <bgColor rgb="FF63BD87"/>
      </patternFill>
    </fill>
    <fill>
      <patternFill patternType="solid">
        <fgColor rgb="FF92C57D"/>
        <bgColor rgb="FF92C57D"/>
      </patternFill>
    </fill>
    <fill>
      <patternFill patternType="solid">
        <fgColor rgb="FFB7CA76"/>
        <bgColor rgb="FFB7CA76"/>
      </patternFill>
    </fill>
    <fill>
      <patternFill patternType="solid">
        <fgColor rgb="FFED936F"/>
        <bgColor rgb="FFED936F"/>
      </patternFill>
    </fill>
    <fill>
      <patternFill patternType="solid">
        <fgColor rgb="FFB2C977"/>
        <bgColor rgb="FFB2C977"/>
      </patternFill>
    </fill>
    <fill>
      <patternFill patternType="solid">
        <fgColor rgb="FFD6D06E"/>
        <bgColor rgb="FFD6D06E"/>
      </patternFill>
    </fill>
    <fill>
      <patternFill patternType="solid">
        <fgColor rgb="FFC1CC73"/>
        <bgColor rgb="FFC1CC73"/>
      </patternFill>
    </fill>
    <fill>
      <patternFill patternType="solid">
        <fgColor rgb="FF71BF85"/>
        <bgColor rgb="FF71BF85"/>
      </patternFill>
    </fill>
    <fill>
      <patternFill patternType="solid">
        <fgColor rgb="FFCFCE71"/>
        <bgColor rgb="FFCFCE71"/>
      </patternFill>
    </fill>
    <fill>
      <patternFill patternType="solid">
        <fgColor rgb="FFF5B16B"/>
        <bgColor rgb="FFF5B16B"/>
      </patternFill>
    </fill>
    <fill>
      <patternFill patternType="solid">
        <fgColor rgb="FFC5CC73"/>
        <bgColor rgb="FFC5CC73"/>
      </patternFill>
    </fill>
    <fill>
      <patternFill patternType="solid">
        <fgColor rgb="FFB5CB75"/>
        <bgColor rgb="FFB5CB75"/>
      </patternFill>
    </fill>
    <fill>
      <patternFill patternType="solid">
        <fgColor rgb="FFDBD06E"/>
        <bgColor rgb="FFDBD06E"/>
      </patternFill>
    </fill>
    <fill>
      <patternFill patternType="solid">
        <fgColor rgb="FFE98671"/>
        <bgColor rgb="FFE98671"/>
      </patternFill>
    </fill>
    <fill>
      <patternFill patternType="solid">
        <fgColor rgb="FFEE9B6F"/>
        <bgColor rgb="FFEE9B6F"/>
      </patternFill>
    </fill>
    <fill>
      <patternFill patternType="solid">
        <fgColor rgb="FFFAC368"/>
        <bgColor rgb="FFFAC368"/>
      </patternFill>
    </fill>
    <fill>
      <patternFill patternType="solid">
        <fgColor rgb="FFCACD72"/>
        <bgColor rgb="FFCACD72"/>
      </patternFill>
    </fill>
    <fill>
      <patternFill patternType="solid">
        <fgColor rgb="FF6FBF84"/>
        <bgColor rgb="FF6FBF84"/>
      </patternFill>
    </fill>
    <fill>
      <patternFill patternType="solid">
        <fgColor rgb="FF6FBE85"/>
        <bgColor rgb="FF6FBE85"/>
      </patternFill>
    </fill>
    <fill>
      <patternFill patternType="solid">
        <fgColor rgb="FFDCD06E"/>
        <bgColor rgb="FFDCD06E"/>
      </patternFill>
    </fill>
    <fill>
      <patternFill patternType="solid">
        <fgColor rgb="FFEA8971"/>
        <bgColor rgb="FFEA8971"/>
      </patternFill>
    </fill>
    <fill>
      <patternFill patternType="solid">
        <fgColor rgb="FFFAC468"/>
        <bgColor rgb="FFFAC468"/>
      </patternFill>
    </fill>
    <fill>
      <patternFill patternType="solid">
        <fgColor rgb="FFF3AA6D"/>
        <bgColor rgb="FFF3AA6D"/>
      </patternFill>
    </fill>
    <fill>
      <patternFill patternType="solid">
        <fgColor rgb="FF9FC67B"/>
        <bgColor rgb="FF9FC67B"/>
      </patternFill>
    </fill>
    <fill>
      <patternFill patternType="solid">
        <fgColor rgb="FFA2C879"/>
        <bgColor rgb="FFA2C879"/>
      </patternFill>
    </fill>
    <fill>
      <patternFill patternType="solid">
        <fgColor rgb="FF83C380"/>
        <bgColor rgb="FF83C380"/>
      </patternFill>
    </fill>
    <fill>
      <patternFill patternType="solid">
        <fgColor rgb="FFDAD16D"/>
        <bgColor rgb="FFDAD16D"/>
      </patternFill>
    </fill>
    <fill>
      <patternFill patternType="solid">
        <fgColor rgb="FFE1D16D"/>
        <bgColor rgb="FFE1D16D"/>
      </patternFill>
    </fill>
    <fill>
      <patternFill patternType="solid">
        <fgColor rgb="FFA6C879"/>
        <bgColor rgb="FFA6C879"/>
      </patternFill>
    </fill>
    <fill>
      <patternFill patternType="solid">
        <fgColor rgb="FF61BD88"/>
        <bgColor rgb="FF61BD88"/>
      </patternFill>
    </fill>
    <fill>
      <patternFill patternType="solid">
        <fgColor rgb="FFEE966F"/>
        <bgColor rgb="FFEE966F"/>
      </patternFill>
    </fill>
    <fill>
      <patternFill patternType="solid">
        <fgColor rgb="FFFCD567"/>
        <bgColor rgb="FFFCD567"/>
      </patternFill>
    </fill>
    <fill>
      <patternFill patternType="solid">
        <fgColor rgb="FF6BBF85"/>
        <bgColor rgb="FF6BBF85"/>
      </patternFill>
    </fill>
    <fill>
      <patternFill patternType="solid">
        <fgColor rgb="FF7FC281"/>
        <bgColor rgb="FF7FC281"/>
      </patternFill>
    </fill>
    <fill>
      <patternFill patternType="solid">
        <fgColor rgb="FFF4AD6B"/>
        <bgColor rgb="FFF4AD6B"/>
      </patternFill>
    </fill>
    <fill>
      <patternFill patternType="solid">
        <fgColor rgb="FF75C083"/>
        <bgColor rgb="FF75C083"/>
      </patternFill>
    </fill>
    <fill>
      <patternFill patternType="solid">
        <fgColor rgb="FFE98A71"/>
        <bgColor rgb="FFE98A71"/>
      </patternFill>
    </fill>
    <fill>
      <patternFill patternType="solid">
        <fgColor rgb="FFC8CD72"/>
        <bgColor rgb="FFC8CD72"/>
      </patternFill>
    </fill>
    <fill>
      <patternFill patternType="solid">
        <fgColor rgb="FF80C281"/>
        <bgColor rgb="FF80C281"/>
      </patternFill>
    </fill>
    <fill>
      <patternFill patternType="solid">
        <fgColor rgb="FFFCC868"/>
        <bgColor rgb="FFFCC868"/>
      </patternFill>
    </fill>
    <fill>
      <patternFill patternType="solid">
        <fgColor rgb="FF5EBD88"/>
        <bgColor rgb="FF5EBD88"/>
      </patternFill>
    </fill>
    <fill>
      <patternFill patternType="solid">
        <fgColor rgb="FF72C084"/>
        <bgColor rgb="FF72C084"/>
      </patternFill>
    </fill>
    <fill>
      <patternFill patternType="solid">
        <fgColor rgb="FFF8BC69"/>
        <bgColor rgb="FFF8BC69"/>
      </patternFill>
    </fill>
    <fill>
      <patternFill patternType="solid">
        <fgColor rgb="FFE88572"/>
        <bgColor rgb="FFE88572"/>
      </patternFill>
    </fill>
    <fill>
      <patternFill patternType="solid">
        <fgColor rgb="FFE7D26B"/>
        <bgColor rgb="FFE7D26B"/>
      </patternFill>
    </fill>
    <fill>
      <patternFill patternType="solid">
        <fgColor rgb="FFA0C77A"/>
        <bgColor rgb="FFA0C77A"/>
      </patternFill>
    </fill>
    <fill>
      <patternFill patternType="solid">
        <fgColor rgb="FF7AC083"/>
        <bgColor rgb="FF7AC083"/>
      </patternFill>
    </fill>
    <fill>
      <patternFill patternType="solid">
        <fgColor rgb="FF91C47E"/>
        <bgColor rgb="FF91C47E"/>
      </patternFill>
    </fill>
    <fill>
      <patternFill patternType="solid">
        <fgColor rgb="FF86C37F"/>
        <bgColor rgb="FF86C37F"/>
      </patternFill>
    </fill>
    <fill>
      <patternFill patternType="solid">
        <fgColor rgb="FF9BC67B"/>
        <bgColor rgb="FF9BC67B"/>
      </patternFill>
    </fill>
    <fill>
      <patternFill patternType="solid">
        <fgColor rgb="FFB5E1CC"/>
        <bgColor rgb="FFB5E1CC"/>
      </patternFill>
    </fill>
    <fill>
      <patternFill patternType="solid">
        <fgColor rgb="FFE2F3EA"/>
        <bgColor rgb="FFE2F3EA"/>
      </patternFill>
    </fill>
    <fill>
      <patternFill patternType="solid">
        <fgColor rgb="FF6DC499"/>
        <bgColor rgb="FF6DC499"/>
      </patternFill>
    </fill>
    <fill>
      <patternFill patternType="solid">
        <fgColor rgb="FFD5EEE2"/>
        <bgColor rgb="FFD5EEE2"/>
      </patternFill>
    </fill>
    <fill>
      <patternFill patternType="solid">
        <fgColor rgb="FFF2BAB5"/>
        <bgColor rgb="FFF2BAB5"/>
      </patternFill>
    </fill>
    <fill>
      <patternFill patternType="solid">
        <fgColor rgb="FFF0ACA6"/>
        <bgColor rgb="FFF0ACA6"/>
      </patternFill>
    </fill>
    <fill>
      <patternFill patternType="solid">
        <fgColor rgb="FFECF7F1"/>
        <bgColor rgb="FFECF7F1"/>
      </patternFill>
    </fill>
    <fill>
      <patternFill patternType="solid">
        <fgColor rgb="FFD2EDE0"/>
        <bgColor rgb="FFD2EDE0"/>
      </patternFill>
    </fill>
    <fill>
      <patternFill patternType="solid">
        <fgColor rgb="FFCEEBDD"/>
        <bgColor rgb="FFCEEBDD"/>
      </patternFill>
    </fill>
    <fill>
      <patternFill patternType="solid">
        <fgColor rgb="FFDCF0E6"/>
        <bgColor rgb="FFDCF0E6"/>
      </patternFill>
    </fill>
    <fill>
      <patternFill patternType="solid">
        <fgColor rgb="FFC5E7D7"/>
        <bgColor rgb="FFC5E7D7"/>
      </patternFill>
    </fill>
    <fill>
      <patternFill patternType="solid">
        <fgColor rgb="FFC1CD73"/>
        <bgColor rgb="FFC1CD73"/>
      </patternFill>
    </fill>
    <fill>
      <patternFill patternType="solid">
        <fgColor rgb="FFEEA59E"/>
        <bgColor rgb="FFEEA59E"/>
      </patternFill>
    </fill>
    <fill>
      <patternFill patternType="solid">
        <fgColor rgb="FFE8F5EF"/>
        <bgColor rgb="FFE8F5EF"/>
      </patternFill>
    </fill>
    <fill>
      <patternFill patternType="solid">
        <fgColor rgb="FFEC9A93"/>
        <bgColor rgb="FFEC9A93"/>
      </patternFill>
    </fill>
    <fill>
      <patternFill patternType="solid">
        <fgColor rgb="FFC1E6D3"/>
        <bgColor rgb="FFC1E6D3"/>
      </patternFill>
    </fill>
    <fill>
      <patternFill patternType="solid">
        <fgColor rgb="FFFBE7E5"/>
        <bgColor rgb="FFFBE7E5"/>
      </patternFill>
    </fill>
    <fill>
      <patternFill patternType="solid">
        <fgColor rgb="FFAFDEC7"/>
        <bgColor rgb="FFAFDEC7"/>
      </patternFill>
    </fill>
    <fill>
      <patternFill patternType="solid">
        <fgColor rgb="FF8FD1B1"/>
        <bgColor rgb="FF8FD1B1"/>
      </patternFill>
    </fill>
    <fill>
      <patternFill patternType="solid">
        <fgColor rgb="FF5EBE8F"/>
        <bgColor rgb="FF5EBE8F"/>
      </patternFill>
    </fill>
    <fill>
      <patternFill patternType="solid">
        <fgColor rgb="FF82C280"/>
        <bgColor rgb="FF82C280"/>
      </patternFill>
    </fill>
    <fill>
      <patternFill patternType="solid">
        <fgColor rgb="FF80C182"/>
        <bgColor rgb="FF80C182"/>
      </patternFill>
    </fill>
    <fill>
      <patternFill patternType="solid">
        <fgColor rgb="FF97D5B7"/>
        <bgColor rgb="FF97D5B7"/>
      </patternFill>
    </fill>
    <fill>
      <patternFill patternType="solid">
        <fgColor rgb="FFF8D7D5"/>
        <bgColor rgb="FFF8D7D5"/>
      </patternFill>
    </fill>
    <fill>
      <patternFill patternType="solid">
        <fgColor rgb="FFEFA8A2"/>
        <bgColor rgb="FFEFA8A2"/>
      </patternFill>
    </fill>
    <fill>
      <patternFill patternType="solid">
        <fgColor rgb="FFEEA39C"/>
        <bgColor rgb="FFEEA39C"/>
      </patternFill>
    </fill>
    <fill>
      <patternFill patternType="solid">
        <fgColor rgb="FFFDF0EF"/>
        <bgColor rgb="FFFDF0EF"/>
      </patternFill>
    </fill>
    <fill>
      <patternFill patternType="solid">
        <fgColor rgb="FFFBE8E6"/>
        <bgColor rgb="FFFBE8E6"/>
      </patternFill>
    </fill>
    <fill>
      <patternFill patternType="solid">
        <fgColor rgb="FFF9DBD9"/>
        <bgColor rgb="FFF9DBD9"/>
      </patternFill>
    </fill>
    <fill>
      <patternFill patternType="solid">
        <fgColor rgb="FF83CCA8"/>
        <bgColor rgb="FF83CCA8"/>
      </patternFill>
    </fill>
    <fill>
      <patternFill patternType="solid">
        <fgColor rgb="FF9ED7BB"/>
        <bgColor rgb="FF9ED7BB"/>
      </patternFill>
    </fill>
    <fill>
      <patternFill patternType="solid">
        <fgColor rgb="FFEA8C84"/>
        <bgColor rgb="FFEA8C84"/>
      </patternFill>
    </fill>
    <fill>
      <patternFill patternType="solid">
        <fgColor rgb="FFF8BC6A"/>
        <bgColor rgb="FFF8BC6A"/>
      </patternFill>
    </fill>
    <fill>
      <patternFill patternType="solid">
        <fgColor rgb="FFE98B83"/>
        <bgColor rgb="FFE98B83"/>
      </patternFill>
    </fill>
    <fill>
      <patternFill patternType="solid">
        <fgColor rgb="FFE98971"/>
        <bgColor rgb="FFE98971"/>
      </patternFill>
    </fill>
    <fill>
      <patternFill patternType="solid">
        <fgColor rgb="FFC4E7D6"/>
        <bgColor rgb="FFC4E7D6"/>
      </patternFill>
    </fill>
    <fill>
      <patternFill patternType="solid">
        <fgColor rgb="FFF9DFDD"/>
        <bgColor rgb="FFF9DFDD"/>
      </patternFill>
    </fill>
    <fill>
      <patternFill patternType="solid">
        <fgColor rgb="FFF5C6C3"/>
        <bgColor rgb="FFF5C6C3"/>
      </patternFill>
    </fill>
    <fill>
      <patternFill patternType="solid">
        <fgColor rgb="FFFDF5F4"/>
        <bgColor rgb="FFFDF5F4"/>
      </patternFill>
    </fill>
    <fill>
      <patternFill patternType="solid">
        <fgColor rgb="FFFFFDFC"/>
        <bgColor rgb="FFFFFDFC"/>
      </patternFill>
    </fill>
    <fill>
      <patternFill patternType="solid">
        <fgColor rgb="FFFEF8F7"/>
        <bgColor rgb="FFFEF8F7"/>
      </patternFill>
    </fill>
    <fill>
      <patternFill patternType="solid">
        <fgColor rgb="FFA4DABF"/>
        <bgColor rgb="FFA4DABF"/>
      </patternFill>
    </fill>
    <fill>
      <patternFill patternType="solid">
        <fgColor rgb="FFF5FBF8"/>
        <bgColor rgb="FFF5FBF8"/>
      </patternFill>
    </fill>
    <fill>
      <patternFill patternType="solid">
        <fgColor rgb="FFD8EFE4"/>
        <bgColor rgb="FFD8EFE4"/>
      </patternFill>
    </fill>
    <fill>
      <patternFill patternType="solid">
        <fgColor rgb="FF65BE87"/>
        <bgColor rgb="FF65BE87"/>
      </patternFill>
    </fill>
    <fill>
      <patternFill patternType="solid">
        <fgColor rgb="FFF6CDCA"/>
        <bgColor rgb="FFF6CDCA"/>
      </patternFill>
    </fill>
    <fill>
      <patternFill patternType="solid">
        <fgColor rgb="FFA2D9BE"/>
        <bgColor rgb="FFA2D9BE"/>
      </patternFill>
    </fill>
    <fill>
      <patternFill patternType="solid">
        <fgColor rgb="FFADDDC5"/>
        <bgColor rgb="FFADDDC5"/>
      </patternFill>
    </fill>
    <fill>
      <patternFill patternType="solid">
        <fgColor rgb="FF61BD87"/>
        <bgColor rgb="FF61BD87"/>
      </patternFill>
    </fill>
    <fill>
      <patternFill patternType="solid">
        <fgColor rgb="FFE78273"/>
        <bgColor rgb="FFE78273"/>
      </patternFill>
    </fill>
    <fill>
      <patternFill patternType="solid">
        <fgColor rgb="FF7BC182"/>
        <bgColor rgb="FF7BC182"/>
      </patternFill>
    </fill>
    <fill>
      <patternFill patternType="solid">
        <fgColor rgb="FFEB928B"/>
        <bgColor rgb="FFEB928B"/>
      </patternFill>
    </fill>
    <fill>
      <patternFill patternType="solid">
        <fgColor rgb="FFC1E5D3"/>
        <bgColor rgb="FFC1E5D3"/>
      </patternFill>
    </fill>
    <fill>
      <patternFill patternType="solid">
        <fgColor rgb="FFE6F5EE"/>
        <bgColor rgb="FFE6F5EE"/>
      </patternFill>
    </fill>
    <fill>
      <patternFill patternType="solid">
        <fgColor rgb="FFCDEBDC"/>
        <bgColor rgb="FFCDEBDC"/>
      </patternFill>
    </fill>
    <fill>
      <patternFill patternType="solid">
        <fgColor rgb="FFDEF2E8"/>
        <bgColor rgb="FFDEF2E8"/>
      </patternFill>
    </fill>
    <fill>
      <patternFill patternType="solid">
        <fgColor rgb="FFCBEADB"/>
        <bgColor rgb="FFCBEADB"/>
      </patternFill>
    </fill>
    <fill>
      <patternFill patternType="solid">
        <fgColor rgb="FFA3D9BE"/>
        <bgColor rgb="FFA3D9BE"/>
      </patternFill>
    </fill>
    <fill>
      <patternFill patternType="solid">
        <fgColor rgb="FFE77F73"/>
        <bgColor rgb="FFE77F73"/>
      </patternFill>
    </fill>
    <fill>
      <patternFill patternType="solid">
        <fgColor rgb="FFF6CDC9"/>
        <bgColor rgb="FFF6CDC9"/>
      </patternFill>
    </fill>
    <fill>
      <patternFill patternType="solid">
        <fgColor rgb="FF8EC37F"/>
        <bgColor rgb="FF8EC37F"/>
      </patternFill>
    </fill>
    <fill>
      <patternFill patternType="solid">
        <fgColor rgb="FF9DD7BB"/>
        <bgColor rgb="FF9DD7BB"/>
      </patternFill>
    </fill>
    <fill>
      <patternFill patternType="solid">
        <fgColor rgb="FFEA8E86"/>
        <bgColor rgb="FFEA8E86"/>
      </patternFill>
    </fill>
    <fill>
      <patternFill patternType="solid">
        <fgColor rgb="FFC2E6D5"/>
        <bgColor rgb="FFC2E6D5"/>
      </patternFill>
    </fill>
    <fill>
      <patternFill patternType="solid">
        <fgColor rgb="FF9CD7BA"/>
        <bgColor rgb="FF9CD7BA"/>
      </patternFill>
    </fill>
    <fill>
      <patternFill patternType="solid">
        <fgColor rgb="FFBCE4D0"/>
        <bgColor rgb="FFBCE4D0"/>
      </patternFill>
    </fill>
    <fill>
      <patternFill patternType="solid">
        <fgColor rgb="FF93C47E"/>
        <bgColor rgb="FF93C47E"/>
      </patternFill>
    </fill>
    <fill>
      <patternFill patternType="solid">
        <fgColor rgb="FFEF9D6E"/>
        <bgColor rgb="FFEF9D6E"/>
      </patternFill>
    </fill>
    <fill>
      <patternFill patternType="solid">
        <fgColor rgb="FFD9F0E5"/>
        <bgColor rgb="FFD9F0E5"/>
      </patternFill>
    </fill>
    <fill>
      <patternFill patternType="solid">
        <fgColor rgb="FFADDEC6"/>
        <bgColor rgb="FFADDEC6"/>
      </patternFill>
    </fill>
    <fill>
      <patternFill patternType="solid">
        <fgColor rgb="FF63BC88"/>
        <bgColor rgb="FF63BC88"/>
      </patternFill>
    </fill>
    <fill>
      <patternFill patternType="solid">
        <fgColor rgb="FFE8837A"/>
        <bgColor rgb="FFE8837A"/>
      </patternFill>
    </fill>
    <fill>
      <patternFill patternType="solid">
        <fgColor rgb="FFFAFDFB"/>
        <bgColor rgb="FFFAFDFB"/>
      </patternFill>
    </fill>
    <fill>
      <patternFill patternType="solid">
        <fgColor rgb="FFFBE9E8"/>
        <bgColor rgb="FFFBE9E8"/>
      </patternFill>
    </fill>
    <fill>
      <patternFill patternType="solid">
        <fgColor rgb="FF6CC398"/>
        <bgColor rgb="FF6CC398"/>
      </patternFill>
    </fill>
    <fill>
      <patternFill patternType="solid">
        <fgColor rgb="FFA7DBC1"/>
        <bgColor rgb="FFA7DBC1"/>
      </patternFill>
    </fill>
    <fill>
      <patternFill patternType="solid">
        <fgColor rgb="FFE2D16D"/>
        <bgColor rgb="FFE2D16D"/>
      </patternFill>
    </fill>
    <fill>
      <patternFill patternType="solid">
        <fgColor rgb="FFEBD26B"/>
        <bgColor rgb="FFEBD26B"/>
      </patternFill>
    </fill>
    <fill>
      <patternFill patternType="solid">
        <fgColor rgb="FFF2A56D"/>
        <bgColor rgb="FFF2A56D"/>
      </patternFill>
    </fill>
    <fill>
      <patternFill patternType="solid">
        <fgColor rgb="FF89C37F"/>
        <bgColor rgb="FF89C37F"/>
      </patternFill>
    </fill>
    <fill>
      <patternFill patternType="solid">
        <fgColor rgb="FFDED06D"/>
        <bgColor rgb="FFDED06D"/>
      </patternFill>
    </fill>
    <fill>
      <patternFill patternType="solid">
        <fgColor rgb="FFF3A86C"/>
        <bgColor rgb="FFF3A86C"/>
      </patternFill>
    </fill>
    <fill>
      <patternFill patternType="solid">
        <fgColor rgb="FFF8BA6A"/>
        <bgColor rgb="FFF8BA6A"/>
      </patternFill>
    </fill>
    <fill>
      <patternFill patternType="solid">
        <fgColor rgb="FF7AC182"/>
        <bgColor rgb="FF7AC182"/>
      </patternFill>
    </fill>
    <fill>
      <patternFill patternType="solid">
        <fgColor rgb="FFF5D469"/>
        <bgColor rgb="FFF5D469"/>
      </patternFill>
    </fill>
    <fill>
      <patternFill patternType="solid">
        <fgColor rgb="FFEF9A6E"/>
        <bgColor rgb="FFEF9A6E"/>
      </patternFill>
    </fill>
    <fill>
      <patternFill patternType="solid">
        <fgColor rgb="FF64BD87"/>
        <bgColor rgb="FF64BD87"/>
      </patternFill>
    </fill>
    <fill>
      <patternFill patternType="solid">
        <fgColor rgb="FFE98772"/>
        <bgColor rgb="FFE98772"/>
      </patternFill>
    </fill>
    <fill>
      <patternFill patternType="solid">
        <fgColor rgb="FFF2A46D"/>
        <bgColor rgb="FFF2A46D"/>
      </patternFill>
    </fill>
    <fill>
      <patternFill patternType="solid">
        <fgColor rgb="FFF8D9D7"/>
        <bgColor rgb="FFF8D9D7"/>
      </patternFill>
    </fill>
    <fill>
      <patternFill patternType="solid">
        <fgColor rgb="FFF7B86A"/>
        <bgColor rgb="FFF7B86A"/>
      </patternFill>
    </fill>
    <fill>
      <patternFill patternType="solid">
        <fgColor rgb="FFF5C9C5"/>
        <bgColor rgb="FFF5C9C5"/>
      </patternFill>
    </fill>
    <fill>
      <patternFill patternType="solid">
        <fgColor rgb="FFE4D16C"/>
        <bgColor rgb="FFE4D16C"/>
      </patternFill>
    </fill>
    <fill>
      <patternFill patternType="solid">
        <fgColor rgb="FFC1CC74"/>
        <bgColor rgb="FFC1CC74"/>
      </patternFill>
    </fill>
    <fill>
      <patternFill patternType="solid">
        <fgColor rgb="FFF5C7C4"/>
        <bgColor rgb="FFF5C7C4"/>
      </patternFill>
    </fill>
    <fill>
      <patternFill patternType="solid">
        <fgColor rgb="FFC9CD72"/>
        <bgColor rgb="FFC9CD72"/>
      </patternFill>
    </fill>
    <fill>
      <patternFill patternType="solid">
        <fgColor rgb="FFB1DFC9"/>
        <bgColor rgb="FFB1DFC9"/>
      </patternFill>
    </fill>
    <fill>
      <patternFill patternType="solid">
        <fgColor rgb="FFB2DFC9"/>
        <bgColor rgb="FFB2DFC9"/>
      </patternFill>
    </fill>
    <fill>
      <patternFill patternType="solid">
        <fgColor rgb="FFEEA49E"/>
        <bgColor rgb="FFEEA49E"/>
      </patternFill>
    </fill>
    <fill>
      <patternFill patternType="solid">
        <fgColor rgb="FF9BD6B9"/>
        <bgColor rgb="FF9BD6B9"/>
      </patternFill>
    </fill>
    <fill>
      <patternFill patternType="solid">
        <fgColor rgb="FF98D5B7"/>
        <bgColor rgb="FF98D5B7"/>
      </patternFill>
    </fill>
    <fill>
      <patternFill patternType="solid">
        <fgColor rgb="FFCFEBDD"/>
        <bgColor rgb="FFCFEBDD"/>
      </patternFill>
    </fill>
    <fill>
      <patternFill patternType="solid">
        <fgColor rgb="FFE0D16D"/>
        <bgColor rgb="FFE0D16D"/>
      </patternFill>
    </fill>
    <fill>
      <patternFill patternType="solid">
        <fgColor rgb="FFB9CA75"/>
        <bgColor rgb="FFB9CA75"/>
      </patternFill>
    </fill>
    <fill>
      <patternFill patternType="solid">
        <fgColor rgb="FFC6E8D7"/>
        <bgColor rgb="FFC6E8D7"/>
      </patternFill>
    </fill>
    <fill>
      <patternFill patternType="solid">
        <fgColor rgb="FF73C69D"/>
        <bgColor rgb="FF73C69D"/>
      </patternFill>
    </fill>
    <fill>
      <patternFill patternType="solid">
        <fgColor rgb="FFEA9089"/>
        <bgColor rgb="FFEA9089"/>
      </patternFill>
    </fill>
    <fill>
      <patternFill patternType="solid">
        <fgColor rgb="FFF2B6B1"/>
        <bgColor rgb="FFF2B6B1"/>
      </patternFill>
    </fill>
    <fill>
      <patternFill patternType="solid">
        <fgColor rgb="FFF8D8D5"/>
        <bgColor rgb="FFF8D8D5"/>
      </patternFill>
    </fill>
    <fill>
      <patternFill patternType="solid">
        <fgColor rgb="FFE9D26B"/>
        <bgColor rgb="FFE9D26B"/>
      </patternFill>
    </fill>
    <fill>
      <patternFill patternType="solid">
        <fgColor rgb="FFF6B96B"/>
        <bgColor rgb="FFF6B96B"/>
      </patternFill>
    </fill>
    <fill>
      <patternFill patternType="solid">
        <fgColor rgb="FF62BD87"/>
        <bgColor rgb="FF62BD87"/>
      </patternFill>
    </fill>
    <fill>
      <patternFill patternType="solid">
        <fgColor rgb="FFB7E1CC"/>
        <bgColor rgb="FFB7E1CC"/>
      </patternFill>
    </fill>
    <fill>
      <patternFill patternType="solid">
        <fgColor rgb="FFCFEBDE"/>
        <bgColor rgb="FFCFEBDE"/>
      </patternFill>
    </fill>
    <fill>
      <patternFill patternType="solid">
        <fgColor rgb="FFEFABA5"/>
        <bgColor rgb="FFEFABA5"/>
      </patternFill>
    </fill>
    <fill>
      <patternFill patternType="solid">
        <fgColor rgb="FFFAC169"/>
        <bgColor rgb="FFFAC169"/>
      </patternFill>
    </fill>
    <fill>
      <patternFill patternType="solid">
        <fgColor rgb="FFF2BBB6"/>
        <bgColor rgb="FFF2BBB6"/>
      </patternFill>
    </fill>
    <fill>
      <patternFill patternType="solid">
        <fgColor rgb="FF8BC47E"/>
        <bgColor rgb="FF8BC47E"/>
      </patternFill>
    </fill>
    <fill>
      <patternFill patternType="solid">
        <fgColor rgb="FFEDF8F3"/>
        <bgColor rgb="FFEDF8F3"/>
      </patternFill>
    </fill>
    <fill>
      <patternFill patternType="solid">
        <fgColor rgb="FFDEF1E8"/>
        <bgColor rgb="FFDEF1E8"/>
      </patternFill>
    </fill>
    <fill>
      <patternFill patternType="solid">
        <fgColor rgb="FFF7FBF9"/>
        <bgColor rgb="FFF7FBF9"/>
      </patternFill>
    </fill>
    <fill>
      <patternFill patternType="solid">
        <fgColor rgb="FF6BBE86"/>
        <bgColor rgb="FF6BBE86"/>
      </patternFill>
    </fill>
    <fill>
      <patternFill patternType="solid">
        <fgColor rgb="FFBECC74"/>
        <bgColor rgb="FFBECC74"/>
      </patternFill>
    </fill>
    <fill>
      <patternFill patternType="solid">
        <fgColor rgb="FF5BBC89"/>
        <bgColor rgb="FF5BBC89"/>
      </patternFill>
    </fill>
    <fill>
      <patternFill patternType="solid">
        <fgColor rgb="FFACC878"/>
        <bgColor rgb="FFACC878"/>
      </patternFill>
    </fill>
    <fill>
      <patternFill patternType="solid">
        <fgColor rgb="FF6EBE85"/>
        <bgColor rgb="FF6EBE85"/>
      </patternFill>
    </fill>
    <fill>
      <patternFill patternType="solid">
        <fgColor rgb="FF7CC182"/>
        <bgColor rgb="FF7CC182"/>
      </patternFill>
    </fill>
    <fill>
      <patternFill patternType="solid">
        <fgColor rgb="FFFEFEFE"/>
        <bgColor rgb="FFFEFEFE"/>
      </patternFill>
    </fill>
    <fill>
      <patternFill patternType="solid">
        <fgColor rgb="FFDCF1E7"/>
        <bgColor rgb="FFDCF1E7"/>
      </patternFill>
    </fill>
    <fill>
      <patternFill patternType="solid">
        <fgColor rgb="FF82CCA7"/>
        <bgColor rgb="FF82CCA7"/>
      </patternFill>
    </fill>
    <fill>
      <patternFill patternType="solid">
        <fgColor rgb="FF82CCA8"/>
        <bgColor rgb="FF82CCA8"/>
      </patternFill>
    </fill>
    <fill>
      <patternFill patternType="solid">
        <fgColor rgb="FFE78173"/>
        <bgColor rgb="FFE78173"/>
      </patternFill>
    </fill>
    <fill>
      <patternFill patternType="solid">
        <fgColor rgb="FFF1B4AF"/>
        <bgColor rgb="FFF1B4AF"/>
      </patternFill>
    </fill>
    <fill>
      <patternFill patternType="solid">
        <fgColor rgb="FFF2B8B4"/>
        <bgColor rgb="FFF2B8B4"/>
      </patternFill>
    </fill>
    <fill>
      <patternFill patternType="solid">
        <fgColor rgb="FFEED36A"/>
        <bgColor rgb="FFEED36A"/>
      </patternFill>
    </fill>
    <fill>
      <patternFill patternType="solid">
        <fgColor rgb="FFF5C6C2"/>
        <bgColor rgb="FFF5C6C2"/>
      </patternFill>
    </fill>
    <fill>
      <patternFill patternType="solid">
        <fgColor rgb="FF8CD0AF"/>
        <bgColor rgb="FF8CD0AF"/>
      </patternFill>
    </fill>
    <fill>
      <patternFill patternType="solid">
        <fgColor rgb="FFF3BEB9"/>
        <bgColor rgb="FFF3BEB9"/>
      </patternFill>
    </fill>
    <fill>
      <patternFill patternType="solid">
        <fgColor rgb="FFE9F6F0"/>
        <bgColor rgb="FFE9F6F0"/>
      </patternFill>
    </fill>
    <fill>
      <patternFill patternType="solid">
        <fgColor rgb="FFAAC978"/>
        <bgColor rgb="FFAAC978"/>
      </patternFill>
    </fill>
    <fill>
      <patternFill patternType="solid">
        <fgColor rgb="FFFAE4E2"/>
        <bgColor rgb="FFFAE4E2"/>
      </patternFill>
    </fill>
    <fill>
      <patternFill patternType="solid">
        <fgColor rgb="FFAEDEC6"/>
        <bgColor rgb="FFAEDEC6"/>
      </patternFill>
    </fill>
    <fill>
      <patternFill patternType="solid">
        <fgColor rgb="FFE5F4ED"/>
        <bgColor rgb="FFE5F4ED"/>
      </patternFill>
    </fill>
    <fill>
      <patternFill patternType="solid">
        <fgColor rgb="FF7DCAA5"/>
        <bgColor rgb="FF7DCAA5"/>
      </patternFill>
    </fill>
    <fill>
      <patternFill patternType="solid">
        <fgColor rgb="FF66BE86"/>
        <bgColor rgb="FF66BE86"/>
      </patternFill>
    </fill>
    <fill>
      <patternFill patternType="solid">
        <fgColor rgb="FF64C093"/>
        <bgColor rgb="FF64C093"/>
      </patternFill>
    </fill>
    <fill>
      <patternFill patternType="solid">
        <fgColor rgb="FFF7FCF9"/>
        <bgColor rgb="FFF7FCF9"/>
      </patternFill>
    </fill>
    <fill>
      <patternFill patternType="solid">
        <fgColor rgb="FFEEA19B"/>
        <bgColor rgb="FFEEA19B"/>
      </patternFill>
    </fill>
    <fill>
      <patternFill patternType="solid">
        <fgColor rgb="FFFBE8E7"/>
        <bgColor rgb="FFFBE8E7"/>
      </patternFill>
    </fill>
    <fill>
      <patternFill patternType="solid">
        <fgColor rgb="FFF8D6D3"/>
        <bgColor rgb="FFF8D6D3"/>
      </patternFill>
    </fill>
    <fill>
      <patternFill patternType="solid">
        <fgColor rgb="FF77C083"/>
        <bgColor rgb="FF77C083"/>
      </patternFill>
    </fill>
    <fill>
      <patternFill patternType="solid">
        <fgColor rgb="FFF1B6B1"/>
        <bgColor rgb="FFF1B6B1"/>
      </patternFill>
    </fill>
    <fill>
      <patternFill patternType="solid">
        <fgColor rgb="FFFAE1DF"/>
        <bgColor rgb="FFFAE1DF"/>
      </patternFill>
    </fill>
    <fill>
      <patternFill patternType="solid">
        <fgColor rgb="FF94C47D"/>
        <bgColor rgb="FF94C47D"/>
      </patternFill>
    </fill>
    <fill>
      <patternFill patternType="solid">
        <fgColor rgb="FF9DD7BA"/>
        <bgColor rgb="FF9DD7BA"/>
      </patternFill>
    </fill>
    <fill>
      <patternFill patternType="solid">
        <fgColor rgb="FF77C8A0"/>
        <bgColor rgb="FF77C8A0"/>
      </patternFill>
    </fill>
    <fill>
      <patternFill patternType="solid">
        <fgColor rgb="FFEA8B71"/>
        <bgColor rgb="FFEA8B71"/>
      </patternFill>
    </fill>
    <fill>
      <patternFill patternType="solid">
        <fgColor rgb="FF5DBD8E"/>
        <bgColor rgb="FF5DBD8E"/>
      </patternFill>
    </fill>
    <fill>
      <patternFill patternType="solid">
        <fgColor rgb="FFA9DCC3"/>
        <bgColor rgb="FFA9DCC3"/>
      </patternFill>
    </fill>
    <fill>
      <patternFill patternType="solid">
        <fgColor rgb="FF5CBC88"/>
        <bgColor rgb="FF5CBC88"/>
      </patternFill>
    </fill>
    <fill>
      <patternFill patternType="solid">
        <fgColor rgb="FFF1A76D"/>
        <bgColor rgb="FFF1A76D"/>
      </patternFill>
    </fill>
    <fill>
      <patternFill patternType="solid">
        <fgColor rgb="FFEEA6A0"/>
        <bgColor rgb="FFEEA6A0"/>
      </patternFill>
    </fill>
    <fill>
      <patternFill patternType="solid">
        <fgColor rgb="FFF5CBC7"/>
        <bgColor rgb="FFF5CBC7"/>
      </patternFill>
    </fill>
    <fill>
      <patternFill patternType="solid">
        <fgColor rgb="FFE67F73"/>
        <bgColor rgb="FFE67F73"/>
      </patternFill>
    </fill>
    <fill>
      <patternFill patternType="solid">
        <fgColor rgb="FFF6CFCB"/>
        <bgColor rgb="FFF6CFCB"/>
      </patternFill>
    </fill>
    <fill>
      <patternFill patternType="solid">
        <fgColor rgb="FF9CC67B"/>
        <bgColor rgb="FF9CC67B"/>
      </patternFill>
    </fill>
    <fill>
      <patternFill patternType="solid">
        <fgColor rgb="FFBDE4D1"/>
        <bgColor rgb="FFBDE4D1"/>
      </patternFill>
    </fill>
    <fill>
      <patternFill patternType="solid">
        <fgColor rgb="FF72C59C"/>
        <bgColor rgb="FF72C59C"/>
      </patternFill>
    </fill>
    <fill>
      <patternFill patternType="solid">
        <fgColor rgb="FFEAF6F0"/>
        <bgColor rgb="FFEAF6F0"/>
      </patternFill>
    </fill>
    <fill>
      <patternFill patternType="solid">
        <fgColor rgb="FFB8E2CD"/>
        <bgColor rgb="FFB8E2CD"/>
      </patternFill>
    </fill>
    <fill>
      <patternFill patternType="solid">
        <fgColor rgb="FFFFFDFD"/>
        <bgColor rgb="FFFFFDFD"/>
      </patternFill>
    </fill>
    <fill>
      <patternFill patternType="solid">
        <fgColor rgb="FFBCE3D0"/>
        <bgColor rgb="FFBCE3D0"/>
      </patternFill>
    </fill>
    <fill>
      <patternFill patternType="solid">
        <fgColor rgb="FFEC9370"/>
        <bgColor rgb="FFEC9370"/>
      </patternFill>
    </fill>
    <fill>
      <patternFill patternType="solid">
        <fgColor rgb="FFF2BAB6"/>
        <bgColor rgb="FFF2BAB6"/>
      </patternFill>
    </fill>
    <fill>
      <patternFill patternType="solid">
        <fgColor rgb="FF85CDAA"/>
        <bgColor rgb="FF85CDAA"/>
      </patternFill>
    </fill>
    <fill>
      <patternFill patternType="solid">
        <fgColor rgb="FFDFF2E8"/>
        <bgColor rgb="FFDFF2E8"/>
      </patternFill>
    </fill>
    <fill>
      <patternFill patternType="solid">
        <fgColor rgb="FFE8F6EF"/>
        <bgColor rgb="FFE8F6EF"/>
      </patternFill>
    </fill>
    <fill>
      <patternFill patternType="solid">
        <fgColor rgb="FFF6D0CC"/>
        <bgColor rgb="FFF6D0CC"/>
      </patternFill>
    </fill>
    <fill>
      <patternFill patternType="solid">
        <fgColor rgb="FFF3BFBB"/>
        <bgColor rgb="FFF3BFBB"/>
      </patternFill>
    </fill>
    <fill>
      <patternFill patternType="solid">
        <fgColor rgb="FF66C194"/>
        <bgColor rgb="FF66C194"/>
      </patternFill>
    </fill>
    <fill>
      <patternFill patternType="solid">
        <fgColor rgb="FFE78179"/>
        <bgColor rgb="FFE78179"/>
      </patternFill>
    </fill>
    <fill>
      <patternFill patternType="solid">
        <fgColor rgb="FFEB948C"/>
        <bgColor rgb="FFEB948C"/>
      </patternFill>
    </fill>
    <fill>
      <patternFill patternType="solid">
        <fgColor rgb="FFEA918A"/>
        <bgColor rgb="FFEA918A"/>
      </patternFill>
    </fill>
    <fill>
      <patternFill patternType="solid">
        <fgColor rgb="FFF6FBF8"/>
        <bgColor rgb="FFF6FBF8"/>
      </patternFill>
    </fill>
    <fill>
      <patternFill patternType="solid">
        <fgColor rgb="FFFEF8F8"/>
        <bgColor rgb="FFFEF8F8"/>
      </patternFill>
    </fill>
    <fill>
      <patternFill patternType="solid">
        <fgColor rgb="FFF0F9F4"/>
        <bgColor rgb="FFF0F9F4"/>
      </patternFill>
    </fill>
    <fill>
      <patternFill patternType="solid">
        <fgColor rgb="FFB9E3CE"/>
        <bgColor rgb="FFB9E3CE"/>
      </patternFill>
    </fill>
    <fill>
      <patternFill patternType="solid">
        <fgColor rgb="FFA7C879"/>
        <bgColor rgb="FFA7C879"/>
      </patternFill>
    </fill>
    <fill>
      <patternFill patternType="solid">
        <fgColor rgb="FFF1B1AC"/>
        <bgColor rgb="FFF1B1AC"/>
      </patternFill>
    </fill>
    <fill>
      <patternFill patternType="solid">
        <fgColor rgb="FFD4D06F"/>
        <bgColor rgb="FFD4D06F"/>
      </patternFill>
    </fill>
    <fill>
      <patternFill patternType="solid">
        <fgColor rgb="FFF1A46D"/>
        <bgColor rgb="FFF1A46D"/>
      </patternFill>
    </fill>
    <fill>
      <patternFill patternType="solid">
        <fgColor rgb="FF70C084"/>
        <bgColor rgb="FF70C084"/>
      </patternFill>
    </fill>
    <fill>
      <patternFill patternType="solid">
        <fgColor rgb="FFADDDC6"/>
        <bgColor rgb="FFADDDC6"/>
      </patternFill>
    </fill>
    <fill>
      <patternFill patternType="solid">
        <fgColor rgb="FF72BF85"/>
        <bgColor rgb="FF72BF85"/>
      </patternFill>
    </fill>
    <fill>
      <patternFill patternType="solid">
        <fgColor rgb="FFA1D9BD"/>
        <bgColor rgb="FFA1D9BD"/>
      </patternFill>
    </fill>
    <fill>
      <patternFill patternType="solid">
        <fgColor rgb="FF96C57C"/>
        <bgColor rgb="FF96C57C"/>
      </patternFill>
    </fill>
    <fill>
      <patternFill patternType="solid">
        <fgColor rgb="FF6FC59B"/>
        <bgColor rgb="FF6FC59B"/>
      </patternFill>
    </fill>
    <fill>
      <patternFill patternType="solid">
        <fgColor rgb="FF76C79F"/>
        <bgColor rgb="FF76C79F"/>
      </patternFill>
    </fill>
    <fill>
      <patternFill patternType="solid">
        <fgColor rgb="FFEDA099"/>
        <bgColor rgb="FFEDA099"/>
      </patternFill>
    </fill>
    <fill>
      <patternFill patternType="solid">
        <fgColor rgb="FFD0CE70"/>
        <bgColor rgb="FFD0CE70"/>
      </patternFill>
    </fill>
    <fill>
      <patternFill patternType="solid">
        <fgColor rgb="FFA5DAC0"/>
        <bgColor rgb="FFA5DAC0"/>
      </patternFill>
    </fill>
    <fill>
      <patternFill patternType="solid">
        <fgColor rgb="FF75BF84"/>
        <bgColor rgb="FF75BF84"/>
      </patternFill>
    </fill>
    <fill>
      <patternFill patternType="solid">
        <fgColor rgb="FFED9C96"/>
        <bgColor rgb="FFED9C96"/>
      </patternFill>
    </fill>
    <fill>
      <patternFill patternType="solid">
        <fgColor rgb="FF94D4B5"/>
        <bgColor rgb="FF94D4B5"/>
      </patternFill>
    </fill>
    <fill>
      <patternFill patternType="solid">
        <fgColor rgb="FF7FCBA6"/>
        <bgColor rgb="FF7FCBA6"/>
      </patternFill>
    </fill>
    <fill>
      <patternFill patternType="solid">
        <fgColor rgb="FFF7D0CD"/>
        <bgColor rgb="FFF7D0CD"/>
      </patternFill>
    </fill>
    <fill>
      <patternFill patternType="solid">
        <fgColor rgb="FFAADCC4"/>
        <bgColor rgb="FFAADCC4"/>
      </patternFill>
    </fill>
    <fill>
      <patternFill patternType="solid">
        <fgColor rgb="FFF8DBD8"/>
        <bgColor rgb="FFF8DBD8"/>
      </patternFill>
    </fill>
    <fill>
      <patternFill patternType="solid">
        <fgColor rgb="FFFEF5F4"/>
        <bgColor rgb="FFFEF5F4"/>
      </patternFill>
    </fill>
    <fill>
      <patternFill patternType="solid">
        <fgColor rgb="FFF9DCDA"/>
        <bgColor rgb="FFF9DCDA"/>
      </patternFill>
    </fill>
    <fill>
      <patternFill patternType="solid">
        <fgColor rgb="FFFCECEB"/>
        <bgColor rgb="FFFCECEB"/>
      </patternFill>
    </fill>
    <fill>
      <patternFill patternType="solid">
        <fgColor rgb="FFF0B1AB"/>
        <bgColor rgb="FFF0B1AB"/>
      </patternFill>
    </fill>
    <fill>
      <patternFill patternType="solid">
        <fgColor rgb="FFB1DFC8"/>
        <bgColor rgb="FFB1DFC8"/>
      </patternFill>
    </fill>
    <fill>
      <patternFill patternType="solid">
        <fgColor rgb="FFE78077"/>
        <bgColor rgb="FFE78077"/>
      </patternFill>
    </fill>
    <fill>
      <patternFill patternType="solid">
        <fgColor rgb="FFF7D2CE"/>
        <bgColor rgb="FFF7D2CE"/>
      </patternFill>
    </fill>
    <fill>
      <patternFill patternType="solid">
        <fgColor rgb="FFDCF1E6"/>
        <bgColor rgb="FFDCF1E6"/>
      </patternFill>
    </fill>
    <fill>
      <patternFill patternType="solid">
        <fgColor rgb="FFAFC977"/>
        <bgColor rgb="FFAFC977"/>
      </patternFill>
    </fill>
    <fill>
      <patternFill patternType="solid">
        <fgColor rgb="FFFED067"/>
        <bgColor rgb="FFFED067"/>
      </patternFill>
    </fill>
    <fill>
      <patternFill patternType="solid">
        <fgColor rgb="FF6BC398"/>
        <bgColor rgb="FF6BC398"/>
      </patternFill>
    </fill>
    <fill>
      <patternFill patternType="solid">
        <fgColor rgb="FF84CDA9"/>
        <bgColor rgb="FF84CDA9"/>
      </patternFill>
    </fill>
    <fill>
      <patternFill patternType="solid">
        <fgColor rgb="FFFAFDFC"/>
        <bgColor rgb="FFFAFDFC"/>
      </patternFill>
    </fill>
    <fill>
      <patternFill patternType="solid">
        <fgColor rgb="FFED9D96"/>
        <bgColor rgb="FFED9D96"/>
      </patternFill>
    </fill>
    <fill>
      <patternFill patternType="solid">
        <fgColor rgb="FFA9C879"/>
        <bgColor rgb="FFA9C879"/>
      </patternFill>
    </fill>
    <fill>
      <patternFill patternType="solid">
        <fgColor rgb="FFFBE5E4"/>
        <bgColor rgb="FFFBE5E4"/>
      </patternFill>
    </fill>
    <fill>
      <patternFill patternType="solid">
        <fgColor rgb="FFA3D9BF"/>
        <bgColor rgb="FFA3D9BF"/>
      </patternFill>
    </fill>
    <fill>
      <patternFill patternType="solid">
        <fgColor rgb="FFB7E2CD"/>
        <bgColor rgb="FFB7E2CD"/>
      </patternFill>
    </fill>
    <fill>
      <patternFill patternType="solid">
        <fgColor rgb="FFFAE1DE"/>
        <bgColor rgb="FFFAE1DE"/>
      </patternFill>
    </fill>
    <fill>
      <patternFill patternType="solid">
        <fgColor rgb="FFFEFAFA"/>
        <bgColor rgb="FFFEFAFA"/>
      </patternFill>
    </fill>
    <fill>
      <patternFill patternType="solid">
        <fgColor rgb="FFF1F9F5"/>
        <bgColor rgb="FFF1F9F5"/>
      </patternFill>
    </fill>
    <fill>
      <patternFill patternType="solid">
        <fgColor rgb="FFC9E9D9"/>
        <bgColor rgb="FFC9E9D9"/>
      </patternFill>
    </fill>
    <fill>
      <patternFill patternType="solid">
        <fgColor rgb="FFF4C3BE"/>
        <bgColor rgb="FFF4C3BE"/>
      </patternFill>
    </fill>
    <fill>
      <patternFill patternType="solid">
        <fgColor rgb="FFFAE3E1"/>
        <bgColor rgb="FFFAE3E1"/>
      </patternFill>
    </fill>
    <fill>
      <patternFill patternType="solid">
        <fgColor rgb="FFD0CE71"/>
        <bgColor rgb="FFD0CE71"/>
      </patternFill>
    </fill>
    <fill>
      <patternFill patternType="solid">
        <fgColor rgb="FFE3F4EC"/>
        <bgColor rgb="FFE3F4EC"/>
      </patternFill>
    </fill>
    <fill>
      <patternFill patternType="solid">
        <fgColor rgb="FF7AC9A2"/>
        <bgColor rgb="FF7AC9A2"/>
      </patternFill>
    </fill>
    <fill>
      <patternFill patternType="solid">
        <fgColor rgb="FFEA9189"/>
        <bgColor rgb="FFEA9189"/>
      </patternFill>
    </fill>
    <fill>
      <patternFill patternType="solid">
        <fgColor rgb="FFEEA29C"/>
        <bgColor rgb="FFEEA29C"/>
      </patternFill>
    </fill>
    <fill>
      <patternFill patternType="solid">
        <fgColor rgb="FFE98981"/>
        <bgColor rgb="FFE98981"/>
      </patternFill>
    </fill>
    <fill>
      <patternFill patternType="solid">
        <fgColor rgb="FFEA8F87"/>
        <bgColor rgb="FFEA8F87"/>
      </patternFill>
    </fill>
    <fill>
      <patternFill patternType="solid">
        <fgColor rgb="FFF1B2AC"/>
        <bgColor rgb="FFF1B2AC"/>
      </patternFill>
    </fill>
    <fill>
      <patternFill patternType="solid">
        <fgColor rgb="FFF6B66A"/>
        <bgColor rgb="FFF6B66A"/>
      </patternFill>
    </fill>
    <fill>
      <patternFill patternType="solid">
        <fgColor rgb="FFE78372"/>
        <bgColor rgb="FFE78372"/>
      </patternFill>
    </fill>
    <fill>
      <patternFill patternType="solid">
        <fgColor rgb="FFE98A82"/>
        <bgColor rgb="FFE98A82"/>
      </patternFill>
    </fill>
    <fill>
      <patternFill patternType="solid">
        <fgColor rgb="FFA8DBC2"/>
        <bgColor rgb="FFA8DBC2"/>
      </patternFill>
    </fill>
    <fill>
      <patternFill patternType="solid">
        <fgColor rgb="FF6FC49A"/>
        <bgColor rgb="FF6FC49A"/>
      </patternFill>
    </fill>
    <fill>
      <patternFill patternType="solid">
        <fgColor rgb="FFE8867D"/>
        <bgColor rgb="FFE8867D"/>
      </patternFill>
    </fill>
    <fill>
      <patternFill patternType="solid">
        <fgColor rgb="FF8CC37F"/>
        <bgColor rgb="FF8CC37F"/>
      </patternFill>
    </fill>
    <fill>
      <patternFill patternType="solid">
        <fgColor rgb="FFD5CF6F"/>
        <bgColor rgb="FFD5CF6F"/>
      </patternFill>
    </fill>
    <fill>
      <patternFill patternType="solid">
        <fgColor rgb="FFE7F5EE"/>
        <bgColor rgb="FFE7F5EE"/>
      </patternFill>
    </fill>
    <fill>
      <patternFill patternType="solid">
        <fgColor rgb="FFE78072"/>
        <bgColor rgb="FFE78072"/>
      </patternFill>
    </fill>
    <fill>
      <patternFill patternType="solid">
        <fgColor rgb="FFF0ACA7"/>
        <bgColor rgb="FFF0ACA7"/>
      </patternFill>
    </fill>
    <fill>
      <patternFill patternType="solid">
        <fgColor rgb="FFD4CF70"/>
        <bgColor rgb="FFD4CF70"/>
      </patternFill>
    </fill>
    <fill>
      <patternFill patternType="solid">
        <fgColor rgb="FF9BC57C"/>
        <bgColor rgb="FF9BC57C"/>
      </patternFill>
    </fill>
    <fill>
      <patternFill patternType="solid">
        <fgColor rgb="FF71C59C"/>
        <bgColor rgb="FF71C59C"/>
      </patternFill>
    </fill>
    <fill>
      <patternFill patternType="solid">
        <fgColor rgb="FFF5CAC7"/>
        <bgColor rgb="FFF5CAC7"/>
      </patternFill>
    </fill>
    <fill>
      <patternFill patternType="solid">
        <fgColor rgb="FFE6F5ED"/>
        <bgColor rgb="FFE6F5ED"/>
      </patternFill>
    </fill>
    <fill>
      <patternFill patternType="solid">
        <fgColor rgb="FFCCCD71"/>
        <bgColor rgb="FFCCCD71"/>
      </patternFill>
    </fill>
    <fill>
      <patternFill patternType="solid">
        <fgColor rgb="FF83CDA8"/>
        <bgColor rgb="FF83CDA8"/>
      </patternFill>
    </fill>
    <fill>
      <patternFill patternType="solid">
        <fgColor rgb="FF7CCAA3"/>
        <bgColor rgb="FF7CCAA3"/>
      </patternFill>
    </fill>
    <fill>
      <patternFill patternType="solid">
        <fgColor rgb="FFCEEBDC"/>
        <bgColor rgb="FFCEEBDC"/>
      </patternFill>
    </fill>
    <fill>
      <patternFill patternType="solid">
        <fgColor rgb="FFAFC978"/>
        <bgColor rgb="FFAFC978"/>
      </patternFill>
    </fill>
    <fill>
      <patternFill patternType="solid">
        <fgColor rgb="FFE8867E"/>
        <bgColor rgb="FFE8867E"/>
      </patternFill>
    </fill>
    <fill>
      <patternFill patternType="solid">
        <fgColor rgb="FFE98C84"/>
        <bgColor rgb="FFE98C84"/>
      </patternFill>
    </fill>
    <fill>
      <patternFill patternType="solid">
        <fgColor rgb="FFA7DBC2"/>
        <bgColor rgb="FFA7DBC2"/>
      </patternFill>
    </fill>
    <fill>
      <patternFill patternType="solid">
        <fgColor rgb="FF60BC88"/>
        <bgColor rgb="FF60BC88"/>
      </patternFill>
    </fill>
    <fill>
      <patternFill patternType="solid">
        <fgColor rgb="FF85CEAA"/>
        <bgColor rgb="FF85CEAA"/>
      </patternFill>
    </fill>
    <fill>
      <patternFill patternType="solid">
        <fgColor rgb="FFEC9C95"/>
        <bgColor rgb="FFEC9C95"/>
      </patternFill>
    </fill>
    <fill>
      <patternFill patternType="solid">
        <fgColor rgb="FFF1B3AD"/>
        <bgColor rgb="FFF1B3AD"/>
      </patternFill>
    </fill>
    <fill>
      <patternFill patternType="solid">
        <fgColor rgb="FF66BD87"/>
        <bgColor rgb="FF66BD87"/>
      </patternFill>
    </fill>
    <fill>
      <patternFill patternType="solid">
        <fgColor rgb="FF97D5B6"/>
        <bgColor rgb="FF97D5B6"/>
      </patternFill>
    </fill>
    <fill>
      <patternFill patternType="solid">
        <fgColor rgb="FF7ECBA5"/>
        <bgColor rgb="FF7ECBA5"/>
      </patternFill>
    </fill>
    <fill>
      <patternFill patternType="solid">
        <fgColor rgb="FFBFCB74"/>
        <bgColor rgb="FFBFCB74"/>
      </patternFill>
    </fill>
    <fill>
      <patternFill patternType="solid">
        <fgColor rgb="FF64BD88"/>
        <bgColor rgb="FF64BD88"/>
      </patternFill>
    </fill>
    <fill>
      <patternFill patternType="solid">
        <fgColor rgb="FF90D2B2"/>
        <bgColor rgb="FF90D2B2"/>
      </patternFill>
    </fill>
    <fill>
      <patternFill patternType="solid">
        <fgColor rgb="FF59BB8B"/>
        <bgColor rgb="FF59BB8B"/>
      </patternFill>
    </fill>
    <fill>
      <patternFill patternType="solid">
        <fgColor rgb="FFFDCF68"/>
        <bgColor rgb="FFFDCF68"/>
      </patternFill>
    </fill>
    <fill>
      <patternFill patternType="solid">
        <fgColor rgb="FFF3BDB8"/>
        <bgColor rgb="FFF3BDB8"/>
      </patternFill>
    </fill>
    <fill>
      <patternFill patternType="solid">
        <fgColor rgb="FFF1B4AE"/>
        <bgColor rgb="FFF1B4AE"/>
      </patternFill>
    </fill>
    <fill>
      <patternFill patternType="solid">
        <fgColor rgb="FF5CBC89"/>
        <bgColor rgb="FF5CBC89"/>
      </patternFill>
    </fill>
    <fill>
      <patternFill patternType="solid">
        <fgColor rgb="FFF2B9B5"/>
        <bgColor rgb="FFF2B9B5"/>
      </patternFill>
    </fill>
    <fill>
      <patternFill patternType="solid">
        <fgColor rgb="FFC2E6D4"/>
        <bgColor rgb="FFC2E6D4"/>
      </patternFill>
    </fill>
    <fill>
      <patternFill patternType="solid">
        <fgColor rgb="FFEC9570"/>
        <bgColor rgb="FFEC9570"/>
      </patternFill>
    </fill>
    <fill>
      <patternFill patternType="solid">
        <fgColor rgb="FFF9FCFB"/>
        <bgColor rgb="FFF9FCFB"/>
      </patternFill>
    </fill>
    <fill>
      <patternFill patternType="solid">
        <fgColor rgb="FFE67E73"/>
        <bgColor rgb="FFE67E73"/>
      </patternFill>
    </fill>
    <fill>
      <patternFill patternType="solid">
        <fgColor rgb="FFD7CF6F"/>
        <bgColor rgb="FFD7CF6F"/>
      </patternFill>
    </fill>
    <fill>
      <patternFill patternType="solid">
        <fgColor rgb="FFAEC978"/>
        <bgColor rgb="FFAEC978"/>
      </patternFill>
    </fill>
    <fill>
      <patternFill patternType="solid">
        <fgColor rgb="FFF3BBB7"/>
        <bgColor rgb="FFF3BBB7"/>
      </patternFill>
    </fill>
    <fill>
      <patternFill patternType="solid">
        <fgColor rgb="FF5ABC8C"/>
        <bgColor rgb="FF5ABC8C"/>
      </patternFill>
    </fill>
    <fill>
      <patternFill patternType="solid">
        <fgColor rgb="FFEB968E"/>
        <bgColor rgb="FFEB968E"/>
      </patternFill>
    </fill>
    <fill>
      <patternFill patternType="solid">
        <fgColor rgb="FF96D4B5"/>
        <bgColor rgb="FF96D4B5"/>
      </patternFill>
    </fill>
    <fill>
      <patternFill patternType="solid">
        <fgColor rgb="FFCDCE71"/>
        <bgColor rgb="FFCDCE71"/>
      </patternFill>
    </fill>
    <fill>
      <patternFill patternType="solid">
        <fgColor rgb="FF76C084"/>
        <bgColor rgb="FF76C084"/>
      </patternFill>
    </fill>
    <fill>
      <patternFill patternType="solid">
        <fgColor rgb="FFF3C0BB"/>
        <bgColor rgb="FFF3C0BB"/>
      </patternFill>
    </fill>
    <fill>
      <patternFill patternType="solid">
        <fgColor rgb="FF6CBE86"/>
        <bgColor rgb="FF6CBE86"/>
      </patternFill>
    </fill>
    <fill>
      <patternFill patternType="solid">
        <fgColor rgb="FFCBEADA"/>
        <bgColor rgb="FFCBEADA"/>
      </patternFill>
    </fill>
    <fill>
      <patternFill patternType="solid">
        <fgColor rgb="FFFEF5F5"/>
        <bgColor rgb="FFFEF5F5"/>
      </patternFill>
    </fill>
    <fill>
      <patternFill patternType="solid">
        <fgColor rgb="FFA1C67B"/>
        <bgColor rgb="FFA1C67B"/>
      </patternFill>
    </fill>
    <fill>
      <patternFill patternType="solid">
        <fgColor rgb="FFE98471"/>
        <bgColor rgb="FFE98471"/>
      </patternFill>
    </fill>
    <fill>
      <patternFill patternType="solid">
        <fgColor rgb="FFEC9B94"/>
        <bgColor rgb="FFEC9B94"/>
      </patternFill>
    </fill>
    <fill>
      <patternFill patternType="solid">
        <fgColor rgb="FFFEF9F9"/>
        <bgColor rgb="FFFEF9F9"/>
      </patternFill>
    </fill>
    <fill>
      <patternFill patternType="solid">
        <fgColor rgb="FFE8857C"/>
        <bgColor rgb="FFE8857C"/>
      </patternFill>
    </fill>
    <fill>
      <patternFill patternType="solid">
        <fgColor rgb="FFC0CB74"/>
        <bgColor rgb="FFC0CB74"/>
      </patternFill>
    </fill>
    <fill>
      <patternFill patternType="solid">
        <fgColor rgb="FF96C57D"/>
        <bgColor rgb="FF96C57D"/>
      </patternFill>
    </fill>
    <fill>
      <patternFill patternType="solid">
        <fgColor rgb="FFED956F"/>
        <bgColor rgb="FFED956F"/>
      </patternFill>
    </fill>
    <fill>
      <patternFill patternType="solid">
        <fgColor rgb="FFEEA59F"/>
        <bgColor rgb="FFEEA59F"/>
      </patternFill>
    </fill>
    <fill>
      <patternFill patternType="solid">
        <fgColor rgb="FFE0F2E9"/>
        <bgColor rgb="FFE0F2E9"/>
      </patternFill>
    </fill>
    <fill>
      <patternFill patternType="solid">
        <fgColor rgb="FF8AD0AE"/>
        <bgColor rgb="FF8AD0AE"/>
      </patternFill>
    </fill>
    <fill>
      <patternFill patternType="solid">
        <fgColor rgb="FF8BC37F"/>
        <bgColor rgb="FF8BC37F"/>
      </patternFill>
    </fill>
    <fill>
      <patternFill patternType="solid">
        <fgColor rgb="FFF9E0DD"/>
        <bgColor rgb="FFF9E0DD"/>
      </patternFill>
    </fill>
    <fill>
      <patternFill patternType="solid">
        <fgColor rgb="FF8ACFAE"/>
        <bgColor rgb="FF8ACFAE"/>
      </patternFill>
    </fill>
    <fill>
      <patternFill patternType="solid">
        <fgColor rgb="FFEB978F"/>
        <bgColor rgb="FFEB978F"/>
      </patternFill>
    </fill>
    <fill>
      <patternFill patternType="solid">
        <fgColor rgb="FFF7FCFA"/>
        <bgColor rgb="FFF7FCFA"/>
      </patternFill>
    </fill>
    <fill>
      <patternFill patternType="solid">
        <fgColor rgb="FFFCEEEC"/>
        <bgColor rgb="FFFCEEEC"/>
      </patternFill>
    </fill>
    <fill>
      <patternFill patternType="solid">
        <fgColor rgb="FF96D4B6"/>
        <bgColor rgb="FF96D4B6"/>
      </patternFill>
    </fill>
    <fill>
      <patternFill patternType="solid">
        <fgColor rgb="FF75C79F"/>
        <bgColor rgb="FF75C79F"/>
      </patternFill>
    </fill>
    <fill>
      <patternFill patternType="solid">
        <fgColor rgb="FFF6CFCC"/>
        <bgColor rgb="FFF6CFCC"/>
      </patternFill>
    </fill>
    <fill>
      <patternFill patternType="solid">
        <fgColor rgb="FFEA8B70"/>
        <bgColor rgb="FFEA8B70"/>
      </patternFill>
    </fill>
    <fill>
      <patternFill patternType="solid">
        <fgColor rgb="FFB2E0C9"/>
        <bgColor rgb="FFB2E0C9"/>
      </patternFill>
    </fill>
    <fill>
      <patternFill patternType="solid">
        <fgColor rgb="FF5FBE8F"/>
        <bgColor rgb="FF5FBE8F"/>
      </patternFill>
    </fill>
    <fill>
      <patternFill patternType="solid">
        <fgColor rgb="FFE98771"/>
        <bgColor rgb="FFE98771"/>
      </patternFill>
    </fill>
    <fill>
      <patternFill patternType="solid">
        <fgColor rgb="FFF7D4D2"/>
        <bgColor rgb="FFF7D4D2"/>
      </patternFill>
    </fill>
    <fill>
      <patternFill patternType="solid">
        <fgColor rgb="FFF4C2BD"/>
        <bgColor rgb="FFF4C2BD"/>
      </patternFill>
    </fill>
    <fill>
      <patternFill patternType="solid">
        <fgColor rgb="FF8BC47F"/>
        <bgColor rgb="FF8BC47F"/>
      </patternFill>
    </fill>
    <fill>
      <patternFill patternType="solid">
        <fgColor rgb="FF77C7A0"/>
        <bgColor rgb="FF77C7A0"/>
      </patternFill>
    </fill>
    <fill>
      <patternFill patternType="solid">
        <fgColor rgb="FF5EBD8E"/>
        <bgColor rgb="FF5EBD8E"/>
      </patternFill>
    </fill>
    <fill>
      <patternFill patternType="solid">
        <fgColor rgb="FFEA8D86"/>
        <bgColor rgb="FFEA8D86"/>
      </patternFill>
    </fill>
    <fill>
      <patternFill patternType="solid">
        <fgColor rgb="FFE78272"/>
        <bgColor rgb="FFE78272"/>
      </patternFill>
    </fill>
    <fill>
      <patternFill patternType="solid">
        <fgColor rgb="FFEFF8F3"/>
        <bgColor rgb="FFEFF8F3"/>
      </patternFill>
    </fill>
    <fill>
      <patternFill patternType="solid">
        <fgColor rgb="FF97D4B6"/>
        <bgColor rgb="FF97D4B6"/>
      </patternFill>
    </fill>
    <fill>
      <patternFill patternType="solid">
        <fgColor rgb="FFEF9C6E"/>
        <bgColor rgb="FFEF9C6E"/>
      </patternFill>
    </fill>
    <fill>
      <patternFill patternType="solid">
        <fgColor rgb="FF87CEAB"/>
        <bgColor rgb="FF87CEAB"/>
      </patternFill>
    </fill>
    <fill>
      <patternFill patternType="solid">
        <fgColor rgb="FF83C280"/>
        <bgColor rgb="FF83C280"/>
      </patternFill>
    </fill>
    <fill>
      <patternFill patternType="solid">
        <fgColor rgb="FFF9DDDA"/>
        <bgColor rgb="FFF9DDDA"/>
      </patternFill>
    </fill>
    <fill>
      <patternFill patternType="solid">
        <fgColor rgb="FFE8857D"/>
        <bgColor rgb="FFE8857D"/>
      </patternFill>
    </fill>
    <fill>
      <patternFill patternType="solid">
        <fgColor rgb="FFF1B6B0"/>
        <bgColor rgb="FFF1B6B0"/>
      </patternFill>
    </fill>
    <fill>
      <patternFill patternType="solid">
        <fgColor rgb="FFEA9088"/>
        <bgColor rgb="FFEA9088"/>
      </patternFill>
    </fill>
    <fill>
      <patternFill patternType="solid">
        <fgColor rgb="FF61BF91"/>
        <bgColor rgb="FF61BF91"/>
      </patternFill>
    </fill>
    <fill>
      <patternFill patternType="solid">
        <fgColor rgb="FFC2CC74"/>
        <bgColor rgb="FFC2CC74"/>
      </patternFill>
    </fill>
    <fill>
      <patternFill patternType="solid">
        <fgColor rgb="FFA8C978"/>
        <bgColor rgb="FFA8C978"/>
      </patternFill>
    </fill>
    <fill>
      <patternFill patternType="solid">
        <fgColor rgb="FF7FC182"/>
        <bgColor rgb="FF7FC182"/>
      </patternFill>
    </fill>
    <fill>
      <patternFill patternType="solid">
        <fgColor rgb="FFF2A66D"/>
        <bgColor rgb="FFF2A66D"/>
      </patternFill>
    </fill>
    <fill>
      <patternFill patternType="solid">
        <fgColor rgb="FFFCFDFD"/>
        <bgColor rgb="FFFCFDFD"/>
      </patternFill>
    </fill>
    <fill>
      <patternFill patternType="solid">
        <fgColor rgb="FF81CCA7"/>
        <bgColor rgb="FF81CCA7"/>
      </patternFill>
    </fill>
    <fill>
      <patternFill patternType="solid">
        <fgColor rgb="FFE98880"/>
        <bgColor rgb="FFE98880"/>
      </patternFill>
    </fill>
    <fill>
      <patternFill patternType="solid">
        <fgColor rgb="FFFEF6F6"/>
        <bgColor rgb="FFFEF6F6"/>
      </patternFill>
    </fill>
    <fill>
      <patternFill patternType="solid">
        <fgColor rgb="FFF6D468"/>
        <bgColor rgb="FFF6D468"/>
      </patternFill>
    </fill>
    <fill>
      <patternFill patternType="solid">
        <fgColor rgb="FFF3AA6C"/>
        <bgColor rgb="FFF3AA6C"/>
      </patternFill>
    </fill>
    <fill>
      <patternFill patternType="solid">
        <fgColor rgb="FFF1B5AF"/>
        <bgColor rgb="FFF1B5AF"/>
      </patternFill>
    </fill>
    <fill>
      <patternFill patternType="solid">
        <fgColor rgb="FF7CCAA4"/>
        <bgColor rgb="FF7CCAA4"/>
      </patternFill>
    </fill>
    <fill>
      <patternFill patternType="solid">
        <fgColor rgb="FFF9DDDB"/>
        <bgColor rgb="FFF9DDDB"/>
      </patternFill>
    </fill>
    <fill>
      <patternFill patternType="solid">
        <fgColor rgb="FFF8DAD7"/>
        <bgColor rgb="FFF8DAD7"/>
      </patternFill>
    </fill>
    <fill>
      <patternFill patternType="solid">
        <fgColor rgb="FF92C47E"/>
        <bgColor rgb="FF92C47E"/>
      </patternFill>
    </fill>
    <fill>
      <patternFill patternType="solid">
        <fgColor rgb="FFEFABA6"/>
        <bgColor rgb="FFEFABA6"/>
      </patternFill>
    </fill>
    <fill>
      <patternFill patternType="solid">
        <fgColor rgb="FFE78073"/>
        <bgColor rgb="FFE78073"/>
      </patternFill>
    </fill>
    <fill>
      <patternFill patternType="solid">
        <fgColor rgb="FFF5C8C5"/>
        <bgColor rgb="FFF5C8C5"/>
      </patternFill>
    </fill>
    <fill>
      <patternFill patternType="solid">
        <fgColor rgb="FFF4C2BE"/>
        <bgColor rgb="FFF4C2BE"/>
      </patternFill>
    </fill>
    <fill>
      <patternFill patternType="solid">
        <fgColor rgb="FFFFF2CC"/>
        <bgColor rgb="FFFFF2CC"/>
      </patternFill>
    </fill>
    <fill>
      <patternFill patternType="solid">
        <fgColor rgb="FFFFD966"/>
        <bgColor rgb="FFFFD966"/>
      </patternFill>
    </fill>
  </fills>
  <borders count="17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D9D9E3"/>
      </bottom>
      <diagonal/>
    </border>
    <border>
      <left/>
      <right style="thin">
        <color rgb="FFD9D9E3"/>
      </right>
      <top/>
      <bottom/>
      <diagonal/>
    </border>
    <border>
      <left/>
      <right style="thin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5847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left"/>
    </xf>
    <xf numFmtId="0" fontId="2" fillId="2" borderId="0" xfId="0" applyFont="1" applyFill="1"/>
    <xf numFmtId="0" fontId="3" fillId="2" borderId="0" xfId="0" applyFont="1" applyFill="1"/>
    <xf numFmtId="0" fontId="1" fillId="2" borderId="1" xfId="0" applyFont="1" applyFill="1" applyBorder="1"/>
    <xf numFmtId="0" fontId="1" fillId="2" borderId="2" xfId="0" applyFont="1" applyFill="1" applyBorder="1"/>
    <xf numFmtId="0" fontId="1" fillId="3" borderId="0" xfId="0" applyFont="1" applyFill="1"/>
    <xf numFmtId="0" fontId="4" fillId="3" borderId="0" xfId="0" applyFont="1" applyFill="1" applyAlignment="1">
      <alignment horizontal="right"/>
    </xf>
    <xf numFmtId="0" fontId="5" fillId="3" borderId="0" xfId="0" applyFont="1" applyFill="1"/>
    <xf numFmtId="10" fontId="4" fillId="3" borderId="0" xfId="0" applyNumberFormat="1" applyFont="1" applyFill="1"/>
    <xf numFmtId="0" fontId="1" fillId="3" borderId="0" xfId="0" applyFont="1" applyFill="1" applyAlignment="1">
      <alignment horizontal="left"/>
    </xf>
    <xf numFmtId="0" fontId="2" fillId="3" borderId="0" xfId="0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20" fontId="3" fillId="3" borderId="0" xfId="0" applyNumberFormat="1" applyFont="1" applyFill="1" applyAlignment="1">
      <alignment horizontal="right"/>
    </xf>
    <xf numFmtId="0" fontId="1" fillId="2" borderId="3" xfId="0" applyFont="1" applyFill="1" applyBorder="1" applyAlignment="1">
      <alignment horizontal="right"/>
    </xf>
    <xf numFmtId="0" fontId="1" fillId="2" borderId="4" xfId="0" applyFont="1" applyFill="1" applyBorder="1" applyAlignment="1">
      <alignment horizontal="right"/>
    </xf>
    <xf numFmtId="0" fontId="6" fillId="2" borderId="0" xfId="0" applyFont="1" applyFill="1"/>
    <xf numFmtId="0" fontId="3" fillId="2" borderId="0" xfId="0" applyFont="1" applyFill="1" applyAlignment="1">
      <alignment horizontal="right"/>
    </xf>
    <xf numFmtId="20" fontId="3" fillId="2" borderId="0" xfId="0" applyNumberFormat="1" applyFont="1" applyFill="1" applyAlignment="1">
      <alignment horizontal="right"/>
    </xf>
    <xf numFmtId="0" fontId="3" fillId="0" borderId="0" xfId="0" applyFont="1"/>
    <xf numFmtId="0" fontId="7" fillId="2" borderId="3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0" fontId="1" fillId="2" borderId="0" xfId="0" applyFont="1" applyFill="1" applyAlignment="1">
      <alignment horizontal="right"/>
    </xf>
    <xf numFmtId="0" fontId="8" fillId="2" borderId="0" xfId="0" applyFont="1" applyFill="1" applyAlignment="1">
      <alignment horizontal="right"/>
    </xf>
    <xf numFmtId="0" fontId="9" fillId="2" borderId="0" xfId="0" applyFont="1" applyFill="1"/>
    <xf numFmtId="0" fontId="10" fillId="2" borderId="3" xfId="0" applyFont="1" applyFill="1" applyBorder="1" applyAlignment="1">
      <alignment horizontal="center"/>
    </xf>
    <xf numFmtId="0" fontId="10" fillId="2" borderId="4" xfId="0" applyFont="1" applyFill="1" applyBorder="1" applyAlignment="1">
      <alignment horizontal="center"/>
    </xf>
    <xf numFmtId="0" fontId="11" fillId="2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11" fillId="2" borderId="3" xfId="0" applyFont="1" applyFill="1" applyBorder="1" applyAlignment="1">
      <alignment horizontal="center"/>
    </xf>
    <xf numFmtId="0" fontId="11" fillId="2" borderId="4" xfId="0" applyFont="1" applyFill="1" applyBorder="1" applyAlignment="1">
      <alignment horizontal="center"/>
    </xf>
    <xf numFmtId="0" fontId="12" fillId="2" borderId="0" xfId="0" applyFont="1" applyFill="1"/>
    <xf numFmtId="0" fontId="13" fillId="2" borderId="0" xfId="0" applyFont="1" applyFill="1"/>
    <xf numFmtId="0" fontId="1" fillId="3" borderId="3" xfId="0" applyFont="1" applyFill="1" applyBorder="1" applyAlignment="1">
      <alignment horizontal="right"/>
    </xf>
    <xf numFmtId="0" fontId="1" fillId="3" borderId="4" xfId="0" applyFont="1" applyFill="1" applyBorder="1" applyAlignment="1">
      <alignment horizontal="right"/>
    </xf>
    <xf numFmtId="0" fontId="1" fillId="3" borderId="5" xfId="0" applyFont="1" applyFill="1" applyBorder="1" applyAlignment="1">
      <alignment horizontal="right"/>
    </xf>
    <xf numFmtId="0" fontId="14" fillId="2" borderId="0" xfId="0" applyFont="1" applyFill="1"/>
    <xf numFmtId="0" fontId="14" fillId="2" borderId="3" xfId="0" applyFont="1" applyFill="1" applyBorder="1" applyAlignment="1">
      <alignment horizontal="right"/>
    </xf>
    <xf numFmtId="0" fontId="14" fillId="2" borderId="4" xfId="0" applyFont="1" applyFill="1" applyBorder="1" applyAlignment="1">
      <alignment horizontal="right"/>
    </xf>
    <xf numFmtId="0" fontId="14" fillId="2" borderId="0" xfId="0" applyFont="1" applyFill="1" applyAlignment="1">
      <alignment horizontal="left"/>
    </xf>
    <xf numFmtId="0" fontId="7" fillId="2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7" fillId="2" borderId="8" xfId="0" applyFont="1" applyFill="1" applyBorder="1" applyAlignment="1">
      <alignment horizontal="center"/>
    </xf>
    <xf numFmtId="0" fontId="7" fillId="2" borderId="9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center"/>
    </xf>
    <xf numFmtId="0" fontId="10" fillId="2" borderId="9" xfId="0" applyFont="1" applyFill="1" applyBorder="1" applyAlignment="1">
      <alignment horizontal="center"/>
    </xf>
    <xf numFmtId="0" fontId="11" fillId="2" borderId="0" xfId="0" applyFont="1" applyFill="1" applyAlignment="1">
      <alignment horizontal="center"/>
    </xf>
    <xf numFmtId="0" fontId="1" fillId="2" borderId="8" xfId="0" applyFont="1" applyFill="1" applyBorder="1" applyAlignment="1">
      <alignment horizontal="right"/>
    </xf>
    <xf numFmtId="0" fontId="1" fillId="2" borderId="9" xfId="0" applyFont="1" applyFill="1" applyBorder="1" applyAlignment="1">
      <alignment horizontal="right"/>
    </xf>
    <xf numFmtId="0" fontId="2" fillId="2" borderId="10" xfId="0" applyFont="1" applyFill="1" applyBorder="1"/>
    <xf numFmtId="0" fontId="2" fillId="3" borderId="10" xfId="0" applyFont="1" applyFill="1" applyBorder="1"/>
    <xf numFmtId="0" fontId="1" fillId="2" borderId="10" xfId="0" applyFont="1" applyFill="1" applyBorder="1" applyAlignment="1">
      <alignment horizontal="right"/>
    </xf>
    <xf numFmtId="0" fontId="1" fillId="2" borderId="5" xfId="0" applyFont="1" applyFill="1" applyBorder="1"/>
    <xf numFmtId="0" fontId="15" fillId="2" borderId="5" xfId="0" applyFont="1" applyFill="1" applyBorder="1"/>
    <xf numFmtId="0" fontId="1" fillId="2" borderId="11" xfId="0" applyFont="1" applyFill="1" applyBorder="1" applyAlignment="1">
      <alignment horizontal="right"/>
    </xf>
    <xf numFmtId="0" fontId="7" fillId="3" borderId="3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0" fontId="1" fillId="3" borderId="0" xfId="0" applyFont="1" applyFill="1" applyAlignment="1">
      <alignment horizontal="right"/>
    </xf>
    <xf numFmtId="0" fontId="1" fillId="2" borderId="12" xfId="0" applyFont="1" applyFill="1" applyBorder="1"/>
    <xf numFmtId="0" fontId="7" fillId="2" borderId="13" xfId="0" applyFont="1" applyFill="1" applyBorder="1" applyAlignment="1">
      <alignment horizontal="center"/>
    </xf>
    <xf numFmtId="0" fontId="10" fillId="2" borderId="13" xfId="0" applyFont="1" applyFill="1" applyBorder="1" applyAlignment="1">
      <alignment horizontal="center"/>
    </xf>
    <xf numFmtId="0" fontId="11" fillId="2" borderId="13" xfId="0" applyFont="1" applyFill="1" applyBorder="1" applyAlignment="1">
      <alignment horizontal="center"/>
    </xf>
    <xf numFmtId="0" fontId="14" fillId="2" borderId="5" xfId="0" applyFont="1" applyFill="1" applyBorder="1"/>
    <xf numFmtId="0" fontId="14" fillId="2" borderId="12" xfId="0" applyFont="1" applyFill="1" applyBorder="1"/>
    <xf numFmtId="0" fontId="14" fillId="2" borderId="13" xfId="0" applyFont="1" applyFill="1" applyBorder="1" applyAlignment="1">
      <alignment horizontal="right"/>
    </xf>
    <xf numFmtId="0" fontId="1" fillId="3" borderId="5" xfId="0" applyFont="1" applyFill="1" applyBorder="1"/>
    <xf numFmtId="0" fontId="1" fillId="3" borderId="12" xfId="0" applyFont="1" applyFill="1" applyBorder="1"/>
    <xf numFmtId="0" fontId="1" fillId="3" borderId="13" xfId="0" applyFont="1" applyFill="1" applyBorder="1" applyAlignment="1">
      <alignment horizontal="right"/>
    </xf>
    <xf numFmtId="0" fontId="1" fillId="2" borderId="13" xfId="0" applyFont="1" applyFill="1" applyBorder="1" applyAlignment="1">
      <alignment horizontal="right"/>
    </xf>
    <xf numFmtId="0" fontId="16" fillId="2" borderId="5" xfId="0" applyFont="1" applyFill="1" applyBorder="1"/>
    <xf numFmtId="0" fontId="1" fillId="2" borderId="13" xfId="0" applyFont="1" applyFill="1" applyBorder="1"/>
    <xf numFmtId="0" fontId="14" fillId="2" borderId="13" xfId="0" applyFont="1" applyFill="1" applyBorder="1"/>
    <xf numFmtId="0" fontId="1" fillId="3" borderId="13" xfId="0" applyFont="1" applyFill="1" applyBorder="1"/>
    <xf numFmtId="0" fontId="10" fillId="2" borderId="0" xfId="0" applyFont="1" applyFill="1" applyAlignment="1">
      <alignment horizontal="center"/>
    </xf>
    <xf numFmtId="0" fontId="10" fillId="2" borderId="5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right"/>
    </xf>
    <xf numFmtId="0" fontId="1" fillId="2" borderId="2" xfId="0" applyFont="1" applyFill="1" applyBorder="1" applyAlignment="1">
      <alignment horizontal="right"/>
    </xf>
    <xf numFmtId="0" fontId="14" fillId="2" borderId="0" xfId="0" applyFont="1" applyFill="1" applyAlignment="1">
      <alignment horizontal="right"/>
    </xf>
    <xf numFmtId="0" fontId="14" fillId="2" borderId="2" xfId="0" applyFont="1" applyFill="1" applyBorder="1" applyAlignment="1">
      <alignment horizontal="right"/>
    </xf>
    <xf numFmtId="0" fontId="7" fillId="3" borderId="0" xfId="0" applyFont="1" applyFill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7" fillId="2" borderId="2" xfId="0" applyFont="1" applyFill="1" applyBorder="1" applyAlignment="1">
      <alignment horizontal="center"/>
    </xf>
    <xf numFmtId="0" fontId="10" fillId="2" borderId="2" xfId="0" applyFont="1" applyFill="1" applyBorder="1" applyAlignment="1">
      <alignment horizontal="center"/>
    </xf>
    <xf numFmtId="0" fontId="16" fillId="2" borderId="0" xfId="0" applyFont="1" applyFill="1"/>
    <xf numFmtId="0" fontId="1" fillId="2" borderId="14" xfId="0" applyFont="1" applyFill="1" applyBorder="1"/>
    <xf numFmtId="0" fontId="1" fillId="2" borderId="14" xfId="0" applyFont="1" applyFill="1" applyBorder="1" applyAlignment="1">
      <alignment horizontal="left"/>
    </xf>
    <xf numFmtId="0" fontId="1" fillId="2" borderId="15" xfId="0" applyFont="1" applyFill="1" applyBorder="1"/>
    <xf numFmtId="0" fontId="7" fillId="2" borderId="14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left"/>
    </xf>
    <xf numFmtId="0" fontId="17" fillId="2" borderId="14" xfId="0" applyFont="1" applyFill="1" applyBorder="1"/>
    <xf numFmtId="0" fontId="10" fillId="2" borderId="14" xfId="0" applyFont="1" applyFill="1" applyBorder="1" applyAlignment="1">
      <alignment horizontal="center"/>
    </xf>
    <xf numFmtId="0" fontId="18" fillId="2" borderId="14" xfId="0" applyFont="1" applyFill="1" applyBorder="1"/>
    <xf numFmtId="0" fontId="1" fillId="2" borderId="14" xfId="0" applyFont="1" applyFill="1" applyBorder="1" applyAlignment="1">
      <alignment horizontal="right"/>
    </xf>
    <xf numFmtId="0" fontId="1" fillId="4" borderId="0" xfId="0" applyFont="1" applyFill="1"/>
    <xf numFmtId="0" fontId="4" fillId="4" borderId="0" xfId="0" applyFont="1" applyFill="1" applyAlignment="1">
      <alignment horizontal="right"/>
    </xf>
    <xf numFmtId="0" fontId="4" fillId="4" borderId="0" xfId="0" applyFont="1" applyFill="1"/>
    <xf numFmtId="20" fontId="1" fillId="4" borderId="0" xfId="0" applyNumberFormat="1" applyFont="1" applyFill="1"/>
    <xf numFmtId="0" fontId="19" fillId="3" borderId="0" xfId="0" applyFont="1" applyFill="1"/>
    <xf numFmtId="10" fontId="4" fillId="3" borderId="0" xfId="0" applyNumberFormat="1" applyFont="1" applyFill="1" applyAlignment="1">
      <alignment horizontal="right"/>
    </xf>
    <xf numFmtId="20" fontId="1" fillId="3" borderId="0" xfId="0" applyNumberFormat="1" applyFont="1" applyFill="1"/>
    <xf numFmtId="0" fontId="2" fillId="0" borderId="0" xfId="0" applyFont="1"/>
    <xf numFmtId="0" fontId="1" fillId="5" borderId="0" xfId="0" applyFont="1" applyFill="1"/>
    <xf numFmtId="0" fontId="1" fillId="5" borderId="1" xfId="0" applyFont="1" applyFill="1" applyBorder="1"/>
    <xf numFmtId="0" fontId="1" fillId="5" borderId="5" xfId="0" applyFont="1" applyFill="1" applyBorder="1"/>
    <xf numFmtId="0" fontId="20" fillId="2" borderId="5" xfId="0" applyFont="1" applyFill="1" applyBorder="1" applyAlignment="1">
      <alignment horizontal="center"/>
    </xf>
    <xf numFmtId="0" fontId="20" fillId="2" borderId="1" xfId="0" applyFont="1" applyFill="1" applyBorder="1" applyAlignment="1">
      <alignment horizontal="center"/>
    </xf>
    <xf numFmtId="0" fontId="20" fillId="2" borderId="4" xfId="0" applyFont="1" applyFill="1" applyBorder="1" applyAlignment="1">
      <alignment horizontal="center"/>
    </xf>
    <xf numFmtId="0" fontId="20" fillId="11" borderId="16" xfId="0" applyFont="1" applyFill="1" applyBorder="1" applyAlignment="1">
      <alignment horizontal="center"/>
    </xf>
    <xf numFmtId="0" fontId="20" fillId="7" borderId="4" xfId="0" applyFont="1" applyFill="1" applyBorder="1" applyAlignment="1">
      <alignment horizontal="center"/>
    </xf>
    <xf numFmtId="0" fontId="20" fillId="11" borderId="1" xfId="0" applyFont="1" applyFill="1" applyBorder="1" applyAlignment="1">
      <alignment horizontal="center"/>
    </xf>
    <xf numFmtId="0" fontId="20" fillId="7" borderId="1" xfId="0" applyFont="1" applyFill="1" applyBorder="1" applyAlignment="1">
      <alignment horizontal="center"/>
    </xf>
    <xf numFmtId="0" fontId="7" fillId="12" borderId="3" xfId="0" applyFont="1" applyFill="1" applyBorder="1"/>
    <xf numFmtId="164" fontId="23" fillId="13" borderId="2" xfId="0" applyNumberFormat="1" applyFont="1" applyFill="1" applyBorder="1" applyAlignment="1">
      <alignment horizontal="center"/>
    </xf>
    <xf numFmtId="0" fontId="1" fillId="12" borderId="3" xfId="0" applyFont="1" applyFill="1" applyBorder="1"/>
    <xf numFmtId="0" fontId="7" fillId="12" borderId="2" xfId="0" applyFont="1" applyFill="1" applyBorder="1" applyAlignment="1">
      <alignment horizontal="center"/>
    </xf>
    <xf numFmtId="49" fontId="7" fillId="12" borderId="2" xfId="0" quotePrefix="1" applyNumberFormat="1" applyFont="1" applyFill="1" applyBorder="1" applyAlignment="1">
      <alignment horizontal="center"/>
    </xf>
    <xf numFmtId="49" fontId="7" fillId="12" borderId="3" xfId="0" quotePrefix="1" applyNumberFormat="1" applyFont="1" applyFill="1" applyBorder="1" applyAlignment="1">
      <alignment horizontal="center"/>
    </xf>
    <xf numFmtId="0" fontId="23" fillId="14" borderId="2" xfId="0" applyFont="1" applyFill="1" applyBorder="1" applyAlignment="1">
      <alignment horizontal="center"/>
    </xf>
    <xf numFmtId="9" fontId="23" fillId="15" borderId="2" xfId="0" applyNumberFormat="1" applyFont="1" applyFill="1" applyBorder="1" applyAlignment="1">
      <alignment horizontal="center"/>
    </xf>
    <xf numFmtId="0" fontId="23" fillId="16" borderId="2" xfId="0" applyFont="1" applyFill="1" applyBorder="1" applyAlignment="1">
      <alignment horizontal="center"/>
    </xf>
    <xf numFmtId="9" fontId="23" fillId="17" borderId="2" xfId="0" applyNumberFormat="1" applyFont="1" applyFill="1" applyBorder="1" applyAlignment="1">
      <alignment horizontal="center"/>
    </xf>
    <xf numFmtId="0" fontId="23" fillId="18" borderId="3" xfId="0" applyFont="1" applyFill="1" applyBorder="1" applyAlignment="1">
      <alignment horizontal="center"/>
    </xf>
    <xf numFmtId="0" fontId="23" fillId="19" borderId="2" xfId="0" applyFont="1" applyFill="1" applyBorder="1" applyAlignment="1">
      <alignment horizontal="center"/>
    </xf>
    <xf numFmtId="9" fontId="23" fillId="20" borderId="2" xfId="0" applyNumberFormat="1" applyFont="1" applyFill="1" applyBorder="1" applyAlignment="1">
      <alignment horizontal="center"/>
    </xf>
    <xf numFmtId="9" fontId="23" fillId="21" borderId="2" xfId="0" applyNumberFormat="1" applyFont="1" applyFill="1" applyBorder="1" applyAlignment="1">
      <alignment horizontal="center"/>
    </xf>
    <xf numFmtId="0" fontId="23" fillId="14" borderId="3" xfId="0" applyFont="1" applyFill="1" applyBorder="1" applyAlignment="1">
      <alignment horizontal="center"/>
    </xf>
    <xf numFmtId="10" fontId="23" fillId="22" borderId="2" xfId="0" applyNumberFormat="1" applyFont="1" applyFill="1" applyBorder="1" applyAlignment="1">
      <alignment horizontal="center"/>
    </xf>
    <xf numFmtId="10" fontId="23" fillId="23" borderId="2" xfId="0" applyNumberFormat="1" applyFont="1" applyFill="1" applyBorder="1" applyAlignment="1">
      <alignment horizontal="center"/>
    </xf>
    <xf numFmtId="10" fontId="23" fillId="24" borderId="2" xfId="0" applyNumberFormat="1" applyFont="1" applyFill="1" applyBorder="1" applyAlignment="1">
      <alignment horizontal="center"/>
    </xf>
    <xf numFmtId="10" fontId="23" fillId="25" borderId="3" xfId="0" applyNumberFormat="1" applyFont="1" applyFill="1" applyBorder="1" applyAlignment="1">
      <alignment horizontal="center"/>
    </xf>
    <xf numFmtId="0" fontId="7" fillId="26" borderId="13" xfId="0" applyFont="1" applyFill="1" applyBorder="1" applyAlignment="1">
      <alignment horizontal="center"/>
    </xf>
    <xf numFmtId="0" fontId="7" fillId="14" borderId="3" xfId="0" applyFont="1" applyFill="1" applyBorder="1" applyAlignment="1">
      <alignment horizontal="center"/>
    </xf>
    <xf numFmtId="0" fontId="7" fillId="27" borderId="13" xfId="0" applyFont="1" applyFill="1" applyBorder="1" applyAlignment="1">
      <alignment horizontal="center"/>
    </xf>
    <xf numFmtId="0" fontId="7" fillId="28" borderId="3" xfId="0" applyFont="1" applyFill="1" applyBorder="1" applyAlignment="1">
      <alignment horizontal="center"/>
    </xf>
    <xf numFmtId="0" fontId="7" fillId="29" borderId="13" xfId="0" applyFont="1" applyFill="1" applyBorder="1" applyAlignment="1">
      <alignment horizontal="center"/>
    </xf>
    <xf numFmtId="0" fontId="7" fillId="30" borderId="3" xfId="0" applyFont="1" applyFill="1" applyBorder="1" applyAlignment="1">
      <alignment horizontal="center"/>
    </xf>
    <xf numFmtId="0" fontId="7" fillId="12" borderId="13" xfId="0" applyFont="1" applyFill="1" applyBorder="1" applyAlignment="1">
      <alignment horizontal="center"/>
    </xf>
    <xf numFmtId="0" fontId="7" fillId="12" borderId="3" xfId="0" applyFont="1" applyFill="1" applyBorder="1" applyAlignment="1">
      <alignment horizontal="center"/>
    </xf>
    <xf numFmtId="0" fontId="7" fillId="31" borderId="3" xfId="0" applyFont="1" applyFill="1" applyBorder="1" applyAlignment="1">
      <alignment horizontal="center"/>
    </xf>
    <xf numFmtId="0" fontId="24" fillId="26" borderId="3" xfId="0" applyFont="1" applyFill="1" applyBorder="1" applyAlignment="1">
      <alignment horizontal="center"/>
    </xf>
    <xf numFmtId="0" fontId="7" fillId="32" borderId="2" xfId="0" applyFont="1" applyFill="1" applyBorder="1" applyAlignment="1">
      <alignment horizontal="center"/>
    </xf>
    <xf numFmtId="0" fontId="7" fillId="33" borderId="2" xfId="0" applyFont="1" applyFill="1" applyBorder="1" applyAlignment="1">
      <alignment horizontal="center"/>
    </xf>
    <xf numFmtId="0" fontId="7" fillId="14" borderId="2" xfId="0" applyFont="1" applyFill="1" applyBorder="1" applyAlignment="1">
      <alignment horizontal="center"/>
    </xf>
    <xf numFmtId="0" fontId="7" fillId="12" borderId="4" xfId="0" applyFont="1" applyFill="1" applyBorder="1"/>
    <xf numFmtId="164" fontId="23" fillId="34" borderId="1" xfId="0" applyNumberFormat="1" applyFont="1" applyFill="1" applyBorder="1" applyAlignment="1">
      <alignment horizontal="center"/>
    </xf>
    <xf numFmtId="0" fontId="1" fillId="12" borderId="4" xfId="0" applyFont="1" applyFill="1" applyBorder="1"/>
    <xf numFmtId="0" fontId="7" fillId="12" borderId="1" xfId="0" applyFont="1" applyFill="1" applyBorder="1" applyAlignment="1">
      <alignment horizontal="center"/>
    </xf>
    <xf numFmtId="49" fontId="7" fillId="12" borderId="1" xfId="0" quotePrefix="1" applyNumberFormat="1" applyFont="1" applyFill="1" applyBorder="1" applyAlignment="1">
      <alignment horizontal="center"/>
    </xf>
    <xf numFmtId="49" fontId="7" fillId="12" borderId="4" xfId="0" quotePrefix="1" applyNumberFormat="1" applyFont="1" applyFill="1" applyBorder="1" applyAlignment="1">
      <alignment horizontal="center"/>
    </xf>
    <xf numFmtId="0" fontId="23" fillId="35" borderId="1" xfId="0" applyFont="1" applyFill="1" applyBorder="1" applyAlignment="1">
      <alignment horizontal="center"/>
    </xf>
    <xf numFmtId="9" fontId="23" fillId="36" borderId="1" xfId="0" applyNumberFormat="1" applyFont="1" applyFill="1" applyBorder="1" applyAlignment="1">
      <alignment horizontal="center"/>
    </xf>
    <xf numFmtId="0" fontId="23" fillId="37" borderId="1" xfId="0" applyFont="1" applyFill="1" applyBorder="1" applyAlignment="1">
      <alignment horizontal="center"/>
    </xf>
    <xf numFmtId="9" fontId="23" fillId="38" borderId="1" xfId="0" applyNumberFormat="1" applyFont="1" applyFill="1" applyBorder="1" applyAlignment="1">
      <alignment horizontal="center"/>
    </xf>
    <xf numFmtId="0" fontId="23" fillId="39" borderId="4" xfId="0" applyFont="1" applyFill="1" applyBorder="1" applyAlignment="1">
      <alignment horizontal="center"/>
    </xf>
    <xf numFmtId="0" fontId="23" fillId="40" borderId="1" xfId="0" applyFont="1" applyFill="1" applyBorder="1" applyAlignment="1">
      <alignment horizontal="center"/>
    </xf>
    <xf numFmtId="9" fontId="23" fillId="41" borderId="1" xfId="0" applyNumberFormat="1" applyFont="1" applyFill="1" applyBorder="1" applyAlignment="1">
      <alignment horizontal="center"/>
    </xf>
    <xf numFmtId="9" fontId="23" fillId="42" borderId="1" xfId="0" applyNumberFormat="1" applyFont="1" applyFill="1" applyBorder="1" applyAlignment="1">
      <alignment horizontal="center"/>
    </xf>
    <xf numFmtId="0" fontId="23" fillId="43" borderId="4" xfId="0" applyFont="1" applyFill="1" applyBorder="1" applyAlignment="1">
      <alignment horizontal="center"/>
    </xf>
    <xf numFmtId="10" fontId="23" fillId="44" borderId="1" xfId="0" applyNumberFormat="1" applyFont="1" applyFill="1" applyBorder="1" applyAlignment="1">
      <alignment horizontal="center"/>
    </xf>
    <xf numFmtId="10" fontId="23" fillId="26" borderId="1" xfId="0" applyNumberFormat="1" applyFont="1" applyFill="1" applyBorder="1" applyAlignment="1">
      <alignment horizontal="center"/>
    </xf>
    <xf numFmtId="10" fontId="23" fillId="45" borderId="1" xfId="0" applyNumberFormat="1" applyFont="1" applyFill="1" applyBorder="1" applyAlignment="1">
      <alignment horizontal="center"/>
    </xf>
    <xf numFmtId="10" fontId="23" fillId="46" borderId="4" xfId="0" applyNumberFormat="1" applyFont="1" applyFill="1" applyBorder="1" applyAlignment="1">
      <alignment horizontal="center"/>
    </xf>
    <xf numFmtId="0" fontId="7" fillId="47" borderId="16" xfId="0" applyFont="1" applyFill="1" applyBorder="1" applyAlignment="1">
      <alignment horizontal="center"/>
    </xf>
    <xf numFmtId="0" fontId="7" fillId="48" borderId="4" xfId="0" applyFont="1" applyFill="1" applyBorder="1" applyAlignment="1">
      <alignment horizontal="center"/>
    </xf>
    <xf numFmtId="0" fontId="7" fillId="49" borderId="16" xfId="0" applyFont="1" applyFill="1" applyBorder="1" applyAlignment="1">
      <alignment horizontal="center"/>
    </xf>
    <xf numFmtId="0" fontId="7" fillId="26" borderId="4" xfId="0" applyFont="1" applyFill="1" applyBorder="1" applyAlignment="1">
      <alignment horizontal="center"/>
    </xf>
    <xf numFmtId="0" fontId="7" fillId="50" borderId="16" xfId="0" applyFont="1" applyFill="1" applyBorder="1" applyAlignment="1">
      <alignment horizontal="center"/>
    </xf>
    <xf numFmtId="0" fontId="7" fillId="12" borderId="16" xfId="0" applyFont="1" applyFill="1" applyBorder="1" applyAlignment="1">
      <alignment horizontal="center"/>
    </xf>
    <xf numFmtId="0" fontId="7" fillId="12" borderId="4" xfId="0" applyFont="1" applyFill="1" applyBorder="1" applyAlignment="1">
      <alignment horizontal="center"/>
    </xf>
    <xf numFmtId="0" fontId="7" fillId="51" borderId="4" xfId="0" applyFont="1" applyFill="1" applyBorder="1" applyAlignment="1">
      <alignment horizontal="center"/>
    </xf>
    <xf numFmtId="0" fontId="24" fillId="26" borderId="4" xfId="0" applyFont="1" applyFill="1" applyBorder="1" applyAlignment="1">
      <alignment horizontal="center"/>
    </xf>
    <xf numFmtId="0" fontId="7" fillId="52" borderId="1" xfId="0" applyFont="1" applyFill="1" applyBorder="1" applyAlignment="1">
      <alignment horizontal="center"/>
    </xf>
    <xf numFmtId="0" fontId="7" fillId="53" borderId="1" xfId="0" applyFont="1" applyFill="1" applyBorder="1" applyAlignment="1">
      <alignment horizontal="center"/>
    </xf>
    <xf numFmtId="0" fontId="7" fillId="54" borderId="1" xfId="0" applyFont="1" applyFill="1" applyBorder="1" applyAlignment="1">
      <alignment horizontal="center"/>
    </xf>
    <xf numFmtId="0" fontId="7" fillId="55" borderId="4" xfId="0" applyFont="1" applyFill="1" applyBorder="1" applyAlignment="1">
      <alignment horizontal="center"/>
    </xf>
    <xf numFmtId="0" fontId="7" fillId="2" borderId="3" xfId="0" applyFont="1" applyFill="1" applyBorder="1"/>
    <xf numFmtId="164" fontId="23" fillId="56" borderId="2" xfId="0" applyNumberFormat="1" applyFont="1" applyFill="1" applyBorder="1" applyAlignment="1">
      <alignment horizontal="center"/>
    </xf>
    <xf numFmtId="0" fontId="1" fillId="2" borderId="3" xfId="0" applyFont="1" applyFill="1" applyBorder="1"/>
    <xf numFmtId="49" fontId="7" fillId="2" borderId="2" xfId="0" quotePrefix="1" applyNumberFormat="1" applyFont="1" applyFill="1" applyBorder="1" applyAlignment="1">
      <alignment horizontal="center"/>
    </xf>
    <xf numFmtId="49" fontId="7" fillId="2" borderId="3" xfId="0" quotePrefix="1" applyNumberFormat="1" applyFont="1" applyFill="1" applyBorder="1" applyAlignment="1">
      <alignment horizontal="center"/>
    </xf>
    <xf numFmtId="0" fontId="23" fillId="57" borderId="2" xfId="0" applyFont="1" applyFill="1" applyBorder="1" applyAlignment="1">
      <alignment horizontal="center"/>
    </xf>
    <xf numFmtId="9" fontId="23" fillId="14" borderId="2" xfId="0" applyNumberFormat="1" applyFont="1" applyFill="1" applyBorder="1" applyAlignment="1">
      <alignment horizontal="center"/>
    </xf>
    <xf numFmtId="0" fontId="23" fillId="58" borderId="2" xfId="0" applyFont="1" applyFill="1" applyBorder="1" applyAlignment="1">
      <alignment horizontal="center"/>
    </xf>
    <xf numFmtId="9" fontId="23" fillId="59" borderId="2" xfId="0" applyNumberFormat="1" applyFont="1" applyFill="1" applyBorder="1" applyAlignment="1">
      <alignment horizontal="center"/>
    </xf>
    <xf numFmtId="0" fontId="23" fillId="35" borderId="3" xfId="0" applyFont="1" applyFill="1" applyBorder="1" applyAlignment="1">
      <alignment horizontal="center"/>
    </xf>
    <xf numFmtId="0" fontId="23" fillId="43" borderId="2" xfId="0" applyFont="1" applyFill="1" applyBorder="1" applyAlignment="1">
      <alignment horizontal="center"/>
    </xf>
    <xf numFmtId="9" fontId="23" fillId="48" borderId="2" xfId="0" applyNumberFormat="1" applyFont="1" applyFill="1" applyBorder="1" applyAlignment="1">
      <alignment horizontal="center"/>
    </xf>
    <xf numFmtId="9" fontId="23" fillId="40" borderId="2" xfId="0" applyNumberFormat="1" applyFont="1" applyFill="1" applyBorder="1" applyAlignment="1">
      <alignment horizontal="center"/>
    </xf>
    <xf numFmtId="10" fontId="23" fillId="60" borderId="2" xfId="0" applyNumberFormat="1" applyFont="1" applyFill="1" applyBorder="1" applyAlignment="1">
      <alignment horizontal="center"/>
    </xf>
    <xf numFmtId="10" fontId="23" fillId="14" borderId="2" xfId="0" applyNumberFormat="1" applyFont="1" applyFill="1" applyBorder="1" applyAlignment="1">
      <alignment horizontal="center"/>
    </xf>
    <xf numFmtId="10" fontId="23" fillId="61" borderId="2" xfId="0" applyNumberFormat="1" applyFont="1" applyFill="1" applyBorder="1" applyAlignment="1">
      <alignment horizontal="center"/>
    </xf>
    <xf numFmtId="10" fontId="23" fillId="62" borderId="3" xfId="0" applyNumberFormat="1" applyFont="1" applyFill="1" applyBorder="1" applyAlignment="1">
      <alignment horizontal="center"/>
    </xf>
    <xf numFmtId="0" fontId="7" fillId="63" borderId="13" xfId="0" applyFont="1" applyFill="1" applyBorder="1" applyAlignment="1">
      <alignment horizontal="center"/>
    </xf>
    <xf numFmtId="0" fontId="7" fillId="64" borderId="3" xfId="0" applyFont="1" applyFill="1" applyBorder="1" applyAlignment="1">
      <alignment horizontal="center"/>
    </xf>
    <xf numFmtId="0" fontId="7" fillId="14" borderId="13" xfId="0" applyFont="1" applyFill="1" applyBorder="1" applyAlignment="1">
      <alignment horizontal="center"/>
    </xf>
    <xf numFmtId="0" fontId="7" fillId="26" borderId="3" xfId="0" applyFont="1" applyFill="1" applyBorder="1" applyAlignment="1">
      <alignment horizontal="center"/>
    </xf>
    <xf numFmtId="0" fontId="7" fillId="65" borderId="13" xfId="0" applyFont="1" applyFill="1" applyBorder="1" applyAlignment="1">
      <alignment horizontal="center"/>
    </xf>
    <xf numFmtId="0" fontId="7" fillId="48" borderId="3" xfId="0" applyFont="1" applyFill="1" applyBorder="1" applyAlignment="1">
      <alignment horizontal="center"/>
    </xf>
    <xf numFmtId="0" fontId="7" fillId="66" borderId="2" xfId="0" applyFont="1" applyFill="1" applyBorder="1" applyAlignment="1">
      <alignment horizontal="center"/>
    </xf>
    <xf numFmtId="0" fontId="7" fillId="67" borderId="3" xfId="0" applyFont="1" applyFill="1" applyBorder="1" applyAlignment="1">
      <alignment horizontal="center"/>
    </xf>
    <xf numFmtId="0" fontId="24" fillId="68" borderId="3" xfId="0" applyFont="1" applyFill="1" applyBorder="1" applyAlignment="1">
      <alignment horizontal="center"/>
    </xf>
    <xf numFmtId="0" fontId="7" fillId="69" borderId="2" xfId="0" applyFont="1" applyFill="1" applyBorder="1" applyAlignment="1">
      <alignment horizontal="center"/>
    </xf>
    <xf numFmtId="0" fontId="7" fillId="70" borderId="2" xfId="0" applyFont="1" applyFill="1" applyBorder="1" applyAlignment="1">
      <alignment horizontal="center"/>
    </xf>
    <xf numFmtId="0" fontId="7" fillId="71" borderId="2" xfId="0" applyFont="1" applyFill="1" applyBorder="1" applyAlignment="1">
      <alignment horizontal="center"/>
    </xf>
    <xf numFmtId="0" fontId="7" fillId="72" borderId="3" xfId="0" applyFont="1" applyFill="1" applyBorder="1" applyAlignment="1">
      <alignment horizontal="center"/>
    </xf>
    <xf numFmtId="0" fontId="7" fillId="2" borderId="4" xfId="0" applyFont="1" applyFill="1" applyBorder="1"/>
    <xf numFmtId="164" fontId="23" fillId="73" borderId="1" xfId="0" applyNumberFormat="1" applyFont="1" applyFill="1" applyBorder="1" applyAlignment="1">
      <alignment horizontal="center"/>
    </xf>
    <xf numFmtId="0" fontId="1" fillId="2" borderId="4" xfId="0" applyFont="1" applyFill="1" applyBorder="1"/>
    <xf numFmtId="49" fontId="7" fillId="2" borderId="1" xfId="0" quotePrefix="1" applyNumberFormat="1" applyFont="1" applyFill="1" applyBorder="1" applyAlignment="1">
      <alignment horizontal="center"/>
    </xf>
    <xf numFmtId="49" fontId="7" fillId="2" borderId="4" xfId="0" quotePrefix="1" applyNumberFormat="1" applyFont="1" applyFill="1" applyBorder="1" applyAlignment="1">
      <alignment horizontal="center"/>
    </xf>
    <xf numFmtId="0" fontId="23" fillId="74" borderId="1" xfId="0" applyFont="1" applyFill="1" applyBorder="1" applyAlignment="1">
      <alignment horizontal="center"/>
    </xf>
    <xf numFmtId="9" fontId="23" fillId="75" borderId="1" xfId="0" applyNumberFormat="1" applyFont="1" applyFill="1" applyBorder="1" applyAlignment="1">
      <alignment horizontal="center"/>
    </xf>
    <xf numFmtId="0" fontId="23" fillId="26" borderId="1" xfId="0" applyFont="1" applyFill="1" applyBorder="1" applyAlignment="1">
      <alignment horizontal="center"/>
    </xf>
    <xf numFmtId="9" fontId="23" fillId="26" borderId="1" xfId="0" applyNumberFormat="1" applyFont="1" applyFill="1" applyBorder="1" applyAlignment="1">
      <alignment horizontal="center"/>
    </xf>
    <xf numFmtId="0" fontId="23" fillId="76" borderId="4" xfId="0" applyFont="1" applyFill="1" applyBorder="1" applyAlignment="1">
      <alignment horizontal="center"/>
    </xf>
    <xf numFmtId="0" fontId="23" fillId="77" borderId="1" xfId="0" applyFont="1" applyFill="1" applyBorder="1" applyAlignment="1">
      <alignment horizontal="center"/>
    </xf>
    <xf numFmtId="9" fontId="23" fillId="14" borderId="1" xfId="0" applyNumberFormat="1" applyFont="1" applyFill="1" applyBorder="1" applyAlignment="1">
      <alignment horizontal="center"/>
    </xf>
    <xf numFmtId="0" fontId="23" fillId="14" borderId="4" xfId="0" applyFont="1" applyFill="1" applyBorder="1" applyAlignment="1">
      <alignment horizontal="center"/>
    </xf>
    <xf numFmtId="10" fontId="23" fillId="78" borderId="1" xfId="0" applyNumberFormat="1" applyFont="1" applyFill="1" applyBorder="1" applyAlignment="1">
      <alignment horizontal="center"/>
    </xf>
    <xf numFmtId="10" fontId="23" fillId="79" borderId="1" xfId="0" applyNumberFormat="1" applyFont="1" applyFill="1" applyBorder="1" applyAlignment="1">
      <alignment horizontal="center"/>
    </xf>
    <xf numFmtId="10" fontId="23" fillId="80" borderId="1" xfId="0" applyNumberFormat="1" applyFont="1" applyFill="1" applyBorder="1" applyAlignment="1">
      <alignment horizontal="center"/>
    </xf>
    <xf numFmtId="10" fontId="23" fillId="81" borderId="4" xfId="0" applyNumberFormat="1" applyFont="1" applyFill="1" applyBorder="1" applyAlignment="1">
      <alignment horizontal="center"/>
    </xf>
    <xf numFmtId="0" fontId="7" fillId="82" borderId="16" xfId="0" applyFont="1" applyFill="1" applyBorder="1" applyAlignment="1">
      <alignment horizontal="center"/>
    </xf>
    <xf numFmtId="0" fontId="7" fillId="26" borderId="16" xfId="0" applyFont="1" applyFill="1" applyBorder="1" applyAlignment="1">
      <alignment horizontal="center"/>
    </xf>
    <xf numFmtId="0" fontId="7" fillId="83" borderId="4" xfId="0" applyFont="1" applyFill="1" applyBorder="1" applyAlignment="1">
      <alignment horizontal="center"/>
    </xf>
    <xf numFmtId="0" fontId="7" fillId="84" borderId="16" xfId="0" applyFont="1" applyFill="1" applyBorder="1" applyAlignment="1">
      <alignment horizontal="center"/>
    </xf>
    <xf numFmtId="0" fontId="7" fillId="85" borderId="4" xfId="0" applyFont="1" applyFill="1" applyBorder="1" applyAlignment="1">
      <alignment horizontal="center"/>
    </xf>
    <xf numFmtId="0" fontId="7" fillId="2" borderId="16" xfId="0" applyFont="1" applyFill="1" applyBorder="1" applyAlignment="1">
      <alignment horizontal="center"/>
    </xf>
    <xf numFmtId="0" fontId="7" fillId="86" borderId="1" xfId="0" applyFont="1" applyFill="1" applyBorder="1" applyAlignment="1">
      <alignment horizontal="center"/>
    </xf>
    <xf numFmtId="0" fontId="7" fillId="87" borderId="4" xfId="0" applyFont="1" applyFill="1" applyBorder="1" applyAlignment="1">
      <alignment horizontal="center"/>
    </xf>
    <xf numFmtId="0" fontId="24" fillId="68" borderId="4" xfId="0" applyFont="1" applyFill="1" applyBorder="1" applyAlignment="1">
      <alignment horizontal="center"/>
    </xf>
    <xf numFmtId="0" fontId="7" fillId="88" borderId="1" xfId="0" applyFont="1" applyFill="1" applyBorder="1" applyAlignment="1">
      <alignment horizontal="center"/>
    </xf>
    <xf numFmtId="0" fontId="7" fillId="89" borderId="1" xfId="0" applyFont="1" applyFill="1" applyBorder="1" applyAlignment="1">
      <alignment horizontal="center"/>
    </xf>
    <xf numFmtId="0" fontId="7" fillId="90" borderId="1" xfId="0" applyFont="1" applyFill="1" applyBorder="1" applyAlignment="1">
      <alignment horizontal="center"/>
    </xf>
    <xf numFmtId="0" fontId="7" fillId="91" borderId="4" xfId="0" applyFont="1" applyFill="1" applyBorder="1" applyAlignment="1">
      <alignment horizontal="center"/>
    </xf>
    <xf numFmtId="164" fontId="23" fillId="92" borderId="2" xfId="0" applyNumberFormat="1" applyFont="1" applyFill="1" applyBorder="1" applyAlignment="1">
      <alignment horizontal="center"/>
    </xf>
    <xf numFmtId="0" fontId="23" fillId="74" borderId="2" xfId="0" applyFont="1" applyFill="1" applyBorder="1" applyAlignment="1">
      <alignment horizontal="center"/>
    </xf>
    <xf numFmtId="9" fontId="23" fillId="93" borderId="2" xfId="0" applyNumberFormat="1" applyFont="1" applyFill="1" applyBorder="1" applyAlignment="1">
      <alignment horizontal="center"/>
    </xf>
    <xf numFmtId="0" fontId="23" fillId="94" borderId="2" xfId="0" applyFont="1" applyFill="1" applyBorder="1" applyAlignment="1">
      <alignment horizontal="center"/>
    </xf>
    <xf numFmtId="9" fontId="23" fillId="75" borderId="2" xfId="0" applyNumberFormat="1" applyFont="1" applyFill="1" applyBorder="1" applyAlignment="1">
      <alignment horizontal="center"/>
    </xf>
    <xf numFmtId="0" fontId="23" fillId="95" borderId="3" xfId="0" applyFont="1" applyFill="1" applyBorder="1" applyAlignment="1">
      <alignment horizontal="center"/>
    </xf>
    <xf numFmtId="0" fontId="23" fillId="96" borderId="2" xfId="0" applyFont="1" applyFill="1" applyBorder="1" applyAlignment="1">
      <alignment horizontal="center"/>
    </xf>
    <xf numFmtId="9" fontId="23" fillId="41" borderId="2" xfId="0" applyNumberFormat="1" applyFont="1" applyFill="1" applyBorder="1" applyAlignment="1">
      <alignment horizontal="center"/>
    </xf>
    <xf numFmtId="9" fontId="23" fillId="81" borderId="2" xfId="0" applyNumberFormat="1" applyFont="1" applyFill="1" applyBorder="1" applyAlignment="1">
      <alignment horizontal="center"/>
    </xf>
    <xf numFmtId="0" fontId="23" fillId="50" borderId="3" xfId="0" applyFont="1" applyFill="1" applyBorder="1" applyAlignment="1">
      <alignment horizontal="center"/>
    </xf>
    <xf numFmtId="10" fontId="23" fillId="97" borderId="2" xfId="0" applyNumberFormat="1" applyFont="1" applyFill="1" applyBorder="1" applyAlignment="1">
      <alignment horizontal="center"/>
    </xf>
    <xf numFmtId="10" fontId="23" fillId="98" borderId="2" xfId="0" applyNumberFormat="1" applyFont="1" applyFill="1" applyBorder="1" applyAlignment="1">
      <alignment horizontal="center"/>
    </xf>
    <xf numFmtId="10" fontId="23" fillId="99" borderId="2" xfId="0" applyNumberFormat="1" applyFont="1" applyFill="1" applyBorder="1" applyAlignment="1">
      <alignment horizontal="center"/>
    </xf>
    <xf numFmtId="10" fontId="23" fillId="100" borderId="3" xfId="0" applyNumberFormat="1" applyFont="1" applyFill="1" applyBorder="1" applyAlignment="1">
      <alignment horizontal="center"/>
    </xf>
    <xf numFmtId="0" fontId="7" fillId="81" borderId="13" xfId="0" applyFont="1" applyFill="1" applyBorder="1" applyAlignment="1">
      <alignment horizontal="center"/>
    </xf>
    <xf numFmtId="0" fontId="7" fillId="48" borderId="13" xfId="0" applyFont="1" applyFill="1" applyBorder="1" applyAlignment="1">
      <alignment horizontal="center"/>
    </xf>
    <xf numFmtId="0" fontId="7" fillId="84" borderId="13" xfId="0" applyFont="1" applyFill="1" applyBorder="1" applyAlignment="1">
      <alignment horizontal="center"/>
    </xf>
    <xf numFmtId="0" fontId="7" fillId="101" borderId="3" xfId="0" applyFont="1" applyFill="1" applyBorder="1" applyAlignment="1">
      <alignment horizontal="center"/>
    </xf>
    <xf numFmtId="0" fontId="24" fillId="102" borderId="3" xfId="0" applyFont="1" applyFill="1" applyBorder="1" applyAlignment="1">
      <alignment horizontal="center"/>
    </xf>
    <xf numFmtId="0" fontId="7" fillId="103" borderId="2" xfId="0" applyFont="1" applyFill="1" applyBorder="1" applyAlignment="1">
      <alignment horizontal="center"/>
    </xf>
    <xf numFmtId="0" fontId="7" fillId="104" borderId="2" xfId="0" applyFont="1" applyFill="1" applyBorder="1" applyAlignment="1">
      <alignment horizontal="center"/>
    </xf>
    <xf numFmtId="0" fontId="7" fillId="105" borderId="2" xfId="0" applyFont="1" applyFill="1" applyBorder="1" applyAlignment="1">
      <alignment horizontal="center"/>
    </xf>
    <xf numFmtId="0" fontId="7" fillId="91" borderId="3" xfId="0" applyFont="1" applyFill="1" applyBorder="1" applyAlignment="1">
      <alignment horizontal="center"/>
    </xf>
    <xf numFmtId="164" fontId="23" fillId="106" borderId="1" xfId="0" applyNumberFormat="1" applyFont="1" applyFill="1" applyBorder="1" applyAlignment="1">
      <alignment horizontal="center"/>
    </xf>
    <xf numFmtId="0" fontId="23" fillId="107" borderId="1" xfId="0" applyFont="1" applyFill="1" applyBorder="1" applyAlignment="1">
      <alignment horizontal="center"/>
    </xf>
    <xf numFmtId="9" fontId="23" fillId="108" borderId="1" xfId="0" applyNumberFormat="1" applyFont="1" applyFill="1" applyBorder="1" applyAlignment="1">
      <alignment horizontal="center"/>
    </xf>
    <xf numFmtId="0" fontId="23" fillId="48" borderId="1" xfId="0" applyFont="1" applyFill="1" applyBorder="1" applyAlignment="1">
      <alignment horizontal="center"/>
    </xf>
    <xf numFmtId="9" fontId="23" fillId="109" borderId="1" xfId="0" applyNumberFormat="1" applyFont="1" applyFill="1" applyBorder="1" applyAlignment="1">
      <alignment horizontal="center"/>
    </xf>
    <xf numFmtId="0" fontId="23" fillId="110" borderId="4" xfId="0" applyFont="1" applyFill="1" applyBorder="1" applyAlignment="1">
      <alignment horizontal="center"/>
    </xf>
    <xf numFmtId="0" fontId="23" fillId="15" borderId="1" xfId="0" applyFont="1" applyFill="1" applyBorder="1" applyAlignment="1">
      <alignment horizontal="center"/>
    </xf>
    <xf numFmtId="9" fontId="23" fillId="111" borderId="1" xfId="0" applyNumberFormat="1" applyFont="1" applyFill="1" applyBorder="1" applyAlignment="1">
      <alignment horizontal="center"/>
    </xf>
    <xf numFmtId="9" fontId="23" fillId="81" borderId="1" xfId="0" applyNumberFormat="1" applyFont="1" applyFill="1" applyBorder="1" applyAlignment="1">
      <alignment horizontal="center"/>
    </xf>
    <xf numFmtId="0" fontId="23" fillId="50" borderId="4" xfId="0" applyFont="1" applyFill="1" applyBorder="1" applyAlignment="1">
      <alignment horizontal="center"/>
    </xf>
    <xf numFmtId="10" fontId="23" fillId="112" borderId="1" xfId="0" applyNumberFormat="1" applyFont="1" applyFill="1" applyBorder="1" applyAlignment="1">
      <alignment horizontal="center"/>
    </xf>
    <xf numFmtId="10" fontId="23" fillId="113" borderId="1" xfId="0" applyNumberFormat="1" applyFont="1" applyFill="1" applyBorder="1" applyAlignment="1">
      <alignment horizontal="center"/>
    </xf>
    <xf numFmtId="10" fontId="23" fillId="98" borderId="1" xfId="0" applyNumberFormat="1" applyFont="1" applyFill="1" applyBorder="1" applyAlignment="1">
      <alignment horizontal="center"/>
    </xf>
    <xf numFmtId="10" fontId="23" fillId="108" borderId="4" xfId="0" applyNumberFormat="1" applyFont="1" applyFill="1" applyBorder="1" applyAlignment="1">
      <alignment horizontal="center"/>
    </xf>
    <xf numFmtId="0" fontId="7" fillId="114" borderId="16" xfId="0" applyFont="1" applyFill="1" applyBorder="1" applyAlignment="1">
      <alignment horizontal="center"/>
    </xf>
    <xf numFmtId="0" fontId="7" fillId="115" borderId="16" xfId="0" applyFont="1" applyFill="1" applyBorder="1" applyAlignment="1">
      <alignment horizontal="center"/>
    </xf>
    <xf numFmtId="0" fontId="7" fillId="26" borderId="1" xfId="0" applyFont="1" applyFill="1" applyBorder="1" applyAlignment="1">
      <alignment horizontal="center"/>
    </xf>
    <xf numFmtId="0" fontId="7" fillId="116" borderId="4" xfId="0" applyFont="1" applyFill="1" applyBorder="1" applyAlignment="1">
      <alignment horizontal="center"/>
    </xf>
    <xf numFmtId="0" fontId="24" fillId="102" borderId="4" xfId="0" applyFont="1" applyFill="1" applyBorder="1" applyAlignment="1">
      <alignment horizontal="center"/>
    </xf>
    <xf numFmtId="0" fontId="7" fillId="117" borderId="1" xfId="0" applyFont="1" applyFill="1" applyBorder="1" applyAlignment="1">
      <alignment horizontal="center"/>
    </xf>
    <xf numFmtId="0" fontId="7" fillId="118" borderId="1" xfId="0" applyFont="1" applyFill="1" applyBorder="1" applyAlignment="1">
      <alignment horizontal="center"/>
    </xf>
    <xf numFmtId="0" fontId="7" fillId="119" borderId="1" xfId="0" applyFont="1" applyFill="1" applyBorder="1" applyAlignment="1">
      <alignment horizontal="center"/>
    </xf>
    <xf numFmtId="0" fontId="7" fillId="120" borderId="4" xfId="0" applyFont="1" applyFill="1" applyBorder="1" applyAlignment="1">
      <alignment horizontal="center"/>
    </xf>
    <xf numFmtId="164" fontId="23" fillId="26" borderId="2" xfId="0" applyNumberFormat="1" applyFont="1" applyFill="1" applyBorder="1" applyAlignment="1">
      <alignment horizontal="center"/>
    </xf>
    <xf numFmtId="0" fontId="23" fillId="121" borderId="2" xfId="0" applyFont="1" applyFill="1" applyBorder="1" applyAlignment="1">
      <alignment horizontal="center"/>
    </xf>
    <xf numFmtId="9" fontId="23" fillId="122" borderId="2" xfId="0" applyNumberFormat="1" applyFont="1" applyFill="1" applyBorder="1" applyAlignment="1">
      <alignment horizontal="center"/>
    </xf>
    <xf numFmtId="0" fontId="23" fillId="123" borderId="2" xfId="0" applyFont="1" applyFill="1" applyBorder="1" applyAlignment="1">
      <alignment horizontal="center"/>
    </xf>
    <xf numFmtId="9" fontId="23" fillId="124" borderId="2" xfId="0" applyNumberFormat="1" applyFont="1" applyFill="1" applyBorder="1" applyAlignment="1">
      <alignment horizontal="center"/>
    </xf>
    <xf numFmtId="0" fontId="23" fillId="121" borderId="3" xfId="0" applyFont="1" applyFill="1" applyBorder="1" applyAlignment="1">
      <alignment horizontal="center"/>
    </xf>
    <xf numFmtId="0" fontId="23" fillId="125" borderId="2" xfId="0" applyFont="1" applyFill="1" applyBorder="1" applyAlignment="1">
      <alignment horizontal="center"/>
    </xf>
    <xf numFmtId="9" fontId="23" fillId="126" borderId="2" xfId="0" applyNumberFormat="1" applyFont="1" applyFill="1" applyBorder="1" applyAlignment="1">
      <alignment horizontal="center"/>
    </xf>
    <xf numFmtId="9" fontId="23" fillId="127" borderId="2" xfId="0" applyNumberFormat="1" applyFont="1" applyFill="1" applyBorder="1" applyAlignment="1">
      <alignment horizontal="center"/>
    </xf>
    <xf numFmtId="0" fontId="23" fillId="43" borderId="3" xfId="0" applyFont="1" applyFill="1" applyBorder="1" applyAlignment="1">
      <alignment horizontal="center"/>
    </xf>
    <xf numFmtId="10" fontId="23" fillId="128" borderId="2" xfId="0" applyNumberFormat="1" applyFont="1" applyFill="1" applyBorder="1" applyAlignment="1">
      <alignment horizontal="center"/>
    </xf>
    <xf numFmtId="10" fontId="23" fillId="129" borderId="2" xfId="0" applyNumberFormat="1" applyFont="1" applyFill="1" applyBorder="1" applyAlignment="1">
      <alignment horizontal="center"/>
    </xf>
    <xf numFmtId="10" fontId="23" fillId="130" borderId="2" xfId="0" applyNumberFormat="1" applyFont="1" applyFill="1" applyBorder="1" applyAlignment="1">
      <alignment horizontal="center"/>
    </xf>
    <xf numFmtId="10" fontId="23" fillId="131" borderId="3" xfId="0" applyNumberFormat="1" applyFont="1" applyFill="1" applyBorder="1" applyAlignment="1">
      <alignment horizontal="center"/>
    </xf>
    <xf numFmtId="0" fontId="7" fillId="132" borderId="13" xfId="0" applyFont="1" applyFill="1" applyBorder="1" applyAlignment="1">
      <alignment horizontal="center"/>
    </xf>
    <xf numFmtId="0" fontId="7" fillId="133" borderId="3" xfId="0" applyFont="1" applyFill="1" applyBorder="1" applyAlignment="1">
      <alignment horizontal="center"/>
    </xf>
    <xf numFmtId="0" fontId="7" fillId="134" borderId="13" xfId="0" applyFont="1" applyFill="1" applyBorder="1" applyAlignment="1">
      <alignment horizontal="center"/>
    </xf>
    <xf numFmtId="0" fontId="7" fillId="135" borderId="13" xfId="0" applyFont="1" applyFill="1" applyBorder="1" applyAlignment="1">
      <alignment horizontal="center"/>
    </xf>
    <xf numFmtId="0" fontId="7" fillId="136" borderId="2" xfId="0" applyFont="1" applyFill="1" applyBorder="1" applyAlignment="1">
      <alignment horizontal="center"/>
    </xf>
    <xf numFmtId="164" fontId="23" fillId="14" borderId="1" xfId="0" applyNumberFormat="1" applyFont="1" applyFill="1" applyBorder="1" applyAlignment="1">
      <alignment horizontal="center"/>
    </xf>
    <xf numFmtId="0" fontId="23" fillId="61" borderId="1" xfId="0" applyFont="1" applyFill="1" applyBorder="1" applyAlignment="1">
      <alignment horizontal="center"/>
    </xf>
    <xf numFmtId="9" fontId="23" fillId="110" borderId="1" xfId="0" applyNumberFormat="1" applyFont="1" applyFill="1" applyBorder="1" applyAlignment="1">
      <alignment horizontal="center"/>
    </xf>
    <xf numFmtId="0" fontId="23" fillId="137" borderId="1" xfId="0" applyFont="1" applyFill="1" applyBorder="1" applyAlignment="1">
      <alignment horizontal="center"/>
    </xf>
    <xf numFmtId="9" fontId="23" fillId="138" borderId="1" xfId="0" applyNumberFormat="1" applyFont="1" applyFill="1" applyBorder="1" applyAlignment="1">
      <alignment horizontal="center"/>
    </xf>
    <xf numFmtId="0" fontId="23" fillId="139" borderId="4" xfId="0" applyFont="1" applyFill="1" applyBorder="1" applyAlignment="1">
      <alignment horizontal="center"/>
    </xf>
    <xf numFmtId="9" fontId="23" fillId="140" borderId="1" xfId="0" applyNumberFormat="1" applyFont="1" applyFill="1" applyBorder="1" applyAlignment="1">
      <alignment horizontal="center"/>
    </xf>
    <xf numFmtId="9" fontId="23" fillId="59" borderId="1" xfId="0" applyNumberFormat="1" applyFont="1" applyFill="1" applyBorder="1" applyAlignment="1">
      <alignment horizontal="center"/>
    </xf>
    <xf numFmtId="0" fontId="23" fillId="141" borderId="4" xfId="0" applyFont="1" applyFill="1" applyBorder="1" applyAlignment="1">
      <alignment horizontal="center"/>
    </xf>
    <xf numFmtId="10" fontId="23" fillId="49" borderId="1" xfId="0" applyNumberFormat="1" applyFont="1" applyFill="1" applyBorder="1" applyAlignment="1">
      <alignment horizontal="center"/>
    </xf>
    <xf numFmtId="10" fontId="23" fillId="142" borderId="1" xfId="0" applyNumberFormat="1" applyFont="1" applyFill="1" applyBorder="1" applyAlignment="1">
      <alignment horizontal="center"/>
    </xf>
    <xf numFmtId="10" fontId="23" fillId="143" borderId="1" xfId="0" applyNumberFormat="1" applyFont="1" applyFill="1" applyBorder="1" applyAlignment="1">
      <alignment horizontal="center"/>
    </xf>
    <xf numFmtId="10" fontId="23" fillId="144" borderId="4" xfId="0" applyNumberFormat="1" applyFont="1" applyFill="1" applyBorder="1" applyAlignment="1">
      <alignment horizontal="center"/>
    </xf>
    <xf numFmtId="0" fontId="7" fillId="134" borderId="16" xfId="0" applyFont="1" applyFill="1" applyBorder="1" applyAlignment="1">
      <alignment horizontal="center"/>
    </xf>
    <xf numFmtId="0" fontId="7" fillId="145" borderId="1" xfId="0" applyFont="1" applyFill="1" applyBorder="1" applyAlignment="1">
      <alignment horizontal="center"/>
    </xf>
    <xf numFmtId="164" fontId="23" fillId="146" borderId="2" xfId="0" applyNumberFormat="1" applyFont="1" applyFill="1" applyBorder="1" applyAlignment="1">
      <alignment horizontal="center"/>
    </xf>
    <xf numFmtId="0" fontId="23" fillId="109" borderId="2" xfId="0" applyFont="1" applyFill="1" applyBorder="1" applyAlignment="1">
      <alignment horizontal="center"/>
    </xf>
    <xf numFmtId="0" fontId="23" fillId="147" borderId="2" xfId="0" applyFont="1" applyFill="1" applyBorder="1" applyAlignment="1">
      <alignment horizontal="center"/>
    </xf>
    <xf numFmtId="9" fontId="23" fillId="138" borderId="2" xfId="0" applyNumberFormat="1" applyFont="1" applyFill="1" applyBorder="1" applyAlignment="1">
      <alignment horizontal="center"/>
    </xf>
    <xf numFmtId="0" fontId="23" fillId="20" borderId="2" xfId="0" applyFont="1" applyFill="1" applyBorder="1" applyAlignment="1">
      <alignment horizontal="center"/>
    </xf>
    <xf numFmtId="9" fontId="23" fillId="148" borderId="2" xfId="0" applyNumberFormat="1" applyFont="1" applyFill="1" applyBorder="1" applyAlignment="1">
      <alignment horizontal="center"/>
    </xf>
    <xf numFmtId="9" fontId="23" fillId="149" borderId="2" xfId="0" applyNumberFormat="1" applyFont="1" applyFill="1" applyBorder="1" applyAlignment="1">
      <alignment horizontal="center"/>
    </xf>
    <xf numFmtId="10" fontId="23" fillId="122" borderId="2" xfId="0" applyNumberFormat="1" applyFont="1" applyFill="1" applyBorder="1" applyAlignment="1">
      <alignment horizontal="center"/>
    </xf>
    <xf numFmtId="10" fontId="23" fillId="150" borderId="2" xfId="0" applyNumberFormat="1" applyFont="1" applyFill="1" applyBorder="1" applyAlignment="1">
      <alignment horizontal="center"/>
    </xf>
    <xf numFmtId="10" fontId="23" fillId="151" borderId="2" xfId="0" applyNumberFormat="1" applyFont="1" applyFill="1" applyBorder="1" applyAlignment="1">
      <alignment horizontal="center"/>
    </xf>
    <xf numFmtId="10" fontId="23" fillId="128" borderId="3" xfId="0" applyNumberFormat="1" applyFont="1" applyFill="1" applyBorder="1" applyAlignment="1">
      <alignment horizontal="center"/>
    </xf>
    <xf numFmtId="0" fontId="7" fillId="152" borderId="13" xfId="0" applyFont="1" applyFill="1" applyBorder="1" applyAlignment="1">
      <alignment horizontal="center"/>
    </xf>
    <xf numFmtId="0" fontId="7" fillId="85" borderId="3" xfId="0" applyFont="1" applyFill="1" applyBorder="1" applyAlignment="1">
      <alignment horizontal="center"/>
    </xf>
    <xf numFmtId="0" fontId="7" fillId="153" borderId="3" xfId="0" applyFont="1" applyFill="1" applyBorder="1" applyAlignment="1">
      <alignment horizontal="center"/>
    </xf>
    <xf numFmtId="0" fontId="24" fillId="154" borderId="3" xfId="0" applyFont="1" applyFill="1" applyBorder="1" applyAlignment="1">
      <alignment horizontal="center"/>
    </xf>
    <xf numFmtId="0" fontId="7" fillId="155" borderId="2" xfId="0" applyFont="1" applyFill="1" applyBorder="1" applyAlignment="1">
      <alignment horizontal="center"/>
    </xf>
    <xf numFmtId="0" fontId="7" fillId="156" borderId="2" xfId="0" applyFont="1" applyFill="1" applyBorder="1" applyAlignment="1">
      <alignment horizontal="center"/>
    </xf>
    <xf numFmtId="0" fontId="7" fillId="157" borderId="2" xfId="0" applyFont="1" applyFill="1" applyBorder="1" applyAlignment="1">
      <alignment horizontal="center"/>
    </xf>
    <xf numFmtId="0" fontId="7" fillId="158" borderId="3" xfId="0" applyFont="1" applyFill="1" applyBorder="1" applyAlignment="1">
      <alignment horizontal="center"/>
    </xf>
    <xf numFmtId="164" fontId="23" fillId="159" borderId="1" xfId="0" applyNumberFormat="1" applyFont="1" applyFill="1" applyBorder="1" applyAlignment="1">
      <alignment horizontal="center"/>
    </xf>
    <xf numFmtId="0" fontId="23" fillId="113" borderId="1" xfId="0" applyFont="1" applyFill="1" applyBorder="1" applyAlignment="1">
      <alignment horizontal="center"/>
    </xf>
    <xf numFmtId="9" fontId="23" fillId="35" borderId="1" xfId="0" applyNumberFormat="1" applyFont="1" applyFill="1" applyBorder="1" applyAlignment="1">
      <alignment horizontal="center"/>
    </xf>
    <xf numFmtId="0" fontId="23" fillId="160" borderId="1" xfId="0" applyFont="1" applyFill="1" applyBorder="1" applyAlignment="1">
      <alignment horizontal="center"/>
    </xf>
    <xf numFmtId="0" fontId="23" fillId="161" borderId="4" xfId="0" applyFont="1" applyFill="1" applyBorder="1" applyAlignment="1">
      <alignment horizontal="center"/>
    </xf>
    <xf numFmtId="0" fontId="23" fillId="121" borderId="1" xfId="0" applyFont="1" applyFill="1" applyBorder="1" applyAlignment="1">
      <alignment horizontal="center"/>
    </xf>
    <xf numFmtId="9" fontId="23" fillId="162" borderId="1" xfId="0" applyNumberFormat="1" applyFont="1" applyFill="1" applyBorder="1" applyAlignment="1">
      <alignment horizontal="center"/>
    </xf>
    <xf numFmtId="9" fontId="23" fillId="163" borderId="1" xfId="0" applyNumberFormat="1" applyFont="1" applyFill="1" applyBorder="1" applyAlignment="1">
      <alignment horizontal="center"/>
    </xf>
    <xf numFmtId="0" fontId="23" fillId="164" borderId="4" xfId="0" applyFont="1" applyFill="1" applyBorder="1" applyAlignment="1">
      <alignment horizontal="center"/>
    </xf>
    <xf numFmtId="10" fontId="23" fillId="165" borderId="1" xfId="0" applyNumberFormat="1" applyFont="1" applyFill="1" applyBorder="1" applyAlignment="1">
      <alignment horizontal="center"/>
    </xf>
    <xf numFmtId="10" fontId="23" fillId="166" borderId="1" xfId="0" applyNumberFormat="1" applyFont="1" applyFill="1" applyBorder="1" applyAlignment="1">
      <alignment horizontal="center"/>
    </xf>
    <xf numFmtId="10" fontId="23" fillId="167" borderId="1" xfId="0" applyNumberFormat="1" applyFont="1" applyFill="1" applyBorder="1" applyAlignment="1">
      <alignment horizontal="center"/>
    </xf>
    <xf numFmtId="10" fontId="23" fillId="168" borderId="4" xfId="0" applyNumberFormat="1" applyFont="1" applyFill="1" applyBorder="1" applyAlignment="1">
      <alignment horizontal="center"/>
    </xf>
    <xf numFmtId="0" fontId="7" fillId="169" borderId="16" xfId="0" applyFont="1" applyFill="1" applyBorder="1" applyAlignment="1">
      <alignment horizontal="center"/>
    </xf>
    <xf numFmtId="0" fontId="7" fillId="27" borderId="16" xfId="0" applyFont="1" applyFill="1" applyBorder="1" applyAlignment="1">
      <alignment horizontal="center"/>
    </xf>
    <xf numFmtId="0" fontId="7" fillId="135" borderId="16" xfId="0" applyFont="1" applyFill="1" applyBorder="1" applyAlignment="1">
      <alignment horizontal="center"/>
    </xf>
    <xf numFmtId="0" fontId="7" fillId="170" borderId="4" xfId="0" applyFont="1" applyFill="1" applyBorder="1" applyAlignment="1">
      <alignment horizontal="center"/>
    </xf>
    <xf numFmtId="0" fontId="24" fillId="154" borderId="4" xfId="0" applyFont="1" applyFill="1" applyBorder="1" applyAlignment="1">
      <alignment horizontal="center"/>
    </xf>
    <xf numFmtId="0" fontId="7" fillId="171" borderId="1" xfId="0" applyFont="1" applyFill="1" applyBorder="1" applyAlignment="1">
      <alignment horizontal="center"/>
    </xf>
    <xf numFmtId="0" fontId="7" fillId="172" borderId="1" xfId="0" applyFont="1" applyFill="1" applyBorder="1" applyAlignment="1">
      <alignment horizontal="center"/>
    </xf>
    <xf numFmtId="0" fontId="7" fillId="173" borderId="1" xfId="0" applyFont="1" applyFill="1" applyBorder="1" applyAlignment="1">
      <alignment horizontal="center"/>
    </xf>
    <xf numFmtId="0" fontId="7" fillId="174" borderId="4" xfId="0" applyFont="1" applyFill="1" applyBorder="1" applyAlignment="1">
      <alignment horizontal="center"/>
    </xf>
    <xf numFmtId="164" fontId="23" fillId="175" borderId="2" xfId="0" applyNumberFormat="1" applyFont="1" applyFill="1" applyBorder="1" applyAlignment="1">
      <alignment horizontal="center"/>
    </xf>
    <xf numFmtId="0" fontId="23" fillId="176" borderId="2" xfId="0" applyFont="1" applyFill="1" applyBorder="1" applyAlignment="1">
      <alignment horizontal="center"/>
    </xf>
    <xf numFmtId="9" fontId="23" fillId="177" borderId="2" xfId="0" applyNumberFormat="1" applyFont="1" applyFill="1" applyBorder="1" applyAlignment="1">
      <alignment horizontal="center"/>
    </xf>
    <xf numFmtId="0" fontId="23" fillId="83" borderId="2" xfId="0" applyFont="1" applyFill="1" applyBorder="1" applyAlignment="1">
      <alignment horizontal="center"/>
    </xf>
    <xf numFmtId="9" fontId="23" fillId="109" borderId="2" xfId="0" applyNumberFormat="1" applyFont="1" applyFill="1" applyBorder="1" applyAlignment="1">
      <alignment horizontal="center"/>
    </xf>
    <xf numFmtId="0" fontId="23" fillId="178" borderId="3" xfId="0" applyFont="1" applyFill="1" applyBorder="1" applyAlignment="1">
      <alignment horizontal="center"/>
    </xf>
    <xf numFmtId="9" fontId="23" fillId="98" borderId="2" xfId="0" applyNumberFormat="1" applyFont="1" applyFill="1" applyBorder="1" applyAlignment="1">
      <alignment horizontal="center"/>
    </xf>
    <xf numFmtId="10" fontId="23" fillId="40" borderId="2" xfId="0" applyNumberFormat="1" applyFont="1" applyFill="1" applyBorder="1" applyAlignment="1">
      <alignment horizontal="center"/>
    </xf>
    <xf numFmtId="10" fontId="23" fillId="179" borderId="2" xfId="0" applyNumberFormat="1" applyFont="1" applyFill="1" applyBorder="1" applyAlignment="1">
      <alignment horizontal="center"/>
    </xf>
    <xf numFmtId="10" fontId="23" fillId="180" borderId="2" xfId="0" applyNumberFormat="1" applyFont="1" applyFill="1" applyBorder="1" applyAlignment="1">
      <alignment horizontal="center"/>
    </xf>
    <xf numFmtId="10" fontId="23" fillId="181" borderId="3" xfId="0" applyNumberFormat="1" applyFont="1" applyFill="1" applyBorder="1" applyAlignment="1">
      <alignment horizontal="center"/>
    </xf>
    <xf numFmtId="0" fontId="7" fillId="182" borderId="3" xfId="0" applyFont="1" applyFill="1" applyBorder="1" applyAlignment="1">
      <alignment horizontal="center"/>
    </xf>
    <xf numFmtId="0" fontId="7" fillId="183" borderId="2" xfId="0" applyFont="1" applyFill="1" applyBorder="1" applyAlignment="1">
      <alignment horizontal="center"/>
    </xf>
    <xf numFmtId="0" fontId="7" fillId="184" borderId="3" xfId="0" applyFont="1" applyFill="1" applyBorder="1" applyAlignment="1">
      <alignment horizontal="center"/>
    </xf>
    <xf numFmtId="0" fontId="24" fillId="185" borderId="3" xfId="0" applyFont="1" applyFill="1" applyBorder="1" applyAlignment="1">
      <alignment horizontal="center"/>
    </xf>
    <xf numFmtId="0" fontId="7" fillId="186" borderId="2" xfId="0" applyFont="1" applyFill="1" applyBorder="1" applyAlignment="1">
      <alignment horizontal="center"/>
    </xf>
    <xf numFmtId="0" fontId="7" fillId="173" borderId="2" xfId="0" applyFont="1" applyFill="1" applyBorder="1" applyAlignment="1">
      <alignment horizontal="center"/>
    </xf>
    <xf numFmtId="164" fontId="23" fillId="187" borderId="1" xfId="0" applyNumberFormat="1" applyFont="1" applyFill="1" applyBorder="1" applyAlignment="1">
      <alignment horizontal="center"/>
    </xf>
    <xf numFmtId="0" fontId="23" fillId="188" borderId="1" xfId="0" applyFont="1" applyFill="1" applyBorder="1" applyAlignment="1">
      <alignment horizontal="center"/>
    </xf>
    <xf numFmtId="9" fontId="23" fillId="40" borderId="1" xfId="0" applyNumberFormat="1" applyFont="1" applyFill="1" applyBorder="1" applyAlignment="1">
      <alignment horizontal="center"/>
    </xf>
    <xf numFmtId="0" fontId="23" fillId="26" borderId="4" xfId="0" applyFont="1" applyFill="1" applyBorder="1" applyAlignment="1">
      <alignment horizontal="center"/>
    </xf>
    <xf numFmtId="0" fontId="23" fillId="14" borderId="1" xfId="0" applyFont="1" applyFill="1" applyBorder="1" applyAlignment="1">
      <alignment horizontal="center"/>
    </xf>
    <xf numFmtId="10" fontId="23" fillId="14" borderId="1" xfId="0" applyNumberFormat="1" applyFont="1" applyFill="1" applyBorder="1" applyAlignment="1">
      <alignment horizontal="center"/>
    </xf>
    <xf numFmtId="10" fontId="23" fillId="26" borderId="4" xfId="0" applyNumberFormat="1" applyFont="1" applyFill="1" applyBorder="1" applyAlignment="1">
      <alignment horizontal="center"/>
    </xf>
    <xf numFmtId="0" fontId="7" fillId="48" borderId="16" xfId="0" applyFont="1" applyFill="1" applyBorder="1" applyAlignment="1">
      <alignment horizontal="center"/>
    </xf>
    <xf numFmtId="0" fontId="7" fillId="14" borderId="16" xfId="0" applyFont="1" applyFill="1" applyBorder="1" applyAlignment="1">
      <alignment horizontal="center"/>
    </xf>
    <xf numFmtId="0" fontId="7" fillId="189" borderId="1" xfId="0" applyFont="1" applyFill="1" applyBorder="1" applyAlignment="1">
      <alignment horizontal="center"/>
    </xf>
    <xf numFmtId="0" fontId="7" fillId="190" borderId="4" xfId="0" applyFont="1" applyFill="1" applyBorder="1" applyAlignment="1">
      <alignment horizontal="center"/>
    </xf>
    <xf numFmtId="0" fontId="24" fillId="185" borderId="4" xfId="0" applyFont="1" applyFill="1" applyBorder="1" applyAlignment="1">
      <alignment horizontal="center"/>
    </xf>
    <xf numFmtId="0" fontId="7" fillId="191" borderId="1" xfId="0" applyFont="1" applyFill="1" applyBorder="1" applyAlignment="1">
      <alignment horizontal="center"/>
    </xf>
    <xf numFmtId="0" fontId="7" fillId="192" borderId="4" xfId="0" applyFont="1" applyFill="1" applyBorder="1" applyAlignment="1">
      <alignment horizontal="center"/>
    </xf>
    <xf numFmtId="164" fontId="23" fillId="193" borderId="2" xfId="0" applyNumberFormat="1" applyFont="1" applyFill="1" applyBorder="1" applyAlignment="1">
      <alignment horizontal="center"/>
    </xf>
    <xf numFmtId="0" fontId="23" fillId="161" borderId="2" xfId="0" applyFont="1" applyFill="1" applyBorder="1" applyAlignment="1">
      <alignment horizontal="center"/>
    </xf>
    <xf numFmtId="9" fontId="23" fillId="150" borderId="2" xfId="0" applyNumberFormat="1" applyFont="1" applyFill="1" applyBorder="1" applyAlignment="1">
      <alignment horizontal="center"/>
    </xf>
    <xf numFmtId="0" fontId="23" fillId="48" borderId="2" xfId="0" applyFont="1" applyFill="1" applyBorder="1" applyAlignment="1">
      <alignment horizontal="center"/>
    </xf>
    <xf numFmtId="0" fontId="23" fillId="149" borderId="3" xfId="0" applyFont="1" applyFill="1" applyBorder="1" applyAlignment="1">
      <alignment horizontal="center"/>
    </xf>
    <xf numFmtId="0" fontId="23" fillId="194" borderId="2" xfId="0" applyFont="1" applyFill="1" applyBorder="1" applyAlignment="1">
      <alignment horizontal="center"/>
    </xf>
    <xf numFmtId="9" fontId="23" fillId="181" borderId="2" xfId="0" applyNumberFormat="1" applyFont="1" applyFill="1" applyBorder="1" applyAlignment="1">
      <alignment horizontal="center"/>
    </xf>
    <xf numFmtId="0" fontId="23" fillId="26" borderId="3" xfId="0" applyFont="1" applyFill="1" applyBorder="1" applyAlignment="1">
      <alignment horizontal="center"/>
    </xf>
    <xf numFmtId="10" fontId="23" fillId="195" borderId="2" xfId="0" applyNumberFormat="1" applyFont="1" applyFill="1" applyBorder="1" applyAlignment="1">
      <alignment horizontal="center"/>
    </xf>
    <xf numFmtId="10" fontId="23" fillId="196" borderId="2" xfId="0" applyNumberFormat="1" applyFont="1" applyFill="1" applyBorder="1" applyAlignment="1">
      <alignment horizontal="center"/>
    </xf>
    <xf numFmtId="10" fontId="23" fillId="197" borderId="2" xfId="0" applyNumberFormat="1" applyFont="1" applyFill="1" applyBorder="1" applyAlignment="1">
      <alignment horizontal="center"/>
    </xf>
    <xf numFmtId="10" fontId="23" fillId="59" borderId="3" xfId="0" applyNumberFormat="1" applyFont="1" applyFill="1" applyBorder="1" applyAlignment="1">
      <alignment horizontal="center"/>
    </xf>
    <xf numFmtId="0" fontId="7" fillId="49" borderId="13" xfId="0" applyFont="1" applyFill="1" applyBorder="1" applyAlignment="1">
      <alignment horizontal="center"/>
    </xf>
    <xf numFmtId="0" fontId="7" fillId="50" borderId="13" xfId="0" applyFont="1" applyFill="1" applyBorder="1" applyAlignment="1">
      <alignment horizontal="center"/>
    </xf>
    <xf numFmtId="0" fontId="7" fillId="198" borderId="2" xfId="0" applyFont="1" applyFill="1" applyBorder="1" applyAlignment="1">
      <alignment horizontal="center"/>
    </xf>
    <xf numFmtId="0" fontId="7" fillId="51" borderId="3" xfId="0" applyFont="1" applyFill="1" applyBorder="1" applyAlignment="1">
      <alignment horizontal="center"/>
    </xf>
    <xf numFmtId="0" fontId="7" fillId="199" borderId="2" xfId="0" applyFont="1" applyFill="1" applyBorder="1" applyAlignment="1">
      <alignment horizontal="center"/>
    </xf>
    <xf numFmtId="0" fontId="7" fillId="26" borderId="2" xfId="0" applyFont="1" applyFill="1" applyBorder="1" applyAlignment="1">
      <alignment horizontal="center"/>
    </xf>
    <xf numFmtId="0" fontId="7" fillId="200" borderId="3" xfId="0" applyFont="1" applyFill="1" applyBorder="1" applyAlignment="1">
      <alignment horizontal="center"/>
    </xf>
    <xf numFmtId="164" fontId="23" fillId="201" borderId="1" xfId="0" applyNumberFormat="1" applyFont="1" applyFill="1" applyBorder="1" applyAlignment="1">
      <alignment horizontal="center"/>
    </xf>
    <xf numFmtId="0" fontId="23" fillId="202" borderId="1" xfId="0" applyFont="1" applyFill="1" applyBorder="1" applyAlignment="1">
      <alignment horizontal="center"/>
    </xf>
    <xf numFmtId="9" fontId="23" fillId="203" borderId="1" xfId="0" applyNumberFormat="1" applyFont="1" applyFill="1" applyBorder="1" applyAlignment="1">
      <alignment horizontal="center"/>
    </xf>
    <xf numFmtId="0" fontId="23" fillId="204" borderId="1" xfId="0" applyFont="1" applyFill="1" applyBorder="1" applyAlignment="1">
      <alignment horizontal="center"/>
    </xf>
    <xf numFmtId="9" fontId="23" fillId="124" borderId="1" xfId="0" applyNumberFormat="1" applyFont="1" applyFill="1" applyBorder="1" applyAlignment="1">
      <alignment horizontal="center"/>
    </xf>
    <xf numFmtId="0" fontId="23" fillId="61" borderId="4" xfId="0" applyFont="1" applyFill="1" applyBorder="1" applyAlignment="1">
      <alignment horizontal="center"/>
    </xf>
    <xf numFmtId="9" fontId="23" fillId="205" borderId="1" xfId="0" applyNumberFormat="1" applyFont="1" applyFill="1" applyBorder="1" applyAlignment="1">
      <alignment horizontal="center"/>
    </xf>
    <xf numFmtId="10" fontId="23" fillId="206" borderId="1" xfId="0" applyNumberFormat="1" applyFont="1" applyFill="1" applyBorder="1" applyAlignment="1">
      <alignment horizontal="center"/>
    </xf>
    <xf numFmtId="10" fontId="23" fillId="124" borderId="4" xfId="0" applyNumberFormat="1" applyFont="1" applyFill="1" applyBorder="1" applyAlignment="1">
      <alignment horizontal="center"/>
    </xf>
    <xf numFmtId="0" fontId="7" fillId="207" borderId="16" xfId="0" applyFont="1" applyFill="1" applyBorder="1" applyAlignment="1">
      <alignment horizontal="center"/>
    </xf>
    <xf numFmtId="0" fontId="7" fillId="30" borderId="4" xfId="0" applyFont="1" applyFill="1" applyBorder="1" applyAlignment="1">
      <alignment horizontal="center"/>
    </xf>
    <xf numFmtId="0" fontId="7" fillId="208" borderId="1" xfId="0" applyFont="1" applyFill="1" applyBorder="1" applyAlignment="1">
      <alignment horizontal="center"/>
    </xf>
    <xf numFmtId="0" fontId="7" fillId="31" borderId="4" xfId="0" applyFont="1" applyFill="1" applyBorder="1" applyAlignment="1">
      <alignment horizontal="center"/>
    </xf>
    <xf numFmtId="0" fontId="7" fillId="69" borderId="1" xfId="0" applyFont="1" applyFill="1" applyBorder="1" applyAlignment="1">
      <alignment horizontal="center"/>
    </xf>
    <xf numFmtId="0" fontId="7" fillId="70" borderId="1" xfId="0" applyFont="1" applyFill="1" applyBorder="1" applyAlignment="1">
      <alignment horizontal="center"/>
    </xf>
    <xf numFmtId="0" fontId="7" fillId="209" borderId="1" xfId="0" applyFont="1" applyFill="1" applyBorder="1" applyAlignment="1">
      <alignment horizontal="center"/>
    </xf>
    <xf numFmtId="0" fontId="7" fillId="71" borderId="4" xfId="0" applyFont="1" applyFill="1" applyBorder="1" applyAlignment="1">
      <alignment horizontal="center"/>
    </xf>
    <xf numFmtId="164" fontId="23" fillId="210" borderId="2" xfId="0" applyNumberFormat="1" applyFont="1" applyFill="1" applyBorder="1" applyAlignment="1">
      <alignment horizontal="center"/>
    </xf>
    <xf numFmtId="0" fontId="23" fillId="177" borderId="2" xfId="0" applyFont="1" applyFill="1" applyBorder="1" applyAlignment="1">
      <alignment horizontal="center"/>
    </xf>
    <xf numFmtId="9" fontId="23" fillId="211" borderId="2" xfId="0" applyNumberFormat="1" applyFont="1" applyFill="1" applyBorder="1" applyAlignment="1">
      <alignment horizontal="center"/>
    </xf>
    <xf numFmtId="0" fontId="23" fillId="212" borderId="2" xfId="0" applyFont="1" applyFill="1" applyBorder="1" applyAlignment="1">
      <alignment horizontal="center"/>
    </xf>
    <xf numFmtId="9" fontId="23" fillId="213" borderId="2" xfId="0" applyNumberFormat="1" applyFont="1" applyFill="1" applyBorder="1" applyAlignment="1">
      <alignment horizontal="center"/>
    </xf>
    <xf numFmtId="0" fontId="23" fillId="59" borderId="3" xfId="0" applyFont="1" applyFill="1" applyBorder="1" applyAlignment="1">
      <alignment horizontal="center"/>
    </xf>
    <xf numFmtId="0" fontId="23" fillId="214" borderId="2" xfId="0" applyFont="1" applyFill="1" applyBorder="1" applyAlignment="1">
      <alignment horizontal="center"/>
    </xf>
    <xf numFmtId="9" fontId="23" fillId="180" borderId="2" xfId="0" applyNumberFormat="1" applyFont="1" applyFill="1" applyBorder="1" applyAlignment="1">
      <alignment horizontal="center"/>
    </xf>
    <xf numFmtId="0" fontId="23" fillId="42" borderId="3" xfId="0" applyFont="1" applyFill="1" applyBorder="1" applyAlignment="1">
      <alignment horizontal="center"/>
    </xf>
    <xf numFmtId="10" fontId="23" fillId="48" borderId="2" xfId="0" applyNumberFormat="1" applyFont="1" applyFill="1" applyBorder="1" applyAlignment="1">
      <alignment horizontal="center"/>
    </xf>
    <xf numFmtId="10" fontId="23" fillId="215" borderId="2" xfId="0" applyNumberFormat="1" applyFont="1" applyFill="1" applyBorder="1" applyAlignment="1">
      <alignment horizontal="center"/>
    </xf>
    <xf numFmtId="10" fontId="23" fillId="216" borderId="3" xfId="0" applyNumberFormat="1" applyFont="1" applyFill="1" applyBorder="1" applyAlignment="1">
      <alignment horizontal="center"/>
    </xf>
    <xf numFmtId="0" fontId="7" fillId="76" borderId="13" xfId="0" applyFont="1" applyFill="1" applyBorder="1" applyAlignment="1">
      <alignment horizontal="center"/>
    </xf>
    <xf numFmtId="0" fontId="7" fillId="217" borderId="2" xfId="0" applyFont="1" applyFill="1" applyBorder="1" applyAlignment="1">
      <alignment horizontal="center"/>
    </xf>
    <xf numFmtId="0" fontId="7" fillId="55" borderId="3" xfId="0" applyFont="1" applyFill="1" applyBorder="1" applyAlignment="1">
      <alignment horizontal="center"/>
    </xf>
    <xf numFmtId="0" fontId="7" fillId="218" borderId="2" xfId="0" applyFont="1" applyFill="1" applyBorder="1" applyAlignment="1">
      <alignment horizontal="center"/>
    </xf>
    <xf numFmtId="0" fontId="7" fillId="219" borderId="2" xfId="0" applyFont="1" applyFill="1" applyBorder="1" applyAlignment="1">
      <alignment horizontal="center"/>
    </xf>
    <xf numFmtId="0" fontId="7" fillId="220" borderId="2" xfId="0" applyFont="1" applyFill="1" applyBorder="1" applyAlignment="1">
      <alignment horizontal="center"/>
    </xf>
    <xf numFmtId="164" fontId="23" fillId="221" borderId="1" xfId="0" applyNumberFormat="1" applyFont="1" applyFill="1" applyBorder="1" applyAlignment="1">
      <alignment horizontal="center"/>
    </xf>
    <xf numFmtId="0" fontId="23" fillId="164" borderId="1" xfId="0" applyFont="1" applyFill="1" applyBorder="1" applyAlignment="1">
      <alignment horizontal="center"/>
    </xf>
    <xf numFmtId="9" fontId="23" fillId="211" borderId="1" xfId="0" applyNumberFormat="1" applyFont="1" applyFill="1" applyBorder="1" applyAlignment="1">
      <alignment horizontal="center"/>
    </xf>
    <xf numFmtId="0" fontId="23" fillId="222" borderId="1" xfId="0" applyFont="1" applyFill="1" applyBorder="1" applyAlignment="1">
      <alignment horizontal="center"/>
    </xf>
    <xf numFmtId="0" fontId="23" fillId="223" borderId="4" xfId="0" applyFont="1" applyFill="1" applyBorder="1" applyAlignment="1">
      <alignment horizontal="center"/>
    </xf>
    <xf numFmtId="9" fontId="23" fillId="135" borderId="1" xfId="0" applyNumberFormat="1" applyFont="1" applyFill="1" applyBorder="1" applyAlignment="1">
      <alignment horizontal="center"/>
    </xf>
    <xf numFmtId="9" fontId="23" fillId="98" borderId="1" xfId="0" applyNumberFormat="1" applyFont="1" applyFill="1" applyBorder="1" applyAlignment="1">
      <alignment horizontal="center"/>
    </xf>
    <xf numFmtId="10" fontId="23" fillId="194" borderId="1" xfId="0" applyNumberFormat="1" applyFont="1" applyFill="1" applyBorder="1" applyAlignment="1">
      <alignment horizontal="center"/>
    </xf>
    <xf numFmtId="10" fontId="23" fillId="77" borderId="1" xfId="0" applyNumberFormat="1" applyFont="1" applyFill="1" applyBorder="1" applyAlignment="1">
      <alignment horizontal="center"/>
    </xf>
    <xf numFmtId="10" fontId="23" fillId="39" borderId="1" xfId="0" applyNumberFormat="1" applyFont="1" applyFill="1" applyBorder="1" applyAlignment="1">
      <alignment horizontal="center"/>
    </xf>
    <xf numFmtId="10" fontId="23" fillId="224" borderId="4" xfId="0" applyNumberFormat="1" applyFont="1" applyFill="1" applyBorder="1" applyAlignment="1">
      <alignment horizontal="center"/>
    </xf>
    <xf numFmtId="0" fontId="7" fillId="76" borderId="16" xfId="0" applyFont="1" applyFill="1" applyBorder="1" applyAlignment="1">
      <alignment horizontal="center"/>
    </xf>
    <xf numFmtId="0" fontId="7" fillId="182" borderId="4" xfId="0" applyFont="1" applyFill="1" applyBorder="1" applyAlignment="1">
      <alignment horizontal="center"/>
    </xf>
    <xf numFmtId="0" fontId="7" fillId="225" borderId="1" xfId="0" applyFont="1" applyFill="1" applyBorder="1" applyAlignment="1">
      <alignment horizontal="center"/>
    </xf>
    <xf numFmtId="0" fontId="7" fillId="226" borderId="4" xfId="0" applyFont="1" applyFill="1" applyBorder="1" applyAlignment="1">
      <alignment horizontal="center"/>
    </xf>
    <xf numFmtId="0" fontId="7" fillId="227" borderId="1" xfId="0" applyFont="1" applyFill="1" applyBorder="1" applyAlignment="1">
      <alignment horizontal="center"/>
    </xf>
    <xf numFmtId="0" fontId="7" fillId="226" borderId="1" xfId="0" applyFont="1" applyFill="1" applyBorder="1" applyAlignment="1">
      <alignment horizontal="center"/>
    </xf>
    <xf numFmtId="0" fontId="7" fillId="228" borderId="1" xfId="0" applyFont="1" applyFill="1" applyBorder="1" applyAlignment="1">
      <alignment horizontal="center"/>
    </xf>
    <xf numFmtId="0" fontId="7" fillId="229" borderId="4" xfId="0" applyFont="1" applyFill="1" applyBorder="1" applyAlignment="1">
      <alignment horizontal="center"/>
    </xf>
    <xf numFmtId="164" fontId="23" fillId="230" borderId="2" xfId="0" applyNumberFormat="1" applyFont="1" applyFill="1" applyBorder="1" applyAlignment="1">
      <alignment horizontal="center"/>
    </xf>
    <xf numFmtId="0" fontId="23" fillId="231" borderId="2" xfId="0" applyFont="1" applyFill="1" applyBorder="1" applyAlignment="1">
      <alignment horizontal="center"/>
    </xf>
    <xf numFmtId="0" fontId="23" fillId="39" borderId="3" xfId="0" applyFont="1" applyFill="1" applyBorder="1" applyAlignment="1">
      <alignment horizontal="center"/>
    </xf>
    <xf numFmtId="0" fontId="23" fillId="232" borderId="2" xfId="0" applyFont="1" applyFill="1" applyBorder="1" applyAlignment="1">
      <alignment horizontal="center"/>
    </xf>
    <xf numFmtId="9" fontId="23" fillId="164" borderId="2" xfId="0" applyNumberFormat="1" applyFont="1" applyFill="1" applyBorder="1" applyAlignment="1">
      <alignment horizontal="center"/>
    </xf>
    <xf numFmtId="9" fontId="23" fillId="233" borderId="2" xfId="0" applyNumberFormat="1" applyFont="1" applyFill="1" applyBorder="1" applyAlignment="1">
      <alignment horizontal="center"/>
    </xf>
    <xf numFmtId="0" fontId="23" fillId="84" borderId="3" xfId="0" applyFont="1" applyFill="1" applyBorder="1" applyAlignment="1">
      <alignment horizontal="center"/>
    </xf>
    <xf numFmtId="10" fontId="23" fillId="234" borderId="2" xfId="0" applyNumberFormat="1" applyFont="1" applyFill="1" applyBorder="1" applyAlignment="1">
      <alignment horizontal="center"/>
    </xf>
    <xf numFmtId="10" fontId="23" fillId="42" borderId="2" xfId="0" applyNumberFormat="1" applyFont="1" applyFill="1" applyBorder="1" applyAlignment="1">
      <alignment horizontal="center"/>
    </xf>
    <xf numFmtId="10" fontId="23" fillId="141" borderId="2" xfId="0" applyNumberFormat="1" applyFont="1" applyFill="1" applyBorder="1" applyAlignment="1">
      <alignment horizontal="center"/>
    </xf>
    <xf numFmtId="10" fontId="23" fillId="205" borderId="3" xfId="0" applyNumberFormat="1" applyFont="1" applyFill="1" applyBorder="1" applyAlignment="1">
      <alignment horizontal="center"/>
    </xf>
    <xf numFmtId="0" fontId="7" fillId="235" borderId="3" xfId="0" applyFont="1" applyFill="1" applyBorder="1" applyAlignment="1">
      <alignment horizontal="center"/>
    </xf>
    <xf numFmtId="0" fontId="24" fillId="236" borderId="3" xfId="0" applyFont="1" applyFill="1" applyBorder="1" applyAlignment="1">
      <alignment horizontal="center"/>
    </xf>
    <xf numFmtId="0" fontId="7" fillId="237" borderId="2" xfId="0" applyFont="1" applyFill="1" applyBorder="1" applyAlignment="1">
      <alignment horizontal="center"/>
    </xf>
    <xf numFmtId="0" fontId="7" fillId="238" borderId="2" xfId="0" applyFont="1" applyFill="1" applyBorder="1" applyAlignment="1">
      <alignment horizontal="center"/>
    </xf>
    <xf numFmtId="0" fontId="7" fillId="239" borderId="3" xfId="0" applyFont="1" applyFill="1" applyBorder="1" applyAlignment="1">
      <alignment horizontal="center"/>
    </xf>
    <xf numFmtId="164" fontId="23" fillId="240" borderId="1" xfId="0" applyNumberFormat="1" applyFont="1" applyFill="1" applyBorder="1" applyAlignment="1">
      <alignment horizontal="center"/>
    </xf>
    <xf numFmtId="9" fontId="23" fillId="49" borderId="1" xfId="0" applyNumberFormat="1" applyFont="1" applyFill="1" applyBorder="1" applyAlignment="1">
      <alignment horizontal="center"/>
    </xf>
    <xf numFmtId="0" fontId="23" fillId="124" borderId="4" xfId="0" applyFont="1" applyFill="1" applyBorder="1" applyAlignment="1">
      <alignment horizontal="center"/>
    </xf>
    <xf numFmtId="0" fontId="23" fillId="50" borderId="1" xfId="0" applyFont="1" applyFill="1" applyBorder="1" applyAlignment="1">
      <alignment horizontal="center"/>
    </xf>
    <xf numFmtId="9" fontId="23" fillId="39" borderId="1" xfId="0" applyNumberFormat="1" applyFont="1" applyFill="1" applyBorder="1" applyAlignment="1">
      <alignment horizontal="center"/>
    </xf>
    <xf numFmtId="0" fontId="23" fillId="207" borderId="4" xfId="0" applyFont="1" applyFill="1" applyBorder="1" applyAlignment="1">
      <alignment horizontal="center"/>
    </xf>
    <xf numFmtId="10" fontId="23" fillId="241" borderId="1" xfId="0" applyNumberFormat="1" applyFont="1" applyFill="1" applyBorder="1" applyAlignment="1">
      <alignment horizontal="center"/>
    </xf>
    <xf numFmtId="10" fontId="23" fillId="14" borderId="4" xfId="0" applyNumberFormat="1" applyFont="1" applyFill="1" applyBorder="1" applyAlignment="1">
      <alignment horizontal="center"/>
    </xf>
    <xf numFmtId="0" fontId="7" fillId="242" borderId="4" xfId="0" applyFont="1" applyFill="1" applyBorder="1" applyAlignment="1">
      <alignment horizontal="center"/>
    </xf>
    <xf numFmtId="0" fontId="24" fillId="236" borderId="4" xfId="0" applyFont="1" applyFill="1" applyBorder="1" applyAlignment="1">
      <alignment horizontal="center"/>
    </xf>
    <xf numFmtId="0" fontId="7" fillId="243" borderId="1" xfId="0" applyFont="1" applyFill="1" applyBorder="1" applyAlignment="1">
      <alignment horizontal="center"/>
    </xf>
    <xf numFmtId="0" fontId="7" fillId="242" borderId="1" xfId="0" applyFont="1" applyFill="1" applyBorder="1" applyAlignment="1">
      <alignment horizontal="center"/>
    </xf>
    <xf numFmtId="0" fontId="7" fillId="71" borderId="1" xfId="0" applyFont="1" applyFill="1" applyBorder="1" applyAlignment="1">
      <alignment horizontal="center"/>
    </xf>
    <xf numFmtId="0" fontId="7" fillId="244" borderId="4" xfId="0" applyFont="1" applyFill="1" applyBorder="1" applyAlignment="1">
      <alignment horizontal="center"/>
    </xf>
    <xf numFmtId="164" fontId="23" fillId="245" borderId="2" xfId="0" applyNumberFormat="1" applyFont="1" applyFill="1" applyBorder="1" applyAlignment="1">
      <alignment horizontal="center"/>
    </xf>
    <xf numFmtId="0" fontId="23" fillId="246" borderId="2" xfId="0" applyFont="1" applyFill="1" applyBorder="1" applyAlignment="1">
      <alignment horizontal="center"/>
    </xf>
    <xf numFmtId="9" fontId="23" fillId="35" borderId="2" xfId="0" applyNumberFormat="1" applyFont="1" applyFill="1" applyBorder="1" applyAlignment="1">
      <alignment horizontal="center"/>
    </xf>
    <xf numFmtId="0" fontId="23" fillId="247" borderId="2" xfId="0" applyFont="1" applyFill="1" applyBorder="1" applyAlignment="1">
      <alignment horizontal="center"/>
    </xf>
    <xf numFmtId="9" fontId="23" fillId="248" borderId="2" xfId="0" applyNumberFormat="1" applyFont="1" applyFill="1" applyBorder="1" applyAlignment="1">
      <alignment horizontal="center"/>
    </xf>
    <xf numFmtId="0" fontId="23" fillId="93" borderId="3" xfId="0" applyFont="1" applyFill="1" applyBorder="1" applyAlignment="1">
      <alignment horizontal="center"/>
    </xf>
    <xf numFmtId="0" fontId="23" fillId="249" borderId="2" xfId="0" applyFont="1" applyFill="1" applyBorder="1" applyAlignment="1">
      <alignment horizontal="center"/>
    </xf>
    <xf numFmtId="9" fontId="23" fillId="202" borderId="2" xfId="0" applyNumberFormat="1" applyFont="1" applyFill="1" applyBorder="1" applyAlignment="1">
      <alignment horizontal="center"/>
    </xf>
    <xf numFmtId="9" fontId="23" fillId="26" borderId="2" xfId="0" applyNumberFormat="1" applyFont="1" applyFill="1" applyBorder="1" applyAlignment="1">
      <alignment horizontal="center"/>
    </xf>
    <xf numFmtId="10" fontId="23" fillId="250" borderId="2" xfId="0" applyNumberFormat="1" applyFont="1" applyFill="1" applyBorder="1" applyAlignment="1">
      <alignment horizontal="center"/>
    </xf>
    <xf numFmtId="10" fontId="23" fillId="110" borderId="3" xfId="0" applyNumberFormat="1" applyFont="1" applyFill="1" applyBorder="1" applyAlignment="1">
      <alignment horizontal="center"/>
    </xf>
    <xf numFmtId="0" fontId="7" fillId="251" borderId="3" xfId="0" applyFont="1" applyFill="1" applyBorder="1" applyAlignment="1">
      <alignment horizontal="center"/>
    </xf>
    <xf numFmtId="0" fontId="24" fillId="252" borderId="3" xfId="0" applyFont="1" applyFill="1" applyBorder="1" applyAlignment="1">
      <alignment horizontal="center"/>
    </xf>
    <xf numFmtId="0" fontId="7" fillId="253" borderId="2" xfId="0" applyFont="1" applyFill="1" applyBorder="1" applyAlignment="1">
      <alignment horizontal="center"/>
    </xf>
    <xf numFmtId="164" fontId="23" fillId="254" borderId="1" xfId="0" applyNumberFormat="1" applyFont="1" applyFill="1" applyBorder="1" applyAlignment="1">
      <alignment horizontal="center"/>
    </xf>
    <xf numFmtId="0" fontId="23" fillId="45" borderId="1" xfId="0" applyFont="1" applyFill="1" applyBorder="1" applyAlignment="1">
      <alignment horizontal="center"/>
    </xf>
    <xf numFmtId="9" fontId="23" fillId="255" borderId="1" xfId="0" applyNumberFormat="1" applyFont="1" applyFill="1" applyBorder="1" applyAlignment="1">
      <alignment horizontal="center"/>
    </xf>
    <xf numFmtId="0" fontId="23" fillId="256" borderId="1" xfId="0" applyFont="1" applyFill="1" applyBorder="1" applyAlignment="1">
      <alignment horizontal="center"/>
    </xf>
    <xf numFmtId="9" fontId="23" fillId="151" borderId="1" xfId="0" applyNumberFormat="1" applyFont="1" applyFill="1" applyBorder="1" applyAlignment="1">
      <alignment horizontal="center"/>
    </xf>
    <xf numFmtId="0" fontId="23" fillId="257" borderId="4" xfId="0" applyFont="1" applyFill="1" applyBorder="1" applyAlignment="1">
      <alignment horizontal="center"/>
    </xf>
    <xf numFmtId="10" fontId="23" fillId="48" borderId="1" xfId="0" applyNumberFormat="1" applyFont="1" applyFill="1" applyBorder="1" applyAlignment="1">
      <alignment horizontal="center"/>
    </xf>
    <xf numFmtId="10" fontId="23" fillId="140" borderId="1" xfId="0" applyNumberFormat="1" applyFont="1" applyFill="1" applyBorder="1" applyAlignment="1">
      <alignment horizontal="center"/>
    </xf>
    <xf numFmtId="10" fontId="23" fillId="29" borderId="1" xfId="0" applyNumberFormat="1" applyFont="1" applyFill="1" applyBorder="1" applyAlignment="1">
      <alignment horizontal="center"/>
    </xf>
    <xf numFmtId="10" fontId="23" fillId="258" borderId="4" xfId="0" applyNumberFormat="1" applyFont="1" applyFill="1" applyBorder="1" applyAlignment="1">
      <alignment horizontal="center"/>
    </xf>
    <xf numFmtId="0" fontId="7" fillId="259" borderId="4" xfId="0" applyFont="1" applyFill="1" applyBorder="1" applyAlignment="1">
      <alignment horizontal="center"/>
    </xf>
    <xf numFmtId="0" fontId="24" fillId="252" borderId="4" xfId="0" applyFont="1" applyFill="1" applyBorder="1" applyAlignment="1">
      <alignment horizontal="center"/>
    </xf>
    <xf numFmtId="0" fontId="7" fillId="260" borderId="1" xfId="0" applyFont="1" applyFill="1" applyBorder="1" applyAlignment="1">
      <alignment horizontal="center"/>
    </xf>
    <xf numFmtId="0" fontId="7" fillId="220" borderId="1" xfId="0" applyFont="1" applyFill="1" applyBorder="1" applyAlignment="1">
      <alignment horizontal="center"/>
    </xf>
    <xf numFmtId="164" fontId="23" fillId="261" borderId="2" xfId="0" applyNumberFormat="1" applyFont="1" applyFill="1" applyBorder="1" applyAlignment="1">
      <alignment horizontal="center"/>
    </xf>
    <xf numFmtId="9" fontId="23" fillId="258" borderId="2" xfId="0" applyNumberFormat="1" applyFont="1" applyFill="1" applyBorder="1" applyAlignment="1">
      <alignment horizontal="center"/>
    </xf>
    <xf numFmtId="0" fontId="23" fillId="262" borderId="2" xfId="0" applyFont="1" applyFill="1" applyBorder="1" applyAlignment="1">
      <alignment horizontal="center"/>
    </xf>
    <xf numFmtId="0" fontId="23" fillId="48" borderId="3" xfId="0" applyFont="1" applyFill="1" applyBorder="1" applyAlignment="1">
      <alignment horizontal="center"/>
    </xf>
    <xf numFmtId="0" fontId="23" fillId="263" borderId="2" xfId="0" applyFont="1" applyFill="1" applyBorder="1" applyAlignment="1">
      <alignment horizontal="center"/>
    </xf>
    <xf numFmtId="9" fontId="23" fillId="165" borderId="2" xfId="0" applyNumberFormat="1" applyFont="1" applyFill="1" applyBorder="1" applyAlignment="1">
      <alignment horizontal="center"/>
    </xf>
    <xf numFmtId="0" fontId="23" fillId="139" borderId="3" xfId="0" applyFont="1" applyFill="1" applyBorder="1" applyAlignment="1">
      <alignment horizontal="center"/>
    </xf>
    <xf numFmtId="10" fontId="23" fillId="264" borderId="2" xfId="0" applyNumberFormat="1" applyFont="1" applyFill="1" applyBorder="1" applyAlignment="1">
      <alignment horizontal="center"/>
    </xf>
    <xf numFmtId="10" fontId="23" fillId="265" borderId="2" xfId="0" applyNumberFormat="1" applyFont="1" applyFill="1" applyBorder="1" applyAlignment="1">
      <alignment horizontal="center"/>
    </xf>
    <xf numFmtId="10" fontId="23" fillId="78" borderId="3" xfId="0" applyNumberFormat="1" applyFont="1" applyFill="1" applyBorder="1" applyAlignment="1">
      <alignment horizontal="center"/>
    </xf>
    <xf numFmtId="0" fontId="7" fillId="114" borderId="13" xfId="0" applyFont="1" applyFill="1" applyBorder="1" applyAlignment="1">
      <alignment horizontal="center"/>
    </xf>
    <xf numFmtId="0" fontId="7" fillId="266" borderId="3" xfId="0" applyFont="1" applyFill="1" applyBorder="1" applyAlignment="1">
      <alignment horizontal="center"/>
    </xf>
    <xf numFmtId="0" fontId="24" fillId="156" borderId="3" xfId="0" applyFont="1" applyFill="1" applyBorder="1" applyAlignment="1">
      <alignment horizontal="center"/>
    </xf>
    <xf numFmtId="0" fontId="7" fillId="267" borderId="2" xfId="0" applyFont="1" applyFill="1" applyBorder="1" applyAlignment="1">
      <alignment horizontal="center"/>
    </xf>
    <xf numFmtId="0" fontId="7" fillId="200" borderId="2" xfId="0" applyFont="1" applyFill="1" applyBorder="1" applyAlignment="1">
      <alignment horizontal="center"/>
    </xf>
    <xf numFmtId="0" fontId="7" fillId="185" borderId="3" xfId="0" applyFont="1" applyFill="1" applyBorder="1" applyAlignment="1">
      <alignment horizontal="center"/>
    </xf>
    <xf numFmtId="164" fontId="23" fillId="268" borderId="1" xfId="0" applyNumberFormat="1" applyFont="1" applyFill="1" applyBorder="1" applyAlignment="1">
      <alignment horizontal="center"/>
    </xf>
    <xf numFmtId="0" fontId="23" fillId="168" borderId="1" xfId="0" applyFont="1" applyFill="1" applyBorder="1" applyAlignment="1">
      <alignment horizontal="center"/>
    </xf>
    <xf numFmtId="9" fontId="23" fillId="269" borderId="1" xfId="0" applyNumberFormat="1" applyFont="1" applyFill="1" applyBorder="1" applyAlignment="1">
      <alignment horizontal="center"/>
    </xf>
    <xf numFmtId="0" fontId="23" fillId="270" borderId="1" xfId="0" applyFont="1" applyFill="1" applyBorder="1" applyAlignment="1">
      <alignment horizontal="center"/>
    </xf>
    <xf numFmtId="0" fontId="23" fillId="263" borderId="4" xfId="0" applyFont="1" applyFill="1" applyBorder="1" applyAlignment="1">
      <alignment horizontal="center"/>
    </xf>
    <xf numFmtId="0" fontId="23" fillId="271" borderId="1" xfId="0" applyFont="1" applyFill="1" applyBorder="1" applyAlignment="1">
      <alignment horizontal="center"/>
    </xf>
    <xf numFmtId="9" fontId="23" fillId="95" borderId="1" xfId="0" applyNumberFormat="1" applyFont="1" applyFill="1" applyBorder="1" applyAlignment="1">
      <alignment horizontal="center"/>
    </xf>
    <xf numFmtId="9" fontId="23" fillId="99" borderId="1" xfId="0" applyNumberFormat="1" applyFont="1" applyFill="1" applyBorder="1" applyAlignment="1">
      <alignment horizontal="center"/>
    </xf>
    <xf numFmtId="10" fontId="23" fillId="272" borderId="1" xfId="0" applyNumberFormat="1" applyFont="1" applyFill="1" applyBorder="1" applyAlignment="1">
      <alignment horizontal="center"/>
    </xf>
    <xf numFmtId="10" fontId="23" fillId="273" borderId="1" xfId="0" applyNumberFormat="1" applyFont="1" applyFill="1" applyBorder="1" applyAlignment="1">
      <alignment horizontal="center"/>
    </xf>
    <xf numFmtId="10" fontId="23" fillId="181" borderId="1" xfId="0" applyNumberFormat="1" applyFont="1" applyFill="1" applyBorder="1" applyAlignment="1">
      <alignment horizontal="center"/>
    </xf>
    <xf numFmtId="0" fontId="7" fillId="274" borderId="4" xfId="0" applyFont="1" applyFill="1" applyBorder="1" applyAlignment="1">
      <alignment horizontal="center"/>
    </xf>
    <xf numFmtId="0" fontId="24" fillId="156" borderId="4" xfId="0" applyFont="1" applyFill="1" applyBorder="1" applyAlignment="1">
      <alignment horizontal="center"/>
    </xf>
    <xf numFmtId="0" fontId="7" fillId="275" borderId="1" xfId="0" applyFont="1" applyFill="1" applyBorder="1" applyAlignment="1">
      <alignment horizontal="center"/>
    </xf>
    <xf numFmtId="0" fontId="7" fillId="276" borderId="4" xfId="0" applyFont="1" applyFill="1" applyBorder="1" applyAlignment="1">
      <alignment horizontal="center"/>
    </xf>
    <xf numFmtId="164" fontId="23" fillId="277" borderId="2" xfId="0" applyNumberFormat="1" applyFont="1" applyFill="1" applyBorder="1" applyAlignment="1">
      <alignment horizontal="center"/>
    </xf>
    <xf numFmtId="0" fontId="23" fillId="278" borderId="2" xfId="0" applyFont="1" applyFill="1" applyBorder="1" applyAlignment="1">
      <alignment horizontal="center"/>
    </xf>
    <xf numFmtId="9" fontId="23" fillId="25" borderId="2" xfId="0" applyNumberFormat="1" applyFont="1" applyFill="1" applyBorder="1" applyAlignment="1">
      <alignment horizontal="center"/>
    </xf>
    <xf numFmtId="9" fontId="23" fillId="84" borderId="2" xfId="0" applyNumberFormat="1" applyFont="1" applyFill="1" applyBorder="1" applyAlignment="1">
      <alignment horizontal="center"/>
    </xf>
    <xf numFmtId="10" fontId="23" fillId="25" borderId="2" xfId="0" applyNumberFormat="1" applyFont="1" applyFill="1" applyBorder="1" applyAlignment="1">
      <alignment horizontal="center"/>
    </xf>
    <xf numFmtId="10" fontId="23" fillId="279" borderId="2" xfId="0" applyNumberFormat="1" applyFont="1" applyFill="1" applyBorder="1" applyAlignment="1">
      <alignment horizontal="center"/>
    </xf>
    <xf numFmtId="10" fontId="23" fillId="131" borderId="2" xfId="0" applyNumberFormat="1" applyFont="1" applyFill="1" applyBorder="1" applyAlignment="1">
      <alignment horizontal="center"/>
    </xf>
    <xf numFmtId="10" fontId="23" fillId="121" borderId="3" xfId="0" applyNumberFormat="1" applyFont="1" applyFill="1" applyBorder="1" applyAlignment="1">
      <alignment horizontal="center"/>
    </xf>
    <xf numFmtId="0" fontId="7" fillId="42" borderId="13" xfId="0" applyFont="1" applyFill="1" applyBorder="1" applyAlignment="1">
      <alignment horizontal="center"/>
    </xf>
    <xf numFmtId="0" fontId="7" fillId="280" borderId="3" xfId="0" applyFont="1" applyFill="1" applyBorder="1" applyAlignment="1">
      <alignment horizontal="center"/>
    </xf>
    <xf numFmtId="0" fontId="7" fillId="281" borderId="2" xfId="0" applyFont="1" applyFill="1" applyBorder="1" applyAlignment="1">
      <alignment horizontal="center"/>
    </xf>
    <xf numFmtId="0" fontId="24" fillId="282" borderId="3" xfId="0" applyFont="1" applyFill="1" applyBorder="1" applyAlignment="1">
      <alignment horizontal="center"/>
    </xf>
    <xf numFmtId="0" fontId="7" fillId="283" borderId="2" xfId="0" applyFont="1" applyFill="1" applyBorder="1" applyAlignment="1">
      <alignment horizontal="center"/>
    </xf>
    <xf numFmtId="0" fontId="7" fillId="53" borderId="2" xfId="0" applyFont="1" applyFill="1" applyBorder="1" applyAlignment="1">
      <alignment horizontal="center"/>
    </xf>
    <xf numFmtId="164" fontId="23" fillId="284" borderId="1" xfId="0" applyNumberFormat="1" applyFont="1" applyFill="1" applyBorder="1" applyAlignment="1">
      <alignment horizontal="center"/>
    </xf>
    <xf numFmtId="0" fontId="23" fillId="43" borderId="1" xfId="0" applyFont="1" applyFill="1" applyBorder="1" applyAlignment="1">
      <alignment horizontal="center"/>
    </xf>
    <xf numFmtId="9" fontId="23" fillId="258" borderId="1" xfId="0" applyNumberFormat="1" applyFont="1" applyFill="1" applyBorder="1" applyAlignment="1">
      <alignment horizontal="center"/>
    </xf>
    <xf numFmtId="0" fontId="23" fillId="285" borderId="1" xfId="0" applyFont="1" applyFill="1" applyBorder="1" applyAlignment="1">
      <alignment horizontal="center"/>
    </xf>
    <xf numFmtId="9" fontId="23" fillId="131" borderId="1" xfId="0" applyNumberFormat="1" applyFont="1" applyFill="1" applyBorder="1" applyAlignment="1">
      <alignment horizontal="center"/>
    </xf>
    <xf numFmtId="0" fontId="23" fillId="211" borderId="4" xfId="0" applyFont="1" applyFill="1" applyBorder="1" applyAlignment="1">
      <alignment horizontal="center"/>
    </xf>
    <xf numFmtId="0" fontId="23" fillId="151" borderId="1" xfId="0" applyFont="1" applyFill="1" applyBorder="1" applyAlignment="1">
      <alignment horizontal="center"/>
    </xf>
    <xf numFmtId="10" fontId="23" fillId="40" borderId="1" xfId="0" applyNumberFormat="1" applyFont="1" applyFill="1" applyBorder="1" applyAlignment="1">
      <alignment horizontal="center"/>
    </xf>
    <xf numFmtId="10" fontId="23" fillId="179" borderId="1" xfId="0" applyNumberFormat="1" applyFont="1" applyFill="1" applyBorder="1" applyAlignment="1">
      <alignment horizontal="center"/>
    </xf>
    <xf numFmtId="10" fontId="23" fillId="286" borderId="1" xfId="0" applyNumberFormat="1" applyFont="1" applyFill="1" applyBorder="1" applyAlignment="1">
      <alignment horizontal="center"/>
    </xf>
    <xf numFmtId="10" fontId="23" fillId="181" borderId="4" xfId="0" applyNumberFormat="1" applyFont="1" applyFill="1" applyBorder="1" applyAlignment="1">
      <alignment horizontal="center"/>
    </xf>
    <xf numFmtId="0" fontId="7" fillId="29" borderId="16" xfId="0" applyFont="1" applyFill="1" applyBorder="1" applyAlignment="1">
      <alignment horizontal="center"/>
    </xf>
    <xf numFmtId="0" fontId="7" fillId="33" borderId="1" xfId="0" applyFont="1" applyFill="1" applyBorder="1" applyAlignment="1">
      <alignment horizontal="center"/>
    </xf>
    <xf numFmtId="0" fontId="7" fillId="287" borderId="4" xfId="0" applyFont="1" applyFill="1" applyBorder="1" applyAlignment="1">
      <alignment horizontal="center"/>
    </xf>
    <xf numFmtId="0" fontId="24" fillId="282" borderId="4" xfId="0" applyFont="1" applyFill="1" applyBorder="1" applyAlignment="1">
      <alignment horizontal="center"/>
    </xf>
    <xf numFmtId="0" fontId="7" fillId="288" borderId="1" xfId="0" applyFont="1" applyFill="1" applyBorder="1" applyAlignment="1">
      <alignment horizontal="center"/>
    </xf>
    <xf numFmtId="0" fontId="7" fillId="289" borderId="1" xfId="0" applyFont="1" applyFill="1" applyBorder="1" applyAlignment="1">
      <alignment horizontal="center"/>
    </xf>
    <xf numFmtId="0" fontId="7" fillId="290" borderId="4" xfId="0" applyFont="1" applyFill="1" applyBorder="1" applyAlignment="1">
      <alignment horizontal="center"/>
    </xf>
    <xf numFmtId="164" fontId="23" fillId="291" borderId="2" xfId="0" applyNumberFormat="1" applyFont="1" applyFill="1" applyBorder="1" applyAlignment="1">
      <alignment horizontal="center"/>
    </xf>
    <xf numFmtId="0" fontId="23" fillId="292" borderId="2" xfId="0" applyFont="1" applyFill="1" applyBorder="1" applyAlignment="1">
      <alignment horizontal="center"/>
    </xf>
    <xf numFmtId="0" fontId="23" fillId="293" borderId="3" xfId="0" applyFont="1" applyFill="1" applyBorder="1" applyAlignment="1">
      <alignment horizontal="center"/>
    </xf>
    <xf numFmtId="9" fontId="23" fillId="95" borderId="2" xfId="0" applyNumberFormat="1" applyFont="1" applyFill="1" applyBorder="1" applyAlignment="1">
      <alignment horizontal="center"/>
    </xf>
    <xf numFmtId="10" fontId="23" fillId="294" borderId="2" xfId="0" applyNumberFormat="1" applyFont="1" applyFill="1" applyBorder="1" applyAlignment="1">
      <alignment horizontal="center"/>
    </xf>
    <xf numFmtId="10" fontId="23" fillId="295" borderId="2" xfId="0" applyNumberFormat="1" applyFont="1" applyFill="1" applyBorder="1" applyAlignment="1">
      <alignment horizontal="center"/>
    </xf>
    <xf numFmtId="10" fontId="23" fillId="296" borderId="3" xfId="0" applyNumberFormat="1" applyFont="1" applyFill="1" applyBorder="1" applyAlignment="1">
      <alignment horizontal="center"/>
    </xf>
    <xf numFmtId="0" fontId="7" fillId="169" borderId="13" xfId="0" applyFont="1" applyFill="1" applyBorder="1" applyAlignment="1">
      <alignment horizontal="center"/>
    </xf>
    <xf numFmtId="0" fontId="7" fillId="297" borderId="2" xfId="0" applyFont="1" applyFill="1" applyBorder="1" applyAlignment="1">
      <alignment horizontal="center"/>
    </xf>
    <xf numFmtId="0" fontId="7" fillId="298" borderId="3" xfId="0" applyFont="1" applyFill="1" applyBorder="1" applyAlignment="1">
      <alignment horizontal="center"/>
    </xf>
    <xf numFmtId="0" fontId="24" fillId="14" borderId="3" xfId="0" applyFont="1" applyFill="1" applyBorder="1" applyAlignment="1">
      <alignment horizontal="center"/>
    </xf>
    <xf numFmtId="0" fontId="7" fillId="229" borderId="2" xfId="0" applyFont="1" applyFill="1" applyBorder="1" applyAlignment="1">
      <alignment horizontal="center"/>
    </xf>
    <xf numFmtId="0" fontId="7" fillId="244" borderId="3" xfId="0" applyFont="1" applyFill="1" applyBorder="1" applyAlignment="1">
      <alignment horizontal="center"/>
    </xf>
    <xf numFmtId="164" fontId="23" fillId="299" borderId="1" xfId="0" applyNumberFormat="1" applyFont="1" applyFill="1" applyBorder="1" applyAlignment="1">
      <alignment horizontal="center"/>
    </xf>
    <xf numFmtId="0" fontId="23" fillId="294" borderId="1" xfId="0" applyFont="1" applyFill="1" applyBorder="1" applyAlignment="1">
      <alignment horizontal="center"/>
    </xf>
    <xf numFmtId="0" fontId="23" fillId="181" borderId="1" xfId="0" applyFont="1" applyFill="1" applyBorder="1" applyAlignment="1">
      <alignment horizontal="center"/>
    </xf>
    <xf numFmtId="9" fontId="23" fillId="300" borderId="1" xfId="0" applyNumberFormat="1" applyFont="1" applyFill="1" applyBorder="1" applyAlignment="1">
      <alignment horizontal="center"/>
    </xf>
    <xf numFmtId="0" fontId="23" fillId="301" borderId="4" xfId="0" applyFont="1" applyFill="1" applyBorder="1" applyAlignment="1">
      <alignment horizontal="center"/>
    </xf>
    <xf numFmtId="0" fontId="23" fillId="265" borderId="1" xfId="0" applyFont="1" applyFill="1" applyBorder="1" applyAlignment="1">
      <alignment horizontal="center"/>
    </xf>
    <xf numFmtId="9" fontId="23" fillId="164" borderId="1" xfId="0" applyNumberFormat="1" applyFont="1" applyFill="1" applyBorder="1" applyAlignment="1">
      <alignment horizontal="center"/>
    </xf>
    <xf numFmtId="9" fontId="23" fillId="264" borderId="1" xfId="0" applyNumberFormat="1" applyFont="1" applyFill="1" applyBorder="1" applyAlignment="1">
      <alignment horizontal="center"/>
    </xf>
    <xf numFmtId="0" fontId="23" fillId="302" borderId="4" xfId="0" applyFont="1" applyFill="1" applyBorder="1" applyAlignment="1">
      <alignment horizontal="center"/>
    </xf>
    <xf numFmtId="10" fontId="23" fillId="106" borderId="1" xfId="0" applyNumberFormat="1" applyFont="1" applyFill="1" applyBorder="1" applyAlignment="1">
      <alignment horizontal="center"/>
    </xf>
    <xf numFmtId="10" fontId="23" fillId="197" borderId="1" xfId="0" applyNumberFormat="1" applyFont="1" applyFill="1" applyBorder="1" applyAlignment="1">
      <alignment horizontal="center"/>
    </xf>
    <xf numFmtId="10" fontId="23" fillId="303" borderId="1" xfId="0" applyNumberFormat="1" applyFont="1" applyFill="1" applyBorder="1" applyAlignment="1">
      <alignment horizontal="center"/>
    </xf>
    <xf numFmtId="10" fontId="23" fillId="301" borderId="4" xfId="0" applyNumberFormat="1" applyFont="1" applyFill="1" applyBorder="1" applyAlignment="1">
      <alignment horizontal="center"/>
    </xf>
    <xf numFmtId="0" fontId="7" fillId="65" borderId="16" xfId="0" applyFont="1" applyFill="1" applyBorder="1" applyAlignment="1">
      <alignment horizontal="center"/>
    </xf>
    <xf numFmtId="0" fontId="7" fillId="304" borderId="1" xfId="0" applyFont="1" applyFill="1" applyBorder="1" applyAlignment="1">
      <alignment horizontal="center"/>
    </xf>
    <xf numFmtId="0" fontId="7" fillId="297" borderId="4" xfId="0" applyFont="1" applyFill="1" applyBorder="1" applyAlignment="1">
      <alignment horizontal="center"/>
    </xf>
    <xf numFmtId="0" fontId="24" fillId="14" borderId="4" xfId="0" applyFont="1" applyFill="1" applyBorder="1" applyAlignment="1">
      <alignment horizontal="center"/>
    </xf>
    <xf numFmtId="0" fontId="7" fillId="237" borderId="1" xfId="0" applyFont="1" applyFill="1" applyBorder="1" applyAlignment="1">
      <alignment horizontal="center"/>
    </xf>
    <xf numFmtId="0" fontId="7" fillId="305" borderId="1" xfId="0" applyFont="1" applyFill="1" applyBorder="1" applyAlignment="1">
      <alignment horizontal="center"/>
    </xf>
    <xf numFmtId="0" fontId="7" fillId="306" borderId="1" xfId="0" applyFont="1" applyFill="1" applyBorder="1" applyAlignment="1">
      <alignment horizontal="center"/>
    </xf>
    <xf numFmtId="0" fontId="1" fillId="0" borderId="0" xfId="0" applyFont="1"/>
    <xf numFmtId="164" fontId="1" fillId="307" borderId="2" xfId="0" applyNumberFormat="1" applyFont="1" applyFill="1" applyBorder="1"/>
    <xf numFmtId="0" fontId="23" fillId="308" borderId="2" xfId="0" applyFont="1" applyFill="1" applyBorder="1" applyAlignment="1">
      <alignment horizontal="center"/>
    </xf>
    <xf numFmtId="9" fontId="23" fillId="265" borderId="2" xfId="0" applyNumberFormat="1" applyFont="1" applyFill="1" applyBorder="1" applyAlignment="1">
      <alignment horizontal="center"/>
    </xf>
    <xf numFmtId="0" fontId="23" fillId="309" borderId="2" xfId="0" applyFont="1" applyFill="1" applyBorder="1" applyAlignment="1">
      <alignment horizontal="center"/>
    </xf>
    <xf numFmtId="9" fontId="23" fillId="310" borderId="2" xfId="0" applyNumberFormat="1" applyFont="1" applyFill="1" applyBorder="1" applyAlignment="1">
      <alignment horizontal="center"/>
    </xf>
    <xf numFmtId="0" fontId="23" fillId="25" borderId="3" xfId="0" applyFont="1" applyFill="1" applyBorder="1" applyAlignment="1">
      <alignment horizontal="center"/>
    </xf>
    <xf numFmtId="0" fontId="23" fillId="202" borderId="2" xfId="0" applyFont="1" applyFill="1" applyBorder="1" applyAlignment="1">
      <alignment horizontal="center"/>
    </xf>
    <xf numFmtId="9" fontId="23" fillId="311" borderId="2" xfId="0" applyNumberFormat="1" applyFont="1" applyFill="1" applyBorder="1" applyAlignment="1">
      <alignment horizontal="center"/>
    </xf>
    <xf numFmtId="0" fontId="23" fillId="312" borderId="3" xfId="0" applyFont="1" applyFill="1" applyBorder="1" applyAlignment="1">
      <alignment horizontal="center"/>
    </xf>
    <xf numFmtId="10" fontId="23" fillId="272" borderId="2" xfId="0" applyNumberFormat="1" applyFont="1" applyFill="1" applyBorder="1" applyAlignment="1">
      <alignment horizontal="center"/>
    </xf>
    <xf numFmtId="10" fontId="23" fillId="313" borderId="2" xfId="0" applyNumberFormat="1" applyFont="1" applyFill="1" applyBorder="1" applyAlignment="1">
      <alignment horizontal="center"/>
    </xf>
    <xf numFmtId="10" fontId="23" fillId="314" borderId="2" xfId="0" applyNumberFormat="1" applyFont="1" applyFill="1" applyBorder="1" applyAlignment="1">
      <alignment horizontal="center"/>
    </xf>
    <xf numFmtId="10" fontId="23" fillId="149" borderId="3" xfId="0" applyNumberFormat="1" applyFont="1" applyFill="1" applyBorder="1" applyAlignment="1">
      <alignment horizontal="center"/>
    </xf>
    <xf numFmtId="0" fontId="7" fillId="164" borderId="13" xfId="0" applyFont="1" applyFill="1" applyBorder="1" applyAlignment="1">
      <alignment horizontal="center"/>
    </xf>
    <xf numFmtId="0" fontId="7" fillId="315" borderId="13" xfId="0" applyFont="1" applyFill="1" applyBorder="1" applyAlignment="1">
      <alignment horizontal="center"/>
    </xf>
    <xf numFmtId="0" fontId="7" fillId="316" borderId="13" xfId="0" applyFont="1" applyFill="1" applyBorder="1" applyAlignment="1">
      <alignment horizontal="center"/>
    </xf>
    <xf numFmtId="0" fontId="7" fillId="317" borderId="3" xfId="0" applyFont="1" applyFill="1" applyBorder="1" applyAlignment="1">
      <alignment horizontal="center"/>
    </xf>
    <xf numFmtId="0" fontId="7" fillId="318" borderId="2" xfId="0" applyFont="1" applyFill="1" applyBorder="1" applyAlignment="1">
      <alignment horizontal="center"/>
    </xf>
    <xf numFmtId="0" fontId="7" fillId="319" borderId="3" xfId="0" applyFont="1" applyFill="1" applyBorder="1" applyAlignment="1">
      <alignment horizontal="center"/>
    </xf>
    <xf numFmtId="0" fontId="1" fillId="12" borderId="2" xfId="0" applyFont="1" applyFill="1" applyBorder="1"/>
    <xf numFmtId="164" fontId="1" fillId="320" borderId="1" xfId="0" applyNumberFormat="1" applyFont="1" applyFill="1" applyBorder="1"/>
    <xf numFmtId="165" fontId="7" fillId="12" borderId="1" xfId="0" applyNumberFormat="1" applyFont="1" applyFill="1" applyBorder="1" applyAlignment="1">
      <alignment horizontal="center"/>
    </xf>
    <xf numFmtId="9" fontId="23" fillId="15" borderId="1" xfId="0" applyNumberFormat="1" applyFont="1" applyFill="1" applyBorder="1" applyAlignment="1">
      <alignment horizontal="center"/>
    </xf>
    <xf numFmtId="0" fontId="23" fillId="321" borderId="1" xfId="0" applyFont="1" applyFill="1" applyBorder="1" applyAlignment="1">
      <alignment horizontal="center"/>
    </xf>
    <xf numFmtId="0" fontId="23" fillId="97" borderId="4" xfId="0" applyFont="1" applyFill="1" applyBorder="1" applyAlignment="1">
      <alignment horizontal="center"/>
    </xf>
    <xf numFmtId="0" fontId="23" fillId="25" borderId="1" xfId="0" applyFont="1" applyFill="1" applyBorder="1" applyAlignment="1">
      <alignment horizontal="center"/>
    </xf>
    <xf numFmtId="9" fontId="23" fillId="115" borderId="1" xfId="0" applyNumberFormat="1" applyFont="1" applyFill="1" applyBorder="1" applyAlignment="1">
      <alignment horizontal="center"/>
    </xf>
    <xf numFmtId="9" fontId="23" fillId="134" borderId="1" xfId="0" applyNumberFormat="1" applyFont="1" applyFill="1" applyBorder="1" applyAlignment="1">
      <alignment horizontal="center"/>
    </xf>
    <xf numFmtId="0" fontId="23" fillId="15" borderId="4" xfId="0" applyFont="1" applyFill="1" applyBorder="1" applyAlignment="1">
      <alignment horizontal="center"/>
    </xf>
    <xf numFmtId="10" fontId="23" fillId="128" borderId="1" xfId="0" applyNumberFormat="1" applyFont="1" applyFill="1" applyBorder="1" applyAlignment="1">
      <alignment horizontal="center"/>
    </xf>
    <xf numFmtId="10" fontId="23" fillId="322" borderId="1" xfId="0" applyNumberFormat="1" applyFont="1" applyFill="1" applyBorder="1" applyAlignment="1">
      <alignment horizontal="center"/>
    </xf>
    <xf numFmtId="10" fontId="23" fillId="257" borderId="1" xfId="0" applyNumberFormat="1" applyFont="1" applyFill="1" applyBorder="1" applyAlignment="1">
      <alignment horizontal="center"/>
    </xf>
    <xf numFmtId="10" fontId="23" fillId="314" borderId="4" xfId="0" applyNumberFormat="1" applyFont="1" applyFill="1" applyBorder="1" applyAlignment="1">
      <alignment horizontal="center"/>
    </xf>
    <xf numFmtId="0" fontId="7" fillId="323" borderId="16" xfId="0" applyFont="1" applyFill="1" applyBorder="1" applyAlignment="1">
      <alignment horizontal="center"/>
    </xf>
    <xf numFmtId="0" fontId="7" fillId="324" borderId="1" xfId="0" applyFont="1" applyFill="1" applyBorder="1" applyAlignment="1">
      <alignment horizontal="center"/>
    </xf>
    <xf numFmtId="0" fontId="7" fillId="325" borderId="4" xfId="0" applyFont="1" applyFill="1" applyBorder="1" applyAlignment="1">
      <alignment horizontal="center"/>
    </xf>
    <xf numFmtId="0" fontId="1" fillId="12" borderId="1" xfId="0" applyFont="1" applyFill="1" applyBorder="1"/>
    <xf numFmtId="164" fontId="1" fillId="160" borderId="2" xfId="0" applyNumberFormat="1" applyFont="1" applyFill="1" applyBorder="1"/>
    <xf numFmtId="0" fontId="23" fillId="29" borderId="2" xfId="0" applyFont="1" applyFill="1" applyBorder="1" applyAlignment="1">
      <alignment horizontal="center"/>
    </xf>
    <xf numFmtId="9" fontId="23" fillId="257" borderId="2" xfId="0" applyNumberFormat="1" applyFont="1" applyFill="1" applyBorder="1" applyAlignment="1">
      <alignment horizontal="center"/>
    </xf>
    <xf numFmtId="0" fontId="23" fillId="326" borderId="2" xfId="0" applyFont="1" applyFill="1" applyBorder="1" applyAlignment="1">
      <alignment horizontal="center"/>
    </xf>
    <xf numFmtId="0" fontId="23" fillId="138" borderId="3" xfId="0" applyFont="1" applyFill="1" applyBorder="1" applyAlignment="1">
      <alignment horizontal="center"/>
    </xf>
    <xf numFmtId="0" fontId="23" fillId="207" borderId="2" xfId="0" applyFont="1" applyFill="1" applyBorder="1" applyAlignment="1">
      <alignment horizontal="center"/>
    </xf>
    <xf numFmtId="9" fontId="23" fillId="125" borderId="2" xfId="0" applyNumberFormat="1" applyFont="1" applyFill="1" applyBorder="1" applyAlignment="1">
      <alignment horizontal="center"/>
    </xf>
    <xf numFmtId="9" fontId="23" fillId="121" borderId="2" xfId="0" applyNumberFormat="1" applyFont="1" applyFill="1" applyBorder="1" applyAlignment="1">
      <alignment horizontal="center"/>
    </xf>
    <xf numFmtId="0" fontId="23" fillId="27" borderId="3" xfId="0" applyFont="1" applyFill="1" applyBorder="1" applyAlignment="1">
      <alignment horizontal="center"/>
    </xf>
    <xf numFmtId="10" fontId="23" fillId="202" borderId="2" xfId="0" applyNumberFormat="1" applyFont="1" applyFill="1" applyBorder="1" applyAlignment="1">
      <alignment horizontal="center"/>
    </xf>
    <xf numFmtId="10" fontId="23" fillId="169" borderId="2" xfId="0" applyNumberFormat="1" applyFont="1" applyFill="1" applyBorder="1" applyAlignment="1">
      <alignment horizontal="center"/>
    </xf>
    <xf numFmtId="10" fontId="23" fillId="327" borderId="2" xfId="0" applyNumberFormat="1" applyFont="1" applyFill="1" applyBorder="1" applyAlignment="1">
      <alignment horizontal="center"/>
    </xf>
    <xf numFmtId="10" fontId="23" fillId="328" borderId="3" xfId="0" applyNumberFormat="1" applyFont="1" applyFill="1" applyBorder="1" applyAlignment="1">
      <alignment horizontal="center"/>
    </xf>
    <xf numFmtId="0" fontId="7" fillId="279" borderId="13" xfId="0" applyFont="1" applyFill="1" applyBorder="1" applyAlignment="1">
      <alignment horizontal="center"/>
    </xf>
    <xf numFmtId="0" fontId="7" fillId="115" borderId="13" xfId="0" applyFont="1" applyFill="1" applyBorder="1" applyAlignment="1">
      <alignment horizontal="center"/>
    </xf>
    <xf numFmtId="0" fontId="7" fillId="329" borderId="13" xfId="0" applyFont="1" applyFill="1" applyBorder="1" applyAlignment="1">
      <alignment horizontal="center"/>
    </xf>
    <xf numFmtId="0" fontId="7" fillId="83" borderId="3" xfId="0" applyFont="1" applyFill="1" applyBorder="1" applyAlignment="1">
      <alignment horizontal="center"/>
    </xf>
    <xf numFmtId="0" fontId="7" fillId="330" borderId="2" xfId="0" applyFont="1" applyFill="1" applyBorder="1" applyAlignment="1">
      <alignment horizontal="center"/>
    </xf>
    <xf numFmtId="0" fontId="7" fillId="331" borderId="3" xfId="0" applyFont="1" applyFill="1" applyBorder="1" applyAlignment="1">
      <alignment horizontal="center"/>
    </xf>
    <xf numFmtId="164" fontId="1" fillId="332" borderId="1" xfId="0" applyNumberFormat="1" applyFont="1" applyFill="1" applyBorder="1"/>
    <xf numFmtId="0" fontId="23" fillId="333" borderId="1" xfId="0" applyFont="1" applyFill="1" applyBorder="1" applyAlignment="1">
      <alignment horizontal="center"/>
    </xf>
    <xf numFmtId="0" fontId="23" fillId="74" borderId="4" xfId="0" applyFont="1" applyFill="1" applyBorder="1" applyAlignment="1">
      <alignment horizontal="center"/>
    </xf>
    <xf numFmtId="0" fontId="23" fillId="334" borderId="1" xfId="0" applyFont="1" applyFill="1" applyBorder="1" applyAlignment="1">
      <alignment horizontal="center"/>
    </xf>
    <xf numFmtId="9" fontId="23" fillId="279" borderId="1" xfId="0" applyNumberFormat="1" applyFont="1" applyFill="1" applyBorder="1" applyAlignment="1">
      <alignment horizontal="center"/>
    </xf>
    <xf numFmtId="9" fontId="23" fillId="335" borderId="1" xfId="0" applyNumberFormat="1" applyFont="1" applyFill="1" applyBorder="1" applyAlignment="1">
      <alignment horizontal="center"/>
    </xf>
    <xf numFmtId="0" fontId="23" fillId="27" borderId="4" xfId="0" applyFont="1" applyFill="1" applyBorder="1" applyAlignment="1">
      <alignment horizontal="center"/>
    </xf>
    <xf numFmtId="10" fontId="23" fillId="265" borderId="1" xfId="0" applyNumberFormat="1" applyFont="1" applyFill="1" applyBorder="1" applyAlignment="1">
      <alignment horizontal="center"/>
    </xf>
    <xf numFmtId="10" fontId="23" fillId="23" borderId="1" xfId="0" applyNumberFormat="1" applyFont="1" applyFill="1" applyBorder="1" applyAlignment="1">
      <alignment horizontal="center"/>
    </xf>
    <xf numFmtId="10" fontId="23" fillId="216" borderId="1" xfId="0" applyNumberFormat="1" applyFont="1" applyFill="1" applyBorder="1" applyAlignment="1">
      <alignment horizontal="center"/>
    </xf>
    <xf numFmtId="10" fontId="23" fillId="78" borderId="4" xfId="0" applyNumberFormat="1" applyFont="1" applyFill="1" applyBorder="1" applyAlignment="1">
      <alignment horizontal="center"/>
    </xf>
    <xf numFmtId="0" fontId="7" fillId="336" borderId="16" xfId="0" applyFont="1" applyFill="1" applyBorder="1" applyAlignment="1">
      <alignment horizontal="center"/>
    </xf>
    <xf numFmtId="0" fontId="7" fillId="292" borderId="4" xfId="0" applyFont="1" applyFill="1" applyBorder="1" applyAlignment="1">
      <alignment horizontal="center"/>
    </xf>
    <xf numFmtId="0" fontId="7" fillId="337" borderId="4" xfId="0" applyFont="1" applyFill="1" applyBorder="1" applyAlignment="1">
      <alignment horizontal="center"/>
    </xf>
    <xf numFmtId="0" fontId="7" fillId="28" borderId="4" xfId="0" applyFont="1" applyFill="1" applyBorder="1" applyAlignment="1">
      <alignment horizontal="center"/>
    </xf>
    <xf numFmtId="0" fontId="7" fillId="338" borderId="1" xfId="0" applyFont="1" applyFill="1" applyBorder="1" applyAlignment="1">
      <alignment horizontal="center"/>
    </xf>
    <xf numFmtId="0" fontId="7" fillId="339" borderId="4" xfId="0" applyFont="1" applyFill="1" applyBorder="1" applyAlignment="1">
      <alignment horizontal="center"/>
    </xf>
    <xf numFmtId="164" fontId="1" fillId="340" borderId="2" xfId="0" applyNumberFormat="1" applyFont="1" applyFill="1" applyBorder="1"/>
    <xf numFmtId="166" fontId="7" fillId="12" borderId="3" xfId="0" applyNumberFormat="1" applyFont="1" applyFill="1" applyBorder="1" applyAlignment="1">
      <alignment horizontal="center"/>
    </xf>
    <xf numFmtId="0" fontId="23" fillId="341" borderId="2" xfId="0" applyFont="1" applyFill="1" applyBorder="1" applyAlignment="1">
      <alignment horizontal="center"/>
    </xf>
    <xf numFmtId="9" fontId="23" fillId="342" borderId="2" xfId="0" applyNumberFormat="1" applyFont="1" applyFill="1" applyBorder="1" applyAlignment="1">
      <alignment horizontal="center"/>
    </xf>
    <xf numFmtId="0" fontId="23" fillId="334" borderId="2" xfId="0" applyFont="1" applyFill="1" applyBorder="1" applyAlignment="1">
      <alignment horizontal="center"/>
    </xf>
    <xf numFmtId="9" fontId="23" fillId="343" borderId="2" xfId="0" applyNumberFormat="1" applyFont="1" applyFill="1" applyBorder="1" applyAlignment="1">
      <alignment horizontal="center"/>
    </xf>
    <xf numFmtId="9" fontId="23" fillId="19" borderId="2" xfId="0" applyNumberFormat="1" applyFont="1" applyFill="1" applyBorder="1" applyAlignment="1">
      <alignment horizontal="center"/>
    </xf>
    <xf numFmtId="0" fontId="23" fillId="61" borderId="3" xfId="0" applyFont="1" applyFill="1" applyBorder="1" applyAlignment="1">
      <alignment horizontal="center"/>
    </xf>
    <xf numFmtId="10" fontId="23" fillId="124" borderId="2" xfId="0" applyNumberFormat="1" applyFont="1" applyFill="1" applyBorder="1" applyAlignment="1">
      <alignment horizontal="center"/>
    </xf>
    <xf numFmtId="10" fontId="23" fillId="344" borderId="2" xfId="0" applyNumberFormat="1" applyFont="1" applyFill="1" applyBorder="1" applyAlignment="1">
      <alignment horizontal="center"/>
    </xf>
    <xf numFmtId="10" fontId="23" fillId="80" borderId="2" xfId="0" applyNumberFormat="1" applyFont="1" applyFill="1" applyBorder="1" applyAlignment="1">
      <alignment horizontal="center"/>
    </xf>
    <xf numFmtId="10" fontId="23" fillId="176" borderId="3" xfId="0" applyNumberFormat="1" applyFont="1" applyFill="1" applyBorder="1" applyAlignment="1">
      <alignment horizontal="center"/>
    </xf>
    <xf numFmtId="0" fontId="7" fillId="345" borderId="3" xfId="0" applyFont="1" applyFill="1" applyBorder="1" applyAlignment="1">
      <alignment horizontal="center"/>
    </xf>
    <xf numFmtId="0" fontId="7" fillId="346" borderId="3" xfId="0" applyFont="1" applyFill="1" applyBorder="1" applyAlignment="1">
      <alignment horizontal="center"/>
    </xf>
    <xf numFmtId="164" fontId="1" fillId="347" borderId="1" xfId="0" applyNumberFormat="1" applyFont="1" applyFill="1" applyBorder="1"/>
    <xf numFmtId="0" fontId="23" fillId="343" borderId="1" xfId="0" applyFont="1" applyFill="1" applyBorder="1" applyAlignment="1">
      <alignment horizontal="center"/>
    </xf>
    <xf numFmtId="9" fontId="23" fillId="272" borderId="1" xfId="0" applyNumberFormat="1" applyFont="1" applyFill="1" applyBorder="1" applyAlignment="1">
      <alignment horizontal="center"/>
    </xf>
    <xf numFmtId="0" fontId="23" fillId="348" borderId="1" xfId="0" applyFont="1" applyFill="1" applyBorder="1" applyAlignment="1">
      <alignment horizontal="center"/>
    </xf>
    <xf numFmtId="9" fontId="23" fillId="80" borderId="1" xfId="0" applyNumberFormat="1" applyFont="1" applyFill="1" applyBorder="1" applyAlignment="1">
      <alignment horizontal="center"/>
    </xf>
    <xf numFmtId="0" fontId="23" fillId="41" borderId="4" xfId="0" applyFont="1" applyFill="1" applyBorder="1" applyAlignment="1">
      <alignment horizontal="center"/>
    </xf>
    <xf numFmtId="0" fontId="23" fillId="134" borderId="1" xfId="0" applyFont="1" applyFill="1" applyBorder="1" applyAlignment="1">
      <alignment horizontal="center"/>
    </xf>
    <xf numFmtId="9" fontId="23" fillId="349" borderId="1" xfId="0" applyNumberFormat="1" applyFont="1" applyFill="1" applyBorder="1" applyAlignment="1">
      <alignment horizontal="center"/>
    </xf>
    <xf numFmtId="9" fontId="23" fillId="61" borderId="1" xfId="0" applyNumberFormat="1" applyFont="1" applyFill="1" applyBorder="1" applyAlignment="1">
      <alignment horizontal="center"/>
    </xf>
    <xf numFmtId="10" fontId="23" fillId="350" borderId="1" xfId="0" applyNumberFormat="1" applyFont="1" applyFill="1" applyBorder="1" applyAlignment="1">
      <alignment horizontal="center"/>
    </xf>
    <xf numFmtId="10" fontId="23" fillId="18" borderId="1" xfId="0" applyNumberFormat="1" applyFont="1" applyFill="1" applyBorder="1" applyAlignment="1">
      <alignment horizontal="center"/>
    </xf>
    <xf numFmtId="10" fontId="23" fillId="211" borderId="1" xfId="0" applyNumberFormat="1" applyFont="1" applyFill="1" applyBorder="1" applyAlignment="1">
      <alignment horizontal="center"/>
    </xf>
    <xf numFmtId="10" fontId="23" fillId="351" borderId="4" xfId="0" applyNumberFormat="1" applyFont="1" applyFill="1" applyBorder="1" applyAlignment="1">
      <alignment horizontal="center"/>
    </xf>
    <xf numFmtId="0" fontId="7" fillId="132" borderId="16" xfId="0" applyFont="1" applyFill="1" applyBorder="1" applyAlignment="1">
      <alignment horizontal="center"/>
    </xf>
    <xf numFmtId="0" fontId="7" fillId="352" borderId="1" xfId="0" applyFont="1" applyFill="1" applyBorder="1" applyAlignment="1">
      <alignment horizontal="center"/>
    </xf>
    <xf numFmtId="0" fontId="7" fillId="353" borderId="4" xfId="0" applyFont="1" applyFill="1" applyBorder="1" applyAlignment="1">
      <alignment horizontal="center"/>
    </xf>
    <xf numFmtId="164" fontId="1" fillId="14" borderId="2" xfId="0" applyNumberFormat="1" applyFont="1" applyFill="1" applyBorder="1"/>
    <xf numFmtId="0" fontId="23" fillId="40" borderId="2" xfId="0" applyFont="1" applyFill="1" applyBorder="1" applyAlignment="1">
      <alignment horizontal="center"/>
    </xf>
    <xf numFmtId="9" fontId="23" fillId="354" borderId="2" xfId="0" applyNumberFormat="1" applyFont="1" applyFill="1" applyBorder="1" applyAlignment="1">
      <alignment horizontal="center"/>
    </xf>
    <xf numFmtId="0" fontId="23" fillId="140" borderId="3" xfId="0" applyFont="1" applyFill="1" applyBorder="1" applyAlignment="1">
      <alignment horizontal="center"/>
    </xf>
    <xf numFmtId="0" fontId="23" fillId="149" borderId="2" xfId="0" applyFont="1" applyFill="1" applyBorder="1" applyAlignment="1">
      <alignment horizontal="center"/>
    </xf>
    <xf numFmtId="9" fontId="23" fillId="43" borderId="2" xfId="0" applyNumberFormat="1" applyFont="1" applyFill="1" applyBorder="1" applyAlignment="1">
      <alignment horizontal="center"/>
    </xf>
    <xf numFmtId="9" fontId="23" fillId="355" borderId="2" xfId="0" applyNumberFormat="1" applyFont="1" applyFill="1" applyBorder="1" applyAlignment="1">
      <alignment horizontal="center"/>
    </xf>
    <xf numFmtId="10" fontId="23" fillId="57" borderId="2" xfId="0" applyNumberFormat="1" applyFont="1" applyFill="1" applyBorder="1" applyAlignment="1">
      <alignment horizontal="center"/>
    </xf>
    <xf numFmtId="10" fontId="23" fillId="113" borderId="2" xfId="0" applyNumberFormat="1" applyFont="1" applyFill="1" applyBorder="1" applyAlignment="1">
      <alignment horizontal="center"/>
    </xf>
    <xf numFmtId="10" fontId="23" fillId="114" borderId="2" xfId="0" applyNumberFormat="1" applyFont="1" applyFill="1" applyBorder="1" applyAlignment="1">
      <alignment horizontal="center"/>
    </xf>
    <xf numFmtId="10" fontId="23" fillId="19" borderId="3" xfId="0" applyNumberFormat="1" applyFont="1" applyFill="1" applyBorder="1" applyAlignment="1">
      <alignment horizontal="center"/>
    </xf>
    <xf numFmtId="0" fontId="7" fillId="203" borderId="13" xfId="0" applyFont="1" applyFill="1" applyBorder="1" applyAlignment="1">
      <alignment horizontal="center"/>
    </xf>
    <xf numFmtId="0" fontId="7" fillId="250" borderId="13" xfId="0" applyFont="1" applyFill="1" applyBorder="1" applyAlignment="1">
      <alignment horizontal="center"/>
    </xf>
    <xf numFmtId="0" fontId="7" fillId="337" borderId="3" xfId="0" applyFont="1" applyFill="1" applyBorder="1" applyAlignment="1">
      <alignment horizontal="center"/>
    </xf>
    <xf numFmtId="0" fontId="7" fillId="356" borderId="13" xfId="0" applyFont="1" applyFill="1" applyBorder="1" applyAlignment="1">
      <alignment horizontal="center"/>
    </xf>
    <xf numFmtId="164" fontId="1" fillId="26" borderId="1" xfId="0" applyNumberFormat="1" applyFont="1" applyFill="1" applyBorder="1"/>
    <xf numFmtId="166" fontId="7" fillId="2" borderId="4" xfId="0" applyNumberFormat="1" applyFont="1" applyFill="1" applyBorder="1" applyAlignment="1">
      <alignment horizontal="center"/>
    </xf>
    <xf numFmtId="0" fontId="23" fillId="139" borderId="1" xfId="0" applyFont="1" applyFill="1" applyBorder="1" applyAlignment="1">
      <alignment horizontal="center"/>
    </xf>
    <xf numFmtId="9" fontId="23" fillId="257" borderId="1" xfId="0" applyNumberFormat="1" applyFont="1" applyFill="1" applyBorder="1" applyAlignment="1">
      <alignment horizontal="center"/>
    </xf>
    <xf numFmtId="0" fontId="23" fillId="280" borderId="1" xfId="0" applyFont="1" applyFill="1" applyBorder="1" applyAlignment="1">
      <alignment horizontal="center"/>
    </xf>
    <xf numFmtId="9" fontId="23" fillId="74" borderId="1" xfId="0" applyNumberFormat="1" applyFont="1" applyFill="1" applyBorder="1" applyAlignment="1">
      <alignment horizontal="center"/>
    </xf>
    <xf numFmtId="0" fontId="23" fillId="96" borderId="4" xfId="0" applyFont="1" applyFill="1" applyBorder="1" applyAlignment="1">
      <alignment horizontal="center"/>
    </xf>
    <xf numFmtId="9" fontId="23" fillId="21" borderId="1" xfId="0" applyNumberFormat="1" applyFont="1" applyFill="1" applyBorder="1" applyAlignment="1">
      <alignment horizontal="center"/>
    </xf>
    <xf numFmtId="10" fontId="23" fillId="161" borderId="1" xfId="0" applyNumberFormat="1" applyFont="1" applyFill="1" applyBorder="1" applyAlignment="1">
      <alignment horizontal="center"/>
    </xf>
    <xf numFmtId="10" fontId="23" fillId="279" borderId="1" xfId="0" applyNumberFormat="1" applyFont="1" applyFill="1" applyBorder="1" applyAlignment="1">
      <alignment horizontal="center"/>
    </xf>
    <xf numFmtId="10" fontId="23" fillId="357" borderId="1" xfId="0" applyNumberFormat="1" applyFont="1" applyFill="1" applyBorder="1" applyAlignment="1">
      <alignment horizontal="center"/>
    </xf>
    <xf numFmtId="0" fontId="7" fillId="279" borderId="16" xfId="0" applyFont="1" applyFill="1" applyBorder="1" applyAlignment="1">
      <alignment horizontal="center"/>
    </xf>
    <xf numFmtId="0" fontId="7" fillId="358" borderId="16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7" fillId="14" borderId="4" xfId="0" applyFont="1" applyFill="1" applyBorder="1" applyAlignment="1">
      <alignment horizontal="center"/>
    </xf>
    <xf numFmtId="164" fontId="1" fillId="359" borderId="2" xfId="0" applyNumberFormat="1" applyFont="1" applyFill="1" applyBorder="1"/>
    <xf numFmtId="0" fontId="23" fillId="360" borderId="2" xfId="0" applyFont="1" applyFill="1" applyBorder="1" applyAlignment="1">
      <alignment horizontal="center"/>
    </xf>
    <xf numFmtId="0" fontId="23" fillId="361" borderId="2" xfId="0" applyFont="1" applyFill="1" applyBorder="1" applyAlignment="1">
      <alignment horizontal="center"/>
    </xf>
    <xf numFmtId="9" fontId="23" fillId="80" borderId="2" xfId="0" applyNumberFormat="1" applyFont="1" applyFill="1" applyBorder="1" applyAlignment="1">
      <alignment horizontal="center"/>
    </xf>
    <xf numFmtId="0" fontId="23" fillId="179" borderId="3" xfId="0" applyFont="1" applyFill="1" applyBorder="1" applyAlignment="1">
      <alignment horizontal="center"/>
    </xf>
    <xf numFmtId="9" fontId="23" fillId="179" borderId="2" xfId="0" applyNumberFormat="1" applyFont="1" applyFill="1" applyBorder="1" applyAlignment="1">
      <alignment horizontal="center"/>
    </xf>
    <xf numFmtId="9" fontId="23" fillId="362" borderId="2" xfId="0" applyNumberFormat="1" applyFont="1" applyFill="1" applyBorder="1" applyAlignment="1">
      <alignment horizontal="center"/>
    </xf>
    <xf numFmtId="10" fontId="23" fillId="166" borderId="2" xfId="0" applyNumberFormat="1" applyFont="1" applyFill="1" applyBorder="1" applyAlignment="1">
      <alignment horizontal="center"/>
    </xf>
    <xf numFmtId="10" fontId="23" fillId="363" borderId="2" xfId="0" applyNumberFormat="1" applyFont="1" applyFill="1" applyBorder="1" applyAlignment="1">
      <alignment horizontal="center"/>
    </xf>
    <xf numFmtId="10" fontId="23" fillId="313" borderId="3" xfId="0" applyNumberFormat="1" applyFont="1" applyFill="1" applyBorder="1" applyAlignment="1">
      <alignment horizontal="center"/>
    </xf>
    <xf numFmtId="0" fontId="7" fillId="292" borderId="3" xfId="0" applyFont="1" applyFill="1" applyBorder="1" applyAlignment="1">
      <alignment horizontal="center"/>
    </xf>
    <xf numFmtId="0" fontId="7" fillId="79" borderId="13" xfId="0" applyFont="1" applyFill="1" applyBorder="1" applyAlignment="1">
      <alignment horizontal="center"/>
    </xf>
    <xf numFmtId="0" fontId="7" fillId="364" borderId="2" xfId="0" applyFont="1" applyFill="1" applyBorder="1" applyAlignment="1">
      <alignment horizontal="center"/>
    </xf>
    <xf numFmtId="164" fontId="1" fillId="365" borderId="1" xfId="0" applyNumberFormat="1" applyFont="1" applyFill="1" applyBorder="1"/>
    <xf numFmtId="0" fontId="23" fillId="366" borderId="1" xfId="0" applyFont="1" applyFill="1" applyBorder="1" applyAlignment="1">
      <alignment horizontal="center"/>
    </xf>
    <xf numFmtId="0" fontId="23" fillId="194" borderId="4" xfId="0" applyFont="1" applyFill="1" applyBorder="1" applyAlignment="1">
      <alignment horizontal="center"/>
    </xf>
    <xf numFmtId="9" fontId="23" fillId="216" borderId="1" xfId="0" applyNumberFormat="1" applyFont="1" applyFill="1" applyBorder="1" applyAlignment="1">
      <alignment horizontal="center"/>
    </xf>
    <xf numFmtId="0" fontId="23" fillId="278" borderId="4" xfId="0" applyFont="1" applyFill="1" applyBorder="1" applyAlignment="1">
      <alignment horizontal="center"/>
    </xf>
    <xf numFmtId="10" fontId="23" fillId="74" borderId="1" xfId="0" applyNumberFormat="1" applyFont="1" applyFill="1" applyBorder="1" applyAlignment="1">
      <alignment horizontal="center"/>
    </xf>
    <xf numFmtId="10" fontId="23" fillId="110" borderId="1" xfId="0" applyNumberFormat="1" applyFont="1" applyFill="1" applyBorder="1" applyAlignment="1">
      <alignment horizontal="center"/>
    </xf>
    <xf numFmtId="10" fontId="23" fillId="367" borderId="1" xfId="0" applyNumberFormat="1" applyFont="1" applyFill="1" applyBorder="1" applyAlignment="1">
      <alignment horizontal="center"/>
    </xf>
    <xf numFmtId="10" fontId="23" fillId="109" borderId="4" xfId="0" applyNumberFormat="1" applyFont="1" applyFill="1" applyBorder="1" applyAlignment="1">
      <alignment horizontal="center"/>
    </xf>
    <xf numFmtId="0" fontId="7" fillId="45" borderId="16" xfId="0" applyFont="1" applyFill="1" applyBorder="1" applyAlignment="1">
      <alignment horizontal="center"/>
    </xf>
    <xf numFmtId="0" fontId="7" fillId="203" borderId="16" xfId="0" applyFont="1" applyFill="1" applyBorder="1" applyAlignment="1">
      <alignment horizontal="center"/>
    </xf>
    <xf numFmtId="0" fontId="7" fillId="368" borderId="1" xfId="0" applyFont="1" applyFill="1" applyBorder="1" applyAlignment="1">
      <alignment horizontal="center"/>
    </xf>
    <xf numFmtId="164" fontId="1" fillId="369" borderId="2" xfId="0" applyNumberFormat="1" applyFont="1" applyFill="1" applyBorder="1"/>
    <xf numFmtId="166" fontId="7" fillId="2" borderId="3" xfId="0" applyNumberFormat="1" applyFont="1" applyFill="1" applyBorder="1" applyAlignment="1">
      <alignment horizontal="center"/>
    </xf>
    <xf numFmtId="0" fontId="23" fillId="98" borderId="2" xfId="0" applyFont="1" applyFill="1" applyBorder="1" applyAlignment="1">
      <alignment horizontal="center"/>
    </xf>
    <xf numFmtId="0" fontId="23" fillId="370" borderId="2" xfId="0" applyFont="1" applyFill="1" applyBorder="1" applyAlignment="1">
      <alignment horizontal="center"/>
    </xf>
    <xf numFmtId="9" fontId="23" fillId="312" borderId="2" xfId="0" applyNumberFormat="1" applyFont="1" applyFill="1" applyBorder="1" applyAlignment="1">
      <alignment horizontal="center"/>
    </xf>
    <xf numFmtId="0" fontId="23" fillId="371" borderId="3" xfId="0" applyFont="1" applyFill="1" applyBorder="1" applyAlignment="1">
      <alignment horizontal="center"/>
    </xf>
    <xf numFmtId="10" fontId="23" fillId="263" borderId="2" xfId="0" applyNumberFormat="1" applyFont="1" applyFill="1" applyBorder="1" applyAlignment="1">
      <alignment horizontal="center"/>
    </xf>
    <xf numFmtId="10" fontId="23" fillId="372" borderId="2" xfId="0" applyNumberFormat="1" applyFont="1" applyFill="1" applyBorder="1" applyAlignment="1">
      <alignment horizontal="center"/>
    </xf>
    <xf numFmtId="10" fontId="23" fillId="63" borderId="3" xfId="0" applyNumberFormat="1" applyFont="1" applyFill="1" applyBorder="1" applyAlignment="1">
      <alignment horizontal="center"/>
    </xf>
    <xf numFmtId="0" fontId="7" fillId="373" borderId="13" xfId="0" applyFont="1" applyFill="1" applyBorder="1" applyAlignment="1">
      <alignment horizontal="center"/>
    </xf>
    <xf numFmtId="0" fontId="7" fillId="374" borderId="3" xfId="0" applyFont="1" applyFill="1" applyBorder="1" applyAlignment="1">
      <alignment horizontal="center"/>
    </xf>
    <xf numFmtId="164" fontId="1" fillId="375" borderId="1" xfId="0" applyNumberFormat="1" applyFont="1" applyFill="1" applyBorder="1"/>
    <xf numFmtId="0" fontId="23" fillId="109" borderId="1" xfId="0" applyFont="1" applyFill="1" applyBorder="1" applyAlignment="1">
      <alignment horizontal="center"/>
    </xf>
    <xf numFmtId="0" fontId="23" fillId="376" borderId="1" xfId="0" applyFont="1" applyFill="1" applyBorder="1" applyAlignment="1">
      <alignment horizontal="center"/>
    </xf>
    <xf numFmtId="9" fontId="23" fillId="294" borderId="1" xfId="0" applyNumberFormat="1" applyFont="1" applyFill="1" applyBorder="1" applyAlignment="1">
      <alignment horizontal="center"/>
    </xf>
    <xf numFmtId="0" fontId="23" fillId="377" borderId="4" xfId="0" applyFont="1" applyFill="1" applyBorder="1" applyAlignment="1">
      <alignment horizontal="center"/>
    </xf>
    <xf numFmtId="9" fontId="23" fillId="57" borderId="1" xfId="0" applyNumberFormat="1" applyFont="1" applyFill="1" applyBorder="1" applyAlignment="1">
      <alignment horizontal="center"/>
    </xf>
    <xf numFmtId="10" fontId="23" fillId="121" borderId="1" xfId="0" applyNumberFormat="1" applyFont="1" applyFill="1" applyBorder="1" applyAlignment="1">
      <alignment horizontal="center"/>
    </xf>
    <xf numFmtId="10" fontId="23" fillId="378" borderId="1" xfId="0" applyNumberFormat="1" applyFont="1" applyFill="1" applyBorder="1" applyAlignment="1">
      <alignment horizontal="center"/>
    </xf>
    <xf numFmtId="10" fontId="23" fillId="271" borderId="1" xfId="0" applyNumberFormat="1" applyFont="1" applyFill="1" applyBorder="1" applyAlignment="1">
      <alignment horizontal="center"/>
    </xf>
    <xf numFmtId="10" fontId="23" fillId="162" borderId="4" xfId="0" applyNumberFormat="1" applyFont="1" applyFill="1" applyBorder="1" applyAlignment="1">
      <alignment horizontal="center"/>
    </xf>
    <xf numFmtId="0" fontId="7" fillId="108" borderId="16" xfId="0" applyFont="1" applyFill="1" applyBorder="1" applyAlignment="1">
      <alignment horizontal="center"/>
    </xf>
    <xf numFmtId="0" fontId="7" fillId="379" borderId="4" xfId="0" applyFont="1" applyFill="1" applyBorder="1" applyAlignment="1">
      <alignment horizontal="center"/>
    </xf>
    <xf numFmtId="164" fontId="1" fillId="380" borderId="2" xfId="0" applyNumberFormat="1" applyFont="1" applyFill="1" applyBorder="1"/>
    <xf numFmtId="0" fontId="23" fillId="381" borderId="2" xfId="0" applyFont="1" applyFill="1" applyBorder="1" applyAlignment="1">
      <alignment horizontal="center"/>
    </xf>
    <xf numFmtId="9" fontId="23" fillId="300" borderId="2" xfId="0" applyNumberFormat="1" applyFont="1" applyFill="1" applyBorder="1" applyAlignment="1">
      <alignment horizontal="center"/>
    </xf>
    <xf numFmtId="0" fontId="23" fillId="337" borderId="2" xfId="0" applyFont="1" applyFill="1" applyBorder="1" applyAlignment="1">
      <alignment horizontal="center"/>
    </xf>
    <xf numFmtId="9" fontId="23" fillId="279" borderId="2" xfId="0" applyNumberFormat="1" applyFont="1" applyFill="1" applyBorder="1" applyAlignment="1">
      <alignment horizontal="center"/>
    </xf>
    <xf numFmtId="0" fontId="23" fillId="382" borderId="2" xfId="0" applyFont="1" applyFill="1" applyBorder="1" applyAlignment="1">
      <alignment horizontal="center"/>
    </xf>
    <xf numFmtId="9" fontId="23" fillId="139" borderId="2" xfId="0" applyNumberFormat="1" applyFont="1" applyFill="1" applyBorder="1" applyAlignment="1">
      <alignment horizontal="center"/>
    </xf>
    <xf numFmtId="0" fontId="23" fillId="115" borderId="3" xfId="0" applyFont="1" applyFill="1" applyBorder="1" applyAlignment="1">
      <alignment horizontal="center"/>
    </xf>
    <xf numFmtId="10" fontId="23" fillId="383" borderId="2" xfId="0" applyNumberFormat="1" applyFont="1" applyFill="1" applyBorder="1" applyAlignment="1">
      <alignment horizontal="center"/>
    </xf>
    <xf numFmtId="10" fontId="23" fillId="109" borderId="2" xfId="0" applyNumberFormat="1" applyFont="1" applyFill="1" applyBorder="1" applyAlignment="1">
      <alignment horizontal="center"/>
    </xf>
    <xf numFmtId="10" fontId="23" fillId="26" borderId="2" xfId="0" applyNumberFormat="1" applyFont="1" applyFill="1" applyBorder="1" applyAlignment="1">
      <alignment horizontal="center"/>
    </xf>
    <xf numFmtId="10" fontId="23" fillId="14" borderId="3" xfId="0" applyNumberFormat="1" applyFont="1" applyFill="1" applyBorder="1" applyAlignment="1">
      <alignment horizontal="center"/>
    </xf>
    <xf numFmtId="0" fontId="7" fillId="234" borderId="13" xfId="0" applyFont="1" applyFill="1" applyBorder="1" applyAlignment="1">
      <alignment horizontal="center"/>
    </xf>
    <xf numFmtId="0" fontId="7" fillId="384" borderId="13" xfId="0" applyFont="1" applyFill="1" applyBorder="1" applyAlignment="1">
      <alignment horizontal="center"/>
    </xf>
    <xf numFmtId="0" fontId="7" fillId="385" borderId="2" xfId="0" applyFont="1" applyFill="1" applyBorder="1" applyAlignment="1">
      <alignment horizontal="center"/>
    </xf>
    <xf numFmtId="0" fontId="7" fillId="386" borderId="3" xfId="0" applyFont="1" applyFill="1" applyBorder="1" applyAlignment="1">
      <alignment horizontal="center"/>
    </xf>
    <xf numFmtId="164" fontId="1" fillId="387" borderId="1" xfId="0" applyNumberFormat="1" applyFont="1" applyFill="1" applyBorder="1"/>
    <xf numFmtId="166" fontId="7" fillId="12" borderId="4" xfId="0" applyNumberFormat="1" applyFont="1" applyFill="1" applyBorder="1" applyAlignment="1">
      <alignment horizontal="center"/>
    </xf>
    <xf numFmtId="0" fontId="23" fillId="21" borderId="4" xfId="0" applyFont="1" applyFill="1" applyBorder="1" applyAlignment="1">
      <alignment horizontal="center"/>
    </xf>
    <xf numFmtId="9" fontId="23" fillId="388" borderId="1" xfId="0" applyNumberFormat="1" applyFont="1" applyFill="1" applyBorder="1" applyAlignment="1">
      <alignment horizontal="center"/>
    </xf>
    <xf numFmtId="9" fontId="23" fillId="62" borderId="1" xfId="0" applyNumberFormat="1" applyFont="1" applyFill="1" applyBorder="1" applyAlignment="1">
      <alignment horizontal="center"/>
    </xf>
    <xf numFmtId="10" fontId="23" fillId="164" borderId="1" xfId="0" applyNumberFormat="1" applyFont="1" applyFill="1" applyBorder="1" applyAlignment="1">
      <alignment horizontal="center"/>
    </xf>
    <xf numFmtId="10" fontId="23" fillId="264" borderId="1" xfId="0" applyNumberFormat="1" applyFont="1" applyFill="1" applyBorder="1" applyAlignment="1">
      <alignment horizontal="center"/>
    </xf>
    <xf numFmtId="10" fontId="23" fillId="36" borderId="4" xfId="0" applyNumberFormat="1" applyFont="1" applyFill="1" applyBorder="1" applyAlignment="1">
      <alignment horizontal="center"/>
    </xf>
    <xf numFmtId="0" fontId="7" fillId="164" borderId="16" xfId="0" applyFont="1" applyFill="1" applyBorder="1" applyAlignment="1">
      <alignment horizontal="center"/>
    </xf>
    <xf numFmtId="0" fontId="7" fillId="64" borderId="4" xfId="0" applyFont="1" applyFill="1" applyBorder="1" applyAlignment="1">
      <alignment horizontal="center"/>
    </xf>
    <xf numFmtId="0" fontId="7" fillId="389" borderId="1" xfId="0" applyFont="1" applyFill="1" applyBorder="1" applyAlignment="1">
      <alignment horizontal="center"/>
    </xf>
    <xf numFmtId="0" fontId="7" fillId="368" borderId="4" xfId="0" applyFont="1" applyFill="1" applyBorder="1" applyAlignment="1">
      <alignment horizontal="center"/>
    </xf>
    <xf numFmtId="164" fontId="1" fillId="390" borderId="2" xfId="0" applyNumberFormat="1" applyFont="1" applyFill="1" applyBorder="1"/>
    <xf numFmtId="0" fontId="23" fillId="391" borderId="2" xfId="0" applyFont="1" applyFill="1" applyBorder="1" applyAlignment="1">
      <alignment horizontal="center"/>
    </xf>
    <xf numFmtId="9" fontId="23" fillId="36" borderId="2" xfId="0" applyNumberFormat="1" applyFont="1" applyFill="1" applyBorder="1" applyAlignment="1">
      <alignment horizontal="center"/>
    </xf>
    <xf numFmtId="0" fontId="23" fillId="24" borderId="3" xfId="0" applyFont="1" applyFill="1" applyBorder="1" applyAlignment="1">
      <alignment horizontal="center"/>
    </xf>
    <xf numFmtId="0" fontId="23" fillId="310" borderId="2" xfId="0" applyFont="1" applyFill="1" applyBorder="1" applyAlignment="1">
      <alignment horizontal="center"/>
    </xf>
    <xf numFmtId="9" fontId="23" fillId="166" borderId="2" xfId="0" applyNumberFormat="1" applyFont="1" applyFill="1" applyBorder="1" applyAlignment="1">
      <alignment horizontal="center"/>
    </xf>
    <xf numFmtId="10" fontId="23" fillId="392" borderId="2" xfId="0" applyNumberFormat="1" applyFont="1" applyFill="1" applyBorder="1" applyAlignment="1">
      <alignment horizontal="center"/>
    </xf>
    <xf numFmtId="10" fontId="23" fillId="350" borderId="3" xfId="0" applyNumberFormat="1" applyFont="1" applyFill="1" applyBorder="1" applyAlignment="1">
      <alignment horizontal="center"/>
    </xf>
    <xf numFmtId="0" fontId="7" fillId="128" borderId="13" xfId="0" applyFont="1" applyFill="1" applyBorder="1" applyAlignment="1">
      <alignment horizontal="center"/>
    </xf>
    <xf numFmtId="0" fontId="7" fillId="393" borderId="13" xfId="0" applyFont="1" applyFill="1" applyBorder="1" applyAlignment="1">
      <alignment horizontal="center"/>
    </xf>
    <xf numFmtId="0" fontId="7" fillId="394" borderId="2" xfId="0" applyFont="1" applyFill="1" applyBorder="1" applyAlignment="1">
      <alignment horizontal="center"/>
    </xf>
    <xf numFmtId="0" fontId="7" fillId="395" borderId="3" xfId="0" applyFont="1" applyFill="1" applyBorder="1" applyAlignment="1">
      <alignment horizontal="center"/>
    </xf>
    <xf numFmtId="164" fontId="1" fillId="396" borderId="1" xfId="0" applyNumberFormat="1" applyFont="1" applyFill="1" applyBorder="1"/>
    <xf numFmtId="165" fontId="7" fillId="2" borderId="1" xfId="0" applyNumberFormat="1" applyFont="1" applyFill="1" applyBorder="1" applyAlignment="1">
      <alignment horizontal="center"/>
    </xf>
    <xf numFmtId="9" fontId="23" fillId="296" borderId="1" xfId="0" applyNumberFormat="1" applyFont="1" applyFill="1" applyBorder="1" applyAlignment="1">
      <alignment horizontal="center"/>
    </xf>
    <xf numFmtId="0" fontId="23" fillId="397" borderId="1" xfId="0" applyFont="1" applyFill="1" applyBorder="1" applyAlignment="1">
      <alignment horizontal="center"/>
    </xf>
    <xf numFmtId="9" fontId="23" fillId="392" borderId="1" xfId="0" applyNumberFormat="1" applyFont="1" applyFill="1" applyBorder="1" applyAlignment="1">
      <alignment horizontal="center"/>
    </xf>
    <xf numFmtId="0" fontId="23" fillId="294" borderId="4" xfId="0" applyFont="1" applyFill="1" applyBorder="1" applyAlignment="1">
      <alignment horizontal="center"/>
    </xf>
    <xf numFmtId="9" fontId="23" fillId="129" borderId="1" xfId="0" applyNumberFormat="1" applyFont="1" applyFill="1" applyBorder="1" applyAlignment="1">
      <alignment horizontal="center"/>
    </xf>
    <xf numFmtId="10" fontId="23" fillId="139" borderId="1" xfId="0" applyNumberFormat="1" applyFont="1" applyFill="1" applyBorder="1" applyAlignment="1">
      <alignment horizontal="center"/>
    </xf>
    <xf numFmtId="10" fontId="23" fillId="250" borderId="1" xfId="0" applyNumberFormat="1" applyFont="1" applyFill="1" applyBorder="1" applyAlignment="1">
      <alignment horizontal="center"/>
    </xf>
    <xf numFmtId="10" fontId="23" fillId="342" borderId="1" xfId="0" applyNumberFormat="1" applyFont="1" applyFill="1" applyBorder="1" applyAlignment="1">
      <alignment horizontal="center"/>
    </xf>
    <xf numFmtId="10" fontId="23" fillId="398" borderId="4" xfId="0" applyNumberFormat="1" applyFont="1" applyFill="1" applyBorder="1" applyAlignment="1">
      <alignment horizontal="center"/>
    </xf>
    <xf numFmtId="0" fontId="7" fillId="233" borderId="16" xfId="0" applyFont="1" applyFill="1" applyBorder="1" applyAlignment="1">
      <alignment horizontal="center"/>
    </xf>
    <xf numFmtId="0" fontId="7" fillId="399" borderId="1" xfId="0" applyFont="1" applyFill="1" applyBorder="1" applyAlignment="1">
      <alignment horizontal="center"/>
    </xf>
    <xf numFmtId="0" fontId="7" fillId="400" borderId="4" xfId="0" applyFont="1" applyFill="1" applyBorder="1" applyAlignment="1">
      <alignment horizontal="center"/>
    </xf>
    <xf numFmtId="164" fontId="1" fillId="133" borderId="2" xfId="0" applyNumberFormat="1" applyFont="1" applyFill="1" applyBorder="1"/>
    <xf numFmtId="165" fontId="7" fillId="12" borderId="2" xfId="0" applyNumberFormat="1" applyFont="1" applyFill="1" applyBorder="1" applyAlignment="1">
      <alignment horizontal="center"/>
    </xf>
    <xf numFmtId="0" fontId="23" fillId="401" borderId="2" xfId="0" applyFont="1" applyFill="1" applyBorder="1" applyAlignment="1">
      <alignment horizontal="center"/>
    </xf>
    <xf numFmtId="9" fontId="23" fillId="402" borderId="2" xfId="0" applyNumberFormat="1" applyFont="1" applyFill="1" applyBorder="1" applyAlignment="1">
      <alignment horizontal="center"/>
    </xf>
    <xf numFmtId="0" fontId="23" fillId="403" borderId="2" xfId="0" applyFont="1" applyFill="1" applyBorder="1" applyAlignment="1">
      <alignment horizontal="center"/>
    </xf>
    <xf numFmtId="0" fontId="23" fillId="196" borderId="3" xfId="0" applyFont="1" applyFill="1" applyBorder="1" applyAlignment="1">
      <alignment horizontal="center"/>
    </xf>
    <xf numFmtId="9" fontId="23" fillId="223" borderId="2" xfId="0" applyNumberFormat="1" applyFont="1" applyFill="1" applyBorder="1" applyAlignment="1">
      <alignment horizontal="center"/>
    </xf>
    <xf numFmtId="10" fontId="23" fillId="404" borderId="2" xfId="0" applyNumberFormat="1" applyFont="1" applyFill="1" applyBorder="1" applyAlignment="1">
      <alignment horizontal="center"/>
    </xf>
    <xf numFmtId="10" fontId="23" fillId="357" borderId="2" xfId="0" applyNumberFormat="1" applyFont="1" applyFill="1" applyBorder="1" applyAlignment="1">
      <alignment horizontal="center"/>
    </xf>
    <xf numFmtId="10" fontId="23" fillId="342" borderId="2" xfId="0" applyNumberFormat="1" applyFont="1" applyFill="1" applyBorder="1" applyAlignment="1">
      <alignment horizontal="center"/>
    </xf>
    <xf numFmtId="10" fontId="23" fillId="398" borderId="3" xfId="0" applyNumberFormat="1" applyFont="1" applyFill="1" applyBorder="1" applyAlignment="1">
      <alignment horizontal="center"/>
    </xf>
    <xf numFmtId="0" fontId="7" fillId="47" borderId="13" xfId="0" applyFont="1" applyFill="1" applyBorder="1" applyAlignment="1">
      <alignment horizontal="center"/>
    </xf>
    <xf numFmtId="0" fontId="7" fillId="405" borderId="2" xfId="0" applyFont="1" applyFill="1" applyBorder="1" applyAlignment="1">
      <alignment horizontal="center"/>
    </xf>
    <xf numFmtId="0" fontId="7" fillId="406" borderId="3" xfId="0" applyFont="1" applyFill="1" applyBorder="1" applyAlignment="1">
      <alignment horizontal="center"/>
    </xf>
    <xf numFmtId="164" fontId="1" fillId="216" borderId="1" xfId="0" applyNumberFormat="1" applyFont="1" applyFill="1" applyBorder="1"/>
    <xf numFmtId="0" fontId="23" fillId="407" borderId="1" xfId="0" applyFont="1" applyFill="1" applyBorder="1" applyAlignment="1">
      <alignment horizontal="center"/>
    </xf>
    <xf numFmtId="0" fontId="23" fillId="408" borderId="1" xfId="0" applyFont="1" applyFill="1" applyBorder="1" applyAlignment="1">
      <alignment horizontal="center"/>
    </xf>
    <xf numFmtId="9" fontId="23" fillId="409" borderId="1" xfId="0" applyNumberFormat="1" applyFont="1" applyFill="1" applyBorder="1" applyAlignment="1">
      <alignment horizontal="center"/>
    </xf>
    <xf numFmtId="0" fontId="23" fillId="410" borderId="4" xfId="0" applyFont="1" applyFill="1" applyBorder="1" applyAlignment="1">
      <alignment horizontal="center"/>
    </xf>
    <xf numFmtId="0" fontId="23" fillId="19" borderId="1" xfId="0" applyFont="1" applyFill="1" applyBorder="1" applyAlignment="1">
      <alignment horizontal="center"/>
    </xf>
    <xf numFmtId="9" fontId="23" fillId="411" borderId="1" xfId="0" applyNumberFormat="1" applyFont="1" applyFill="1" applyBorder="1" applyAlignment="1">
      <alignment horizontal="center"/>
    </xf>
    <xf numFmtId="0" fontId="23" fillId="59" borderId="4" xfId="0" applyFont="1" applyFill="1" applyBorder="1" applyAlignment="1">
      <alignment horizontal="center"/>
    </xf>
    <xf numFmtId="10" fontId="23" fillId="412" borderId="1" xfId="0" applyNumberFormat="1" applyFont="1" applyFill="1" applyBorder="1" applyAlignment="1">
      <alignment horizontal="center"/>
    </xf>
    <xf numFmtId="10" fontId="23" fillId="125" borderId="4" xfId="0" applyNumberFormat="1" applyFont="1" applyFill="1" applyBorder="1" applyAlignment="1">
      <alignment horizontal="center"/>
    </xf>
    <xf numFmtId="0" fontId="7" fillId="413" borderId="1" xfId="0" applyFont="1" applyFill="1" applyBorder="1" applyAlignment="1">
      <alignment horizontal="center"/>
    </xf>
    <xf numFmtId="0" fontId="7" fillId="405" borderId="4" xfId="0" applyFont="1" applyFill="1" applyBorder="1" applyAlignment="1">
      <alignment horizontal="center"/>
    </xf>
    <xf numFmtId="164" fontId="1" fillId="414" borderId="2" xfId="0" applyNumberFormat="1" applyFont="1" applyFill="1" applyBorder="1"/>
    <xf numFmtId="0" fontId="23" fillId="181" borderId="2" xfId="0" applyFont="1" applyFill="1" applyBorder="1" applyAlignment="1">
      <alignment horizontal="center"/>
    </xf>
    <xf numFmtId="9" fontId="23" fillId="415" borderId="2" xfId="0" applyNumberFormat="1" applyFont="1" applyFill="1" applyBorder="1" applyAlignment="1">
      <alignment horizontal="center"/>
    </xf>
    <xf numFmtId="0" fontId="23" fillId="416" borderId="3" xfId="0" applyFont="1" applyFill="1" applyBorder="1" applyAlignment="1">
      <alignment horizontal="center"/>
    </xf>
    <xf numFmtId="0" fontId="23" fillId="342" borderId="2" xfId="0" applyFont="1" applyFill="1" applyBorder="1" applyAlignment="1">
      <alignment horizontal="center"/>
    </xf>
    <xf numFmtId="9" fontId="23" fillId="411" borderId="2" xfId="0" applyNumberFormat="1" applyFont="1" applyFill="1" applyBorder="1" applyAlignment="1">
      <alignment horizontal="center"/>
    </xf>
    <xf numFmtId="10" fontId="23" fillId="121" borderId="2" xfId="0" applyNumberFormat="1" applyFont="1" applyFill="1" applyBorder="1" applyAlignment="1">
      <alignment horizontal="center"/>
    </xf>
    <xf numFmtId="10" fontId="23" fillId="95" borderId="2" xfId="0" applyNumberFormat="1" applyFont="1" applyFill="1" applyBorder="1" applyAlignment="1">
      <alignment horizontal="center"/>
    </xf>
    <xf numFmtId="0" fontId="7" fillId="339" borderId="2" xfId="0" applyFont="1" applyFill="1" applyBorder="1" applyAlignment="1">
      <alignment horizontal="center"/>
    </xf>
    <xf numFmtId="0" fontId="7" fillId="171" borderId="3" xfId="0" applyFont="1" applyFill="1" applyBorder="1" applyAlignment="1">
      <alignment horizontal="center"/>
    </xf>
    <xf numFmtId="164" fontId="1" fillId="417" borderId="1" xfId="0" applyNumberFormat="1" applyFont="1" applyFill="1" applyBorder="1"/>
    <xf numFmtId="9" fontId="23" fillId="418" borderId="1" xfId="0" applyNumberFormat="1" applyFont="1" applyFill="1" applyBorder="1" applyAlignment="1">
      <alignment horizontal="center"/>
    </xf>
    <xf numFmtId="0" fontId="23" fillId="419" borderId="1" xfId="0" applyFont="1" applyFill="1" applyBorder="1" applyAlignment="1">
      <alignment horizontal="center"/>
    </xf>
    <xf numFmtId="9" fontId="23" fillId="78" borderId="1" xfId="0" applyNumberFormat="1" applyFont="1" applyFill="1" applyBorder="1" applyAlignment="1">
      <alignment horizontal="center"/>
    </xf>
    <xf numFmtId="0" fontId="23" fillId="278" borderId="1" xfId="0" applyFont="1" applyFill="1" applyBorder="1" applyAlignment="1">
      <alignment horizontal="center"/>
    </xf>
    <xf numFmtId="9" fontId="23" fillId="127" borderId="1" xfId="0" applyNumberFormat="1" applyFont="1" applyFill="1" applyBorder="1" applyAlignment="1">
      <alignment horizontal="center"/>
    </xf>
    <xf numFmtId="10" fontId="23" fillId="149" borderId="1" xfId="0" applyNumberFormat="1" applyFont="1" applyFill="1" applyBorder="1" applyAlignment="1">
      <alignment horizontal="center"/>
    </xf>
    <xf numFmtId="10" fontId="23" fillId="420" borderId="1" xfId="0" applyNumberFormat="1" applyFont="1" applyFill="1" applyBorder="1" applyAlignment="1">
      <alignment horizontal="center"/>
    </xf>
    <xf numFmtId="10" fontId="23" fillId="421" borderId="4" xfId="0" applyNumberFormat="1" applyFont="1" applyFill="1" applyBorder="1" applyAlignment="1">
      <alignment horizontal="center"/>
    </xf>
    <xf numFmtId="0" fontId="7" fillId="329" borderId="16" xfId="0" applyFont="1" applyFill="1" applyBorder="1" applyAlignment="1">
      <alignment horizontal="center"/>
    </xf>
    <xf numFmtId="0" fontId="7" fillId="422" borderId="1" xfId="0" applyFont="1" applyFill="1" applyBorder="1" applyAlignment="1">
      <alignment horizontal="center"/>
    </xf>
    <xf numFmtId="0" fontId="7" fillId="423" borderId="4" xfId="0" applyFont="1" applyFill="1" applyBorder="1" applyAlignment="1">
      <alignment horizontal="center"/>
    </xf>
    <xf numFmtId="164" fontId="1" fillId="30" borderId="2" xfId="0" applyNumberFormat="1" applyFont="1" applyFill="1" applyBorder="1"/>
    <xf numFmtId="0" fontId="23" fillId="164" borderId="2" xfId="0" applyFont="1" applyFill="1" applyBorder="1" applyAlignment="1">
      <alignment horizontal="center"/>
    </xf>
    <xf numFmtId="0" fontId="23" fillId="424" borderId="2" xfId="0" applyFont="1" applyFill="1" applyBorder="1" applyAlignment="1">
      <alignment horizontal="center"/>
    </xf>
    <xf numFmtId="0" fontId="23" fillId="314" borderId="3" xfId="0" applyFont="1" applyFill="1" applyBorder="1" applyAlignment="1">
      <alignment horizontal="center"/>
    </xf>
    <xf numFmtId="10" fontId="23" fillId="26" borderId="3" xfId="0" applyNumberFormat="1" applyFont="1" applyFill="1" applyBorder="1" applyAlignment="1">
      <alignment horizontal="center"/>
    </xf>
    <xf numFmtId="0" fontId="7" fillId="425" borderId="2" xfId="0" applyFont="1" applyFill="1" applyBorder="1" applyAlignment="1">
      <alignment horizontal="center"/>
    </xf>
    <xf numFmtId="0" fontId="7" fillId="225" borderId="3" xfId="0" applyFont="1" applyFill="1" applyBorder="1" applyAlignment="1">
      <alignment horizontal="center"/>
    </xf>
    <xf numFmtId="164" fontId="1" fillId="426" borderId="1" xfId="0" applyNumberFormat="1" applyFont="1" applyFill="1" applyBorder="1"/>
    <xf numFmtId="0" fontId="23" fillId="59" borderId="1" xfId="0" applyFont="1" applyFill="1" applyBorder="1" applyAlignment="1">
      <alignment horizontal="center"/>
    </xf>
    <xf numFmtId="0" fontId="23" fillId="341" borderId="1" xfId="0" applyFont="1" applyFill="1" applyBorder="1" applyAlignment="1">
      <alignment horizontal="center"/>
    </xf>
    <xf numFmtId="9" fontId="23" fillId="177" borderId="1" xfId="0" applyNumberFormat="1" applyFont="1" applyFill="1" applyBorder="1" applyAlignment="1">
      <alignment horizontal="center"/>
    </xf>
    <xf numFmtId="0" fontId="23" fillId="78" borderId="4" xfId="0" applyFont="1" applyFill="1" applyBorder="1" applyAlignment="1">
      <alignment horizontal="center"/>
    </xf>
    <xf numFmtId="0" fontId="23" fillId="150" borderId="1" xfId="0" applyFont="1" applyFill="1" applyBorder="1" applyAlignment="1">
      <alignment horizontal="center"/>
    </xf>
    <xf numFmtId="9" fontId="23" fillId="65" borderId="1" xfId="0" applyNumberFormat="1" applyFont="1" applyFill="1" applyBorder="1" applyAlignment="1">
      <alignment horizontal="center"/>
    </xf>
    <xf numFmtId="10" fontId="23" fillId="61" borderId="1" xfId="0" applyNumberFormat="1" applyFont="1" applyFill="1" applyBorder="1" applyAlignment="1">
      <alignment horizontal="center"/>
    </xf>
    <xf numFmtId="10" fontId="23" fillId="96" borderId="1" xfId="0" applyNumberFormat="1" applyFont="1" applyFill="1" applyBorder="1" applyAlignment="1">
      <alignment horizontal="center"/>
    </xf>
    <xf numFmtId="10" fontId="23" fillId="357" borderId="4" xfId="0" applyNumberFormat="1" applyFont="1" applyFill="1" applyBorder="1" applyAlignment="1">
      <alignment horizontal="center"/>
    </xf>
    <xf numFmtId="0" fontId="7" fillId="417" borderId="4" xfId="0" applyFont="1" applyFill="1" applyBorder="1" applyAlignment="1">
      <alignment horizontal="center"/>
    </xf>
    <xf numFmtId="0" fontId="7" fillId="427" borderId="1" xfId="0" applyFont="1" applyFill="1" applyBorder="1" applyAlignment="1">
      <alignment horizontal="center"/>
    </xf>
    <xf numFmtId="0" fontId="7" fillId="428" borderId="4" xfId="0" applyFont="1" applyFill="1" applyBorder="1" applyAlignment="1">
      <alignment horizontal="center"/>
    </xf>
    <xf numFmtId="164" fontId="1" fillId="429" borderId="2" xfId="0" applyNumberFormat="1" applyFont="1" applyFill="1" applyBorder="1"/>
    <xf numFmtId="165" fontId="7" fillId="2" borderId="2" xfId="0" applyNumberFormat="1" applyFont="1" applyFill="1" applyBorder="1" applyAlignment="1">
      <alignment horizontal="center"/>
    </xf>
    <xf numFmtId="0" fontId="23" fillId="26" borderId="2" xfId="0" applyFont="1" applyFill="1" applyBorder="1" applyAlignment="1">
      <alignment horizontal="center"/>
    </xf>
    <xf numFmtId="9" fontId="23" fillId="350" borderId="2" xfId="0" applyNumberFormat="1" applyFont="1" applyFill="1" applyBorder="1" applyAlignment="1">
      <alignment horizontal="center"/>
    </xf>
    <xf numFmtId="0" fontId="23" fillId="177" borderId="3" xfId="0" applyFont="1" applyFill="1" applyBorder="1" applyAlignment="1">
      <alignment horizontal="center"/>
    </xf>
    <xf numFmtId="0" fontId="23" fillId="49" borderId="2" xfId="0" applyFont="1" applyFill="1" applyBorder="1" applyAlignment="1">
      <alignment horizontal="center"/>
    </xf>
    <xf numFmtId="10" fontId="23" fillId="148" borderId="2" xfId="0" applyNumberFormat="1" applyFont="1" applyFill="1" applyBorder="1" applyAlignment="1">
      <alignment horizontal="center"/>
    </xf>
    <xf numFmtId="10" fontId="23" fillId="430" borderId="2" xfId="0" applyNumberFormat="1" applyFont="1" applyFill="1" applyBorder="1" applyAlignment="1">
      <alignment horizontal="center"/>
    </xf>
    <xf numFmtId="10" fontId="23" fillId="24" borderId="3" xfId="0" applyNumberFormat="1" applyFont="1" applyFill="1" applyBorder="1" applyAlignment="1">
      <alignment horizontal="center"/>
    </xf>
    <xf numFmtId="0" fontId="7" fillId="235" borderId="2" xfId="0" applyFont="1" applyFill="1" applyBorder="1" applyAlignment="1">
      <alignment horizontal="center"/>
    </xf>
    <xf numFmtId="0" fontId="7" fillId="431" borderId="3" xfId="0" applyFont="1" applyFill="1" applyBorder="1" applyAlignment="1">
      <alignment horizontal="center"/>
    </xf>
    <xf numFmtId="164" fontId="1" fillId="432" borderId="1" xfId="0" applyNumberFormat="1" applyFont="1" applyFill="1" applyBorder="1"/>
    <xf numFmtId="0" fontId="23" fillId="108" borderId="4" xfId="0" applyFont="1" applyFill="1" applyBorder="1" applyAlignment="1">
      <alignment horizontal="center"/>
    </xf>
    <xf numFmtId="0" fontId="23" fillId="433" borderId="1" xfId="0" applyFont="1" applyFill="1" applyBorder="1" applyAlignment="1">
      <alignment horizontal="center"/>
    </xf>
    <xf numFmtId="9" fontId="23" fillId="223" borderId="1" xfId="0" applyNumberFormat="1" applyFont="1" applyFill="1" applyBorder="1" applyAlignment="1">
      <alignment horizontal="center"/>
    </xf>
    <xf numFmtId="10" fontId="23" fillId="62" borderId="1" xfId="0" applyNumberFormat="1" applyFont="1" applyFill="1" applyBorder="1" applyAlignment="1">
      <alignment horizontal="center"/>
    </xf>
    <xf numFmtId="10" fontId="23" fillId="434" borderId="1" xfId="0" applyNumberFormat="1" applyFont="1" applyFill="1" applyBorder="1" applyAlignment="1">
      <alignment horizontal="center"/>
    </xf>
    <xf numFmtId="10" fontId="23" fillId="435" borderId="4" xfId="0" applyNumberFormat="1" applyFont="1" applyFill="1" applyBorder="1" applyAlignment="1">
      <alignment horizontal="center"/>
    </xf>
    <xf numFmtId="0" fontId="7" fillId="436" borderId="1" xfId="0" applyFont="1" applyFill="1" applyBorder="1" applyAlignment="1">
      <alignment horizontal="center"/>
    </xf>
    <xf numFmtId="0" fontId="7" fillId="437" borderId="4" xfId="0" applyFont="1" applyFill="1" applyBorder="1" applyAlignment="1">
      <alignment horizontal="center"/>
    </xf>
    <xf numFmtId="164" fontId="1" fillId="85" borderId="2" xfId="0" applyNumberFormat="1" applyFont="1" applyFill="1" applyBorder="1"/>
    <xf numFmtId="0" fontId="23" fillId="438" borderId="2" xfId="0" applyFont="1" applyFill="1" applyBorder="1" applyAlignment="1">
      <alignment horizontal="center"/>
    </xf>
    <xf numFmtId="9" fontId="23" fillId="439" borderId="2" xfId="0" applyNumberFormat="1" applyFont="1" applyFill="1" applyBorder="1" applyAlignment="1">
      <alignment horizontal="center"/>
    </xf>
    <xf numFmtId="0" fontId="23" fillId="440" borderId="2" xfId="0" applyFont="1" applyFill="1" applyBorder="1" applyAlignment="1">
      <alignment horizontal="center"/>
    </xf>
    <xf numFmtId="9" fontId="23" fillId="263" borderId="2" xfId="0" applyNumberFormat="1" applyFont="1" applyFill="1" applyBorder="1" applyAlignment="1">
      <alignment horizontal="center"/>
    </xf>
    <xf numFmtId="9" fontId="23" fillId="108" borderId="2" xfId="0" applyNumberFormat="1" applyFont="1" applyFill="1" applyBorder="1" applyAlignment="1">
      <alignment horizontal="center"/>
    </xf>
    <xf numFmtId="10" fontId="23" fillId="161" borderId="2" xfId="0" applyNumberFormat="1" applyFont="1" applyFill="1" applyBorder="1" applyAlignment="1">
      <alignment horizontal="center"/>
    </xf>
    <xf numFmtId="10" fontId="23" fillId="164" borderId="2" xfId="0" applyNumberFormat="1" applyFont="1" applyFill="1" applyBorder="1" applyAlignment="1">
      <alignment horizontal="center"/>
    </xf>
    <xf numFmtId="10" fontId="23" fillId="48" borderId="3" xfId="0" applyNumberFormat="1" applyFont="1" applyFill="1" applyBorder="1" applyAlignment="1">
      <alignment horizontal="center"/>
    </xf>
    <xf numFmtId="0" fontId="7" fillId="45" borderId="13" xfId="0" applyFont="1" applyFill="1" applyBorder="1" applyAlignment="1">
      <alignment horizontal="center"/>
    </xf>
    <xf numFmtId="0" fontId="7" fillId="381" borderId="13" xfId="0" applyFont="1" applyFill="1" applyBorder="1" applyAlignment="1">
      <alignment horizontal="center"/>
    </xf>
    <xf numFmtId="0" fontId="7" fillId="352" borderId="2" xfId="0" applyFont="1" applyFill="1" applyBorder="1" applyAlignment="1">
      <alignment horizontal="center"/>
    </xf>
    <xf numFmtId="0" fontId="7" fillId="353" borderId="3" xfId="0" applyFont="1" applyFill="1" applyBorder="1" applyAlignment="1">
      <alignment horizontal="center"/>
    </xf>
    <xf numFmtId="164" fontId="1" fillId="441" borderId="1" xfId="0" applyNumberFormat="1" applyFont="1" applyFill="1" applyBorder="1"/>
    <xf numFmtId="0" fontId="23" fillId="357" borderId="1" xfId="0" applyFont="1" applyFill="1" applyBorder="1" applyAlignment="1">
      <alignment horizontal="center"/>
    </xf>
    <xf numFmtId="0" fontId="23" fillId="442" borderId="1" xfId="0" applyFont="1" applyFill="1" applyBorder="1" applyAlignment="1">
      <alignment horizontal="center"/>
    </xf>
    <xf numFmtId="0" fontId="23" fillId="286" borderId="4" xfId="0" applyFont="1" applyFill="1" applyBorder="1" applyAlignment="1">
      <alignment horizontal="center"/>
    </xf>
    <xf numFmtId="0" fontId="23" fillId="115" borderId="4" xfId="0" applyFont="1" applyFill="1" applyBorder="1" applyAlignment="1">
      <alignment horizontal="center"/>
    </xf>
    <xf numFmtId="10" fontId="23" fillId="401" borderId="1" xfId="0" applyNumberFormat="1" applyFont="1" applyFill="1" applyBorder="1" applyAlignment="1">
      <alignment horizontal="center"/>
    </xf>
    <xf numFmtId="10" fontId="23" fillId="443" borderId="1" xfId="0" applyNumberFormat="1" applyFont="1" applyFill="1" applyBorder="1" applyAlignment="1">
      <alignment horizontal="center"/>
    </xf>
    <xf numFmtId="0" fontId="7" fillId="381" borderId="16" xfId="0" applyFont="1" applyFill="1" applyBorder="1" applyAlignment="1">
      <alignment horizontal="center"/>
    </xf>
    <xf numFmtId="0" fontId="7" fillId="156" borderId="1" xfId="0" applyFont="1" applyFill="1" applyBorder="1" applyAlignment="1">
      <alignment horizontal="center"/>
    </xf>
    <xf numFmtId="0" fontId="7" fillId="346" borderId="4" xfId="0" applyFont="1" applyFill="1" applyBorder="1" applyAlignment="1">
      <alignment horizontal="center"/>
    </xf>
    <xf numFmtId="164" fontId="1" fillId="444" borderId="2" xfId="0" applyNumberFormat="1" applyFont="1" applyFill="1" applyBorder="1"/>
    <xf numFmtId="0" fontId="23" fillId="445" borderId="2" xfId="0" applyFont="1" applyFill="1" applyBorder="1" applyAlignment="1">
      <alignment horizontal="center"/>
    </xf>
    <xf numFmtId="9" fontId="23" fillId="302" borderId="2" xfId="0" applyNumberFormat="1" applyFont="1" applyFill="1" applyBorder="1" applyAlignment="1">
      <alignment horizontal="center"/>
    </xf>
    <xf numFmtId="0" fontId="23" fillId="446" borderId="3" xfId="0" applyFont="1" applyFill="1" applyBorder="1" applyAlignment="1">
      <alignment horizontal="center"/>
    </xf>
    <xf numFmtId="0" fontId="23" fillId="17" borderId="2" xfId="0" applyFont="1" applyFill="1" applyBorder="1" applyAlignment="1">
      <alignment horizontal="center"/>
    </xf>
    <xf numFmtId="9" fontId="23" fillId="447" borderId="2" xfId="0" applyNumberFormat="1" applyFont="1" applyFill="1" applyBorder="1" applyAlignment="1">
      <alignment horizontal="center"/>
    </xf>
    <xf numFmtId="9" fontId="23" fillId="371" borderId="2" xfId="0" applyNumberFormat="1" applyFont="1" applyFill="1" applyBorder="1" applyAlignment="1">
      <alignment horizontal="center"/>
    </xf>
    <xf numFmtId="10" fontId="23" fillId="74" borderId="2" xfId="0" applyNumberFormat="1" applyFont="1" applyFill="1" applyBorder="1" applyAlignment="1">
      <alignment horizontal="center"/>
    </xf>
    <xf numFmtId="10" fontId="23" fillId="448" borderId="2" xfId="0" applyNumberFormat="1" applyFont="1" applyFill="1" applyBorder="1" applyAlignment="1">
      <alignment horizontal="center"/>
    </xf>
    <xf numFmtId="10" fontId="23" fillId="78" borderId="2" xfId="0" applyNumberFormat="1" applyFont="1" applyFill="1" applyBorder="1" applyAlignment="1">
      <alignment horizontal="center"/>
    </xf>
    <xf numFmtId="10" fontId="23" fillId="312" borderId="3" xfId="0" applyNumberFormat="1" applyFont="1" applyFill="1" applyBorder="1" applyAlignment="1">
      <alignment horizontal="center"/>
    </xf>
    <xf numFmtId="0" fontId="7" fillId="341" borderId="3" xfId="0" applyFont="1" applyFill="1" applyBorder="1" applyAlignment="1">
      <alignment horizontal="center"/>
    </xf>
    <xf numFmtId="0" fontId="7" fillId="323" borderId="13" xfId="0" applyFont="1" applyFill="1" applyBorder="1" applyAlignment="1">
      <alignment horizontal="center"/>
    </xf>
    <xf numFmtId="0" fontId="7" fillId="449" borderId="2" xfId="0" applyFont="1" applyFill="1" applyBorder="1" applyAlignment="1">
      <alignment horizontal="center"/>
    </xf>
    <xf numFmtId="0" fontId="7" fillId="120" borderId="3" xfId="0" applyFont="1" applyFill="1" applyBorder="1" applyAlignment="1">
      <alignment horizontal="center"/>
    </xf>
    <xf numFmtId="164" fontId="1" fillId="222" borderId="1" xfId="0" applyNumberFormat="1" applyFont="1" applyFill="1" applyBorder="1"/>
    <xf numFmtId="0" fontId="23" fillId="377" borderId="1" xfId="0" applyFont="1" applyFill="1" applyBorder="1" applyAlignment="1">
      <alignment horizontal="center"/>
    </xf>
    <xf numFmtId="9" fontId="23" fillId="415" borderId="1" xfId="0" applyNumberFormat="1" applyFont="1" applyFill="1" applyBorder="1" applyAlignment="1">
      <alignment horizontal="center"/>
    </xf>
    <xf numFmtId="0" fontId="23" fillId="417" borderId="1" xfId="0" applyFont="1" applyFill="1" applyBorder="1" applyAlignment="1">
      <alignment horizontal="center"/>
    </xf>
    <xf numFmtId="9" fontId="23" fillId="24" borderId="1" xfId="0" applyNumberFormat="1" applyFont="1" applyFill="1" applyBorder="1" applyAlignment="1">
      <alignment horizontal="center"/>
    </xf>
    <xf numFmtId="0" fontId="23" fillId="450" borderId="5" xfId="0" applyFont="1" applyFill="1" applyBorder="1" applyAlignment="1">
      <alignment horizontal="center"/>
    </xf>
    <xf numFmtId="10" fontId="23" fillId="451" borderId="1" xfId="0" applyNumberFormat="1" applyFont="1" applyFill="1" applyBorder="1" applyAlignment="1">
      <alignment horizontal="center"/>
    </xf>
    <xf numFmtId="10" fontId="23" fillId="213" borderId="1" xfId="0" applyNumberFormat="1" applyFont="1" applyFill="1" applyBorder="1" applyAlignment="1">
      <alignment horizontal="center"/>
    </xf>
    <xf numFmtId="0" fontId="7" fillId="452" borderId="1" xfId="0" applyFont="1" applyFill="1" applyBorder="1" applyAlignment="1">
      <alignment horizontal="center"/>
    </xf>
    <xf numFmtId="0" fontId="7" fillId="330" borderId="4" xfId="0" applyFont="1" applyFill="1" applyBorder="1" applyAlignment="1">
      <alignment horizontal="center"/>
    </xf>
    <xf numFmtId="164" fontId="1" fillId="453" borderId="2" xfId="0" applyNumberFormat="1" applyFont="1" applyFill="1" applyBorder="1"/>
    <xf numFmtId="0" fontId="23" fillId="127" borderId="2" xfId="0" applyFont="1" applyFill="1" applyBorder="1" applyAlignment="1">
      <alignment horizontal="center"/>
    </xf>
    <xf numFmtId="0" fontId="23" fillId="358" borderId="2" xfId="0" applyFont="1" applyFill="1" applyBorder="1" applyAlignment="1">
      <alignment horizontal="center"/>
    </xf>
    <xf numFmtId="9" fontId="23" fillId="398" borderId="2" xfId="0" applyNumberFormat="1" applyFont="1" applyFill="1" applyBorder="1" applyAlignment="1">
      <alignment horizontal="center"/>
    </xf>
    <xf numFmtId="0" fontId="23" fillId="438" borderId="3" xfId="0" applyFont="1" applyFill="1" applyBorder="1" applyAlignment="1">
      <alignment horizontal="center"/>
    </xf>
    <xf numFmtId="0" fontId="23" fillId="265" borderId="2" xfId="0" applyFont="1" applyFill="1" applyBorder="1" applyAlignment="1">
      <alignment horizontal="center"/>
    </xf>
    <xf numFmtId="9" fontId="23" fillId="454" borderId="2" xfId="0" applyNumberFormat="1" applyFont="1" applyFill="1" applyBorder="1" applyAlignment="1">
      <alignment horizontal="center"/>
    </xf>
    <xf numFmtId="9" fontId="23" fillId="336" borderId="2" xfId="0" applyNumberFormat="1" applyFont="1" applyFill="1" applyBorder="1" applyAlignment="1">
      <alignment horizontal="center"/>
    </xf>
    <xf numFmtId="0" fontId="23" fillId="65" borderId="3" xfId="0" applyFont="1" applyFill="1" applyBorder="1" applyAlignment="1">
      <alignment horizontal="center"/>
    </xf>
    <xf numFmtId="10" fontId="23" fillId="455" borderId="2" xfId="0" applyNumberFormat="1" applyFont="1" applyFill="1" applyBorder="1" applyAlignment="1">
      <alignment horizontal="center"/>
    </xf>
    <xf numFmtId="10" fontId="23" fillId="46" borderId="2" xfId="0" applyNumberFormat="1" applyFont="1" applyFill="1" applyBorder="1" applyAlignment="1">
      <alignment horizontal="center"/>
    </xf>
    <xf numFmtId="10" fontId="23" fillId="456" borderId="2" xfId="0" applyNumberFormat="1" applyFont="1" applyFill="1" applyBorder="1" applyAlignment="1">
      <alignment horizontal="center"/>
    </xf>
    <xf numFmtId="10" fontId="23" fillId="360" borderId="3" xfId="0" applyNumberFormat="1" applyFont="1" applyFill="1" applyBorder="1" applyAlignment="1">
      <alignment horizontal="center"/>
    </xf>
    <xf numFmtId="0" fontId="7" fillId="357" borderId="13" xfId="0" applyFont="1" applyFill="1" applyBorder="1" applyAlignment="1">
      <alignment horizontal="center"/>
    </xf>
    <xf numFmtId="0" fontId="7" fillId="457" borderId="3" xfId="0" applyFont="1" applyFill="1" applyBorder="1" applyAlignment="1">
      <alignment horizontal="center"/>
    </xf>
    <xf numFmtId="0" fontId="7" fillId="110" borderId="13" xfId="0" applyFont="1" applyFill="1" applyBorder="1" applyAlignment="1">
      <alignment horizontal="center"/>
    </xf>
    <xf numFmtId="0" fontId="7" fillId="458" borderId="13" xfId="0" applyFont="1" applyFill="1" applyBorder="1" applyAlignment="1">
      <alignment horizontal="center"/>
    </xf>
    <xf numFmtId="0" fontId="7" fillId="216" borderId="3" xfId="0" applyFont="1" applyFill="1" applyBorder="1" applyAlignment="1">
      <alignment horizontal="center"/>
    </xf>
    <xf numFmtId="0" fontId="1" fillId="459" borderId="2" xfId="0" applyFont="1" applyFill="1" applyBorder="1"/>
    <xf numFmtId="0" fontId="1" fillId="460" borderId="3" xfId="0" applyFont="1" applyFill="1" applyBorder="1"/>
    <xf numFmtId="0" fontId="1" fillId="461" borderId="3" xfId="0" applyFont="1" applyFill="1" applyBorder="1"/>
    <xf numFmtId="0" fontId="1" fillId="462" borderId="2" xfId="0" applyFont="1" applyFill="1" applyBorder="1"/>
    <xf numFmtId="0" fontId="1" fillId="463" borderId="2" xfId="0" applyFont="1" applyFill="1" applyBorder="1"/>
    <xf numFmtId="0" fontId="1" fillId="464" borderId="2" xfId="0" applyFont="1" applyFill="1" applyBorder="1"/>
    <xf numFmtId="0" fontId="1" fillId="465" borderId="3" xfId="0" applyFont="1" applyFill="1" applyBorder="1"/>
    <xf numFmtId="164" fontId="1" fillId="370" borderId="1" xfId="0" applyNumberFormat="1" applyFont="1" applyFill="1" applyBorder="1"/>
    <xf numFmtId="9" fontId="23" fillId="233" borderId="1" xfId="0" applyNumberFormat="1" applyFont="1" applyFill="1" applyBorder="1" applyAlignment="1">
      <alignment horizontal="center"/>
    </xf>
    <xf numFmtId="0" fontId="23" fillId="358" borderId="1" xfId="0" applyFont="1" applyFill="1" applyBorder="1" applyAlignment="1">
      <alignment horizontal="center"/>
    </xf>
    <xf numFmtId="9" fontId="23" fillId="466" borderId="1" xfId="0" applyNumberFormat="1" applyFont="1" applyFill="1" applyBorder="1" applyAlignment="1">
      <alignment horizontal="center"/>
    </xf>
    <xf numFmtId="0" fontId="23" fillId="412" borderId="4" xfId="0" applyFont="1" applyFill="1" applyBorder="1" applyAlignment="1">
      <alignment horizontal="center"/>
    </xf>
    <xf numFmtId="0" fontId="23" fillId="112" borderId="1" xfId="0" applyFont="1" applyFill="1" applyBorder="1" applyAlignment="1">
      <alignment horizontal="center"/>
    </xf>
    <xf numFmtId="9" fontId="23" fillId="467" borderId="1" xfId="0" applyNumberFormat="1" applyFont="1" applyFill="1" applyBorder="1" applyAlignment="1">
      <alignment horizontal="center"/>
    </xf>
    <xf numFmtId="0" fontId="23" fillId="381" borderId="4" xfId="0" applyFont="1" applyFill="1" applyBorder="1" applyAlignment="1">
      <alignment horizontal="center"/>
    </xf>
    <xf numFmtId="10" fontId="23" fillId="107" borderId="1" xfId="0" applyNumberFormat="1" applyFont="1" applyFill="1" applyBorder="1" applyAlignment="1">
      <alignment horizontal="center"/>
    </xf>
    <xf numFmtId="10" fontId="23" fillId="456" borderId="1" xfId="0" applyNumberFormat="1" applyFont="1" applyFill="1" applyBorder="1" applyAlignment="1">
      <alignment horizontal="center"/>
    </xf>
    <xf numFmtId="10" fontId="23" fillId="468" borderId="4" xfId="0" applyNumberFormat="1" applyFont="1" applyFill="1" applyBorder="1" applyAlignment="1">
      <alignment horizontal="center"/>
    </xf>
    <xf numFmtId="0" fontId="7" fillId="357" borderId="16" xfId="0" applyFont="1" applyFill="1" applyBorder="1" applyAlignment="1">
      <alignment horizontal="center"/>
    </xf>
    <xf numFmtId="0" fontId="7" fillId="100" borderId="16" xfId="0" applyFont="1" applyFill="1" applyBorder="1" applyAlignment="1">
      <alignment horizontal="center"/>
    </xf>
    <xf numFmtId="0" fontId="7" fillId="457" borderId="4" xfId="0" applyFont="1" applyFill="1" applyBorder="1" applyAlignment="1">
      <alignment horizontal="center"/>
    </xf>
    <xf numFmtId="0" fontId="7" fillId="469" borderId="4" xfId="0" applyFont="1" applyFill="1" applyBorder="1" applyAlignment="1">
      <alignment horizontal="center"/>
    </xf>
    <xf numFmtId="0" fontId="1" fillId="470" borderId="1" xfId="0" applyFont="1" applyFill="1" applyBorder="1"/>
    <xf numFmtId="0" fontId="1" fillId="324" borderId="4" xfId="0" applyFont="1" applyFill="1" applyBorder="1"/>
    <xf numFmtId="0" fontId="1" fillId="461" borderId="4" xfId="0" applyFont="1" applyFill="1" applyBorder="1"/>
    <xf numFmtId="0" fontId="1" fillId="471" borderId="1" xfId="0" applyFont="1" applyFill="1" applyBorder="1"/>
    <xf numFmtId="0" fontId="1" fillId="472" borderId="1" xfId="0" applyFont="1" applyFill="1" applyBorder="1"/>
    <xf numFmtId="0" fontId="1" fillId="473" borderId="1" xfId="0" applyFont="1" applyFill="1" applyBorder="1"/>
    <xf numFmtId="0" fontId="1" fillId="474" borderId="4" xfId="0" applyFont="1" applyFill="1" applyBorder="1"/>
    <xf numFmtId="164" fontId="1" fillId="475" borderId="2" xfId="0" applyNumberFormat="1" applyFont="1" applyFill="1" applyBorder="1"/>
    <xf numFmtId="0" fontId="23" fillId="41" borderId="2" xfId="0" applyFont="1" applyFill="1" applyBorder="1" applyAlignment="1">
      <alignment horizontal="center"/>
    </xf>
    <xf numFmtId="0" fontId="23" fillId="96" borderId="3" xfId="0" applyFont="1" applyFill="1" applyBorder="1" applyAlignment="1">
      <alignment horizontal="center"/>
    </xf>
    <xf numFmtId="9" fontId="23" fillId="476" borderId="2" xfId="0" applyNumberFormat="1" applyFont="1" applyFill="1" applyBorder="1" applyAlignment="1">
      <alignment horizontal="center"/>
    </xf>
    <xf numFmtId="0" fontId="23" fillId="313" borderId="3" xfId="0" applyFont="1" applyFill="1" applyBorder="1" applyAlignment="1">
      <alignment horizontal="center"/>
    </xf>
    <xf numFmtId="10" fontId="23" fillId="18" borderId="2" xfId="0" applyNumberFormat="1" applyFont="1" applyFill="1" applyBorder="1" applyAlignment="1">
      <alignment horizontal="center"/>
    </xf>
    <xf numFmtId="10" fontId="23" fillId="371" borderId="2" xfId="0" applyNumberFormat="1" applyFont="1" applyFill="1" applyBorder="1" applyAlignment="1">
      <alignment horizontal="center"/>
    </xf>
    <xf numFmtId="10" fontId="23" fillId="477" borderId="2" xfId="0" applyNumberFormat="1" applyFont="1" applyFill="1" applyBorder="1" applyAlignment="1">
      <alignment horizontal="center"/>
    </xf>
    <xf numFmtId="10" fontId="23" fillId="478" borderId="3" xfId="0" applyNumberFormat="1" applyFont="1" applyFill="1" applyBorder="1" applyAlignment="1">
      <alignment horizontal="center"/>
    </xf>
    <xf numFmtId="0" fontId="7" fillId="404" borderId="13" xfId="0" applyFont="1" applyFill="1" applyBorder="1" applyAlignment="1">
      <alignment horizontal="center"/>
    </xf>
    <xf numFmtId="0" fontId="7" fillId="479" borderId="3" xfId="0" applyFont="1" applyFill="1" applyBorder="1" applyAlignment="1">
      <alignment horizontal="center"/>
    </xf>
    <xf numFmtId="0" fontId="1" fillId="480" borderId="2" xfId="0" applyFont="1" applyFill="1" applyBorder="1"/>
    <xf numFmtId="0" fontId="1" fillId="413" borderId="3" xfId="0" applyFont="1" applyFill="1" applyBorder="1"/>
    <xf numFmtId="0" fontId="1" fillId="481" borderId="3" xfId="0" applyFont="1" applyFill="1" applyBorder="1"/>
    <xf numFmtId="0" fontId="1" fillId="482" borderId="2" xfId="0" applyFont="1" applyFill="1" applyBorder="1"/>
    <xf numFmtId="0" fontId="1" fillId="483" borderId="2" xfId="0" applyFont="1" applyFill="1" applyBorder="1"/>
    <xf numFmtId="0" fontId="1" fillId="353" borderId="2" xfId="0" applyFont="1" applyFill="1" applyBorder="1"/>
    <xf numFmtId="0" fontId="1" fillId="484" borderId="3" xfId="0" applyFont="1" applyFill="1" applyBorder="1"/>
    <xf numFmtId="164" fontId="1" fillId="485" borderId="1" xfId="0" applyNumberFormat="1" applyFont="1" applyFill="1" applyBorder="1"/>
    <xf numFmtId="0" fontId="23" fillId="195" borderId="1" xfId="0" applyFont="1" applyFill="1" applyBorder="1" applyAlignment="1">
      <alignment horizontal="center"/>
    </xf>
    <xf numFmtId="9" fontId="23" fillId="328" borderId="1" xfId="0" applyNumberFormat="1" applyFont="1" applyFill="1" applyBorder="1" applyAlignment="1">
      <alignment horizontal="center"/>
    </xf>
    <xf numFmtId="0" fontId="23" fillId="486" borderId="1" xfId="0" applyFont="1" applyFill="1" applyBorder="1" applyAlignment="1">
      <alignment horizontal="center"/>
    </xf>
    <xf numFmtId="9" fontId="23" fillId="487" borderId="1" xfId="0" applyNumberFormat="1" applyFont="1" applyFill="1" applyBorder="1" applyAlignment="1">
      <alignment horizontal="center"/>
    </xf>
    <xf numFmtId="0" fontId="23" fillId="296" borderId="4" xfId="0" applyFont="1" applyFill="1" applyBorder="1" applyAlignment="1">
      <alignment horizontal="center"/>
    </xf>
    <xf numFmtId="10" fontId="23" fillId="316" borderId="1" xfId="0" applyNumberFormat="1" applyFont="1" applyFill="1" applyBorder="1" applyAlignment="1">
      <alignment horizontal="center"/>
    </xf>
    <xf numFmtId="10" fontId="23" fillId="195" borderId="1" xfId="0" applyNumberFormat="1" applyFont="1" applyFill="1" applyBorder="1" applyAlignment="1">
      <alignment horizontal="center"/>
    </xf>
    <xf numFmtId="10" fontId="23" fillId="488" borderId="4" xfId="0" applyNumberFormat="1" applyFont="1" applyFill="1" applyBorder="1" applyAlignment="1">
      <alignment horizontal="center"/>
    </xf>
    <xf numFmtId="0" fontId="7" fillId="148" borderId="16" xfId="0" applyFont="1" applyFill="1" applyBorder="1" applyAlignment="1">
      <alignment horizontal="center"/>
    </xf>
    <xf numFmtId="0" fontId="7" fillId="216" borderId="4" xfId="0" applyFont="1" applyFill="1" applyBorder="1" applyAlignment="1">
      <alignment horizontal="center"/>
    </xf>
    <xf numFmtId="0" fontId="1" fillId="489" borderId="1" xfId="0" applyFont="1" applyFill="1" applyBorder="1"/>
    <xf numFmtId="0" fontId="1" fillId="153" borderId="4" xfId="0" applyFont="1" applyFill="1" applyBorder="1"/>
    <xf numFmtId="0" fontId="1" fillId="481" borderId="4" xfId="0" applyFont="1" applyFill="1" applyBorder="1"/>
    <xf numFmtId="0" fontId="1" fillId="490" borderId="1" xfId="0" applyFont="1" applyFill="1" applyBorder="1"/>
    <xf numFmtId="0" fontId="1" fillId="483" borderId="1" xfId="0" applyFont="1" applyFill="1" applyBorder="1"/>
    <xf numFmtId="0" fontId="1" fillId="364" borderId="1" xfId="0" applyFont="1" applyFill="1" applyBorder="1"/>
    <xf numFmtId="0" fontId="1" fillId="491" borderId="4" xfId="0" applyFont="1" applyFill="1" applyBorder="1"/>
    <xf numFmtId="164" fontId="1" fillId="492" borderId="2" xfId="0" applyNumberFormat="1" applyFont="1" applyFill="1" applyBorder="1"/>
    <xf numFmtId="0" fontId="23" fillId="76" borderId="2" xfId="0" applyFont="1" applyFill="1" applyBorder="1" applyAlignment="1">
      <alignment horizontal="center"/>
    </xf>
    <xf numFmtId="0" fontId="23" fillId="493" borderId="2" xfId="0" applyFont="1" applyFill="1" applyBorder="1" applyAlignment="1">
      <alignment horizontal="center"/>
    </xf>
    <xf numFmtId="9" fontId="23" fillId="216" borderId="2" xfId="0" applyNumberFormat="1" applyFont="1" applyFill="1" applyBorder="1" applyAlignment="1">
      <alignment horizontal="center"/>
    </xf>
    <xf numFmtId="0" fontId="23" fillId="176" borderId="3" xfId="0" applyFont="1" applyFill="1" applyBorder="1" applyAlignment="1">
      <alignment horizontal="center"/>
    </xf>
    <xf numFmtId="10" fontId="23" fillId="62" borderId="2" xfId="0" applyNumberFormat="1" applyFont="1" applyFill="1" applyBorder="1" applyAlignment="1">
      <alignment horizontal="center"/>
    </xf>
    <xf numFmtId="10" fontId="23" fillId="82" borderId="2" xfId="0" applyNumberFormat="1" applyFont="1" applyFill="1" applyBorder="1" applyAlignment="1">
      <alignment horizontal="center"/>
    </xf>
    <xf numFmtId="10" fontId="23" fillId="271" borderId="3" xfId="0" applyNumberFormat="1" applyFont="1" applyFill="1" applyBorder="1" applyAlignment="1">
      <alignment horizontal="center"/>
    </xf>
    <xf numFmtId="0" fontId="7" fillId="438" borderId="13" xfId="0" applyFont="1" applyFill="1" applyBorder="1" applyAlignment="1">
      <alignment horizontal="center"/>
    </xf>
    <xf numFmtId="0" fontId="7" fillId="494" borderId="3" xfId="0" applyFont="1" applyFill="1" applyBorder="1" applyAlignment="1">
      <alignment horizontal="center"/>
    </xf>
    <xf numFmtId="0" fontId="1" fillId="104" borderId="2" xfId="0" applyFont="1" applyFill="1" applyBorder="1"/>
    <xf numFmtId="0" fontId="1" fillId="394" borderId="3" xfId="0" applyFont="1" applyFill="1" applyBorder="1"/>
    <xf numFmtId="0" fontId="1" fillId="495" borderId="3" xfId="0" applyFont="1" applyFill="1" applyBorder="1"/>
    <xf numFmtId="0" fontId="1" fillId="496" borderId="2" xfId="0" applyFont="1" applyFill="1" applyBorder="1"/>
    <xf numFmtId="0" fontId="1" fillId="497" borderId="2" xfId="0" applyFont="1" applyFill="1" applyBorder="1"/>
    <xf numFmtId="0" fontId="1" fillId="498" borderId="2" xfId="0" applyFont="1" applyFill="1" applyBorder="1"/>
    <xf numFmtId="164" fontId="1" fillId="30" borderId="1" xfId="0" applyNumberFormat="1" applyFont="1" applyFill="1" applyBorder="1"/>
    <xf numFmtId="0" fontId="23" fillId="177" borderId="1" xfId="0" applyFont="1" applyFill="1" applyBorder="1" applyAlignment="1">
      <alignment horizontal="center"/>
    </xf>
    <xf numFmtId="9" fontId="23" fillId="357" borderId="1" xfId="0" applyNumberFormat="1" applyFont="1" applyFill="1" applyBorder="1" applyAlignment="1">
      <alignment horizontal="center"/>
    </xf>
    <xf numFmtId="0" fontId="23" fillId="499" borderId="1" xfId="0" applyFont="1" applyFill="1" applyBorder="1" applyAlignment="1">
      <alignment horizontal="center"/>
    </xf>
    <xf numFmtId="9" fontId="23" fillId="149" borderId="1" xfId="0" applyNumberFormat="1" applyFont="1" applyFill="1" applyBorder="1" applyAlignment="1">
      <alignment horizontal="center"/>
    </xf>
    <xf numFmtId="0" fontId="23" fillId="149" borderId="4" xfId="0" applyFont="1" applyFill="1" applyBorder="1" applyAlignment="1">
      <alignment horizontal="center"/>
    </xf>
    <xf numFmtId="0" fontId="23" fillId="108" borderId="1" xfId="0" applyFont="1" applyFill="1" applyBorder="1" applyAlignment="1">
      <alignment horizontal="center"/>
    </xf>
    <xf numFmtId="9" fontId="23" fillId="500" borderId="1" xfId="0" applyNumberFormat="1" applyFont="1" applyFill="1" applyBorder="1" applyAlignment="1">
      <alignment horizontal="center"/>
    </xf>
    <xf numFmtId="10" fontId="23" fillId="25" borderId="1" xfId="0" applyNumberFormat="1" applyFont="1" applyFill="1" applyBorder="1" applyAlignment="1">
      <alignment horizontal="center"/>
    </xf>
    <xf numFmtId="10" fontId="23" fillId="501" borderId="4" xfId="0" applyNumberFormat="1" applyFont="1" applyFill="1" applyBorder="1" applyAlignment="1">
      <alignment horizontal="center"/>
    </xf>
    <xf numFmtId="0" fontId="7" fillId="107" borderId="16" xfId="0" applyFont="1" applyFill="1" applyBorder="1" applyAlignment="1">
      <alignment horizontal="center"/>
    </xf>
    <xf numFmtId="0" fontId="7" fillId="280" borderId="4" xfId="0" applyFont="1" applyFill="1" applyBorder="1" applyAlignment="1">
      <alignment horizontal="center"/>
    </xf>
    <xf numFmtId="0" fontId="1" fillId="502" borderId="1" xfId="0" applyFont="1" applyFill="1" applyBorder="1"/>
    <xf numFmtId="0" fontId="1" fillId="503" borderId="4" xfId="0" applyFont="1" applyFill="1" applyBorder="1"/>
    <xf numFmtId="0" fontId="1" fillId="495" borderId="4" xfId="0" applyFont="1" applyFill="1" applyBorder="1"/>
    <xf numFmtId="0" fontId="1" fillId="186" borderId="1" xfId="0" applyFont="1" applyFill="1" applyBorder="1"/>
    <xf numFmtId="0" fontId="1" fillId="504" borderId="1" xfId="0" applyFont="1" applyFill="1" applyBorder="1"/>
    <xf numFmtId="0" fontId="1" fillId="505" borderId="1" xfId="0" applyFont="1" applyFill="1" applyBorder="1"/>
    <xf numFmtId="0" fontId="1" fillId="186" borderId="4" xfId="0" applyFont="1" applyFill="1" applyBorder="1"/>
    <xf numFmtId="164" fontId="1" fillId="506" borderId="2" xfId="0" applyNumberFormat="1" applyFont="1" applyFill="1" applyBorder="1"/>
    <xf numFmtId="0" fontId="23" fillId="377" borderId="2" xfId="0" applyFont="1" applyFill="1" applyBorder="1" applyAlignment="1">
      <alignment horizontal="center"/>
    </xf>
    <xf numFmtId="0" fontId="23" fillId="507" borderId="2" xfId="0" applyFont="1" applyFill="1" applyBorder="1" applyAlignment="1">
      <alignment horizontal="center"/>
    </xf>
    <xf numFmtId="0" fontId="23" fillId="508" borderId="3" xfId="0" applyFont="1" applyFill="1" applyBorder="1" applyAlignment="1">
      <alignment horizontal="center"/>
    </xf>
    <xf numFmtId="10" fontId="23" fillId="378" borderId="2" xfId="0" applyNumberFormat="1" applyFont="1" applyFill="1" applyBorder="1" applyAlignment="1">
      <alignment horizontal="center"/>
    </xf>
    <xf numFmtId="10" fontId="23" fillId="27" borderId="2" xfId="0" applyNumberFormat="1" applyFont="1" applyFill="1" applyBorder="1" applyAlignment="1">
      <alignment horizontal="center"/>
    </xf>
    <xf numFmtId="10" fontId="23" fillId="108" borderId="3" xfId="0" applyNumberFormat="1" applyFont="1" applyFill="1" applyBorder="1" applyAlignment="1">
      <alignment horizontal="center"/>
    </xf>
    <xf numFmtId="0" fontId="7" fillId="286" borderId="13" xfId="0" applyFont="1" applyFill="1" applyBorder="1" applyAlignment="1">
      <alignment horizontal="center"/>
    </xf>
    <xf numFmtId="0" fontId="1" fillId="509" borderId="2" xfId="0" applyFont="1" applyFill="1" applyBorder="1"/>
    <xf numFmtId="0" fontId="1" fillId="217" borderId="3" xfId="0" applyFont="1" applyFill="1" applyBorder="1"/>
    <xf numFmtId="0" fontId="1" fillId="26" borderId="3" xfId="0" applyFont="1" applyFill="1" applyBorder="1"/>
    <xf numFmtId="0" fontId="1" fillId="510" borderId="2" xfId="0" applyFont="1" applyFill="1" applyBorder="1"/>
    <xf numFmtId="0" fontId="1" fillId="473" borderId="2" xfId="0" applyFont="1" applyFill="1" applyBorder="1"/>
    <xf numFmtId="0" fontId="1" fillId="171" borderId="3" xfId="0" applyFont="1" applyFill="1" applyBorder="1"/>
    <xf numFmtId="0" fontId="23" fillId="511" borderId="1" xfId="0" applyFont="1" applyFill="1" applyBorder="1" applyAlignment="1">
      <alignment horizontal="center"/>
    </xf>
    <xf numFmtId="9" fontId="23" fillId="48" borderId="1" xfId="0" applyNumberFormat="1" applyFont="1" applyFill="1" applyBorder="1" applyAlignment="1">
      <alignment horizontal="center"/>
    </xf>
    <xf numFmtId="0" fontId="23" fillId="202" borderId="4" xfId="0" applyFont="1" applyFill="1" applyBorder="1" applyAlignment="1">
      <alignment horizontal="center"/>
    </xf>
    <xf numFmtId="0" fontId="1" fillId="512" borderId="1" xfId="0" applyFont="1" applyFill="1" applyBorder="1"/>
    <xf numFmtId="0" fontId="1" fillId="513" borderId="4" xfId="0" applyFont="1" applyFill="1" applyBorder="1"/>
    <xf numFmtId="0" fontId="1" fillId="26" borderId="4" xfId="0" applyFont="1" applyFill="1" applyBorder="1"/>
    <xf numFmtId="0" fontId="1" fillId="353" borderId="1" xfId="0" applyFont="1" applyFill="1" applyBorder="1"/>
    <xf numFmtId="0" fontId="1" fillId="26" borderId="1" xfId="0" applyFont="1" applyFill="1" applyBorder="1"/>
    <xf numFmtId="0" fontId="1" fillId="14" borderId="1" xfId="0" applyFont="1" applyFill="1" applyBorder="1"/>
    <xf numFmtId="164" fontId="1" fillId="28" borderId="2" xfId="0" applyNumberFormat="1" applyFont="1" applyFill="1" applyBorder="1"/>
    <xf numFmtId="0" fontId="23" fillId="82" borderId="2" xfId="0" applyFont="1" applyFill="1" applyBorder="1" applyAlignment="1">
      <alignment horizontal="center"/>
    </xf>
    <xf numFmtId="9" fontId="23" fillId="315" borderId="2" xfId="0" applyNumberFormat="1" applyFont="1" applyFill="1" applyBorder="1" applyAlignment="1">
      <alignment horizontal="center"/>
    </xf>
    <xf numFmtId="0" fontId="23" fillId="514" borderId="2" xfId="0" applyFont="1" applyFill="1" applyBorder="1" applyAlignment="1">
      <alignment horizontal="center"/>
    </xf>
    <xf numFmtId="9" fontId="23" fillId="194" borderId="2" xfId="0" applyNumberFormat="1" applyFont="1" applyFill="1" applyBorder="1" applyAlignment="1">
      <alignment horizontal="center"/>
    </xf>
    <xf numFmtId="0" fontId="23" fillId="430" borderId="3" xfId="0" applyFont="1" applyFill="1" applyBorder="1" applyAlignment="1">
      <alignment horizontal="center"/>
    </xf>
    <xf numFmtId="0" fontId="23" fillId="49" borderId="3" xfId="0" applyFont="1" applyFill="1" applyBorder="1" applyAlignment="1">
      <alignment horizontal="center"/>
    </xf>
    <xf numFmtId="10" fontId="23" fillId="377" borderId="2" xfId="0" applyNumberFormat="1" applyFont="1" applyFill="1" applyBorder="1" applyAlignment="1">
      <alignment horizontal="center"/>
    </xf>
    <xf numFmtId="10" fontId="23" fillId="75" borderId="2" xfId="0" applyNumberFormat="1" applyFont="1" applyFill="1" applyBorder="1" applyAlignment="1">
      <alignment horizontal="center"/>
    </xf>
    <xf numFmtId="10" fontId="23" fillId="45" borderId="3" xfId="0" applyNumberFormat="1" applyFont="1" applyFill="1" applyBorder="1" applyAlignment="1">
      <alignment horizontal="center"/>
    </xf>
    <xf numFmtId="0" fontId="7" fillId="401" borderId="13" xfId="0" applyFont="1" applyFill="1" applyBorder="1" applyAlignment="1">
      <alignment horizontal="center"/>
    </xf>
    <xf numFmtId="0" fontId="1" fillId="515" borderId="2" xfId="0" applyFont="1" applyFill="1" applyBorder="1"/>
    <xf numFmtId="0" fontId="1" fillId="516" borderId="3" xfId="0" applyFont="1" applyFill="1" applyBorder="1"/>
    <xf numFmtId="0" fontId="1" fillId="517" borderId="3" xfId="0" applyFont="1" applyFill="1" applyBorder="1"/>
    <xf numFmtId="0" fontId="1" fillId="52" borderId="2" xfId="0" applyFont="1" applyFill="1" applyBorder="1"/>
    <xf numFmtId="0" fontId="1" fillId="518" borderId="2" xfId="0" applyFont="1" applyFill="1" applyBorder="1"/>
    <xf numFmtId="0" fontId="1" fillId="519" borderId="2" xfId="0" applyFont="1" applyFill="1" applyBorder="1"/>
    <xf numFmtId="164" fontId="1" fillId="520" borderId="1" xfId="0" applyNumberFormat="1" applyFont="1" applyFill="1" applyBorder="1"/>
    <xf numFmtId="0" fontId="23" fillId="466" borderId="1" xfId="0" applyFont="1" applyFill="1" applyBorder="1" applyAlignment="1">
      <alignment horizontal="center"/>
    </xf>
    <xf numFmtId="0" fontId="23" fillId="64" borderId="1" xfId="0" applyFont="1" applyFill="1" applyBorder="1" applyAlignment="1">
      <alignment horizontal="center"/>
    </xf>
    <xf numFmtId="9" fontId="23" fillId="278" borderId="1" xfId="0" applyNumberFormat="1" applyFont="1" applyFill="1" applyBorder="1" applyAlignment="1">
      <alignment horizontal="center"/>
    </xf>
    <xf numFmtId="0" fontId="23" fillId="127" borderId="4" xfId="0" applyFont="1" applyFill="1" applyBorder="1" applyAlignment="1">
      <alignment horizontal="center"/>
    </xf>
    <xf numFmtId="0" fontId="23" fillId="161" borderId="1" xfId="0" applyFont="1" applyFill="1" applyBorder="1" applyAlignment="1">
      <alignment horizontal="center"/>
    </xf>
    <xf numFmtId="9" fontId="23" fillId="407" borderId="1" xfId="0" applyNumberFormat="1" applyFont="1" applyFill="1" applyBorder="1" applyAlignment="1">
      <alignment horizontal="center"/>
    </xf>
    <xf numFmtId="10" fontId="23" fillId="100" borderId="1" xfId="0" applyNumberFormat="1" applyFont="1" applyFill="1" applyBorder="1" applyAlignment="1">
      <alignment horizontal="center"/>
    </xf>
    <xf numFmtId="10" fontId="23" fillId="371" borderId="4" xfId="0" applyNumberFormat="1" applyFont="1" applyFill="1" applyBorder="1" applyAlignment="1">
      <alignment horizontal="center"/>
    </xf>
    <xf numFmtId="0" fontId="7" fillId="438" borderId="16" xfId="0" applyFont="1" applyFill="1" applyBorder="1" applyAlignment="1">
      <alignment horizontal="center"/>
    </xf>
    <xf numFmtId="0" fontId="1" fillId="242" borderId="1" xfId="0" applyFont="1" applyFill="1" applyBorder="1"/>
    <xf numFmtId="0" fontId="1" fillId="395" borderId="4" xfId="0" applyFont="1" applyFill="1" applyBorder="1"/>
    <xf numFmtId="0" fontId="1" fillId="517" borderId="4" xfId="0" applyFont="1" applyFill="1" applyBorder="1"/>
    <xf numFmtId="0" fontId="1" fillId="521" borderId="1" xfId="0" applyFont="1" applyFill="1" applyBorder="1"/>
    <xf numFmtId="0" fontId="1" fillId="495" borderId="1" xfId="0" applyFont="1" applyFill="1" applyBorder="1"/>
    <xf numFmtId="0" fontId="1" fillId="522" borderId="4" xfId="0" applyFont="1" applyFill="1" applyBorder="1"/>
    <xf numFmtId="164" fontId="1" fillId="523" borderId="2" xfId="0" applyNumberFormat="1" applyFont="1" applyFill="1" applyBorder="1"/>
    <xf numFmtId="0" fontId="23" fillId="93" borderId="2" xfId="0" applyFont="1" applyFill="1" applyBorder="1" applyAlignment="1">
      <alignment horizontal="center"/>
    </xf>
    <xf numFmtId="9" fontId="23" fillId="112" borderId="2" xfId="0" applyNumberFormat="1" applyFont="1" applyFill="1" applyBorder="1" applyAlignment="1">
      <alignment horizontal="center"/>
    </xf>
    <xf numFmtId="0" fontId="23" fillId="524" borderId="2" xfId="0" applyFont="1" applyFill="1" applyBorder="1" applyAlignment="1">
      <alignment horizontal="center"/>
    </xf>
    <xf numFmtId="9" fontId="23" fillId="443" borderId="2" xfId="0" applyNumberFormat="1" applyFont="1" applyFill="1" applyBorder="1" applyAlignment="1">
      <alignment horizontal="center"/>
    </xf>
    <xf numFmtId="0" fontId="23" fillId="525" borderId="3" xfId="0" applyFont="1" applyFill="1" applyBorder="1" applyAlignment="1">
      <alignment horizontal="center"/>
    </xf>
    <xf numFmtId="0" fontId="23" fillId="312" borderId="2" xfId="0" applyFont="1" applyFill="1" applyBorder="1" applyAlignment="1">
      <alignment horizontal="center"/>
    </xf>
    <xf numFmtId="9" fontId="23" fillId="107" borderId="2" xfId="0" applyNumberFormat="1" applyFont="1" applyFill="1" applyBorder="1" applyAlignment="1">
      <alignment horizontal="center"/>
    </xf>
    <xf numFmtId="9" fontId="23" fillId="344" borderId="2" xfId="0" applyNumberFormat="1" applyFont="1" applyFill="1" applyBorder="1" applyAlignment="1">
      <alignment horizontal="center"/>
    </xf>
    <xf numFmtId="0" fontId="23" fillId="302" borderId="3" xfId="0" applyFont="1" applyFill="1" applyBorder="1" applyAlignment="1">
      <alignment horizontal="center"/>
    </xf>
    <xf numFmtId="10" fontId="23" fillId="59" borderId="2" xfId="0" applyNumberFormat="1" applyFont="1" applyFill="1" applyBorder="1" applyAlignment="1">
      <alignment horizontal="center"/>
    </xf>
    <xf numFmtId="10" fontId="23" fillId="343" borderId="2" xfId="0" applyNumberFormat="1" applyFont="1" applyFill="1" applyBorder="1" applyAlignment="1">
      <alignment horizontal="center"/>
    </xf>
    <xf numFmtId="10" fontId="23" fillId="127" borderId="2" xfId="0" applyNumberFormat="1" applyFont="1" applyFill="1" applyBorder="1" applyAlignment="1">
      <alignment horizontal="center"/>
    </xf>
    <xf numFmtId="10" fontId="23" fillId="333" borderId="3" xfId="0" applyNumberFormat="1" applyFont="1" applyFill="1" applyBorder="1" applyAlignment="1">
      <alignment horizontal="center"/>
    </xf>
    <xf numFmtId="0" fontId="7" fillId="526" borderId="3" xfId="0" applyFont="1" applyFill="1" applyBorder="1" applyAlignment="1">
      <alignment horizontal="center"/>
    </xf>
    <xf numFmtId="0" fontId="1" fillId="87" borderId="2" xfId="0" applyFont="1" applyFill="1" applyBorder="1"/>
    <xf numFmtId="0" fontId="1" fillId="364" borderId="3" xfId="0" applyFont="1" applyFill="1" applyBorder="1"/>
    <xf numFmtId="0" fontId="1" fillId="68" borderId="3" xfId="0" applyFont="1" applyFill="1" applyBorder="1"/>
    <xf numFmtId="0" fontId="1" fillId="191" borderId="2" xfId="0" applyFont="1" applyFill="1" applyBorder="1"/>
    <xf numFmtId="0" fontId="1" fillId="527" borderId="2" xfId="0" applyFont="1" applyFill="1" applyBorder="1"/>
    <xf numFmtId="0" fontId="1" fillId="497" borderId="3" xfId="0" applyFont="1" applyFill="1" applyBorder="1"/>
    <xf numFmtId="164" fontId="1" fillId="528" borderId="1" xfId="0" applyNumberFormat="1" applyFont="1" applyFill="1" applyBorder="1"/>
    <xf numFmtId="0" fontId="23" fillId="529" borderId="1" xfId="0" applyFont="1" applyFill="1" applyBorder="1" applyAlignment="1">
      <alignment horizontal="center"/>
    </xf>
    <xf numFmtId="9" fontId="23" fillId="420" borderId="1" xfId="0" applyNumberFormat="1" applyFont="1" applyFill="1" applyBorder="1" applyAlignment="1">
      <alignment horizontal="center"/>
    </xf>
    <xf numFmtId="9" fontId="23" fillId="112" borderId="1" xfId="0" applyNumberFormat="1" applyFont="1" applyFill="1" applyBorder="1" applyAlignment="1">
      <alignment horizontal="center"/>
    </xf>
    <xf numFmtId="0" fontId="23" fillId="530" borderId="4" xfId="0" applyFont="1" applyFill="1" applyBorder="1" applyAlignment="1">
      <alignment horizontal="center"/>
    </xf>
    <xf numFmtId="0" fontId="23" fillId="360" borderId="1" xfId="0" applyFont="1" applyFill="1" applyBorder="1" applyAlignment="1">
      <alignment horizontal="center"/>
    </xf>
    <xf numFmtId="10" fontId="23" fillId="529" borderId="1" xfId="0" applyNumberFormat="1" applyFont="1" applyFill="1" applyBorder="1" applyAlignment="1">
      <alignment horizontal="center"/>
    </xf>
    <xf numFmtId="10" fontId="23" fillId="111" borderId="4" xfId="0" applyNumberFormat="1" applyFont="1" applyFill="1" applyBorder="1" applyAlignment="1">
      <alignment horizontal="center"/>
    </xf>
    <xf numFmtId="0" fontId="1" fillId="208" borderId="1" xfId="0" applyFont="1" applyFill="1" applyBorder="1"/>
    <xf numFmtId="0" fontId="1" fillId="531" borderId="4" xfId="0" applyFont="1" applyFill="1" applyBorder="1"/>
    <xf numFmtId="0" fontId="1" fillId="68" borderId="4" xfId="0" applyFont="1" applyFill="1" applyBorder="1"/>
    <xf numFmtId="0" fontId="1" fillId="464" borderId="1" xfId="0" applyFont="1" applyFill="1" applyBorder="1"/>
    <xf numFmtId="0" fontId="1" fillId="532" borderId="1" xfId="0" applyFont="1" applyFill="1" applyBorder="1"/>
    <xf numFmtId="0" fontId="1" fillId="423" borderId="1" xfId="0" applyFont="1" applyFill="1" applyBorder="1"/>
    <xf numFmtId="0" fontId="1" fillId="102" borderId="4" xfId="0" applyFont="1" applyFill="1" applyBorder="1"/>
    <xf numFmtId="164" fontId="1" fillId="26" borderId="2" xfId="0" applyNumberFormat="1" applyFont="1" applyFill="1" applyBorder="1"/>
    <xf numFmtId="0" fontId="23" fillId="128" borderId="2" xfId="0" applyFont="1" applyFill="1" applyBorder="1" applyAlignment="1">
      <alignment horizontal="center"/>
    </xf>
    <xf numFmtId="9" fontId="23" fillId="264" borderId="2" xfId="0" applyNumberFormat="1" applyFont="1" applyFill="1" applyBorder="1" applyAlignment="1">
      <alignment horizontal="center"/>
    </xf>
    <xf numFmtId="0" fontId="23" fillId="182" borderId="2" xfId="0" applyFont="1" applyFill="1" applyBorder="1" applyAlignment="1">
      <alignment horizontal="center"/>
    </xf>
    <xf numFmtId="0" fontId="23" fillId="124" borderId="3" xfId="0" applyFont="1" applyFill="1" applyBorder="1" applyAlignment="1">
      <alignment horizontal="center"/>
    </xf>
    <xf numFmtId="0" fontId="23" fillId="250" borderId="2" xfId="0" applyFont="1" applyFill="1" applyBorder="1" applyAlignment="1">
      <alignment horizontal="center"/>
    </xf>
    <xf numFmtId="9" fontId="23" fillId="128" borderId="2" xfId="0" applyNumberFormat="1" applyFont="1" applyFill="1" applyBorder="1" applyAlignment="1">
      <alignment horizontal="center"/>
    </xf>
    <xf numFmtId="0" fontId="23" fillId="448" borderId="3" xfId="0" applyFont="1" applyFill="1" applyBorder="1" applyAlignment="1">
      <alignment horizontal="center"/>
    </xf>
    <xf numFmtId="10" fontId="23" fillId="278" borderId="2" xfId="0" applyNumberFormat="1" applyFont="1" applyFill="1" applyBorder="1" applyAlignment="1">
      <alignment horizontal="center"/>
    </xf>
    <xf numFmtId="10" fontId="23" fillId="177" borderId="3" xfId="0" applyNumberFormat="1" applyFont="1" applyFill="1" applyBorder="1" applyAlignment="1">
      <alignment horizontal="center"/>
    </xf>
    <xf numFmtId="0" fontId="1" fillId="14" borderId="2" xfId="0" applyFont="1" applyFill="1" applyBorder="1"/>
    <xf numFmtId="0" fontId="1" fillId="533" borderId="3" xfId="0" applyFont="1" applyFill="1" applyBorder="1"/>
    <xf numFmtId="0" fontId="1" fillId="283" borderId="3" xfId="0" applyFont="1" applyFill="1" applyBorder="1"/>
    <xf numFmtId="0" fontId="1" fillId="534" borderId="2" xfId="0" applyFont="1" applyFill="1" applyBorder="1"/>
    <xf numFmtId="0" fontId="1" fillId="535" borderId="2" xfId="0" applyFont="1" applyFill="1" applyBorder="1"/>
    <xf numFmtId="164" fontId="1" fillId="14" borderId="1" xfId="0" applyNumberFormat="1" applyFont="1" applyFill="1" applyBorder="1"/>
    <xf numFmtId="9" fontId="23" fillId="373" borderId="1" xfId="0" applyNumberFormat="1" applyFont="1" applyFill="1" applyBorder="1" applyAlignment="1">
      <alignment horizontal="center"/>
    </xf>
    <xf numFmtId="0" fontId="23" fillId="536" borderId="1" xfId="0" applyFont="1" applyFill="1" applyBorder="1" applyAlignment="1">
      <alignment horizontal="center"/>
    </xf>
    <xf numFmtId="0" fontId="23" fillId="303" borderId="4" xfId="0" applyFont="1" applyFill="1" applyBorder="1" applyAlignment="1">
      <alignment horizontal="center"/>
    </xf>
    <xf numFmtId="9" fontId="23" fillId="537" borderId="1" xfId="0" applyNumberFormat="1" applyFont="1" applyFill="1" applyBorder="1" applyAlignment="1">
      <alignment horizontal="center"/>
    </xf>
    <xf numFmtId="0" fontId="23" fillId="40" borderId="4" xfId="0" applyFont="1" applyFill="1" applyBorder="1" applyAlignment="1">
      <alignment horizontal="center"/>
    </xf>
    <xf numFmtId="10" fontId="23" fillId="130" borderId="1" xfId="0" applyNumberFormat="1" applyFont="1" applyFill="1" applyBorder="1" applyAlignment="1">
      <alignment horizontal="center"/>
    </xf>
    <xf numFmtId="10" fontId="23" fillId="351" borderId="1" xfId="0" applyNumberFormat="1" applyFont="1" applyFill="1" applyBorder="1" applyAlignment="1">
      <alignment horizontal="center"/>
    </xf>
    <xf numFmtId="10" fontId="23" fillId="272" borderId="4" xfId="0" applyNumberFormat="1" applyFont="1" applyFill="1" applyBorder="1" applyAlignment="1">
      <alignment horizontal="center"/>
    </xf>
    <xf numFmtId="0" fontId="7" fillId="112" borderId="16" xfId="0" applyFont="1" applyFill="1" applyBorder="1" applyAlignment="1">
      <alignment horizontal="center"/>
    </xf>
    <xf numFmtId="0" fontId="7" fillId="458" borderId="16" xfId="0" applyFont="1" applyFill="1" applyBorder="1" applyAlignment="1">
      <alignment horizontal="center"/>
    </xf>
    <xf numFmtId="0" fontId="7" fillId="526" borderId="4" xfId="0" applyFont="1" applyFill="1" applyBorder="1" applyAlignment="1">
      <alignment horizontal="center"/>
    </xf>
    <xf numFmtId="0" fontId="1" fillId="538" borderId="4" xfId="0" applyFont="1" applyFill="1" applyBorder="1"/>
    <xf numFmtId="0" fontId="1" fillId="283" borderId="4" xfId="0" applyFont="1" applyFill="1" applyBorder="1"/>
    <xf numFmtId="0" fontId="1" fillId="462" borderId="1" xfId="0" applyFont="1" applyFill="1" applyBorder="1"/>
    <xf numFmtId="0" fontId="1" fillId="539" borderId="1" xfId="0" applyFont="1" applyFill="1" applyBorder="1"/>
    <xf numFmtId="0" fontId="1" fillId="540" borderId="4" xfId="0" applyFont="1" applyFill="1" applyBorder="1"/>
    <xf numFmtId="164" fontId="1" fillId="541" borderId="2" xfId="0" applyNumberFormat="1" applyFont="1" applyFill="1" applyBorder="1"/>
    <xf numFmtId="0" fontId="23" fillId="499" borderId="2" xfId="0" applyFont="1" applyFill="1" applyBorder="1" applyAlignment="1">
      <alignment horizontal="center"/>
    </xf>
    <xf numFmtId="9" fontId="23" fillId="134" borderId="2" xfId="0" applyNumberFormat="1" applyFont="1" applyFill="1" applyBorder="1" applyAlignment="1">
      <alignment horizontal="center"/>
    </xf>
    <xf numFmtId="0" fontId="23" fillId="45" borderId="3" xfId="0" applyFont="1" applyFill="1" applyBorder="1" applyAlignment="1">
      <alignment horizontal="center"/>
    </xf>
    <xf numFmtId="9" fontId="23" fillId="97" borderId="2" xfId="0" applyNumberFormat="1" applyFont="1" applyFill="1" applyBorder="1" applyAlignment="1">
      <alignment horizontal="center"/>
    </xf>
    <xf numFmtId="9" fontId="23" fillId="314" borderId="2" xfId="0" applyNumberFormat="1" applyFont="1" applyFill="1" applyBorder="1" applyAlignment="1">
      <alignment horizontal="center"/>
    </xf>
    <xf numFmtId="10" fontId="23" fillId="214" borderId="2" xfId="0" applyNumberFormat="1" applyFont="1" applyFill="1" applyBorder="1" applyAlignment="1">
      <alignment horizontal="center"/>
    </xf>
    <xf numFmtId="0" fontId="1" fillId="395" borderId="3" xfId="0" applyFont="1" applyFill="1" applyBorder="1"/>
    <xf numFmtId="0" fontId="1" fillId="542" borderId="3" xfId="0" applyFont="1" applyFill="1" applyBorder="1"/>
    <xf numFmtId="0" fontId="1" fillId="283" borderId="2" xfId="0" applyFont="1" applyFill="1" applyBorder="1"/>
    <xf numFmtId="0" fontId="1" fillId="543" borderId="2" xfId="0" applyFont="1" applyFill="1" applyBorder="1"/>
    <xf numFmtId="0" fontId="1" fillId="544" borderId="2" xfId="0" applyFont="1" applyFill="1" applyBorder="1"/>
    <xf numFmtId="0" fontId="1" fillId="235" borderId="3" xfId="0" applyFont="1" applyFill="1" applyBorder="1"/>
    <xf numFmtId="164" fontId="1" fillId="545" borderId="1" xfId="0" applyNumberFormat="1" applyFont="1" applyFill="1" applyBorder="1"/>
    <xf numFmtId="0" fontId="23" fillId="179" borderId="1" xfId="0" applyFont="1" applyFill="1" applyBorder="1" applyAlignment="1">
      <alignment horizontal="center"/>
    </xf>
    <xf numFmtId="9" fontId="23" fillId="96" borderId="1" xfId="0" applyNumberFormat="1" applyFont="1" applyFill="1" applyBorder="1" applyAlignment="1">
      <alignment horizontal="center"/>
    </xf>
    <xf numFmtId="0" fontId="23" fillId="392" borderId="4" xfId="0" applyFont="1" applyFill="1" applyBorder="1" applyAlignment="1">
      <alignment horizontal="center"/>
    </xf>
    <xf numFmtId="9" fontId="23" fillId="161" borderId="1" xfId="0" applyNumberFormat="1" applyFont="1" applyFill="1" applyBorder="1" applyAlignment="1">
      <alignment horizontal="center"/>
    </xf>
    <xf numFmtId="10" fontId="23" fillId="76" borderId="1" xfId="0" applyNumberFormat="1" applyFont="1" applyFill="1" applyBorder="1" applyAlignment="1">
      <alignment horizontal="center"/>
    </xf>
    <xf numFmtId="10" fontId="23" fillId="477" borderId="4" xfId="0" applyNumberFormat="1" applyFont="1" applyFill="1" applyBorder="1" applyAlignment="1">
      <alignment horizontal="center"/>
    </xf>
    <xf numFmtId="0" fontId="1" fillId="516" borderId="4" xfId="0" applyFont="1" applyFill="1" applyBorder="1"/>
    <xf numFmtId="0" fontId="1" fillId="542" borderId="4" xfId="0" applyFont="1" applyFill="1" applyBorder="1"/>
    <xf numFmtId="0" fontId="1" fillId="252" borderId="1" xfId="0" applyFont="1" applyFill="1" applyBorder="1"/>
    <xf numFmtId="0" fontId="1" fillId="546" borderId="1" xfId="0" applyFont="1" applyFill="1" applyBorder="1"/>
    <xf numFmtId="0" fontId="1" fillId="547" borderId="1" xfId="0" applyFont="1" applyFill="1" applyBorder="1"/>
    <xf numFmtId="164" fontId="1" fillId="548" borderId="2" xfId="0" applyNumberFormat="1" applyFont="1" applyFill="1" applyBorder="1"/>
    <xf numFmtId="0" fontId="23" fillId="36" borderId="2" xfId="0" applyFont="1" applyFill="1" applyBorder="1" applyAlignment="1">
      <alignment horizontal="center"/>
    </xf>
    <xf numFmtId="9" fontId="23" fillId="45" borderId="2" xfId="0" applyNumberFormat="1" applyFont="1" applyFill="1" applyBorder="1" applyAlignment="1">
      <alignment horizontal="center"/>
    </xf>
    <xf numFmtId="9" fontId="23" fillId="197" borderId="2" xfId="0" applyNumberFormat="1" applyFont="1" applyFill="1" applyBorder="1" applyAlignment="1">
      <alignment horizontal="center"/>
    </xf>
    <xf numFmtId="0" fontId="23" fillId="98" borderId="3" xfId="0" applyFont="1" applyFill="1" applyBorder="1" applyAlignment="1">
      <alignment horizontal="center"/>
    </xf>
    <xf numFmtId="0" fontId="23" fillId="124" borderId="2" xfId="0" applyFont="1" applyFill="1" applyBorder="1" applyAlignment="1">
      <alignment horizontal="center"/>
    </xf>
    <xf numFmtId="9" fontId="23" fillId="110" borderId="2" xfId="0" applyNumberFormat="1" applyFont="1" applyFill="1" applyBorder="1" applyAlignment="1">
      <alignment horizontal="center"/>
    </xf>
    <xf numFmtId="10" fontId="23" fillId="206" borderId="3" xfId="0" applyNumberFormat="1" applyFont="1" applyFill="1" applyBorder="1" applyAlignment="1">
      <alignment horizontal="center"/>
    </xf>
    <xf numFmtId="0" fontId="7" fillId="469" borderId="3" xfId="0" applyFont="1" applyFill="1" applyBorder="1" applyAlignment="1">
      <alignment horizontal="center"/>
    </xf>
    <xf numFmtId="0" fontId="1" fillId="549" borderId="3" xfId="0" applyFont="1" applyFill="1" applyBorder="1"/>
    <xf numFmtId="0" fontId="1" fillId="550" borderId="2" xfId="0" applyFont="1" applyFill="1" applyBorder="1"/>
    <xf numFmtId="0" fontId="1" fillId="551" borderId="3" xfId="0" applyFont="1" applyFill="1" applyBorder="1"/>
    <xf numFmtId="164" fontId="1" fillId="552" borderId="1" xfId="0" applyNumberFormat="1" applyFont="1" applyFill="1" applyBorder="1"/>
    <xf numFmtId="0" fontId="23" fillId="196" borderId="1" xfId="0" applyFont="1" applyFill="1" applyBorder="1" applyAlignment="1">
      <alignment horizontal="center"/>
    </xf>
    <xf numFmtId="0" fontId="23" fillId="320" borderId="1" xfId="0" applyFont="1" applyFill="1" applyBorder="1" applyAlignment="1">
      <alignment horizontal="center"/>
    </xf>
    <xf numFmtId="9" fontId="23" fillId="553" borderId="1" xfId="0" applyNumberFormat="1" applyFont="1" applyFill="1" applyBorder="1" applyAlignment="1">
      <alignment horizontal="center"/>
    </xf>
    <xf numFmtId="10" fontId="23" fillId="114" borderId="1" xfId="0" applyNumberFormat="1" applyFont="1" applyFill="1" applyBorder="1" applyAlignment="1">
      <alignment horizontal="center"/>
    </xf>
    <xf numFmtId="10" fontId="23" fillId="278" borderId="4" xfId="0" applyNumberFormat="1" applyFont="1" applyFill="1" applyBorder="1" applyAlignment="1">
      <alignment horizontal="center"/>
    </xf>
    <xf numFmtId="0" fontId="1" fillId="554" borderId="4" xfId="0" applyFont="1" applyFill="1" applyBorder="1"/>
    <xf numFmtId="0" fontId="1" fillId="549" borderId="4" xfId="0" applyFont="1" applyFill="1" applyBorder="1"/>
    <xf numFmtId="0" fontId="1" fillId="550" borderId="1" xfId="0" applyFont="1" applyFill="1" applyBorder="1"/>
    <xf numFmtId="0" fontId="1" fillId="555" borderId="1" xfId="0" applyFont="1" applyFill="1" applyBorder="1"/>
    <xf numFmtId="0" fontId="1" fillId="556" borderId="4" xfId="0" applyFont="1" applyFill="1" applyBorder="1"/>
    <xf numFmtId="164" fontId="1" fillId="557" borderId="2" xfId="0" applyNumberFormat="1" applyFont="1" applyFill="1" applyBorder="1"/>
    <xf numFmtId="0" fontId="23" fillId="558" borderId="2" xfId="0" applyFont="1" applyFill="1" applyBorder="1" applyAlignment="1">
      <alignment horizontal="center"/>
    </xf>
    <xf numFmtId="9" fontId="23" fillId="207" borderId="2" xfId="0" applyNumberFormat="1" applyFont="1" applyFill="1" applyBorder="1" applyAlignment="1">
      <alignment horizontal="center"/>
    </xf>
    <xf numFmtId="10" fontId="23" fillId="20" borderId="2" xfId="0" applyNumberFormat="1" applyFont="1" applyFill="1" applyBorder="1" applyAlignment="1">
      <alignment horizontal="center"/>
    </xf>
    <xf numFmtId="10" fontId="23" fillId="93" borderId="2" xfId="0" applyNumberFormat="1" applyFont="1" applyFill="1" applyBorder="1" applyAlignment="1">
      <alignment horizontal="center"/>
    </xf>
    <xf numFmtId="0" fontId="1" fillId="559" borderId="3" xfId="0" applyFont="1" applyFill="1" applyBorder="1"/>
    <xf numFmtId="0" fontId="1" fillId="14" borderId="3" xfId="0" applyFont="1" applyFill="1" applyBorder="1"/>
    <xf numFmtId="164" fontId="1" fillId="560" borderId="1" xfId="0" applyNumberFormat="1" applyFont="1" applyFill="1" applyBorder="1"/>
    <xf numFmtId="0" fontId="23" fillId="561" borderId="1" xfId="0" applyFont="1" applyFill="1" applyBorder="1" applyAlignment="1">
      <alignment horizontal="center"/>
    </xf>
    <xf numFmtId="9" fontId="23" fillId="562" borderId="1" xfId="0" applyNumberFormat="1" applyFont="1" applyFill="1" applyBorder="1" applyAlignment="1">
      <alignment horizontal="center"/>
    </xf>
    <xf numFmtId="0" fontId="23" fillId="407" borderId="4" xfId="0" applyFont="1" applyFill="1" applyBorder="1" applyAlignment="1">
      <alignment horizontal="center"/>
    </xf>
    <xf numFmtId="10" fontId="23" fillId="27" borderId="1" xfId="0" applyNumberFormat="1" applyFont="1" applyFill="1" applyBorder="1" applyAlignment="1">
      <alignment horizontal="center"/>
    </xf>
    <xf numFmtId="10" fontId="23" fillId="563" borderId="1" xfId="0" applyNumberFormat="1" applyFont="1" applyFill="1" applyBorder="1" applyAlignment="1">
      <alignment horizontal="center"/>
    </xf>
    <xf numFmtId="10" fontId="23" fillId="127" borderId="4" xfId="0" applyNumberFormat="1" applyFont="1" applyFill="1" applyBorder="1" applyAlignment="1">
      <alignment horizontal="center"/>
    </xf>
    <xf numFmtId="0" fontId="7" fillId="133" borderId="4" xfId="0" applyFont="1" applyFill="1" applyBorder="1" applyAlignment="1">
      <alignment horizontal="center"/>
    </xf>
    <xf numFmtId="0" fontId="1" fillId="564" borderId="4" xfId="0" applyFont="1" applyFill="1" applyBorder="1"/>
    <xf numFmtId="0" fontId="1" fillId="14" borderId="4" xfId="0" applyFont="1" applyFill="1" applyBorder="1"/>
    <xf numFmtId="0" fontId="1" fillId="53" borderId="1" xfId="0" applyFont="1" applyFill="1" applyBorder="1"/>
    <xf numFmtId="0" fontId="1" fillId="565" borderId="1" xfId="0" applyFont="1" applyFill="1" applyBorder="1"/>
    <xf numFmtId="164" fontId="1" fillId="566" borderId="2" xfId="0" applyNumberFormat="1" applyFont="1" applyFill="1" applyBorder="1"/>
    <xf numFmtId="0" fontId="23" fillId="100" borderId="2" xfId="0" applyFont="1" applyFill="1" applyBorder="1" applyAlignment="1">
      <alignment horizontal="center"/>
    </xf>
    <xf numFmtId="9" fontId="23" fillId="373" borderId="2" xfId="0" applyNumberFormat="1" applyFont="1" applyFill="1" applyBorder="1" applyAlignment="1">
      <alignment horizontal="center"/>
    </xf>
    <xf numFmtId="0" fontId="23" fillId="567" borderId="2" xfId="0" applyFont="1" applyFill="1" applyBorder="1" applyAlignment="1">
      <alignment horizontal="center"/>
    </xf>
    <xf numFmtId="0" fontId="23" fillId="315" borderId="3" xfId="0" applyFont="1" applyFill="1" applyBorder="1" applyAlignment="1">
      <alignment horizontal="center"/>
    </xf>
    <xf numFmtId="9" fontId="23" fillId="203" borderId="2" xfId="0" applyNumberFormat="1" applyFont="1" applyFill="1" applyBorder="1" applyAlignment="1">
      <alignment horizontal="center"/>
    </xf>
    <xf numFmtId="10" fontId="23" fillId="438" borderId="2" xfId="0" applyNumberFormat="1" applyFont="1" applyFill="1" applyBorder="1" applyAlignment="1">
      <alignment horizontal="center"/>
    </xf>
    <xf numFmtId="10" fontId="23" fillId="44" borderId="2" xfId="0" applyNumberFormat="1" applyFont="1" applyFill="1" applyBorder="1" applyAlignment="1">
      <alignment horizontal="center"/>
    </xf>
    <xf numFmtId="0" fontId="1" fillId="512" borderId="2" xfId="0" applyFont="1" applyFill="1" applyBorder="1"/>
    <xf numFmtId="0" fontId="1" fillId="568" borderId="3" xfId="0" applyFont="1" applyFill="1" applyBorder="1"/>
    <xf numFmtId="10" fontId="23" fillId="45" borderId="4" xfId="0" applyNumberFormat="1" applyFont="1" applyFill="1" applyBorder="1" applyAlignment="1">
      <alignment horizontal="center"/>
    </xf>
    <xf numFmtId="0" fontId="7" fillId="479" borderId="4" xfId="0" applyFont="1" applyFill="1" applyBorder="1" applyAlignment="1">
      <alignment horizontal="center"/>
    </xf>
    <xf numFmtId="0" fontId="1" fillId="509" borderId="1" xfId="0" applyFont="1" applyFill="1" applyBorder="1"/>
    <xf numFmtId="0" fontId="1" fillId="136" borderId="4" xfId="0" applyFont="1" applyFill="1" applyBorder="1"/>
    <xf numFmtId="164" fontId="1" fillId="569" borderId="2" xfId="0" applyNumberFormat="1" applyFont="1" applyFill="1" applyBorder="1"/>
    <xf numFmtId="0" fontId="23" fillId="39" borderId="2" xfId="0" applyFont="1" applyFill="1" applyBorder="1" applyAlignment="1">
      <alignment horizontal="center"/>
    </xf>
    <xf numFmtId="9" fontId="23" fillId="357" borderId="2" xfId="0" applyNumberFormat="1" applyFont="1" applyFill="1" applyBorder="1" applyAlignment="1">
      <alignment horizontal="center"/>
    </xf>
    <xf numFmtId="0" fontId="23" fillId="258" borderId="2" xfId="0" applyFont="1" applyFill="1" applyBorder="1" applyAlignment="1">
      <alignment horizontal="center"/>
    </xf>
    <xf numFmtId="9" fontId="23" fillId="161" borderId="2" xfId="0" applyNumberFormat="1" applyFont="1" applyFill="1" applyBorder="1" applyAlignment="1">
      <alignment horizontal="center"/>
    </xf>
    <xf numFmtId="9" fontId="23" fillId="151" borderId="2" xfId="0" applyNumberFormat="1" applyFont="1" applyFill="1" applyBorder="1" applyAlignment="1">
      <alignment horizontal="center"/>
    </xf>
    <xf numFmtId="0" fontId="23" fillId="570" borderId="3" xfId="0" applyFont="1" applyFill="1" applyBorder="1" applyAlignment="1">
      <alignment horizontal="center"/>
    </xf>
    <xf numFmtId="10" fontId="23" fillId="45" borderId="2" xfId="0" applyNumberFormat="1" applyFont="1" applyFill="1" applyBorder="1" applyAlignment="1">
      <alignment horizontal="center"/>
    </xf>
    <xf numFmtId="10" fontId="23" fillId="216" borderId="2" xfId="0" applyNumberFormat="1" applyFont="1" applyFill="1" applyBorder="1" applyAlignment="1">
      <alignment horizontal="center"/>
    </xf>
    <xf numFmtId="10" fontId="23" fillId="50" borderId="2" xfId="0" applyNumberFormat="1" applyFont="1" applyFill="1" applyBorder="1" applyAlignment="1">
      <alignment horizontal="center"/>
    </xf>
    <xf numFmtId="10" fontId="23" fillId="327" borderId="3" xfId="0" applyNumberFormat="1" applyFont="1" applyFill="1" applyBorder="1" applyAlignment="1">
      <alignment horizontal="center"/>
    </xf>
    <xf numFmtId="0" fontId="1" fillId="120" borderId="2" xfId="0" applyFont="1" applyFill="1" applyBorder="1"/>
    <xf numFmtId="0" fontId="1" fillId="338" borderId="3" xfId="0" applyFont="1" applyFill="1" applyBorder="1"/>
    <xf numFmtId="0" fontId="1" fillId="26" borderId="2" xfId="0" applyFont="1" applyFill="1" applyBorder="1"/>
    <xf numFmtId="0" fontId="1" fillId="571" borderId="2" xfId="0" applyFont="1" applyFill="1" applyBorder="1"/>
    <xf numFmtId="164" fontId="1" fillId="572" borderId="1" xfId="0" applyNumberFormat="1" applyFont="1" applyFill="1" applyBorder="1"/>
    <xf numFmtId="0" fontId="23" fillId="24" borderId="1" xfId="0" applyFont="1" applyFill="1" applyBorder="1" applyAlignment="1">
      <alignment horizontal="center"/>
    </xf>
    <xf numFmtId="0" fontId="23" fillId="337" borderId="1" xfId="0" applyFont="1" applyFill="1" applyBorder="1" applyAlignment="1">
      <alignment horizontal="center"/>
    </xf>
    <xf numFmtId="9" fontId="23" fillId="18" borderId="1" xfId="0" applyNumberFormat="1" applyFont="1" applyFill="1" applyBorder="1" applyAlignment="1">
      <alignment horizontal="center"/>
    </xf>
    <xf numFmtId="0" fontId="23" fillId="38" borderId="4" xfId="0" applyFont="1" applyFill="1" applyBorder="1" applyAlignment="1">
      <alignment horizontal="center"/>
    </xf>
    <xf numFmtId="0" fontId="23" fillId="573" borderId="1" xfId="0" applyFont="1" applyFill="1" applyBorder="1" applyAlignment="1">
      <alignment horizontal="center"/>
    </xf>
    <xf numFmtId="0" fontId="23" fillId="49" borderId="4" xfId="0" applyFont="1" applyFill="1" applyBorder="1" applyAlignment="1">
      <alignment horizontal="center"/>
    </xf>
    <xf numFmtId="10" fontId="23" fillId="20" borderId="1" xfId="0" applyNumberFormat="1" applyFont="1" applyFill="1" applyBorder="1" applyAlignment="1">
      <alignment horizontal="center"/>
    </xf>
    <xf numFmtId="10" fontId="23" fillId="196" borderId="1" xfId="0" applyNumberFormat="1" applyFont="1" applyFill="1" applyBorder="1" applyAlignment="1">
      <alignment horizontal="center"/>
    </xf>
    <xf numFmtId="10" fontId="23" fillId="563" borderId="4" xfId="0" applyNumberFormat="1" applyFont="1" applyFill="1" applyBorder="1" applyAlignment="1">
      <alignment horizontal="center"/>
    </xf>
    <xf numFmtId="0" fontId="7" fillId="529" borderId="16" xfId="0" applyFont="1" applyFill="1" applyBorder="1" applyAlignment="1">
      <alignment horizontal="center"/>
    </xf>
    <xf numFmtId="0" fontId="1" fillId="574" borderId="1" xfId="0" applyFont="1" applyFill="1" applyBorder="1"/>
    <xf numFmtId="0" fontId="1" fillId="338" borderId="4" xfId="0" applyFont="1" applyFill="1" applyBorder="1"/>
    <xf numFmtId="0" fontId="1" fillId="575" borderId="1" xfId="0" applyFont="1" applyFill="1" applyBorder="1"/>
    <xf numFmtId="0" fontId="1" fillId="576" borderId="1" xfId="0" applyFont="1" applyFill="1" applyBorder="1"/>
    <xf numFmtId="164" fontId="1" fillId="316" borderId="2" xfId="0" applyNumberFormat="1" applyFont="1" applyFill="1" applyBorder="1"/>
    <xf numFmtId="0" fontId="23" fillId="138" borderId="2" xfId="0" applyFont="1" applyFill="1" applyBorder="1" applyAlignment="1">
      <alignment horizontal="center"/>
    </xf>
    <xf numFmtId="0" fontId="23" fillId="30" borderId="2" xfId="0" applyFont="1" applyFill="1" applyBorder="1" applyAlignment="1">
      <alignment horizontal="center"/>
    </xf>
    <xf numFmtId="9" fontId="23" fillId="303" borderId="2" xfId="0" applyNumberFormat="1" applyFont="1" applyFill="1" applyBorder="1" applyAlignment="1">
      <alignment horizontal="center"/>
    </xf>
    <xf numFmtId="0" fontId="23" fillId="381" borderId="3" xfId="0" applyFont="1" applyFill="1" applyBorder="1" applyAlignment="1">
      <alignment horizontal="center"/>
    </xf>
    <xf numFmtId="10" fontId="23" fillId="269" borderId="2" xfId="0" applyNumberFormat="1" applyFont="1" applyFill="1" applyBorder="1" applyAlignment="1">
      <alignment horizontal="center"/>
    </xf>
    <xf numFmtId="0" fontId="7" fillId="529" borderId="13" xfId="0" applyFont="1" applyFill="1" applyBorder="1" applyAlignment="1">
      <alignment horizontal="center"/>
    </xf>
    <xf numFmtId="0" fontId="7" fillId="358" borderId="13" xfId="0" applyFont="1" applyFill="1" applyBorder="1" applyAlignment="1">
      <alignment horizontal="center"/>
    </xf>
    <xf numFmtId="0" fontId="7" fillId="577" borderId="3" xfId="0" applyFont="1" applyFill="1" applyBorder="1" applyAlignment="1">
      <alignment horizontal="center"/>
    </xf>
    <xf numFmtId="0" fontId="1" fillId="578" borderId="2" xfId="0" applyFont="1" applyFill="1" applyBorder="1"/>
    <xf numFmtId="0" fontId="1" fillId="324" borderId="3" xfId="0" applyFont="1" applyFill="1" applyBorder="1"/>
    <xf numFmtId="0" fontId="1" fillId="579" borderId="2" xfId="0" applyFont="1" applyFill="1" applyBorder="1"/>
    <xf numFmtId="0" fontId="1" fillId="555" borderId="2" xfId="0" applyFont="1" applyFill="1" applyBorder="1"/>
    <xf numFmtId="0" fontId="1" fillId="565" borderId="2" xfId="0" applyFont="1" applyFill="1" applyBorder="1"/>
    <xf numFmtId="164" fontId="1" fillId="580" borderId="1" xfId="0" applyNumberFormat="1" applyFont="1" applyFill="1" applyBorder="1"/>
    <xf numFmtId="0" fontId="23" fillId="493" borderId="1" xfId="0" applyFont="1" applyFill="1" applyBorder="1" applyAlignment="1">
      <alignment horizontal="center"/>
    </xf>
    <xf numFmtId="0" fontId="23" fillId="581" borderId="1" xfId="0" applyFont="1" applyFill="1" applyBorder="1" applyAlignment="1">
      <alignment horizontal="center"/>
    </xf>
    <xf numFmtId="0" fontId="23" fillId="360" borderId="4" xfId="0" applyFont="1" applyFill="1" applyBorder="1" applyAlignment="1">
      <alignment horizontal="center"/>
    </xf>
    <xf numFmtId="10" fontId="23" fillId="177" borderId="1" xfId="0" applyNumberFormat="1" applyFont="1" applyFill="1" applyBorder="1" applyAlignment="1">
      <alignment horizontal="center"/>
    </xf>
    <xf numFmtId="10" fontId="23" fillId="360" borderId="1" xfId="0" applyNumberFormat="1" applyFont="1" applyFill="1" applyBorder="1" applyAlignment="1">
      <alignment horizontal="center"/>
    </xf>
    <xf numFmtId="10" fontId="23" fillId="582" borderId="1" xfId="0" applyNumberFormat="1" applyFont="1" applyFill="1" applyBorder="1" applyAlignment="1">
      <alignment horizontal="center"/>
    </xf>
    <xf numFmtId="10" fontId="23" fillId="360" borderId="4" xfId="0" applyNumberFormat="1" applyFont="1" applyFill="1" applyBorder="1" applyAlignment="1">
      <alignment horizontal="center"/>
    </xf>
    <xf numFmtId="0" fontId="1" fillId="583" borderId="1" xfId="0" applyFont="1" applyFill="1" applyBorder="1"/>
    <xf numFmtId="0" fontId="1" fillId="460" borderId="4" xfId="0" applyFont="1" applyFill="1" applyBorder="1"/>
    <xf numFmtId="0" fontId="1" fillId="584" borderId="1" xfId="0" applyFont="1" applyFill="1" applyBorder="1"/>
    <xf numFmtId="0" fontId="1" fillId="585" borderId="1" xfId="0" applyFont="1" applyFill="1" applyBorder="1"/>
    <xf numFmtId="0" fontId="1" fillId="2" borderId="16" xfId="0" applyFont="1" applyFill="1" applyBorder="1"/>
    <xf numFmtId="0" fontId="1" fillId="12" borderId="5" xfId="0" applyFont="1" applyFill="1" applyBorder="1"/>
    <xf numFmtId="0" fontId="1" fillId="12" borderId="13" xfId="0" applyFont="1" applyFill="1" applyBorder="1"/>
    <xf numFmtId="0" fontId="1" fillId="12" borderId="16" xfId="0" applyFont="1" applyFill="1" applyBorder="1"/>
    <xf numFmtId="0" fontId="20" fillId="5" borderId="0" xfId="0" applyFont="1" applyFill="1" applyAlignment="1">
      <alignment horizontal="center" wrapText="1"/>
    </xf>
    <xf numFmtId="164" fontId="1" fillId="83" borderId="2" xfId="0" applyNumberFormat="1" applyFont="1" applyFill="1" applyBorder="1"/>
    <xf numFmtId="0" fontId="23" fillId="223" borderId="2" xfId="0" applyFont="1" applyFill="1" applyBorder="1" applyAlignment="1">
      <alignment horizontal="center"/>
    </xf>
    <xf numFmtId="0" fontId="23" fillId="161" borderId="3" xfId="0" applyFont="1" applyFill="1" applyBorder="1" applyAlignment="1">
      <alignment horizontal="center"/>
    </xf>
    <xf numFmtId="0" fontId="23" fillId="416" borderId="2" xfId="0" applyFont="1" applyFill="1" applyBorder="1" applyAlignment="1">
      <alignment horizontal="center"/>
    </xf>
    <xf numFmtId="10" fontId="23" fillId="77" borderId="2" xfId="0" applyNumberFormat="1" applyFont="1" applyFill="1" applyBorder="1" applyAlignment="1">
      <alignment horizontal="center"/>
    </xf>
    <xf numFmtId="10" fontId="23" fillId="233" borderId="3" xfId="0" applyNumberFormat="1" applyFont="1" applyFill="1" applyBorder="1" applyAlignment="1">
      <alignment horizontal="center"/>
    </xf>
    <xf numFmtId="0" fontId="7" fillId="328" borderId="13" xfId="0" applyFont="1" applyFill="1" applyBorder="1" applyAlignment="1">
      <alignment horizontal="center"/>
    </xf>
    <xf numFmtId="0" fontId="7" fillId="435" borderId="13" xfId="0" applyFont="1" applyFill="1" applyBorder="1" applyAlignment="1">
      <alignment horizontal="center"/>
    </xf>
    <xf numFmtId="164" fontId="1" fillId="586" borderId="1" xfId="0" applyNumberFormat="1" applyFont="1" applyFill="1" applyBorder="1"/>
    <xf numFmtId="0" fontId="23" fillId="587" borderId="1" xfId="0" applyFont="1" applyFill="1" applyBorder="1" applyAlignment="1">
      <alignment horizontal="center"/>
    </xf>
    <xf numFmtId="0" fontId="23" fillId="514" borderId="1" xfId="0" applyFont="1" applyFill="1" applyBorder="1" applyAlignment="1">
      <alignment horizontal="center"/>
    </xf>
    <xf numFmtId="10" fontId="23" fillId="108" borderId="1" xfId="0" applyNumberFormat="1" applyFont="1" applyFill="1" applyBorder="1" applyAlignment="1">
      <alignment horizontal="center"/>
    </xf>
    <xf numFmtId="10" fontId="23" fillId="371" borderId="1" xfId="0" applyNumberFormat="1" applyFont="1" applyFill="1" applyBorder="1" applyAlignment="1">
      <alignment horizontal="center"/>
    </xf>
    <xf numFmtId="0" fontId="7" fillId="328" borderId="16" xfId="0" applyFont="1" applyFill="1" applyBorder="1" applyAlignment="1">
      <alignment horizontal="center"/>
    </xf>
    <xf numFmtId="164" fontId="1" fillId="588" borderId="2" xfId="0" applyNumberFormat="1" applyFont="1" applyFill="1" applyBorder="1"/>
    <xf numFmtId="0" fontId="23" fillId="329" borderId="3" xfId="0" applyFont="1" applyFill="1" applyBorder="1" applyAlignment="1">
      <alignment horizontal="center"/>
    </xf>
    <xf numFmtId="0" fontId="23" fillId="478" borderId="2" xfId="0" applyFont="1" applyFill="1" applyBorder="1" applyAlignment="1">
      <alignment horizontal="center"/>
    </xf>
    <xf numFmtId="10" fontId="23" fillId="76" borderId="2" xfId="0" applyNumberFormat="1" applyFont="1" applyFill="1" applyBorder="1" applyAlignment="1">
      <alignment horizontal="center"/>
    </xf>
    <xf numFmtId="10" fontId="23" fillId="138" borderId="2" xfId="0" applyNumberFormat="1" applyFont="1" applyFill="1" applyBorder="1" applyAlignment="1">
      <alignment horizontal="center"/>
    </xf>
    <xf numFmtId="10" fontId="23" fillId="589" borderId="2" xfId="0" applyNumberFormat="1" applyFont="1" applyFill="1" applyBorder="1" applyAlignment="1">
      <alignment horizontal="center"/>
    </xf>
    <xf numFmtId="10" fontId="23" fillId="203" borderId="3" xfId="0" applyNumberFormat="1" applyFont="1" applyFill="1" applyBorder="1" applyAlignment="1">
      <alignment horizontal="center"/>
    </xf>
    <xf numFmtId="0" fontId="7" fillId="40" borderId="13" xfId="0" applyFont="1" applyFill="1" applyBorder="1" applyAlignment="1">
      <alignment horizontal="center"/>
    </xf>
    <xf numFmtId="0" fontId="7" fillId="590" borderId="13" xfId="0" applyFont="1" applyFill="1" applyBorder="1" applyAlignment="1">
      <alignment horizontal="center"/>
    </xf>
    <xf numFmtId="164" fontId="1" fillId="591" borderId="1" xfId="0" applyNumberFormat="1" applyFont="1" applyFill="1" applyBorder="1"/>
    <xf numFmtId="0" fontId="23" fillId="525" borderId="1" xfId="0" applyFont="1" applyFill="1" applyBorder="1" applyAlignment="1">
      <alignment horizontal="center"/>
    </xf>
    <xf numFmtId="0" fontId="23" fillId="326" borderId="1" xfId="0" applyFont="1" applyFill="1" applyBorder="1" applyAlignment="1">
      <alignment horizontal="center"/>
    </xf>
    <xf numFmtId="0" fontId="23" fillId="563" borderId="4" xfId="0" applyFont="1" applyFill="1" applyBorder="1" applyAlignment="1">
      <alignment horizontal="center"/>
    </xf>
    <xf numFmtId="0" fontId="23" fillId="36" borderId="1" xfId="0" applyFont="1" applyFill="1" applyBorder="1" applyAlignment="1">
      <alignment horizontal="center"/>
    </xf>
    <xf numFmtId="9" fontId="23" fillId="121" borderId="1" xfId="0" applyNumberFormat="1" applyFont="1" applyFill="1" applyBorder="1" applyAlignment="1">
      <alignment horizontal="center"/>
    </xf>
    <xf numFmtId="10" fontId="23" fillId="59" borderId="1" xfId="0" applyNumberFormat="1" applyFont="1" applyFill="1" applyBorder="1" applyAlignment="1">
      <alignment horizontal="center"/>
    </xf>
    <xf numFmtId="10" fontId="23" fillId="592" borderId="4" xfId="0" applyNumberFormat="1" applyFont="1" applyFill="1" applyBorder="1" applyAlignment="1">
      <alignment horizontal="center"/>
    </xf>
    <xf numFmtId="0" fontId="7" fillId="177" borderId="16" xfId="0" applyFont="1" applyFill="1" applyBorder="1" applyAlignment="1">
      <alignment horizontal="center"/>
    </xf>
    <xf numFmtId="0" fontId="7" fillId="553" borderId="16" xfId="0" applyFont="1" applyFill="1" applyBorder="1" applyAlignment="1">
      <alignment horizontal="center"/>
    </xf>
    <xf numFmtId="164" fontId="1" fillId="64" borderId="2" xfId="0" applyNumberFormat="1" applyFont="1" applyFill="1" applyBorder="1"/>
    <xf numFmtId="9" fontId="23" fillId="562" borderId="2" xfId="0" applyNumberFormat="1" applyFont="1" applyFill="1" applyBorder="1" applyAlignment="1">
      <alignment horizontal="center"/>
    </xf>
    <xf numFmtId="0" fontId="23" fillId="477" borderId="3" xfId="0" applyFont="1" applyFill="1" applyBorder="1" applyAlignment="1">
      <alignment horizontal="center"/>
    </xf>
    <xf numFmtId="0" fontId="23" fillId="23" borderId="2" xfId="0" applyFont="1" applyFill="1" applyBorder="1" applyAlignment="1">
      <alignment horizontal="center"/>
    </xf>
    <xf numFmtId="9" fontId="23" fillId="477" borderId="2" xfId="0" applyNumberFormat="1" applyFont="1" applyFill="1" applyBorder="1" applyAlignment="1">
      <alignment horizontal="center"/>
    </xf>
    <xf numFmtId="9" fontId="23" fillId="65" borderId="2" xfId="0" applyNumberFormat="1" applyFont="1" applyFill="1" applyBorder="1" applyAlignment="1">
      <alignment horizontal="center"/>
    </xf>
    <xf numFmtId="10" fontId="23" fillId="593" borderId="2" xfId="0" applyNumberFormat="1" applyFont="1" applyFill="1" applyBorder="1" applyAlignment="1">
      <alignment horizontal="center"/>
    </xf>
    <xf numFmtId="10" fontId="23" fillId="594" borderId="2" xfId="0" applyNumberFormat="1" applyFont="1" applyFill="1" applyBorder="1" applyAlignment="1">
      <alignment horizontal="center"/>
    </xf>
    <xf numFmtId="10" fontId="23" fillId="595" borderId="3" xfId="0" applyNumberFormat="1" applyFont="1" applyFill="1" applyBorder="1" applyAlignment="1">
      <alignment horizontal="center"/>
    </xf>
    <xf numFmtId="0" fontId="7" fillId="596" borderId="13" xfId="0" applyFont="1" applyFill="1" applyBorder="1" applyAlignment="1">
      <alignment horizontal="center"/>
    </xf>
    <xf numFmtId="0" fontId="7" fillId="131" borderId="13" xfId="0" applyFont="1" applyFill="1" applyBorder="1" applyAlignment="1">
      <alignment horizontal="center"/>
    </xf>
    <xf numFmtId="164" fontId="1" fillId="182" borderId="1" xfId="0" applyNumberFormat="1" applyFont="1" applyFill="1" applyBorder="1"/>
    <xf numFmtId="0" fontId="23" fillId="597" borderId="1" xfId="0" applyFont="1" applyFill="1" applyBorder="1" applyAlignment="1">
      <alignment horizontal="center"/>
    </xf>
    <xf numFmtId="0" fontId="23" fillId="201" borderId="1" xfId="0" applyFont="1" applyFill="1" applyBorder="1" applyAlignment="1">
      <alignment horizontal="center"/>
    </xf>
    <xf numFmtId="0" fontId="23" fillId="82" borderId="4" xfId="0" applyFont="1" applyFill="1" applyBorder="1" applyAlignment="1">
      <alignment horizontal="center"/>
    </xf>
    <xf numFmtId="0" fontId="23" fillId="468" borderId="1" xfId="0" applyFont="1" applyFill="1" applyBorder="1" applyAlignment="1">
      <alignment horizontal="center"/>
    </xf>
    <xf numFmtId="9" fontId="23" fillId="412" borderId="1" xfId="0" applyNumberFormat="1" applyFont="1" applyFill="1" applyBorder="1" applyAlignment="1">
      <alignment horizontal="center"/>
    </xf>
    <xf numFmtId="9" fontId="23" fillId="598" borderId="1" xfId="0" applyNumberFormat="1" applyFont="1" applyFill="1" applyBorder="1" applyAlignment="1">
      <alignment horizontal="center"/>
    </xf>
    <xf numFmtId="10" fontId="23" fillId="38" borderId="1" xfId="0" applyNumberFormat="1" applyFont="1" applyFill="1" applyBorder="1" applyAlignment="1">
      <alignment horizontal="center"/>
    </xf>
    <xf numFmtId="10" fontId="23" fillId="416" borderId="4" xfId="0" applyNumberFormat="1" applyFont="1" applyFill="1" applyBorder="1" applyAlignment="1">
      <alignment horizontal="center"/>
    </xf>
    <xf numFmtId="0" fontId="7" fillId="40" borderId="16" xfId="0" applyFont="1" applyFill="1" applyBorder="1" applyAlignment="1">
      <alignment horizontal="center"/>
    </xf>
    <xf numFmtId="164" fontId="1" fillId="599" borderId="2" xfId="0" applyNumberFormat="1" applyFont="1" applyFill="1" applyBorder="1"/>
    <xf numFmtId="0" fontId="23" fillId="132" borderId="2" xfId="0" applyFont="1" applyFill="1" applyBorder="1" applyAlignment="1">
      <alignment horizontal="center"/>
    </xf>
    <xf numFmtId="9" fontId="23" fillId="563" borderId="2" xfId="0" applyNumberFormat="1" applyFont="1" applyFill="1" applyBorder="1" applyAlignment="1">
      <alignment horizontal="center"/>
    </xf>
    <xf numFmtId="0" fontId="23" fillId="419" borderId="2" xfId="0" applyFont="1" applyFill="1" applyBorder="1" applyAlignment="1">
      <alignment horizontal="center"/>
    </xf>
    <xf numFmtId="0" fontId="23" fillId="78" borderId="3" xfId="0" applyFont="1" applyFill="1" applyBorder="1" applyAlignment="1">
      <alignment horizontal="center"/>
    </xf>
    <xf numFmtId="0" fontId="23" fillId="107" borderId="2" xfId="0" applyFont="1" applyFill="1" applyBorder="1" applyAlignment="1">
      <alignment horizontal="center"/>
    </xf>
    <xf numFmtId="9" fontId="23" fillId="493" borderId="2" xfId="0" applyNumberFormat="1" applyFont="1" applyFill="1" applyBorder="1" applyAlignment="1">
      <alignment horizontal="center"/>
    </xf>
    <xf numFmtId="10" fontId="23" fillId="335" borderId="2" xfId="0" applyNumberFormat="1" applyFont="1" applyFill="1" applyBorder="1" applyAlignment="1">
      <alignment horizontal="center"/>
    </xf>
    <xf numFmtId="10" fontId="23" fillId="38" borderId="2" xfId="0" applyNumberFormat="1" applyFont="1" applyFill="1" applyBorder="1" applyAlignment="1">
      <alignment horizontal="center"/>
    </xf>
    <xf numFmtId="0" fontId="7" fillId="202" borderId="13" xfId="0" applyFont="1" applyFill="1" applyBorder="1" applyAlignment="1">
      <alignment horizontal="center"/>
    </xf>
    <xf numFmtId="0" fontId="7" fillId="600" borderId="3" xfId="0" applyFont="1" applyFill="1" applyBorder="1" applyAlignment="1">
      <alignment horizontal="center"/>
    </xf>
    <xf numFmtId="0" fontId="7" fillId="477" borderId="13" xfId="0" applyFont="1" applyFill="1" applyBorder="1" applyAlignment="1">
      <alignment horizontal="center"/>
    </xf>
    <xf numFmtId="164" fontId="1" fillId="345" borderId="1" xfId="0" applyNumberFormat="1" applyFont="1" applyFill="1" applyBorder="1"/>
    <xf numFmtId="0" fontId="23" fillId="131" borderId="1" xfId="0" applyFont="1" applyFill="1" applyBorder="1" applyAlignment="1">
      <alignment horizontal="center"/>
    </xf>
    <xf numFmtId="0" fontId="23" fillId="601" borderId="1" xfId="0" applyFont="1" applyFill="1" applyBorder="1" applyAlignment="1">
      <alignment horizontal="center"/>
    </xf>
    <xf numFmtId="0" fontId="23" fillId="258" borderId="4" xfId="0" applyFont="1" applyFill="1" applyBorder="1" applyAlignment="1">
      <alignment horizontal="center"/>
    </xf>
    <xf numFmtId="0" fontId="23" fillId="602" borderId="1" xfId="0" applyFont="1" applyFill="1" applyBorder="1" applyAlignment="1">
      <alignment horizontal="center"/>
    </xf>
    <xf numFmtId="9" fontId="23" fillId="589" borderId="1" xfId="0" applyNumberFormat="1" applyFont="1" applyFill="1" applyBorder="1" applyAlignment="1">
      <alignment horizontal="center"/>
    </xf>
    <xf numFmtId="10" fontId="23" fillId="302" borderId="1" xfId="0" applyNumberFormat="1" applyFont="1" applyFill="1" applyBorder="1" applyAlignment="1">
      <alignment horizontal="center"/>
    </xf>
    <xf numFmtId="10" fontId="23" fillId="603" borderId="1" xfId="0" applyNumberFormat="1" applyFont="1" applyFill="1" applyBorder="1" applyAlignment="1">
      <alignment horizontal="center"/>
    </xf>
    <xf numFmtId="10" fontId="23" fillId="202" borderId="4" xfId="0" applyNumberFormat="1" applyFont="1" applyFill="1" applyBorder="1" applyAlignment="1">
      <alignment horizontal="center"/>
    </xf>
    <xf numFmtId="0" fontId="7" fillId="130" borderId="16" xfId="0" applyFont="1" applyFill="1" applyBorder="1" applyAlignment="1">
      <alignment horizontal="center"/>
    </xf>
    <xf numFmtId="0" fontId="23" fillId="343" borderId="2" xfId="0" applyFont="1" applyFill="1" applyBorder="1" applyAlignment="1">
      <alignment horizontal="center"/>
    </xf>
    <xf numFmtId="0" fontId="23" fillId="604" borderId="2" xfId="0" applyFont="1" applyFill="1" applyBorder="1" applyAlignment="1">
      <alignment horizontal="center"/>
    </xf>
    <xf numFmtId="0" fontId="23" fillId="216" borderId="3" xfId="0" applyFont="1" applyFill="1" applyBorder="1" applyAlignment="1">
      <alignment horizontal="center"/>
    </xf>
    <xf numFmtId="0" fontId="7" fillId="80" borderId="13" xfId="0" applyFont="1" applyFill="1" applyBorder="1" applyAlignment="1">
      <alignment horizontal="center"/>
    </xf>
    <xf numFmtId="0" fontId="23" fillId="213" borderId="1" xfId="0" applyFont="1" applyFill="1" applyBorder="1" applyAlignment="1">
      <alignment horizontal="center"/>
    </xf>
    <xf numFmtId="9" fontId="23" fillId="529" borderId="1" xfId="0" applyNumberFormat="1" applyFont="1" applyFill="1" applyBorder="1" applyAlignment="1">
      <alignment horizontal="center"/>
    </xf>
    <xf numFmtId="0" fontId="23" fillId="605" borderId="1" xfId="0" applyFont="1" applyFill="1" applyBorder="1" applyAlignment="1">
      <alignment horizontal="center"/>
    </xf>
    <xf numFmtId="0" fontId="23" fillId="421" borderId="4" xfId="0" applyFont="1" applyFill="1" applyBorder="1" applyAlignment="1">
      <alignment horizontal="center"/>
    </xf>
    <xf numFmtId="0" fontId="23" fillId="49" borderId="1" xfId="0" applyFont="1" applyFill="1" applyBorder="1" applyAlignment="1">
      <alignment horizontal="center"/>
    </xf>
    <xf numFmtId="9" fontId="23" fillId="43" borderId="1" xfId="0" applyNumberFormat="1" applyFont="1" applyFill="1" applyBorder="1" applyAlignment="1">
      <alignment horizontal="center"/>
    </xf>
    <xf numFmtId="0" fontId="23" fillId="114" borderId="4" xfId="0" applyFont="1" applyFill="1" applyBorder="1" applyAlignment="1">
      <alignment horizontal="center"/>
    </xf>
    <xf numFmtId="10" fontId="23" fillId="41" borderId="1" xfId="0" applyNumberFormat="1" applyFont="1" applyFill="1" applyBorder="1" applyAlignment="1">
      <alignment horizontal="center"/>
    </xf>
    <xf numFmtId="10" fontId="23" fillId="334" borderId="1" xfId="0" applyNumberFormat="1" applyFont="1" applyFill="1" applyBorder="1" applyAlignment="1">
      <alignment horizontal="center"/>
    </xf>
    <xf numFmtId="10" fontId="23" fillId="264" borderId="4" xfId="0" applyNumberFormat="1" applyFont="1" applyFill="1" applyBorder="1" applyAlignment="1">
      <alignment horizontal="center"/>
    </xf>
    <xf numFmtId="0" fontId="7" fillId="205" borderId="16" xfId="0" applyFont="1" applyFill="1" applyBorder="1" applyAlignment="1">
      <alignment horizontal="center"/>
    </xf>
    <xf numFmtId="0" fontId="7" fillId="122" borderId="16" xfId="0" applyFont="1" applyFill="1" applyBorder="1" applyAlignment="1">
      <alignment horizontal="center"/>
    </xf>
    <xf numFmtId="164" fontId="1" fillId="222" borderId="2" xfId="0" applyNumberFormat="1" applyFont="1" applyFill="1" applyBorder="1"/>
    <xf numFmtId="0" fontId="23" fillId="151" borderId="2" xfId="0" applyFont="1" applyFill="1" applyBorder="1" applyAlignment="1">
      <alignment horizontal="center"/>
    </xf>
    <xf numFmtId="9" fontId="23" fillId="529" borderId="2" xfId="0" applyNumberFormat="1" applyFont="1" applyFill="1" applyBorder="1" applyAlignment="1">
      <alignment horizontal="center"/>
    </xf>
    <xf numFmtId="0" fontId="23" fillId="606" borderId="2" xfId="0" applyFont="1" applyFill="1" applyBorder="1" applyAlignment="1">
      <alignment horizontal="center"/>
    </xf>
    <xf numFmtId="9" fontId="23" fillId="78" borderId="2" xfId="0" applyNumberFormat="1" applyFont="1" applyFill="1" applyBorder="1" applyAlignment="1">
      <alignment horizontal="center"/>
    </xf>
    <xf numFmtId="0" fontId="23" fillId="19" borderId="3" xfId="0" applyFont="1" applyFill="1" applyBorder="1" applyAlignment="1">
      <alignment horizontal="center"/>
    </xf>
    <xf numFmtId="10" fontId="23" fillId="300" borderId="2" xfId="0" applyNumberFormat="1" applyFont="1" applyFill="1" applyBorder="1" applyAlignment="1">
      <alignment horizontal="center"/>
    </xf>
    <xf numFmtId="10" fontId="23" fillId="582" borderId="3" xfId="0" applyNumberFormat="1" applyFont="1" applyFill="1" applyBorder="1" applyAlignment="1">
      <alignment horizontal="center"/>
    </xf>
    <xf numFmtId="0" fontId="7" fillId="122" borderId="13" xfId="0" applyFont="1" applyFill="1" applyBorder="1" applyAlignment="1">
      <alignment horizontal="center"/>
    </xf>
    <xf numFmtId="164" fontId="1" fillId="299" borderId="1" xfId="0" applyNumberFormat="1" applyFont="1" applyFill="1" applyBorder="1"/>
    <xf numFmtId="0" fontId="23" fillId="607" borderId="1" xfId="0" applyFont="1" applyFill="1" applyBorder="1" applyAlignment="1">
      <alignment horizontal="center"/>
    </xf>
    <xf numFmtId="0" fontId="23" fillId="265" borderId="4" xfId="0" applyFont="1" applyFill="1" applyBorder="1" applyAlignment="1">
      <alignment horizontal="center"/>
    </xf>
    <xf numFmtId="0" fontId="23" fillId="125" borderId="1" xfId="0" applyFont="1" applyFill="1" applyBorder="1" applyAlignment="1">
      <alignment horizontal="center"/>
    </xf>
    <xf numFmtId="9" fontId="23" fillId="477" borderId="1" xfId="0" applyNumberFormat="1" applyFont="1" applyFill="1" applyBorder="1" applyAlignment="1">
      <alignment horizontal="center"/>
    </xf>
    <xf numFmtId="0" fontId="23" fillId="84" borderId="4" xfId="0" applyFont="1" applyFill="1" applyBorder="1" applyAlignment="1">
      <alignment horizontal="center"/>
    </xf>
    <xf numFmtId="10" fontId="23" fillId="608" borderId="1" xfId="0" applyNumberFormat="1" applyFont="1" applyFill="1" applyBorder="1" applyAlignment="1">
      <alignment horizontal="center"/>
    </xf>
    <xf numFmtId="10" fontId="23" fillId="358" borderId="1" xfId="0" applyNumberFormat="1" applyFont="1" applyFill="1" applyBorder="1" applyAlignment="1">
      <alignment horizontal="center"/>
    </xf>
    <xf numFmtId="10" fontId="23" fillId="312" borderId="4" xfId="0" applyNumberFormat="1" applyFont="1" applyFill="1" applyBorder="1" applyAlignment="1">
      <alignment horizontal="center"/>
    </xf>
    <xf numFmtId="0" fontId="7" fillId="131" borderId="16" xfId="0" applyFont="1" applyFill="1" applyBorder="1" applyAlignment="1">
      <alignment horizontal="center"/>
    </xf>
    <xf numFmtId="164" fontId="1" fillId="609" borderId="2" xfId="0" applyNumberFormat="1" applyFont="1" applyFill="1" applyBorder="1"/>
    <xf numFmtId="9" fontId="23" fillId="328" borderId="2" xfId="0" applyNumberFormat="1" applyFont="1" applyFill="1" applyBorder="1" applyAlignment="1">
      <alignment horizontal="center"/>
    </xf>
    <xf numFmtId="0" fontId="23" fillId="610" borderId="2" xfId="0" applyFont="1" applyFill="1" applyBorder="1" applyAlignment="1">
      <alignment horizontal="center"/>
    </xf>
    <xf numFmtId="0" fontId="23" fillId="383" borderId="3" xfId="0" applyFont="1" applyFill="1" applyBorder="1" applyAlignment="1">
      <alignment horizontal="center"/>
    </xf>
    <xf numFmtId="0" fontId="23" fillId="300" borderId="2" xfId="0" applyFont="1" applyFill="1" applyBorder="1" applyAlignment="1">
      <alignment horizontal="center"/>
    </xf>
    <xf numFmtId="9" fontId="23" fillId="272" borderId="2" xfId="0" applyNumberFormat="1" applyFont="1" applyFill="1" applyBorder="1" applyAlignment="1">
      <alignment horizontal="center"/>
    </xf>
    <xf numFmtId="0" fontId="23" fillId="207" borderId="3" xfId="0" applyFont="1" applyFill="1" applyBorder="1" applyAlignment="1">
      <alignment horizontal="center"/>
    </xf>
    <xf numFmtId="10" fontId="23" fillId="611" borderId="2" xfId="0" applyNumberFormat="1" applyFont="1" applyFill="1" applyBorder="1" applyAlignment="1">
      <alignment horizontal="center"/>
    </xf>
    <xf numFmtId="10" fontId="23" fillId="140" borderId="2" xfId="0" applyNumberFormat="1" applyFont="1" applyFill="1" applyBorder="1" applyAlignment="1">
      <alignment horizontal="center"/>
    </xf>
    <xf numFmtId="10" fontId="23" fillId="44" borderId="3" xfId="0" applyNumberFormat="1" applyFont="1" applyFill="1" applyBorder="1" applyAlignment="1">
      <alignment horizontal="center"/>
    </xf>
    <xf numFmtId="0" fontId="7" fillId="418" borderId="13" xfId="0" applyFont="1" applyFill="1" applyBorder="1" applyAlignment="1">
      <alignment horizontal="center"/>
    </xf>
    <xf numFmtId="164" fontId="1" fillId="612" borderId="1" xfId="0" applyNumberFormat="1" applyFont="1" applyFill="1" applyBorder="1"/>
    <xf numFmtId="0" fontId="23" fillId="149" borderId="1" xfId="0" applyFont="1" applyFill="1" applyBorder="1" applyAlignment="1">
      <alignment horizontal="center"/>
    </xf>
    <xf numFmtId="0" fontId="23" fillId="613" borderId="1" xfId="0" applyFont="1" applyFill="1" applyBorder="1" applyAlignment="1">
      <alignment horizontal="center"/>
    </xf>
    <xf numFmtId="0" fontId="23" fillId="595" borderId="4" xfId="0" applyFont="1" applyFill="1" applyBorder="1" applyAlignment="1">
      <alignment horizontal="center"/>
    </xf>
    <xf numFmtId="0" fontId="23" fillId="438" borderId="1" xfId="0" applyFont="1" applyFill="1" applyBorder="1" applyAlignment="1">
      <alignment horizontal="center"/>
    </xf>
    <xf numFmtId="9" fontId="23" fillId="343" borderId="1" xfId="0" applyNumberFormat="1" applyFont="1" applyFill="1" applyBorder="1" applyAlignment="1">
      <alignment horizontal="center"/>
    </xf>
    <xf numFmtId="9" fontId="23" fillId="165" borderId="1" xfId="0" applyNumberFormat="1" applyFont="1" applyFill="1" applyBorder="1" applyAlignment="1">
      <alignment horizontal="center"/>
    </xf>
    <xf numFmtId="10" fontId="23" fillId="468" borderId="1" xfId="0" applyNumberFormat="1" applyFont="1" applyFill="1" applyBorder="1" applyAlignment="1">
      <alignment horizontal="center"/>
    </xf>
    <xf numFmtId="10" fontId="23" fillId="138" borderId="1" xfId="0" applyNumberFormat="1" applyFont="1" applyFill="1" applyBorder="1" applyAlignment="1">
      <alignment horizontal="center"/>
    </xf>
    <xf numFmtId="10" fontId="23" fillId="439" borderId="1" xfId="0" applyNumberFormat="1" applyFont="1" applyFill="1" applyBorder="1" applyAlignment="1">
      <alignment horizontal="center"/>
    </xf>
    <xf numFmtId="10" fontId="23" fillId="80" borderId="4" xfId="0" applyNumberFormat="1" applyFont="1" applyFill="1" applyBorder="1" applyAlignment="1">
      <alignment horizontal="center"/>
    </xf>
    <xf numFmtId="0" fontId="7" fillId="590" borderId="16" xfId="0" applyFont="1" applyFill="1" applyBorder="1" applyAlignment="1">
      <alignment horizontal="center"/>
    </xf>
    <xf numFmtId="0" fontId="7" fillId="614" borderId="16" xfId="0" applyFont="1" applyFill="1" applyBorder="1" applyAlignment="1">
      <alignment horizontal="center"/>
    </xf>
    <xf numFmtId="164" fontId="1" fillId="615" borderId="2" xfId="0" applyNumberFormat="1" applyFont="1" applyFill="1" applyBorder="1"/>
    <xf numFmtId="0" fontId="23" fillId="115" borderId="2" xfId="0" applyFont="1" applyFill="1" applyBorder="1" applyAlignment="1">
      <alignment horizontal="center"/>
    </xf>
    <xf numFmtId="9" fontId="23" fillId="131" borderId="2" xfId="0" applyNumberFormat="1" applyFont="1" applyFill="1" applyBorder="1" applyAlignment="1">
      <alignment horizontal="center"/>
    </xf>
    <xf numFmtId="0" fontId="23" fillId="616" borderId="2" xfId="0" applyFont="1" applyFill="1" applyBorder="1" applyAlignment="1">
      <alignment horizontal="center"/>
    </xf>
    <xf numFmtId="0" fontId="23" fillId="255" borderId="3" xfId="0" applyFont="1" applyFill="1" applyBorder="1" applyAlignment="1">
      <alignment horizontal="center"/>
    </xf>
    <xf numFmtId="9" fontId="23" fillId="313" borderId="2" xfId="0" applyNumberFormat="1" applyFont="1" applyFill="1" applyBorder="1" applyAlignment="1">
      <alignment horizontal="center"/>
    </xf>
    <xf numFmtId="10" fontId="23" fillId="149" borderId="2" xfId="0" applyNumberFormat="1" applyFont="1" applyFill="1" applyBorder="1" applyAlignment="1">
      <alignment horizontal="center"/>
    </xf>
    <xf numFmtId="10" fontId="23" fillId="303" borderId="2" xfId="0" applyNumberFormat="1" applyFont="1" applyFill="1" applyBorder="1" applyAlignment="1">
      <alignment horizontal="center"/>
    </xf>
    <xf numFmtId="0" fontId="7" fillId="177" borderId="13" xfId="0" applyFont="1" applyFill="1" applyBorder="1" applyAlignment="1">
      <alignment horizontal="center"/>
    </xf>
    <xf numFmtId="0" fontId="7" fillId="130" borderId="13" xfId="0" applyFont="1" applyFill="1" applyBorder="1" applyAlignment="1">
      <alignment horizontal="center"/>
    </xf>
    <xf numFmtId="164" fontId="1" fillId="617" borderId="1" xfId="0" applyNumberFormat="1" applyFont="1" applyFill="1" applyBorder="1"/>
    <xf numFmtId="0" fontId="23" fillId="195" borderId="4" xfId="0" applyFont="1" applyFill="1" applyBorder="1" applyAlignment="1">
      <alignment horizontal="center"/>
    </xf>
    <xf numFmtId="10" fontId="23" fillId="36" borderId="1" xfId="0" applyNumberFormat="1" applyFont="1" applyFill="1" applyBorder="1" applyAlignment="1">
      <alignment horizontal="center"/>
    </xf>
    <xf numFmtId="10" fontId="23" fillId="410" borderId="1" xfId="0" applyNumberFormat="1" applyFont="1" applyFill="1" applyBorder="1" applyAlignment="1">
      <alignment horizontal="center"/>
    </xf>
    <xf numFmtId="10" fontId="23" fillId="216" borderId="4" xfId="0" applyNumberFormat="1" applyFont="1" applyFill="1" applyBorder="1" applyAlignment="1">
      <alignment horizontal="center"/>
    </xf>
    <xf numFmtId="164" fontId="1" fillId="605" borderId="2" xfId="0" applyNumberFormat="1" applyFont="1" applyFill="1" applyBorder="1"/>
    <xf numFmtId="0" fontId="23" fillId="603" borderId="2" xfId="0" applyFont="1" applyFill="1" applyBorder="1" applyAlignment="1">
      <alignment horizontal="center"/>
    </xf>
    <xf numFmtId="0" fontId="23" fillId="618" borderId="2" xfId="0" applyFont="1" applyFill="1" applyBorder="1" applyAlignment="1">
      <alignment horizontal="center"/>
    </xf>
    <xf numFmtId="0" fontId="23" fillId="278" borderId="3" xfId="0" applyFont="1" applyFill="1" applyBorder="1" applyAlignment="1">
      <alignment horizontal="center"/>
    </xf>
    <xf numFmtId="9" fontId="23" fillId="360" borderId="2" xfId="0" applyNumberFormat="1" applyFont="1" applyFill="1" applyBorder="1" applyAlignment="1">
      <alignment horizontal="center"/>
    </xf>
    <xf numFmtId="9" fontId="23" fillId="96" borderId="2" xfId="0" applyNumberFormat="1" applyFont="1" applyFill="1" applyBorder="1" applyAlignment="1">
      <alignment horizontal="center"/>
    </xf>
    <xf numFmtId="10" fontId="23" fillId="302" borderId="2" xfId="0" applyNumberFormat="1" applyFont="1" applyFill="1" applyBorder="1" applyAlignment="1">
      <alignment horizontal="center"/>
    </xf>
    <xf numFmtId="10" fontId="23" fillId="213" borderId="3" xfId="0" applyNumberFormat="1" applyFont="1" applyFill="1" applyBorder="1" applyAlignment="1">
      <alignment horizontal="center"/>
    </xf>
    <xf numFmtId="0" fontId="7" fillId="107" borderId="13" xfId="0" applyFont="1" applyFill="1" applyBorder="1" applyAlignment="1">
      <alignment horizontal="center"/>
    </xf>
    <xf numFmtId="164" fontId="1" fillId="28" borderId="1" xfId="0" applyNumberFormat="1" applyFont="1" applyFill="1" applyBorder="1"/>
    <xf numFmtId="0" fontId="23" fillId="619" borderId="1" xfId="0" applyFont="1" applyFill="1" applyBorder="1" applyAlignment="1">
      <alignment horizontal="center"/>
    </xf>
    <xf numFmtId="9" fontId="23" fillId="563" borderId="1" xfId="0" applyNumberFormat="1" applyFont="1" applyFill="1" applyBorder="1" applyAlignment="1">
      <alignment horizontal="center"/>
    </xf>
    <xf numFmtId="9" fontId="23" fillId="19" borderId="1" xfId="0" applyNumberFormat="1" applyFont="1" applyFill="1" applyBorder="1" applyAlignment="1">
      <alignment horizontal="center"/>
    </xf>
    <xf numFmtId="9" fontId="23" fillId="310" borderId="1" xfId="0" applyNumberFormat="1" applyFont="1" applyFill="1" applyBorder="1" applyAlignment="1">
      <alignment horizontal="center"/>
    </xf>
    <xf numFmtId="10" fontId="23" fillId="373" borderId="1" xfId="0" applyNumberFormat="1" applyFont="1" applyFill="1" applyBorder="1" applyAlignment="1">
      <alignment horizontal="center"/>
    </xf>
    <xf numFmtId="10" fontId="23" fillId="595" borderId="4" xfId="0" applyNumberFormat="1" applyFont="1" applyFill="1" applyBorder="1" applyAlignment="1">
      <alignment horizontal="center"/>
    </xf>
    <xf numFmtId="0" fontId="7" fillId="435" borderId="16" xfId="0" applyFont="1" applyFill="1" applyBorder="1" applyAlignment="1">
      <alignment horizontal="center"/>
    </xf>
    <xf numFmtId="164" fontId="1" fillId="317" borderId="2" xfId="0" applyNumberFormat="1" applyFont="1" applyFill="1" applyBorder="1"/>
    <xf numFmtId="0" fontId="23" fillId="303" borderId="2" xfId="0" applyFont="1" applyFill="1" applyBorder="1" applyAlignment="1">
      <alignment horizontal="center"/>
    </xf>
    <xf numFmtId="0" fontId="23" fillId="28" borderId="2" xfId="0" applyFont="1" applyFill="1" applyBorder="1" applyAlignment="1">
      <alignment horizontal="center"/>
    </xf>
    <xf numFmtId="9" fontId="23" fillId="255" borderId="2" xfId="0" applyNumberFormat="1" applyFont="1" applyFill="1" applyBorder="1" applyAlignment="1">
      <alignment horizontal="center"/>
    </xf>
    <xf numFmtId="0" fontId="23" fillId="202" borderId="3" xfId="0" applyFont="1" applyFill="1" applyBorder="1" applyAlignment="1">
      <alignment horizontal="center"/>
    </xf>
    <xf numFmtId="10" fontId="23" fillId="602" borderId="3" xfId="0" applyNumberFormat="1" applyFont="1" applyFill="1" applyBorder="1" applyAlignment="1">
      <alignment horizontal="center"/>
    </xf>
    <xf numFmtId="164" fontId="1" fillId="620" borderId="1" xfId="0" applyNumberFormat="1" applyFont="1" applyFill="1" applyBorder="1"/>
    <xf numFmtId="0" fontId="23" fillId="98" borderId="1" xfId="0" applyFont="1" applyFill="1" applyBorder="1" applyAlignment="1">
      <alignment horizontal="center"/>
    </xf>
    <xf numFmtId="0" fontId="23" fillId="299" borderId="1" xfId="0" applyFont="1" applyFill="1" applyBorder="1" applyAlignment="1">
      <alignment horizontal="center"/>
    </xf>
    <xf numFmtId="9" fontId="23" fillId="130" borderId="1" xfId="0" applyNumberFormat="1" applyFont="1" applyFill="1" applyBorder="1" applyAlignment="1">
      <alignment horizontal="center"/>
    </xf>
    <xf numFmtId="0" fontId="23" fillId="131" borderId="4" xfId="0" applyFont="1" applyFill="1" applyBorder="1" applyAlignment="1">
      <alignment horizontal="center"/>
    </xf>
    <xf numFmtId="9" fontId="23" fillId="438" borderId="1" xfId="0" applyNumberFormat="1" applyFont="1" applyFill="1" applyBorder="1" applyAlignment="1">
      <alignment horizontal="center"/>
    </xf>
    <xf numFmtId="10" fontId="23" fillId="621" borderId="1" xfId="0" applyNumberFormat="1" applyFont="1" applyFill="1" applyBorder="1" applyAlignment="1">
      <alignment horizontal="center"/>
    </xf>
    <xf numFmtId="0" fontId="7" fillId="388" borderId="16" xfId="0" applyFont="1" applyFill="1" applyBorder="1" applyAlignment="1">
      <alignment horizontal="center"/>
    </xf>
    <xf numFmtId="0" fontId="7" fillId="402" borderId="16" xfId="0" applyFont="1" applyFill="1" applyBorder="1" applyAlignment="1">
      <alignment horizontal="center"/>
    </xf>
    <xf numFmtId="164" fontId="1" fillId="48" borderId="2" xfId="0" applyNumberFormat="1" applyFont="1" applyFill="1" applyBorder="1"/>
    <xf numFmtId="0" fontId="23" fillId="622" borderId="2" xfId="0" applyFont="1" applyFill="1" applyBorder="1" applyAlignment="1">
      <alignment horizontal="center"/>
    </xf>
    <xf numFmtId="0" fontId="23" fillId="56" borderId="2" xfId="0" applyFont="1" applyFill="1" applyBorder="1" applyAlignment="1">
      <alignment horizontal="center"/>
    </xf>
    <xf numFmtId="0" fontId="23" fillId="314" borderId="2" xfId="0" applyFont="1" applyFill="1" applyBorder="1" applyAlignment="1">
      <alignment horizontal="center"/>
    </xf>
    <xf numFmtId="9" fontId="23" fillId="623" borderId="2" xfId="0" applyNumberFormat="1" applyFont="1" applyFill="1" applyBorder="1" applyAlignment="1">
      <alignment horizontal="center"/>
    </xf>
    <xf numFmtId="10" fontId="23" fillId="29" borderId="2" xfId="0" applyNumberFormat="1" applyFont="1" applyFill="1" applyBorder="1" applyAlignment="1">
      <alignment horizontal="center"/>
    </xf>
    <xf numFmtId="10" fontId="23" fillId="177" borderId="2" xfId="0" applyNumberFormat="1" applyFont="1" applyFill="1" applyBorder="1" applyAlignment="1">
      <alignment horizontal="center"/>
    </xf>
    <xf numFmtId="10" fontId="23" fillId="165" borderId="3" xfId="0" applyNumberFormat="1" applyFont="1" applyFill="1" applyBorder="1" applyAlignment="1">
      <alignment horizontal="center"/>
    </xf>
    <xf numFmtId="164" fontId="1" fillId="48" borderId="1" xfId="0" applyNumberFormat="1" applyFont="1" applyFill="1" applyBorder="1"/>
    <xf numFmtId="0" fontId="23" fillId="624" borderId="1" xfId="0" applyFont="1" applyFill="1" applyBorder="1" applyAlignment="1">
      <alignment horizontal="center"/>
    </xf>
    <xf numFmtId="0" fontId="23" fillId="401" borderId="4" xfId="0" applyFont="1" applyFill="1" applyBorder="1" applyAlignment="1">
      <alignment horizontal="center"/>
    </xf>
    <xf numFmtId="0" fontId="23" fillId="207" borderId="1" xfId="0" applyFont="1" applyFill="1" applyBorder="1" applyAlignment="1">
      <alignment horizontal="center"/>
    </xf>
    <xf numFmtId="9" fontId="23" fillId="25" borderId="1" xfId="0" applyNumberFormat="1" applyFont="1" applyFill="1" applyBorder="1" applyAlignment="1">
      <alignment horizontal="center"/>
    </xf>
    <xf numFmtId="10" fontId="23" fillId="159" borderId="1" xfId="0" applyNumberFormat="1" applyFont="1" applyFill="1" applyBorder="1" applyAlignment="1">
      <alignment horizontal="center"/>
    </xf>
    <xf numFmtId="0" fontId="23" fillId="625" borderId="2" xfId="0" applyFont="1" applyFill="1" applyBorder="1" applyAlignment="1">
      <alignment horizontal="center"/>
    </xf>
    <xf numFmtId="0" fontId="23" fillId="444" borderId="2" xfId="0" applyFont="1" applyFill="1" applyBorder="1" applyAlignment="1">
      <alignment horizontal="center"/>
    </xf>
    <xf numFmtId="9" fontId="23" fillId="327" borderId="2" xfId="0" applyNumberFormat="1" applyFont="1" applyFill="1" applyBorder="1" applyAlignment="1">
      <alignment horizontal="center"/>
    </xf>
    <xf numFmtId="0" fontId="23" fillId="162" borderId="3" xfId="0" applyFont="1" applyFill="1" applyBorder="1" applyAlignment="1">
      <alignment horizontal="center"/>
    </xf>
    <xf numFmtId="0" fontId="23" fillId="61" borderId="2" xfId="0" applyFont="1" applyFill="1" applyBorder="1" applyAlignment="1">
      <alignment horizontal="center"/>
    </xf>
    <xf numFmtId="10" fontId="23" fillId="301" borderId="3" xfId="0" applyNumberFormat="1" applyFont="1" applyFill="1" applyBorder="1" applyAlignment="1">
      <alignment horizontal="center"/>
    </xf>
    <xf numFmtId="0" fontId="7" fillId="614" borderId="13" xfId="0" applyFont="1" applyFill="1" applyBorder="1" applyAlignment="1">
      <alignment horizontal="center"/>
    </xf>
    <xf numFmtId="0" fontId="7" fillId="396" borderId="3" xfId="0" applyFont="1" applyFill="1" applyBorder="1" applyAlignment="1">
      <alignment horizontal="center"/>
    </xf>
    <xf numFmtId="164" fontId="1" fillId="492" borderId="1" xfId="0" applyNumberFormat="1" applyFont="1" applyFill="1" applyBorder="1"/>
    <xf numFmtId="0" fontId="23" fillId="263" borderId="1" xfId="0" applyFont="1" applyFill="1" applyBorder="1" applyAlignment="1">
      <alignment horizontal="center"/>
    </xf>
    <xf numFmtId="9" fontId="23" fillId="333" borderId="1" xfId="0" applyNumberFormat="1" applyFont="1" applyFill="1" applyBorder="1" applyAlignment="1">
      <alignment horizontal="center"/>
    </xf>
    <xf numFmtId="0" fontId="23" fillId="343" borderId="4" xfId="0" applyFont="1" applyFill="1" applyBorder="1" applyAlignment="1">
      <alignment horizontal="center"/>
    </xf>
    <xf numFmtId="0" fontId="23" fillId="29" borderId="1" xfId="0" applyFont="1" applyFill="1" applyBorder="1" applyAlignment="1">
      <alignment horizontal="center"/>
    </xf>
    <xf numFmtId="10" fontId="23" fillId="611" borderId="1" xfId="0" applyNumberFormat="1" applyFont="1" applyFill="1" applyBorder="1" applyAlignment="1">
      <alignment horizontal="center"/>
    </xf>
    <xf numFmtId="10" fontId="23" fillId="349" borderId="1" xfId="0" applyNumberFormat="1" applyFont="1" applyFill="1" applyBorder="1" applyAlignment="1">
      <alignment horizontal="center"/>
    </xf>
    <xf numFmtId="10" fontId="23" fillId="50" borderId="1" xfId="0" applyNumberFormat="1" applyFont="1" applyFill="1" applyBorder="1" applyAlignment="1">
      <alignment horizontal="center"/>
    </xf>
    <xf numFmtId="10" fontId="23" fillId="74" borderId="4" xfId="0" applyNumberFormat="1" applyFont="1" applyFill="1" applyBorder="1" applyAlignment="1">
      <alignment horizontal="center"/>
    </xf>
    <xf numFmtId="0" fontId="7" fillId="626" borderId="16" xfId="0" applyFont="1" applyFill="1" applyBorder="1" applyAlignment="1">
      <alignment horizontal="center"/>
    </xf>
    <xf numFmtId="0" fontId="7" fillId="418" borderId="16" xfId="0" applyFont="1" applyFill="1" applyBorder="1" applyAlignment="1">
      <alignment horizontal="center"/>
    </xf>
    <xf numFmtId="164" fontId="1" fillId="627" borderId="2" xfId="0" applyNumberFormat="1" applyFont="1" applyFill="1" applyBorder="1"/>
    <xf numFmtId="0" fontId="23" fillId="195" borderId="2" xfId="0" applyFont="1" applyFill="1" applyBorder="1" applyAlignment="1">
      <alignment horizontal="center"/>
    </xf>
    <xf numFmtId="0" fontId="23" fillId="628" borderId="2" xfId="0" applyFont="1" applyFill="1" applyBorder="1" applyAlignment="1">
      <alignment horizontal="center"/>
    </xf>
    <xf numFmtId="0" fontId="23" fillId="407" borderId="3" xfId="0" applyFont="1" applyFill="1" applyBorder="1" applyAlignment="1">
      <alignment horizontal="center"/>
    </xf>
    <xf numFmtId="10" fontId="23" fillId="41" borderId="2" xfId="0" applyNumberFormat="1" applyFont="1" applyFill="1" applyBorder="1" applyAlignment="1">
      <alignment horizontal="center"/>
    </xf>
    <xf numFmtId="10" fontId="23" fillId="151" borderId="3" xfId="0" applyNumberFormat="1" applyFont="1" applyFill="1" applyBorder="1" applyAlignment="1">
      <alignment horizontal="center"/>
    </xf>
    <xf numFmtId="164" fontId="1" fillId="397" borderId="1" xfId="0" applyNumberFormat="1" applyFont="1" applyFill="1" applyBorder="1"/>
    <xf numFmtId="0" fontId="23" fillId="271" borderId="4" xfId="0" applyFont="1" applyFill="1" applyBorder="1" applyAlignment="1">
      <alignment horizontal="center"/>
    </xf>
    <xf numFmtId="9" fontId="23" fillId="448" borderId="1" xfId="0" applyNumberFormat="1" applyFont="1" applyFill="1" applyBorder="1" applyAlignment="1">
      <alignment horizontal="center"/>
    </xf>
    <xf numFmtId="10" fontId="23" fillId="180" borderId="1" xfId="0" applyNumberFormat="1" applyFont="1" applyFill="1" applyBorder="1" applyAlignment="1">
      <alignment horizontal="center"/>
    </xf>
    <xf numFmtId="10" fontId="23" fillId="132" borderId="1" xfId="0" applyNumberFormat="1" applyFont="1" applyFill="1" applyBorder="1" applyAlignment="1">
      <alignment horizontal="center"/>
    </xf>
    <xf numFmtId="10" fontId="23" fillId="15" borderId="4" xfId="0" applyNumberFormat="1" applyFont="1" applyFill="1" applyBorder="1" applyAlignment="1">
      <alignment horizontal="center"/>
    </xf>
    <xf numFmtId="0" fontId="7" fillId="600" borderId="4" xfId="0" applyFont="1" applyFill="1" applyBorder="1" applyAlignment="1">
      <alignment horizontal="center"/>
    </xf>
    <xf numFmtId="0" fontId="7" fillId="477" borderId="16" xfId="0" applyFont="1" applyFill="1" applyBorder="1" applyAlignment="1">
      <alignment horizontal="center"/>
    </xf>
    <xf numFmtId="164" fontId="1" fillId="221" borderId="2" xfId="0" applyNumberFormat="1" applyFont="1" applyFill="1" applyBorder="1"/>
    <xf numFmtId="0" fontId="23" fillId="50" borderId="2" xfId="0" applyFont="1" applyFill="1" applyBorder="1" applyAlignment="1">
      <alignment horizontal="center"/>
    </xf>
    <xf numFmtId="9" fontId="23" fillId="42" borderId="2" xfId="0" applyNumberFormat="1" applyFont="1" applyFill="1" applyBorder="1" applyAlignment="1">
      <alignment horizontal="center"/>
    </xf>
    <xf numFmtId="0" fontId="23" fillId="272" borderId="2" xfId="0" applyFont="1" applyFill="1" applyBorder="1" applyAlignment="1">
      <alignment horizontal="center"/>
    </xf>
    <xf numFmtId="0" fontId="23" fillId="233" borderId="2" xfId="0" applyFont="1" applyFill="1" applyBorder="1" applyAlignment="1">
      <alignment horizontal="center"/>
    </xf>
    <xf numFmtId="9" fontId="23" fillId="589" borderId="2" xfId="0" applyNumberFormat="1" applyFont="1" applyFill="1" applyBorder="1" applyAlignment="1">
      <alignment horizontal="center"/>
    </xf>
    <xf numFmtId="0" fontId="23" fillId="629" borderId="3" xfId="0" applyFont="1" applyFill="1" applyBorder="1" applyAlignment="1">
      <alignment horizontal="center"/>
    </xf>
    <xf numFmtId="10" fontId="23" fillId="310" borderId="2" xfId="0" applyNumberFormat="1" applyFont="1" applyFill="1" applyBorder="1" applyAlignment="1">
      <alignment horizontal="center"/>
    </xf>
    <xf numFmtId="10" fontId="23" fillId="39" borderId="2" xfId="0" applyNumberFormat="1" applyFont="1" applyFill="1" applyBorder="1" applyAlignment="1">
      <alignment horizontal="center"/>
    </xf>
    <xf numFmtId="10" fontId="23" fillId="418" borderId="3" xfId="0" applyNumberFormat="1" applyFont="1" applyFill="1" applyBorder="1" applyAlignment="1">
      <alignment horizontal="center"/>
    </xf>
    <xf numFmtId="0" fontId="7" fillId="434" borderId="13" xfId="0" applyFont="1" applyFill="1" applyBorder="1" applyAlignment="1">
      <alignment horizontal="center"/>
    </xf>
    <xf numFmtId="0" fontId="7" fillId="444" borderId="3" xfId="0" applyFont="1" applyFill="1" applyBorder="1" applyAlignment="1">
      <alignment horizontal="center"/>
    </xf>
    <xf numFmtId="164" fontId="1" fillId="210" borderId="1" xfId="0" applyNumberFormat="1" applyFont="1" applyFill="1" applyBorder="1"/>
    <xf numFmtId="0" fontId="23" fillId="623" borderId="1" xfId="0" applyFont="1" applyFill="1" applyBorder="1" applyAlignment="1">
      <alignment horizontal="center"/>
    </xf>
    <xf numFmtId="9" fontId="23" fillId="630" borderId="1" xfId="0" applyNumberFormat="1" applyFont="1" applyFill="1" applyBorder="1" applyAlignment="1">
      <alignment horizontal="center"/>
    </xf>
    <xf numFmtId="10" fontId="23" fillId="258" borderId="1" xfId="0" applyNumberFormat="1" applyFont="1" applyFill="1" applyBorder="1" applyAlignment="1">
      <alignment horizontal="center"/>
    </xf>
    <xf numFmtId="10" fontId="23" fillId="122" borderId="1" xfId="0" applyNumberFormat="1" applyFont="1" applyFill="1" applyBorder="1" applyAlignment="1">
      <alignment horizontal="center"/>
    </xf>
    <xf numFmtId="10" fontId="23" fillId="328" borderId="4" xfId="0" applyNumberFormat="1" applyFont="1" applyFill="1" applyBorder="1" applyAlignment="1">
      <alignment horizontal="center"/>
    </xf>
    <xf numFmtId="0" fontId="7" fillId="347" borderId="4" xfId="0" applyFont="1" applyFill="1" applyBorder="1" applyAlignment="1">
      <alignment horizontal="center"/>
    </xf>
    <xf numFmtId="164" fontId="1" fillId="56" borderId="2" xfId="0" applyNumberFormat="1" applyFont="1" applyFill="1" applyBorder="1"/>
    <xf numFmtId="0" fontId="23" fillId="25" borderId="2" xfId="0" applyFont="1" applyFill="1" applyBorder="1" applyAlignment="1">
      <alignment horizontal="center"/>
    </xf>
    <xf numFmtId="9" fontId="23" fillId="50" borderId="2" xfId="0" applyNumberFormat="1" applyFont="1" applyFill="1" applyBorder="1" applyAlignment="1">
      <alignment horizontal="center"/>
    </xf>
    <xf numFmtId="0" fontId="23" fillId="631" borderId="2" xfId="0" applyFont="1" applyFill="1" applyBorder="1" applyAlignment="1">
      <alignment horizontal="center"/>
    </xf>
    <xf numFmtId="9" fontId="23" fillId="278" borderId="2" xfId="0" applyNumberFormat="1" applyFont="1" applyFill="1" applyBorder="1" applyAlignment="1">
      <alignment horizontal="center"/>
    </xf>
    <xf numFmtId="0" fontId="23" fillId="301" borderId="2" xfId="0" applyFont="1" applyFill="1" applyBorder="1" applyAlignment="1">
      <alignment horizontal="center"/>
    </xf>
    <xf numFmtId="0" fontId="23" fillId="169" borderId="3" xfId="0" applyFont="1" applyFill="1" applyBorder="1" applyAlignment="1">
      <alignment horizontal="center"/>
    </xf>
    <xf numFmtId="10" fontId="23" fillId="176" borderId="2" xfId="0" applyNumberFormat="1" applyFont="1" applyFill="1" applyBorder="1" applyAlignment="1">
      <alignment horizontal="center"/>
    </xf>
    <xf numFmtId="10" fontId="23" fillId="433" borderId="3" xfId="0" applyNumberFormat="1" applyFont="1" applyFill="1" applyBorder="1" applyAlignment="1">
      <alignment horizontal="center"/>
    </xf>
    <xf numFmtId="164" fontId="1" fillId="73" borderId="1" xfId="0" applyNumberFormat="1" applyFont="1" applyFill="1" applyBorder="1"/>
    <xf numFmtId="0" fontId="23" fillId="115" borderId="1" xfId="0" applyFont="1" applyFill="1" applyBorder="1" applyAlignment="1">
      <alignment horizontal="center"/>
    </xf>
    <xf numFmtId="9" fontId="23" fillId="197" borderId="1" xfId="0" applyNumberFormat="1" applyFont="1" applyFill="1" applyBorder="1" applyAlignment="1">
      <alignment horizontal="center"/>
    </xf>
    <xf numFmtId="0" fontId="23" fillId="234" borderId="1" xfId="0" applyFont="1" applyFill="1" applyBorder="1" applyAlignment="1">
      <alignment horizontal="center"/>
    </xf>
    <xf numFmtId="0" fontId="23" fillId="315" borderId="1" xfId="0" applyFont="1" applyFill="1" applyBorder="1" applyAlignment="1">
      <alignment horizontal="center"/>
    </xf>
    <xf numFmtId="0" fontId="23" fillId="632" borderId="4" xfId="0" applyFont="1" applyFill="1" applyBorder="1" applyAlignment="1">
      <alignment horizontal="center"/>
    </xf>
    <xf numFmtId="10" fontId="23" fillId="392" borderId="1" xfId="0" applyNumberFormat="1" applyFont="1" applyFill="1" applyBorder="1" applyAlignment="1">
      <alignment horizontal="center"/>
    </xf>
    <xf numFmtId="10" fontId="23" fillId="633" borderId="1" xfId="0" applyNumberFormat="1" applyFont="1" applyFill="1" applyBorder="1" applyAlignment="1">
      <alignment horizontal="center"/>
    </xf>
    <xf numFmtId="10" fontId="23" fillId="625" borderId="4" xfId="0" applyNumberFormat="1" applyFont="1" applyFill="1" applyBorder="1" applyAlignment="1">
      <alignment horizontal="center"/>
    </xf>
    <xf numFmtId="164" fontId="1" fillId="230" borderId="2" xfId="0" applyNumberFormat="1" applyFont="1" applyFill="1" applyBorder="1"/>
    <xf numFmtId="0" fontId="23" fillId="508" borderId="2" xfId="0" applyFont="1" applyFill="1" applyBorder="1" applyAlignment="1">
      <alignment horizontal="center"/>
    </xf>
    <xf numFmtId="9" fontId="23" fillId="246" borderId="2" xfId="0" applyNumberFormat="1" applyFont="1" applyFill="1" applyBorder="1" applyAlignment="1">
      <alignment horizontal="center"/>
    </xf>
    <xf numFmtId="0" fontId="23" fillId="634" borderId="2" xfId="0" applyFont="1" applyFill="1" applyBorder="1" applyAlignment="1">
      <alignment horizontal="center"/>
    </xf>
    <xf numFmtId="0" fontId="23" fillId="635" borderId="2" xfId="0" applyFont="1" applyFill="1" applyBorder="1" applyAlignment="1">
      <alignment horizontal="center"/>
    </xf>
    <xf numFmtId="10" fontId="23" fillId="49" borderId="2" xfId="0" applyNumberFormat="1" applyFont="1" applyFill="1" applyBorder="1" applyAlignment="1">
      <alignment horizontal="center"/>
    </xf>
    <xf numFmtId="10" fontId="23" fillId="407" borderId="2" xfId="0" applyNumberFormat="1" applyFont="1" applyFill="1" applyBorder="1" applyAlignment="1">
      <alignment horizontal="center"/>
    </xf>
    <xf numFmtId="10" fontId="23" fillId="124" borderId="3" xfId="0" applyNumberFormat="1" applyFont="1" applyFill="1" applyBorder="1" applyAlignment="1">
      <alignment horizontal="center"/>
    </xf>
    <xf numFmtId="0" fontId="7" fillId="148" borderId="13" xfId="0" applyFont="1" applyFill="1" applyBorder="1" applyAlignment="1">
      <alignment horizontal="center"/>
    </xf>
    <xf numFmtId="0" fontId="7" fillId="176" borderId="13" xfId="0" applyFont="1" applyFill="1" applyBorder="1" applyAlignment="1">
      <alignment horizontal="center"/>
    </xf>
    <xf numFmtId="0" fontId="7" fillId="347" borderId="3" xfId="0" applyFont="1" applyFill="1" applyBorder="1" applyAlignment="1">
      <alignment horizontal="center"/>
    </xf>
    <xf numFmtId="164" fontId="1" fillId="240" borderId="1" xfId="0" applyNumberFormat="1" applyFont="1" applyFill="1" applyBorder="1"/>
    <xf numFmtId="9" fontId="23" fillId="246" borderId="1" xfId="0" applyNumberFormat="1" applyFont="1" applyFill="1" applyBorder="1" applyAlignment="1">
      <alignment horizontal="center"/>
    </xf>
    <xf numFmtId="0" fontId="23" fillId="636" borderId="1" xfId="0" applyFont="1" applyFill="1" applyBorder="1" applyAlignment="1">
      <alignment horizontal="center"/>
    </xf>
    <xf numFmtId="0" fontId="23" fillId="637" borderId="1" xfId="0" applyFont="1" applyFill="1" applyBorder="1" applyAlignment="1">
      <alignment horizontal="center"/>
    </xf>
    <xf numFmtId="9" fontId="23" fillId="525" borderId="1" xfId="0" applyNumberFormat="1" applyFont="1" applyFill="1" applyBorder="1" applyAlignment="1">
      <alignment horizontal="center"/>
    </xf>
    <xf numFmtId="0" fontId="23" fillId="134" borderId="4" xfId="0" applyFont="1" applyFill="1" applyBorder="1" applyAlignment="1">
      <alignment horizontal="center"/>
    </xf>
    <xf numFmtId="10" fontId="23" fillId="476" borderId="1" xfId="0" applyNumberFormat="1" applyFont="1" applyFill="1" applyBorder="1" applyAlignment="1">
      <alignment horizontal="center"/>
    </xf>
    <xf numFmtId="10" fontId="23" fillId="50" borderId="4" xfId="0" applyNumberFormat="1" applyFont="1" applyFill="1" applyBorder="1" applyAlignment="1">
      <alignment horizontal="center"/>
    </xf>
    <xf numFmtId="0" fontId="7" fillId="176" borderId="16" xfId="0" applyFont="1" applyFill="1" applyBorder="1" applyAlignment="1">
      <alignment horizontal="center"/>
    </xf>
    <xf numFmtId="164" fontId="1" fillId="159" borderId="2" xfId="0" applyNumberFormat="1" applyFont="1" applyFill="1" applyBorder="1"/>
    <xf numFmtId="0" fontId="23" fillId="595" borderId="2" xfId="0" applyFont="1" applyFill="1" applyBorder="1" applyAlignment="1">
      <alignment horizontal="center"/>
    </xf>
    <xf numFmtId="9" fontId="23" fillId="29" borderId="2" xfId="0" applyNumberFormat="1" applyFont="1" applyFill="1" applyBorder="1" applyAlignment="1">
      <alignment horizontal="center"/>
    </xf>
    <xf numFmtId="0" fontId="23" fillId="410" borderId="2" xfId="0" applyFont="1" applyFill="1" applyBorder="1" applyAlignment="1">
      <alignment horizontal="center"/>
    </xf>
    <xf numFmtId="9" fontId="23" fillId="316" borderId="2" xfId="0" applyNumberFormat="1" applyFont="1" applyFill="1" applyBorder="1" applyAlignment="1">
      <alignment horizontal="center"/>
    </xf>
    <xf numFmtId="0" fontId="23" fillId="76" borderId="3" xfId="0" applyFont="1" applyFill="1" applyBorder="1" applyAlignment="1">
      <alignment horizontal="center"/>
    </xf>
    <xf numFmtId="10" fontId="23" fillId="421" borderId="2" xfId="0" applyNumberFormat="1" applyFont="1" applyFill="1" applyBorder="1" applyAlignment="1">
      <alignment horizontal="center"/>
    </xf>
    <xf numFmtId="10" fontId="23" fillId="438" borderId="3" xfId="0" applyNumberFormat="1" applyFont="1" applyFill="1" applyBorder="1" applyAlignment="1">
      <alignment horizontal="center"/>
    </xf>
    <xf numFmtId="164" fontId="1" fillId="146" borderId="1" xfId="0" applyNumberFormat="1" applyFont="1" applyFill="1" applyBorder="1"/>
    <xf numFmtId="0" fontId="23" fillId="638" borderId="1" xfId="0" applyFont="1" applyFill="1" applyBorder="1" applyAlignment="1">
      <alignment horizontal="center"/>
    </xf>
    <xf numFmtId="0" fontId="7" fillId="563" borderId="16" xfId="0" applyFont="1" applyFill="1" applyBorder="1" applyAlignment="1">
      <alignment horizontal="center"/>
    </xf>
    <xf numFmtId="0" fontId="7" fillId="314" borderId="16" xfId="0" applyFont="1" applyFill="1" applyBorder="1" applyAlignment="1">
      <alignment horizontal="center"/>
    </xf>
    <xf numFmtId="10" fontId="23" fillId="373" borderId="2" xfId="0" applyNumberFormat="1" applyFont="1" applyFill="1" applyBorder="1" applyAlignment="1">
      <alignment horizontal="center"/>
    </xf>
    <xf numFmtId="10" fontId="23" fillId="487" borderId="2" xfId="0" applyNumberFormat="1" applyFont="1" applyFill="1" applyBorder="1" applyAlignment="1">
      <alignment horizontal="center"/>
    </xf>
    <xf numFmtId="10" fontId="23" fillId="100" borderId="2" xfId="0" applyNumberFormat="1" applyFont="1" applyFill="1" applyBorder="1" applyAlignment="1">
      <alignment horizontal="center"/>
    </xf>
    <xf numFmtId="10" fontId="23" fillId="373" borderId="3" xfId="0" applyNumberFormat="1" applyFont="1" applyFill="1" applyBorder="1" applyAlignment="1">
      <alignment horizontal="center"/>
    </xf>
    <xf numFmtId="9" fontId="23" fillId="302" borderId="1" xfId="0" applyNumberFormat="1" applyFont="1" applyFill="1" applyBorder="1" applyAlignment="1">
      <alignment horizontal="center"/>
    </xf>
    <xf numFmtId="9" fontId="23" fillId="29" borderId="1" xfId="0" applyNumberFormat="1" applyFont="1" applyFill="1" applyBorder="1" applyAlignment="1">
      <alignment horizontal="center"/>
    </xf>
    <xf numFmtId="0" fontId="23" fillId="344" borderId="1" xfId="0" applyFont="1" applyFill="1" applyBorder="1" applyAlignment="1">
      <alignment horizontal="center"/>
    </xf>
    <xf numFmtId="0" fontId="23" fillId="95" borderId="1" xfId="0" applyFont="1" applyFill="1" applyBorder="1" applyAlignment="1">
      <alignment horizontal="center"/>
    </xf>
    <xf numFmtId="9" fontId="23" fillId="196" borderId="1" xfId="0" applyNumberFormat="1" applyFont="1" applyFill="1" applyBorder="1" applyAlignment="1">
      <alignment horizontal="center"/>
    </xf>
    <xf numFmtId="10" fontId="23" fillId="263" borderId="1" xfId="0" applyNumberFormat="1" applyFont="1" applyFill="1" applyBorder="1" applyAlignment="1">
      <alignment horizontal="center"/>
    </xf>
    <xf numFmtId="10" fontId="23" fillId="48" borderId="4" xfId="0" applyNumberFormat="1" applyFont="1" applyFill="1" applyBorder="1" applyAlignment="1">
      <alignment horizontal="center"/>
    </xf>
    <xf numFmtId="0" fontId="7" fillId="444" borderId="4" xfId="0" applyFont="1" applyFill="1" applyBorder="1" applyAlignment="1">
      <alignment horizontal="center"/>
    </xf>
    <xf numFmtId="164" fontId="1" fillId="175" borderId="2" xfId="0" applyNumberFormat="1" applyFont="1" applyFill="1" applyBorder="1"/>
    <xf numFmtId="0" fontId="23" fillId="150" borderId="2" xfId="0" applyFont="1" applyFill="1" applyBorder="1" applyAlignment="1">
      <alignment horizontal="center"/>
    </xf>
    <xf numFmtId="9" fontId="23" fillId="129" borderId="2" xfId="0" applyNumberFormat="1" applyFont="1" applyFill="1" applyBorder="1" applyAlignment="1">
      <alignment horizontal="center"/>
    </xf>
    <xf numFmtId="0" fontId="23" fillId="639" borderId="2" xfId="0" applyFont="1" applyFill="1" applyBorder="1" applyAlignment="1">
      <alignment horizontal="center"/>
    </xf>
    <xf numFmtId="9" fontId="23" fillId="487" borderId="2" xfId="0" applyNumberFormat="1" applyFont="1" applyFill="1" applyBorder="1" applyAlignment="1">
      <alignment horizontal="center"/>
    </xf>
    <xf numFmtId="0" fontId="23" fillId="42" borderId="2" xfId="0" applyFont="1" applyFill="1" applyBorder="1" applyAlignment="1">
      <alignment horizontal="center"/>
    </xf>
    <xf numFmtId="9" fontId="23" fillId="196" borderId="2" xfId="0" applyNumberFormat="1" applyFont="1" applyFill="1" applyBorder="1" applyAlignment="1">
      <alignment horizontal="center"/>
    </xf>
    <xf numFmtId="10" fontId="23" fillId="409" borderId="2" xfId="0" applyNumberFormat="1" applyFont="1" applyFill="1" applyBorder="1" applyAlignment="1">
      <alignment horizontal="center"/>
    </xf>
    <xf numFmtId="10" fontId="23" fillId="640" borderId="2" xfId="0" applyNumberFormat="1" applyFont="1" applyFill="1" applyBorder="1" applyAlignment="1">
      <alignment horizontal="center"/>
    </xf>
    <xf numFmtId="10" fontId="23" fillId="79" borderId="3" xfId="0" applyNumberFormat="1" applyFont="1" applyFill="1" applyBorder="1" applyAlignment="1">
      <alignment horizontal="center"/>
    </xf>
    <xf numFmtId="0" fontId="7" fillId="563" borderId="13" xfId="0" applyFont="1" applyFill="1" applyBorder="1" applyAlignment="1">
      <alignment horizontal="center"/>
    </xf>
    <xf numFmtId="164" fontId="1" fillId="187" borderId="1" xfId="0" applyNumberFormat="1" applyFont="1" applyFill="1" applyBorder="1"/>
    <xf numFmtId="10" fontId="23" fillId="458" borderId="1" xfId="0" applyNumberFormat="1" applyFont="1" applyFill="1" applyBorder="1" applyAlignment="1">
      <alignment horizontal="center"/>
    </xf>
    <xf numFmtId="10" fontId="23" fillId="443" borderId="4" xfId="0" applyNumberFormat="1" applyFont="1" applyFill="1" applyBorder="1" applyAlignment="1">
      <alignment horizontal="center"/>
    </xf>
    <xf numFmtId="164" fontId="1" fillId="277" borderId="2" xfId="0" applyNumberFormat="1" applyFont="1" applyFill="1" applyBorder="1"/>
    <xf numFmtId="0" fontId="23" fillId="299" borderId="2" xfId="0" applyFont="1" applyFill="1" applyBorder="1" applyAlignment="1">
      <alignment horizontal="center"/>
    </xf>
    <xf numFmtId="0" fontId="23" fillId="162" borderId="2" xfId="0" applyFont="1" applyFill="1" applyBorder="1" applyAlignment="1">
      <alignment horizontal="center"/>
    </xf>
    <xf numFmtId="9" fontId="23" fillId="62" borderId="2" xfId="0" applyNumberFormat="1" applyFont="1" applyFill="1" applyBorder="1" applyAlignment="1">
      <alignment horizontal="center"/>
    </xf>
    <xf numFmtId="10" fontId="23" fillId="300" borderId="3" xfId="0" applyNumberFormat="1" applyFont="1" applyFill="1" applyBorder="1" applyAlignment="1">
      <alignment horizontal="center"/>
    </xf>
    <xf numFmtId="0" fontId="7" fillId="129" borderId="13" xfId="0" applyFont="1" applyFill="1" applyBorder="1" applyAlignment="1">
      <alignment horizontal="center"/>
    </xf>
    <xf numFmtId="164" fontId="1" fillId="284" borderId="1" xfId="0" applyNumberFormat="1" applyFont="1" applyFill="1" applyBorder="1"/>
    <xf numFmtId="0" fontId="23" fillId="176" borderId="1" xfId="0" applyFont="1" applyFill="1" applyBorder="1" applyAlignment="1">
      <alignment horizontal="center"/>
    </xf>
    <xf numFmtId="9" fontId="23" fillId="50" borderId="1" xfId="0" applyNumberFormat="1" applyFont="1" applyFill="1" applyBorder="1" applyAlignment="1">
      <alignment horizontal="center"/>
    </xf>
    <xf numFmtId="0" fontId="23" fillId="247" borderId="1" xfId="0" applyFont="1" applyFill="1" applyBorder="1" applyAlignment="1">
      <alignment horizontal="center"/>
    </xf>
    <xf numFmtId="9" fontId="23" fillId="46" borderId="1" xfId="0" applyNumberFormat="1" applyFont="1" applyFill="1" applyBorder="1" applyAlignment="1">
      <alignment horizontal="center"/>
    </xf>
    <xf numFmtId="10" fontId="23" fillId="477" borderId="1" xfId="0" applyNumberFormat="1" applyFont="1" applyFill="1" applyBorder="1" applyAlignment="1">
      <alignment horizontal="center"/>
    </xf>
    <xf numFmtId="10" fontId="23" fillId="19" borderId="4" xfId="0" applyNumberFormat="1" applyFont="1" applyFill="1" applyBorder="1" applyAlignment="1">
      <alignment horizontal="center"/>
    </xf>
    <xf numFmtId="0" fontId="7" fillId="327" borderId="16" xfId="0" applyFont="1" applyFill="1" applyBorder="1" applyAlignment="1">
      <alignment horizontal="center"/>
    </xf>
    <xf numFmtId="0" fontId="7" fillId="316" borderId="16" xfId="0" applyFont="1" applyFill="1" applyBorder="1" applyAlignment="1">
      <alignment horizontal="center"/>
    </xf>
    <xf numFmtId="0" fontId="7" fillId="396" borderId="4" xfId="0" applyFont="1" applyFill="1" applyBorder="1" applyAlignment="1">
      <alignment horizontal="center"/>
    </xf>
    <xf numFmtId="164" fontId="1" fillId="268" borderId="2" xfId="0" applyNumberFormat="1" applyFont="1" applyFill="1" applyBorder="1"/>
    <xf numFmtId="0" fontId="23" fillId="599" borderId="2" xfId="0" applyFont="1" applyFill="1" applyBorder="1" applyAlignment="1">
      <alignment horizontal="center"/>
    </xf>
    <xf numFmtId="9" fontId="23" fillId="135" borderId="2" xfId="0" applyNumberFormat="1" applyFont="1" applyFill="1" applyBorder="1" applyAlignment="1">
      <alignment horizontal="center"/>
    </xf>
    <xf numFmtId="0" fontId="23" fillId="110" borderId="2" xfId="0" applyFont="1" applyFill="1" applyBorder="1" applyAlignment="1">
      <alignment horizontal="center"/>
    </xf>
    <xf numFmtId="0" fontId="23" fillId="65" borderId="2" xfId="0" applyFont="1" applyFill="1" applyBorder="1" applyAlignment="1">
      <alignment horizontal="center"/>
    </xf>
    <xf numFmtId="9" fontId="23" fillId="49" borderId="2" xfId="0" applyNumberFormat="1" applyFont="1" applyFill="1" applyBorder="1" applyAlignment="1">
      <alignment horizontal="center"/>
    </xf>
    <xf numFmtId="10" fontId="23" fillId="139" borderId="2" xfId="0" applyNumberFormat="1" applyFont="1" applyFill="1" applyBorder="1" applyAlignment="1">
      <alignment horizontal="center"/>
    </xf>
    <xf numFmtId="164" fontId="1" fillId="261" borderId="1" xfId="0" applyNumberFormat="1" applyFont="1" applyFill="1" applyBorder="1"/>
    <xf numFmtId="0" fontId="23" fillId="477" borderId="1" xfId="0" applyFont="1" applyFill="1" applyBorder="1" applyAlignment="1">
      <alignment horizontal="center"/>
    </xf>
    <xf numFmtId="0" fontId="23" fillId="261" borderId="1" xfId="0" applyFont="1" applyFill="1" applyBorder="1" applyAlignment="1">
      <alignment horizontal="center"/>
    </xf>
    <xf numFmtId="0" fontId="23" fillId="124" borderId="1" xfId="0" applyFont="1" applyFill="1" applyBorder="1" applyAlignment="1">
      <alignment horizontal="center"/>
    </xf>
    <xf numFmtId="9" fontId="23" fillId="150" borderId="1" xfId="0" applyNumberFormat="1" applyFont="1" applyFill="1" applyBorder="1" applyAlignment="1">
      <alignment horizontal="center"/>
    </xf>
    <xf numFmtId="10" fontId="23" fillId="124" borderId="1" xfId="0" applyNumberFormat="1" applyFont="1" applyFill="1" applyBorder="1" applyAlignment="1">
      <alignment horizontal="center"/>
    </xf>
    <xf numFmtId="10" fontId="23" fillId="602" borderId="1" xfId="0" applyNumberFormat="1" applyFont="1" applyFill="1" applyBorder="1" applyAlignment="1">
      <alignment horizontal="center"/>
    </xf>
    <xf numFmtId="10" fontId="23" fillId="84" borderId="4" xfId="0" applyNumberFormat="1" applyFont="1" applyFill="1" applyBorder="1" applyAlignment="1">
      <alignment horizontal="center"/>
    </xf>
    <xf numFmtId="164" fontId="1" fillId="13" borderId="2" xfId="0" applyNumberFormat="1" applyFont="1" applyFill="1" applyBorder="1"/>
    <xf numFmtId="0" fontId="23" fillId="641" borderId="2" xfId="0" applyFont="1" applyFill="1" applyBorder="1" applyAlignment="1">
      <alignment horizontal="center"/>
    </xf>
    <xf numFmtId="10" fontId="23" fillId="608" borderId="2" xfId="0" applyNumberFormat="1" applyFont="1" applyFill="1" applyBorder="1" applyAlignment="1">
      <alignment horizontal="center"/>
    </xf>
    <xf numFmtId="164" fontId="1" fillId="34" borderId="1" xfId="0" applyNumberFormat="1" applyFont="1" applyFill="1" applyBorder="1"/>
    <xf numFmtId="0" fontId="23" fillId="127" borderId="1" xfId="0" applyFont="1" applyFill="1" applyBorder="1" applyAlignment="1">
      <alignment horizontal="center"/>
    </xf>
    <xf numFmtId="0" fontId="23" fillId="618" borderId="1" xfId="0" applyFont="1" applyFill="1" applyBorder="1" applyAlignment="1">
      <alignment horizontal="center"/>
    </xf>
    <xf numFmtId="9" fontId="23" fillId="595" borderId="1" xfId="0" applyNumberFormat="1" applyFont="1" applyFill="1" applyBorder="1" applyAlignment="1">
      <alignment horizontal="center"/>
    </xf>
    <xf numFmtId="0" fontId="23" fillId="57" borderId="1" xfId="0" applyFont="1" applyFill="1" applyBorder="1" applyAlignment="1">
      <alignment horizontal="center"/>
    </xf>
    <xf numFmtId="9" fontId="23" fillId="22" borderId="1" xfId="0" applyNumberFormat="1" applyFont="1" applyFill="1" applyBorder="1" applyAlignment="1">
      <alignment horizontal="center"/>
    </xf>
    <xf numFmtId="0" fontId="23" fillId="42" borderId="4" xfId="0" applyFont="1" applyFill="1" applyBorder="1" applyAlignment="1">
      <alignment horizontal="center"/>
    </xf>
    <xf numFmtId="10" fontId="23" fillId="43" borderId="1" xfId="0" applyNumberFormat="1" applyFont="1" applyFill="1" applyBorder="1" applyAlignment="1">
      <alignment horizontal="center"/>
    </xf>
    <xf numFmtId="164" fontId="1" fillId="245" borderId="2" xfId="0" applyNumberFormat="1" applyFont="1" applyFill="1" applyBorder="1"/>
    <xf numFmtId="0" fontId="23" fillId="24" borderId="2" xfId="0" applyFont="1" applyFill="1" applyBorder="1" applyAlignment="1">
      <alignment horizontal="center"/>
    </xf>
    <xf numFmtId="0" fontId="23" fillId="333" borderId="2" xfId="0" applyFont="1" applyFill="1" applyBorder="1" applyAlignment="1">
      <alignment horizontal="center"/>
    </xf>
    <xf numFmtId="0" fontId="23" fillId="141" borderId="2" xfId="0" applyFont="1" applyFill="1" applyBorder="1" applyAlignment="1">
      <alignment horizontal="center"/>
    </xf>
    <xf numFmtId="10" fontId="23" fillId="642" borderId="2" xfId="0" applyNumberFormat="1" applyFont="1" applyFill="1" applyBorder="1" applyAlignment="1">
      <alignment horizontal="center"/>
    </xf>
    <xf numFmtId="0" fontId="7" fillId="314" borderId="13" xfId="0" applyFont="1" applyFill="1" applyBorder="1" applyAlignment="1">
      <alignment horizontal="center"/>
    </xf>
    <xf numFmtId="164" fontId="1" fillId="254" borderId="1" xfId="0" applyNumberFormat="1" applyFont="1" applyFill="1" applyBorder="1"/>
    <xf numFmtId="0" fontId="23" fillId="203" borderId="1" xfId="0" applyFont="1" applyFill="1" applyBorder="1" applyAlignment="1">
      <alignment horizontal="center"/>
    </xf>
    <xf numFmtId="0" fontId="23" fillId="99" borderId="1" xfId="0" applyFont="1" applyFill="1" applyBorder="1" applyAlignment="1">
      <alignment horizontal="center"/>
    </xf>
    <xf numFmtId="10" fontId="23" fillId="130" borderId="4" xfId="0" applyNumberFormat="1" applyFont="1" applyFill="1" applyBorder="1" applyAlignment="1">
      <alignment horizontal="center"/>
    </xf>
    <xf numFmtId="0" fontId="7" fillId="258" borderId="16" xfId="0" applyFont="1" applyFill="1" applyBorder="1" applyAlignment="1">
      <alignment horizontal="center"/>
    </xf>
    <xf numFmtId="164" fontId="1" fillId="201" borderId="2" xfId="0" applyNumberFormat="1" applyFont="1" applyFill="1" applyBorder="1"/>
    <xf numFmtId="0" fontId="23" fillId="38" borderId="2" xfId="0" applyFont="1" applyFill="1" applyBorder="1" applyAlignment="1">
      <alignment horizontal="center"/>
    </xf>
    <xf numFmtId="0" fontId="23" fillId="643" borderId="2" xfId="0" applyFont="1" applyFill="1" applyBorder="1" applyAlignment="1">
      <alignment horizontal="center"/>
    </xf>
    <xf numFmtId="0" fontId="23" fillId="448" borderId="2" xfId="0" applyFont="1" applyFill="1" applyBorder="1" applyAlignment="1">
      <alignment horizontal="center"/>
    </xf>
    <xf numFmtId="9" fontId="23" fillId="113" borderId="2" xfId="0" applyNumberFormat="1" applyFont="1" applyFill="1" applyBorder="1" applyAlignment="1">
      <alignment horizontal="center"/>
    </xf>
    <xf numFmtId="0" fontId="23" fillId="63" borderId="3" xfId="0" applyFont="1" applyFill="1" applyBorder="1" applyAlignment="1">
      <alignment horizontal="center"/>
    </xf>
    <xf numFmtId="10" fontId="23" fillId="179" borderId="3" xfId="0" applyNumberFormat="1" applyFont="1" applyFill="1" applyBorder="1" applyAlignment="1">
      <alignment horizontal="center"/>
    </xf>
    <xf numFmtId="164" fontId="1" fillId="193" borderId="1" xfId="0" applyNumberFormat="1" applyFont="1" applyFill="1" applyBorder="1"/>
    <xf numFmtId="9" fontId="23" fillId="393" borderId="1" xfId="0" applyNumberFormat="1" applyFont="1" applyFill="1" applyBorder="1" applyAlignment="1">
      <alignment horizontal="center"/>
    </xf>
    <xf numFmtId="0" fontId="23" fillId="73" borderId="1" xfId="0" applyFont="1" applyFill="1" applyBorder="1" applyAlignment="1">
      <alignment horizontal="center"/>
    </xf>
    <xf numFmtId="0" fontId="23" fillId="329" borderId="1" xfId="0" applyFont="1" applyFill="1" applyBorder="1" applyAlignment="1">
      <alignment horizontal="center"/>
    </xf>
    <xf numFmtId="9" fontId="23" fillId="76" borderId="1" xfId="0" applyNumberFormat="1" applyFont="1" applyFill="1" applyBorder="1" applyAlignment="1">
      <alignment horizontal="center"/>
    </xf>
    <xf numFmtId="164" fontId="1" fillId="92" borderId="2" xfId="0" applyNumberFormat="1" applyFont="1" applyFill="1" applyBorder="1"/>
    <xf numFmtId="0" fontId="23" fillId="644" borderId="2" xfId="0" applyFont="1" applyFill="1" applyBorder="1" applyAlignment="1">
      <alignment horizontal="center"/>
    </xf>
    <xf numFmtId="9" fontId="23" fillId="455" borderId="2" xfId="0" applyNumberFormat="1" applyFont="1" applyFill="1" applyBorder="1" applyAlignment="1">
      <alignment horizontal="center"/>
    </xf>
    <xf numFmtId="10" fontId="23" fillId="645" borderId="2" xfId="0" applyNumberFormat="1" applyFont="1" applyFill="1" applyBorder="1" applyAlignment="1">
      <alignment horizontal="center"/>
    </xf>
    <xf numFmtId="10" fontId="23" fillId="308" borderId="2" xfId="0" applyNumberFormat="1" applyFont="1" applyFill="1" applyBorder="1" applyAlignment="1">
      <alignment horizontal="center"/>
    </xf>
    <xf numFmtId="164" fontId="1" fillId="106" borderId="1" xfId="0" applyNumberFormat="1" applyFont="1" applyFill="1" applyBorder="1"/>
    <xf numFmtId="0" fontId="23" fillId="143" borderId="1" xfId="0" applyFont="1" applyFill="1" applyBorder="1" applyAlignment="1">
      <alignment horizontal="center"/>
    </xf>
    <xf numFmtId="0" fontId="23" fillId="291" borderId="1" xfId="0" applyFont="1" applyFill="1" applyBorder="1" applyAlignment="1">
      <alignment horizontal="center"/>
    </xf>
    <xf numFmtId="0" fontId="23" fillId="272" borderId="1" xfId="0" applyFont="1" applyFill="1" applyBorder="1" applyAlignment="1">
      <alignment horizontal="center"/>
    </xf>
    <xf numFmtId="9" fontId="23" fillId="100" borderId="1" xfId="0" applyNumberFormat="1" applyFont="1" applyFill="1" applyBorder="1" applyAlignment="1">
      <alignment horizontal="center"/>
    </xf>
    <xf numFmtId="10" fontId="23" fillId="646" borderId="1" xfId="0" applyNumberFormat="1" applyFont="1" applyFill="1" applyBorder="1" applyAlignment="1">
      <alignment horizontal="center"/>
    </xf>
    <xf numFmtId="164" fontId="23" fillId="64" borderId="2" xfId="0" applyNumberFormat="1" applyFont="1" applyFill="1" applyBorder="1" applyAlignment="1">
      <alignment horizontal="center"/>
    </xf>
    <xf numFmtId="9" fontId="23" fillId="467" borderId="2" xfId="0" applyNumberFormat="1" applyFont="1" applyFill="1" applyBorder="1" applyAlignment="1">
      <alignment horizontal="center"/>
    </xf>
    <xf numFmtId="0" fontId="23" fillId="313" borderId="2" xfId="0" applyFont="1" applyFill="1" applyBorder="1" applyAlignment="1">
      <alignment horizontal="center"/>
    </xf>
    <xf numFmtId="9" fontId="23" fillId="367" borderId="2" xfId="0" applyNumberFormat="1" applyFont="1" applyFill="1" applyBorder="1" applyAlignment="1">
      <alignment horizontal="center"/>
    </xf>
    <xf numFmtId="10" fontId="23" fillId="315" borderId="2" xfId="0" applyNumberFormat="1" applyFont="1" applyFill="1" applyBorder="1" applyAlignment="1">
      <alignment horizontal="center"/>
    </xf>
    <xf numFmtId="10" fontId="23" fillId="20" borderId="3" xfId="0" applyNumberFormat="1" applyFont="1" applyFill="1" applyBorder="1" applyAlignment="1">
      <alignment horizontal="center"/>
    </xf>
    <xf numFmtId="0" fontId="7" fillId="443" borderId="13" xfId="0" applyFont="1" applyFill="1" applyBorder="1" applyAlignment="1">
      <alignment horizontal="center"/>
    </xf>
    <xf numFmtId="0" fontId="7" fillId="647" borderId="2" xfId="0" applyFont="1" applyFill="1" applyBorder="1" applyAlignment="1">
      <alignment horizontal="center"/>
    </xf>
    <xf numFmtId="0" fontId="7" fillId="647" borderId="3" xfId="0" applyFont="1" applyFill="1" applyBorder="1" applyAlignment="1">
      <alignment horizontal="center"/>
    </xf>
    <xf numFmtId="0" fontId="24" fillId="219" borderId="3" xfId="0" applyFont="1" applyFill="1" applyBorder="1" applyAlignment="1">
      <alignment horizontal="center"/>
    </xf>
    <xf numFmtId="0" fontId="7" fillId="648" borderId="2" xfId="0" applyFont="1" applyFill="1" applyBorder="1" applyAlignment="1">
      <alignment horizontal="center"/>
    </xf>
    <xf numFmtId="0" fontId="7" fillId="649" borderId="2" xfId="0" applyFont="1" applyFill="1" applyBorder="1" applyAlignment="1">
      <alignment horizontal="center"/>
    </xf>
    <xf numFmtId="0" fontId="7" fillId="650" borderId="3" xfId="0" applyFont="1" applyFill="1" applyBorder="1" applyAlignment="1">
      <alignment horizontal="center"/>
    </xf>
    <xf numFmtId="164" fontId="23" fillId="182" borderId="1" xfId="0" applyNumberFormat="1" applyFont="1" applyFill="1" applyBorder="1" applyAlignment="1">
      <alignment horizontal="center"/>
    </xf>
    <xf numFmtId="0" fontId="23" fillId="401" borderId="1" xfId="0" applyFont="1" applyFill="1" applyBorder="1" applyAlignment="1">
      <alignment horizontal="center"/>
    </xf>
    <xf numFmtId="9" fontId="23" fillId="293" borderId="1" xfId="0" applyNumberFormat="1" applyFont="1" applyFill="1" applyBorder="1" applyAlignment="1">
      <alignment horizontal="center"/>
    </xf>
    <xf numFmtId="0" fontId="23" fillId="566" borderId="1" xfId="0" applyFont="1" applyFill="1" applyBorder="1" applyAlignment="1">
      <alignment horizontal="center"/>
    </xf>
    <xf numFmtId="0" fontId="23" fillId="608" borderId="1" xfId="0" applyFont="1" applyFill="1" applyBorder="1" applyAlignment="1">
      <alignment horizontal="center"/>
    </xf>
    <xf numFmtId="9" fontId="23" fillId="45" borderId="1" xfId="0" applyNumberFormat="1" applyFont="1" applyFill="1" applyBorder="1" applyAlignment="1">
      <alignment horizontal="center"/>
    </xf>
    <xf numFmtId="9" fontId="23" fillId="511" borderId="1" xfId="0" applyNumberFormat="1" applyFont="1" applyFill="1" applyBorder="1" applyAlignment="1">
      <alignment horizontal="center"/>
    </xf>
    <xf numFmtId="0" fontId="7" fillId="651" borderId="1" xfId="0" applyFont="1" applyFill="1" applyBorder="1" applyAlignment="1">
      <alignment horizontal="center"/>
    </xf>
    <xf numFmtId="0" fontId="7" fillId="651" borderId="4" xfId="0" applyFont="1" applyFill="1" applyBorder="1" applyAlignment="1">
      <alignment horizontal="center"/>
    </xf>
    <xf numFmtId="0" fontId="24" fillId="219" borderId="4" xfId="0" applyFont="1" applyFill="1" applyBorder="1" applyAlignment="1">
      <alignment horizontal="center"/>
    </xf>
    <xf numFmtId="0" fontId="7" fillId="267" borderId="1" xfId="0" applyFont="1" applyFill="1" applyBorder="1" applyAlignment="1">
      <alignment horizontal="center"/>
    </xf>
    <xf numFmtId="0" fontId="7" fillId="652" borderId="1" xfId="0" applyFont="1" applyFill="1" applyBorder="1" applyAlignment="1">
      <alignment horizontal="center"/>
    </xf>
    <xf numFmtId="0" fontId="7" fillId="653" borderId="4" xfId="0" applyFont="1" applyFill="1" applyBorder="1" applyAlignment="1">
      <alignment horizontal="center"/>
    </xf>
    <xf numFmtId="164" fontId="23" fillId="299" borderId="2" xfId="0" applyNumberFormat="1" applyFont="1" applyFill="1" applyBorder="1" applyAlignment="1">
      <alignment horizontal="center"/>
    </xf>
    <xf numFmtId="0" fontId="23" fillId="280" borderId="2" xfId="0" applyFont="1" applyFill="1" applyBorder="1" applyAlignment="1">
      <alignment horizontal="center"/>
    </xf>
    <xf numFmtId="10" fontId="23" fillId="271" borderId="2" xfId="0" applyNumberFormat="1" applyFont="1" applyFill="1" applyBorder="1" applyAlignment="1">
      <alignment horizontal="center"/>
    </xf>
    <xf numFmtId="10" fontId="23" fillId="223" borderId="3" xfId="0" applyNumberFormat="1" applyFont="1" applyFill="1" applyBorder="1" applyAlignment="1">
      <alignment horizontal="center"/>
    </xf>
    <xf numFmtId="0" fontId="7" fillId="654" borderId="2" xfId="0" applyFont="1" applyFill="1" applyBorder="1" applyAlignment="1">
      <alignment horizontal="center"/>
    </xf>
    <xf numFmtId="0" fontId="7" fillId="655" borderId="2" xfId="0" applyFont="1" applyFill="1" applyBorder="1" applyAlignment="1">
      <alignment horizontal="center"/>
    </xf>
    <xf numFmtId="0" fontId="7" fillId="655" borderId="3" xfId="0" applyFont="1" applyFill="1" applyBorder="1" applyAlignment="1">
      <alignment horizontal="center"/>
    </xf>
    <xf numFmtId="0" fontId="24" fillId="105" borderId="3" xfId="0" applyFont="1" applyFill="1" applyBorder="1" applyAlignment="1">
      <alignment horizontal="center"/>
    </xf>
    <xf numFmtId="0" fontId="7" fillId="656" borderId="2" xfId="0" applyFont="1" applyFill="1" applyBorder="1" applyAlignment="1">
      <alignment horizontal="center"/>
    </xf>
    <xf numFmtId="0" fontId="7" fillId="657" borderId="2" xfId="0" applyFont="1" applyFill="1" applyBorder="1" applyAlignment="1">
      <alignment horizontal="center"/>
    </xf>
    <xf numFmtId="0" fontId="7" fillId="556" borderId="2" xfId="0" applyFont="1" applyFill="1" applyBorder="1" applyAlignment="1">
      <alignment horizontal="center"/>
    </xf>
    <xf numFmtId="0" fontId="7" fillId="550" borderId="3" xfId="0" applyFont="1" applyFill="1" applyBorder="1" applyAlignment="1">
      <alignment horizontal="center"/>
    </xf>
    <xf numFmtId="164" fontId="23" fillId="222" borderId="1" xfId="0" applyNumberFormat="1" applyFont="1" applyFill="1" applyBorder="1" applyAlignment="1">
      <alignment horizontal="center"/>
    </xf>
    <xf numFmtId="0" fontId="23" fillId="264" borderId="1" xfId="0" applyFont="1" applyFill="1" applyBorder="1" applyAlignment="1">
      <alignment horizontal="center"/>
    </xf>
    <xf numFmtId="10" fontId="23" fillId="658" borderId="1" xfId="0" applyNumberFormat="1" applyFont="1" applyFill="1" applyBorder="1" applyAlignment="1">
      <alignment horizontal="center"/>
    </xf>
    <xf numFmtId="10" fontId="23" fillId="127" borderId="1" xfId="0" applyNumberFormat="1" applyFont="1" applyFill="1" applyBorder="1" applyAlignment="1">
      <alignment horizontal="center"/>
    </xf>
    <xf numFmtId="10" fontId="23" fillId="177" borderId="4" xfId="0" applyNumberFormat="1" applyFont="1" applyFill="1" applyBorder="1" applyAlignment="1">
      <alignment horizontal="center"/>
    </xf>
    <xf numFmtId="0" fontId="7" fillId="659" borderId="1" xfId="0" applyFont="1" applyFill="1" applyBorder="1" applyAlignment="1">
      <alignment horizontal="center"/>
    </xf>
    <xf numFmtId="0" fontId="7" fillId="428" borderId="1" xfId="0" applyFont="1" applyFill="1" applyBorder="1" applyAlignment="1">
      <alignment horizontal="center"/>
    </xf>
    <xf numFmtId="0" fontId="24" fillId="105" borderId="4" xfId="0" applyFont="1" applyFill="1" applyBorder="1" applyAlignment="1">
      <alignment horizontal="center"/>
    </xf>
    <xf numFmtId="0" fontId="7" fillId="319" borderId="1" xfId="0" applyFont="1" applyFill="1" applyBorder="1" applyAlignment="1">
      <alignment horizontal="center"/>
    </xf>
    <xf numFmtId="0" fontId="7" fillId="660" borderId="4" xfId="0" applyFont="1" applyFill="1" applyBorder="1" applyAlignment="1">
      <alignment horizontal="center"/>
    </xf>
    <xf numFmtId="164" fontId="23" fillId="615" borderId="2" xfId="0" applyNumberFormat="1" applyFont="1" applyFill="1" applyBorder="1" applyAlignment="1">
      <alignment horizontal="center"/>
    </xf>
    <xf numFmtId="0" fontId="23" fillId="18" borderId="2" xfId="0" applyFont="1" applyFill="1" applyBorder="1" applyAlignment="1">
      <alignment horizontal="center"/>
    </xf>
    <xf numFmtId="9" fontId="23" fillId="195" borderId="2" xfId="0" applyNumberFormat="1" applyFont="1" applyFill="1" applyBorder="1" applyAlignment="1">
      <alignment horizontal="center"/>
    </xf>
    <xf numFmtId="0" fontId="23" fillId="328" borderId="2" xfId="0" applyFont="1" applyFill="1" applyBorder="1" applyAlignment="1">
      <alignment horizontal="center"/>
    </xf>
    <xf numFmtId="9" fontId="23" fillId="61" borderId="2" xfId="0" applyNumberFormat="1" applyFont="1" applyFill="1" applyBorder="1" applyAlignment="1">
      <alignment horizontal="center"/>
    </xf>
    <xf numFmtId="0" fontId="23" fillId="279" borderId="3" xfId="0" applyFont="1" applyFill="1" applyBorder="1" applyAlignment="1">
      <alignment horizontal="center"/>
    </xf>
    <xf numFmtId="10" fontId="23" fillId="57" borderId="3" xfId="0" applyNumberFormat="1" applyFont="1" applyFill="1" applyBorder="1" applyAlignment="1">
      <alignment horizontal="center"/>
    </xf>
    <xf numFmtId="0" fontId="7" fillId="661" borderId="2" xfId="0" applyFont="1" applyFill="1" applyBorder="1" applyAlignment="1">
      <alignment horizontal="center"/>
    </xf>
    <xf numFmtId="0" fontId="7" fillId="661" borderId="3" xfId="0" applyFont="1" applyFill="1" applyBorder="1" applyAlignment="1">
      <alignment horizontal="center"/>
    </xf>
    <xf numFmtId="0" fontId="24" fillId="399" borderId="3" xfId="0" applyFont="1" applyFill="1" applyBorder="1" applyAlignment="1">
      <alignment horizontal="center"/>
    </xf>
    <xf numFmtId="0" fontId="7" fillId="549" borderId="2" xfId="0" applyFont="1" applyFill="1" applyBorder="1" applyAlignment="1">
      <alignment horizontal="center"/>
    </xf>
    <xf numFmtId="0" fontId="7" fillId="662" borderId="2" xfId="0" applyFont="1" applyFill="1" applyBorder="1" applyAlignment="1">
      <alignment horizontal="center"/>
    </xf>
    <xf numFmtId="0" fontId="7" fillId="663" borderId="3" xfId="0" applyFont="1" applyFill="1" applyBorder="1" applyAlignment="1">
      <alignment horizontal="center"/>
    </xf>
    <xf numFmtId="164" fontId="23" fillId="617" borderId="1" xfId="0" applyNumberFormat="1" applyFont="1" applyFill="1" applyBorder="1" applyAlignment="1">
      <alignment horizontal="center"/>
    </xf>
    <xf numFmtId="0" fontId="23" fillId="308" borderId="1" xfId="0" applyFont="1" applyFill="1" applyBorder="1" applyAlignment="1">
      <alignment horizontal="center"/>
    </xf>
    <xf numFmtId="0" fontId="23" fillId="30" borderId="1" xfId="0" applyFont="1" applyFill="1" applyBorder="1" applyAlignment="1">
      <alignment horizontal="center"/>
    </xf>
    <xf numFmtId="0" fontId="23" fillId="255" borderId="1" xfId="0" applyFont="1" applyFill="1" applyBorder="1" applyAlignment="1">
      <alignment horizontal="center"/>
    </xf>
    <xf numFmtId="9" fontId="23" fillId="97" borderId="1" xfId="0" applyNumberFormat="1" applyFont="1" applyFill="1" applyBorder="1" applyAlignment="1">
      <alignment horizontal="center"/>
    </xf>
    <xf numFmtId="10" fontId="23" fillId="148" borderId="1" xfId="0" applyNumberFormat="1" applyFont="1" applyFill="1" applyBorder="1" applyAlignment="1">
      <alignment horizontal="center"/>
    </xf>
    <xf numFmtId="10" fontId="23" fillId="435" borderId="1" xfId="0" applyNumberFormat="1" applyFont="1" applyFill="1" applyBorder="1" applyAlignment="1">
      <alignment horizontal="center"/>
    </xf>
    <xf numFmtId="10" fontId="23" fillId="139" borderId="4" xfId="0" applyNumberFormat="1" applyFont="1" applyFill="1" applyBorder="1" applyAlignment="1">
      <alignment horizontal="center"/>
    </xf>
    <xf numFmtId="0" fontId="7" fillId="664" borderId="1" xfId="0" applyFont="1" applyFill="1" applyBorder="1" applyAlignment="1">
      <alignment horizontal="center"/>
    </xf>
    <xf numFmtId="0" fontId="7" fillId="665" borderId="1" xfId="0" applyFont="1" applyFill="1" applyBorder="1" applyAlignment="1">
      <alignment horizontal="center"/>
    </xf>
    <xf numFmtId="0" fontId="7" fillId="665" borderId="4" xfId="0" applyFont="1" applyFill="1" applyBorder="1" applyAlignment="1">
      <alignment horizontal="center"/>
    </xf>
    <xf numFmtId="0" fontId="24" fillId="399" borderId="4" xfId="0" applyFont="1" applyFill="1" applyBorder="1" applyAlignment="1">
      <alignment horizontal="center"/>
    </xf>
    <xf numFmtId="0" fontId="7" fillId="666" borderId="1" xfId="0" applyFont="1" applyFill="1" applyBorder="1" applyAlignment="1">
      <alignment horizontal="center"/>
    </xf>
    <xf numFmtId="0" fontId="7" fillId="663" borderId="4" xfId="0" applyFont="1" applyFill="1" applyBorder="1" applyAlignment="1">
      <alignment horizontal="center"/>
    </xf>
    <xf numFmtId="164" fontId="23" fillId="588" borderId="2" xfId="0" applyNumberFormat="1" applyFont="1" applyFill="1" applyBorder="1" applyAlignment="1">
      <alignment horizontal="center"/>
    </xf>
    <xf numFmtId="0" fontId="23" fillId="114" borderId="2" xfId="0" applyFont="1" applyFill="1" applyBorder="1" applyAlignment="1">
      <alignment horizontal="center"/>
    </xf>
    <xf numFmtId="9" fontId="23" fillId="667" borderId="2" xfId="0" applyNumberFormat="1" applyFont="1" applyFill="1" applyBorder="1" applyAlignment="1">
      <alignment horizontal="center"/>
    </xf>
    <xf numFmtId="0" fontId="23" fillId="668" borderId="2" xfId="0" applyFont="1" applyFill="1" applyBorder="1" applyAlignment="1">
      <alignment horizontal="center"/>
    </xf>
    <xf numFmtId="0" fontId="23" fillId="466" borderId="2" xfId="0" applyFont="1" applyFill="1" applyBorder="1" applyAlignment="1">
      <alignment horizontal="center"/>
    </xf>
    <xf numFmtId="10" fontId="23" fillId="311" borderId="2" xfId="0" applyNumberFormat="1" applyFont="1" applyFill="1" applyBorder="1" applyAlignment="1">
      <alignment horizontal="center"/>
    </xf>
    <xf numFmtId="10" fontId="23" fillId="144" borderId="2" xfId="0" applyNumberFormat="1" applyFont="1" applyFill="1" applyBorder="1" applyAlignment="1">
      <alignment horizontal="center"/>
    </xf>
    <xf numFmtId="10" fontId="23" fillId="17" borderId="2" xfId="0" applyNumberFormat="1" applyFont="1" applyFill="1" applyBorder="1" applyAlignment="1">
      <alignment horizontal="center"/>
    </xf>
    <xf numFmtId="10" fontId="23" fillId="410" borderId="3" xfId="0" applyNumberFormat="1" applyFont="1" applyFill="1" applyBorder="1" applyAlignment="1">
      <alignment horizontal="center"/>
    </xf>
    <xf numFmtId="0" fontId="7" fillId="625" borderId="13" xfId="0" applyFont="1" applyFill="1" applyBorder="1" applyAlignment="1">
      <alignment horizontal="center"/>
    </xf>
    <xf numFmtId="0" fontId="7" fillId="120" borderId="2" xfId="0" applyFont="1" applyFill="1" applyBorder="1" applyAlignment="1">
      <alignment horizontal="center"/>
    </xf>
    <xf numFmtId="0" fontId="7" fillId="669" borderId="2" xfId="0" applyFont="1" applyFill="1" applyBorder="1" applyAlignment="1">
      <alignment horizontal="center"/>
    </xf>
    <xf numFmtId="0" fontId="7" fillId="669" borderId="3" xfId="0" applyFont="1" applyFill="1" applyBorder="1" applyAlignment="1">
      <alignment horizontal="center"/>
    </xf>
    <xf numFmtId="0" fontId="7" fillId="422" borderId="2" xfId="0" applyFont="1" applyFill="1" applyBorder="1" applyAlignment="1">
      <alignment horizontal="center"/>
    </xf>
    <xf numFmtId="0" fontId="7" fillId="670" borderId="3" xfId="0" applyFont="1" applyFill="1" applyBorder="1" applyAlignment="1">
      <alignment horizontal="center"/>
    </xf>
    <xf numFmtId="164" fontId="23" fillId="591" borderId="1" xfId="0" applyNumberFormat="1" applyFont="1" applyFill="1" applyBorder="1" applyAlignment="1">
      <alignment horizontal="center"/>
    </xf>
    <xf numFmtId="0" fontId="23" fillId="640" borderId="1" xfId="0" applyFont="1" applyFill="1" applyBorder="1" applyAlignment="1">
      <alignment horizontal="center"/>
    </xf>
    <xf numFmtId="0" fontId="23" fillId="18" borderId="1" xfId="0" applyFont="1" applyFill="1" applyBorder="1" applyAlignment="1">
      <alignment horizontal="center"/>
    </xf>
    <xf numFmtId="9" fontId="23" fillId="263" borderId="1" xfId="0" applyNumberFormat="1" applyFont="1" applyFill="1" applyBorder="1" applyAlignment="1">
      <alignment horizontal="center"/>
    </xf>
    <xf numFmtId="10" fontId="23" fillId="76" borderId="4" xfId="0" applyNumberFormat="1" applyFont="1" applyFill="1" applyBorder="1" applyAlignment="1">
      <alignment horizontal="center"/>
    </xf>
    <xf numFmtId="0" fontId="7" fillId="671" borderId="1" xfId="0" applyFont="1" applyFill="1" applyBorder="1" applyAlignment="1">
      <alignment horizontal="center"/>
    </xf>
    <xf numFmtId="0" fontId="7" fillId="672" borderId="1" xfId="0" applyFont="1" applyFill="1" applyBorder="1" applyAlignment="1">
      <alignment horizontal="center"/>
    </xf>
    <xf numFmtId="0" fontId="7" fillId="672" borderId="4" xfId="0" applyFont="1" applyFill="1" applyBorder="1" applyAlignment="1">
      <alignment horizontal="center"/>
    </xf>
    <xf numFmtId="0" fontId="7" fillId="484" borderId="1" xfId="0" applyFont="1" applyFill="1" applyBorder="1" applyAlignment="1">
      <alignment horizontal="center"/>
    </xf>
    <xf numFmtId="0" fontId="7" fillId="673" borderId="1" xfId="0" applyFont="1" applyFill="1" applyBorder="1" applyAlignment="1">
      <alignment horizontal="center"/>
    </xf>
    <xf numFmtId="0" fontId="7" fillId="674" borderId="1" xfId="0" applyFont="1" applyFill="1" applyBorder="1" applyAlignment="1">
      <alignment horizontal="center"/>
    </xf>
    <xf numFmtId="0" fontId="7" fillId="675" borderId="4" xfId="0" applyFont="1" applyFill="1" applyBorder="1" applyAlignment="1">
      <alignment horizontal="center"/>
    </xf>
    <xf numFmtId="164" fontId="23" fillId="627" borderId="2" xfId="0" applyNumberFormat="1" applyFont="1" applyFill="1" applyBorder="1" applyAlignment="1">
      <alignment horizontal="center"/>
    </xf>
    <xf numFmtId="0" fontId="23" fillId="75" borderId="2" xfId="0" applyFont="1" applyFill="1" applyBorder="1" applyAlignment="1">
      <alignment horizontal="center"/>
    </xf>
    <xf numFmtId="10" fontId="23" fillId="65" borderId="2" xfId="0" applyNumberFormat="1" applyFont="1" applyFill="1" applyBorder="1" applyAlignment="1">
      <alignment horizontal="center"/>
    </xf>
    <xf numFmtId="10" fontId="23" fillId="115" borderId="3" xfId="0" applyNumberFormat="1" applyFont="1" applyFill="1" applyBorder="1" applyAlignment="1">
      <alignment horizontal="center"/>
    </xf>
    <xf numFmtId="0" fontId="7" fillId="646" borderId="13" xfId="0" applyFont="1" applyFill="1" applyBorder="1" applyAlignment="1">
      <alignment horizontal="center"/>
    </xf>
    <xf numFmtId="0" fontId="7" fillId="676" borderId="2" xfId="0" applyFont="1" applyFill="1" applyBorder="1" applyAlignment="1">
      <alignment horizontal="center"/>
    </xf>
    <xf numFmtId="0" fontId="7" fillId="677" borderId="2" xfId="0" applyFont="1" applyFill="1" applyBorder="1" applyAlignment="1">
      <alignment horizontal="center"/>
    </xf>
    <xf numFmtId="0" fontId="7" fillId="677" borderId="3" xfId="0" applyFont="1" applyFill="1" applyBorder="1" applyAlignment="1">
      <alignment horizontal="center"/>
    </xf>
    <xf numFmtId="0" fontId="24" fillId="678" borderId="3" xfId="0" applyFont="1" applyFill="1" applyBorder="1" applyAlignment="1">
      <alignment horizontal="center"/>
    </xf>
    <xf numFmtId="164" fontId="23" fillId="397" borderId="1" xfId="0" applyNumberFormat="1" applyFont="1" applyFill="1" applyBorder="1" applyAlignment="1">
      <alignment horizontal="center"/>
    </xf>
    <xf numFmtId="0" fontId="23" fillId="679" borderId="1" xfId="0" applyFont="1" applyFill="1" applyBorder="1" applyAlignment="1">
      <alignment horizontal="center"/>
    </xf>
    <xf numFmtId="9" fontId="23" fillId="179" borderId="1" xfId="0" applyNumberFormat="1" applyFont="1" applyFill="1" applyBorder="1" applyAlignment="1">
      <alignment horizontal="center"/>
    </xf>
    <xf numFmtId="10" fontId="23" fillId="487" borderId="1" xfId="0" applyNumberFormat="1" applyFont="1" applyFill="1" applyBorder="1" applyAlignment="1">
      <alignment horizontal="center"/>
    </xf>
    <xf numFmtId="10" fontId="23" fillId="165" borderId="4" xfId="0" applyNumberFormat="1" applyFont="1" applyFill="1" applyBorder="1" applyAlignment="1">
      <alignment horizontal="center"/>
    </xf>
    <xf numFmtId="0" fontId="7" fillId="443" borderId="16" xfId="0" applyFont="1" applyFill="1" applyBorder="1" applyAlignment="1">
      <alignment horizontal="center"/>
    </xf>
    <xf numFmtId="0" fontId="7" fillId="680" borderId="1" xfId="0" applyFont="1" applyFill="1" applyBorder="1" applyAlignment="1">
      <alignment horizontal="center"/>
    </xf>
    <xf numFmtId="0" fontId="7" fillId="509" borderId="1" xfId="0" applyFont="1" applyFill="1" applyBorder="1" applyAlignment="1">
      <alignment horizontal="center"/>
    </xf>
    <xf numFmtId="0" fontId="7" fillId="509" borderId="4" xfId="0" applyFont="1" applyFill="1" applyBorder="1" applyAlignment="1">
      <alignment horizontal="center"/>
    </xf>
    <xf numFmtId="0" fontId="24" fillId="678" borderId="4" xfId="0" applyFont="1" applyFill="1" applyBorder="1" applyAlignment="1">
      <alignment horizontal="center"/>
    </xf>
    <xf numFmtId="164" fontId="23" fillId="453" borderId="2" xfId="0" applyNumberFormat="1" applyFont="1" applyFill="1" applyBorder="1" applyAlignment="1">
      <alignment horizontal="center"/>
    </xf>
    <xf numFmtId="9" fontId="23" fillId="114" borderId="2" xfId="0" applyNumberFormat="1" applyFont="1" applyFill="1" applyBorder="1" applyAlignment="1">
      <alignment horizontal="center"/>
    </xf>
    <xf numFmtId="10" fontId="23" fillId="681" borderId="2" xfId="0" applyNumberFormat="1" applyFont="1" applyFill="1" applyBorder="1" applyAlignment="1">
      <alignment horizontal="center"/>
    </xf>
    <xf numFmtId="0" fontId="7" fillId="289" borderId="2" xfId="0" applyFont="1" applyFill="1" applyBorder="1" applyAlignment="1">
      <alignment horizontal="center"/>
    </xf>
    <xf numFmtId="0" fontId="7" fillId="682" borderId="2" xfId="0" applyFont="1" applyFill="1" applyBorder="1" applyAlignment="1">
      <alignment horizontal="center"/>
    </xf>
    <xf numFmtId="0" fontId="7" fillId="682" borderId="3" xfId="0" applyFont="1" applyFill="1" applyBorder="1" applyAlignment="1">
      <alignment horizontal="center"/>
    </xf>
    <xf numFmtId="0" fontId="7" fillId="482" borderId="2" xfId="0" applyFont="1" applyFill="1" applyBorder="1" applyAlignment="1">
      <alignment horizontal="center"/>
    </xf>
    <xf numFmtId="0" fontId="7" fillId="190" borderId="2" xfId="0" applyFont="1" applyFill="1" applyBorder="1" applyAlignment="1">
      <alignment horizontal="center"/>
    </xf>
    <xf numFmtId="0" fontId="7" fillId="510" borderId="2" xfId="0" applyFont="1" applyFill="1" applyBorder="1" applyAlignment="1">
      <alignment horizontal="center"/>
    </xf>
    <xf numFmtId="0" fontId="7" fillId="683" borderId="3" xfId="0" applyFont="1" applyFill="1" applyBorder="1" applyAlignment="1">
      <alignment horizontal="center"/>
    </xf>
    <xf numFmtId="164" fontId="23" fillId="492" borderId="1" xfId="0" applyNumberFormat="1" applyFont="1" applyFill="1" applyBorder="1" applyAlignment="1">
      <alignment horizontal="center"/>
    </xf>
    <xf numFmtId="10" fontId="23" fillId="595" borderId="1" xfId="0" applyNumberFormat="1" applyFont="1" applyFill="1" applyBorder="1" applyAlignment="1">
      <alignment horizontal="center"/>
    </xf>
    <xf numFmtId="10" fontId="23" fillId="131" borderId="1" xfId="0" applyNumberFormat="1" applyFont="1" applyFill="1" applyBorder="1" applyAlignment="1">
      <alignment horizontal="center"/>
    </xf>
    <xf numFmtId="10" fontId="23" fillId="313" borderId="4" xfId="0" applyNumberFormat="1" applyFont="1" applyFill="1" applyBorder="1" applyAlignment="1">
      <alignment horizontal="center"/>
    </xf>
    <xf numFmtId="0" fontId="7" fillId="192" borderId="1" xfId="0" applyFont="1" applyFill="1" applyBorder="1" applyAlignment="1">
      <alignment horizontal="center"/>
    </xf>
    <xf numFmtId="0" fontId="7" fillId="684" borderId="1" xfId="0" applyFont="1" applyFill="1" applyBorder="1" applyAlignment="1">
      <alignment horizontal="center"/>
    </xf>
    <xf numFmtId="0" fontId="7" fillId="684" borderId="4" xfId="0" applyFont="1" applyFill="1" applyBorder="1" applyAlignment="1">
      <alignment horizontal="center"/>
    </xf>
    <xf numFmtId="0" fontId="7" fillId="539" borderId="1" xfId="0" applyFont="1" applyFill="1" applyBorder="1" applyAlignment="1">
      <alignment horizontal="center"/>
    </xf>
    <xf numFmtId="0" fontId="7" fillId="670" borderId="4" xfId="0" applyFont="1" applyFill="1" applyBorder="1" applyAlignment="1">
      <alignment horizontal="center"/>
    </xf>
    <xf numFmtId="164" fontId="23" fillId="620" borderId="2" xfId="0" applyNumberFormat="1" applyFont="1" applyFill="1" applyBorder="1" applyAlignment="1">
      <alignment horizontal="center"/>
    </xf>
    <xf numFmtId="0" fontId="23" fillId="612" borderId="2" xfId="0" applyFont="1" applyFill="1" applyBorder="1" applyAlignment="1">
      <alignment horizontal="center"/>
    </xf>
    <xf numFmtId="9" fontId="23" fillId="322" borderId="2" xfId="0" applyNumberFormat="1" applyFont="1" applyFill="1" applyBorder="1" applyAlignment="1">
      <alignment horizontal="center"/>
    </xf>
    <xf numFmtId="0" fontId="23" fillId="100" borderId="3" xfId="0" applyFont="1" applyFill="1" applyBorder="1" applyAlignment="1">
      <alignment horizontal="center"/>
    </xf>
    <xf numFmtId="10" fontId="23" fillId="211" borderId="2" xfId="0" applyNumberFormat="1" applyFont="1" applyFill="1" applyBorder="1" applyAlignment="1">
      <alignment horizontal="center"/>
    </xf>
    <xf numFmtId="10" fontId="23" fillId="206" borderId="2" xfId="0" applyNumberFormat="1" applyFont="1" applyFill="1" applyBorder="1" applyAlignment="1">
      <alignment horizontal="center"/>
    </xf>
    <xf numFmtId="10" fontId="23" fillId="563" borderId="2" xfId="0" applyNumberFormat="1" applyFont="1" applyFill="1" applyBorder="1" applyAlignment="1">
      <alignment horizontal="center"/>
    </xf>
    <xf numFmtId="0" fontId="7" fillId="575" borderId="2" xfId="0" applyFont="1" applyFill="1" applyBorder="1" applyAlignment="1">
      <alignment horizontal="center"/>
    </xf>
    <xf numFmtId="0" fontId="7" fillId="575" borderId="3" xfId="0" applyFont="1" applyFill="1" applyBorder="1" applyAlignment="1">
      <alignment horizontal="center"/>
    </xf>
    <xf numFmtId="0" fontId="24" fillId="685" borderId="3" xfId="0" applyFont="1" applyFill="1" applyBorder="1" applyAlignment="1">
      <alignment horizontal="center"/>
    </xf>
    <xf numFmtId="0" fontId="7" fillId="484" borderId="2" xfId="0" applyFont="1" applyFill="1" applyBorder="1" applyAlignment="1">
      <alignment horizontal="center"/>
    </xf>
    <xf numFmtId="0" fontId="7" fillId="686" borderId="2" xfId="0" applyFont="1" applyFill="1" applyBorder="1" applyAlignment="1">
      <alignment horizontal="center"/>
    </xf>
    <xf numFmtId="0" fontId="7" fillId="687" borderId="3" xfId="0" applyFont="1" applyFill="1" applyBorder="1" applyAlignment="1">
      <alignment horizontal="center"/>
    </xf>
    <xf numFmtId="164" fontId="23" fillId="317" borderId="1" xfId="0" applyNumberFormat="1" applyFont="1" applyFill="1" applyBorder="1" applyAlignment="1">
      <alignment horizontal="center"/>
    </xf>
    <xf numFmtId="0" fontId="23" fillId="552" borderId="1" xfId="0" applyFont="1" applyFill="1" applyBorder="1" applyAlignment="1">
      <alignment horizontal="center"/>
    </xf>
    <xf numFmtId="0" fontId="23" fillId="314" borderId="1" xfId="0" applyFont="1" applyFill="1" applyBorder="1" applyAlignment="1">
      <alignment horizontal="center"/>
    </xf>
    <xf numFmtId="9" fontId="23" fillId="336" borderId="1" xfId="0" applyNumberFormat="1" applyFont="1" applyFill="1" applyBorder="1" applyAlignment="1">
      <alignment horizontal="center"/>
    </xf>
    <xf numFmtId="10" fontId="23" fillId="84" borderId="1" xfId="0" applyNumberFormat="1" applyFont="1" applyFill="1" applyBorder="1" applyAlignment="1">
      <alignment horizontal="center"/>
    </xf>
    <xf numFmtId="10" fontId="23" fillId="81" borderId="1" xfId="0" applyNumberFormat="1" applyFont="1" applyFill="1" applyBorder="1" applyAlignment="1">
      <alignment horizontal="center"/>
    </xf>
    <xf numFmtId="10" fontId="23" fillId="343" borderId="4" xfId="0" applyNumberFormat="1" applyFont="1" applyFill="1" applyBorder="1" applyAlignment="1">
      <alignment horizontal="center"/>
    </xf>
    <xf numFmtId="0" fontId="7" fillId="688" borderId="1" xfId="0" applyFont="1" applyFill="1" applyBorder="1" applyAlignment="1">
      <alignment horizontal="center"/>
    </xf>
    <xf numFmtId="0" fontId="7" fillId="688" borderId="4" xfId="0" applyFont="1" applyFill="1" applyBorder="1" applyAlignment="1">
      <alignment horizontal="center"/>
    </xf>
    <xf numFmtId="0" fontId="24" fillId="685" borderId="4" xfId="0" applyFont="1" applyFill="1" applyBorder="1" applyAlignment="1">
      <alignment horizontal="center"/>
    </xf>
    <xf numFmtId="0" fontId="7" fillId="689" borderId="1" xfId="0" applyFont="1" applyFill="1" applyBorder="1" applyAlignment="1">
      <alignment horizontal="center"/>
    </xf>
    <xf numFmtId="0" fontId="7" fillId="690" borderId="1" xfId="0" applyFont="1" applyFill="1" applyBorder="1" applyAlignment="1">
      <alignment horizontal="center"/>
    </xf>
    <xf numFmtId="0" fontId="7" fillId="510" borderId="1" xfId="0" applyFont="1" applyFill="1" applyBorder="1" applyAlignment="1">
      <alignment horizontal="center"/>
    </xf>
    <xf numFmtId="164" fontId="23" fillId="599" borderId="2" xfId="0" applyNumberFormat="1" applyFont="1" applyFill="1" applyBorder="1" applyAlignment="1">
      <alignment horizontal="center"/>
    </xf>
    <xf numFmtId="0" fontId="23" fillId="134" borderId="3" xfId="0" applyFont="1" applyFill="1" applyBorder="1" applyAlignment="1">
      <alignment horizontal="center"/>
    </xf>
    <xf numFmtId="10" fontId="23" fillId="691" borderId="2" xfId="0" applyNumberFormat="1" applyFont="1" applyFill="1" applyBorder="1" applyAlignment="1">
      <alignment horizontal="center"/>
    </xf>
    <xf numFmtId="0" fontId="7" fillId="467" borderId="13" xfId="0" applyFont="1" applyFill="1" applyBorder="1" applyAlignment="1">
      <alignment horizontal="center"/>
    </xf>
    <xf numFmtId="0" fontId="7" fillId="659" borderId="2" xfId="0" applyFont="1" applyFill="1" applyBorder="1" applyAlignment="1">
      <alignment horizontal="center"/>
    </xf>
    <xf numFmtId="0" fontId="7" fillId="324" borderId="2" xfId="0" applyFont="1" applyFill="1" applyBorder="1" applyAlignment="1">
      <alignment horizontal="center"/>
    </xf>
    <xf numFmtId="0" fontId="7" fillId="324" borderId="3" xfId="0" applyFont="1" applyFill="1" applyBorder="1" applyAlignment="1">
      <alignment horizontal="center"/>
    </xf>
    <xf numFmtId="0" fontId="7" fillId="692" borderId="2" xfId="0" applyFont="1" applyFill="1" applyBorder="1" applyAlignment="1">
      <alignment horizontal="center"/>
    </xf>
    <xf numFmtId="0" fontId="7" fillId="693" borderId="2" xfId="0" applyFont="1" applyFill="1" applyBorder="1" applyAlignment="1">
      <alignment horizontal="center"/>
    </xf>
    <xf numFmtId="0" fontId="7" fillId="653" borderId="3" xfId="0" applyFont="1" applyFill="1" applyBorder="1" applyAlignment="1">
      <alignment horizontal="center"/>
    </xf>
    <xf numFmtId="164" fontId="23" fillId="345" borderId="1" xfId="0" applyNumberFormat="1" applyFont="1" applyFill="1" applyBorder="1" applyAlignment="1">
      <alignment horizontal="center"/>
    </xf>
    <xf numFmtId="0" fontId="23" fillId="194" borderId="1" xfId="0" applyFont="1" applyFill="1" applyBorder="1" applyAlignment="1">
      <alignment horizontal="center"/>
    </xf>
    <xf numFmtId="9" fontId="23" fillId="322" borderId="1" xfId="0" applyNumberFormat="1" applyFont="1" applyFill="1" applyBorder="1" applyAlignment="1">
      <alignment horizontal="center"/>
    </xf>
    <xf numFmtId="0" fontId="23" fillId="100" borderId="4" xfId="0" applyFont="1" applyFill="1" applyBorder="1" applyAlignment="1">
      <alignment horizontal="center"/>
    </xf>
    <xf numFmtId="10" fontId="23" fillId="19" borderId="1" xfId="0" applyNumberFormat="1" applyFont="1" applyFill="1" applyBorder="1" applyAlignment="1">
      <alignment horizontal="center"/>
    </xf>
    <xf numFmtId="0" fontId="7" fillId="654" borderId="1" xfId="0" applyFont="1" applyFill="1" applyBorder="1" applyAlignment="1">
      <alignment horizontal="center"/>
    </xf>
    <xf numFmtId="0" fontId="7" fillId="694" borderId="1" xfId="0" applyFont="1" applyFill="1" applyBorder="1" applyAlignment="1">
      <alignment horizontal="center"/>
    </xf>
    <xf numFmtId="0" fontId="7" fillId="694" borderId="4" xfId="0" applyFont="1" applyFill="1" applyBorder="1" applyAlignment="1">
      <alignment horizontal="center"/>
    </xf>
    <xf numFmtId="0" fontId="7" fillId="183" borderId="1" xfId="0" applyFont="1" applyFill="1" applyBorder="1" applyAlignment="1">
      <alignment horizontal="center"/>
    </xf>
    <xf numFmtId="164" fontId="23" fillId="14" borderId="2" xfId="0" applyNumberFormat="1" applyFont="1" applyFill="1" applyBorder="1" applyAlignment="1">
      <alignment horizontal="center"/>
    </xf>
    <xf numFmtId="9" fontId="23" fillId="695" borderId="2" xfId="0" applyNumberFormat="1" applyFont="1" applyFill="1" applyBorder="1" applyAlignment="1">
      <alignment horizontal="center"/>
    </xf>
    <xf numFmtId="0" fontId="23" fillId="27" borderId="2" xfId="0" applyFont="1" applyFill="1" applyBorder="1" applyAlignment="1">
      <alignment horizontal="center"/>
    </xf>
    <xf numFmtId="10" fontId="23" fillId="115" borderId="2" xfId="0" applyNumberFormat="1" applyFont="1" applyFill="1" applyBorder="1" applyAlignment="1">
      <alignment horizontal="center"/>
    </xf>
    <xf numFmtId="10" fontId="23" fillId="81" borderId="2" xfId="0" applyNumberFormat="1" applyFont="1" applyFill="1" applyBorder="1" applyAlignment="1">
      <alignment horizontal="center"/>
    </xf>
    <xf numFmtId="10" fontId="23" fillId="477" borderId="3" xfId="0" applyNumberFormat="1" applyFont="1" applyFill="1" applyBorder="1" applyAlignment="1">
      <alignment horizontal="center"/>
    </xf>
    <xf numFmtId="0" fontId="7" fillId="355" borderId="13" xfId="0" applyFont="1" applyFill="1" applyBorder="1" applyAlignment="1">
      <alignment horizontal="center"/>
    </xf>
    <xf numFmtId="0" fontId="7" fillId="189" borderId="2" xfId="0" applyFont="1" applyFill="1" applyBorder="1" applyAlignment="1">
      <alignment horizontal="center"/>
    </xf>
    <xf numFmtId="164" fontId="23" fillId="26" borderId="1" xfId="0" applyNumberFormat="1" applyFont="1" applyFill="1" applyBorder="1" applyAlignment="1">
      <alignment horizontal="center"/>
    </xf>
    <xf numFmtId="0" fontId="23" fillId="83" borderId="1" xfId="0" applyFont="1" applyFill="1" applyBorder="1" applyAlignment="1">
      <alignment horizontal="center"/>
    </xf>
    <xf numFmtId="0" fontId="23" fillId="696" borderId="1" xfId="0" applyFont="1" applyFill="1" applyBorder="1" applyAlignment="1">
      <alignment horizontal="center"/>
    </xf>
    <xf numFmtId="0" fontId="23" fillId="257" borderId="1" xfId="0" applyFont="1" applyFill="1" applyBorder="1" applyAlignment="1">
      <alignment horizontal="center"/>
    </xf>
    <xf numFmtId="9" fontId="23" fillId="180" borderId="1" xfId="0" applyNumberFormat="1" applyFont="1" applyFill="1" applyBorder="1" applyAlignment="1">
      <alignment horizontal="center"/>
    </xf>
    <xf numFmtId="10" fontId="23" fillId="697" borderId="1" xfId="0" applyNumberFormat="1" applyFont="1" applyFill="1" applyBorder="1" applyAlignment="1">
      <alignment horizontal="center"/>
    </xf>
    <xf numFmtId="10" fontId="23" fillId="310" borderId="1" xfId="0" applyNumberFormat="1" applyFont="1" applyFill="1" applyBorder="1" applyAlignment="1">
      <alignment horizontal="center"/>
    </xf>
    <xf numFmtId="0" fontId="7" fillId="81" borderId="16" xfId="0" applyFont="1" applyFill="1" applyBorder="1" applyAlignment="1">
      <alignment horizontal="center"/>
    </xf>
    <xf numFmtId="0" fontId="7" fillId="698" borderId="1" xfId="0" applyFont="1" applyFill="1" applyBorder="1" applyAlignment="1">
      <alignment horizontal="center"/>
    </xf>
    <xf numFmtId="164" fontId="23" fillId="612" borderId="2" xfId="0" applyNumberFormat="1" applyFont="1" applyFill="1" applyBorder="1" applyAlignment="1">
      <alignment horizontal="center"/>
    </xf>
    <xf numFmtId="0" fontId="23" fillId="204" borderId="2" xfId="0" applyFont="1" applyFill="1" applyBorder="1" applyAlignment="1">
      <alignment horizontal="center"/>
    </xf>
    <xf numFmtId="0" fontId="23" fillId="166" borderId="2" xfId="0" applyFont="1" applyFill="1" applyBorder="1" applyAlignment="1">
      <alignment horizontal="center"/>
    </xf>
    <xf numFmtId="10" fontId="23" fillId="63" borderId="2" xfId="0" applyNumberFormat="1" applyFont="1" applyFill="1" applyBorder="1" applyAlignment="1">
      <alignment horizontal="center"/>
    </xf>
    <xf numFmtId="10" fontId="23" fillId="294" borderId="3" xfId="0" applyNumberFormat="1" applyFont="1" applyFill="1" applyBorder="1" applyAlignment="1">
      <alignment horizontal="center"/>
    </xf>
    <xf numFmtId="0" fontId="7" fillId="699" borderId="2" xfId="0" applyFont="1" applyFill="1" applyBorder="1" applyAlignment="1">
      <alignment horizontal="center"/>
    </xf>
    <xf numFmtId="0" fontId="7" fillId="319" borderId="2" xfId="0" applyFont="1" applyFill="1" applyBorder="1" applyAlignment="1">
      <alignment horizontal="center"/>
    </xf>
    <xf numFmtId="0" fontId="24" fillId="304" borderId="3" xfId="0" applyFont="1" applyFill="1" applyBorder="1" applyAlignment="1">
      <alignment horizontal="center"/>
    </xf>
    <xf numFmtId="0" fontId="7" fillId="700" borderId="2" xfId="0" applyFont="1" applyFill="1" applyBorder="1" applyAlignment="1">
      <alignment horizontal="center"/>
    </xf>
    <xf numFmtId="164" fontId="23" fillId="609" borderId="1" xfId="0" applyNumberFormat="1" applyFont="1" applyFill="1" applyBorder="1" applyAlignment="1">
      <alignment horizontal="center"/>
    </xf>
    <xf numFmtId="0" fontId="23" fillId="612" borderId="1" xfId="0" applyFont="1" applyFill="1" applyBorder="1" applyAlignment="1">
      <alignment horizontal="center"/>
    </xf>
    <xf numFmtId="0" fontId="23" fillId="132" borderId="1" xfId="0" applyFont="1" applyFill="1" applyBorder="1" applyAlignment="1">
      <alignment horizontal="center"/>
    </xf>
    <xf numFmtId="0" fontId="23" fillId="65" borderId="1" xfId="0" applyFont="1" applyFill="1" applyBorder="1" applyAlignment="1">
      <alignment horizontal="center"/>
    </xf>
    <xf numFmtId="10" fontId="23" fillId="455" borderId="1" xfId="0" applyNumberFormat="1" applyFont="1" applyFill="1" applyBorder="1" applyAlignment="1">
      <alignment horizontal="center"/>
    </xf>
    <xf numFmtId="10" fontId="23" fillId="404" borderId="4" xfId="0" applyNumberFormat="1" applyFont="1" applyFill="1" applyBorder="1" applyAlignment="1">
      <alignment horizontal="center"/>
    </xf>
    <xf numFmtId="0" fontId="7" fillId="385" borderId="1" xfId="0" applyFont="1" applyFill="1" applyBorder="1" applyAlignment="1">
      <alignment horizontal="center"/>
    </xf>
    <xf numFmtId="0" fontId="7" fillId="427" borderId="4" xfId="0" applyFont="1" applyFill="1" applyBorder="1" applyAlignment="1">
      <alignment horizontal="center"/>
    </xf>
    <xf numFmtId="0" fontId="24" fillId="304" borderId="4" xfId="0" applyFont="1" applyFill="1" applyBorder="1" applyAlignment="1">
      <alignment horizontal="center"/>
    </xf>
    <xf numFmtId="0" fontId="7" fillId="701" borderId="1" xfId="0" applyFont="1" applyFill="1" applyBorder="1" applyAlignment="1">
      <alignment horizontal="center"/>
    </xf>
    <xf numFmtId="0" fontId="7" fillId="702" borderId="4" xfId="0" applyFont="1" applyFill="1" applyBorder="1" applyAlignment="1">
      <alignment horizontal="center"/>
    </xf>
    <xf numFmtId="164" fontId="23" fillId="83" borderId="2" xfId="0" applyNumberFormat="1" applyFont="1" applyFill="1" applyBorder="1" applyAlignment="1">
      <alignment horizontal="center"/>
    </xf>
    <xf numFmtId="0" fontId="23" fillId="404" borderId="2" xfId="0" applyFont="1" applyFill="1" applyBorder="1" applyAlignment="1">
      <alignment horizontal="center"/>
    </xf>
    <xf numFmtId="9" fontId="23" fillId="224" borderId="2" xfId="0" applyNumberFormat="1" applyFont="1" applyFill="1" applyBorder="1" applyAlignment="1">
      <alignment horizontal="center"/>
    </xf>
    <xf numFmtId="0" fontId="7" fillId="703" borderId="2" xfId="0" applyFont="1" applyFill="1" applyBorder="1" applyAlignment="1">
      <alignment horizontal="center"/>
    </xf>
    <xf numFmtId="0" fontId="7" fillId="703" borderId="3" xfId="0" applyFont="1" applyFill="1" applyBorder="1" applyAlignment="1">
      <alignment horizontal="center"/>
    </xf>
    <xf numFmtId="0" fontId="24" fillId="306" borderId="3" xfId="0" applyFont="1" applyFill="1" applyBorder="1" applyAlignment="1">
      <alignment horizontal="center"/>
    </xf>
    <xf numFmtId="0" fontId="7" fillId="704" borderId="2" xfId="0" applyFont="1" applyFill="1" applyBorder="1" applyAlignment="1">
      <alignment horizontal="center"/>
    </xf>
    <xf numFmtId="164" fontId="23" fillId="586" borderId="1" xfId="0" applyNumberFormat="1" applyFont="1" applyFill="1" applyBorder="1" applyAlignment="1">
      <alignment horizontal="center"/>
    </xf>
    <xf numFmtId="0" fontId="23" fillId="705" borderId="1" xfId="0" applyFont="1" applyFill="1" applyBorder="1" applyAlignment="1">
      <alignment horizontal="center"/>
    </xf>
    <xf numFmtId="9" fontId="23" fillId="194" borderId="1" xfId="0" applyNumberFormat="1" applyFont="1" applyFill="1" applyBorder="1" applyAlignment="1">
      <alignment horizontal="center"/>
    </xf>
    <xf numFmtId="0" fontId="23" fillId="644" borderId="1" xfId="0" applyFont="1" applyFill="1" applyBorder="1" applyAlignment="1">
      <alignment horizontal="center"/>
    </xf>
    <xf numFmtId="0" fontId="23" fillId="537" borderId="1" xfId="0" applyFont="1" applyFill="1" applyBorder="1" applyAlignment="1">
      <alignment horizontal="center"/>
    </xf>
    <xf numFmtId="9" fontId="23" fillId="47" borderId="1" xfId="0" applyNumberFormat="1" applyFont="1" applyFill="1" applyBorder="1" applyAlignment="1">
      <alignment horizontal="center"/>
    </xf>
    <xf numFmtId="10" fontId="23" fillId="151" borderId="4" xfId="0" applyNumberFormat="1" applyFont="1" applyFill="1" applyBorder="1" applyAlignment="1">
      <alignment horizontal="center"/>
    </xf>
    <xf numFmtId="0" fontId="7" fillId="706" borderId="1" xfId="0" applyFont="1" applyFill="1" applyBorder="1" applyAlignment="1">
      <alignment horizontal="center"/>
    </xf>
    <xf numFmtId="0" fontId="7" fillId="706" borderId="4" xfId="0" applyFont="1" applyFill="1" applyBorder="1" applyAlignment="1">
      <alignment horizontal="center"/>
    </xf>
    <xf numFmtId="0" fontId="24" fillId="306" borderId="4" xfId="0" applyFont="1" applyFill="1" applyBorder="1" applyAlignment="1">
      <alignment horizontal="center"/>
    </xf>
    <xf numFmtId="0" fontId="7" fillId="68" borderId="1" xfId="0" applyFont="1" applyFill="1" applyBorder="1" applyAlignment="1">
      <alignment horizontal="center"/>
    </xf>
    <xf numFmtId="0" fontId="7" fillId="497" borderId="1" xfId="0" applyFont="1" applyFill="1" applyBorder="1" applyAlignment="1">
      <alignment horizontal="center"/>
    </xf>
    <xf numFmtId="0" fontId="7" fillId="550" borderId="4" xfId="0" applyFont="1" applyFill="1" applyBorder="1" applyAlignment="1">
      <alignment horizontal="center"/>
    </xf>
    <xf numFmtId="164" fontId="23" fillId="605" borderId="2" xfId="0" applyNumberFormat="1" applyFont="1" applyFill="1" applyBorder="1" applyAlignment="1">
      <alignment horizontal="center"/>
    </xf>
    <xf numFmtId="0" fontId="23" fillId="707" borderId="2" xfId="0" applyFont="1" applyFill="1" applyBorder="1" applyAlignment="1">
      <alignment horizontal="center"/>
    </xf>
    <xf numFmtId="0" fontId="23" fillId="302" borderId="2" xfId="0" applyFont="1" applyFill="1" applyBorder="1" applyAlignment="1">
      <alignment horizontal="center"/>
    </xf>
    <xf numFmtId="10" fontId="23" fillId="181" borderId="2" xfId="0" applyNumberFormat="1" applyFont="1" applyFill="1" applyBorder="1" applyAlignment="1">
      <alignment horizontal="center"/>
    </xf>
    <xf numFmtId="10" fontId="23" fillId="322" borderId="2" xfId="0" applyNumberFormat="1" applyFont="1" applyFill="1" applyBorder="1" applyAlignment="1">
      <alignment horizontal="center"/>
    </xf>
    <xf numFmtId="10" fontId="23" fillId="312" borderId="2" xfId="0" applyNumberFormat="1" applyFont="1" applyFill="1" applyBorder="1" applyAlignment="1">
      <alignment horizontal="center"/>
    </xf>
    <xf numFmtId="10" fontId="23" fillId="404" borderId="3" xfId="0" applyNumberFormat="1" applyFont="1" applyFill="1" applyBorder="1" applyAlignment="1">
      <alignment horizontal="center"/>
    </xf>
    <xf numFmtId="0" fontId="7" fillId="708" borderId="2" xfId="0" applyFont="1" applyFill="1" applyBorder="1" applyAlignment="1">
      <alignment horizontal="center"/>
    </xf>
    <xf numFmtId="0" fontId="7" fillId="470" borderId="2" xfId="0" applyFont="1" applyFill="1" applyBorder="1" applyAlignment="1">
      <alignment horizontal="center"/>
    </xf>
    <xf numFmtId="0" fontId="7" fillId="470" borderId="3" xfId="0" applyFont="1" applyFill="1" applyBorder="1" applyAlignment="1">
      <alignment horizontal="center"/>
    </xf>
    <xf numFmtId="0" fontId="24" fillId="709" borderId="3" xfId="0" applyFont="1" applyFill="1" applyBorder="1" applyAlignment="1">
      <alignment horizontal="center"/>
    </xf>
    <xf numFmtId="0" fontId="7" fillId="490" borderId="2" xfId="0" applyFont="1" applyFill="1" applyBorder="1" applyAlignment="1">
      <alignment horizontal="center"/>
    </xf>
    <xf numFmtId="164" fontId="23" fillId="28" borderId="1" xfId="0" applyNumberFormat="1" applyFont="1" applyFill="1" applyBorder="1" applyAlignment="1">
      <alignment horizontal="center"/>
    </xf>
    <xf numFmtId="0" fontId="23" fillId="262" borderId="1" xfId="0" applyFont="1" applyFill="1" applyBorder="1" applyAlignment="1">
      <alignment horizontal="center"/>
    </xf>
    <xf numFmtId="0" fontId="23" fillId="48" borderId="4" xfId="0" applyFont="1" applyFill="1" applyBorder="1" applyAlignment="1">
      <alignment horizontal="center"/>
    </xf>
    <xf numFmtId="10" fontId="23" fillId="169" borderId="1" xfId="0" applyNumberFormat="1" applyFont="1" applyFill="1" applyBorder="1" applyAlignment="1">
      <alignment horizontal="center"/>
    </xf>
    <xf numFmtId="0" fontId="7" fillId="710" borderId="1" xfId="0" applyFont="1" applyFill="1" applyBorder="1" applyAlignment="1">
      <alignment horizontal="center"/>
    </xf>
    <xf numFmtId="0" fontId="7" fillId="710" borderId="4" xfId="0" applyFont="1" applyFill="1" applyBorder="1" applyAlignment="1">
      <alignment horizontal="center"/>
    </xf>
    <xf numFmtId="0" fontId="24" fillId="709" borderId="4" xfId="0" applyFont="1" applyFill="1" applyBorder="1" applyAlignment="1">
      <alignment horizontal="center"/>
    </xf>
    <xf numFmtId="0" fontId="7" fillId="711" borderId="1" xfId="0" applyFont="1" applyFill="1" applyBorder="1" applyAlignment="1">
      <alignment horizontal="center"/>
    </xf>
    <xf numFmtId="0" fontId="7" fillId="712" borderId="4" xfId="0" applyFont="1" applyFill="1" applyBorder="1" applyAlignment="1">
      <alignment horizontal="center"/>
    </xf>
    <xf numFmtId="164" fontId="23" fillId="713" borderId="2" xfId="0" applyNumberFormat="1" applyFont="1" applyFill="1" applyBorder="1" applyAlignment="1">
      <alignment horizontal="center"/>
    </xf>
    <xf numFmtId="9" fontId="23" fillId="438" borderId="2" xfId="0" applyNumberFormat="1" applyFont="1" applyFill="1" applyBorder="1" applyAlignment="1">
      <alignment horizontal="center"/>
    </xf>
    <xf numFmtId="9" fontId="23" fillId="381" borderId="2" xfId="0" applyNumberFormat="1" applyFont="1" applyFill="1" applyBorder="1" applyAlignment="1">
      <alignment horizontal="center"/>
    </xf>
    <xf numFmtId="0" fontId="23" fillId="77" borderId="3" xfId="0" applyFont="1" applyFill="1" applyBorder="1" applyAlignment="1">
      <alignment horizontal="center"/>
    </xf>
    <xf numFmtId="0" fontId="7" fillId="509" borderId="2" xfId="0" applyFont="1" applyFill="1" applyBorder="1" applyAlignment="1">
      <alignment horizontal="center"/>
    </xf>
    <xf numFmtId="0" fontId="7" fillId="509" borderId="3" xfId="0" applyFont="1" applyFill="1" applyBorder="1" applyAlignment="1">
      <alignment horizontal="center"/>
    </xf>
    <xf numFmtId="0" fontId="24" fillId="661" borderId="3" xfId="0" applyFont="1" applyFill="1" applyBorder="1" applyAlignment="1">
      <alignment horizontal="center"/>
    </xf>
    <xf numFmtId="0" fontId="7" fillId="701" borderId="2" xfId="0" applyFont="1" applyFill="1" applyBorder="1" applyAlignment="1">
      <alignment horizontal="center"/>
    </xf>
    <xf numFmtId="164" fontId="23" fillId="714" borderId="1" xfId="0" applyNumberFormat="1" applyFont="1" applyFill="1" applyBorder="1" applyAlignment="1">
      <alignment horizontal="center"/>
    </xf>
    <xf numFmtId="0" fontId="23" fillId="713" borderId="1" xfId="0" applyFont="1" applyFill="1" applyBorder="1" applyAlignment="1">
      <alignment horizontal="center"/>
    </xf>
    <xf numFmtId="0" fontId="23" fillId="279" borderId="1" xfId="0" applyFont="1" applyFill="1" applyBorder="1" applyAlignment="1">
      <alignment horizontal="center"/>
    </xf>
    <xf numFmtId="0" fontId="23" fillId="140" borderId="1" xfId="0" applyFont="1" applyFill="1" applyBorder="1" applyAlignment="1">
      <alignment horizontal="center"/>
    </xf>
    <xf numFmtId="9" fontId="23" fillId="114" borderId="1" xfId="0" applyNumberFormat="1" applyFont="1" applyFill="1" applyBorder="1" applyAlignment="1">
      <alignment horizontal="center"/>
    </xf>
    <xf numFmtId="0" fontId="23" fillId="29" borderId="4" xfId="0" applyFont="1" applyFill="1" applyBorder="1" applyAlignment="1">
      <alignment horizontal="center"/>
    </xf>
    <xf numFmtId="10" fontId="23" fillId="433" borderId="1" xfId="0" applyNumberFormat="1" applyFont="1" applyFill="1" applyBorder="1" applyAlignment="1">
      <alignment horizontal="center"/>
    </xf>
    <xf numFmtId="0" fontId="7" fillId="677" borderId="1" xfId="0" applyFont="1" applyFill="1" applyBorder="1" applyAlignment="1">
      <alignment horizontal="center"/>
    </xf>
    <xf numFmtId="0" fontId="7" fillId="677" borderId="4" xfId="0" applyFont="1" applyFill="1" applyBorder="1" applyAlignment="1">
      <alignment horizontal="center"/>
    </xf>
    <xf numFmtId="0" fontId="24" fillId="661" borderId="4" xfId="0" applyFont="1" applyFill="1" applyBorder="1" applyAlignment="1">
      <alignment horizontal="center"/>
    </xf>
    <xf numFmtId="0" fontId="7" fillId="103" borderId="1" xfId="0" applyFont="1" applyFill="1" applyBorder="1" applyAlignment="1">
      <alignment horizontal="center"/>
    </xf>
    <xf numFmtId="0" fontId="7" fillId="715" borderId="1" xfId="0" applyFont="1" applyFill="1" applyBorder="1" applyAlignment="1">
      <alignment horizontal="center"/>
    </xf>
    <xf numFmtId="0" fontId="7" fillId="716" borderId="4" xfId="0" applyFont="1" applyFill="1" applyBorder="1" applyAlignment="1">
      <alignment horizontal="center"/>
    </xf>
    <xf numFmtId="164" fontId="23" fillId="717" borderId="2" xfId="0" applyNumberFormat="1" applyFont="1" applyFill="1" applyBorder="1" applyAlignment="1">
      <alignment horizontal="center"/>
    </xf>
    <xf numFmtId="0" fontId="23" fillId="78" borderId="2" xfId="0" applyFont="1" applyFill="1" applyBorder="1" applyAlignment="1">
      <alignment horizontal="center"/>
    </xf>
    <xf numFmtId="9" fontId="23" fillId="24" borderId="2" xfId="0" applyNumberFormat="1" applyFont="1" applyFill="1" applyBorder="1" applyAlignment="1">
      <alignment horizontal="center"/>
    </xf>
    <xf numFmtId="10" fontId="23" fillId="349" borderId="2" xfId="0" applyNumberFormat="1" applyFont="1" applyFill="1" applyBorder="1" applyAlignment="1">
      <alignment horizontal="center"/>
    </xf>
    <xf numFmtId="0" fontId="7" fillId="718" borderId="2" xfId="0" applyFont="1" applyFill="1" applyBorder="1" applyAlignment="1">
      <alignment horizontal="center"/>
    </xf>
    <xf numFmtId="0" fontId="7" fillId="718" borderId="3" xfId="0" applyFont="1" applyFill="1" applyBorder="1" applyAlignment="1">
      <alignment horizontal="center"/>
    </xf>
    <xf numFmtId="0" fontId="24" fillId="719" borderId="3" xfId="0" applyFont="1" applyFill="1" applyBorder="1" applyAlignment="1">
      <alignment horizontal="center"/>
    </xf>
    <xf numFmtId="0" fontId="7" fillId="720" borderId="2" xfId="0" applyFont="1" applyFill="1" applyBorder="1" applyAlignment="1">
      <alignment horizontal="center"/>
    </xf>
    <xf numFmtId="0" fontId="23" fillId="75" borderId="1" xfId="0" applyFont="1" applyFill="1" applyBorder="1" applyAlignment="1">
      <alignment horizontal="center"/>
    </xf>
    <xf numFmtId="9" fontId="23" fillId="17" borderId="1" xfId="0" applyNumberFormat="1" applyFont="1" applyFill="1" applyBorder="1" applyAlignment="1">
      <alignment horizontal="center"/>
    </xf>
    <xf numFmtId="0" fontId="23" fillId="47" borderId="0" xfId="0" applyFont="1" applyFill="1" applyAlignment="1">
      <alignment horizontal="center"/>
    </xf>
    <xf numFmtId="0" fontId="23" fillId="178" borderId="1" xfId="0" applyFont="1" applyFill="1" applyBorder="1" applyAlignment="1">
      <alignment horizontal="center"/>
    </xf>
    <xf numFmtId="9" fontId="23" fillId="166" borderId="1" xfId="0" applyNumberFormat="1" applyFont="1" applyFill="1" applyBorder="1" applyAlignment="1">
      <alignment horizontal="center"/>
    </xf>
    <xf numFmtId="10" fontId="23" fillId="202" borderId="1" xfId="0" applyNumberFormat="1" applyFont="1" applyFill="1" applyBorder="1" applyAlignment="1">
      <alignment horizontal="center"/>
    </xf>
    <xf numFmtId="10" fontId="23" fillId="582" borderId="4" xfId="0" applyNumberFormat="1" applyFont="1" applyFill="1" applyBorder="1" applyAlignment="1">
      <alignment horizontal="center"/>
    </xf>
    <xf numFmtId="0" fontId="7" fillId="721" borderId="1" xfId="0" applyFont="1" applyFill="1" applyBorder="1" applyAlignment="1">
      <alignment horizontal="center"/>
    </xf>
    <xf numFmtId="0" fontId="7" fillId="721" borderId="4" xfId="0" applyFont="1" applyFill="1" applyBorder="1" applyAlignment="1">
      <alignment horizontal="center"/>
    </xf>
    <xf numFmtId="0" fontId="24" fillId="719" borderId="4" xfId="0" applyFont="1" applyFill="1" applyBorder="1" applyAlignment="1">
      <alignment horizontal="center"/>
    </xf>
    <xf numFmtId="0" fontId="7" fillId="722" borderId="1" xfId="0" applyFont="1" applyFill="1" applyBorder="1" applyAlignment="1">
      <alignment horizontal="center"/>
    </xf>
    <xf numFmtId="49" fontId="7" fillId="12" borderId="2" xfId="0" applyNumberFormat="1" applyFont="1" applyFill="1" applyBorder="1" applyAlignment="1">
      <alignment horizontal="center"/>
    </xf>
    <xf numFmtId="49" fontId="7" fillId="12" borderId="3" xfId="0" applyNumberFormat="1" applyFont="1" applyFill="1" applyBorder="1" applyAlignment="1">
      <alignment horizontal="center"/>
    </xf>
    <xf numFmtId="0" fontId="23" fillId="723" borderId="2" xfId="0" applyFont="1" applyFill="1" applyBorder="1" applyAlignment="1">
      <alignment horizontal="center"/>
    </xf>
    <xf numFmtId="9" fontId="23" fillId="488" borderId="2" xfId="0" applyNumberFormat="1" applyFont="1" applyFill="1" applyBorder="1" applyAlignment="1">
      <alignment horizontal="center"/>
    </xf>
    <xf numFmtId="0" fontId="23" fillId="563" borderId="2" xfId="0" applyFont="1" applyFill="1" applyBorder="1" applyAlignment="1">
      <alignment horizontal="center"/>
    </xf>
    <xf numFmtId="0" fontId="23" fillId="148" borderId="3" xfId="0" applyFont="1" applyFill="1" applyBorder="1" applyAlignment="1">
      <alignment horizontal="center"/>
    </xf>
    <xf numFmtId="10" fontId="23" fillId="412" borderId="2" xfId="0" applyNumberFormat="1" applyFont="1" applyFill="1" applyBorder="1" applyAlignment="1">
      <alignment horizontal="center"/>
    </xf>
    <xf numFmtId="0" fontId="7" fillId="558" borderId="3" xfId="0" applyFont="1" applyFill="1" applyBorder="1" applyAlignment="1">
      <alignment horizontal="center"/>
    </xf>
    <xf numFmtId="49" fontId="7" fillId="12" borderId="1" xfId="0" applyNumberFormat="1" applyFont="1" applyFill="1" applyBorder="1" applyAlignment="1">
      <alignment horizontal="center"/>
    </xf>
    <xf numFmtId="49" fontId="7" fillId="12" borderId="4" xfId="0" applyNumberFormat="1" applyFont="1" applyFill="1" applyBorder="1" applyAlignment="1">
      <alignment horizontal="center"/>
    </xf>
    <xf numFmtId="0" fontId="23" fillId="21" borderId="1" xfId="0" applyFont="1" applyFill="1" applyBorder="1" applyAlignment="1">
      <alignment horizontal="center"/>
    </xf>
    <xf numFmtId="9" fontId="23" fillId="181" borderId="1" xfId="0" applyNumberFormat="1" applyFont="1" applyFill="1" applyBorder="1" applyAlignment="1">
      <alignment horizontal="center"/>
    </xf>
    <xf numFmtId="0" fontId="23" fillId="724" borderId="1" xfId="0" applyFont="1" applyFill="1" applyBorder="1" applyAlignment="1">
      <alignment horizontal="center"/>
    </xf>
    <xf numFmtId="9" fontId="23" fillId="642" borderId="1" xfId="0" applyNumberFormat="1" applyFont="1" applyFill="1" applyBorder="1" applyAlignment="1">
      <alignment horizontal="center"/>
    </xf>
    <xf numFmtId="10" fontId="23" fillId="294" borderId="1" xfId="0" applyNumberFormat="1" applyFont="1" applyFill="1" applyBorder="1" applyAlignment="1">
      <alignment horizontal="center"/>
    </xf>
    <xf numFmtId="10" fontId="23" fillId="135" borderId="1" xfId="0" applyNumberFormat="1" applyFont="1" applyFill="1" applyBorder="1" applyAlignment="1">
      <alignment horizontal="center"/>
    </xf>
    <xf numFmtId="10" fontId="23" fillId="487" borderId="4" xfId="0" applyNumberFormat="1" applyFont="1" applyFill="1" applyBorder="1" applyAlignment="1">
      <alignment horizontal="center"/>
    </xf>
    <xf numFmtId="0" fontId="7" fillId="166" borderId="16" xfId="0" applyFont="1" applyFill="1" applyBorder="1" applyAlignment="1">
      <alignment horizontal="center"/>
    </xf>
    <xf numFmtId="0" fontId="7" fillId="160" borderId="4" xfId="0" applyFont="1" applyFill="1" applyBorder="1" applyAlignment="1">
      <alignment horizontal="center"/>
    </xf>
    <xf numFmtId="164" fontId="1" fillId="106" borderId="2" xfId="0" applyNumberFormat="1" applyFont="1" applyFill="1" applyBorder="1"/>
    <xf numFmtId="49" fontId="7" fillId="2" borderId="2" xfId="0" applyNumberFormat="1" applyFont="1" applyFill="1" applyBorder="1" applyAlignment="1">
      <alignment horizontal="center"/>
    </xf>
    <xf numFmtId="49" fontId="7" fillId="2" borderId="3" xfId="0" applyNumberFormat="1" applyFont="1" applyFill="1" applyBorder="1" applyAlignment="1">
      <alignment horizontal="center"/>
    </xf>
    <xf numFmtId="0" fontId="23" fillId="316" borderId="2" xfId="0" applyFont="1" applyFill="1" applyBorder="1" applyAlignment="1">
      <alignment horizontal="center"/>
    </xf>
    <xf numFmtId="9" fontId="23" fillId="642" borderId="2" xfId="0" applyNumberFormat="1" applyFont="1" applyFill="1" applyBorder="1" applyAlignment="1">
      <alignment horizontal="center"/>
    </xf>
    <xf numFmtId="0" fontId="23" fillId="112" borderId="2" xfId="0" applyFont="1" applyFill="1" applyBorder="1" applyAlignment="1">
      <alignment horizontal="center"/>
    </xf>
    <xf numFmtId="9" fontId="23" fillId="377" borderId="2" xfId="0" applyNumberFormat="1" applyFont="1" applyFill="1" applyBorder="1" applyAlignment="1">
      <alignment horizontal="center"/>
    </xf>
    <xf numFmtId="10" fontId="23" fillId="18" borderId="3" xfId="0" applyNumberFormat="1" applyFont="1" applyFill="1" applyBorder="1" applyAlignment="1">
      <alignment horizontal="center"/>
    </xf>
    <xf numFmtId="164" fontId="1" fillId="92" borderId="1" xfId="0" applyNumberFormat="1" applyFont="1" applyFill="1" applyBorder="1"/>
    <xf numFmtId="49" fontId="7" fillId="2" borderId="1" xfId="0" applyNumberFormat="1" applyFont="1" applyFill="1" applyBorder="1" applyAlignment="1">
      <alignment horizontal="center"/>
    </xf>
    <xf numFmtId="49" fontId="7" fillId="2" borderId="4" xfId="0" applyNumberFormat="1" applyFont="1" applyFill="1" applyBorder="1" applyAlignment="1">
      <alignment horizontal="center"/>
    </xf>
    <xf numFmtId="0" fontId="23" fillId="76" borderId="1" xfId="0" applyFont="1" applyFill="1" applyBorder="1" applyAlignment="1">
      <alignment horizontal="center"/>
    </xf>
    <xf numFmtId="0" fontId="23" fillId="725" borderId="1" xfId="0" applyFont="1" applyFill="1" applyBorder="1" applyAlignment="1">
      <alignment horizontal="center"/>
    </xf>
    <xf numFmtId="0" fontId="23" fillId="301" borderId="1" xfId="0" applyFont="1" applyFill="1" applyBorder="1" applyAlignment="1">
      <alignment horizontal="center"/>
    </xf>
    <xf numFmtId="10" fontId="23" fillId="726" borderId="1" xfId="0" applyNumberFormat="1" applyFont="1" applyFill="1" applyBorder="1" applyAlignment="1">
      <alignment horizontal="center"/>
    </xf>
    <xf numFmtId="10" fontId="23" fillId="49" borderId="4" xfId="0" applyNumberFormat="1" applyFont="1" applyFill="1" applyBorder="1" applyAlignment="1">
      <alignment horizontal="center"/>
    </xf>
    <xf numFmtId="0" fontId="23" fillId="143" borderId="2" xfId="0" applyFont="1" applyFill="1" applyBorder="1" applyAlignment="1">
      <alignment horizontal="center"/>
    </xf>
    <xf numFmtId="9" fontId="23" fillId="401" borderId="2" xfId="0" applyNumberFormat="1" applyFont="1" applyFill="1" applyBorder="1" applyAlignment="1">
      <alignment horizontal="center"/>
    </xf>
    <xf numFmtId="0" fontId="23" fillId="611" borderId="2" xfId="0" applyFont="1" applyFill="1" applyBorder="1" applyAlignment="1">
      <alignment horizontal="center"/>
    </xf>
    <xf numFmtId="9" fontId="23" fillId="178" borderId="2" xfId="0" applyNumberFormat="1" applyFont="1" applyFill="1" applyBorder="1" applyAlignment="1">
      <alignment horizontal="center"/>
    </xf>
    <xf numFmtId="0" fontId="23" fillId="563" borderId="3" xfId="0" applyFont="1" applyFill="1" applyBorder="1" applyAlignment="1">
      <alignment horizontal="center"/>
    </xf>
    <xf numFmtId="10" fontId="23" fillId="451" borderId="2" xfId="0" applyNumberFormat="1" applyFont="1" applyFill="1" applyBorder="1" applyAlignment="1">
      <alignment horizontal="center"/>
    </xf>
    <xf numFmtId="10" fontId="23" fillId="207" borderId="2" xfId="0" applyNumberFormat="1" applyFont="1" applyFill="1" applyBorder="1" applyAlignment="1">
      <alignment horizontal="center"/>
    </xf>
    <xf numFmtId="10" fontId="23" fillId="97" borderId="3" xfId="0" applyNumberFormat="1" applyFont="1" applyFill="1" applyBorder="1" applyAlignment="1">
      <alignment horizontal="center"/>
    </xf>
    <xf numFmtId="0" fontId="7" fillId="273" borderId="13" xfId="0" applyFont="1" applyFill="1" applyBorder="1" applyAlignment="1">
      <alignment horizontal="center"/>
    </xf>
    <xf numFmtId="0" fontId="23" fillId="453" borderId="1" xfId="0" applyFont="1" applyFill="1" applyBorder="1" applyAlignment="1">
      <alignment horizontal="center"/>
    </xf>
    <xf numFmtId="0" fontId="23" fillId="382" borderId="1" xfId="0" applyFont="1" applyFill="1" applyBorder="1" applyAlignment="1">
      <alignment horizontal="center"/>
    </xf>
    <xf numFmtId="9" fontId="23" fillId="367" borderId="1" xfId="0" applyNumberFormat="1" applyFont="1" applyFill="1" applyBorder="1" applyAlignment="1">
      <alignment horizontal="center"/>
    </xf>
    <xf numFmtId="0" fontId="23" fillId="132" borderId="4" xfId="0" applyFont="1" applyFill="1" applyBorder="1" applyAlignment="1">
      <alignment horizontal="center"/>
    </xf>
    <xf numFmtId="0" fontId="23" fillId="443" borderId="2" xfId="0" applyFont="1" applyFill="1" applyBorder="1" applyAlignment="1">
      <alignment horizontal="center"/>
    </xf>
    <xf numFmtId="0" fontId="23" fillId="451" borderId="2" xfId="0" applyFont="1" applyFill="1" applyBorder="1" applyAlignment="1">
      <alignment horizontal="center"/>
    </xf>
    <xf numFmtId="9" fontId="23" fillId="458" borderId="2" xfId="0" applyNumberFormat="1" applyFont="1" applyFill="1" applyBorder="1" applyAlignment="1">
      <alignment horizontal="center"/>
    </xf>
    <xf numFmtId="10" fontId="23" fillId="152" borderId="2" xfId="0" applyNumberFormat="1" applyFont="1" applyFill="1" applyBorder="1" applyAlignment="1">
      <alignment horizontal="center"/>
    </xf>
    <xf numFmtId="10" fontId="23" fillId="143" borderId="2" xfId="0" applyNumberFormat="1" applyFont="1" applyFill="1" applyBorder="1" applyAlignment="1">
      <alignment horizontal="center"/>
    </xf>
    <xf numFmtId="10" fontId="23" fillId="141" borderId="3" xfId="0" applyNumberFormat="1" applyFont="1" applyFill="1" applyBorder="1" applyAlignment="1">
      <alignment horizontal="center"/>
    </xf>
    <xf numFmtId="0" fontId="23" fillId="727" borderId="1" xfId="0" applyFont="1" applyFill="1" applyBorder="1" applyAlignment="1">
      <alignment horizontal="center"/>
    </xf>
    <xf numFmtId="0" fontId="23" fillId="42" borderId="1" xfId="0" applyFont="1" applyFill="1" applyBorder="1" applyAlignment="1">
      <alignment horizontal="center"/>
    </xf>
    <xf numFmtId="0" fontId="23" fillId="148" borderId="4" xfId="0" applyFont="1" applyFill="1" applyBorder="1" applyAlignment="1">
      <alignment horizontal="center"/>
    </xf>
    <xf numFmtId="10" fontId="23" fillId="112" borderId="4" xfId="0" applyNumberFormat="1" applyFont="1" applyFill="1" applyBorder="1" applyAlignment="1">
      <alignment horizontal="center"/>
    </xf>
    <xf numFmtId="0" fontId="23" fillId="646" borderId="2" xfId="0" applyFont="1" applyFill="1" applyBorder="1" applyAlignment="1">
      <alignment horizontal="center"/>
    </xf>
    <xf numFmtId="9" fontId="23" fillId="404" borderId="2" xfId="0" applyNumberFormat="1" applyFont="1" applyFill="1" applyBorder="1" applyAlignment="1">
      <alignment horizontal="center"/>
    </xf>
    <xf numFmtId="0" fontId="23" fillId="108" borderId="2" xfId="0" applyFont="1" applyFill="1" applyBorder="1" applyAlignment="1">
      <alignment horizontal="center"/>
    </xf>
    <xf numFmtId="10" fontId="23" fillId="223" borderId="2" xfId="0" applyNumberFormat="1" applyFont="1" applyFill="1" applyBorder="1" applyAlignment="1">
      <alignment horizontal="center"/>
    </xf>
    <xf numFmtId="10" fontId="23" fillId="161" borderId="3" xfId="0" applyNumberFormat="1" applyFont="1" applyFill="1" applyBorder="1" applyAlignment="1">
      <alignment horizontal="center"/>
    </xf>
    <xf numFmtId="0" fontId="7" fillId="144" borderId="13" xfId="0" applyFont="1" applyFill="1" applyBorder="1" applyAlignment="1">
      <alignment horizontal="center"/>
    </xf>
    <xf numFmtId="0" fontId="7" fillId="100" borderId="13" xfId="0" applyFont="1" applyFill="1" applyBorder="1" applyAlignment="1">
      <alignment horizontal="center"/>
    </xf>
    <xf numFmtId="0" fontId="23" fillId="223" borderId="1" xfId="0" applyFont="1" applyFill="1" applyBorder="1" applyAlignment="1">
      <alignment horizontal="center"/>
    </xf>
    <xf numFmtId="0" fontId="23" fillId="593" borderId="4" xfId="0" applyFont="1" applyFill="1" applyBorder="1" applyAlignment="1">
      <alignment horizontal="center"/>
    </xf>
    <xf numFmtId="10" fontId="23" fillId="82" borderId="1" xfId="0" applyNumberFormat="1" applyFont="1" applyFill="1" applyBorder="1" applyAlignment="1">
      <alignment horizontal="center"/>
    </xf>
    <xf numFmtId="10" fontId="23" fillId="62" borderId="4" xfId="0" applyNumberFormat="1" applyFont="1" applyFill="1" applyBorder="1" applyAlignment="1">
      <alignment horizontal="center"/>
    </xf>
    <xf numFmtId="0" fontId="23" fillId="728" borderId="2" xfId="0" applyFont="1" applyFill="1" applyBorder="1" applyAlignment="1">
      <alignment horizontal="center"/>
    </xf>
    <xf numFmtId="0" fontId="23" fillId="84" borderId="2" xfId="0" applyFont="1" applyFill="1" applyBorder="1" applyAlignment="1">
      <alignment horizontal="center"/>
    </xf>
    <xf numFmtId="10" fontId="23" fillId="412" borderId="3" xfId="0" applyNumberFormat="1" applyFont="1" applyFill="1" applyBorder="1" applyAlignment="1">
      <alignment horizontal="center"/>
    </xf>
    <xf numFmtId="0" fontId="7" fillId="180" borderId="13" xfId="0" applyFont="1" applyFill="1" applyBorder="1" applyAlignment="1">
      <alignment horizontal="center"/>
    </xf>
    <xf numFmtId="0" fontId="23" fillId="152" borderId="1" xfId="0" applyFont="1" applyFill="1" applyBorder="1" applyAlignment="1">
      <alignment horizontal="center"/>
    </xf>
    <xf numFmtId="9" fontId="23" fillId="77" borderId="1" xfId="0" applyNumberFormat="1" applyFont="1" applyFill="1" applyBorder="1" applyAlignment="1">
      <alignment horizontal="center"/>
    </xf>
    <xf numFmtId="0" fontId="23" fillId="729" borderId="1" xfId="0" applyFont="1" applyFill="1" applyBorder="1" applyAlignment="1">
      <alignment horizontal="center"/>
    </xf>
    <xf numFmtId="0" fontId="23" fillId="730" borderId="1" xfId="0" applyFont="1" applyFill="1" applyBorder="1" applyAlignment="1">
      <alignment horizontal="center"/>
    </xf>
    <xf numFmtId="10" fontId="23" fillId="537" borderId="4" xfId="0" applyNumberFormat="1" applyFont="1" applyFill="1" applyBorder="1" applyAlignment="1">
      <alignment horizontal="center"/>
    </xf>
    <xf numFmtId="164" fontId="1" fillId="193" borderId="2" xfId="0" applyNumberFormat="1" applyFont="1" applyFill="1" applyBorder="1"/>
    <xf numFmtId="0" fontId="23" fillId="160" borderId="2" xfId="0" applyFont="1" applyFill="1" applyBorder="1" applyAlignment="1">
      <alignment horizontal="center"/>
    </xf>
    <xf numFmtId="0" fontId="23" fillId="593" borderId="3" xfId="0" applyFont="1" applyFill="1" applyBorder="1" applyAlignment="1">
      <alignment horizontal="center"/>
    </xf>
    <xf numFmtId="0" fontId="7" fillId="160" borderId="3" xfId="0" applyFont="1" applyFill="1" applyBorder="1" applyAlignment="1">
      <alignment horizontal="center"/>
    </xf>
    <xf numFmtId="0" fontId="7" fillId="697" borderId="13" xfId="0" applyFont="1" applyFill="1" applyBorder="1" applyAlignment="1">
      <alignment horizontal="center"/>
    </xf>
    <xf numFmtId="164" fontId="1" fillId="201" borderId="1" xfId="0" applyNumberFormat="1" applyFont="1" applyFill="1" applyBorder="1"/>
    <xf numFmtId="0" fontId="23" fillId="362" borderId="1" xfId="0" applyFont="1" applyFill="1" applyBorder="1" applyAlignment="1">
      <alignment horizontal="center"/>
    </xf>
    <xf numFmtId="10" fontId="23" fillId="597" borderId="1" xfId="0" applyNumberFormat="1" applyFont="1" applyFill="1" applyBorder="1" applyAlignment="1">
      <alignment horizontal="center"/>
    </xf>
    <xf numFmtId="0" fontId="7" fillId="167" borderId="16" xfId="0" applyFont="1" applyFill="1" applyBorder="1" applyAlignment="1">
      <alignment horizontal="center"/>
    </xf>
    <xf numFmtId="0" fontId="23" fillId="731" borderId="2" xfId="0" applyFont="1" applyFill="1" applyBorder="1" applyAlignment="1">
      <alignment horizontal="center"/>
    </xf>
    <xf numFmtId="0" fontId="23" fillId="435" borderId="2" xfId="0" applyFont="1" applyFill="1" applyBorder="1" applyAlignment="1">
      <alignment horizontal="center"/>
    </xf>
    <xf numFmtId="0" fontId="23" fillId="595" borderId="3" xfId="0" applyFont="1" applyFill="1" applyBorder="1" applyAlignment="1">
      <alignment horizontal="center"/>
    </xf>
    <xf numFmtId="10" fontId="23" fillId="165" borderId="2" xfId="0" applyNumberFormat="1" applyFont="1" applyFill="1" applyBorder="1" applyAlignment="1">
      <alignment horizontal="center"/>
    </xf>
    <xf numFmtId="10" fontId="23" fillId="135" borderId="2" xfId="0" applyNumberFormat="1" applyFont="1" applyFill="1" applyBorder="1" applyAlignment="1">
      <alignment horizontal="center"/>
    </xf>
    <xf numFmtId="0" fontId="7" fillId="570" borderId="13" xfId="0" applyFont="1" applyFill="1" applyBorder="1" applyAlignment="1">
      <alignment horizontal="center"/>
    </xf>
    <xf numFmtId="0" fontId="23" fillId="732" borderId="1" xfId="0" applyFont="1" applyFill="1" applyBorder="1" applyAlignment="1">
      <alignment horizontal="center"/>
    </xf>
    <xf numFmtId="9" fontId="23" fillId="377" borderId="1" xfId="0" applyNumberFormat="1" applyFont="1" applyFill="1" applyBorder="1" applyAlignment="1">
      <alignment horizontal="center"/>
    </xf>
    <xf numFmtId="10" fontId="23" fillId="466" borderId="1" xfId="0" applyNumberFormat="1" applyFont="1" applyFill="1" applyBorder="1" applyAlignment="1">
      <alignment horizontal="center"/>
    </xf>
    <xf numFmtId="10" fontId="23" fillId="61" borderId="4" xfId="0" applyNumberFormat="1" applyFont="1" applyFill="1" applyBorder="1" applyAlignment="1">
      <alignment horizontal="center"/>
    </xf>
    <xf numFmtId="164" fontId="1" fillId="299" borderId="2" xfId="0" applyNumberFormat="1" applyFont="1" applyFill="1" applyBorder="1"/>
    <xf numFmtId="0" fontId="23" fillId="613" borderId="2" xfId="0" applyFont="1" applyFill="1" applyBorder="1" applyAlignment="1">
      <alignment horizontal="center"/>
    </xf>
    <xf numFmtId="0" fontId="23" fillId="487" borderId="2" xfId="0" applyFont="1" applyFill="1" applyBorder="1" applyAlignment="1">
      <alignment horizontal="center"/>
    </xf>
    <xf numFmtId="164" fontId="1" fillId="291" borderId="1" xfId="0" applyNumberFormat="1" applyFont="1" applyFill="1" applyBorder="1"/>
    <xf numFmtId="9" fontId="23" fillId="311" borderId="1" xfId="0" applyNumberFormat="1" applyFont="1" applyFill="1" applyBorder="1" applyAlignment="1">
      <alignment horizontal="center"/>
    </xf>
    <xf numFmtId="10" fontId="23" fillId="176" borderId="1" xfId="0" applyNumberFormat="1" applyFont="1" applyFill="1" applyBorder="1" applyAlignment="1">
      <alignment horizontal="center"/>
    </xf>
    <xf numFmtId="0" fontId="23" fillId="294" borderId="2" xfId="0" applyFont="1" applyFill="1" applyBorder="1" applyAlignment="1">
      <alignment horizontal="center"/>
    </xf>
    <xf numFmtId="0" fontId="23" fillId="40" borderId="3" xfId="0" applyFont="1" applyFill="1" applyBorder="1" applyAlignment="1">
      <alignment horizontal="center"/>
    </xf>
    <xf numFmtId="10" fontId="23" fillId="362" borderId="2" xfId="0" applyNumberFormat="1" applyFont="1" applyFill="1" applyBorder="1" applyAlignment="1">
      <alignment horizontal="center"/>
    </xf>
    <xf numFmtId="10" fontId="23" fillId="602" borderId="2" xfId="0" applyNumberFormat="1" applyFont="1" applyFill="1" applyBorder="1" applyAlignment="1">
      <alignment horizontal="center"/>
    </xf>
    <xf numFmtId="10" fontId="23" fillId="132" borderId="3" xfId="0" applyNumberFormat="1" applyFont="1" applyFill="1" applyBorder="1" applyAlignment="1">
      <alignment horizontal="center"/>
    </xf>
    <xf numFmtId="0" fontId="23" fillId="726" borderId="1" xfId="0" applyFont="1" applyFill="1" applyBorder="1" applyAlignment="1">
      <alignment horizontal="center"/>
    </xf>
    <xf numFmtId="9" fontId="23" fillId="488" borderId="1" xfId="0" applyNumberFormat="1" applyFont="1" applyFill="1" applyBorder="1" applyAlignment="1">
      <alignment horizontal="center"/>
    </xf>
    <xf numFmtId="9" fontId="23" fillId="404" borderId="1" xfId="0" applyNumberFormat="1" applyFont="1" applyFill="1" applyBorder="1" applyAlignment="1">
      <alignment horizontal="center"/>
    </xf>
    <xf numFmtId="0" fontId="7" fillId="15" borderId="16" xfId="0" applyFont="1" applyFill="1" applyBorder="1" applyAlignment="1">
      <alignment horizontal="center"/>
    </xf>
    <xf numFmtId="0" fontId="23" fillId="113" borderId="2" xfId="0" applyFont="1" applyFill="1" applyBorder="1" applyAlignment="1">
      <alignment horizontal="center"/>
    </xf>
    <xf numFmtId="9" fontId="23" fillId="595" borderId="2" xfId="0" applyNumberFormat="1" applyFont="1" applyFill="1" applyBorder="1" applyAlignment="1">
      <alignment horizontal="center"/>
    </xf>
    <xf numFmtId="10" fontId="23" fillId="625" borderId="1" xfId="0" applyNumberFormat="1" applyFont="1" applyFill="1" applyBorder="1" applyAlignment="1">
      <alignment horizontal="center"/>
    </xf>
    <xf numFmtId="10" fontId="23" fillId="149" borderId="4" xfId="0" applyNumberFormat="1" applyFont="1" applyFill="1" applyBorder="1" applyAlignment="1">
      <alignment horizontal="center"/>
    </xf>
    <xf numFmtId="10" fontId="23" fillId="529" borderId="2" xfId="0" applyNumberFormat="1" applyFont="1" applyFill="1" applyBorder="1" applyAlignment="1">
      <alignment horizontal="center"/>
    </xf>
    <xf numFmtId="0" fontId="23" fillId="197" borderId="1" xfId="0" applyFont="1" applyFill="1" applyBorder="1" applyAlignment="1">
      <alignment horizontal="center"/>
    </xf>
    <xf numFmtId="9" fontId="23" fillId="733" borderId="1" xfId="0" applyNumberFormat="1" applyFont="1" applyFill="1" applyBorder="1" applyAlignment="1">
      <alignment horizontal="center"/>
    </xf>
    <xf numFmtId="0" fontId="23" fillId="402" borderId="1" xfId="0" applyFont="1" applyFill="1" applyBorder="1" applyAlignment="1">
      <alignment horizontal="center"/>
    </xf>
    <xf numFmtId="10" fontId="23" fillId="152" borderId="1" xfId="0" applyNumberFormat="1" applyFont="1" applyFill="1" applyBorder="1" applyAlignment="1">
      <alignment horizontal="center"/>
    </xf>
    <xf numFmtId="10" fontId="23" fillId="150" borderId="1" xfId="0" applyNumberFormat="1" applyFont="1" applyFill="1" applyBorder="1" applyAlignment="1">
      <alignment horizontal="center"/>
    </xf>
    <xf numFmtId="164" fontId="1" fillId="34" borderId="2" xfId="0" applyNumberFormat="1" applyFont="1" applyFill="1" applyBorder="1"/>
    <xf numFmtId="0" fontId="23" fillId="321" borderId="2" xfId="0" applyFont="1" applyFill="1" applyBorder="1" applyAlignment="1">
      <alignment horizontal="center"/>
    </xf>
    <xf numFmtId="0" fontId="23" fillId="734" borderId="2" xfId="0" applyFont="1" applyFill="1" applyBorder="1" applyAlignment="1">
      <alignment horizontal="center"/>
    </xf>
    <xf numFmtId="9" fontId="23" fillId="169" borderId="2" xfId="0" applyNumberFormat="1" applyFont="1" applyFill="1" applyBorder="1" applyAlignment="1">
      <alignment horizontal="center"/>
    </xf>
    <xf numFmtId="10" fontId="23" fillId="35" borderId="2" xfId="0" applyNumberFormat="1" applyFont="1" applyFill="1" applyBorder="1" applyAlignment="1">
      <alignment horizontal="center"/>
    </xf>
    <xf numFmtId="10" fontId="23" fillId="401" borderId="2" xfId="0" applyNumberFormat="1" applyFont="1" applyFill="1" applyBorder="1" applyAlignment="1">
      <alignment horizontal="center"/>
    </xf>
    <xf numFmtId="10" fontId="23" fillId="35" borderId="3" xfId="0" applyNumberFormat="1" applyFont="1" applyFill="1" applyBorder="1" applyAlignment="1">
      <alignment horizontal="center"/>
    </xf>
    <xf numFmtId="164" fontId="1" fillId="13" borderId="1" xfId="0" applyNumberFormat="1" applyFont="1" applyFill="1" applyBorder="1"/>
    <xf numFmtId="0" fontId="23" fillId="211" borderId="1" xfId="0" applyFont="1" applyFill="1" applyBorder="1" applyAlignment="1">
      <alignment horizontal="center"/>
    </xf>
    <xf numFmtId="10" fontId="23" fillId="115" borderId="1" xfId="0" applyNumberFormat="1" applyFont="1" applyFill="1" applyBorder="1" applyAlignment="1">
      <alignment horizontal="center"/>
    </xf>
    <xf numFmtId="10" fontId="23" fillId="402" borderId="4" xfId="0" applyNumberFormat="1" applyFont="1" applyFill="1" applyBorder="1" applyAlignment="1">
      <alignment horizontal="center"/>
    </xf>
    <xf numFmtId="10" fontId="23" fillId="301" borderId="2" xfId="0" applyNumberFormat="1" applyFont="1" applyFill="1" applyBorder="1" applyAlignment="1">
      <alignment horizontal="center"/>
    </xf>
    <xf numFmtId="10" fontId="23" fillId="130" borderId="3" xfId="0" applyNumberFormat="1" applyFont="1" applyFill="1" applyBorder="1" applyAlignment="1">
      <alignment horizontal="center"/>
    </xf>
    <xf numFmtId="0" fontId="7" fillId="735" borderId="3" xfId="0" applyFont="1" applyFill="1" applyBorder="1" applyAlignment="1">
      <alignment horizontal="center"/>
    </xf>
    <xf numFmtId="0" fontId="7" fillId="650" borderId="2" xfId="0" applyFont="1" applyFill="1" applyBorder="1" applyAlignment="1">
      <alignment horizontal="center"/>
    </xf>
    <xf numFmtId="0" fontId="7" fillId="690" borderId="2" xfId="0" applyFont="1" applyFill="1" applyBorder="1" applyAlignment="1">
      <alignment horizontal="center"/>
    </xf>
    <xf numFmtId="0" fontId="7" fillId="690" borderId="3" xfId="0" applyFont="1" applyFill="1" applyBorder="1" applyAlignment="1">
      <alignment horizontal="center"/>
    </xf>
    <xf numFmtId="9" fontId="23" fillId="176" borderId="1" xfId="0" applyNumberFormat="1" applyFont="1" applyFill="1" applyBorder="1" applyAlignment="1">
      <alignment horizontal="center"/>
    </xf>
    <xf numFmtId="9" fontId="23" fillId="570" borderId="1" xfId="0" applyNumberFormat="1" applyFont="1" applyFill="1" applyBorder="1" applyAlignment="1">
      <alignment horizontal="center"/>
    </xf>
    <xf numFmtId="10" fontId="23" fillId="178" borderId="1" xfId="0" applyNumberFormat="1" applyFont="1" applyFill="1" applyBorder="1" applyAlignment="1">
      <alignment horizontal="center"/>
    </xf>
    <xf numFmtId="0" fontId="7" fillId="110" borderId="16" xfId="0" applyFont="1" applyFill="1" applyBorder="1" applyAlignment="1">
      <alignment horizontal="center"/>
    </xf>
    <xf numFmtId="0" fontId="7" fillId="373" borderId="16" xfId="0" applyFont="1" applyFill="1" applyBorder="1" applyAlignment="1">
      <alignment horizontal="center"/>
    </xf>
    <xf numFmtId="0" fontId="7" fillId="736" borderId="1" xfId="0" applyFont="1" applyFill="1" applyBorder="1" applyAlignment="1">
      <alignment horizontal="center"/>
    </xf>
    <xf numFmtId="0" fontId="7" fillId="736" borderId="4" xfId="0" applyFont="1" applyFill="1" applyBorder="1" applyAlignment="1">
      <alignment horizontal="center"/>
    </xf>
    <xf numFmtId="164" fontId="23" fillId="268" borderId="2" xfId="0" applyNumberFormat="1" applyFont="1" applyFill="1" applyBorder="1" applyAlignment="1">
      <alignment horizontal="center"/>
    </xf>
    <xf numFmtId="9" fontId="23" fillId="293" borderId="2" xfId="0" applyNumberFormat="1" applyFont="1" applyFill="1" applyBorder="1" applyAlignment="1">
      <alignment horizontal="center"/>
    </xf>
    <xf numFmtId="9" fontId="23" fillId="57" borderId="2" xfId="0" applyNumberFormat="1" applyFont="1" applyFill="1" applyBorder="1" applyAlignment="1">
      <alignment horizontal="center"/>
    </xf>
    <xf numFmtId="9" fontId="23" fillId="132" borderId="2" xfId="0" applyNumberFormat="1" applyFont="1" applyFill="1" applyBorder="1" applyAlignment="1">
      <alignment horizontal="center"/>
    </xf>
    <xf numFmtId="0" fontId="23" fillId="150" borderId="3" xfId="0" applyFont="1" applyFill="1" applyBorder="1" applyAlignment="1">
      <alignment horizontal="center"/>
    </xf>
    <xf numFmtId="10" fontId="23" fillId="328" borderId="2" xfId="0" applyNumberFormat="1" applyFont="1" applyFill="1" applyBorder="1" applyAlignment="1">
      <alignment horizontal="center"/>
    </xf>
    <xf numFmtId="0" fontId="7" fillId="657" borderId="3" xfId="0" applyFont="1" applyFill="1" applyBorder="1" applyAlignment="1">
      <alignment horizontal="center"/>
    </xf>
    <xf numFmtId="164" fontId="23" fillId="261" borderId="1" xfId="0" applyNumberFormat="1" applyFont="1" applyFill="1" applyBorder="1" applyAlignment="1">
      <alignment horizontal="center"/>
    </xf>
    <xf numFmtId="0" fontId="23" fillId="100" borderId="1" xfId="0" applyFont="1" applyFill="1" applyBorder="1" applyAlignment="1">
      <alignment horizontal="center"/>
    </xf>
    <xf numFmtId="0" fontId="23" fillId="737" borderId="1" xfId="0" applyFont="1" applyFill="1" applyBorder="1" applyAlignment="1">
      <alignment horizontal="center"/>
    </xf>
    <xf numFmtId="9" fontId="23" fillId="314" borderId="1" xfId="0" applyNumberFormat="1" applyFont="1" applyFill="1" applyBorder="1" applyAlignment="1">
      <alignment horizontal="center"/>
    </xf>
    <xf numFmtId="10" fontId="23" fillId="21" borderId="4" xfId="0" applyNumberFormat="1" applyFont="1" applyFill="1" applyBorder="1" applyAlignment="1">
      <alignment horizontal="center"/>
    </xf>
    <xf numFmtId="0" fontId="7" fillId="339" borderId="1" xfId="0" applyFont="1" applyFill="1" applyBorder="1" applyAlignment="1">
      <alignment horizontal="center"/>
    </xf>
    <xf numFmtId="0" fontId="7" fillId="738" borderId="1" xfId="0" applyFont="1" applyFill="1" applyBorder="1" applyAlignment="1">
      <alignment horizontal="center"/>
    </xf>
    <xf numFmtId="0" fontId="7" fillId="738" borderId="4" xfId="0" applyFont="1" applyFill="1" applyBorder="1" applyAlignment="1">
      <alignment horizontal="center"/>
    </xf>
    <xf numFmtId="0" fontId="23" fillId="271" borderId="2" xfId="0" applyFont="1" applyFill="1" applyBorder="1" applyAlignment="1">
      <alignment horizontal="center"/>
    </xf>
    <xf numFmtId="0" fontId="23" fillId="739" borderId="2" xfId="0" applyFont="1" applyFill="1" applyBorder="1" applyAlignment="1">
      <alignment horizontal="center"/>
    </xf>
    <xf numFmtId="0" fontId="23" fillId="35" borderId="2" xfId="0" applyFont="1" applyFill="1" applyBorder="1" applyAlignment="1">
      <alignment horizontal="center"/>
    </xf>
    <xf numFmtId="0" fontId="23" fillId="114" borderId="3" xfId="0" applyFont="1" applyFill="1" applyBorder="1" applyAlignment="1">
      <alignment horizontal="center"/>
    </xf>
    <xf numFmtId="10" fontId="23" fillId="255" borderId="2" xfId="0" applyNumberFormat="1" applyFont="1" applyFill="1" applyBorder="1" applyAlignment="1">
      <alignment horizontal="center"/>
    </xf>
    <xf numFmtId="0" fontId="23" fillId="444" borderId="1" xfId="0" applyFont="1" applyFill="1" applyBorder="1" applyAlignment="1">
      <alignment horizontal="center"/>
    </xf>
    <xf numFmtId="9" fontId="23" fillId="148" borderId="1" xfId="0" applyNumberFormat="1" applyFont="1" applyFill="1" applyBorder="1" applyAlignment="1">
      <alignment horizontal="center"/>
    </xf>
    <xf numFmtId="10" fontId="23" fillId="114" borderId="4" xfId="0" applyNumberFormat="1" applyFont="1" applyFill="1" applyBorder="1" applyAlignment="1">
      <alignment horizontal="center"/>
    </xf>
    <xf numFmtId="0" fontId="23" fillId="264" borderId="2" xfId="0" applyFont="1" applyFill="1" applyBorder="1" applyAlignment="1">
      <alignment horizontal="center"/>
    </xf>
    <xf numFmtId="0" fontId="23" fillId="740" borderId="2" xfId="0" applyFont="1" applyFill="1" applyBorder="1" applyAlignment="1">
      <alignment horizontal="center"/>
    </xf>
    <xf numFmtId="9" fontId="23" fillId="602" borderId="2" xfId="0" applyNumberFormat="1" applyFont="1" applyFill="1" applyBorder="1" applyAlignment="1">
      <alignment horizontal="center"/>
    </xf>
    <xf numFmtId="0" fontId="23" fillId="22" borderId="3" xfId="0" applyFont="1" applyFill="1" applyBorder="1" applyAlignment="1">
      <alignment horizontal="center"/>
    </xf>
    <xf numFmtId="0" fontId="7" fillId="452" borderId="2" xfId="0" applyFont="1" applyFill="1" applyBorder="1" applyAlignment="1">
      <alignment horizontal="center"/>
    </xf>
    <xf numFmtId="0" fontId="7" fillId="741" borderId="2" xfId="0" applyFont="1" applyFill="1" applyBorder="1" applyAlignment="1">
      <alignment horizontal="center"/>
    </xf>
    <xf numFmtId="0" fontId="7" fillId="741" borderId="3" xfId="0" applyFont="1" applyFill="1" applyBorder="1" applyAlignment="1">
      <alignment horizontal="center"/>
    </xf>
    <xf numFmtId="0" fontId="23" fillId="635" borderId="1" xfId="0" applyFont="1" applyFill="1" applyBorder="1" applyAlignment="1">
      <alignment horizontal="center"/>
    </xf>
    <xf numFmtId="0" fontId="23" fillId="378" borderId="1" xfId="0" applyFont="1" applyFill="1" applyBorder="1" applyAlignment="1">
      <alignment horizontal="center"/>
    </xf>
    <xf numFmtId="10" fontId="23" fillId="42" borderId="1" xfId="0" applyNumberFormat="1" applyFont="1" applyFill="1" applyBorder="1" applyAlignment="1">
      <alignment horizontal="center"/>
    </xf>
    <xf numFmtId="0" fontId="7" fillId="449" borderId="1" xfId="0" applyFont="1" applyFill="1" applyBorder="1" applyAlignment="1">
      <alignment horizontal="center"/>
    </xf>
    <xf numFmtId="0" fontId="7" fillId="682" borderId="1" xfId="0" applyFont="1" applyFill="1" applyBorder="1" applyAlignment="1">
      <alignment horizontal="center"/>
    </xf>
    <xf numFmtId="0" fontId="7" fillId="682" borderId="4" xfId="0" applyFont="1" applyFill="1" applyBorder="1" applyAlignment="1">
      <alignment horizontal="center"/>
    </xf>
    <xf numFmtId="9" fontId="23" fillId="176" borderId="2" xfId="0" applyNumberFormat="1" applyFont="1" applyFill="1" applyBorder="1" applyAlignment="1">
      <alignment horizontal="center"/>
    </xf>
    <xf numFmtId="0" fontId="23" fillId="47" borderId="2" xfId="0" applyFont="1" applyFill="1" applyBorder="1" applyAlignment="1">
      <alignment horizontal="center"/>
    </xf>
    <xf numFmtId="9" fontId="23" fillId="590" borderId="2" xfId="0" applyNumberFormat="1" applyFont="1" applyFill="1" applyBorder="1" applyAlignment="1">
      <alignment horizontal="center"/>
    </xf>
    <xf numFmtId="0" fontId="7" fillId="256" borderId="3" xfId="0" applyFont="1" applyFill="1" applyBorder="1" applyAlignment="1">
      <alignment horizontal="center"/>
    </xf>
    <xf numFmtId="0" fontId="7" fillId="267" borderId="3" xfId="0" applyFont="1" applyFill="1" applyBorder="1" applyAlignment="1">
      <alignment horizontal="center"/>
    </xf>
    <xf numFmtId="0" fontId="23" fillId="311" borderId="1" xfId="0" applyFont="1" applyFill="1" applyBorder="1" applyAlignment="1">
      <alignment horizontal="center"/>
    </xf>
    <xf numFmtId="0" fontId="23" fillId="742" borderId="1" xfId="0" applyFont="1" applyFill="1" applyBorder="1" applyAlignment="1">
      <alignment horizontal="center"/>
    </xf>
    <xf numFmtId="9" fontId="23" fillId="195" borderId="1" xfId="0" applyNumberFormat="1" applyFont="1" applyFill="1" applyBorder="1" applyAlignment="1">
      <alignment horizontal="center"/>
    </xf>
    <xf numFmtId="0" fontId="7" fillId="256" borderId="4" xfId="0" applyFont="1" applyFill="1" applyBorder="1" applyAlignment="1">
      <alignment horizontal="center"/>
    </xf>
    <xf numFmtId="0" fontId="7" fillId="743" borderId="1" xfId="0" applyFont="1" applyFill="1" applyBorder="1" applyAlignment="1">
      <alignment horizontal="center"/>
    </xf>
    <xf numFmtId="0" fontId="7" fillId="743" borderId="4" xfId="0" applyFont="1" applyFill="1" applyBorder="1" applyAlignment="1">
      <alignment horizontal="center"/>
    </xf>
    <xf numFmtId="164" fontId="23" fillId="159" borderId="2" xfId="0" applyNumberFormat="1" applyFont="1" applyFill="1" applyBorder="1" applyAlignment="1">
      <alignment horizontal="center"/>
    </xf>
    <xf numFmtId="0" fontId="23" fillId="255" borderId="2" xfId="0" applyFont="1" applyFill="1" applyBorder="1" applyAlignment="1">
      <alignment horizontal="center"/>
    </xf>
    <xf numFmtId="0" fontId="23" fillId="357" borderId="2" xfId="0" applyFont="1" applyFill="1" applyBorder="1" applyAlignment="1">
      <alignment horizontal="center"/>
    </xf>
    <xf numFmtId="10" fontId="23" fillId="435" borderId="2" xfId="0" applyNumberFormat="1" applyFont="1" applyFill="1" applyBorder="1" applyAlignment="1">
      <alignment horizontal="center"/>
    </xf>
    <xf numFmtId="10" fontId="23" fillId="630" borderId="2" xfId="0" applyNumberFormat="1" applyFont="1" applyFill="1" applyBorder="1" applyAlignment="1">
      <alignment horizontal="center"/>
    </xf>
    <xf numFmtId="10" fontId="23" fillId="416" borderId="2" xfId="0" applyNumberFormat="1" applyFont="1" applyFill="1" applyBorder="1" applyAlignment="1">
      <alignment horizontal="center"/>
    </xf>
    <xf numFmtId="10" fontId="23" fillId="401" borderId="3" xfId="0" applyNumberFormat="1" applyFont="1" applyFill="1" applyBorder="1" applyAlignment="1">
      <alignment horizontal="center"/>
    </xf>
    <xf numFmtId="0" fontId="7" fillId="159" borderId="3" xfId="0" applyFont="1" applyFill="1" applyBorder="1" applyAlignment="1">
      <alignment horizontal="center"/>
    </xf>
    <xf numFmtId="0" fontId="7" fillId="744" borderId="2" xfId="0" applyFont="1" applyFill="1" applyBorder="1" applyAlignment="1">
      <alignment horizontal="center"/>
    </xf>
    <xf numFmtId="0" fontId="7" fillId="744" borderId="3" xfId="0" applyFont="1" applyFill="1" applyBorder="1" applyAlignment="1">
      <alignment horizontal="center"/>
    </xf>
    <xf numFmtId="164" fontId="23" fillId="146" borderId="1" xfId="0" applyNumberFormat="1" applyFont="1" applyFill="1" applyBorder="1" applyAlignment="1">
      <alignment horizontal="center"/>
    </xf>
    <xf numFmtId="0" fontId="23" fillId="233" borderId="1" xfId="0" applyFont="1" applyFill="1" applyBorder="1" applyAlignment="1">
      <alignment horizontal="center"/>
    </xf>
    <xf numFmtId="0" fontId="7" fillId="536" borderId="4" xfId="0" applyFont="1" applyFill="1" applyBorder="1" applyAlignment="1">
      <alignment horizontal="center"/>
    </xf>
    <xf numFmtId="0" fontId="7" fillId="395" borderId="1" xfId="0" applyFont="1" applyFill="1" applyBorder="1" applyAlignment="1">
      <alignment horizontal="center"/>
    </xf>
    <xf numFmtId="0" fontId="7" fillId="395" borderId="4" xfId="0" applyFont="1" applyFill="1" applyBorder="1" applyAlignment="1">
      <alignment horizontal="center"/>
    </xf>
    <xf numFmtId="10" fontId="23" fillId="169" borderId="3" xfId="0" applyNumberFormat="1" applyFont="1" applyFill="1" applyBorder="1" applyAlignment="1">
      <alignment horizontal="center"/>
    </xf>
    <xf numFmtId="0" fontId="7" fillId="113" borderId="13" xfId="0" applyFont="1" applyFill="1" applyBorder="1" applyAlignment="1">
      <alignment horizontal="center"/>
    </xf>
    <xf numFmtId="0" fontId="7" fillId="233" borderId="13" xfId="0" applyFont="1" applyFill="1" applyBorder="1" applyAlignment="1">
      <alignment horizontal="center"/>
    </xf>
    <xf numFmtId="0" fontId="7" fillId="745" borderId="2" xfId="0" applyFont="1" applyFill="1" applyBorder="1" applyAlignment="1">
      <alignment horizontal="center"/>
    </xf>
    <xf numFmtId="0" fontId="7" fillId="745" borderId="3" xfId="0" applyFont="1" applyFill="1" applyBorder="1" applyAlignment="1">
      <alignment horizontal="center"/>
    </xf>
    <xf numFmtId="0" fontId="23" fillId="479" borderId="1" xfId="0" applyFont="1" applyFill="1" applyBorder="1" applyAlignment="1">
      <alignment horizontal="center"/>
    </xf>
    <xf numFmtId="0" fontId="23" fillId="82" borderId="1" xfId="0" applyFont="1" applyFill="1" applyBorder="1" applyAlignment="1">
      <alignment horizontal="center"/>
    </xf>
    <xf numFmtId="9" fontId="23" fillId="590" borderId="1" xfId="0" applyNumberFormat="1" applyFont="1" applyFill="1" applyBorder="1" applyAlignment="1">
      <alignment horizontal="center"/>
    </xf>
    <xf numFmtId="9" fontId="23" fillId="381" borderId="1" xfId="0" applyNumberFormat="1" applyFont="1" applyFill="1" applyBorder="1" applyAlignment="1">
      <alignment horizontal="center"/>
    </xf>
    <xf numFmtId="10" fontId="23" fillId="635" borderId="1" xfId="0" applyNumberFormat="1" applyFont="1" applyFill="1" applyBorder="1" applyAlignment="1">
      <alignment horizontal="center"/>
    </xf>
    <xf numFmtId="0" fontId="7" fillId="746" borderId="1" xfId="0" applyFont="1" applyFill="1" applyBorder="1" applyAlignment="1">
      <alignment horizontal="center"/>
    </xf>
    <xf numFmtId="0" fontId="7" fillId="747" borderId="1" xfId="0" applyFont="1" applyFill="1" applyBorder="1" applyAlignment="1">
      <alignment horizontal="center"/>
    </xf>
    <xf numFmtId="0" fontId="7" fillId="747" borderId="4" xfId="0" applyFont="1" applyFill="1" applyBorder="1" applyAlignment="1">
      <alignment horizontal="center"/>
    </xf>
    <xf numFmtId="0" fontId="23" fillId="13" borderId="2" xfId="0" applyFont="1" applyFill="1" applyBorder="1" applyAlignment="1">
      <alignment horizontal="center"/>
    </xf>
    <xf numFmtId="0" fontId="7" fillId="748" borderId="2" xfId="0" applyFont="1" applyFill="1" applyBorder="1" applyAlignment="1">
      <alignment horizontal="center"/>
    </xf>
    <xf numFmtId="0" fontId="7" fillId="422" borderId="3" xfId="0" applyFont="1" applyFill="1" applyBorder="1" applyAlignment="1">
      <alignment horizontal="center"/>
    </xf>
    <xf numFmtId="0" fontId="23" fillId="749" borderId="1" xfId="0" applyFont="1" applyFill="1" applyBorder="1" applyAlignment="1">
      <alignment horizontal="center"/>
    </xf>
    <xf numFmtId="0" fontId="23" fillId="205" borderId="1" xfId="0" applyFont="1" applyFill="1" applyBorder="1" applyAlignment="1">
      <alignment horizontal="center"/>
    </xf>
    <xf numFmtId="0" fontId="23" fillId="750" borderId="2" xfId="0" applyFont="1" applyFill="1" applyBorder="1" applyAlignment="1">
      <alignment horizontal="center"/>
    </xf>
    <xf numFmtId="10" fontId="23" fillId="530" borderId="3" xfId="0" applyNumberFormat="1" applyFont="1" applyFill="1" applyBorder="1" applyAlignment="1">
      <alignment horizontal="center"/>
    </xf>
    <xf numFmtId="0" fontId="7" fillId="751" borderId="2" xfId="0" applyFont="1" applyFill="1" applyBorder="1" applyAlignment="1">
      <alignment horizontal="center"/>
    </xf>
    <xf numFmtId="0" fontId="7" fillId="751" borderId="3" xfId="0" applyFont="1" applyFill="1" applyBorder="1" applyAlignment="1">
      <alignment horizontal="center"/>
    </xf>
    <xf numFmtId="9" fontId="23" fillId="122" borderId="1" xfId="0" applyNumberFormat="1" applyFont="1" applyFill="1" applyBorder="1" applyAlignment="1">
      <alignment horizontal="center"/>
    </xf>
    <xf numFmtId="0" fontId="23" fillId="126" borderId="1" xfId="0" applyFont="1" applyFill="1" applyBorder="1" applyAlignment="1">
      <alignment horizontal="center"/>
    </xf>
    <xf numFmtId="9" fontId="23" fillId="493" borderId="1" xfId="0" applyNumberFormat="1" applyFont="1" applyFill="1" applyBorder="1" applyAlignment="1">
      <alignment horizontal="center"/>
    </xf>
    <xf numFmtId="10" fontId="23" fillId="223" borderId="1" xfId="0" applyNumberFormat="1" applyFont="1" applyFill="1" applyBorder="1" applyAlignment="1">
      <alignment horizontal="center"/>
    </xf>
    <xf numFmtId="0" fontId="7" fillId="437" borderId="1" xfId="0" applyFont="1" applyFill="1" applyBorder="1" applyAlignment="1">
      <alignment horizontal="center"/>
    </xf>
    <xf numFmtId="0" fontId="23" fillId="81" borderId="3" xfId="0" applyFont="1" applyFill="1" applyBorder="1" applyAlignment="1">
      <alignment horizontal="center"/>
    </xf>
    <xf numFmtId="10" fontId="23" fillId="21" borderId="3" xfId="0" applyNumberFormat="1" applyFont="1" applyFill="1" applyBorder="1" applyAlignment="1">
      <alignment horizontal="center"/>
    </xf>
    <xf numFmtId="0" fontId="7" fillId="257" borderId="13" xfId="0" applyFont="1" applyFill="1" applyBorder="1" applyAlignment="1">
      <alignment horizontal="center"/>
    </xf>
    <xf numFmtId="0" fontId="7" fillId="665" borderId="2" xfId="0" applyFont="1" applyFill="1" applyBorder="1" applyAlignment="1">
      <alignment horizontal="center"/>
    </xf>
    <xf numFmtId="0" fontId="7" fillId="752" borderId="2" xfId="0" applyFont="1" applyFill="1" applyBorder="1" applyAlignment="1">
      <alignment horizontal="center"/>
    </xf>
    <xf numFmtId="0" fontId="7" fillId="752" borderId="3" xfId="0" applyFont="1" applyFill="1" applyBorder="1" applyAlignment="1">
      <alignment horizontal="center"/>
    </xf>
    <xf numFmtId="164" fontId="23" fillId="193" borderId="1" xfId="0" applyNumberFormat="1" applyFont="1" applyFill="1" applyBorder="1" applyAlignment="1">
      <alignment horizontal="center"/>
    </xf>
    <xf numFmtId="0" fontId="23" fillId="39" borderId="1" xfId="0" applyFont="1" applyFill="1" applyBorder="1" applyAlignment="1">
      <alignment horizontal="center"/>
    </xf>
    <xf numFmtId="0" fontId="23" fillId="563" borderId="1" xfId="0" applyFont="1" applyFill="1" applyBorder="1" applyAlignment="1">
      <alignment horizontal="center"/>
    </xf>
    <xf numFmtId="10" fontId="23" fillId="530" borderId="4" xfId="0" applyNumberFormat="1" applyFont="1" applyFill="1" applyBorder="1" applyAlignment="1">
      <alignment horizontal="center"/>
    </xf>
    <xf numFmtId="0" fontId="7" fillId="753" borderId="1" xfId="0" applyFont="1" applyFill="1" applyBorder="1" applyAlignment="1">
      <alignment horizontal="center"/>
    </xf>
    <xf numFmtId="0" fontId="7" fillId="753" borderId="4" xfId="0" applyFont="1" applyFill="1" applyBorder="1" applyAlignment="1">
      <alignment horizontal="center"/>
    </xf>
    <xf numFmtId="164" fontId="23" fillId="254" borderId="2" xfId="0" applyNumberFormat="1" applyFont="1" applyFill="1" applyBorder="1" applyAlignment="1">
      <alignment horizontal="center"/>
    </xf>
    <xf numFmtId="0" fontId="23" fillId="433" borderId="2" xfId="0" applyFont="1" applyFill="1" applyBorder="1" applyAlignment="1">
      <alignment horizontal="center"/>
    </xf>
    <xf numFmtId="0" fontId="23" fillId="308" borderId="3" xfId="0" applyFont="1" applyFill="1" applyBorder="1" applyAlignment="1">
      <alignment horizontal="center"/>
    </xf>
    <xf numFmtId="0" fontId="7" fillId="185" borderId="2" xfId="0" applyFont="1" applyFill="1" applyBorder="1" applyAlignment="1">
      <alignment horizontal="center"/>
    </xf>
    <xf numFmtId="0" fontId="7" fillId="583" borderId="2" xfId="0" applyFont="1" applyFill="1" applyBorder="1" applyAlignment="1">
      <alignment horizontal="center"/>
    </xf>
    <xf numFmtId="0" fontId="7" fillId="583" borderId="3" xfId="0" applyFont="1" applyFill="1" applyBorder="1" applyAlignment="1">
      <alignment horizontal="center"/>
    </xf>
    <xf numFmtId="164" fontId="23" fillId="245" borderId="1" xfId="0" applyNumberFormat="1" applyFont="1" applyFill="1" applyBorder="1" applyAlignment="1">
      <alignment horizontal="center"/>
    </xf>
    <xf numFmtId="9" fontId="23" fillId="167" borderId="1" xfId="0" applyNumberFormat="1" applyFont="1" applyFill="1" applyBorder="1" applyAlignment="1">
      <alignment horizontal="center"/>
    </xf>
    <xf numFmtId="9" fontId="23" fillId="327" borderId="1" xfId="0" applyNumberFormat="1" applyFont="1" applyFill="1" applyBorder="1" applyAlignment="1">
      <alignment horizontal="center"/>
    </xf>
    <xf numFmtId="9" fontId="23" fillId="430" borderId="1" xfId="0" applyNumberFormat="1" applyFont="1" applyFill="1" applyBorder="1" applyAlignment="1">
      <alignment horizontal="center"/>
    </xf>
    <xf numFmtId="10" fontId="23" fillId="59" borderId="4" xfId="0" applyNumberFormat="1" applyFont="1" applyFill="1" applyBorder="1" applyAlignment="1">
      <alignment horizontal="center"/>
    </xf>
    <xf numFmtId="0" fontId="7" fillId="754" borderId="1" xfId="0" applyFont="1" applyFill="1" applyBorder="1" applyAlignment="1">
      <alignment horizontal="center"/>
    </xf>
    <xf numFmtId="0" fontId="7" fillId="155" borderId="1" xfId="0" applyFont="1" applyFill="1" applyBorder="1" applyAlignment="1">
      <alignment horizontal="center"/>
    </xf>
    <xf numFmtId="0" fontId="7" fillId="155" borderId="4" xfId="0" applyFont="1" applyFill="1" applyBorder="1" applyAlignment="1">
      <alignment horizontal="center"/>
    </xf>
    <xf numFmtId="9" fontId="23" fillId="130" borderId="2" xfId="0" applyNumberFormat="1" applyFont="1" applyFill="1" applyBorder="1" applyAlignment="1">
      <alignment horizontal="center"/>
    </xf>
    <xf numFmtId="0" fontId="23" fillId="620" borderId="2" xfId="0" applyFont="1" applyFill="1" applyBorder="1" applyAlignment="1">
      <alignment horizontal="center"/>
    </xf>
    <xf numFmtId="9" fontId="23" fillId="144" borderId="2" xfId="0" applyNumberFormat="1" applyFont="1" applyFill="1" applyBorder="1" applyAlignment="1">
      <alignment horizontal="center"/>
    </xf>
    <xf numFmtId="0" fontId="23" fillId="279" borderId="2" xfId="0" applyFont="1" applyFill="1" applyBorder="1" applyAlignment="1">
      <alignment horizontal="center"/>
    </xf>
    <xf numFmtId="0" fontId="23" fillId="59" borderId="2" xfId="0" applyFont="1" applyFill="1" applyBorder="1" applyAlignment="1">
      <alignment horizontal="center"/>
    </xf>
    <xf numFmtId="9" fontId="23" fillId="74" borderId="2" xfId="0" applyNumberFormat="1" applyFont="1" applyFill="1" applyBorder="1" applyAlignment="1">
      <alignment horizontal="center"/>
    </xf>
    <xf numFmtId="10" fontId="23" fillId="393" borderId="3" xfId="0" applyNumberFormat="1" applyFont="1" applyFill="1" applyBorder="1" applyAlignment="1">
      <alignment horizontal="center"/>
    </xf>
    <xf numFmtId="0" fontId="7" fillId="211" borderId="13" xfId="0" applyFont="1" applyFill="1" applyBorder="1" applyAlignment="1">
      <alignment horizontal="center"/>
    </xf>
    <xf numFmtId="0" fontId="7" fillId="755" borderId="2" xfId="0" applyFont="1" applyFill="1" applyBorder="1" applyAlignment="1">
      <alignment horizontal="center"/>
    </xf>
    <xf numFmtId="0" fontId="7" fillId="755" borderId="3" xfId="0" applyFont="1" applyFill="1" applyBorder="1" applyAlignment="1">
      <alignment horizontal="center"/>
    </xf>
    <xf numFmtId="0" fontId="23" fillId="310" borderId="1" xfId="0" applyFont="1" applyFill="1" applyBorder="1" applyAlignment="1">
      <alignment horizontal="center"/>
    </xf>
    <xf numFmtId="9" fontId="23" fillId="334" borderId="1" xfId="0" applyNumberFormat="1" applyFont="1" applyFill="1" applyBorder="1" applyAlignment="1">
      <alignment horizontal="center"/>
    </xf>
    <xf numFmtId="0" fontId="23" fillId="756" borderId="1" xfId="0" applyFont="1" applyFill="1" applyBorder="1" applyAlignment="1">
      <alignment horizontal="center"/>
    </xf>
    <xf numFmtId="10" fontId="23" fillId="757" borderId="1" xfId="0" applyNumberFormat="1" applyFont="1" applyFill="1" applyBorder="1" applyAlignment="1">
      <alignment horizontal="center"/>
    </xf>
    <xf numFmtId="10" fontId="23" fillId="115" borderId="4" xfId="0" applyNumberFormat="1" applyFont="1" applyFill="1" applyBorder="1" applyAlignment="1">
      <alignment horizontal="center"/>
    </xf>
    <xf numFmtId="0" fontId="7" fillId="406" borderId="1" xfId="0" applyFont="1" applyFill="1" applyBorder="1" applyAlignment="1">
      <alignment horizontal="center"/>
    </xf>
    <xf numFmtId="0" fontId="7" fillId="406" borderId="4" xfId="0" applyFont="1" applyFill="1" applyBorder="1" applyAlignment="1">
      <alignment horizontal="center"/>
    </xf>
    <xf numFmtId="164" fontId="23" fillId="221" borderId="2" xfId="0" applyNumberFormat="1" applyFont="1" applyFill="1" applyBorder="1" applyAlignment="1">
      <alignment horizontal="center"/>
    </xf>
    <xf numFmtId="0" fontId="23" fillId="758" borderId="2" xfId="0" applyFont="1" applyFill="1" applyBorder="1" applyAlignment="1">
      <alignment horizontal="center"/>
    </xf>
    <xf numFmtId="9" fontId="23" fillId="409" borderId="2" xfId="0" applyNumberFormat="1" applyFont="1" applyFill="1" applyBorder="1" applyAlignment="1">
      <alignment horizontal="center"/>
    </xf>
    <xf numFmtId="9" fontId="23" fillId="501" borderId="2" xfId="0" applyNumberFormat="1" applyFont="1" applyFill="1" applyBorder="1" applyAlignment="1">
      <alignment horizontal="center"/>
    </xf>
    <xf numFmtId="10" fontId="23" fillId="278" borderId="3" xfId="0" applyNumberFormat="1" applyFont="1" applyFill="1" applyBorder="1" applyAlignment="1">
      <alignment horizontal="center"/>
    </xf>
    <xf numFmtId="0" fontId="7" fillId="759" borderId="2" xfId="0" applyFont="1" applyFill="1" applyBorder="1" applyAlignment="1">
      <alignment horizontal="center"/>
    </xf>
    <xf numFmtId="0" fontId="7" fillId="425" borderId="3" xfId="0" applyFont="1" applyFill="1" applyBorder="1" applyAlignment="1">
      <alignment horizontal="center"/>
    </xf>
    <xf numFmtId="164" fontId="23" fillId="210" borderId="1" xfId="0" applyNumberFormat="1" applyFont="1" applyFill="1" applyBorder="1" applyAlignment="1">
      <alignment horizontal="center"/>
    </xf>
    <xf numFmtId="9" fontId="23" fillId="362" borderId="1" xfId="0" applyNumberFormat="1" applyFont="1" applyFill="1" applyBorder="1" applyAlignment="1">
      <alignment horizontal="center"/>
    </xf>
    <xf numFmtId="0" fontId="23" fillId="94" borderId="1" xfId="0" applyFont="1" applyFill="1" applyBorder="1" applyAlignment="1">
      <alignment horizontal="center"/>
    </xf>
    <xf numFmtId="0" fontId="23" fillId="78" borderId="1" xfId="0" applyFont="1" applyFill="1" applyBorder="1" applyAlignment="1">
      <alignment horizontal="center"/>
    </xf>
    <xf numFmtId="10" fontId="23" fillId="65" borderId="1" xfId="0" applyNumberFormat="1" applyFont="1" applyFill="1" applyBorder="1" applyAlignment="1">
      <alignment horizontal="center"/>
    </xf>
    <xf numFmtId="0" fontId="7" fillId="113" borderId="16" xfId="0" applyFont="1" applyFill="1" applyBorder="1" applyAlignment="1">
      <alignment horizontal="center"/>
    </xf>
    <xf numFmtId="0" fontId="7" fillId="387" borderId="4" xfId="0" applyFont="1" applyFill="1" applyBorder="1" applyAlignment="1">
      <alignment horizontal="center"/>
    </xf>
    <xf numFmtId="0" fontId="7" fillId="266" borderId="1" xfId="0" applyFont="1" applyFill="1" applyBorder="1" applyAlignment="1">
      <alignment horizontal="center"/>
    </xf>
    <xf numFmtId="164" fontId="23" fillId="588" borderId="0" xfId="0" applyNumberFormat="1" applyFont="1" applyFill="1" applyAlignment="1">
      <alignment horizontal="center"/>
    </xf>
    <xf numFmtId="0" fontId="23" fillId="26" borderId="0" xfId="0" applyFont="1" applyFill="1" applyAlignment="1">
      <alignment horizontal="center"/>
    </xf>
    <xf numFmtId="9" fontId="23" fillId="349" borderId="0" xfId="0" applyNumberFormat="1" applyFont="1" applyFill="1" applyAlignment="1">
      <alignment horizontal="center"/>
    </xf>
    <xf numFmtId="0" fontId="23" fillId="731" borderId="0" xfId="0" applyFont="1" applyFill="1" applyAlignment="1">
      <alignment horizontal="center"/>
    </xf>
    <xf numFmtId="9" fontId="23" fillId="323" borderId="0" xfId="0" applyNumberFormat="1" applyFont="1" applyFill="1" applyAlignment="1">
      <alignment horizontal="center"/>
    </xf>
    <xf numFmtId="0" fontId="23" fillId="384" borderId="0" xfId="0" applyFont="1" applyFill="1" applyAlignment="1">
      <alignment horizontal="center"/>
    </xf>
    <xf numFmtId="0" fontId="23" fillId="342" borderId="0" xfId="0" applyFont="1" applyFill="1" applyAlignment="1">
      <alignment horizontal="center"/>
    </xf>
    <xf numFmtId="9" fontId="23" fillId="164" borderId="0" xfId="0" applyNumberFormat="1" applyFont="1" applyFill="1" applyAlignment="1">
      <alignment horizontal="center"/>
    </xf>
    <xf numFmtId="9" fontId="23" fillId="36" borderId="0" xfId="0" applyNumberFormat="1" applyFont="1" applyFill="1" applyAlignment="1">
      <alignment horizontal="center"/>
    </xf>
    <xf numFmtId="0" fontId="23" fillId="308" borderId="5" xfId="0" applyFont="1" applyFill="1" applyBorder="1" applyAlignment="1">
      <alignment horizontal="center"/>
    </xf>
    <xf numFmtId="10" fontId="23" fillId="378" borderId="0" xfId="0" applyNumberFormat="1" applyFont="1" applyFill="1" applyAlignment="1">
      <alignment horizontal="center"/>
    </xf>
    <xf numFmtId="10" fontId="23" fillId="44" borderId="0" xfId="0" applyNumberFormat="1" applyFont="1" applyFill="1" applyAlignment="1">
      <alignment horizontal="center"/>
    </xf>
    <xf numFmtId="10" fontId="23" fillId="41" borderId="0" xfId="0" applyNumberFormat="1" applyFont="1" applyFill="1" applyAlignment="1">
      <alignment horizontal="center"/>
    </xf>
    <xf numFmtId="10" fontId="23" fillId="60" borderId="5" xfId="0" applyNumberFormat="1" applyFont="1" applyFill="1" applyBorder="1" applyAlignment="1">
      <alignment horizontal="center"/>
    </xf>
    <xf numFmtId="0" fontId="7" fillId="760" borderId="2" xfId="0" applyFont="1" applyFill="1" applyBorder="1" applyAlignment="1">
      <alignment horizontal="center"/>
    </xf>
    <xf numFmtId="164" fontId="23" fillId="591" borderId="0" xfId="0" applyNumberFormat="1" applyFont="1" applyFill="1" applyAlignment="1">
      <alignment horizontal="center"/>
    </xf>
    <xf numFmtId="0" fontId="23" fillId="311" borderId="0" xfId="0" applyFont="1" applyFill="1" applyAlignment="1">
      <alignment horizontal="center"/>
    </xf>
    <xf numFmtId="9" fontId="23" fillId="48" borderId="0" xfId="0" applyNumberFormat="1" applyFont="1" applyFill="1" applyAlignment="1">
      <alignment horizontal="center"/>
    </xf>
    <xf numFmtId="0" fontId="23" fillId="486" borderId="0" xfId="0" applyFont="1" applyFill="1" applyAlignment="1">
      <alignment horizontal="center"/>
    </xf>
    <xf numFmtId="9" fontId="23" fillId="98" borderId="0" xfId="0" applyNumberFormat="1" applyFont="1" applyFill="1" applyAlignment="1">
      <alignment horizontal="center"/>
    </xf>
    <xf numFmtId="0" fontId="23" fillId="14" borderId="0" xfId="0" applyFont="1" applyFill="1" applyAlignment="1">
      <alignment horizontal="center"/>
    </xf>
    <xf numFmtId="0" fontId="23" fillId="39" borderId="0" xfId="0" applyFont="1" applyFill="1" applyAlignment="1">
      <alignment horizontal="center"/>
    </xf>
    <xf numFmtId="9" fontId="23" fillId="61" borderId="0" xfId="0" applyNumberFormat="1" applyFont="1" applyFill="1" applyAlignment="1">
      <alignment horizontal="center"/>
    </xf>
    <xf numFmtId="9" fontId="23" fillId="110" borderId="0" xfId="0" applyNumberFormat="1" applyFont="1" applyFill="1" applyAlignment="1">
      <alignment horizontal="center"/>
    </xf>
    <xf numFmtId="0" fontId="23" fillId="49" borderId="5" xfId="0" applyFont="1" applyFill="1" applyBorder="1" applyAlignment="1">
      <alignment horizontal="center"/>
    </xf>
    <xf numFmtId="10" fontId="23" fillId="74" borderId="0" xfId="0" applyNumberFormat="1" applyFont="1" applyFill="1" applyAlignment="1">
      <alignment horizontal="center"/>
    </xf>
    <xf numFmtId="10" fontId="23" fillId="658" borderId="0" xfId="0" applyNumberFormat="1" applyFont="1" applyFill="1" applyAlignment="1">
      <alignment horizontal="center"/>
    </xf>
    <xf numFmtId="10" fontId="23" fillId="757" borderId="0" xfId="0" applyNumberFormat="1" applyFont="1" applyFill="1" applyAlignment="1">
      <alignment horizontal="center"/>
    </xf>
    <xf numFmtId="10" fontId="23" fillId="59" borderId="5" xfId="0" applyNumberFormat="1" applyFont="1" applyFill="1" applyBorder="1" applyAlignment="1">
      <alignment horizontal="center"/>
    </xf>
    <xf numFmtId="0" fontId="7" fillId="593" borderId="16" xfId="0" applyFont="1" applyFill="1" applyBorder="1" applyAlignment="1">
      <alignment horizontal="center"/>
    </xf>
    <xf numFmtId="0" fontId="7" fillId="198" borderId="1" xfId="0" applyFont="1" applyFill="1" applyBorder="1" applyAlignment="1">
      <alignment horizontal="center"/>
    </xf>
    <xf numFmtId="0" fontId="7" fillId="761" borderId="1" xfId="0" applyFont="1" applyFill="1" applyBorder="1" applyAlignment="1">
      <alignment horizontal="center"/>
    </xf>
    <xf numFmtId="0" fontId="7" fillId="761" borderId="4" xfId="0" applyFont="1" applyFill="1" applyBorder="1" applyAlignment="1">
      <alignment horizontal="center"/>
    </xf>
    <xf numFmtId="164" fontId="23" fillId="620" borderId="0" xfId="0" applyNumberFormat="1" applyFont="1" applyFill="1" applyAlignment="1">
      <alignment horizontal="center"/>
    </xf>
    <xf numFmtId="0" fontId="23" fillId="508" borderId="0" xfId="0" applyFont="1" applyFill="1" applyAlignment="1">
      <alignment horizontal="center"/>
    </xf>
    <xf numFmtId="0" fontId="23" fillId="762" borderId="0" xfId="0" applyFont="1" applyFill="1" applyAlignment="1">
      <alignment horizontal="center"/>
    </xf>
    <xf numFmtId="0" fontId="23" fillId="29" borderId="0" xfId="0" applyFont="1" applyFill="1" applyAlignment="1">
      <alignment horizontal="center"/>
    </xf>
    <xf numFmtId="0" fontId="23" fillId="62" borderId="0" xfId="0" applyFont="1" applyFill="1" applyAlignment="1">
      <alignment horizontal="center"/>
    </xf>
    <xf numFmtId="9" fontId="23" fillId="127" borderId="0" xfId="0" applyNumberFormat="1" applyFont="1" applyFill="1" applyAlignment="1">
      <alignment horizontal="center"/>
    </xf>
    <xf numFmtId="0" fontId="23" fillId="100" borderId="5" xfId="0" applyFont="1" applyFill="1" applyBorder="1" applyAlignment="1">
      <alignment horizontal="center"/>
    </xf>
    <xf numFmtId="10" fontId="23" fillId="312" borderId="0" xfId="0" applyNumberFormat="1" applyFont="1" applyFill="1" applyAlignment="1">
      <alignment horizontal="center"/>
    </xf>
    <xf numFmtId="10" fontId="23" fillId="150" borderId="0" xfId="0" applyNumberFormat="1" applyFont="1" applyFill="1" applyAlignment="1">
      <alignment horizontal="center"/>
    </xf>
    <xf numFmtId="10" fontId="23" fillId="487" borderId="0" xfId="0" applyNumberFormat="1" applyFont="1" applyFill="1" applyAlignment="1">
      <alignment horizontal="center"/>
    </xf>
    <xf numFmtId="10" fontId="23" fillId="164" borderId="5" xfId="0" applyNumberFormat="1" applyFont="1" applyFill="1" applyBorder="1" applyAlignment="1">
      <alignment horizontal="center"/>
    </xf>
    <xf numFmtId="0" fontId="7" fillId="763" borderId="2" xfId="0" applyFont="1" applyFill="1" applyBorder="1" applyAlignment="1">
      <alignment horizontal="center"/>
    </xf>
    <xf numFmtId="0" fontId="7" fillId="763" borderId="3" xfId="0" applyFont="1" applyFill="1" applyBorder="1" applyAlignment="1">
      <alignment horizontal="center"/>
    </xf>
    <xf numFmtId="164" fontId="23" fillId="317" borderId="0" xfId="0" applyNumberFormat="1" applyFont="1" applyFill="1" applyAlignment="1">
      <alignment horizontal="center"/>
    </xf>
    <xf numFmtId="0" fontId="23" fillId="286" borderId="0" xfId="0" applyFont="1" applyFill="1" applyAlignment="1">
      <alignment horizontal="center"/>
    </xf>
    <xf numFmtId="9" fontId="23" fillId="176" borderId="0" xfId="0" applyNumberFormat="1" applyFont="1" applyFill="1" applyAlignment="1">
      <alignment horizontal="center"/>
    </xf>
    <xf numFmtId="0" fontId="23" fillId="396" borderId="0" xfId="0" applyFont="1" applyFill="1" applyAlignment="1">
      <alignment horizontal="center"/>
    </xf>
    <xf numFmtId="9" fontId="23" fillId="131" borderId="0" xfId="0" applyNumberFormat="1" applyFont="1" applyFill="1" applyAlignment="1">
      <alignment horizontal="center"/>
    </xf>
    <xf numFmtId="0" fontId="23" fillId="165" borderId="0" xfId="0" applyFont="1" applyFill="1" applyAlignment="1">
      <alignment horizontal="center"/>
    </xf>
    <xf numFmtId="0" fontId="23" fillId="764" borderId="0" xfId="0" applyFont="1" applyFill="1" applyAlignment="1">
      <alignment horizontal="center"/>
    </xf>
    <xf numFmtId="9" fontId="23" fillId="59" borderId="0" xfId="0" applyNumberFormat="1" applyFont="1" applyFill="1" applyAlignment="1">
      <alignment horizontal="center"/>
    </xf>
    <xf numFmtId="0" fontId="23" fillId="22" borderId="5" xfId="0" applyFont="1" applyFill="1" applyBorder="1" applyAlignment="1">
      <alignment horizontal="center"/>
    </xf>
    <xf numFmtId="10" fontId="23" fillId="57" borderId="0" xfId="0" applyNumberFormat="1" applyFont="1" applyFill="1" applyAlignment="1">
      <alignment horizontal="center"/>
    </xf>
    <xf numFmtId="10" fontId="23" fillId="26" borderId="0" xfId="0" applyNumberFormat="1" applyFont="1" applyFill="1" applyAlignment="1">
      <alignment horizontal="center"/>
    </xf>
    <xf numFmtId="10" fontId="23" fillId="14" borderId="0" xfId="0" applyNumberFormat="1" applyFont="1" applyFill="1" applyAlignment="1">
      <alignment horizontal="center"/>
    </xf>
    <xf numFmtId="10" fontId="23" fillId="322" borderId="5" xfId="0" applyNumberFormat="1" applyFont="1" applyFill="1" applyBorder="1" applyAlignment="1">
      <alignment horizontal="center"/>
    </xf>
    <xf numFmtId="0" fontId="7" fillId="206" borderId="16" xfId="0" applyFont="1" applyFill="1" applyBorder="1" applyAlignment="1">
      <alignment horizontal="center"/>
    </xf>
    <xf numFmtId="0" fontId="7" fillId="456" borderId="16" xfId="0" applyFont="1" applyFill="1" applyBorder="1" applyAlignment="1">
      <alignment horizontal="center"/>
    </xf>
    <xf numFmtId="0" fontId="7" fillId="765" borderId="1" xfId="0" applyFont="1" applyFill="1" applyBorder="1" applyAlignment="1">
      <alignment horizontal="center"/>
    </xf>
    <xf numFmtId="0" fontId="7" fillId="766" borderId="1" xfId="0" applyFont="1" applyFill="1" applyBorder="1" applyAlignment="1">
      <alignment horizontal="center"/>
    </xf>
    <xf numFmtId="0" fontId="7" fillId="766" borderId="4" xfId="0" applyFont="1" applyFill="1" applyBorder="1" applyAlignment="1">
      <alignment horizontal="center"/>
    </xf>
    <xf numFmtId="164" fontId="23" fillId="28" borderId="0" xfId="0" applyNumberFormat="1" applyFont="1" applyFill="1" applyAlignment="1">
      <alignment horizontal="center"/>
    </xf>
    <xf numFmtId="0" fontId="23" fillId="36" borderId="0" xfId="0" applyFont="1" applyFill="1" applyAlignment="1">
      <alignment horizontal="center"/>
    </xf>
    <xf numFmtId="9" fontId="23" fillId="121" borderId="0" xfId="0" applyNumberFormat="1" applyFont="1" applyFill="1" applyAlignment="1">
      <alignment horizontal="center"/>
    </xf>
    <xf numFmtId="0" fontId="23" fillId="332" borderId="0" xfId="0" applyFont="1" applyFill="1" applyAlignment="1">
      <alignment horizontal="center"/>
    </xf>
    <xf numFmtId="0" fontId="23" fillId="202" borderId="0" xfId="0" applyFont="1" applyFill="1" applyAlignment="1">
      <alignment horizontal="center"/>
    </xf>
    <xf numFmtId="0" fontId="23" fillId="18" borderId="0" xfId="0" applyFont="1" applyFill="1" applyAlignment="1">
      <alignment horizontal="center"/>
    </xf>
    <xf numFmtId="9" fontId="23" fillId="25" borderId="0" xfId="0" applyNumberFormat="1" applyFont="1" applyFill="1" applyAlignment="1">
      <alignment horizontal="center"/>
    </xf>
    <xf numFmtId="9" fontId="23" fillId="21" borderId="0" xfId="0" applyNumberFormat="1" applyFont="1" applyFill="1" applyAlignment="1">
      <alignment horizontal="center"/>
    </xf>
    <xf numFmtId="0" fontId="23" fillId="114" borderId="5" xfId="0" applyFont="1" applyFill="1" applyBorder="1" applyAlignment="1">
      <alignment horizontal="center"/>
    </xf>
    <xf numFmtId="10" fontId="23" fillId="278" borderId="0" xfId="0" applyNumberFormat="1" applyFont="1" applyFill="1" applyAlignment="1">
      <alignment horizontal="center"/>
    </xf>
    <xf numFmtId="10" fontId="23" fillId="279" borderId="0" xfId="0" applyNumberFormat="1" applyFont="1" applyFill="1" applyAlignment="1">
      <alignment horizontal="center"/>
    </xf>
    <xf numFmtId="10" fontId="23" fillId="360" borderId="0" xfId="0" applyNumberFormat="1" applyFont="1" applyFill="1" applyAlignment="1">
      <alignment horizontal="center"/>
    </xf>
    <xf numFmtId="10" fontId="23" fillId="45" borderId="5" xfId="0" applyNumberFormat="1" applyFont="1" applyFill="1" applyBorder="1" applyAlignment="1">
      <alignment horizontal="center"/>
    </xf>
    <xf numFmtId="0" fontId="7" fillId="77" borderId="13" xfId="0" applyFont="1" applyFill="1" applyBorder="1" applyAlignment="1">
      <alignment horizontal="center"/>
    </xf>
    <xf numFmtId="0" fontId="7" fillId="196" borderId="13" xfId="0" applyFont="1" applyFill="1" applyBorder="1" applyAlignment="1">
      <alignment horizontal="center"/>
    </xf>
    <xf numFmtId="0" fontId="7" fillId="504" borderId="2" xfId="0" applyFont="1" applyFill="1" applyBorder="1" applyAlignment="1">
      <alignment horizontal="center"/>
    </xf>
    <xf numFmtId="0" fontId="7" fillId="767" borderId="2" xfId="0" applyFont="1" applyFill="1" applyBorder="1" applyAlignment="1">
      <alignment horizontal="center"/>
    </xf>
    <xf numFmtId="0" fontId="7" fillId="767" borderId="3" xfId="0" applyFont="1" applyFill="1" applyBorder="1" applyAlignment="1">
      <alignment horizontal="center"/>
    </xf>
    <xf numFmtId="164" fontId="23" fillId="605" borderId="0" xfId="0" applyNumberFormat="1" applyFont="1" applyFill="1" applyAlignment="1">
      <alignment horizontal="center"/>
    </xf>
    <xf numFmtId="0" fontId="23" fillId="149" borderId="0" xfId="0" applyFont="1" applyFill="1" applyAlignment="1">
      <alignment horizontal="center"/>
    </xf>
    <xf numFmtId="9" fontId="23" fillId="26" borderId="0" xfId="0" applyNumberFormat="1" applyFont="1" applyFill="1" applyAlignment="1">
      <alignment horizontal="center"/>
    </xf>
    <xf numFmtId="0" fontId="23" fillId="768" borderId="0" xfId="0" applyFont="1" applyFill="1" applyAlignment="1">
      <alignment horizontal="center"/>
    </xf>
    <xf numFmtId="0" fontId="23" fillId="378" borderId="0" xfId="0" applyFont="1" applyFill="1" applyAlignment="1">
      <alignment horizontal="center"/>
    </xf>
    <xf numFmtId="0" fontId="23" fillId="14" borderId="5" xfId="0" applyFont="1" applyFill="1" applyBorder="1" applyAlignment="1">
      <alignment horizontal="center"/>
    </xf>
    <xf numFmtId="10" fontId="23" fillId="216" borderId="0" xfId="0" applyNumberFormat="1" applyFont="1" applyFill="1" applyAlignment="1">
      <alignment horizontal="center"/>
    </xf>
    <xf numFmtId="10" fontId="23" fillId="197" borderId="0" xfId="0" applyNumberFormat="1" applyFont="1" applyFill="1" applyAlignment="1">
      <alignment horizontal="center"/>
    </xf>
    <xf numFmtId="10" fontId="23" fillId="62" borderId="0" xfId="0" applyNumberFormat="1" applyFont="1" applyFill="1" applyAlignment="1">
      <alignment horizontal="center"/>
    </xf>
    <xf numFmtId="10" fontId="23" fillId="216" borderId="5" xfId="0" applyNumberFormat="1" applyFont="1" applyFill="1" applyBorder="1" applyAlignment="1">
      <alignment horizontal="center"/>
    </xf>
    <xf numFmtId="0" fontId="7" fillId="77" borderId="16" xfId="0" applyFont="1" applyFill="1" applyBorder="1" applyAlignment="1">
      <alignment horizontal="center"/>
    </xf>
    <xf numFmtId="0" fontId="7" fillId="51" borderId="1" xfId="0" applyFont="1" applyFill="1" applyBorder="1" applyAlignment="1">
      <alignment horizontal="center"/>
    </xf>
    <xf numFmtId="164" fontId="23" fillId="492" borderId="0" xfId="0" applyNumberFormat="1" applyFont="1" applyFill="1" applyAlignment="1">
      <alignment horizontal="center"/>
    </xf>
    <xf numFmtId="0" fontId="23" fillId="78" borderId="0" xfId="0" applyFont="1" applyFill="1" applyAlignment="1">
      <alignment horizontal="center"/>
    </xf>
    <xf numFmtId="0" fontId="23" fillId="358" borderId="0" xfId="0" applyFont="1" applyFill="1" applyAlignment="1">
      <alignment horizontal="center"/>
    </xf>
    <xf numFmtId="0" fontId="23" fillId="421" borderId="0" xfId="0" applyFont="1" applyFill="1" applyAlignment="1">
      <alignment horizontal="center"/>
    </xf>
    <xf numFmtId="0" fontId="23" fillId="46" borderId="0" xfId="0" applyFont="1" applyFill="1" applyAlignment="1">
      <alignment horizontal="center"/>
    </xf>
    <xf numFmtId="9" fontId="23" fillId="124" borderId="0" xfId="0" applyNumberFormat="1" applyFont="1" applyFill="1" applyAlignment="1">
      <alignment horizontal="center"/>
    </xf>
    <xf numFmtId="9" fontId="23" fillId="20" borderId="0" xfId="0" applyNumberFormat="1" applyFont="1" applyFill="1" applyAlignment="1">
      <alignment horizontal="center"/>
    </xf>
    <xf numFmtId="10" fontId="23" fillId="362" borderId="0" xfId="0" applyNumberFormat="1" applyFont="1" applyFill="1" applyAlignment="1">
      <alignment horizontal="center"/>
    </xf>
    <xf numFmtId="10" fontId="23" fillId="769" borderId="0" xfId="0" applyNumberFormat="1" applyFont="1" applyFill="1" applyAlignment="1">
      <alignment horizontal="center"/>
    </xf>
    <xf numFmtId="10" fontId="23" fillId="59" borderId="0" xfId="0" applyNumberFormat="1" applyFont="1" applyFill="1" applyAlignment="1">
      <alignment horizontal="center"/>
    </xf>
    <xf numFmtId="10" fontId="23" fillId="121" borderId="5" xfId="0" applyNumberFormat="1" applyFont="1" applyFill="1" applyBorder="1" applyAlignment="1">
      <alignment horizontal="center"/>
    </xf>
    <xf numFmtId="0" fontId="7" fillId="493" borderId="13" xfId="0" applyFont="1" applyFill="1" applyBorder="1" applyAlignment="1">
      <alignment horizontal="center"/>
    </xf>
    <xf numFmtId="0" fontId="7" fillId="456" borderId="13" xfId="0" applyFont="1" applyFill="1" applyBorder="1" applyAlignment="1">
      <alignment horizontal="center"/>
    </xf>
    <xf numFmtId="0" fontId="7" fillId="247" borderId="3" xfId="0" applyFont="1" applyFill="1" applyBorder="1" applyAlignment="1">
      <alignment horizontal="center"/>
    </xf>
    <xf numFmtId="0" fontId="7" fillId="517" borderId="2" xfId="0" applyFont="1" applyFill="1" applyBorder="1" applyAlignment="1">
      <alignment horizontal="center"/>
    </xf>
    <xf numFmtId="0" fontId="7" fillId="251" borderId="2" xfId="0" applyFont="1" applyFill="1" applyBorder="1" applyAlignment="1">
      <alignment horizontal="center"/>
    </xf>
    <xf numFmtId="164" fontId="23" fillId="453" borderId="0" xfId="0" applyNumberFormat="1" applyFont="1" applyFill="1" applyAlignment="1">
      <alignment horizontal="center"/>
    </xf>
    <xf numFmtId="0" fontId="23" fillId="770" borderId="0" xfId="0" applyFont="1" applyFill="1" applyAlignment="1">
      <alignment horizontal="center"/>
    </xf>
    <xf numFmtId="9" fontId="23" fillId="76" borderId="0" xfId="0" applyNumberFormat="1" applyFont="1" applyFill="1" applyAlignment="1">
      <alignment horizontal="center"/>
    </xf>
    <xf numFmtId="0" fontId="23" fillId="631" borderId="0" xfId="0" applyFont="1" applyFill="1" applyAlignment="1">
      <alignment horizontal="center"/>
    </xf>
    <xf numFmtId="9" fontId="23" fillId="373" borderId="0" xfId="0" applyNumberFormat="1" applyFont="1" applyFill="1" applyAlignment="1">
      <alignment horizontal="center"/>
    </xf>
    <xf numFmtId="0" fontId="23" fillId="448" borderId="0" xfId="0" applyFont="1" applyFill="1" applyAlignment="1">
      <alignment horizontal="center"/>
    </xf>
    <xf numFmtId="0" fontId="23" fillId="594" borderId="0" xfId="0" applyFont="1" applyFill="1" applyAlignment="1">
      <alignment horizontal="center"/>
    </xf>
    <xf numFmtId="9" fontId="23" fillId="99" borderId="0" xfId="0" applyNumberFormat="1" applyFont="1" applyFill="1" applyAlignment="1">
      <alignment horizontal="center"/>
    </xf>
    <xf numFmtId="9" fontId="23" fillId="303" borderId="0" xfId="0" applyNumberFormat="1" applyFont="1" applyFill="1" applyAlignment="1">
      <alignment horizontal="center"/>
    </xf>
    <xf numFmtId="0" fontId="23" fillId="48" borderId="5" xfId="0" applyFont="1" applyFill="1" applyBorder="1" applyAlignment="1">
      <alignment horizontal="center"/>
    </xf>
    <xf numFmtId="10" fontId="23" fillId="443" borderId="0" xfId="0" applyNumberFormat="1" applyFont="1" applyFill="1" applyAlignment="1">
      <alignment horizontal="center"/>
    </xf>
    <xf numFmtId="10" fontId="23" fillId="493" borderId="0" xfId="0" applyNumberFormat="1" applyFont="1" applyFill="1" applyAlignment="1">
      <alignment horizontal="center"/>
    </xf>
    <xf numFmtId="10" fontId="23" fillId="20" borderId="0" xfId="0" applyNumberFormat="1" applyFont="1" applyFill="1" applyAlignment="1">
      <alignment horizontal="center"/>
    </xf>
    <xf numFmtId="10" fontId="23" fillId="410" borderId="5" xfId="0" applyNumberFormat="1" applyFont="1" applyFill="1" applyBorder="1" applyAlignment="1">
      <alignment horizontal="center"/>
    </xf>
    <xf numFmtId="0" fontId="7" fillId="104" borderId="1" xfId="0" applyFont="1" applyFill="1" applyBorder="1" applyAlignment="1">
      <alignment horizontal="center"/>
    </xf>
    <xf numFmtId="0" fontId="7" fillId="105" borderId="1" xfId="0" applyFont="1" applyFill="1" applyBorder="1" applyAlignment="1">
      <alignment horizontal="center"/>
    </xf>
    <xf numFmtId="0" fontId="7" fillId="105" borderId="4" xfId="0" applyFont="1" applyFill="1" applyBorder="1" applyAlignment="1">
      <alignment horizontal="center"/>
    </xf>
    <xf numFmtId="164" fontId="23" fillId="83" borderId="0" xfId="0" applyNumberFormat="1" applyFont="1" applyFill="1" applyAlignment="1">
      <alignment horizontal="center"/>
    </xf>
    <xf numFmtId="0" fontId="23" fillId="49" borderId="0" xfId="0" applyFont="1" applyFill="1" applyAlignment="1">
      <alignment horizontal="center"/>
    </xf>
    <xf numFmtId="0" fontId="23" fillId="612" borderId="0" xfId="0" applyFont="1" applyFill="1" applyAlignment="1">
      <alignment horizontal="center"/>
    </xf>
    <xf numFmtId="9" fontId="23" fillId="233" borderId="0" xfId="0" applyNumberFormat="1" applyFont="1" applyFill="1" applyAlignment="1">
      <alignment horizontal="center"/>
    </xf>
    <xf numFmtId="0" fontId="23" fillId="264" borderId="0" xfId="0" applyFont="1" applyFill="1" applyAlignment="1">
      <alignment horizontal="center"/>
    </xf>
    <xf numFmtId="0" fontId="23" fillId="114" borderId="0" xfId="0" applyFont="1" applyFill="1" applyAlignment="1">
      <alignment horizontal="center"/>
    </xf>
    <xf numFmtId="9" fontId="23" fillId="257" borderId="0" xfId="0" applyNumberFormat="1" applyFont="1" applyFill="1" applyAlignment="1">
      <alignment horizontal="center"/>
    </xf>
    <xf numFmtId="9" fontId="23" fillId="180" borderId="0" xfId="0" applyNumberFormat="1" applyFont="1" applyFill="1" applyAlignment="1">
      <alignment horizontal="center"/>
    </xf>
    <xf numFmtId="0" fontId="23" fillId="27" borderId="5" xfId="0" applyFont="1" applyFill="1" applyBorder="1" applyAlignment="1">
      <alignment horizontal="center"/>
    </xf>
    <xf numFmtId="10" fontId="23" fillId="124" borderId="0" xfId="0" applyNumberFormat="1" applyFont="1" applyFill="1" applyAlignment="1">
      <alignment horizontal="center"/>
    </xf>
    <xf numFmtId="10" fontId="23" fillId="38" borderId="0" xfId="0" applyNumberFormat="1" applyFont="1" applyFill="1" applyAlignment="1">
      <alignment horizontal="center"/>
    </xf>
    <xf numFmtId="10" fontId="23" fillId="286" borderId="0" xfId="0" applyNumberFormat="1" applyFont="1" applyFill="1" applyAlignment="1">
      <alignment horizontal="center"/>
    </xf>
    <xf numFmtId="10" fontId="23" fillId="477" borderId="5" xfId="0" applyNumberFormat="1" applyFont="1" applyFill="1" applyBorder="1" applyAlignment="1">
      <alignment horizontal="center"/>
    </xf>
    <xf numFmtId="0" fontId="7" fillId="98" borderId="13" xfId="0" applyFont="1" applyFill="1" applyBorder="1" applyAlignment="1">
      <alignment horizontal="center"/>
    </xf>
    <xf numFmtId="0" fontId="7" fillId="554" borderId="2" xfId="0" applyFont="1" applyFill="1" applyBorder="1" applyAlignment="1">
      <alignment horizontal="center"/>
    </xf>
    <xf numFmtId="0" fontId="7" fillId="554" borderId="3" xfId="0" applyFont="1" applyFill="1" applyBorder="1" applyAlignment="1">
      <alignment horizontal="center"/>
    </xf>
    <xf numFmtId="164" fontId="23" fillId="586" borderId="0" xfId="0" applyNumberFormat="1" applyFont="1" applyFill="1" applyAlignment="1">
      <alignment horizontal="center"/>
    </xf>
    <xf numFmtId="9" fontId="23" fillId="333" borderId="0" xfId="0" applyNumberFormat="1" applyFont="1" applyFill="1" applyAlignment="1">
      <alignment horizontal="center"/>
    </xf>
    <xf numFmtId="0" fontId="23" fillId="48" borderId="0" xfId="0" applyFont="1" applyFill="1" applyAlignment="1">
      <alignment horizontal="center"/>
    </xf>
    <xf numFmtId="9" fontId="23" fillId="45" borderId="0" xfId="0" applyNumberFormat="1" applyFont="1" applyFill="1" applyAlignment="1">
      <alignment horizontal="center"/>
    </xf>
    <xf numFmtId="0" fontId="23" fillId="21" borderId="0" xfId="0" applyFont="1" applyFill="1" applyAlignment="1">
      <alignment horizontal="center"/>
    </xf>
    <xf numFmtId="0" fontId="23" fillId="128" borderId="0" xfId="0" applyFont="1" applyFill="1" applyAlignment="1">
      <alignment horizontal="center"/>
    </xf>
    <xf numFmtId="9" fontId="23" fillId="203" borderId="0" xfId="0" applyNumberFormat="1" applyFont="1" applyFill="1" applyAlignment="1">
      <alignment horizontal="center"/>
    </xf>
    <xf numFmtId="0" fontId="23" fillId="115" borderId="5" xfId="0" applyFont="1" applyFill="1" applyBorder="1" applyAlignment="1">
      <alignment horizontal="center"/>
    </xf>
    <xf numFmtId="10" fontId="23" fillId="357" borderId="0" xfId="0" applyNumberFormat="1" applyFont="1" applyFill="1" applyAlignment="1">
      <alignment horizontal="center"/>
    </xf>
    <xf numFmtId="10" fontId="23" fillId="95" borderId="0" xfId="0" applyNumberFormat="1" applyFont="1" applyFill="1" applyAlignment="1">
      <alignment horizontal="center"/>
    </xf>
    <xf numFmtId="10" fontId="23" fillId="377" borderId="0" xfId="0" applyNumberFormat="1" applyFont="1" applyFill="1" applyAlignment="1">
      <alignment horizontal="center"/>
    </xf>
    <xf numFmtId="10" fontId="23" fillId="195" borderId="5" xfId="0" applyNumberFormat="1" applyFont="1" applyFill="1" applyBorder="1" applyAlignment="1">
      <alignment horizontal="center"/>
    </xf>
    <xf numFmtId="0" fontId="7" fillId="247" borderId="4" xfId="0" applyFont="1" applyFill="1" applyBorder="1" applyAlignment="1">
      <alignment horizontal="center"/>
    </xf>
    <xf numFmtId="164" fontId="23" fillId="299" borderId="0" xfId="0" applyNumberFormat="1" applyFont="1" applyFill="1" applyAlignment="1">
      <alignment horizontal="center"/>
    </xf>
    <xf numFmtId="0" fontId="23" fillId="328" borderId="0" xfId="0" applyFont="1" applyFill="1" applyAlignment="1">
      <alignment horizontal="center"/>
    </xf>
    <xf numFmtId="0" fontId="23" fillId="771" borderId="0" xfId="0" applyFont="1" applyFill="1" applyAlignment="1">
      <alignment horizontal="center"/>
    </xf>
    <xf numFmtId="0" fontId="23" fillId="381" borderId="0" xfId="0" applyFont="1" applyFill="1" applyAlignment="1">
      <alignment horizontal="center"/>
    </xf>
    <xf numFmtId="9" fontId="23" fillId="563" borderId="0" xfId="0" applyNumberFormat="1" applyFont="1" applyFill="1" applyAlignment="1">
      <alignment horizontal="center"/>
    </xf>
    <xf numFmtId="9" fontId="23" fillId="24" borderId="0" xfId="0" applyNumberFormat="1" applyFont="1" applyFill="1" applyAlignment="1">
      <alignment horizontal="center"/>
    </xf>
    <xf numFmtId="10" fontId="23" fillId="248" borderId="0" xfId="0" applyNumberFormat="1" applyFont="1" applyFill="1" applyAlignment="1">
      <alignment horizontal="center"/>
    </xf>
    <xf numFmtId="10" fontId="23" fillId="121" borderId="0" xfId="0" applyNumberFormat="1" applyFont="1" applyFill="1" applyAlignment="1">
      <alignment horizontal="center"/>
    </xf>
    <xf numFmtId="10" fontId="23" fillId="161" borderId="5" xfId="0" applyNumberFormat="1" applyFont="1" applyFill="1" applyBorder="1" applyAlignment="1">
      <alignment horizontal="center"/>
    </xf>
    <xf numFmtId="0" fontId="7" fillId="489" borderId="2" xfId="0" applyFont="1" applyFill="1" applyBorder="1" applyAlignment="1">
      <alignment horizontal="center"/>
    </xf>
    <xf numFmtId="164" fontId="23" fillId="222" borderId="0" xfId="0" applyNumberFormat="1" applyFont="1" applyFill="1" applyAlignment="1">
      <alignment horizontal="center"/>
    </xf>
    <xf numFmtId="0" fontId="23" fillId="477" borderId="0" xfId="0" applyFont="1" applyFill="1" applyAlignment="1">
      <alignment horizontal="center"/>
    </xf>
    <xf numFmtId="9" fontId="23" fillId="144" borderId="0" xfId="0" applyNumberFormat="1" applyFont="1" applyFill="1" applyAlignment="1">
      <alignment horizontal="center"/>
    </xf>
    <xf numFmtId="0" fontId="23" fillId="772" borderId="0" xfId="0" applyFont="1" applyFill="1" applyAlignment="1">
      <alignment horizontal="center"/>
    </xf>
    <xf numFmtId="9" fontId="23" fillId="328" borderId="0" xfId="0" applyNumberFormat="1" applyFont="1" applyFill="1" applyAlignment="1">
      <alignment horizontal="center"/>
    </xf>
    <xf numFmtId="0" fontId="23" fillId="82" borderId="0" xfId="0" applyFont="1" applyFill="1" applyAlignment="1">
      <alignment horizontal="center"/>
    </xf>
    <xf numFmtId="0" fontId="23" fillId="632" borderId="0" xfId="0" applyFont="1" applyFill="1" applyAlignment="1">
      <alignment horizontal="center"/>
    </xf>
    <xf numFmtId="9" fontId="23" fillId="97" borderId="0" xfId="0" applyNumberFormat="1" applyFont="1" applyFill="1" applyAlignment="1">
      <alignment horizontal="center"/>
    </xf>
    <xf numFmtId="9" fontId="23" fillId="81" borderId="0" xfId="0" applyNumberFormat="1" applyFont="1" applyFill="1" applyAlignment="1">
      <alignment horizontal="center"/>
    </xf>
    <xf numFmtId="0" fontId="23" fillId="142" borderId="5" xfId="0" applyFont="1" applyFill="1" applyBorder="1" applyAlignment="1">
      <alignment horizontal="center"/>
    </xf>
    <xf numFmtId="10" fontId="23" fillId="177" borderId="0" xfId="0" applyNumberFormat="1" applyFont="1" applyFill="1" applyAlignment="1">
      <alignment horizontal="center"/>
    </xf>
    <xf numFmtId="10" fontId="23" fillId="773" borderId="0" xfId="0" applyNumberFormat="1" applyFont="1" applyFill="1" applyAlignment="1">
      <alignment horizontal="center"/>
    </xf>
    <xf numFmtId="10" fontId="23" fillId="17" borderId="0" xfId="0" applyNumberFormat="1" applyFont="1" applyFill="1" applyAlignment="1">
      <alignment horizontal="center"/>
    </xf>
    <xf numFmtId="10" fontId="23" fillId="582" borderId="5" xfId="0" applyNumberFormat="1" applyFont="1" applyFill="1" applyBorder="1" applyAlignment="1">
      <alignment horizontal="center"/>
    </xf>
    <xf numFmtId="0" fontId="7" fillId="98" borderId="16" xfId="0" applyFont="1" applyFill="1" applyBorder="1" applyAlignment="1">
      <alignment horizontal="center"/>
    </xf>
    <xf numFmtId="0" fontId="7" fillId="774" borderId="1" xfId="0" applyFont="1" applyFill="1" applyBorder="1" applyAlignment="1">
      <alignment horizontal="center"/>
    </xf>
    <xf numFmtId="0" fontId="7" fillId="774" borderId="4" xfId="0" applyFont="1" applyFill="1" applyBorder="1" applyAlignment="1">
      <alignment horizontal="center"/>
    </xf>
    <xf numFmtId="164" fontId="23" fillId="182" borderId="0" xfId="0" applyNumberFormat="1" applyFont="1" applyFill="1" applyAlignment="1">
      <alignment horizontal="center"/>
    </xf>
    <xf numFmtId="0" fontId="23" fillId="161" borderId="0" xfId="0" applyFont="1" applyFill="1" applyAlignment="1">
      <alignment horizontal="center"/>
    </xf>
    <xf numFmtId="9" fontId="23" fillId="19" borderId="0" xfId="0" applyNumberFormat="1" applyFont="1" applyFill="1" applyAlignment="1">
      <alignment horizontal="center"/>
    </xf>
    <xf numFmtId="0" fontId="23" fillId="28" borderId="0" xfId="0" applyFont="1" applyFill="1" applyAlignment="1">
      <alignment horizontal="center"/>
    </xf>
    <xf numFmtId="9" fontId="23" fillId="108" borderId="0" xfId="0" applyNumberFormat="1" applyFont="1" applyFill="1" applyAlignment="1">
      <alignment horizontal="center"/>
    </xf>
    <xf numFmtId="0" fontId="23" fillId="407" borderId="0" xfId="0" applyFont="1" applyFill="1" applyAlignment="1">
      <alignment horizontal="center"/>
    </xf>
    <xf numFmtId="9" fontId="23" fillId="435" borderId="0" xfId="0" applyNumberFormat="1" applyFont="1" applyFill="1" applyAlignment="1">
      <alignment horizontal="center"/>
    </xf>
    <xf numFmtId="9" fontId="23" fillId="357" borderId="0" xfId="0" applyNumberFormat="1" applyFont="1" applyFill="1" applyAlignment="1">
      <alignment horizontal="center"/>
    </xf>
    <xf numFmtId="10" fontId="23" fillId="106" borderId="0" xfId="0" applyNumberFormat="1" applyFont="1" applyFill="1" applyAlignment="1">
      <alignment horizontal="center"/>
    </xf>
    <xf numFmtId="10" fontId="23" fillId="468" borderId="0" xfId="0" applyNumberFormat="1" applyFont="1" applyFill="1" applyAlignment="1">
      <alignment horizontal="center"/>
    </xf>
    <xf numFmtId="10" fontId="23" fillId="14" borderId="5" xfId="0" applyNumberFormat="1" applyFont="1" applyFill="1" applyBorder="1" applyAlignment="1">
      <alignment horizontal="center"/>
    </xf>
    <xf numFmtId="0" fontId="7" fillId="681" borderId="13" xfId="0" applyFont="1" applyFill="1" applyBorder="1" applyAlignment="1">
      <alignment horizontal="center"/>
    </xf>
    <xf numFmtId="0" fontId="7" fillId="498" borderId="2" xfId="0" applyFont="1" applyFill="1" applyBorder="1" applyAlignment="1">
      <alignment horizontal="center"/>
    </xf>
    <xf numFmtId="164" fontId="23" fillId="64" borderId="0" xfId="0" applyNumberFormat="1" applyFont="1" applyFill="1" applyAlignment="1">
      <alignment horizontal="center"/>
    </xf>
    <xf numFmtId="0" fontId="23" fillId="25" borderId="0" xfId="0" applyFont="1" applyFill="1" applyAlignment="1">
      <alignment horizontal="center"/>
    </xf>
    <xf numFmtId="0" fontId="23" fillId="361" borderId="0" xfId="0" applyFont="1" applyFill="1" applyAlignment="1">
      <alignment horizontal="center"/>
    </xf>
    <xf numFmtId="0" fontId="23" fillId="97" borderId="0" xfId="0" applyFont="1" applyFill="1" applyAlignment="1">
      <alignment horizontal="center"/>
    </xf>
    <xf numFmtId="9" fontId="23" fillId="95" borderId="0" xfId="0" applyNumberFormat="1" applyFont="1" applyFill="1" applyAlignment="1">
      <alignment horizontal="center"/>
    </xf>
    <xf numFmtId="10" fontId="23" fillId="164" borderId="0" xfId="0" applyNumberFormat="1" applyFont="1" applyFill="1" applyAlignment="1">
      <alignment horizontal="center"/>
    </xf>
    <xf numFmtId="10" fontId="23" fillId="98" borderId="0" xfId="0" applyNumberFormat="1" applyFont="1" applyFill="1" applyAlignment="1">
      <alignment horizontal="center"/>
    </xf>
    <xf numFmtId="10" fontId="23" fillId="602" borderId="0" xfId="0" applyNumberFormat="1" applyFont="1" applyFill="1" applyAlignment="1">
      <alignment horizontal="center"/>
    </xf>
    <xf numFmtId="0" fontId="7" fillId="493" borderId="16" xfId="0" applyFont="1" applyFill="1" applyBorder="1" applyAlignment="1">
      <alignment horizontal="center"/>
    </xf>
    <xf numFmtId="0" fontId="7" fillId="775" borderId="1" xfId="0" applyFont="1" applyFill="1" applyBorder="1" applyAlignment="1">
      <alignment horizontal="center"/>
    </xf>
    <xf numFmtId="164" fontId="23" fillId="106" borderId="0" xfId="0" applyNumberFormat="1" applyFont="1" applyFill="1" applyAlignment="1">
      <alignment horizontal="center"/>
    </xf>
    <xf numFmtId="0" fontId="23" fillId="195" borderId="0" xfId="0" applyFont="1" applyFill="1" applyAlignment="1">
      <alignment horizontal="center"/>
    </xf>
    <xf numFmtId="0" fontId="23" fillId="240" borderId="0" xfId="0" applyFont="1" applyFill="1" applyAlignment="1">
      <alignment horizontal="center"/>
    </xf>
    <xf numFmtId="9" fontId="23" fillId="258" borderId="0" xfId="0" applyNumberFormat="1" applyFont="1" applyFill="1" applyAlignment="1">
      <alignment horizontal="center"/>
    </xf>
    <xf numFmtId="0" fontId="23" fillId="27" borderId="0" xfId="0" applyFont="1" applyFill="1" applyAlignment="1">
      <alignment horizontal="center"/>
    </xf>
    <xf numFmtId="0" fontId="23" fillId="598" borderId="0" xfId="0" applyFont="1" applyFill="1" applyAlignment="1">
      <alignment horizontal="center"/>
    </xf>
    <xf numFmtId="9" fontId="23" fillId="418" borderId="0" xfId="0" applyNumberFormat="1" applyFont="1" applyFill="1" applyAlignment="1">
      <alignment horizontal="center"/>
    </xf>
    <xf numFmtId="10" fontId="23" fillId="50" borderId="0" xfId="0" applyNumberFormat="1" applyFont="1" applyFill="1" applyAlignment="1">
      <alignment horizontal="center"/>
    </xf>
    <xf numFmtId="10" fontId="23" fillId="438" borderId="0" xfId="0" applyNumberFormat="1" applyFont="1" applyFill="1" applyAlignment="1">
      <alignment horizontal="center"/>
    </xf>
    <xf numFmtId="10" fontId="23" fillId="108" borderId="0" xfId="0" applyNumberFormat="1" applyFont="1" applyFill="1" applyAlignment="1">
      <alignment horizontal="center"/>
    </xf>
    <xf numFmtId="10" fontId="23" fillId="177" borderId="5" xfId="0" applyNumberFormat="1" applyFont="1" applyFill="1" applyBorder="1" applyAlignment="1">
      <alignment horizontal="center"/>
    </xf>
    <xf numFmtId="0" fontId="7" fillId="776" borderId="2" xfId="0" applyFont="1" applyFill="1" applyBorder="1" applyAlignment="1">
      <alignment horizontal="center"/>
    </xf>
    <xf numFmtId="0" fontId="7" fillId="777" borderId="2" xfId="0" applyFont="1" applyFill="1" applyBorder="1" applyAlignment="1">
      <alignment horizontal="center"/>
    </xf>
    <xf numFmtId="0" fontId="7" fillId="777" borderId="3" xfId="0" applyFont="1" applyFill="1" applyBorder="1" applyAlignment="1">
      <alignment horizontal="center"/>
    </xf>
    <xf numFmtId="164" fontId="23" fillId="717" borderId="0" xfId="0" applyNumberFormat="1" applyFont="1" applyFill="1" applyAlignment="1">
      <alignment horizontal="center"/>
    </xf>
    <xf numFmtId="0" fontId="23" fillId="493" borderId="0" xfId="0" applyFont="1" applyFill="1" applyAlignment="1">
      <alignment horizontal="center"/>
    </xf>
    <xf numFmtId="9" fontId="23" fillId="62" borderId="0" xfId="0" applyNumberFormat="1" applyFont="1" applyFill="1" applyAlignment="1">
      <alignment horizontal="center"/>
    </xf>
    <xf numFmtId="0" fontId="23" fillId="270" borderId="0" xfId="0" applyFont="1" applyFill="1" applyAlignment="1">
      <alignment horizontal="center"/>
    </xf>
    <xf numFmtId="0" fontId="23" fillId="211" borderId="0" xfId="0" applyFont="1" applyFill="1" applyAlignment="1">
      <alignment horizontal="center"/>
    </xf>
    <xf numFmtId="9" fontId="23" fillId="96" borderId="0" xfId="0" applyNumberFormat="1" applyFont="1" applyFill="1" applyAlignment="1">
      <alignment horizontal="center"/>
    </xf>
    <xf numFmtId="0" fontId="23" fillId="150" borderId="5" xfId="0" applyFont="1" applyFill="1" applyBorder="1" applyAlignment="1">
      <alignment horizontal="center"/>
    </xf>
    <xf numFmtId="10" fontId="23" fillId="681" borderId="0" xfId="0" applyNumberFormat="1" applyFont="1" applyFill="1" applyAlignment="1">
      <alignment horizontal="center"/>
    </xf>
    <xf numFmtId="10" fontId="23" fillId="65" borderId="0" xfId="0" applyNumberFormat="1" applyFont="1" applyFill="1" applyAlignment="1">
      <alignment horizontal="center"/>
    </xf>
    <xf numFmtId="10" fontId="23" fillId="138" borderId="0" xfId="0" applyNumberFormat="1" applyFont="1" applyFill="1" applyAlignment="1">
      <alignment horizontal="center"/>
    </xf>
    <xf numFmtId="10" fontId="23" fillId="169" borderId="5" xfId="0" applyNumberFormat="1" applyFont="1" applyFill="1" applyBorder="1" applyAlignment="1">
      <alignment horizontal="center"/>
    </xf>
    <xf numFmtId="0" fontId="7" fillId="75" borderId="16" xfId="0" applyFont="1" applyFill="1" applyBorder="1" applyAlignment="1">
      <alignment horizontal="center"/>
    </xf>
    <xf numFmtId="0" fontId="7" fillId="542" borderId="1" xfId="0" applyFont="1" applyFill="1" applyBorder="1" applyAlignment="1">
      <alignment horizontal="center"/>
    </xf>
    <xf numFmtId="0" fontId="7" fillId="709" borderId="1" xfId="0" applyFont="1" applyFill="1" applyBorder="1" applyAlignment="1">
      <alignment horizontal="center"/>
    </xf>
    <xf numFmtId="0" fontId="7" fillId="709" borderId="4" xfId="0" applyFont="1" applyFill="1" applyBorder="1" applyAlignment="1">
      <alignment horizontal="center"/>
    </xf>
    <xf numFmtId="164" fontId="23" fillId="397" borderId="0" xfId="0" applyNumberFormat="1" applyFont="1" applyFill="1" applyAlignment="1">
      <alignment horizontal="center"/>
    </xf>
    <xf numFmtId="0" fontId="23" fillId="203" borderId="0" xfId="0" applyFont="1" applyFill="1" applyAlignment="1">
      <alignment horizontal="center"/>
    </xf>
    <xf numFmtId="9" fontId="23" fillId="50" borderId="0" xfId="0" applyNumberFormat="1" applyFont="1" applyFill="1" applyAlignment="1">
      <alignment horizontal="center"/>
    </xf>
    <xf numFmtId="0" fontId="23" fillId="778" borderId="0" xfId="0" applyFont="1" applyFill="1" applyAlignment="1">
      <alignment horizontal="center"/>
    </xf>
    <xf numFmtId="0" fontId="23" fillId="38" borderId="0" xfId="0" applyFont="1" applyFill="1" applyAlignment="1">
      <alignment horizontal="center"/>
    </xf>
    <xf numFmtId="10" fontId="23" fillId="323" borderId="0" xfId="0" applyNumberFormat="1" applyFont="1" applyFill="1" applyAlignment="1">
      <alignment horizontal="center"/>
    </xf>
    <xf numFmtId="10" fontId="23" fillId="161" borderId="0" xfId="0" applyNumberFormat="1" applyFont="1" applyFill="1" applyAlignment="1">
      <alignment horizontal="center"/>
    </xf>
    <xf numFmtId="10" fontId="23" fillId="78" borderId="5" xfId="0" applyNumberFormat="1" applyFont="1" applyFill="1" applyBorder="1" applyAlignment="1">
      <alignment horizontal="center"/>
    </xf>
    <xf numFmtId="0" fontId="7" fillId="75" borderId="13" xfId="0" applyFont="1" applyFill="1" applyBorder="1" applyAlignment="1">
      <alignment horizontal="center"/>
    </xf>
    <xf numFmtId="0" fontId="7" fillId="779" borderId="2" xfId="0" applyFont="1" applyFill="1" applyBorder="1" applyAlignment="1">
      <alignment horizontal="center"/>
    </xf>
    <xf numFmtId="0" fontId="7" fillId="780" borderId="2" xfId="0" applyFont="1" applyFill="1" applyBorder="1" applyAlignment="1">
      <alignment horizontal="center"/>
    </xf>
    <xf numFmtId="0" fontId="7" fillId="780" borderId="3" xfId="0" applyFont="1" applyFill="1" applyBorder="1" applyAlignment="1">
      <alignment horizontal="center"/>
    </xf>
    <xf numFmtId="164" fontId="23" fillId="627" borderId="0" xfId="0" applyNumberFormat="1" applyFont="1" applyFill="1" applyAlignment="1">
      <alignment horizontal="center"/>
    </xf>
    <xf numFmtId="0" fontId="23" fillId="81" borderId="0" xfId="0" applyFont="1" applyFill="1" applyAlignment="1">
      <alignment horizontal="center"/>
    </xf>
    <xf numFmtId="9" fontId="23" fillId="125" borderId="0" xfId="0" applyNumberFormat="1" applyFont="1" applyFill="1" applyAlignment="1">
      <alignment horizontal="center"/>
    </xf>
    <xf numFmtId="0" fontId="23" fillId="781" borderId="0" xfId="0" applyFont="1" applyFill="1" applyAlignment="1">
      <alignment horizontal="center"/>
    </xf>
    <xf numFmtId="0" fontId="23" fillId="112" borderId="0" xfId="0" applyFont="1" applyFill="1" applyAlignment="1">
      <alignment horizontal="center"/>
    </xf>
    <xf numFmtId="9" fontId="23" fillId="107" borderId="0" xfId="0" applyNumberFormat="1" applyFont="1" applyFill="1" applyAlignment="1">
      <alignment horizontal="center"/>
    </xf>
    <xf numFmtId="10" fontId="23" fillId="114" borderId="0" xfId="0" applyNumberFormat="1" applyFont="1" applyFill="1" applyAlignment="1">
      <alignment horizontal="center"/>
    </xf>
    <xf numFmtId="10" fontId="23" fillId="233" borderId="0" xfId="0" applyNumberFormat="1" applyFont="1" applyFill="1" applyAlignment="1">
      <alignment horizontal="center"/>
    </xf>
    <xf numFmtId="10" fontId="23" fillId="149" borderId="5" xfId="0" applyNumberFormat="1" applyFont="1" applyFill="1" applyBorder="1" applyAlignment="1">
      <alignment horizontal="center"/>
    </xf>
    <xf numFmtId="0" fontId="7" fillId="379" borderId="1" xfId="0" applyFont="1" applyFill="1" applyBorder="1" applyAlignment="1">
      <alignment horizontal="center"/>
    </xf>
    <xf numFmtId="164" fontId="23" fillId="612" borderId="0" xfId="0" applyNumberFormat="1" applyFont="1" applyFill="1" applyAlignment="1">
      <alignment horizontal="center"/>
    </xf>
    <xf numFmtId="0" fontId="23" fillId="302" borderId="0" xfId="0" applyFont="1" applyFill="1" applyAlignment="1">
      <alignment horizontal="center"/>
    </xf>
    <xf numFmtId="0" fontId="23" fillId="724" borderId="0" xfId="0" applyFont="1" applyFill="1" applyAlignment="1">
      <alignment horizontal="center"/>
    </xf>
    <xf numFmtId="0" fontId="23" fillId="76" borderId="0" xfId="0" applyFont="1" applyFill="1" applyAlignment="1">
      <alignment horizontal="center"/>
    </xf>
    <xf numFmtId="0" fontId="23" fillId="77" borderId="0" xfId="0" applyFont="1" applyFill="1" applyAlignment="1">
      <alignment horizontal="center"/>
    </xf>
    <xf numFmtId="9" fontId="23" fillId="42" borderId="0" xfId="0" applyNumberFormat="1" applyFont="1" applyFill="1" applyAlignment="1">
      <alignment horizontal="center"/>
    </xf>
    <xf numFmtId="10" fontId="23" fillId="179" borderId="0" xfId="0" applyNumberFormat="1" applyFont="1" applyFill="1" applyAlignment="1">
      <alignment horizontal="center"/>
    </xf>
    <xf numFmtId="10" fontId="23" fillId="241" borderId="0" xfId="0" applyNumberFormat="1" applyFont="1" applyFill="1" applyAlignment="1">
      <alignment horizontal="center"/>
    </xf>
    <xf numFmtId="0" fontId="7" fillId="208" borderId="2" xfId="0" applyFont="1" applyFill="1" applyBorder="1" applyAlignment="1">
      <alignment horizontal="center"/>
    </xf>
    <xf numFmtId="0" fontId="7" fillId="515" borderId="2" xfId="0" applyFont="1" applyFill="1" applyBorder="1" applyAlignment="1">
      <alignment horizontal="center"/>
    </xf>
    <xf numFmtId="0" fontId="7" fillId="515" borderId="3" xfId="0" applyFont="1" applyFill="1" applyBorder="1" applyAlignment="1">
      <alignment horizontal="center"/>
    </xf>
    <xf numFmtId="164" fontId="23" fillId="609" borderId="0" xfId="0" applyNumberFormat="1" applyFont="1" applyFill="1" applyAlignment="1">
      <alignment horizontal="center"/>
    </xf>
    <xf numFmtId="0" fontId="23" fillId="294" borderId="0" xfId="0" applyFont="1" applyFill="1" applyAlignment="1">
      <alignment horizontal="center"/>
    </xf>
    <xf numFmtId="0" fontId="23" fillId="278" borderId="0" xfId="0" applyFont="1" applyFill="1" applyAlignment="1">
      <alignment horizontal="center"/>
    </xf>
    <xf numFmtId="10" fontId="23" fillId="45" borderId="0" xfId="0" applyNumberFormat="1" applyFont="1" applyFill="1" applyAlignment="1">
      <alignment horizontal="center"/>
    </xf>
    <xf numFmtId="10" fontId="23" fillId="438" borderId="5" xfId="0" applyNumberFormat="1" applyFont="1" applyFill="1" applyBorder="1" applyAlignment="1">
      <alignment horizontal="center"/>
    </xf>
    <xf numFmtId="0" fontId="7" fillId="782" borderId="1" xfId="0" applyFont="1" applyFill="1" applyBorder="1" applyAlignment="1">
      <alignment horizontal="center"/>
    </xf>
    <xf numFmtId="0" fontId="7" fillId="782" borderId="4" xfId="0" applyFont="1" applyFill="1" applyBorder="1" applyAlignment="1">
      <alignment horizontal="center"/>
    </xf>
    <xf numFmtId="164" fontId="23" fillId="345" borderId="0" xfId="0" applyNumberFormat="1" applyFont="1" applyFill="1" applyAlignment="1">
      <alignment horizontal="center"/>
    </xf>
    <xf numFmtId="0" fontId="23" fillId="344" borderId="0" xfId="0" applyFont="1" applyFill="1" applyAlignment="1">
      <alignment horizontal="center"/>
    </xf>
    <xf numFmtId="9" fontId="23" fillId="139" borderId="0" xfId="0" applyNumberFormat="1" applyFont="1" applyFill="1" applyAlignment="1">
      <alignment horizontal="center"/>
    </xf>
    <xf numFmtId="9" fontId="23" fillId="562" borderId="0" xfId="0" applyNumberFormat="1" applyFont="1" applyFill="1" applyAlignment="1">
      <alignment horizontal="center"/>
    </xf>
    <xf numFmtId="10" fontId="23" fillId="272" borderId="0" xfId="0" applyNumberFormat="1" applyFont="1" applyFill="1" applyAlignment="1">
      <alignment horizontal="center"/>
    </xf>
    <xf numFmtId="10" fontId="23" fillId="15" borderId="0" xfId="0" applyNumberFormat="1" applyFont="1" applyFill="1" applyAlignment="1">
      <alignment horizontal="center"/>
    </xf>
    <xf numFmtId="10" fontId="23" fillId="176" borderId="0" xfId="0" applyNumberFormat="1" applyFont="1" applyFill="1" applyAlignment="1">
      <alignment horizontal="center"/>
    </xf>
    <xf numFmtId="10" fontId="23" fillId="20" borderId="5" xfId="0" applyNumberFormat="1" applyFont="1" applyFill="1" applyBorder="1" applyAlignment="1">
      <alignment horizontal="center"/>
    </xf>
    <xf numFmtId="164" fontId="23" fillId="599" borderId="0" xfId="0" applyNumberFormat="1" applyFont="1" applyFill="1" applyAlignment="1">
      <alignment horizontal="center"/>
    </xf>
    <xf numFmtId="0" fontId="23" fillId="412" borderId="0" xfId="0" applyFont="1" applyFill="1" applyAlignment="1">
      <alignment horizontal="center"/>
    </xf>
    <xf numFmtId="0" fontId="23" fillId="391" borderId="0" xfId="0" applyFont="1" applyFill="1" applyAlignment="1">
      <alignment horizontal="center"/>
    </xf>
    <xf numFmtId="9" fontId="23" fillId="112" borderId="0" xfId="0" applyNumberFormat="1" applyFont="1" applyFill="1" applyAlignment="1">
      <alignment horizontal="center"/>
    </xf>
    <xf numFmtId="0" fontId="23" fillId="121" borderId="0" xfId="0" applyFont="1" applyFill="1" applyAlignment="1">
      <alignment horizontal="center"/>
    </xf>
    <xf numFmtId="0" fontId="23" fillId="362" borderId="0" xfId="0" applyFont="1" applyFill="1" applyAlignment="1">
      <alignment horizontal="center"/>
    </xf>
    <xf numFmtId="9" fontId="23" fillId="358" borderId="0" xfId="0" applyNumberFormat="1" applyFont="1" applyFill="1" applyAlignment="1">
      <alignment horizontal="center"/>
    </xf>
    <xf numFmtId="9" fontId="23" fillId="78" borderId="0" xfId="0" applyNumberFormat="1" applyFont="1" applyFill="1" applyAlignment="1">
      <alignment horizontal="center"/>
    </xf>
    <xf numFmtId="10" fontId="23" fillId="81" borderId="0" xfId="0" applyNumberFormat="1" applyFont="1" applyFill="1" applyAlignment="1">
      <alignment horizontal="center"/>
    </xf>
    <xf numFmtId="10" fontId="23" fillId="301" borderId="0" xfId="0" applyNumberFormat="1" applyFont="1" applyFill="1" applyAlignment="1">
      <alignment horizontal="center"/>
    </xf>
    <xf numFmtId="10" fontId="23" fillId="115" borderId="0" xfId="0" applyNumberFormat="1" applyFont="1" applyFill="1" applyAlignment="1">
      <alignment horizontal="center"/>
    </xf>
    <xf numFmtId="10" fontId="23" fillId="176" borderId="5" xfId="0" applyNumberFormat="1" applyFont="1" applyFill="1" applyBorder="1" applyAlignment="1">
      <alignment horizontal="center"/>
    </xf>
    <xf numFmtId="0" fontId="7" fillId="152" borderId="16" xfId="0" applyFont="1" applyFill="1" applyBorder="1" applyAlignment="1">
      <alignment horizontal="center"/>
    </xf>
    <xf numFmtId="164" fontId="23" fillId="617" borderId="0" xfId="0" applyNumberFormat="1" applyFont="1" applyFill="1" applyAlignment="1">
      <alignment horizontal="center"/>
    </xf>
    <xf numFmtId="9" fontId="23" fillId="14" borderId="0" xfId="0" applyNumberFormat="1" applyFont="1" applyFill="1" applyAlignment="1">
      <alignment horizontal="center"/>
    </xf>
    <xf numFmtId="0" fontId="23" fillId="166" borderId="0" xfId="0" applyFont="1" applyFill="1" applyAlignment="1">
      <alignment horizontal="center"/>
    </xf>
    <xf numFmtId="10" fontId="23" fillId="26" borderId="5" xfId="0" applyNumberFormat="1" applyFont="1" applyFill="1" applyBorder="1" applyAlignment="1">
      <alignment horizontal="center"/>
    </xf>
    <xf numFmtId="0" fontId="7" fillId="206" borderId="13" xfId="0" applyFont="1" applyFill="1" applyBorder="1" applyAlignment="1">
      <alignment horizontal="center"/>
    </xf>
    <xf numFmtId="0" fontId="7" fillId="709" borderId="2" xfId="0" applyFont="1" applyFill="1" applyBorder="1" applyAlignment="1">
      <alignment horizontal="center"/>
    </xf>
    <xf numFmtId="164" fontId="23" fillId="615" borderId="0" xfId="0" applyNumberFormat="1" applyFont="1" applyFill="1" applyAlignment="1">
      <alignment horizontal="center"/>
    </xf>
    <xf numFmtId="0" fontId="23" fillId="494" borderId="0" xfId="0" applyFont="1" applyFill="1" applyAlignment="1">
      <alignment horizontal="center"/>
    </xf>
    <xf numFmtId="9" fontId="23" fillId="132" borderId="0" xfId="0" applyNumberFormat="1" applyFont="1" applyFill="1" applyAlignment="1">
      <alignment horizontal="center"/>
    </xf>
    <xf numFmtId="0" fontId="23" fillId="19" borderId="0" xfId="0" applyFont="1" applyFill="1" applyAlignment="1">
      <alignment horizontal="center"/>
    </xf>
    <xf numFmtId="9" fontId="23" fillId="177" borderId="0" xfId="0" applyNumberFormat="1" applyFont="1" applyFill="1" applyAlignment="1">
      <alignment horizontal="center"/>
    </xf>
    <xf numFmtId="9" fontId="23" fillId="57" borderId="0" xfId="0" applyNumberFormat="1" applyFont="1" applyFill="1" applyAlignment="1">
      <alignment horizontal="center"/>
    </xf>
    <xf numFmtId="10" fontId="23" fillId="134" borderId="0" xfId="0" applyNumberFormat="1" applyFont="1" applyFill="1" applyAlignment="1">
      <alignment horizontal="center"/>
    </xf>
    <xf numFmtId="10" fontId="23" fillId="263" borderId="0" xfId="0" applyNumberFormat="1" applyFont="1" applyFill="1" applyAlignment="1">
      <alignment horizontal="center"/>
    </xf>
    <xf numFmtId="10" fontId="23" fillId="39" borderId="0" xfId="0" applyNumberFormat="1" applyFont="1" applyFill="1" applyAlignment="1">
      <alignment horizontal="center"/>
    </xf>
    <xf numFmtId="0" fontId="7" fillId="783" borderId="1" xfId="0" applyFont="1" applyFill="1" applyBorder="1" applyAlignment="1">
      <alignment horizontal="center"/>
    </xf>
    <xf numFmtId="164" fontId="23" fillId="26" borderId="0" xfId="0" applyNumberFormat="1" applyFont="1" applyFill="1" applyAlignment="1">
      <alignment horizontal="center"/>
    </xf>
    <xf numFmtId="0" fontId="23" fillId="144" borderId="0" xfId="0" applyFont="1" applyFill="1" applyAlignment="1">
      <alignment horizontal="center"/>
    </xf>
    <xf numFmtId="0" fontId="23" fillId="429" borderId="0" xfId="0" applyFont="1" applyFill="1" applyAlignment="1">
      <alignment horizontal="center"/>
    </xf>
    <xf numFmtId="9" fontId="23" fillId="100" borderId="0" xfId="0" applyNumberFormat="1" applyFont="1" applyFill="1" applyAlignment="1">
      <alignment horizontal="center"/>
    </xf>
    <xf numFmtId="10" fontId="23" fillId="223" borderId="0" xfId="0" applyNumberFormat="1" applyFont="1" applyFill="1" applyAlignment="1">
      <alignment horizontal="center"/>
    </xf>
    <xf numFmtId="10" fontId="23" fillId="314" borderId="0" xfId="0" applyNumberFormat="1" applyFont="1" applyFill="1" applyAlignment="1">
      <alignment horizontal="center"/>
    </xf>
    <xf numFmtId="10" fontId="23" fillId="19" borderId="5" xfId="0" applyNumberFormat="1" applyFont="1" applyFill="1" applyBorder="1" applyAlignment="1">
      <alignment horizontal="center"/>
    </xf>
    <xf numFmtId="0" fontId="7" fillId="417" borderId="3" xfId="0" applyFont="1" applyFill="1" applyBorder="1" applyAlignment="1">
      <alignment horizontal="center"/>
    </xf>
    <xf numFmtId="0" fontId="7" fillId="784" borderId="2" xfId="0" applyFont="1" applyFill="1" applyBorder="1" applyAlignment="1">
      <alignment horizontal="center"/>
    </xf>
    <xf numFmtId="0" fontId="7" fillId="489" borderId="3" xfId="0" applyFont="1" applyFill="1" applyBorder="1" applyAlignment="1">
      <alignment horizontal="center"/>
    </xf>
    <xf numFmtId="164" fontId="23" fillId="14" borderId="0" xfId="0" applyNumberFormat="1" applyFont="1" applyFill="1" applyAlignment="1">
      <alignment horizontal="center"/>
    </xf>
    <xf numFmtId="0" fontId="23" fillId="95" borderId="0" xfId="0" applyFont="1" applyFill="1" applyAlignment="1">
      <alignment horizontal="center"/>
    </xf>
    <xf numFmtId="9" fontId="23" fillId="553" borderId="0" xfId="0" applyNumberFormat="1" applyFont="1" applyFill="1" applyAlignment="1">
      <alignment horizontal="center"/>
    </xf>
    <xf numFmtId="0" fontId="23" fillId="340" borderId="0" xfId="0" applyFont="1" applyFill="1" applyAlignment="1">
      <alignment horizontal="center"/>
    </xf>
    <xf numFmtId="0" fontId="23" fillId="163" borderId="0" xfId="0" applyFont="1" applyFill="1" applyAlignment="1">
      <alignment horizontal="center"/>
    </xf>
    <xf numFmtId="0" fontId="23" fillId="537" borderId="0" xfId="0" applyFont="1" applyFill="1" applyAlignment="1">
      <alignment horizontal="center"/>
    </xf>
    <xf numFmtId="9" fontId="23" fillId="15" borderId="0" xfId="0" applyNumberFormat="1" applyFont="1" applyFill="1" applyAlignment="1">
      <alignment horizontal="center"/>
    </xf>
    <xf numFmtId="0" fontId="23" fillId="26" borderId="5" xfId="0" applyFont="1" applyFill="1" applyBorder="1" applyAlignment="1">
      <alignment horizontal="center"/>
    </xf>
    <xf numFmtId="10" fontId="23" fillId="371" borderId="0" xfId="0" applyNumberFormat="1" applyFont="1" applyFill="1" applyAlignment="1">
      <alignment horizontal="center"/>
    </xf>
    <xf numFmtId="10" fontId="23" fillId="40" borderId="5" xfId="0" applyNumberFormat="1" applyFont="1" applyFill="1" applyBorder="1" applyAlignment="1">
      <alignment horizontal="center"/>
    </xf>
    <xf numFmtId="0" fontId="7" fillId="241" borderId="16" xfId="0" applyFont="1" applyFill="1" applyBorder="1" applyAlignment="1">
      <alignment horizontal="center"/>
    </xf>
    <xf numFmtId="0" fontId="7" fillId="653" borderId="1" xfId="0" applyFont="1" applyFill="1" applyBorder="1" applyAlignment="1">
      <alignment horizontal="center"/>
    </xf>
    <xf numFmtId="164" fontId="23" fillId="713" borderId="0" xfId="0" applyNumberFormat="1" applyFont="1" applyFill="1" applyAlignment="1">
      <alignment horizontal="center"/>
    </xf>
    <xf numFmtId="0" fontId="23" fillId="593" borderId="0" xfId="0" applyFont="1" applyFill="1" applyAlignment="1">
      <alignment horizontal="center"/>
    </xf>
    <xf numFmtId="9" fontId="23" fillId="113" borderId="0" xfId="0" applyNumberFormat="1" applyFont="1" applyFill="1" applyAlignment="1">
      <alignment horizontal="center"/>
    </xf>
    <xf numFmtId="0" fontId="23" fillId="231" borderId="0" xfId="0" applyFont="1" applyFill="1" applyAlignment="1">
      <alignment horizontal="center"/>
    </xf>
    <xf numFmtId="0" fontId="23" fillId="410" borderId="0" xfId="0" applyFont="1" applyFill="1" applyAlignment="1">
      <alignment horizontal="center"/>
    </xf>
    <xf numFmtId="9" fontId="23" fillId="41" borderId="0" xfId="0" applyNumberFormat="1" applyFont="1" applyFill="1" applyAlignment="1">
      <alignment horizontal="center"/>
    </xf>
    <xf numFmtId="10" fontId="23" fillId="24" borderId="0" xfId="0" applyNumberFormat="1" applyFont="1" applyFill="1" applyAlignment="1">
      <alignment horizontal="center"/>
    </xf>
    <xf numFmtId="10" fontId="23" fillId="342" borderId="0" xfId="0" applyNumberFormat="1" applyFont="1" applyFill="1" applyAlignment="1">
      <alignment horizontal="center"/>
    </xf>
    <xf numFmtId="10" fontId="23" fillId="608" borderId="0" xfId="0" applyNumberFormat="1" applyFont="1" applyFill="1" applyAlignment="1">
      <alignment horizontal="center"/>
    </xf>
    <xf numFmtId="10" fontId="23" fillId="342" borderId="5" xfId="0" applyNumberFormat="1" applyFont="1" applyFill="1" applyBorder="1" applyAlignment="1">
      <alignment horizontal="center"/>
    </xf>
    <xf numFmtId="0" fontId="7" fillId="785" borderId="2" xfId="0" applyFont="1" applyFill="1" applyBorder="1" applyAlignment="1">
      <alignment horizontal="center"/>
    </xf>
    <xf numFmtId="0" fontId="7" fillId="102" borderId="2" xfId="0" applyFont="1" applyFill="1" applyBorder="1" applyAlignment="1">
      <alignment horizontal="center"/>
    </xf>
    <xf numFmtId="0" fontId="7" fillId="102" borderId="3" xfId="0" applyFont="1" applyFill="1" applyBorder="1" applyAlignment="1">
      <alignment horizontal="center"/>
    </xf>
    <xf numFmtId="164" fontId="23" fillId="714" borderId="0" xfId="0" applyNumberFormat="1" applyFont="1" applyFill="1" applyAlignment="1">
      <alignment horizontal="center"/>
    </xf>
    <xf numFmtId="0" fontId="23" fillId="197" borderId="0" xfId="0" applyFont="1" applyFill="1" applyAlignment="1">
      <alignment horizontal="center"/>
    </xf>
    <xf numFmtId="9" fontId="23" fillId="75" borderId="0" xfId="0" applyNumberFormat="1" applyFont="1" applyFill="1" applyAlignment="1">
      <alignment horizontal="center"/>
    </xf>
    <xf numFmtId="9" fontId="23" fillId="310" borderId="0" xfId="0" applyNumberFormat="1" applyFont="1" applyFill="1" applyAlignment="1">
      <alignment horizontal="center"/>
    </xf>
    <xf numFmtId="0" fontId="23" fillId="76" borderId="5" xfId="0" applyFont="1" applyFill="1" applyBorder="1" applyAlignment="1">
      <alignment horizontal="center"/>
    </xf>
    <xf numFmtId="10" fontId="23" fillId="786" borderId="0" xfId="0" applyNumberFormat="1" applyFont="1" applyFill="1" applyAlignment="1">
      <alignment horizontal="center"/>
    </xf>
    <xf numFmtId="10" fontId="23" fillId="132" borderId="5" xfId="0" applyNumberFormat="1" applyFont="1" applyFill="1" applyBorder="1" applyAlignment="1">
      <alignment horizontal="center"/>
    </xf>
    <xf numFmtId="0" fontId="7" fillId="595" borderId="16" xfId="0" applyFont="1" applyFill="1" applyBorder="1" applyAlignment="1">
      <alignment horizontal="center"/>
    </xf>
    <xf numFmtId="0" fontId="7" fillId="55" borderId="1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49" fontId="1" fillId="5" borderId="1" xfId="0" applyNumberFormat="1" applyFont="1" applyFill="1" applyBorder="1"/>
    <xf numFmtId="0" fontId="25" fillId="2" borderId="1" xfId="0" applyFont="1" applyFill="1" applyBorder="1" applyAlignment="1">
      <alignment horizontal="center"/>
    </xf>
    <xf numFmtId="49" fontId="20" fillId="2" borderId="1" xfId="0" applyNumberFormat="1" applyFont="1" applyFill="1" applyBorder="1" applyAlignment="1">
      <alignment horizontal="center"/>
    </xf>
    <xf numFmtId="0" fontId="10" fillId="12" borderId="3" xfId="0" applyFont="1" applyFill="1" applyBorder="1"/>
    <xf numFmtId="0" fontId="10" fillId="12" borderId="2" xfId="0" applyFont="1" applyFill="1" applyBorder="1" applyAlignment="1">
      <alignment horizontal="center"/>
    </xf>
    <xf numFmtId="49" fontId="11" fillId="12" borderId="2" xfId="0" applyNumberFormat="1" applyFont="1" applyFill="1" applyBorder="1" applyAlignment="1">
      <alignment horizontal="center"/>
    </xf>
    <xf numFmtId="49" fontId="11" fillId="12" borderId="3" xfId="0" applyNumberFormat="1" applyFont="1" applyFill="1" applyBorder="1" applyAlignment="1">
      <alignment horizontal="center"/>
    </xf>
    <xf numFmtId="0" fontId="10" fillId="679" borderId="2" xfId="0" applyFont="1" applyFill="1" applyBorder="1" applyAlignment="1">
      <alignment horizontal="center"/>
    </xf>
    <xf numFmtId="9" fontId="10" fillId="62" borderId="2" xfId="0" applyNumberFormat="1" applyFont="1" applyFill="1" applyBorder="1" applyAlignment="1">
      <alignment horizontal="center"/>
    </xf>
    <xf numFmtId="0" fontId="10" fillId="94" borderId="2" xfId="0" applyFont="1" applyFill="1" applyBorder="1" applyAlignment="1">
      <alignment horizontal="center"/>
    </xf>
    <xf numFmtId="9" fontId="10" fillId="50" borderId="3" xfId="0" applyNumberFormat="1" applyFont="1" applyFill="1" applyBorder="1" applyAlignment="1">
      <alignment horizontal="center"/>
    </xf>
    <xf numFmtId="0" fontId="10" fillId="50" borderId="3" xfId="0" applyFont="1" applyFill="1" applyBorder="1" applyAlignment="1">
      <alignment horizontal="center"/>
    </xf>
    <xf numFmtId="0" fontId="10" fillId="14" borderId="2" xfId="0" applyFont="1" applyFill="1" applyBorder="1" applyAlignment="1">
      <alignment horizontal="center"/>
    </xf>
    <xf numFmtId="9" fontId="10" fillId="14" borderId="2" xfId="0" applyNumberFormat="1" applyFont="1" applyFill="1" applyBorder="1" applyAlignment="1">
      <alignment horizontal="center"/>
    </xf>
    <xf numFmtId="9" fontId="10" fillId="29" borderId="2" xfId="0" applyNumberFormat="1" applyFont="1" applyFill="1" applyBorder="1" applyAlignment="1">
      <alignment horizontal="center"/>
    </xf>
    <xf numFmtId="0" fontId="10" fillId="14" borderId="3" xfId="0" applyFont="1" applyFill="1" applyBorder="1" applyAlignment="1">
      <alignment horizontal="center"/>
    </xf>
    <xf numFmtId="10" fontId="10" fillId="562" borderId="2" xfId="0" applyNumberFormat="1" applyFont="1" applyFill="1" applyBorder="1" applyAlignment="1">
      <alignment horizontal="center"/>
    </xf>
    <xf numFmtId="10" fontId="10" fillId="14" borderId="2" xfId="0" applyNumberFormat="1" applyFont="1" applyFill="1" applyBorder="1" applyAlignment="1">
      <alignment horizontal="center"/>
    </xf>
    <xf numFmtId="10" fontId="10" fillId="611" borderId="2" xfId="0" applyNumberFormat="1" applyFont="1" applyFill="1" applyBorder="1" applyAlignment="1">
      <alignment horizontal="center"/>
    </xf>
    <xf numFmtId="10" fontId="10" fillId="48" borderId="3" xfId="0" applyNumberFormat="1" applyFont="1" applyFill="1" applyBorder="1" applyAlignment="1">
      <alignment horizontal="center"/>
    </xf>
    <xf numFmtId="0" fontId="10" fillId="196" borderId="13" xfId="0" applyFont="1" applyFill="1" applyBorder="1" applyAlignment="1">
      <alignment horizontal="center"/>
    </xf>
    <xf numFmtId="0" fontId="10" fillId="133" borderId="3" xfId="0" applyFont="1" applyFill="1" applyBorder="1" applyAlignment="1">
      <alignment horizontal="center"/>
    </xf>
    <xf numFmtId="0" fontId="10" fillId="14" borderId="13" xfId="0" applyFont="1" applyFill="1" applyBorder="1" applyAlignment="1">
      <alignment horizontal="center"/>
    </xf>
    <xf numFmtId="0" fontId="10" fillId="30" borderId="3" xfId="0" applyFont="1" applyFill="1" applyBorder="1" applyAlignment="1">
      <alignment horizontal="center"/>
    </xf>
    <xf numFmtId="0" fontId="10" fillId="27" borderId="13" xfId="0" applyFont="1" applyFill="1" applyBorder="1" applyAlignment="1">
      <alignment horizontal="center"/>
    </xf>
    <xf numFmtId="0" fontId="10" fillId="12" borderId="13" xfId="0" applyFont="1" applyFill="1" applyBorder="1" applyAlignment="1">
      <alignment horizontal="center"/>
    </xf>
    <xf numFmtId="0" fontId="10" fillId="12" borderId="3" xfId="0" applyFont="1" applyFill="1" applyBorder="1" applyAlignment="1">
      <alignment horizontal="center"/>
    </xf>
    <xf numFmtId="0" fontId="10" fillId="339" borderId="2" xfId="0" applyFont="1" applyFill="1" applyBorder="1" applyAlignment="1">
      <alignment horizontal="center"/>
    </xf>
    <xf numFmtId="0" fontId="10" fillId="787" borderId="2" xfId="0" applyFont="1" applyFill="1" applyBorder="1" applyAlignment="1">
      <alignment horizontal="center"/>
    </xf>
    <xf numFmtId="0" fontId="10" fillId="787" borderId="3" xfId="0" applyFont="1" applyFill="1" applyBorder="1" applyAlignment="1">
      <alignment horizontal="center"/>
    </xf>
    <xf numFmtId="0" fontId="20" fillId="26" borderId="5" xfId="0" applyFont="1" applyFill="1" applyBorder="1" applyAlignment="1">
      <alignment horizontal="center"/>
    </xf>
    <xf numFmtId="0" fontId="10" fillId="52" borderId="2" xfId="0" applyFont="1" applyFill="1" applyBorder="1" applyAlignment="1">
      <alignment horizontal="center"/>
    </xf>
    <xf numFmtId="0" fontId="10" fillId="788" borderId="2" xfId="0" applyFont="1" applyFill="1" applyBorder="1" applyAlignment="1">
      <alignment horizontal="center"/>
    </xf>
    <xf numFmtId="0" fontId="10" fillId="12" borderId="4" xfId="0" applyFont="1" applyFill="1" applyBorder="1"/>
    <xf numFmtId="0" fontId="10" fillId="12" borderId="1" xfId="0" applyFont="1" applyFill="1" applyBorder="1" applyAlignment="1">
      <alignment horizontal="center"/>
    </xf>
    <xf numFmtId="49" fontId="11" fillId="12" borderId="1" xfId="0" applyNumberFormat="1" applyFont="1" applyFill="1" applyBorder="1" applyAlignment="1">
      <alignment horizontal="center"/>
    </xf>
    <xf numFmtId="49" fontId="11" fillId="12" borderId="4" xfId="0" applyNumberFormat="1" applyFont="1" applyFill="1" applyBorder="1" applyAlignment="1">
      <alignment horizontal="center"/>
    </xf>
    <xf numFmtId="0" fontId="10" fillId="443" borderId="1" xfId="0" applyFont="1" applyFill="1" applyBorder="1" applyAlignment="1">
      <alignment horizontal="center"/>
    </xf>
    <xf numFmtId="9" fontId="10" fillId="139" borderId="1" xfId="0" applyNumberFormat="1" applyFont="1" applyFill="1" applyBorder="1" applyAlignment="1">
      <alignment horizontal="center"/>
    </xf>
    <xf numFmtId="0" fontId="10" fillId="397" borderId="1" xfId="0" applyFont="1" applyFill="1" applyBorder="1" applyAlignment="1">
      <alignment horizontal="center"/>
    </xf>
    <xf numFmtId="9" fontId="10" fillId="203" borderId="4" xfId="0" applyNumberFormat="1" applyFont="1" applyFill="1" applyBorder="1" applyAlignment="1">
      <alignment horizontal="center"/>
    </xf>
    <xf numFmtId="0" fontId="10" fillId="418" borderId="4" xfId="0" applyFont="1" applyFill="1" applyBorder="1" applyAlignment="1">
      <alignment horizontal="center"/>
    </xf>
    <xf numFmtId="0" fontId="10" fillId="14" borderId="1" xfId="0" applyFont="1" applyFill="1" applyBorder="1" applyAlignment="1">
      <alignment horizontal="center"/>
    </xf>
    <xf numFmtId="9" fontId="10" fillId="14" borderId="1" xfId="0" applyNumberFormat="1" applyFont="1" applyFill="1" applyBorder="1" applyAlignment="1">
      <alignment horizontal="center"/>
    </xf>
    <xf numFmtId="9" fontId="10" fillId="26" borderId="1" xfId="0" applyNumberFormat="1" applyFont="1" applyFill="1" applyBorder="1" applyAlignment="1">
      <alignment horizontal="center"/>
    </xf>
    <xf numFmtId="0" fontId="10" fillId="26" borderId="4" xfId="0" applyFont="1" applyFill="1" applyBorder="1" applyAlignment="1">
      <alignment horizontal="center"/>
    </xf>
    <xf numFmtId="10" fontId="10" fillId="562" borderId="1" xfId="0" applyNumberFormat="1" applyFont="1" applyFill="1" applyBorder="1" applyAlignment="1">
      <alignment horizontal="center"/>
    </xf>
    <xf numFmtId="10" fontId="10" fillId="178" borderId="1" xfId="0" applyNumberFormat="1" applyFont="1" applyFill="1" applyBorder="1" applyAlignment="1">
      <alignment horizontal="center"/>
    </xf>
    <xf numFmtId="10" fontId="10" fillId="300" borderId="1" xfId="0" applyNumberFormat="1" applyFont="1" applyFill="1" applyBorder="1" applyAlignment="1">
      <alignment horizontal="center"/>
    </xf>
    <xf numFmtId="10" fontId="10" fillId="26" borderId="4" xfId="0" applyNumberFormat="1" applyFont="1" applyFill="1" applyBorder="1" applyAlignment="1">
      <alignment horizontal="center"/>
    </xf>
    <xf numFmtId="0" fontId="10" fillId="40" borderId="16" xfId="0" applyFont="1" applyFill="1" applyBorder="1" applyAlignment="1">
      <alignment horizontal="center"/>
    </xf>
    <xf numFmtId="0" fontId="10" fillId="48" borderId="16" xfId="0" applyFont="1" applyFill="1" applyBorder="1" applyAlignment="1">
      <alignment horizontal="center"/>
    </xf>
    <xf numFmtId="0" fontId="10" fillId="27" borderId="16" xfId="0" applyFont="1" applyFill="1" applyBorder="1" applyAlignment="1">
      <alignment horizontal="center"/>
    </xf>
    <xf numFmtId="0" fontId="10" fillId="12" borderId="16" xfId="0" applyFont="1" applyFill="1" applyBorder="1" applyAlignment="1">
      <alignment horizontal="center"/>
    </xf>
    <xf numFmtId="0" fontId="10" fillId="12" borderId="4" xfId="0" applyFont="1" applyFill="1" applyBorder="1" applyAlignment="1">
      <alignment horizontal="center"/>
    </xf>
    <xf numFmtId="0" fontId="10" fillId="483" borderId="1" xfId="0" applyFont="1" applyFill="1" applyBorder="1" applyAlignment="1">
      <alignment horizontal="center"/>
    </xf>
    <xf numFmtId="0" fontId="10" fillId="789" borderId="1" xfId="0" applyFont="1" applyFill="1" applyBorder="1" applyAlignment="1">
      <alignment horizontal="center"/>
    </xf>
    <xf numFmtId="0" fontId="10" fillId="789" borderId="4" xfId="0" applyFont="1" applyFill="1" applyBorder="1" applyAlignment="1">
      <alignment horizontal="center"/>
    </xf>
    <xf numFmtId="0" fontId="20" fillId="26" borderId="4" xfId="0" applyFont="1" applyFill="1" applyBorder="1" applyAlignment="1">
      <alignment horizontal="center"/>
    </xf>
    <xf numFmtId="0" fontId="10" fillId="481" borderId="1" xfId="0" applyFont="1" applyFill="1" applyBorder="1" applyAlignment="1">
      <alignment horizontal="center"/>
    </xf>
    <xf numFmtId="0" fontId="10" fillId="297" borderId="1" xfId="0" applyFont="1" applyFill="1" applyBorder="1" applyAlignment="1">
      <alignment horizontal="center"/>
    </xf>
    <xf numFmtId="0" fontId="10" fillId="790" borderId="1" xfId="0" applyFont="1" applyFill="1" applyBorder="1" applyAlignment="1">
      <alignment horizontal="center"/>
    </xf>
    <xf numFmtId="0" fontId="10" fillId="217" borderId="4" xfId="0" applyFont="1" applyFill="1" applyBorder="1" applyAlignment="1">
      <alignment horizontal="center"/>
    </xf>
    <xf numFmtId="0" fontId="10" fillId="2" borderId="3" xfId="0" applyFont="1" applyFill="1" applyBorder="1"/>
    <xf numFmtId="49" fontId="11" fillId="2" borderId="2" xfId="0" applyNumberFormat="1" applyFont="1" applyFill="1" applyBorder="1" applyAlignment="1">
      <alignment horizontal="center"/>
    </xf>
    <xf numFmtId="49" fontId="11" fillId="2" borderId="3" xfId="0" applyNumberFormat="1" applyFont="1" applyFill="1" applyBorder="1" applyAlignment="1">
      <alignment horizontal="center"/>
    </xf>
    <xf numFmtId="0" fontId="10" fillId="328" borderId="2" xfId="0" applyFont="1" applyFill="1" applyBorder="1" applyAlignment="1">
      <alignment horizontal="center"/>
    </xf>
    <xf numFmtId="9" fontId="10" fillId="48" borderId="2" xfId="0" applyNumberFormat="1" applyFont="1" applyFill="1" applyBorder="1" applyAlignment="1">
      <alignment horizontal="center"/>
    </xf>
    <xf numFmtId="0" fontId="10" fillId="749" borderId="2" xfId="0" applyFont="1" applyFill="1" applyBorder="1" applyAlignment="1">
      <alignment horizontal="center"/>
    </xf>
    <xf numFmtId="9" fontId="10" fillId="21" borderId="3" xfId="0" applyNumberFormat="1" applyFont="1" applyFill="1" applyBorder="1" applyAlignment="1">
      <alignment horizontal="center"/>
    </xf>
    <xf numFmtId="0" fontId="10" fillId="61" borderId="3" xfId="0" applyFont="1" applyFill="1" applyBorder="1" applyAlignment="1">
      <alignment horizontal="center"/>
    </xf>
    <xf numFmtId="0" fontId="10" fillId="148" borderId="2" xfId="0" applyFont="1" applyFill="1" applyBorder="1" applyAlignment="1">
      <alignment horizontal="center"/>
    </xf>
    <xf numFmtId="9" fontId="10" fillId="26" borderId="2" xfId="0" applyNumberFormat="1" applyFont="1" applyFill="1" applyBorder="1" applyAlignment="1">
      <alignment horizontal="center"/>
    </xf>
    <xf numFmtId="9" fontId="10" fillId="311" borderId="2" xfId="0" applyNumberFormat="1" applyFont="1" applyFill="1" applyBorder="1" applyAlignment="1">
      <alignment horizontal="center"/>
    </xf>
    <xf numFmtId="0" fontId="10" fillId="373" borderId="3" xfId="0" applyFont="1" applyFill="1" applyBorder="1" applyAlignment="1">
      <alignment horizontal="center"/>
    </xf>
    <xf numFmtId="10" fontId="10" fillId="791" borderId="2" xfId="0" applyNumberFormat="1" applyFont="1" applyFill="1" applyBorder="1" applyAlignment="1">
      <alignment horizontal="center"/>
    </xf>
    <xf numFmtId="10" fontId="10" fillId="168" borderId="2" xfId="0" applyNumberFormat="1" applyFont="1" applyFill="1" applyBorder="1" applyAlignment="1">
      <alignment horizontal="center"/>
    </xf>
    <xf numFmtId="10" fontId="10" fillId="358" borderId="2" xfId="0" applyNumberFormat="1" applyFont="1" applyFill="1" applyBorder="1" applyAlignment="1">
      <alignment horizontal="center"/>
    </xf>
    <xf numFmtId="10" fontId="10" fillId="625" borderId="3" xfId="0" applyNumberFormat="1" applyFont="1" applyFill="1" applyBorder="1" applyAlignment="1">
      <alignment horizontal="center"/>
    </xf>
    <xf numFmtId="0" fontId="10" fillId="48" borderId="13" xfId="0" applyFont="1" applyFill="1" applyBorder="1" applyAlignment="1">
      <alignment horizontal="center"/>
    </xf>
    <xf numFmtId="0" fontId="10" fillId="26" borderId="3" xfId="0" applyFont="1" applyFill="1" applyBorder="1" applyAlignment="1">
      <alignment horizontal="center"/>
    </xf>
    <xf numFmtId="0" fontId="10" fillId="115" borderId="13" xfId="0" applyFont="1" applyFill="1" applyBorder="1" applyAlignment="1">
      <alignment horizontal="center"/>
    </xf>
    <xf numFmtId="0" fontId="10" fillId="275" borderId="2" xfId="0" applyFont="1" applyFill="1" applyBorder="1" applyAlignment="1">
      <alignment horizontal="center"/>
    </xf>
    <xf numFmtId="0" fontId="10" fillId="465" borderId="2" xfId="0" applyFont="1" applyFill="1" applyBorder="1" applyAlignment="1">
      <alignment horizontal="center"/>
    </xf>
    <xf numFmtId="0" fontId="10" fillId="465" borderId="3" xfId="0" applyFont="1" applyFill="1" applyBorder="1" applyAlignment="1">
      <alignment horizontal="center"/>
    </xf>
    <xf numFmtId="0" fontId="20" fillId="218" borderId="5" xfId="0" applyFont="1" applyFill="1" applyBorder="1" applyAlignment="1">
      <alignment horizontal="center"/>
    </xf>
    <xf numFmtId="0" fontId="10" fillId="792" borderId="2" xfId="0" applyFont="1" applyFill="1" applyBorder="1" applyAlignment="1">
      <alignment horizontal="center"/>
    </xf>
    <xf numFmtId="0" fontId="10" fillId="712" borderId="2" xfId="0" applyFont="1" applyFill="1" applyBorder="1" applyAlignment="1">
      <alignment horizontal="center"/>
    </xf>
    <xf numFmtId="0" fontId="10" fillId="790" borderId="2" xfId="0" applyFont="1" applyFill="1" applyBorder="1" applyAlignment="1">
      <alignment horizontal="center"/>
    </xf>
    <xf numFmtId="0" fontId="10" fillId="793" borderId="3" xfId="0" applyFont="1" applyFill="1" applyBorder="1" applyAlignment="1">
      <alignment horizontal="center"/>
    </xf>
    <xf numFmtId="0" fontId="10" fillId="2" borderId="4" xfId="0" applyFont="1" applyFill="1" applyBorder="1"/>
    <xf numFmtId="0" fontId="10" fillId="2" borderId="1" xfId="0" applyFont="1" applyFill="1" applyBorder="1" applyAlignment="1">
      <alignment horizontal="center"/>
    </xf>
    <xf numFmtId="49" fontId="11" fillId="2" borderId="1" xfId="0" applyNumberFormat="1" applyFont="1" applyFill="1" applyBorder="1" applyAlignment="1">
      <alignment horizontal="center"/>
    </xf>
    <xf numFmtId="49" fontId="11" fillId="2" borderId="4" xfId="0" applyNumberFormat="1" applyFont="1" applyFill="1" applyBorder="1" applyAlignment="1">
      <alignment horizontal="center"/>
    </xf>
    <xf numFmtId="0" fontId="10" fillId="487" borderId="1" xfId="0" applyFont="1" applyFill="1" applyBorder="1" applyAlignment="1">
      <alignment horizontal="center"/>
    </xf>
    <xf numFmtId="9" fontId="10" fillId="501" borderId="1" xfId="0" applyNumberFormat="1" applyFont="1" applyFill="1" applyBorder="1" applyAlignment="1">
      <alignment horizontal="center"/>
    </xf>
    <xf numFmtId="0" fontId="10" fillId="258" borderId="1" xfId="0" applyFont="1" applyFill="1" applyBorder="1" applyAlignment="1">
      <alignment horizontal="center"/>
    </xf>
    <xf numFmtId="9" fontId="10" fillId="29" borderId="4" xfId="0" applyNumberFormat="1" applyFont="1" applyFill="1" applyBorder="1" applyAlignment="1">
      <alignment horizontal="center"/>
    </xf>
    <xf numFmtId="0" fontId="10" fillId="178" borderId="4" xfId="0" applyFont="1" applyFill="1" applyBorder="1" applyAlignment="1">
      <alignment horizontal="center"/>
    </xf>
    <xf numFmtId="0" fontId="10" fillId="127" borderId="1" xfId="0" applyFont="1" applyFill="1" applyBorder="1" applyAlignment="1">
      <alignment horizontal="center"/>
    </xf>
    <xf numFmtId="9" fontId="10" fillId="59" borderId="1" xfId="0" applyNumberFormat="1" applyFont="1" applyFill="1" applyBorder="1" applyAlignment="1">
      <alignment horizontal="center"/>
    </xf>
    <xf numFmtId="9" fontId="10" fillId="20" borderId="1" xfId="0" applyNumberFormat="1" applyFont="1" applyFill="1" applyBorder="1" applyAlignment="1">
      <alignment horizontal="center"/>
    </xf>
    <xf numFmtId="0" fontId="10" fillId="351" borderId="4" xfId="0" applyFont="1" applyFill="1" applyBorder="1" applyAlignment="1">
      <alignment horizontal="center"/>
    </xf>
    <xf numFmtId="10" fontId="10" fillId="124" borderId="1" xfId="0" applyNumberFormat="1" applyFont="1" applyFill="1" applyBorder="1" applyAlignment="1">
      <alignment horizontal="center"/>
    </xf>
    <xf numFmtId="10" fontId="10" fillId="42" borderId="1" xfId="0" applyNumberFormat="1" applyFont="1" applyFill="1" applyBorder="1" applyAlignment="1">
      <alignment horizontal="center"/>
    </xf>
    <xf numFmtId="10" fontId="10" fillId="14" borderId="1" xfId="0" applyNumberFormat="1" applyFont="1" applyFill="1" applyBorder="1" applyAlignment="1">
      <alignment horizontal="center"/>
    </xf>
    <xf numFmtId="10" fontId="10" fillId="43" borderId="4" xfId="0" applyNumberFormat="1" applyFont="1" applyFill="1" applyBorder="1" applyAlignment="1">
      <alignment horizontal="center"/>
    </xf>
    <xf numFmtId="0" fontId="10" fillId="115" borderId="16" xfId="0" applyFont="1" applyFill="1" applyBorder="1" applyAlignment="1">
      <alignment horizontal="center"/>
    </xf>
    <xf numFmtId="0" fontId="10" fillId="48" borderId="4" xfId="0" applyFont="1" applyFill="1" applyBorder="1" applyAlignment="1">
      <alignment horizontal="center"/>
    </xf>
    <xf numFmtId="0" fontId="10" fillId="203" borderId="16" xfId="0" applyFont="1" applyFill="1" applyBorder="1" applyAlignment="1">
      <alignment horizontal="center"/>
    </xf>
    <xf numFmtId="0" fontId="10" fillId="30" borderId="4" xfId="0" applyFont="1" applyFill="1" applyBorder="1" applyAlignment="1">
      <alignment horizontal="center"/>
    </xf>
    <xf numFmtId="0" fontId="10" fillId="14" borderId="16" xfId="0" applyFont="1" applyFill="1" applyBorder="1" applyAlignment="1">
      <alignment horizontal="center"/>
    </xf>
    <xf numFmtId="0" fontId="10" fillId="2" borderId="16" xfId="0" applyFont="1" applyFill="1" applyBorder="1" applyAlignment="1">
      <alignment horizontal="center"/>
    </xf>
    <xf numFmtId="0" fontId="10" fillId="794" borderId="1" xfId="0" applyFont="1" applyFill="1" applyBorder="1" applyAlignment="1">
      <alignment horizontal="center"/>
    </xf>
    <xf numFmtId="0" fontId="10" fillId="522" borderId="1" xfId="0" applyFont="1" applyFill="1" applyBorder="1" applyAlignment="1">
      <alignment horizontal="center"/>
    </xf>
    <xf numFmtId="0" fontId="10" fillId="522" borderId="4" xfId="0" applyFont="1" applyFill="1" applyBorder="1" applyAlignment="1">
      <alignment horizontal="center"/>
    </xf>
    <xf numFmtId="0" fontId="20" fillId="218" borderId="4" xfId="0" applyFont="1" applyFill="1" applyBorder="1" applyAlignment="1">
      <alignment horizontal="center"/>
    </xf>
    <xf numFmtId="0" fontId="10" fillId="663" borderId="1" xfId="0" applyFont="1" applyFill="1" applyBorder="1" applyAlignment="1">
      <alignment horizontal="center"/>
    </xf>
    <xf numFmtId="0" fontId="10" fillId="795" borderId="1" xfId="0" applyFont="1" applyFill="1" applyBorder="1" applyAlignment="1">
      <alignment horizontal="center"/>
    </xf>
    <xf numFmtId="0" fontId="10" fillId="472" borderId="1" xfId="0" applyFont="1" applyFill="1" applyBorder="1" applyAlignment="1">
      <alignment horizontal="center"/>
    </xf>
    <xf numFmtId="0" fontId="10" fillId="796" borderId="4" xfId="0" applyFont="1" applyFill="1" applyBorder="1" applyAlignment="1">
      <alignment horizontal="center"/>
    </xf>
    <xf numFmtId="0" fontId="10" fillId="139" borderId="2" xfId="0" applyFont="1" applyFill="1" applyBorder="1" applyAlignment="1">
      <alignment horizontal="center"/>
    </xf>
    <xf numFmtId="0" fontId="10" fillId="566" borderId="2" xfId="0" applyFont="1" applyFill="1" applyBorder="1" applyAlignment="1">
      <alignment horizontal="center"/>
    </xf>
    <xf numFmtId="9" fontId="10" fillId="203" borderId="3" xfId="0" applyNumberFormat="1" applyFont="1" applyFill="1" applyBorder="1" applyAlignment="1">
      <alignment horizontal="center"/>
    </xf>
    <xf numFmtId="0" fontId="10" fillId="43" borderId="3" xfId="0" applyFont="1" applyFill="1" applyBorder="1" applyAlignment="1">
      <alignment horizontal="center"/>
    </xf>
    <xf numFmtId="0" fontId="10" fillId="81" borderId="2" xfId="0" applyFont="1" applyFill="1" applyBorder="1" applyAlignment="1">
      <alignment horizontal="center"/>
    </xf>
    <xf numFmtId="9" fontId="10" fillId="100" borderId="2" xfId="0" applyNumberFormat="1" applyFont="1" applyFill="1" applyBorder="1" applyAlignment="1">
      <alignment horizontal="center"/>
    </xf>
    <xf numFmtId="9" fontId="10" fillId="412" borderId="2" xfId="0" applyNumberFormat="1" applyFont="1" applyFill="1" applyBorder="1" applyAlignment="1">
      <alignment horizontal="center"/>
    </xf>
    <xf numFmtId="0" fontId="10" fillId="418" borderId="3" xfId="0" applyFont="1" applyFill="1" applyBorder="1" applyAlignment="1">
      <alignment horizontal="center"/>
    </xf>
    <xf numFmtId="10" fontId="10" fillId="301" borderId="2" xfId="0" applyNumberFormat="1" applyFont="1" applyFill="1" applyBorder="1" applyAlignment="1">
      <alignment horizontal="center"/>
    </xf>
    <xf numFmtId="10" fontId="10" fillId="48" borderId="2" xfId="0" applyNumberFormat="1" applyFont="1" applyFill="1" applyBorder="1" applyAlignment="1">
      <alignment horizontal="center"/>
    </xf>
    <xf numFmtId="10" fontId="10" fillId="797" borderId="2" xfId="0" applyNumberFormat="1" applyFont="1" applyFill="1" applyBorder="1" applyAlignment="1">
      <alignment horizontal="center"/>
    </xf>
    <xf numFmtId="10" fontId="10" fillId="14" borderId="3" xfId="0" applyNumberFormat="1" applyFont="1" applyFill="1" applyBorder="1" applyAlignment="1">
      <alignment horizontal="center"/>
    </xf>
    <xf numFmtId="0" fontId="10" fillId="48" borderId="3" xfId="0" applyFont="1" applyFill="1" applyBorder="1" applyAlignment="1">
      <alignment horizontal="center"/>
    </xf>
    <xf numFmtId="0" fontId="10" fillId="458" borderId="13" xfId="0" applyFont="1" applyFill="1" applyBorder="1" applyAlignment="1">
      <alignment horizontal="center"/>
    </xf>
    <xf numFmtId="0" fontId="10" fillId="26" borderId="13" xfId="0" applyFont="1" applyFill="1" applyBorder="1" applyAlignment="1">
      <alignment horizontal="center"/>
    </xf>
    <xf numFmtId="0" fontId="10" fillId="745" borderId="2" xfId="0" applyFont="1" applyFill="1" applyBorder="1" applyAlignment="1">
      <alignment horizontal="center"/>
    </xf>
    <xf numFmtId="0" fontId="10" fillId="298" borderId="2" xfId="0" applyFont="1" applyFill="1" applyBorder="1" applyAlignment="1">
      <alignment horizontal="center"/>
    </xf>
    <xf numFmtId="0" fontId="10" fillId="298" borderId="3" xfId="0" applyFont="1" applyFill="1" applyBorder="1" applyAlignment="1">
      <alignment horizontal="center"/>
    </xf>
    <xf numFmtId="0" fontId="20" fillId="252" borderId="5" xfId="0" applyFont="1" applyFill="1" applyBorder="1" applyAlignment="1">
      <alignment horizontal="center"/>
    </xf>
    <xf numFmtId="0" fontId="10" fillId="798" borderId="2" xfId="0" applyFont="1" applyFill="1" applyBorder="1" applyAlignment="1">
      <alignment horizontal="center"/>
    </xf>
    <xf numFmtId="0" fontId="10" fillId="651" borderId="2" xfId="0" applyFont="1" applyFill="1" applyBorder="1" applyAlignment="1">
      <alignment horizontal="center"/>
    </xf>
    <xf numFmtId="0" fontId="10" fillId="674" borderId="2" xfId="0" applyFont="1" applyFill="1" applyBorder="1" applyAlignment="1">
      <alignment horizontal="center"/>
    </xf>
    <xf numFmtId="0" fontId="10" fillId="799" borderId="3" xfId="0" applyFont="1" applyFill="1" applyBorder="1" applyAlignment="1">
      <alignment horizontal="center"/>
    </xf>
    <xf numFmtId="0" fontId="10" fillId="207" borderId="1" xfId="0" applyFont="1" applyFill="1" applyBorder="1" applyAlignment="1">
      <alignment horizontal="center"/>
    </xf>
    <xf numFmtId="0" fontId="10" fillId="800" borderId="1" xfId="0" applyFont="1" applyFill="1" applyBorder="1" applyAlignment="1">
      <alignment horizontal="center"/>
    </xf>
    <xf numFmtId="9" fontId="10" fillId="149" borderId="4" xfId="0" applyNumberFormat="1" applyFont="1" applyFill="1" applyBorder="1" applyAlignment="1">
      <alignment horizontal="center"/>
    </xf>
    <xf numFmtId="0" fontId="10" fillId="62" borderId="4" xfId="0" applyFont="1" applyFill="1" applyBorder="1" applyAlignment="1">
      <alignment horizontal="center"/>
    </xf>
    <xf numFmtId="0" fontId="10" fillId="152" borderId="1" xfId="0" applyFont="1" applyFill="1" applyBorder="1" applyAlignment="1">
      <alignment horizontal="center"/>
    </xf>
    <xf numFmtId="9" fontId="10" fillId="530" borderId="1" xfId="0" applyNumberFormat="1" applyFont="1" applyFill="1" applyBorder="1" applyAlignment="1">
      <alignment horizontal="center"/>
    </xf>
    <xf numFmtId="10" fontId="10" fillId="696" borderId="1" xfId="0" applyNumberFormat="1" applyFont="1" applyFill="1" applyBorder="1" applyAlignment="1">
      <alignment horizontal="center"/>
    </xf>
    <xf numFmtId="10" fontId="10" fillId="26" borderId="1" xfId="0" applyNumberFormat="1" applyFont="1" applyFill="1" applyBorder="1" applyAlignment="1">
      <alignment horizontal="center"/>
    </xf>
    <xf numFmtId="10" fontId="10" fillId="430" borderId="1" xfId="0" applyNumberFormat="1" applyFont="1" applyFill="1" applyBorder="1" applyAlignment="1">
      <alignment horizontal="center"/>
    </xf>
    <xf numFmtId="10" fontId="10" fillId="139" borderId="4" xfId="0" applyNumberFormat="1" applyFont="1" applyFill="1" applyBorder="1" applyAlignment="1">
      <alignment horizontal="center"/>
    </xf>
    <xf numFmtId="0" fontId="10" fillId="148" borderId="16" xfId="0" applyFont="1" applyFill="1" applyBorder="1" applyAlignment="1">
      <alignment horizontal="center"/>
    </xf>
    <xf numFmtId="0" fontId="10" fillId="801" borderId="1" xfId="0" applyFont="1" applyFill="1" applyBorder="1" applyAlignment="1">
      <alignment horizontal="center"/>
    </xf>
    <xf numFmtId="0" fontId="10" fillId="682" borderId="1" xfId="0" applyFont="1" applyFill="1" applyBorder="1" applyAlignment="1">
      <alignment horizontal="center"/>
    </xf>
    <xf numFmtId="0" fontId="10" fillId="682" borderId="4" xfId="0" applyFont="1" applyFill="1" applyBorder="1" applyAlignment="1">
      <alignment horizontal="center"/>
    </xf>
    <xf numFmtId="0" fontId="20" fillId="252" borderId="4" xfId="0" applyFont="1" applyFill="1" applyBorder="1" applyAlignment="1">
      <alignment horizontal="center"/>
    </xf>
    <xf numFmtId="0" fontId="10" fillId="802" borderId="1" xfId="0" applyFont="1" applyFill="1" applyBorder="1" applyAlignment="1">
      <alignment horizontal="center"/>
    </xf>
    <xf numFmtId="0" fontId="10" fillId="761" borderId="1" xfId="0" applyFont="1" applyFill="1" applyBorder="1" applyAlignment="1">
      <alignment horizontal="center"/>
    </xf>
    <xf numFmtId="0" fontId="10" fillId="26" borderId="1" xfId="0" applyFont="1" applyFill="1" applyBorder="1" applyAlignment="1">
      <alignment horizontal="center"/>
    </xf>
    <xf numFmtId="0" fontId="10" fillId="400" borderId="4" xfId="0" applyFont="1" applyFill="1" applyBorder="1" applyAlignment="1">
      <alignment horizontal="center"/>
    </xf>
    <xf numFmtId="0" fontId="10" fillId="279" borderId="2" xfId="0" applyFont="1" applyFill="1" applyBorder="1" applyAlignment="1">
      <alignment horizontal="center"/>
    </xf>
    <xf numFmtId="0" fontId="10" fillId="773" borderId="2" xfId="0" applyFont="1" applyFill="1" applyBorder="1" applyAlignment="1">
      <alignment horizontal="center"/>
    </xf>
    <xf numFmtId="9" fontId="10" fillId="26" borderId="3" xfId="0" applyNumberFormat="1" applyFont="1" applyFill="1" applyBorder="1" applyAlignment="1">
      <alignment horizontal="center"/>
    </xf>
    <xf numFmtId="0" fontId="10" fillId="316" borderId="3" xfId="0" applyFont="1" applyFill="1" applyBorder="1" applyAlignment="1">
      <alignment horizontal="center"/>
    </xf>
    <xf numFmtId="0" fontId="10" fillId="530" borderId="2" xfId="0" applyFont="1" applyFill="1" applyBorder="1" applyAlignment="1">
      <alignment horizontal="center"/>
    </xf>
    <xf numFmtId="9" fontId="10" fillId="81" borderId="2" xfId="0" applyNumberFormat="1" applyFont="1" applyFill="1" applyBorder="1" applyAlignment="1">
      <alignment horizontal="center"/>
    </xf>
    <xf numFmtId="0" fontId="10" fillId="351" borderId="3" xfId="0" applyFont="1" applyFill="1" applyBorder="1" applyAlignment="1">
      <alignment horizontal="center"/>
    </xf>
    <xf numFmtId="10" fontId="10" fillId="803" borderId="2" xfId="0" applyNumberFormat="1" applyFont="1" applyFill="1" applyBorder="1" applyAlignment="1">
      <alignment horizontal="center"/>
    </xf>
    <xf numFmtId="10" fontId="10" fillId="642" borderId="2" xfId="0" applyNumberFormat="1" applyFont="1" applyFill="1" applyBorder="1" applyAlignment="1">
      <alignment horizontal="center"/>
    </xf>
    <xf numFmtId="10" fontId="10" fillId="26" borderId="2" xfId="0" applyNumberFormat="1" applyFont="1" applyFill="1" applyBorder="1" applyAlignment="1">
      <alignment horizontal="center"/>
    </xf>
    <xf numFmtId="10" fontId="10" fillId="263" borderId="3" xfId="0" applyNumberFormat="1" applyFont="1" applyFill="1" applyBorder="1" applyAlignment="1">
      <alignment horizontal="center"/>
    </xf>
    <xf numFmtId="0" fontId="10" fillId="803" borderId="13" xfId="0" applyFont="1" applyFill="1" applyBorder="1" applyAlignment="1">
      <alignment horizontal="center"/>
    </xf>
    <xf numFmtId="0" fontId="10" fillId="329" borderId="13" xfId="0" applyFont="1" applyFill="1" applyBorder="1" applyAlignment="1">
      <alignment horizontal="center"/>
    </xf>
    <xf numFmtId="0" fontId="10" fillId="26" borderId="2" xfId="0" applyFont="1" applyFill="1" applyBorder="1" applyAlignment="1">
      <alignment horizontal="center"/>
    </xf>
    <xf numFmtId="0" fontId="10" fillId="804" borderId="2" xfId="0" applyFont="1" applyFill="1" applyBorder="1" applyAlignment="1">
      <alignment horizontal="center"/>
    </xf>
    <xf numFmtId="0" fontId="10" fillId="33" borderId="2" xfId="0" applyFont="1" applyFill="1" applyBorder="1" applyAlignment="1">
      <alignment horizontal="center"/>
    </xf>
    <xf numFmtId="0" fontId="10" fillId="805" borderId="3" xfId="0" applyFont="1" applyFill="1" applyBorder="1" applyAlignment="1">
      <alignment horizontal="center"/>
    </xf>
    <xf numFmtId="9" fontId="10" fillId="14" borderId="4" xfId="0" applyNumberFormat="1" applyFont="1" applyFill="1" applyBorder="1" applyAlignment="1">
      <alignment horizontal="center"/>
    </xf>
    <xf numFmtId="0" fontId="10" fillId="124" borderId="4" xfId="0" applyFont="1" applyFill="1" applyBorder="1" applyAlignment="1">
      <alignment horizontal="center"/>
    </xf>
    <xf numFmtId="0" fontId="10" fillId="14" borderId="4" xfId="0" applyFont="1" applyFill="1" applyBorder="1" applyAlignment="1">
      <alignment horizontal="center"/>
    </xf>
    <xf numFmtId="10" fontId="10" fillId="806" borderId="1" xfId="0" applyNumberFormat="1" applyFont="1" applyFill="1" applyBorder="1" applyAlignment="1">
      <alignment horizontal="center"/>
    </xf>
    <xf numFmtId="10" fontId="10" fillId="807" borderId="1" xfId="0" applyNumberFormat="1" applyFont="1" applyFill="1" applyBorder="1" applyAlignment="1">
      <alignment horizontal="center"/>
    </xf>
    <xf numFmtId="10" fontId="10" fillId="195" borderId="1" xfId="0" applyNumberFormat="1" applyFont="1" applyFill="1" applyBorder="1" applyAlignment="1">
      <alignment horizontal="center"/>
    </xf>
    <xf numFmtId="10" fontId="10" fillId="458" borderId="4" xfId="0" applyNumberFormat="1" applyFont="1" applyFill="1" applyBorder="1" applyAlignment="1">
      <alignment horizontal="center"/>
    </xf>
    <xf numFmtId="0" fontId="10" fillId="456" borderId="16" xfId="0" applyFont="1" applyFill="1" applyBorder="1" applyAlignment="1">
      <alignment horizontal="center"/>
    </xf>
    <xf numFmtId="0" fontId="10" fillId="808" borderId="1" xfId="0" applyFont="1" applyFill="1" applyBorder="1" applyAlignment="1">
      <alignment horizontal="center"/>
    </xf>
    <xf numFmtId="0" fontId="10" fillId="809" borderId="4" xfId="0" applyFont="1" applyFill="1" applyBorder="1" applyAlignment="1">
      <alignment horizontal="center"/>
    </xf>
    <xf numFmtId="0" fontId="10" fillId="202" borderId="2" xfId="0" applyFont="1" applyFill="1" applyBorder="1" applyAlignment="1">
      <alignment horizontal="center"/>
    </xf>
    <xf numFmtId="9" fontId="10" fillId="21" borderId="2" xfId="0" applyNumberFormat="1" applyFont="1" applyFill="1" applyBorder="1" applyAlignment="1">
      <alignment horizontal="center"/>
    </xf>
    <xf numFmtId="0" fontId="10" fillId="230" borderId="2" xfId="0" applyFont="1" applyFill="1" applyBorder="1" applyAlignment="1">
      <alignment horizontal="center"/>
    </xf>
    <xf numFmtId="9" fontId="10" fillId="358" borderId="3" xfId="0" applyNumberFormat="1" applyFont="1" applyFill="1" applyBorder="1" applyAlignment="1">
      <alignment horizontal="center"/>
    </xf>
    <xf numFmtId="0" fontId="10" fillId="177" borderId="3" xfId="0" applyFont="1" applyFill="1" applyBorder="1" applyAlignment="1">
      <alignment horizontal="center"/>
    </xf>
    <xf numFmtId="0" fontId="10" fillId="195" borderId="2" xfId="0" applyFont="1" applyFill="1" applyBorder="1" applyAlignment="1">
      <alignment horizontal="center"/>
    </xf>
    <xf numFmtId="9" fontId="10" fillId="195" borderId="2" xfId="0" applyNumberFormat="1" applyFont="1" applyFill="1" applyBorder="1" applyAlignment="1">
      <alignment horizontal="center"/>
    </xf>
    <xf numFmtId="0" fontId="10" fillId="646" borderId="3" xfId="0" applyFont="1" applyFill="1" applyBorder="1" applyAlignment="1">
      <alignment horizontal="center"/>
    </xf>
    <xf numFmtId="10" fontId="10" fillId="810" borderId="2" xfId="0" applyNumberFormat="1" applyFont="1" applyFill="1" applyBorder="1" applyAlignment="1">
      <alignment horizontal="center"/>
    </xf>
    <xf numFmtId="10" fontId="10" fillId="402" borderId="2" xfId="0" applyNumberFormat="1" applyFont="1" applyFill="1" applyBorder="1" applyAlignment="1">
      <alignment horizontal="center"/>
    </xf>
    <xf numFmtId="10" fontId="10" fillId="38" borderId="3" xfId="0" applyNumberFormat="1" applyFont="1" applyFill="1" applyBorder="1" applyAlignment="1">
      <alignment horizontal="center"/>
    </xf>
    <xf numFmtId="0" fontId="10" fillId="417" borderId="3" xfId="0" applyFont="1" applyFill="1" applyBorder="1" applyAlignment="1">
      <alignment horizontal="center"/>
    </xf>
    <xf numFmtId="0" fontId="10" fillId="358" borderId="13" xfId="0" applyFont="1" applyFill="1" applyBorder="1" applyAlignment="1">
      <alignment horizontal="center"/>
    </xf>
    <xf numFmtId="0" fontId="10" fillId="251" borderId="2" xfId="0" applyFont="1" applyFill="1" applyBorder="1" applyAlignment="1">
      <alignment horizontal="center"/>
    </xf>
    <xf numFmtId="0" fontId="10" fillId="811" borderId="2" xfId="0" applyFont="1" applyFill="1" applyBorder="1" applyAlignment="1">
      <alignment horizontal="center"/>
    </xf>
    <xf numFmtId="0" fontId="10" fillId="811" borderId="3" xfId="0" applyFont="1" applyFill="1" applyBorder="1" applyAlignment="1">
      <alignment horizontal="center"/>
    </xf>
    <xf numFmtId="0" fontId="20" fillId="88" borderId="5" xfId="0" applyFont="1" applyFill="1" applyBorder="1" applyAlignment="1">
      <alignment horizontal="center"/>
    </xf>
    <xf numFmtId="0" fontId="10" fillId="761" borderId="2" xfId="0" applyFont="1" applyFill="1" applyBorder="1" applyAlignment="1">
      <alignment horizontal="center"/>
    </xf>
    <xf numFmtId="0" fontId="10" fillId="461" borderId="2" xfId="0" applyFont="1" applyFill="1" applyBorder="1" applyAlignment="1">
      <alignment horizontal="center"/>
    </xf>
    <xf numFmtId="0" fontId="10" fillId="200" borderId="3" xfId="0" applyFont="1" applyFill="1" applyBorder="1" applyAlignment="1">
      <alignment horizontal="center"/>
    </xf>
    <xf numFmtId="0" fontId="10" fillId="202" borderId="1" xfId="0" applyFont="1" applyFill="1" applyBorder="1" applyAlignment="1">
      <alignment horizontal="center"/>
    </xf>
    <xf numFmtId="9" fontId="10" fillId="48" borderId="1" xfId="0" applyNumberFormat="1" applyFont="1" applyFill="1" applyBorder="1" applyAlignment="1">
      <alignment horizontal="center"/>
    </xf>
    <xf numFmtId="0" fontId="10" fillId="552" borderId="1" xfId="0" applyFont="1" applyFill="1" applyBorder="1" applyAlignment="1">
      <alignment horizontal="center"/>
    </xf>
    <xf numFmtId="9" fontId="10" fillId="98" borderId="4" xfId="0" applyNumberFormat="1" applyFont="1" applyFill="1" applyBorder="1" applyAlignment="1">
      <alignment horizontal="center"/>
    </xf>
    <xf numFmtId="0" fontId="10" fillId="312" borderId="4" xfId="0" applyFont="1" applyFill="1" applyBorder="1" applyAlignment="1">
      <alignment horizontal="center"/>
    </xf>
    <xf numFmtId="0" fontId="10" fillId="377" borderId="1" xfId="0" applyFont="1" applyFill="1" applyBorder="1" applyAlignment="1">
      <alignment horizontal="center"/>
    </xf>
    <xf numFmtId="9" fontId="10" fillId="311" borderId="1" xfId="0" applyNumberFormat="1" applyFont="1" applyFill="1" applyBorder="1" applyAlignment="1">
      <alignment horizontal="center"/>
    </xf>
    <xf numFmtId="9" fontId="10" fillId="412" borderId="1" xfId="0" applyNumberFormat="1" applyFont="1" applyFill="1" applyBorder="1" applyAlignment="1">
      <alignment horizontal="center"/>
    </xf>
    <xf numFmtId="0" fontId="10" fillId="373" borderId="4" xfId="0" applyFont="1" applyFill="1" applyBorder="1" applyAlignment="1">
      <alignment horizontal="center"/>
    </xf>
    <xf numFmtId="10" fontId="10" fillId="393" borderId="1" xfId="0" applyNumberFormat="1" applyFont="1" applyFill="1" applyBorder="1" applyAlignment="1">
      <alignment horizontal="center"/>
    </xf>
    <xf numFmtId="10" fontId="10" fillId="812" borderId="1" xfId="0" applyNumberFormat="1" applyFont="1" applyFill="1" applyBorder="1" applyAlignment="1">
      <alignment horizontal="center"/>
    </xf>
    <xf numFmtId="10" fontId="10" fillId="272" borderId="4" xfId="0" applyNumberFormat="1" applyFont="1" applyFill="1" applyBorder="1" applyAlignment="1">
      <alignment horizontal="center"/>
    </xf>
    <xf numFmtId="0" fontId="10" fillId="358" borderId="16" xfId="0" applyFont="1" applyFill="1" applyBorder="1" applyAlignment="1">
      <alignment horizontal="center"/>
    </xf>
    <xf numFmtId="0" fontId="10" fillId="813" borderId="1" xfId="0" applyFont="1" applyFill="1" applyBorder="1" applyAlignment="1">
      <alignment horizontal="center"/>
    </xf>
    <xf numFmtId="0" fontId="10" fillId="288" borderId="1" xfId="0" applyFont="1" applyFill="1" applyBorder="1" applyAlignment="1">
      <alignment horizontal="center"/>
    </xf>
    <xf numFmtId="0" fontId="10" fillId="288" borderId="4" xfId="0" applyFont="1" applyFill="1" applyBorder="1" applyAlignment="1">
      <alignment horizontal="center"/>
    </xf>
    <xf numFmtId="0" fontId="20" fillId="88" borderId="4" xfId="0" applyFont="1" applyFill="1" applyBorder="1" applyAlignment="1">
      <alignment horizontal="center"/>
    </xf>
    <xf numFmtId="0" fontId="10" fillId="655" borderId="1" xfId="0" applyFont="1" applyFill="1" applyBorder="1" applyAlignment="1">
      <alignment horizontal="center"/>
    </xf>
    <xf numFmtId="0" fontId="10" fillId="814" borderId="1" xfId="0" applyFont="1" applyFill="1" applyBorder="1" applyAlignment="1">
      <alignment horizontal="center"/>
    </xf>
    <xf numFmtId="0" fontId="10" fillId="654" borderId="4" xfId="0" applyFont="1" applyFill="1" applyBorder="1" applyAlignment="1">
      <alignment horizontal="center"/>
    </xf>
    <xf numFmtId="0" fontId="10" fillId="41" borderId="2" xfId="0" applyFont="1" applyFill="1" applyBorder="1" applyAlignment="1">
      <alignment horizontal="center"/>
    </xf>
    <xf numFmtId="9" fontId="10" fillId="121" borderId="2" xfId="0" applyNumberFormat="1" applyFont="1" applyFill="1" applyBorder="1" applyAlignment="1">
      <alignment horizontal="center"/>
    </xf>
    <xf numFmtId="0" fontId="10" fillId="83" borderId="2" xfId="0" applyFont="1" applyFill="1" applyBorder="1" applyAlignment="1">
      <alignment horizontal="center"/>
    </xf>
    <xf numFmtId="9" fontId="10" fillId="124" borderId="3" xfId="0" applyNumberFormat="1" applyFont="1" applyFill="1" applyBorder="1" applyAlignment="1">
      <alignment horizontal="center"/>
    </xf>
    <xf numFmtId="0" fontId="10" fillId="78" borderId="3" xfId="0" applyFont="1" applyFill="1" applyBorder="1" applyAlignment="1">
      <alignment horizontal="center"/>
    </xf>
    <xf numFmtId="0" fontId="10" fillId="45" borderId="2" xfId="0" applyFont="1" applyFill="1" applyBorder="1" applyAlignment="1">
      <alignment horizontal="center"/>
    </xf>
    <xf numFmtId="9" fontId="10" fillId="95" borderId="2" xfId="0" applyNumberFormat="1" applyFont="1" applyFill="1" applyBorder="1" applyAlignment="1">
      <alignment horizontal="center"/>
    </xf>
    <xf numFmtId="9" fontId="10" fillId="590" borderId="2" xfId="0" applyNumberFormat="1" applyFont="1" applyFill="1" applyBorder="1" applyAlignment="1">
      <alignment horizontal="center"/>
    </xf>
    <xf numFmtId="0" fontId="10" fillId="308" borderId="3" xfId="0" applyFont="1" applyFill="1" applyBorder="1" applyAlignment="1">
      <alignment horizontal="center"/>
    </xf>
    <xf numFmtId="10" fontId="10" fillId="59" borderId="2" xfId="0" applyNumberFormat="1" applyFont="1" applyFill="1" applyBorder="1" applyAlignment="1">
      <alignment horizontal="center"/>
    </xf>
    <xf numFmtId="10" fontId="10" fillId="454" borderId="2" xfId="0" applyNumberFormat="1" applyFont="1" applyFill="1" applyBorder="1" applyAlignment="1">
      <alignment horizontal="center"/>
    </xf>
    <xf numFmtId="10" fontId="10" fillId="803" borderId="3" xfId="0" applyNumberFormat="1" applyFont="1" applyFill="1" applyBorder="1" applyAlignment="1">
      <alignment horizontal="center"/>
    </xf>
    <xf numFmtId="0" fontId="10" fillId="563" borderId="13" xfId="0" applyFont="1" applyFill="1" applyBorder="1" applyAlignment="1">
      <alignment horizontal="center"/>
    </xf>
    <xf numFmtId="0" fontId="10" fillId="381" borderId="13" xfId="0" applyFont="1" applyFill="1" applyBorder="1" applyAlignment="1">
      <alignment horizontal="center"/>
    </xf>
    <xf numFmtId="0" fontId="10" fillId="512" borderId="2" xfId="0" applyFont="1" applyFill="1" applyBorder="1" applyAlignment="1">
      <alignment horizontal="center"/>
    </xf>
    <xf numFmtId="0" fontId="10" fillId="512" borderId="3" xfId="0" applyFont="1" applyFill="1" applyBorder="1" applyAlignment="1">
      <alignment horizontal="center"/>
    </xf>
    <xf numFmtId="0" fontId="20" fillId="119" borderId="5" xfId="0" applyFont="1" applyFill="1" applyBorder="1" applyAlignment="1">
      <alignment horizontal="center"/>
    </xf>
    <xf numFmtId="0" fontId="10" fillId="815" borderId="2" xfId="0" applyFont="1" applyFill="1" applyBorder="1" applyAlignment="1">
      <alignment horizontal="center"/>
    </xf>
    <xf numFmtId="0" fontId="10" fillId="120" borderId="2" xfId="0" applyFont="1" applyFill="1" applyBorder="1" applyAlignment="1">
      <alignment horizontal="center"/>
    </xf>
    <xf numFmtId="0" fontId="10" fillId="816" borderId="3" xfId="0" applyFont="1" applyFill="1" applyBorder="1" applyAlignment="1">
      <alignment horizontal="center"/>
    </xf>
    <xf numFmtId="0" fontId="10" fillId="20" borderId="1" xfId="0" applyFont="1" applyFill="1" applyBorder="1" applyAlignment="1">
      <alignment horizontal="center"/>
    </xf>
    <xf numFmtId="0" fontId="10" fillId="98" borderId="1" xfId="0" applyFont="1" applyFill="1" applyBorder="1" applyAlignment="1">
      <alignment horizontal="center"/>
    </xf>
    <xf numFmtId="0" fontId="10" fillId="115" borderId="4" xfId="0" applyFont="1" applyFill="1" applyBorder="1" applyAlignment="1">
      <alignment horizontal="center"/>
    </xf>
    <xf numFmtId="0" fontId="10" fillId="176" borderId="1" xfId="0" applyFont="1" applyFill="1" applyBorder="1" applyAlignment="1">
      <alignment horizontal="center"/>
    </xf>
    <xf numFmtId="9" fontId="10" fillId="110" borderId="1" xfId="0" applyNumberFormat="1" applyFont="1" applyFill="1" applyBorder="1" applyAlignment="1">
      <alignment horizontal="center"/>
    </xf>
    <xf numFmtId="9" fontId="10" fillId="127" borderId="1" xfId="0" applyNumberFormat="1" applyFont="1" applyFill="1" applyBorder="1" applyAlignment="1">
      <alignment horizontal="center"/>
    </xf>
    <xf numFmtId="0" fontId="10" fillId="308" borderId="4" xfId="0" applyFont="1" applyFill="1" applyBorder="1" applyAlignment="1">
      <alignment horizontal="center"/>
    </xf>
    <xf numFmtId="10" fontId="10" fillId="41" borderId="1" xfId="0" applyNumberFormat="1" applyFont="1" applyFill="1" applyBorder="1" applyAlignment="1">
      <alignment horizontal="center"/>
    </xf>
    <xf numFmtId="10" fontId="10" fillId="803" borderId="1" xfId="0" applyNumberFormat="1" applyFont="1" applyFill="1" applyBorder="1" applyAlignment="1">
      <alignment horizontal="center"/>
    </xf>
    <xf numFmtId="10" fontId="10" fillId="48" borderId="1" xfId="0" applyNumberFormat="1" applyFont="1" applyFill="1" applyBorder="1" applyAlignment="1">
      <alignment horizontal="center"/>
    </xf>
    <xf numFmtId="10" fontId="10" fillId="450" borderId="4" xfId="0" applyNumberFormat="1" applyFont="1" applyFill="1" applyBorder="1" applyAlignment="1">
      <alignment horizontal="center"/>
    </xf>
    <xf numFmtId="0" fontId="10" fillId="133" borderId="4" xfId="0" applyFont="1" applyFill="1" applyBorder="1" applyAlignment="1">
      <alignment horizontal="center"/>
    </xf>
    <xf numFmtId="0" fontId="10" fillId="85" borderId="4" xfId="0" applyFont="1" applyFill="1" applyBorder="1" applyAlignment="1">
      <alignment horizontal="center"/>
    </xf>
    <xf numFmtId="0" fontId="10" fillId="396" borderId="4" xfId="0" applyFont="1" applyFill="1" applyBorder="1" applyAlignment="1">
      <alignment horizontal="center"/>
    </xf>
    <xf numFmtId="0" fontId="10" fillId="395" borderId="1" xfId="0" applyFont="1" applyFill="1" applyBorder="1" applyAlignment="1">
      <alignment horizontal="center"/>
    </xf>
    <xf numFmtId="0" fontId="10" fillId="266" borderId="1" xfId="0" applyFont="1" applyFill="1" applyBorder="1" applyAlignment="1">
      <alignment horizontal="center"/>
    </xf>
    <xf numFmtId="0" fontId="10" fillId="266" borderId="4" xfId="0" applyFont="1" applyFill="1" applyBorder="1" applyAlignment="1">
      <alignment horizontal="center"/>
    </xf>
    <xf numFmtId="0" fontId="20" fillId="119" borderId="4" xfId="0" applyFont="1" applyFill="1" applyBorder="1" applyAlignment="1">
      <alignment horizontal="center"/>
    </xf>
    <xf numFmtId="0" fontId="10" fillId="71" borderId="1" xfId="0" applyFont="1" applyFill="1" applyBorder="1" applyAlignment="1">
      <alignment horizontal="center"/>
    </xf>
    <xf numFmtId="0" fontId="10" fillId="155" borderId="1" xfId="0" applyFont="1" applyFill="1" applyBorder="1" applyAlignment="1">
      <alignment horizontal="center"/>
    </xf>
    <xf numFmtId="0" fontId="10" fillId="817" borderId="4" xfId="0" applyFont="1" applyFill="1" applyBorder="1" applyAlignment="1">
      <alignment horizontal="center"/>
    </xf>
    <xf numFmtId="9" fontId="10" fillId="59" borderId="2" xfId="0" applyNumberFormat="1" applyFont="1" applyFill="1" applyBorder="1" applyAlignment="1">
      <alignment horizontal="center"/>
    </xf>
    <xf numFmtId="0" fontId="10" fillId="541" borderId="2" xfId="0" applyFont="1" applyFill="1" applyBorder="1" applyAlignment="1">
      <alignment horizontal="center"/>
    </xf>
    <xf numFmtId="9" fontId="10" fillId="595" borderId="3" xfId="0" applyNumberFormat="1" applyFont="1" applyFill="1" applyBorder="1" applyAlignment="1">
      <alignment horizontal="center"/>
    </xf>
    <xf numFmtId="10" fontId="10" fillId="614" borderId="2" xfId="0" applyNumberFormat="1" applyFont="1" applyFill="1" applyBorder="1" applyAlignment="1">
      <alignment horizontal="center"/>
    </xf>
    <xf numFmtId="10" fontId="10" fillId="39" borderId="2" xfId="0" applyNumberFormat="1" applyFont="1" applyFill="1" applyBorder="1" applyAlignment="1">
      <alignment horizontal="center"/>
    </xf>
    <xf numFmtId="10" fontId="10" fillId="362" borderId="2" xfId="0" applyNumberFormat="1" applyFont="1" applyFill="1" applyBorder="1" applyAlignment="1">
      <alignment horizontal="center"/>
    </xf>
    <xf numFmtId="10" fontId="10" fillId="349" borderId="3" xfId="0" applyNumberFormat="1" applyFont="1" applyFill="1" applyBorder="1" applyAlignment="1">
      <alignment horizontal="center"/>
    </xf>
    <xf numFmtId="0" fontId="10" fillId="457" borderId="3" xfId="0" applyFont="1" applyFill="1" applyBorder="1" applyAlignment="1">
      <alignment horizontal="center"/>
    </xf>
    <xf numFmtId="0" fontId="10" fillId="818" borderId="2" xfId="0" applyFont="1" applyFill="1" applyBorder="1" applyAlignment="1">
      <alignment horizontal="center"/>
    </xf>
    <xf numFmtId="0" fontId="10" fillId="660" borderId="2" xfId="0" applyFont="1" applyFill="1" applyBorder="1" applyAlignment="1">
      <alignment horizontal="center"/>
    </xf>
    <xf numFmtId="0" fontId="10" fillId="660" borderId="3" xfId="0" applyFont="1" applyFill="1" applyBorder="1" applyAlignment="1">
      <alignment horizontal="center"/>
    </xf>
    <xf numFmtId="10" fontId="10" fillId="135" borderId="1" xfId="0" applyNumberFormat="1" applyFont="1" applyFill="1" applyBorder="1" applyAlignment="1">
      <alignment horizontal="center"/>
    </xf>
    <xf numFmtId="10" fontId="10" fillId="500" borderId="4" xfId="0" applyNumberFormat="1" applyFont="1" applyFill="1" applyBorder="1" applyAlignment="1">
      <alignment horizontal="center"/>
    </xf>
    <xf numFmtId="0" fontId="10" fillId="251" borderId="1" xfId="0" applyFont="1" applyFill="1" applyBorder="1" applyAlignment="1">
      <alignment horizontal="center"/>
    </xf>
    <xf numFmtId="0" fontId="10" fillId="663" borderId="4" xfId="0" applyFont="1" applyFill="1" applyBorder="1" applyAlignment="1">
      <alignment horizontal="center"/>
    </xf>
    <xf numFmtId="9" fontId="10" fillId="177" borderId="2" xfId="0" applyNumberFormat="1" applyFont="1" applyFill="1" applyBorder="1" applyAlignment="1">
      <alignment horizontal="center"/>
    </xf>
    <xf numFmtId="0" fontId="10" fillId="326" borderId="2" xfId="0" applyFont="1" applyFill="1" applyBorder="1" applyAlignment="1">
      <alignment horizontal="center"/>
    </xf>
    <xf numFmtId="9" fontId="10" fillId="152" borderId="3" xfId="0" applyNumberFormat="1" applyFont="1" applyFill="1" applyBorder="1" applyAlignment="1">
      <alignment horizontal="center"/>
    </xf>
    <xf numFmtId="0" fontId="10" fillId="819" borderId="2" xfId="0" applyFont="1" applyFill="1" applyBorder="1" applyAlignment="1">
      <alignment horizontal="center"/>
    </xf>
    <xf numFmtId="9" fontId="10" fillId="206" borderId="2" xfId="0" applyNumberFormat="1" applyFont="1" applyFill="1" applyBorder="1" applyAlignment="1">
      <alignment horizontal="center"/>
    </xf>
    <xf numFmtId="9" fontId="10" fillId="478" borderId="2" xfId="0" applyNumberFormat="1" applyFont="1" applyFill="1" applyBorder="1" applyAlignment="1">
      <alignment horizontal="center"/>
    </xf>
    <xf numFmtId="10" fontId="10" fillId="40" borderId="2" xfId="0" applyNumberFormat="1" applyFont="1" applyFill="1" applyBorder="1" applyAlignment="1">
      <alignment horizontal="center"/>
    </xf>
    <xf numFmtId="10" fontId="10" fillId="178" borderId="2" xfId="0" applyNumberFormat="1" applyFont="1" applyFill="1" applyBorder="1" applyAlignment="1">
      <alignment horizontal="center"/>
    </xf>
    <xf numFmtId="0" fontId="10" fillId="136" borderId="2" xfId="0" applyFont="1" applyFill="1" applyBorder="1" applyAlignment="1">
      <alignment horizontal="center"/>
    </xf>
    <xf numFmtId="0" fontId="10" fillId="794" borderId="2" xfId="0" applyFont="1" applyFill="1" applyBorder="1" applyAlignment="1">
      <alignment horizontal="center"/>
    </xf>
    <xf numFmtId="0" fontId="10" fillId="794" borderId="3" xfId="0" applyFont="1" applyFill="1" applyBorder="1" applyAlignment="1">
      <alignment horizontal="center"/>
    </xf>
    <xf numFmtId="0" fontId="20" fillId="14" borderId="5" xfId="0" applyFont="1" applyFill="1" applyBorder="1" applyAlignment="1">
      <alignment horizontal="center"/>
    </xf>
    <xf numFmtId="0" fontId="10" fillId="820" borderId="2" xfId="0" applyFont="1" applyFill="1" applyBorder="1" applyAlignment="1">
      <alignment horizontal="center"/>
    </xf>
    <xf numFmtId="0" fontId="10" fillId="796" borderId="3" xfId="0" applyFont="1" applyFill="1" applyBorder="1" applyAlignment="1">
      <alignment horizontal="center"/>
    </xf>
    <xf numFmtId="0" fontId="10" fillId="525" borderId="1" xfId="0" applyFont="1" applyFill="1" applyBorder="1" applyAlignment="1">
      <alignment horizontal="center"/>
    </xf>
    <xf numFmtId="0" fontId="10" fillId="34" borderId="1" xfId="0" applyFont="1" applyFill="1" applyBorder="1" applyAlignment="1">
      <alignment horizontal="center"/>
    </xf>
    <xf numFmtId="9" fontId="10" fillId="135" borderId="4" xfId="0" applyNumberFormat="1" applyFont="1" applyFill="1" applyBorder="1" applyAlignment="1">
      <alignment horizontal="center"/>
    </xf>
    <xf numFmtId="0" fontId="10" fillId="529" borderId="4" xfId="0" applyFont="1" applyFill="1" applyBorder="1" applyAlignment="1">
      <alignment horizontal="center"/>
    </xf>
    <xf numFmtId="0" fontId="10" fillId="49" borderId="1" xfId="0" applyFont="1" applyFill="1" applyBorder="1" applyAlignment="1">
      <alignment horizontal="center"/>
    </xf>
    <xf numFmtId="9" fontId="10" fillId="378" borderId="1" xfId="0" applyNumberFormat="1" applyFont="1" applyFill="1" applyBorder="1" applyAlignment="1">
      <alignment horizontal="center"/>
    </xf>
    <xf numFmtId="9" fontId="10" fillId="351" borderId="1" xfId="0" applyNumberFormat="1" applyFont="1" applyFill="1" applyBorder="1" applyAlignment="1">
      <alignment horizontal="center"/>
    </xf>
    <xf numFmtId="0" fontId="10" fillId="150" borderId="4" xfId="0" applyFont="1" applyFill="1" applyBorder="1" applyAlignment="1">
      <alignment horizontal="center"/>
    </xf>
    <xf numFmtId="10" fontId="10" fillId="144" borderId="1" xfId="0" applyNumberFormat="1" applyFont="1" applyFill="1" applyBorder="1" applyAlignment="1">
      <alignment horizontal="center"/>
    </xf>
    <xf numFmtId="10" fontId="10" fillId="641" borderId="1" xfId="0" applyNumberFormat="1" applyFont="1" applyFill="1" applyBorder="1" applyAlignment="1">
      <alignment horizontal="center"/>
    </xf>
    <xf numFmtId="10" fontId="10" fillId="570" borderId="4" xfId="0" applyNumberFormat="1" applyFont="1" applyFill="1" applyBorder="1" applyAlignment="1">
      <alignment horizontal="center"/>
    </xf>
    <xf numFmtId="0" fontId="10" fillId="821" borderId="1" xfId="0" applyFont="1" applyFill="1" applyBorder="1" applyAlignment="1">
      <alignment horizontal="center"/>
    </xf>
    <xf numFmtId="0" fontId="10" fillId="464" borderId="1" xfId="0" applyFont="1" applyFill="1" applyBorder="1" applyAlignment="1">
      <alignment horizontal="center"/>
    </xf>
    <xf numFmtId="0" fontId="10" fillId="464" borderId="4" xfId="0" applyFont="1" applyFill="1" applyBorder="1" applyAlignment="1">
      <alignment horizontal="center"/>
    </xf>
    <xf numFmtId="0" fontId="20" fillId="14" borderId="4" xfId="0" applyFont="1" applyFill="1" applyBorder="1" applyAlignment="1">
      <alignment horizontal="center"/>
    </xf>
    <xf numFmtId="0" fontId="10" fillId="719" borderId="1" xfId="0" applyFont="1" applyFill="1" applyBorder="1" applyAlignment="1">
      <alignment horizontal="center"/>
    </xf>
    <xf numFmtId="0" fontId="10" fillId="687" borderId="1" xfId="0" applyFont="1" applyFill="1" applyBorder="1" applyAlignment="1">
      <alignment horizontal="center"/>
    </xf>
    <xf numFmtId="0" fontId="10" fillId="746" borderId="1" xfId="0" applyFont="1" applyFill="1" applyBorder="1" applyAlignment="1">
      <alignment horizontal="center"/>
    </xf>
    <xf numFmtId="0" fontId="10" fillId="412" borderId="2" xfId="0" applyFont="1" applyFill="1" applyBorder="1" applyAlignment="1">
      <alignment horizontal="center"/>
    </xf>
    <xf numFmtId="9" fontId="10" fillId="148" borderId="2" xfId="0" applyNumberFormat="1" applyFont="1" applyFill="1" applyBorder="1" applyAlignment="1">
      <alignment horizontal="center"/>
    </xf>
    <xf numFmtId="0" fontId="10" fillId="280" borderId="2" xfId="0" applyFont="1" applyFill="1" applyBorder="1" applyAlignment="1">
      <alignment horizontal="center"/>
    </xf>
    <xf numFmtId="9" fontId="10" fillId="177" borderId="3" xfId="0" applyNumberFormat="1" applyFont="1" applyFill="1" applyBorder="1" applyAlignment="1">
      <alignment horizontal="center"/>
    </xf>
    <xf numFmtId="0" fontId="10" fillId="302" borderId="3" xfId="0" applyFont="1" applyFill="1" applyBorder="1" applyAlignment="1">
      <alignment horizontal="center"/>
    </xf>
    <xf numFmtId="9" fontId="10" fillId="272" borderId="2" xfId="0" applyNumberFormat="1" applyFont="1" applyFill="1" applyBorder="1" applyAlignment="1">
      <alignment horizontal="center"/>
    </xf>
    <xf numFmtId="10" fontId="10" fillId="343" borderId="2" xfId="0" applyNumberFormat="1" applyFont="1" applyFill="1" applyBorder="1" applyAlignment="1">
      <alignment horizontal="center"/>
    </xf>
    <xf numFmtId="0" fontId="10" fillId="395" borderId="2" xfId="0" applyFont="1" applyFill="1" applyBorder="1" applyAlignment="1">
      <alignment horizontal="center"/>
    </xf>
    <xf numFmtId="0" fontId="10" fillId="701" borderId="2" xfId="0" applyFont="1" applyFill="1" applyBorder="1" applyAlignment="1">
      <alignment horizontal="center"/>
    </xf>
    <xf numFmtId="0" fontId="10" fillId="701" borderId="3" xfId="0" applyFont="1" applyFill="1" applyBorder="1" applyAlignment="1">
      <alignment horizontal="center"/>
    </xf>
    <xf numFmtId="0" fontId="20" fillId="822" borderId="5" xfId="0" applyFont="1" applyFill="1" applyBorder="1" applyAlignment="1">
      <alignment horizontal="center"/>
    </xf>
    <xf numFmtId="0" fontId="10" fillId="472" borderId="2" xfId="0" applyFont="1" applyFill="1" applyBorder="1" applyAlignment="1">
      <alignment horizontal="center"/>
    </xf>
    <xf numFmtId="0" fontId="10" fillId="823" borderId="3" xfId="0" applyFont="1" applyFill="1" applyBorder="1" applyAlignment="1">
      <alignment horizontal="center"/>
    </xf>
    <xf numFmtId="0" fontId="10" fillId="139" borderId="1" xfId="0" applyFont="1" applyFill="1" applyBorder="1" applyAlignment="1">
      <alignment horizontal="center"/>
    </xf>
    <xf numFmtId="9" fontId="10" fillId="500" borderId="1" xfId="0" applyNumberFormat="1" applyFont="1" applyFill="1" applyBorder="1" applyAlignment="1">
      <alignment horizontal="center"/>
    </xf>
    <xf numFmtId="0" fontId="10" fillId="326" borderId="1" xfId="0" applyFont="1" applyFill="1" applyBorder="1" applyAlignment="1">
      <alignment horizontal="center"/>
    </xf>
    <xf numFmtId="9" fontId="10" fillId="310" borderId="4" xfId="0" applyNumberFormat="1" applyFont="1" applyFill="1" applyBorder="1" applyAlignment="1">
      <alignment horizontal="center"/>
    </xf>
    <xf numFmtId="0" fontId="10" fillId="110" borderId="4" xfId="0" applyFont="1" applyFill="1" applyBorder="1" applyAlignment="1">
      <alignment horizontal="center"/>
    </xf>
    <xf numFmtId="0" fontId="10" fillId="328" borderId="1" xfId="0" applyFont="1" applyFill="1" applyBorder="1" applyAlignment="1">
      <alignment horizontal="center"/>
    </xf>
    <xf numFmtId="9" fontId="10" fillId="478" borderId="1" xfId="0" applyNumberFormat="1" applyFont="1" applyFill="1" applyBorder="1" applyAlignment="1">
      <alignment horizontal="center"/>
    </xf>
    <xf numFmtId="10" fontId="10" fillId="100" borderId="4" xfId="0" applyNumberFormat="1" applyFont="1" applyFill="1" applyBorder="1" applyAlignment="1">
      <alignment horizontal="center"/>
    </xf>
    <xf numFmtId="0" fontId="10" fillId="512" borderId="1" xfId="0" applyFont="1" applyFill="1" applyBorder="1" applyAlignment="1">
      <alignment horizontal="center"/>
    </xf>
    <xf numFmtId="0" fontId="10" fillId="824" borderId="1" xfId="0" applyFont="1" applyFill="1" applyBorder="1" applyAlignment="1">
      <alignment horizontal="center"/>
    </xf>
    <xf numFmtId="0" fontId="10" fillId="824" borderId="4" xfId="0" applyFont="1" applyFill="1" applyBorder="1" applyAlignment="1">
      <alignment horizontal="center"/>
    </xf>
    <xf numFmtId="0" fontId="20" fillId="822" borderId="4" xfId="0" applyFont="1" applyFill="1" applyBorder="1" applyAlignment="1">
      <alignment horizontal="center"/>
    </xf>
    <xf numFmtId="0" fontId="10" fillId="200" borderId="1" xfId="0" applyFont="1" applyFill="1" applyBorder="1" applyAlignment="1">
      <alignment horizontal="center"/>
    </xf>
    <xf numFmtId="0" fontId="10" fillId="820" borderId="1" xfId="0" applyFont="1" applyFill="1" applyBorder="1" applyAlignment="1">
      <alignment horizontal="center"/>
    </xf>
    <xf numFmtId="0" fontId="10" fillId="825" borderId="4" xfId="0" applyFont="1" applyFill="1" applyBorder="1" applyAlignment="1">
      <alignment horizontal="center"/>
    </xf>
    <xf numFmtId="0" fontId="10" fillId="177" borderId="2" xfId="0" applyFont="1" applyFill="1" applyBorder="1" applyAlignment="1">
      <alignment horizontal="center"/>
    </xf>
    <xf numFmtId="9" fontId="10" fillId="323" borderId="2" xfId="0" applyNumberFormat="1" applyFont="1" applyFill="1" applyBorder="1" applyAlignment="1">
      <alignment horizontal="center"/>
    </xf>
    <xf numFmtId="0" fontId="10" fillId="524" borderId="2" xfId="0" applyFont="1" applyFill="1" applyBorder="1" applyAlignment="1">
      <alignment horizontal="center"/>
    </xf>
    <xf numFmtId="9" fontId="10" fillId="278" borderId="3" xfId="0" applyNumberFormat="1" applyFont="1" applyFill="1" applyBorder="1" applyAlignment="1">
      <alignment horizontal="center"/>
    </xf>
    <xf numFmtId="0" fontId="10" fillId="62" borderId="3" xfId="0" applyFont="1" applyFill="1" applyBorder="1" applyAlignment="1">
      <alignment horizontal="center"/>
    </xf>
    <xf numFmtId="0" fontId="10" fillId="150" borderId="2" xfId="0" applyFont="1" applyFill="1" applyBorder="1" applyAlignment="1">
      <alignment horizontal="center"/>
    </xf>
    <xf numFmtId="9" fontId="10" fillId="82" borderId="2" xfId="0" applyNumberFormat="1" applyFont="1" applyFill="1" applyBorder="1" applyAlignment="1">
      <alignment horizontal="center"/>
    </xf>
    <xf numFmtId="10" fontId="10" fillId="21" borderId="2" xfId="0" applyNumberFormat="1" applyFont="1" applyFill="1" applyBorder="1" applyAlignment="1">
      <alignment horizontal="center"/>
    </xf>
    <xf numFmtId="10" fontId="10" fillId="257" borderId="2" xfId="0" applyNumberFormat="1" applyFont="1" applyFill="1" applyBorder="1" applyAlignment="1">
      <alignment horizontal="center"/>
    </xf>
    <xf numFmtId="10" fontId="10" fillId="62" borderId="2" xfId="0" applyNumberFormat="1" applyFont="1" applyFill="1" applyBorder="1" applyAlignment="1">
      <alignment horizontal="center"/>
    </xf>
    <xf numFmtId="10" fontId="10" fillId="197" borderId="3" xfId="0" applyNumberFormat="1" applyFont="1" applyFill="1" applyBorder="1" applyAlignment="1">
      <alignment horizontal="center"/>
    </xf>
    <xf numFmtId="0" fontId="10" fillId="40" borderId="13" xfId="0" applyFont="1" applyFill="1" applyBorder="1" applyAlignment="1">
      <alignment horizontal="center"/>
    </xf>
    <xf numFmtId="0" fontId="10" fillId="336" borderId="13" xfId="0" applyFont="1" applyFill="1" applyBorder="1" applyAlignment="1">
      <alignment horizontal="center"/>
    </xf>
    <xf numFmtId="0" fontId="10" fillId="826" borderId="2" xfId="0" applyFont="1" applyFill="1" applyBorder="1" applyAlignment="1">
      <alignment horizontal="center"/>
    </xf>
    <xf numFmtId="0" fontId="10" fillId="464" borderId="2" xfId="0" applyFont="1" applyFill="1" applyBorder="1" applyAlignment="1">
      <alignment horizontal="center"/>
    </xf>
    <xf numFmtId="0" fontId="10" fillId="464" borderId="3" xfId="0" applyFont="1" applyFill="1" applyBorder="1" applyAlignment="1">
      <alignment horizontal="center"/>
    </xf>
    <xf numFmtId="0" fontId="10" fillId="598" borderId="1" xfId="0" applyFont="1" applyFill="1" applyBorder="1" applyAlignment="1">
      <alignment horizontal="center"/>
    </xf>
    <xf numFmtId="9" fontId="10" fillId="169" borderId="1" xfId="0" applyNumberFormat="1" applyFont="1" applyFill="1" applyBorder="1" applyAlignment="1">
      <alignment horizontal="center"/>
    </xf>
    <xf numFmtId="10" fontId="10" fillId="57" borderId="1" xfId="0" applyNumberFormat="1" applyFont="1" applyFill="1" applyBorder="1" applyAlignment="1">
      <alignment horizontal="center"/>
    </xf>
    <xf numFmtId="10" fontId="10" fillId="377" borderId="1" xfId="0" applyNumberFormat="1" applyFont="1" applyFill="1" applyBorder="1" applyAlignment="1">
      <alignment horizontal="center"/>
    </xf>
    <xf numFmtId="10" fontId="10" fillId="74" borderId="4" xfId="0" applyNumberFormat="1" applyFont="1" applyFill="1" applyBorder="1" applyAlignment="1">
      <alignment horizontal="center"/>
    </xf>
    <xf numFmtId="0" fontId="10" fillId="169" borderId="16" xfId="0" applyFont="1" applyFill="1" applyBorder="1" applyAlignment="1">
      <alignment horizontal="center"/>
    </xf>
    <xf numFmtId="0" fontId="10" fillId="279" borderId="16" xfId="0" applyFont="1" applyFill="1" applyBorder="1" applyAlignment="1">
      <alignment horizontal="center"/>
    </xf>
    <xf numFmtId="0" fontId="10" fillId="827" borderId="1" xfId="0" applyFont="1" applyFill="1" applyBorder="1" applyAlignment="1">
      <alignment horizontal="center"/>
    </xf>
    <xf numFmtId="0" fontId="10" fillId="828" borderId="1" xfId="0" applyFont="1" applyFill="1" applyBorder="1" applyAlignment="1">
      <alignment horizontal="center"/>
    </xf>
    <xf numFmtId="0" fontId="10" fillId="828" borderId="4" xfId="0" applyFont="1" applyFill="1" applyBorder="1" applyAlignment="1">
      <alignment horizontal="center"/>
    </xf>
    <xf numFmtId="0" fontId="10" fillId="211" borderId="2" xfId="0" applyFont="1" applyFill="1" applyBorder="1" applyAlignment="1">
      <alignment horizontal="center"/>
    </xf>
    <xf numFmtId="9" fontId="10" fillId="343" borderId="2" xfId="0" applyNumberFormat="1" applyFont="1" applyFill="1" applyBorder="1" applyAlignment="1">
      <alignment horizontal="center"/>
    </xf>
    <xf numFmtId="0" fontId="10" fillId="552" borderId="2" xfId="0" applyFont="1" applyFill="1" applyBorder="1" applyAlignment="1">
      <alignment horizontal="center"/>
    </xf>
    <xf numFmtId="0" fontId="10" fillId="76" borderId="3" xfId="0" applyFont="1" applyFill="1" applyBorder="1" applyAlignment="1">
      <alignment horizontal="center"/>
    </xf>
    <xf numFmtId="0" fontId="10" fillId="48" borderId="2" xfId="0" applyFont="1" applyFill="1" applyBorder="1" applyAlignment="1">
      <alignment horizontal="center"/>
    </xf>
    <xf numFmtId="10" fontId="10" fillId="233" borderId="2" xfId="0" applyNumberFormat="1" applyFont="1" applyFill="1" applyBorder="1" applyAlignment="1">
      <alignment horizontal="center"/>
    </xf>
    <xf numFmtId="10" fontId="10" fillId="807" borderId="2" xfId="0" applyNumberFormat="1" applyFont="1" applyFill="1" applyBorder="1" applyAlignment="1">
      <alignment horizontal="center"/>
    </xf>
    <xf numFmtId="10" fontId="10" fillId="500" borderId="2" xfId="0" applyNumberFormat="1" applyFont="1" applyFill="1" applyBorder="1" applyAlignment="1">
      <alignment horizontal="center"/>
    </xf>
    <xf numFmtId="10" fontId="10" fillId="477" borderId="3" xfId="0" applyNumberFormat="1" applyFont="1" applyFill="1" applyBorder="1" applyAlignment="1">
      <alignment horizontal="center"/>
    </xf>
    <xf numFmtId="0" fontId="10" fillId="576" borderId="2" xfId="0" applyFont="1" applyFill="1" applyBorder="1" applyAlignment="1">
      <alignment horizontal="center"/>
    </xf>
    <xf numFmtId="0" fontId="10" fillId="547" borderId="2" xfId="0" applyFont="1" applyFill="1" applyBorder="1" applyAlignment="1">
      <alignment horizontal="center"/>
    </xf>
    <xf numFmtId="0" fontId="10" fillId="547" borderId="3" xfId="0" applyFont="1" applyFill="1" applyBorder="1" applyAlignment="1">
      <alignment horizontal="center"/>
    </xf>
    <xf numFmtId="0" fontId="20" fillId="829" borderId="5" xfId="0" applyFont="1" applyFill="1" applyBorder="1" applyAlignment="1">
      <alignment horizontal="center"/>
    </xf>
    <xf numFmtId="0" fontId="10" fillId="104" borderId="2" xfId="0" applyFont="1" applyFill="1" applyBorder="1" applyAlignment="1">
      <alignment horizontal="center"/>
    </xf>
    <xf numFmtId="0" fontId="10" fillId="495" borderId="2" xfId="0" applyFont="1" applyFill="1" applyBorder="1" applyAlignment="1">
      <alignment horizontal="center"/>
    </xf>
    <xf numFmtId="0" fontId="10" fillId="400" borderId="3" xfId="0" applyFont="1" applyFill="1" applyBorder="1" applyAlignment="1">
      <alignment horizontal="center"/>
    </xf>
    <xf numFmtId="0" fontId="10" fillId="115" borderId="1" xfId="0" applyFont="1" applyFill="1" applyBorder="1" applyAlignment="1">
      <alignment horizontal="center"/>
    </xf>
    <xf numFmtId="9" fontId="10" fillId="96" borderId="1" xfId="0" applyNumberFormat="1" applyFont="1" applyFill="1" applyBorder="1" applyAlignment="1">
      <alignment horizontal="center"/>
    </xf>
    <xf numFmtId="0" fontId="10" fillId="375" borderId="1" xfId="0" applyFont="1" applyFill="1" applyBorder="1" applyAlignment="1">
      <alignment horizontal="center"/>
    </xf>
    <xf numFmtId="9" fontId="10" fillId="96" borderId="4" xfId="0" applyNumberFormat="1" applyFont="1" applyFill="1" applyBorder="1" applyAlignment="1">
      <alignment horizontal="center"/>
    </xf>
    <xf numFmtId="0" fontId="10" fillId="819" borderId="4" xfId="0" applyFont="1" applyFill="1" applyBorder="1" applyAlignment="1">
      <alignment horizontal="center"/>
    </xf>
    <xf numFmtId="9" fontId="10" fillId="303" borderId="1" xfId="0" applyNumberFormat="1" applyFont="1" applyFill="1" applyBorder="1" applyAlignment="1">
      <alignment horizontal="center"/>
    </xf>
    <xf numFmtId="9" fontId="10" fillId="272" borderId="1" xfId="0" applyNumberFormat="1" applyFont="1" applyFill="1" applyBorder="1" applyAlignment="1">
      <alignment horizontal="center"/>
    </xf>
    <xf numFmtId="10" fontId="10" fillId="132" borderId="1" xfId="0" applyNumberFormat="1" applyFont="1" applyFill="1" applyBorder="1" applyAlignment="1">
      <alignment horizontal="center"/>
    </xf>
    <xf numFmtId="10" fontId="10" fillId="311" borderId="1" xfId="0" applyNumberFormat="1" applyFont="1" applyFill="1" applyBorder="1" applyAlignment="1">
      <alignment horizontal="center"/>
    </xf>
    <xf numFmtId="10" fontId="10" fillId="454" borderId="1" xfId="0" applyNumberFormat="1" applyFont="1" applyFill="1" applyBorder="1" applyAlignment="1">
      <alignment horizontal="center"/>
    </xf>
    <xf numFmtId="10" fontId="10" fillId="360" borderId="4" xfId="0" applyNumberFormat="1" applyFont="1" applyFill="1" applyBorder="1" applyAlignment="1">
      <alignment horizontal="center"/>
    </xf>
    <xf numFmtId="0" fontId="10" fillId="381" borderId="16" xfId="0" applyFont="1" applyFill="1" applyBorder="1" applyAlignment="1">
      <alignment horizontal="center"/>
    </xf>
    <xf numFmtId="0" fontId="10" fillId="703" borderId="1" xfId="0" applyFont="1" applyFill="1" applyBorder="1" applyAlignment="1">
      <alignment horizontal="center"/>
    </xf>
    <xf numFmtId="0" fontId="10" fillId="799" borderId="1" xfId="0" applyFont="1" applyFill="1" applyBorder="1" applyAlignment="1">
      <alignment horizontal="center"/>
    </xf>
    <xf numFmtId="0" fontId="10" fillId="799" borderId="4" xfId="0" applyFont="1" applyFill="1" applyBorder="1" applyAlignment="1">
      <alignment horizontal="center"/>
    </xf>
    <xf numFmtId="0" fontId="20" fillId="829" borderId="4" xfId="0" applyFont="1" applyFill="1" applyBorder="1" applyAlignment="1">
      <alignment horizontal="center"/>
    </xf>
    <xf numFmtId="0" fontId="10" fillId="543" borderId="1" xfId="0" applyFont="1" applyFill="1" applyBorder="1" applyAlignment="1">
      <alignment horizontal="center"/>
    </xf>
    <xf numFmtId="0" fontId="10" fillId="830" borderId="1" xfId="0" applyFont="1" applyFill="1" applyBorder="1" applyAlignment="1">
      <alignment horizontal="center"/>
    </xf>
    <xf numFmtId="0" fontId="10" fillId="831" borderId="1" xfId="0" applyFont="1" applyFill="1" applyBorder="1" applyAlignment="1">
      <alignment horizontal="center"/>
    </xf>
    <xf numFmtId="0" fontId="10" fillId="832" borderId="4" xfId="0" applyFont="1" applyFill="1" applyBorder="1" applyAlignment="1">
      <alignment horizontal="center"/>
    </xf>
    <xf numFmtId="0" fontId="2" fillId="5" borderId="0" xfId="0" applyFont="1" applyFill="1"/>
    <xf numFmtId="0" fontId="10" fillId="5" borderId="5" xfId="0" applyFont="1" applyFill="1" applyBorder="1" applyAlignment="1">
      <alignment horizontal="center"/>
    </xf>
    <xf numFmtId="0" fontId="11" fillId="12" borderId="3" xfId="0" applyFont="1" applyFill="1" applyBorder="1"/>
    <xf numFmtId="164" fontId="10" fillId="64" borderId="2" xfId="0" applyNumberFormat="1" applyFont="1" applyFill="1" applyBorder="1" applyAlignment="1">
      <alignment horizontal="center"/>
    </xf>
    <xf numFmtId="49" fontId="10" fillId="12" borderId="2" xfId="0" applyNumberFormat="1" applyFont="1" applyFill="1" applyBorder="1" applyAlignment="1">
      <alignment horizontal="center"/>
    </xf>
    <xf numFmtId="166" fontId="10" fillId="12" borderId="3" xfId="0" applyNumberFormat="1" applyFont="1" applyFill="1" applyBorder="1" applyAlignment="1">
      <alignment horizontal="center"/>
    </xf>
    <xf numFmtId="0" fontId="10" fillId="62" borderId="2" xfId="0" applyFont="1" applyFill="1" applyBorder="1" applyAlignment="1">
      <alignment horizontal="center"/>
    </xf>
    <xf numFmtId="9" fontId="10" fillId="328" borderId="2" xfId="0" applyNumberFormat="1" applyFont="1" applyFill="1" applyBorder="1" applyAlignment="1">
      <alignment horizontal="center"/>
    </xf>
    <xf numFmtId="0" fontId="10" fillId="609" borderId="2" xfId="0" applyFont="1" applyFill="1" applyBorder="1" applyAlignment="1">
      <alignment horizontal="center"/>
    </xf>
    <xf numFmtId="9" fontId="10" fillId="525" borderId="3" xfId="0" applyNumberFormat="1" applyFont="1" applyFill="1" applyBorder="1" applyAlignment="1">
      <alignment horizontal="center"/>
    </xf>
    <xf numFmtId="0" fontId="10" fillId="377" borderId="2" xfId="0" applyFont="1" applyFill="1" applyBorder="1" applyAlignment="1">
      <alignment horizontal="center"/>
    </xf>
    <xf numFmtId="9" fontId="10" fillId="65" borderId="2" xfId="0" applyNumberFormat="1" applyFont="1" applyFill="1" applyBorder="1" applyAlignment="1">
      <alignment horizontal="center"/>
    </xf>
    <xf numFmtId="9" fontId="10" fillId="358" borderId="2" xfId="0" applyNumberFormat="1" applyFont="1" applyFill="1" applyBorder="1" applyAlignment="1">
      <alignment horizontal="center"/>
    </xf>
    <xf numFmtId="0" fontId="10" fillId="107" borderId="3" xfId="0" applyFont="1" applyFill="1" applyBorder="1" applyAlignment="1">
      <alignment horizontal="center"/>
    </xf>
    <xf numFmtId="10" fontId="10" fillId="166" borderId="2" xfId="0" applyNumberFormat="1" applyFont="1" applyFill="1" applyBorder="1" applyAlignment="1">
      <alignment horizontal="center"/>
    </xf>
    <xf numFmtId="10" fontId="10" fillId="377" borderId="2" xfId="0" applyNumberFormat="1" applyFont="1" applyFill="1" applyBorder="1" applyAlignment="1">
      <alignment horizontal="center"/>
    </xf>
    <xf numFmtId="10" fontId="10" fillId="78" borderId="2" xfId="0" applyNumberFormat="1" applyFont="1" applyFill="1" applyBorder="1" applyAlignment="1">
      <alignment horizontal="center"/>
    </xf>
    <xf numFmtId="10" fontId="10" fillId="493" borderId="3" xfId="0" applyNumberFormat="1" applyFont="1" applyFill="1" applyBorder="1" applyAlignment="1">
      <alignment horizontal="center"/>
    </xf>
    <xf numFmtId="0" fontId="10" fillId="279" borderId="13" xfId="0" applyFont="1" applyFill="1" applyBorder="1" applyAlignment="1">
      <alignment horizontal="center"/>
    </xf>
    <xf numFmtId="0" fontId="10" fillId="630" borderId="13" xfId="0" applyFont="1" applyFill="1" applyBorder="1" applyAlignment="1">
      <alignment horizontal="center"/>
    </xf>
    <xf numFmtId="0" fontId="10" fillId="443" borderId="13" xfId="0" applyFont="1" applyFill="1" applyBorder="1" applyAlignment="1">
      <alignment horizontal="center"/>
    </xf>
    <xf numFmtId="0" fontId="10" fillId="833" borderId="2" xfId="0" applyFont="1" applyFill="1" applyBorder="1" applyAlignment="1">
      <alignment horizontal="center"/>
    </xf>
    <xf numFmtId="0" fontId="10" fillId="157" borderId="2" xfId="0" applyFont="1" applyFill="1" applyBorder="1" applyAlignment="1">
      <alignment horizontal="center"/>
    </xf>
    <xf numFmtId="0" fontId="10" fillId="157" borderId="3" xfId="0" applyFont="1" applyFill="1" applyBorder="1" applyAlignment="1">
      <alignment horizontal="center"/>
    </xf>
    <xf numFmtId="164" fontId="10" fillId="182" borderId="1" xfId="0" applyNumberFormat="1" applyFont="1" applyFill="1" applyBorder="1" applyAlignment="1">
      <alignment horizontal="center"/>
    </xf>
    <xf numFmtId="49" fontId="10" fillId="12" borderId="1" xfId="0" applyNumberFormat="1" applyFont="1" applyFill="1" applyBorder="1" applyAlignment="1">
      <alignment horizontal="center"/>
    </xf>
    <xf numFmtId="166" fontId="10" fillId="12" borderId="4" xfId="0" applyNumberFormat="1" applyFont="1" applyFill="1" applyBorder="1" applyAlignment="1">
      <alignment horizontal="center"/>
    </xf>
    <xf numFmtId="0" fontId="10" fillId="62" borderId="1" xfId="0" applyFont="1" applyFill="1" applyBorder="1" applyAlignment="1">
      <alignment horizontal="center"/>
    </xf>
    <xf numFmtId="9" fontId="10" fillId="328" borderId="1" xfId="0" applyNumberFormat="1" applyFont="1" applyFill="1" applyBorder="1" applyAlignment="1">
      <alignment horizontal="center"/>
    </xf>
    <xf numFmtId="0" fontId="10" fillId="634" borderId="1" xfId="0" applyFont="1" applyFill="1" applyBorder="1" applyAlignment="1">
      <alignment horizontal="center"/>
    </xf>
    <xf numFmtId="9" fontId="10" fillId="20" borderId="4" xfId="0" applyNumberFormat="1" applyFont="1" applyFill="1" applyBorder="1" applyAlignment="1">
      <alignment horizontal="center"/>
    </xf>
    <xf numFmtId="0" fontId="10" fillId="45" borderId="4" xfId="0" applyFont="1" applyFill="1" applyBorder="1" applyAlignment="1">
      <alignment horizontal="center"/>
    </xf>
    <xf numFmtId="0" fontId="10" fillId="38" borderId="1" xfId="0" applyFont="1" applyFill="1" applyBorder="1" applyAlignment="1">
      <alignment horizontal="center"/>
    </xf>
    <xf numFmtId="9" fontId="10" fillId="148" borderId="1" xfId="0" applyNumberFormat="1" applyFont="1" applyFill="1" applyBorder="1" applyAlignment="1">
      <alignment horizontal="center"/>
    </xf>
    <xf numFmtId="9" fontId="10" fillId="115" borderId="1" xfId="0" applyNumberFormat="1" applyFont="1" applyFill="1" applyBorder="1" applyAlignment="1">
      <alignment horizontal="center"/>
    </xf>
    <xf numFmtId="10" fontId="10" fillId="179" borderId="1" xfId="0" applyNumberFormat="1" applyFont="1" applyFill="1" applyBorder="1" applyAlignment="1">
      <alignment horizontal="center"/>
    </xf>
    <xf numFmtId="10" fontId="10" fillId="93" borderId="1" xfId="0" applyNumberFormat="1" applyFont="1" applyFill="1" applyBorder="1" applyAlignment="1">
      <alignment horizontal="center"/>
    </xf>
    <xf numFmtId="10" fontId="10" fillId="39" borderId="1" xfId="0" applyNumberFormat="1" applyFont="1" applyFill="1" applyBorder="1" applyAlignment="1">
      <alignment horizontal="center"/>
    </xf>
    <xf numFmtId="10" fontId="10" fillId="62" borderId="4" xfId="0" applyNumberFormat="1" applyFont="1" applyFill="1" applyBorder="1" applyAlignment="1">
      <alignment horizontal="center"/>
    </xf>
    <xf numFmtId="0" fontId="10" fillId="83" borderId="4" xfId="0" applyFont="1" applyFill="1" applyBorder="1" applyAlignment="1">
      <alignment horizontal="center"/>
    </xf>
    <xf numFmtId="0" fontId="10" fillId="834" borderId="16" xfId="0" applyFont="1" applyFill="1" applyBorder="1" applyAlignment="1">
      <alignment horizontal="center"/>
    </xf>
    <xf numFmtId="0" fontId="10" fillId="457" borderId="4" xfId="0" applyFont="1" applyFill="1" applyBorder="1" applyAlignment="1">
      <alignment horizontal="center"/>
    </xf>
    <xf numFmtId="0" fontId="10" fillId="745" borderId="1" xfId="0" applyFont="1" applyFill="1" applyBorder="1" applyAlignment="1">
      <alignment horizontal="center"/>
    </xf>
    <xf numFmtId="0" fontId="10" fillId="835" borderId="1" xfId="0" applyFont="1" applyFill="1" applyBorder="1" applyAlignment="1">
      <alignment horizontal="center"/>
    </xf>
    <xf numFmtId="0" fontId="10" fillId="835" borderId="4" xfId="0" applyFont="1" applyFill="1" applyBorder="1" applyAlignment="1">
      <alignment horizontal="center"/>
    </xf>
    <xf numFmtId="164" fontId="10" fillId="28" borderId="2" xfId="0" applyNumberFormat="1" applyFont="1" applyFill="1" applyBorder="1" applyAlignment="1">
      <alignment horizontal="center"/>
    </xf>
    <xf numFmtId="49" fontId="10" fillId="2" borderId="2" xfId="0" applyNumberFormat="1" applyFont="1" applyFill="1" applyBorder="1" applyAlignment="1">
      <alignment horizontal="center"/>
    </xf>
    <xf numFmtId="166" fontId="10" fillId="2" borderId="3" xfId="0" applyNumberFormat="1" applyFont="1" applyFill="1" applyBorder="1" applyAlignment="1">
      <alignment horizontal="center"/>
    </xf>
    <xf numFmtId="0" fontId="10" fillId="76" borderId="2" xfId="0" applyFont="1" applyFill="1" applyBorder="1" applyAlignment="1">
      <alignment horizontal="center"/>
    </xf>
    <xf numFmtId="9" fontId="10" fillId="36" borderId="3" xfId="0" applyNumberFormat="1" applyFont="1" applyFill="1" applyBorder="1" applyAlignment="1">
      <alignment horizontal="center"/>
    </xf>
    <xf numFmtId="0" fontId="10" fillId="114" borderId="3" xfId="0" applyFont="1" applyFill="1" applyBorder="1" applyAlignment="1">
      <alignment horizontal="center"/>
    </xf>
    <xf numFmtId="0" fontId="10" fillId="455" borderId="2" xfId="0" applyFont="1" applyFill="1" applyBorder="1" applyAlignment="1">
      <alignment horizontal="center"/>
    </xf>
    <xf numFmtId="9" fontId="10" fillId="149" borderId="2" xfId="0" applyNumberFormat="1" applyFont="1" applyFill="1" applyBorder="1" applyAlignment="1">
      <alignment horizontal="center"/>
    </xf>
    <xf numFmtId="0" fontId="10" fillId="836" borderId="3" xfId="0" applyFont="1" applyFill="1" applyBorder="1" applyAlignment="1">
      <alignment horizontal="center"/>
    </xf>
    <xf numFmtId="10" fontId="10" fillId="139" borderId="2" xfId="0" applyNumberFormat="1" applyFont="1" applyFill="1" applyBorder="1" applyAlignment="1">
      <alignment horizontal="center"/>
    </xf>
    <xf numFmtId="10" fontId="10" fillId="57" borderId="2" xfId="0" applyNumberFormat="1" applyFont="1" applyFill="1" applyBorder="1" applyAlignment="1">
      <alignment horizontal="center"/>
    </xf>
    <xf numFmtId="10" fontId="10" fillId="131" borderId="3" xfId="0" applyNumberFormat="1" applyFont="1" applyFill="1" applyBorder="1" applyAlignment="1">
      <alignment horizontal="center"/>
    </xf>
    <xf numFmtId="0" fontId="10" fillId="148" borderId="13" xfId="0" applyFont="1" applyFill="1" applyBorder="1" applyAlignment="1">
      <alignment horizontal="center"/>
    </xf>
    <xf numFmtId="0" fontId="10" fillId="627" borderId="3" xfId="0" applyFont="1" applyFill="1" applyBorder="1" applyAlignment="1">
      <alignment horizontal="center"/>
    </xf>
    <xf numFmtId="0" fontId="10" fillId="114" borderId="13" xfId="0" applyFont="1" applyFill="1" applyBorder="1" applyAlignment="1">
      <alignment horizontal="center"/>
    </xf>
    <xf numFmtId="0" fontId="10" fillId="646" borderId="13" xfId="0" applyFont="1" applyFill="1" applyBorder="1" applyAlignment="1">
      <alignment horizontal="center"/>
    </xf>
    <xf numFmtId="0" fontId="10" fillId="763" borderId="2" xfId="0" applyFont="1" applyFill="1" applyBorder="1" applyAlignment="1">
      <alignment horizontal="center"/>
    </xf>
    <xf numFmtId="0" fontId="10" fillId="480" borderId="2" xfId="0" applyFont="1" applyFill="1" applyBorder="1" applyAlignment="1">
      <alignment horizontal="center"/>
    </xf>
    <xf numFmtId="0" fontId="10" fillId="480" borderId="3" xfId="0" applyFont="1" applyFill="1" applyBorder="1" applyAlignment="1">
      <alignment horizontal="center"/>
    </xf>
    <xf numFmtId="0" fontId="20" fillId="515" borderId="5" xfId="0" applyFont="1" applyFill="1" applyBorder="1" applyAlignment="1">
      <alignment horizontal="center"/>
    </xf>
    <xf numFmtId="164" fontId="10" fillId="605" borderId="1" xfId="0" applyNumberFormat="1" applyFont="1" applyFill="1" applyBorder="1" applyAlignment="1">
      <alignment horizontal="center"/>
    </xf>
    <xf numFmtId="49" fontId="10" fillId="2" borderId="1" xfId="0" applyNumberFormat="1" applyFont="1" applyFill="1" applyBorder="1" applyAlignment="1">
      <alignment horizontal="center"/>
    </xf>
    <xf numFmtId="166" fontId="10" fillId="2" borderId="4" xfId="0" applyNumberFormat="1" applyFont="1" applyFill="1" applyBorder="1" applyAlignment="1">
      <alignment horizontal="center"/>
    </xf>
    <xf numFmtId="0" fontId="10" fillId="476" borderId="1" xfId="0" applyFont="1" applyFill="1" applyBorder="1" applyAlignment="1">
      <alignment horizontal="center"/>
    </xf>
    <xf numFmtId="9" fontId="10" fillId="128" borderId="1" xfId="0" applyNumberFormat="1" applyFont="1" applyFill="1" applyBorder="1" applyAlignment="1">
      <alignment horizontal="center"/>
    </xf>
    <xf numFmtId="0" fontId="10" fillId="837" borderId="1" xfId="0" applyFont="1" applyFill="1" applyBorder="1" applyAlignment="1">
      <alignment horizontal="center"/>
    </xf>
    <xf numFmtId="9" fontId="10" fillId="264" borderId="4" xfId="0" applyNumberFormat="1" applyFont="1" applyFill="1" applyBorder="1" applyAlignment="1">
      <alignment horizontal="center"/>
    </xf>
    <xf numFmtId="0" fontId="10" fillId="168" borderId="4" xfId="0" applyFont="1" applyFill="1" applyBorder="1" applyAlignment="1">
      <alignment horizontal="center"/>
    </xf>
    <xf numFmtId="0" fontId="10" fillId="78" borderId="1" xfId="0" applyFont="1" applyFill="1" applyBorder="1" applyAlignment="1">
      <alignment horizontal="center"/>
    </xf>
    <xf numFmtId="9" fontId="10" fillId="62" borderId="1" xfId="0" applyNumberFormat="1" applyFont="1" applyFill="1" applyBorder="1" applyAlignment="1">
      <alignment horizontal="center"/>
    </xf>
    <xf numFmtId="10" fontId="10" fillId="166" borderId="1" xfId="0" applyNumberFormat="1" applyFont="1" applyFill="1" applyBorder="1" applyAlignment="1">
      <alignment horizontal="center"/>
    </xf>
    <xf numFmtId="10" fontId="10" fillId="134" borderId="1" xfId="0" applyNumberFormat="1" applyFont="1" applyFill="1" applyBorder="1" applyAlignment="1">
      <alignment horizontal="center"/>
    </xf>
    <xf numFmtId="10" fontId="10" fillId="279" borderId="1" xfId="0" applyNumberFormat="1" applyFont="1" applyFill="1" applyBorder="1" applyAlignment="1">
      <alignment horizontal="center"/>
    </xf>
    <xf numFmtId="10" fontId="10" fillId="357" borderId="4" xfId="0" applyNumberFormat="1" applyFont="1" applyFill="1" applyBorder="1" applyAlignment="1">
      <alignment horizontal="center"/>
    </xf>
    <xf numFmtId="0" fontId="10" fillId="345" borderId="4" xfId="0" applyFont="1" applyFill="1" applyBorder="1" applyAlignment="1">
      <alignment horizontal="center"/>
    </xf>
    <xf numFmtId="0" fontId="10" fillId="81" borderId="16" xfId="0" applyFont="1" applyFill="1" applyBorder="1" applyAlignment="1">
      <alignment horizontal="center"/>
    </xf>
    <xf numFmtId="0" fontId="10" fillId="443" borderId="16" xfId="0" applyFont="1" applyFill="1" applyBorder="1" applyAlignment="1">
      <alignment horizontal="center"/>
    </xf>
    <xf numFmtId="0" fontId="10" fillId="105" borderId="1" xfId="0" applyFont="1" applyFill="1" applyBorder="1" applyAlignment="1">
      <alignment horizontal="center"/>
    </xf>
    <xf numFmtId="0" fontId="10" fillId="339" borderId="1" xfId="0" applyFont="1" applyFill="1" applyBorder="1" applyAlignment="1">
      <alignment horizontal="center"/>
    </xf>
    <xf numFmtId="0" fontId="10" fillId="339" borderId="4" xfId="0" applyFont="1" applyFill="1" applyBorder="1" applyAlignment="1">
      <alignment horizontal="center"/>
    </xf>
    <xf numFmtId="0" fontId="20" fillId="515" borderId="4" xfId="0" applyFont="1" applyFill="1" applyBorder="1" applyAlignment="1">
      <alignment horizontal="center"/>
    </xf>
    <xf numFmtId="164" fontId="10" fillId="317" borderId="2" xfId="0" applyNumberFormat="1" applyFont="1" applyFill="1" applyBorder="1" applyAlignment="1">
      <alignment horizontal="center"/>
    </xf>
    <xf numFmtId="0" fontId="10" fillId="381" borderId="2" xfId="0" applyFont="1" applyFill="1" applyBorder="1" applyAlignment="1">
      <alignment horizontal="center"/>
    </xf>
    <xf numFmtId="9" fontId="10" fillId="169" borderId="2" xfId="0" applyNumberFormat="1" applyFont="1" applyFill="1" applyBorder="1" applyAlignment="1">
      <alignment horizontal="center"/>
    </xf>
    <xf numFmtId="0" fontId="10" fillId="181" borderId="2" xfId="0" applyFont="1" applyFill="1" applyBorder="1" applyAlignment="1">
      <alignment horizontal="center"/>
    </xf>
    <xf numFmtId="9" fontId="10" fillId="176" borderId="3" xfId="0" applyNumberFormat="1" applyFont="1" applyFill="1" applyBorder="1" applyAlignment="1">
      <alignment horizontal="center"/>
    </xf>
    <xf numFmtId="0" fontId="10" fillId="59" borderId="3" xfId="0" applyFont="1" applyFill="1" applyBorder="1" applyAlignment="1">
      <alignment horizontal="center"/>
    </xf>
    <xf numFmtId="0" fontId="10" fillId="416" borderId="2" xfId="0" applyFont="1" applyFill="1" applyBorder="1" applyAlignment="1">
      <alignment horizontal="center"/>
    </xf>
    <xf numFmtId="9" fontId="10" fillId="278" borderId="2" xfId="0" applyNumberFormat="1" applyFont="1" applyFill="1" applyBorder="1" applyAlignment="1">
      <alignment horizontal="center"/>
    </xf>
    <xf numFmtId="9" fontId="10" fillId="838" borderId="2" xfId="0" applyNumberFormat="1" applyFont="1" applyFill="1" applyBorder="1" applyAlignment="1">
      <alignment horizontal="center"/>
    </xf>
    <xf numFmtId="10" fontId="10" fillId="144" borderId="2" xfId="0" applyNumberFormat="1" applyFont="1" applyFill="1" applyBorder="1" applyAlignment="1">
      <alignment horizontal="center"/>
    </xf>
    <xf numFmtId="10" fontId="10" fillId="263" borderId="2" xfId="0" applyNumberFormat="1" applyFont="1" applyFill="1" applyBorder="1" applyAlignment="1">
      <alignment horizontal="center"/>
    </xf>
    <xf numFmtId="10" fontId="10" fillId="49" borderId="3" xfId="0" applyNumberFormat="1" applyFont="1" applyFill="1" applyBorder="1" applyAlignment="1">
      <alignment horizontal="center"/>
    </xf>
    <xf numFmtId="0" fontId="10" fillId="65" borderId="13" xfId="0" applyFont="1" applyFill="1" applyBorder="1" applyAlignment="1">
      <alignment horizontal="center"/>
    </xf>
    <xf numFmtId="0" fontId="10" fillId="839" borderId="2" xfId="0" applyFont="1" applyFill="1" applyBorder="1" applyAlignment="1">
      <alignment horizontal="center"/>
    </xf>
    <xf numFmtId="0" fontId="10" fillId="839" borderId="3" xfId="0" applyFont="1" applyFill="1" applyBorder="1" applyAlignment="1">
      <alignment horizontal="center"/>
    </xf>
    <xf numFmtId="0" fontId="20" fillId="502" borderId="5" xfId="0" applyFont="1" applyFill="1" applyBorder="1" applyAlignment="1">
      <alignment horizontal="center"/>
    </xf>
    <xf numFmtId="164" fontId="10" fillId="620" borderId="1" xfId="0" applyNumberFormat="1" applyFont="1" applyFill="1" applyBorder="1" applyAlignment="1">
      <alignment horizontal="center"/>
    </xf>
    <xf numFmtId="0" fontId="10" fillId="131" borderId="1" xfId="0" applyFont="1" applyFill="1" applyBorder="1" applyAlignment="1">
      <alignment horizontal="center"/>
    </xf>
    <xf numFmtId="0" fontId="10" fillId="222" borderId="1" xfId="0" applyFont="1" applyFill="1" applyBorder="1" applyAlignment="1">
      <alignment horizontal="center"/>
    </xf>
    <xf numFmtId="9" fontId="10" fillId="493" borderId="4" xfId="0" applyNumberFormat="1" applyFont="1" applyFill="1" applyBorder="1" applyAlignment="1">
      <alignment horizontal="center"/>
    </xf>
    <xf numFmtId="0" fontId="10" fillId="96" borderId="4" xfId="0" applyFont="1" applyFill="1" applyBorder="1" applyAlignment="1">
      <alignment horizontal="center"/>
    </xf>
    <xf numFmtId="9" fontId="10" fillId="271" borderId="1" xfId="0" applyNumberFormat="1" applyFont="1" applyFill="1" applyBorder="1" applyAlignment="1">
      <alignment horizontal="center"/>
    </xf>
    <xf numFmtId="0" fontId="10" fillId="60" borderId="4" xfId="0" applyFont="1" applyFill="1" applyBorder="1" applyAlignment="1">
      <alignment horizontal="center"/>
    </xf>
    <xf numFmtId="10" fontId="10" fillId="350" borderId="1" xfId="0" applyNumberFormat="1" applyFont="1" applyFill="1" applyBorder="1" applyAlignment="1">
      <alignment horizontal="center"/>
    </xf>
    <xf numFmtId="0" fontId="10" fillId="49" borderId="16" xfId="0" applyFont="1" applyFill="1" applyBorder="1" applyAlignment="1">
      <alignment horizontal="center"/>
    </xf>
    <xf numFmtId="0" fontId="10" fillId="798" borderId="1" xfId="0" applyFont="1" applyFill="1" applyBorder="1" applyAlignment="1">
      <alignment horizontal="center"/>
    </xf>
    <xf numFmtId="0" fontId="10" fillId="798" borderId="4" xfId="0" applyFont="1" applyFill="1" applyBorder="1" applyAlignment="1">
      <alignment horizontal="center"/>
    </xf>
    <xf numFmtId="0" fontId="20" fillId="502" borderId="4" xfId="0" applyFont="1" applyFill="1" applyBorder="1" applyAlignment="1">
      <alignment horizontal="center"/>
    </xf>
    <xf numFmtId="164" fontId="10" fillId="714" borderId="2" xfId="0" applyNumberFormat="1" applyFont="1" applyFill="1" applyBorder="1" applyAlignment="1">
      <alignment horizontal="center"/>
    </xf>
    <xf numFmtId="9" fontId="10" fillId="50" borderId="2" xfId="0" applyNumberFormat="1" applyFont="1" applyFill="1" applyBorder="1" applyAlignment="1">
      <alignment horizontal="center"/>
    </xf>
    <xf numFmtId="0" fontId="10" fillId="840" borderId="2" xfId="0" applyFont="1" applyFill="1" applyBorder="1" applyAlignment="1">
      <alignment horizontal="center"/>
    </xf>
    <xf numFmtId="9" fontId="10" fillId="493" borderId="3" xfId="0" applyNumberFormat="1" applyFont="1" applyFill="1" applyBorder="1" applyAlignment="1">
      <alignment horizontal="center"/>
    </xf>
    <xf numFmtId="0" fontId="10" fillId="197" borderId="3" xfId="0" applyFont="1" applyFill="1" applyBorder="1" applyAlignment="1">
      <alignment horizontal="center"/>
    </xf>
    <xf numFmtId="0" fontId="10" fillId="614" borderId="2" xfId="0" applyFont="1" applyFill="1" applyBorder="1" applyAlignment="1">
      <alignment horizontal="center"/>
    </xf>
    <xf numFmtId="0" fontId="10" fillId="629" borderId="3" xfId="0" applyFont="1" applyFill="1" applyBorder="1" applyAlignment="1">
      <alignment horizontal="center"/>
    </xf>
    <xf numFmtId="10" fontId="10" fillId="20" borderId="2" xfId="0" applyNumberFormat="1" applyFont="1" applyFill="1" applyBorder="1" applyAlignment="1">
      <alignment horizontal="center"/>
    </xf>
    <xf numFmtId="10" fontId="10" fillId="355" borderId="2" xfId="0" applyNumberFormat="1" applyFont="1" applyFill="1" applyBorder="1" applyAlignment="1">
      <alignment horizontal="center"/>
    </xf>
    <xf numFmtId="0" fontId="10" fillId="841" borderId="2" xfId="0" applyFont="1" applyFill="1" applyBorder="1" applyAlignment="1">
      <alignment horizontal="center"/>
    </xf>
    <xf numFmtId="0" fontId="10" fillId="399" borderId="2" xfId="0" applyFont="1" applyFill="1" applyBorder="1" applyAlignment="1">
      <alignment horizontal="center"/>
    </xf>
    <xf numFmtId="0" fontId="10" fillId="399" borderId="3" xfId="0" applyFont="1" applyFill="1" applyBorder="1" applyAlignment="1">
      <alignment horizontal="center"/>
    </xf>
    <xf numFmtId="0" fontId="20" fillId="497" borderId="5" xfId="0" applyFont="1" applyFill="1" applyBorder="1" applyAlignment="1">
      <alignment horizontal="center"/>
    </xf>
    <xf numFmtId="164" fontId="10" fillId="713" borderId="1" xfId="0" applyNumberFormat="1" applyFont="1" applyFill="1" applyBorder="1" applyAlignment="1">
      <alignment horizontal="center"/>
    </xf>
    <xf numFmtId="0" fontId="10" fillId="194" borderId="1" xfId="0" applyFont="1" applyFill="1" applyBorder="1" applyAlignment="1">
      <alignment horizontal="center"/>
    </xf>
    <xf numFmtId="9" fontId="10" fillId="447" borderId="1" xfId="0" applyNumberFormat="1" applyFont="1" applyFill="1" applyBorder="1" applyAlignment="1">
      <alignment horizontal="center"/>
    </xf>
    <xf numFmtId="0" fontId="10" fillId="76" borderId="1" xfId="0" applyFont="1" applyFill="1" applyBorder="1" applyAlignment="1">
      <alignment horizontal="center"/>
    </xf>
    <xf numFmtId="9" fontId="10" fillId="258" borderId="4" xfId="0" applyNumberFormat="1" applyFont="1" applyFill="1" applyBorder="1" applyAlignment="1">
      <alignment horizontal="center"/>
    </xf>
    <xf numFmtId="0" fontId="10" fillId="412" borderId="4" xfId="0" applyFont="1" applyFill="1" applyBorder="1" applyAlignment="1">
      <alignment horizontal="center"/>
    </xf>
    <xf numFmtId="0" fontId="10" fillId="493" borderId="1" xfId="0" applyFont="1" applyFill="1" applyBorder="1" applyAlignment="1">
      <alignment horizontal="center"/>
    </xf>
    <xf numFmtId="9" fontId="10" fillId="487" borderId="1" xfId="0" applyNumberFormat="1" applyFont="1" applyFill="1" applyBorder="1" applyAlignment="1">
      <alignment horizontal="center"/>
    </xf>
    <xf numFmtId="9" fontId="10" fillId="255" borderId="1" xfId="0" applyNumberFormat="1" applyFont="1" applyFill="1" applyBorder="1" applyAlignment="1">
      <alignment horizontal="center"/>
    </xf>
    <xf numFmtId="0" fontId="10" fillId="131" borderId="4" xfId="0" applyFont="1" applyFill="1" applyBorder="1" applyAlignment="1">
      <alignment horizontal="center"/>
    </xf>
    <xf numFmtId="10" fontId="10" fillId="126" borderId="1" xfId="0" applyNumberFormat="1" applyFont="1" applyFill="1" applyBorder="1" applyAlignment="1">
      <alignment horizontal="center"/>
    </xf>
    <xf numFmtId="10" fontId="10" fillId="416" borderId="1" xfId="0" applyNumberFormat="1" applyFont="1" applyFill="1" applyBorder="1" applyAlignment="1">
      <alignment horizontal="center"/>
    </xf>
    <xf numFmtId="10" fontId="10" fillId="14" borderId="4" xfId="0" applyNumberFormat="1" applyFont="1" applyFill="1" applyBorder="1" applyAlignment="1">
      <alignment horizontal="center"/>
    </xf>
    <xf numFmtId="0" fontId="10" fillId="80" borderId="16" xfId="0" applyFont="1" applyFill="1" applyBorder="1" applyAlignment="1">
      <alignment horizontal="center"/>
    </xf>
    <xf numFmtId="0" fontId="10" fillId="26" borderId="16" xfId="0" applyFont="1" applyFill="1" applyBorder="1" applyAlignment="1">
      <alignment horizontal="center"/>
    </xf>
    <xf numFmtId="0" fontId="10" fillId="280" borderId="4" xfId="0" applyFont="1" applyFill="1" applyBorder="1" applyAlignment="1">
      <alignment horizontal="center"/>
    </xf>
    <xf numFmtId="0" fontId="10" fillId="364" borderId="1" xfId="0" applyFont="1" applyFill="1" applyBorder="1" applyAlignment="1">
      <alignment horizontal="center"/>
    </xf>
    <xf numFmtId="0" fontId="10" fillId="251" borderId="4" xfId="0" applyFont="1" applyFill="1" applyBorder="1" applyAlignment="1">
      <alignment horizontal="center"/>
    </xf>
    <xf numFmtId="0" fontId="20" fillId="497" borderId="4" xfId="0" applyFont="1" applyFill="1" applyBorder="1" applyAlignment="1">
      <alignment horizontal="center"/>
    </xf>
    <xf numFmtId="164" fontId="10" fillId="14" borderId="2" xfId="0" applyNumberFormat="1" applyFont="1" applyFill="1" applyBorder="1" applyAlignment="1">
      <alignment horizontal="center"/>
    </xf>
    <xf numFmtId="0" fontId="10" fillId="443" borderId="2" xfId="0" applyFont="1" applyFill="1" applyBorder="1" applyAlignment="1">
      <alignment horizontal="center"/>
    </xf>
    <xf numFmtId="9" fontId="10" fillId="433" borderId="2" xfId="0" applyNumberFormat="1" applyFont="1" applyFill="1" applyBorder="1" applyAlignment="1">
      <alignment horizontal="center"/>
    </xf>
    <xf numFmtId="0" fontId="10" fillId="391" borderId="2" xfId="0" applyFont="1" applyFill="1" applyBorder="1" applyAlignment="1">
      <alignment horizontal="center"/>
    </xf>
    <xf numFmtId="9" fontId="10" fillId="314" borderId="3" xfId="0" applyNumberFormat="1" applyFont="1" applyFill="1" applyBorder="1" applyAlignment="1">
      <alignment horizontal="center"/>
    </xf>
    <xf numFmtId="0" fontId="10" fillId="412" borderId="3" xfId="0" applyFont="1" applyFill="1" applyBorder="1" applyAlignment="1">
      <alignment horizontal="center"/>
    </xf>
    <xf numFmtId="10" fontId="10" fillId="176" borderId="3" xfId="0" applyNumberFormat="1" applyFont="1" applyFill="1" applyBorder="1" applyAlignment="1">
      <alignment horizontal="center"/>
    </xf>
    <xf numFmtId="0" fontId="10" fillId="83" borderId="3" xfId="0" applyFont="1" applyFill="1" applyBorder="1" applyAlignment="1">
      <alignment horizontal="center"/>
    </xf>
    <xf numFmtId="0" fontId="20" fillId="346" borderId="5" xfId="0" applyFont="1" applyFill="1" applyBorder="1" applyAlignment="1">
      <alignment horizontal="center"/>
    </xf>
    <xf numFmtId="164" fontId="10" fillId="26" borderId="1" xfId="0" applyNumberFormat="1" applyFont="1" applyFill="1" applyBorder="1" applyAlignment="1">
      <alignment horizontal="center"/>
    </xf>
    <xf numFmtId="9" fontId="10" fillId="314" borderId="4" xfId="0" applyNumberFormat="1" applyFont="1" applyFill="1" applyBorder="1" applyAlignment="1">
      <alignment horizontal="center"/>
    </xf>
    <xf numFmtId="0" fontId="10" fillId="50" borderId="4" xfId="0" applyFont="1" applyFill="1" applyBorder="1" applyAlignment="1">
      <alignment horizontal="center"/>
    </xf>
    <xf numFmtId="0" fontId="10" fillId="50" borderId="1" xfId="0" applyFont="1" applyFill="1" applyBorder="1" applyAlignment="1">
      <alignment horizontal="center"/>
    </xf>
    <xf numFmtId="10" fontId="10" fillId="38" borderId="1" xfId="0" applyNumberFormat="1" applyFont="1" applyFill="1" applyBorder="1" applyAlignment="1">
      <alignment horizontal="center"/>
    </xf>
    <xf numFmtId="10" fontId="10" fillId="27" borderId="4" xfId="0" applyNumberFormat="1" applyFont="1" applyFill="1" applyBorder="1" applyAlignment="1">
      <alignment horizontal="center"/>
    </xf>
    <xf numFmtId="0" fontId="20" fillId="346" borderId="4" xfId="0" applyFont="1" applyFill="1" applyBorder="1" applyAlignment="1">
      <alignment horizontal="center"/>
    </xf>
    <xf numFmtId="164" fontId="10" fillId="83" borderId="2" xfId="0" applyNumberFormat="1" applyFont="1" applyFill="1" applyBorder="1" applyAlignment="1">
      <alignment horizontal="center"/>
    </xf>
    <xf numFmtId="9" fontId="10" fillId="430" borderId="2" xfId="0" applyNumberFormat="1" applyFont="1" applyFill="1" applyBorder="1" applyAlignment="1">
      <alignment horizontal="center"/>
    </xf>
    <xf numFmtId="0" fontId="10" fillId="419" borderId="2" xfId="0" applyFont="1" applyFill="1" applyBorder="1" applyAlignment="1">
      <alignment horizontal="center"/>
    </xf>
    <xf numFmtId="10" fontId="10" fillId="129" borderId="2" xfId="0" applyNumberFormat="1" applyFont="1" applyFill="1" applyBorder="1" applyAlignment="1">
      <alignment horizontal="center"/>
    </xf>
    <xf numFmtId="10" fontId="10" fillId="65" borderId="2" xfId="0" applyNumberFormat="1" applyFont="1" applyFill="1" applyBorder="1" applyAlignment="1">
      <alignment horizontal="center"/>
    </xf>
    <xf numFmtId="10" fontId="10" fillId="819" borderId="2" xfId="0" applyNumberFormat="1" applyFont="1" applyFill="1" applyBorder="1" applyAlignment="1">
      <alignment horizontal="center"/>
    </xf>
    <xf numFmtId="10" fontId="10" fillId="224" borderId="3" xfId="0" applyNumberFormat="1" applyFont="1" applyFill="1" applyBorder="1" applyAlignment="1">
      <alignment horizontal="center"/>
    </xf>
    <xf numFmtId="0" fontId="10" fillId="49" borderId="13" xfId="0" applyFont="1" applyFill="1" applyBorder="1" applyAlignment="1">
      <alignment horizontal="center"/>
    </xf>
    <xf numFmtId="0" fontId="10" fillId="654" borderId="2" xfId="0" applyFont="1" applyFill="1" applyBorder="1" applyAlignment="1">
      <alignment horizontal="center"/>
    </xf>
    <xf numFmtId="164" fontId="10" fillId="586" borderId="1" xfId="0" applyNumberFormat="1" applyFont="1" applyFill="1" applyBorder="1" applyAlignment="1">
      <alignment horizontal="center"/>
    </xf>
    <xf numFmtId="0" fontId="10" fillId="781" borderId="1" xfId="0" applyFont="1" applyFill="1" applyBorder="1" applyAlignment="1">
      <alignment horizontal="center"/>
    </xf>
    <xf numFmtId="0" fontId="10" fillId="65" borderId="4" xfId="0" applyFont="1" applyFill="1" applyBorder="1" applyAlignment="1">
      <alignment horizontal="center"/>
    </xf>
    <xf numFmtId="0" fontId="10" fillId="629" borderId="1" xfId="0" applyFont="1" applyFill="1" applyBorder="1" applyAlignment="1">
      <alignment horizontal="center"/>
    </xf>
    <xf numFmtId="9" fontId="10" fillId="46" borderId="1" xfId="0" applyNumberFormat="1" applyFont="1" applyFill="1" applyBorder="1" applyAlignment="1">
      <alignment horizontal="center"/>
    </xf>
    <xf numFmtId="10" fontId="10" fillId="336" borderId="1" xfId="0" applyNumberFormat="1" applyFont="1" applyFill="1" applyBorder="1" applyAlignment="1">
      <alignment horizontal="center"/>
    </xf>
    <xf numFmtId="10" fontId="10" fillId="47" borderId="1" xfId="0" applyNumberFormat="1" applyFont="1" applyFill="1" applyBorder="1" applyAlignment="1">
      <alignment horizontal="center"/>
    </xf>
    <xf numFmtId="10" fontId="10" fillId="29" borderId="1" xfId="0" applyNumberFormat="1" applyFont="1" applyFill="1" applyBorder="1" applyAlignment="1">
      <alignment horizontal="center"/>
    </xf>
    <xf numFmtId="10" fontId="10" fillId="49" borderId="4" xfId="0" applyNumberFormat="1" applyFont="1" applyFill="1" applyBorder="1" applyAlignment="1">
      <alignment horizontal="center"/>
    </xf>
    <xf numFmtId="0" fontId="10" fillId="198" borderId="1" xfId="0" applyFont="1" applyFill="1" applyBorder="1" applyAlignment="1">
      <alignment horizontal="center"/>
    </xf>
    <xf numFmtId="0" fontId="10" fillId="427" borderId="1" xfId="0" applyFont="1" applyFill="1" applyBorder="1" applyAlignment="1">
      <alignment horizontal="center"/>
    </xf>
    <xf numFmtId="0" fontId="10" fillId="427" borderId="4" xfId="0" applyFont="1" applyFill="1" applyBorder="1" applyAlignment="1">
      <alignment horizontal="center"/>
    </xf>
    <xf numFmtId="164" fontId="10" fillId="492" borderId="2" xfId="0" applyNumberFormat="1" applyFont="1" applyFill="1" applyBorder="1" applyAlignment="1">
      <alignment horizontal="center"/>
    </xf>
    <xf numFmtId="0" fontId="10" fillId="151" borderId="2" xfId="0" applyFont="1" applyFill="1" applyBorder="1" applyAlignment="1">
      <alignment horizontal="center"/>
    </xf>
    <xf numFmtId="9" fontId="10" fillId="57" borderId="2" xfId="0" applyNumberFormat="1" applyFont="1" applyFill="1" applyBorder="1" applyAlignment="1">
      <alignment horizontal="center"/>
    </xf>
    <xf numFmtId="0" fontId="10" fillId="762" borderId="2" xfId="0" applyFont="1" applyFill="1" applyBorder="1" applyAlignment="1">
      <alignment horizontal="center"/>
    </xf>
    <xf numFmtId="9" fontId="10" fillId="144" borderId="3" xfId="0" applyNumberFormat="1" applyFont="1" applyFill="1" applyBorder="1" applyAlignment="1">
      <alignment horizontal="center"/>
    </xf>
    <xf numFmtId="0" fontId="10" fillId="127" borderId="3" xfId="0" applyFont="1" applyFill="1" applyBorder="1" applyAlignment="1">
      <alignment horizontal="center"/>
    </xf>
    <xf numFmtId="9" fontId="10" fillId="842" borderId="2" xfId="0" applyNumberFormat="1" applyFont="1" applyFill="1" applyBorder="1" applyAlignment="1">
      <alignment horizontal="center"/>
    </xf>
    <xf numFmtId="10" fontId="10" fillId="351" borderId="2" xfId="0" applyNumberFormat="1" applyFont="1" applyFill="1" applyBorder="1" applyAlignment="1">
      <alignment horizontal="center"/>
    </xf>
    <xf numFmtId="10" fontId="10" fillId="62" borderId="3" xfId="0" applyNumberFormat="1" applyFont="1" applyFill="1" applyBorder="1" applyAlignment="1">
      <alignment horizontal="center"/>
    </xf>
    <xf numFmtId="0" fontId="10" fillId="345" borderId="3" xfId="0" applyFont="1" applyFill="1" applyBorder="1" applyAlignment="1">
      <alignment horizontal="center"/>
    </xf>
    <xf numFmtId="164" fontId="10" fillId="453" borderId="1" xfId="0" applyNumberFormat="1" applyFont="1" applyFill="1" applyBorder="1" applyAlignment="1">
      <alignment horizontal="center"/>
    </xf>
    <xf numFmtId="0" fontId="10" fillId="602" borderId="1" xfId="0" applyFont="1" applyFill="1" applyBorder="1" applyAlignment="1">
      <alignment horizontal="center"/>
    </xf>
    <xf numFmtId="9" fontId="10" fillId="65" borderId="1" xfId="0" applyNumberFormat="1" applyFont="1" applyFill="1" applyBorder="1" applyAlignment="1">
      <alignment horizontal="center"/>
    </xf>
    <xf numFmtId="0" fontId="10" fillId="612" borderId="1" xfId="0" applyFont="1" applyFill="1" applyBorder="1" applyAlignment="1">
      <alignment horizontal="center"/>
    </xf>
    <xf numFmtId="9" fontId="10" fillId="764" borderId="4" xfId="0" applyNumberFormat="1" applyFont="1" applyFill="1" applyBorder="1" applyAlignment="1">
      <alignment horizontal="center"/>
    </xf>
    <xf numFmtId="0" fontId="10" fillId="278" borderId="4" xfId="0" applyFont="1" applyFill="1" applyBorder="1" applyAlignment="1">
      <alignment horizontal="center"/>
    </xf>
    <xf numFmtId="9" fontId="10" fillId="164" borderId="1" xfId="0" applyNumberFormat="1" applyFont="1" applyFill="1" applyBorder="1" applyAlignment="1">
      <alignment horizontal="center"/>
    </xf>
    <xf numFmtId="9" fontId="10" fillId="456" borderId="1" xfId="0" applyNumberFormat="1" applyFont="1" applyFill="1" applyBorder="1" applyAlignment="1">
      <alignment horizontal="center"/>
    </xf>
    <xf numFmtId="10" fontId="10" fillId="257" borderId="1" xfId="0" applyNumberFormat="1" applyFont="1" applyFill="1" applyBorder="1" applyAlignment="1">
      <alignment horizontal="center"/>
    </xf>
    <xf numFmtId="10" fontId="10" fillId="207" borderId="1" xfId="0" applyNumberFormat="1" applyFont="1" applyFill="1" applyBorder="1" applyAlignment="1">
      <alignment horizontal="center"/>
    </xf>
    <xf numFmtId="10" fontId="10" fillId="99" borderId="4" xfId="0" applyNumberFormat="1" applyFont="1" applyFill="1" applyBorder="1" applyAlignment="1">
      <alignment horizontal="center"/>
    </xf>
    <xf numFmtId="0" fontId="10" fillId="458" borderId="16" xfId="0" applyFont="1" applyFill="1" applyBorder="1" applyAlignment="1">
      <alignment horizontal="center"/>
    </xf>
    <xf numFmtId="0" fontId="10" fillId="166" borderId="16" xfId="0" applyFont="1" applyFill="1" applyBorder="1" applyAlignment="1">
      <alignment horizontal="center"/>
    </xf>
    <xf numFmtId="0" fontId="10" fillId="355" borderId="16" xfId="0" applyFont="1" applyFill="1" applyBorder="1" applyAlignment="1">
      <alignment horizontal="center"/>
    </xf>
    <xf numFmtId="164" fontId="10" fillId="609" borderId="2" xfId="0" applyNumberFormat="1" applyFont="1" applyFill="1" applyBorder="1" applyAlignment="1">
      <alignment horizontal="center"/>
    </xf>
    <xf numFmtId="0" fontId="10" fillId="681" borderId="2" xfId="0" applyFont="1" applyFill="1" applyBorder="1" applyAlignment="1">
      <alignment horizontal="center"/>
    </xf>
    <xf numFmtId="9" fontId="10" fillId="211" borderId="2" xfId="0" applyNumberFormat="1" applyFont="1" applyFill="1" applyBorder="1" applyAlignment="1">
      <alignment horizontal="center"/>
    </xf>
    <xf numFmtId="9" fontId="10" fillId="273" borderId="3" xfId="0" applyNumberFormat="1" applyFont="1" applyFill="1" applyBorder="1" applyAlignment="1">
      <alignment horizontal="center"/>
    </xf>
    <xf numFmtId="0" fontId="10" fillId="176" borderId="3" xfId="0" applyFont="1" applyFill="1" applyBorder="1" applyAlignment="1">
      <alignment horizontal="center"/>
    </xf>
    <xf numFmtId="0" fontId="10" fillId="144" borderId="2" xfId="0" applyFont="1" applyFill="1" applyBorder="1" applyAlignment="1">
      <alignment horizontal="center"/>
    </xf>
    <xf numFmtId="9" fontId="10" fillId="164" borderId="2" xfId="0" applyNumberFormat="1" applyFont="1" applyFill="1" applyBorder="1" applyAlignment="1">
      <alignment horizontal="center"/>
    </xf>
    <xf numFmtId="10" fontId="10" fillId="630" borderId="2" xfId="0" applyNumberFormat="1" applyFont="1" applyFill="1" applyBorder="1" applyAlignment="1">
      <alignment horizontal="center"/>
    </xf>
    <xf numFmtId="10" fontId="10" fillId="328" borderId="2" xfId="0" applyNumberFormat="1" applyFont="1" applyFill="1" applyBorder="1" applyAlignment="1">
      <alignment horizontal="center"/>
    </xf>
    <xf numFmtId="0" fontId="10" fillId="544" borderId="2" xfId="0" applyFont="1" applyFill="1" applyBorder="1" applyAlignment="1">
      <alignment horizontal="center"/>
    </xf>
    <xf numFmtId="0" fontId="10" fillId="544" borderId="3" xfId="0" applyFont="1" applyFill="1" applyBorder="1" applyAlignment="1">
      <alignment horizontal="center"/>
    </xf>
    <xf numFmtId="164" fontId="10" fillId="612" borderId="1" xfId="0" applyNumberFormat="1" applyFont="1" applyFill="1" applyBorder="1" applyAlignment="1">
      <alignment horizontal="center"/>
    </xf>
    <xf numFmtId="0" fontId="10" fillId="301" borderId="1" xfId="0" applyFont="1" applyFill="1" applyBorder="1" applyAlignment="1">
      <alignment horizontal="center"/>
    </xf>
    <xf numFmtId="0" fontId="10" fillId="307" borderId="1" xfId="0" applyFont="1" applyFill="1" applyBorder="1" applyAlignment="1">
      <alignment horizontal="center"/>
    </xf>
    <xf numFmtId="0" fontId="10" fillId="778" borderId="4" xfId="0" applyFont="1" applyFill="1" applyBorder="1" applyAlignment="1">
      <alignment horizontal="center"/>
    </xf>
    <xf numFmtId="0" fontId="10" fillId="29" borderId="1" xfId="0" applyFont="1" applyFill="1" applyBorder="1" applyAlignment="1">
      <alignment horizontal="center"/>
    </xf>
    <xf numFmtId="9" fontId="10" fillId="166" borderId="1" xfId="0" applyNumberFormat="1" applyFont="1" applyFill="1" applyBorder="1" applyAlignment="1">
      <alignment horizontal="center"/>
    </xf>
    <xf numFmtId="10" fontId="10" fillId="333" borderId="1" xfId="0" applyNumberFormat="1" applyFont="1" applyFill="1" applyBorder="1" applyAlignment="1">
      <alignment horizontal="center"/>
    </xf>
    <xf numFmtId="10" fontId="10" fillId="139" borderId="1" xfId="0" applyNumberFormat="1" applyFont="1" applyFill="1" applyBorder="1" applyAlignment="1">
      <alignment horizontal="center"/>
    </xf>
    <xf numFmtId="10" fontId="10" fillId="131" borderId="4" xfId="0" applyNumberFormat="1" applyFont="1" applyFill="1" applyBorder="1" applyAlignment="1">
      <alignment horizontal="center"/>
    </xf>
    <xf numFmtId="0" fontId="10" fillId="760" borderId="1" xfId="0" applyFont="1" applyFill="1" applyBorder="1" applyAlignment="1">
      <alignment horizontal="center"/>
    </xf>
    <xf numFmtId="0" fontId="10" fillId="760" borderId="4" xfId="0" applyFont="1" applyFill="1" applyBorder="1" applyAlignment="1">
      <alignment horizontal="center"/>
    </xf>
    <xf numFmtId="164" fontId="10" fillId="617" borderId="2" xfId="0" applyNumberFormat="1" applyFont="1" applyFill="1" applyBorder="1" applyAlignment="1">
      <alignment horizontal="center"/>
    </xf>
    <xf numFmtId="0" fontId="10" fillId="179" borderId="2" xfId="0" applyFont="1" applyFill="1" applyBorder="1" applyAlignment="1">
      <alignment horizontal="center"/>
    </xf>
    <xf numFmtId="0" fontId="10" fillId="424" borderId="2" xfId="0" applyFont="1" applyFill="1" applyBorder="1" applyAlignment="1">
      <alignment horizontal="center"/>
    </xf>
    <xf numFmtId="9" fontId="10" fillId="84" borderId="3" xfId="0" applyNumberFormat="1" applyFont="1" applyFill="1" applyBorder="1" applyAlignment="1">
      <alignment horizontal="center"/>
    </xf>
    <xf numFmtId="0" fontId="10" fillId="477" borderId="3" xfId="0" applyFont="1" applyFill="1" applyBorder="1" applyAlignment="1">
      <alignment horizontal="center"/>
    </xf>
    <xf numFmtId="9" fontId="10" fillId="255" borderId="2" xfId="0" applyNumberFormat="1" applyFont="1" applyFill="1" applyBorder="1" applyAlignment="1">
      <alignment horizontal="center"/>
    </xf>
    <xf numFmtId="10" fontId="10" fillId="100" borderId="2" xfId="0" applyNumberFormat="1" applyFont="1" applyFill="1" applyBorder="1" applyAlignment="1">
      <alignment horizontal="center"/>
    </xf>
    <xf numFmtId="0" fontId="10" fillId="843" borderId="2" xfId="0" applyFont="1" applyFill="1" applyBorder="1" applyAlignment="1">
      <alignment horizontal="center"/>
    </xf>
    <xf numFmtId="0" fontId="10" fillId="90" borderId="2" xfId="0" applyFont="1" applyFill="1" applyBorder="1" applyAlignment="1">
      <alignment horizontal="center"/>
    </xf>
    <xf numFmtId="0" fontId="10" fillId="90" borderId="3" xfId="0" applyFont="1" applyFill="1" applyBorder="1" applyAlignment="1">
      <alignment horizontal="center"/>
    </xf>
    <xf numFmtId="0" fontId="20" fillId="844" borderId="5" xfId="0" applyFont="1" applyFill="1" applyBorder="1" applyAlignment="1">
      <alignment horizontal="center"/>
    </xf>
    <xf numFmtId="164" fontId="10" fillId="615" borderId="1" xfId="0" applyNumberFormat="1" applyFont="1" applyFill="1" applyBorder="1" applyAlignment="1">
      <alignment horizontal="center"/>
    </xf>
    <xf numFmtId="0" fontId="10" fillId="61" borderId="1" xfId="0" applyFont="1" applyFill="1" applyBorder="1" applyAlignment="1">
      <alignment horizontal="center"/>
    </xf>
    <xf numFmtId="9" fontId="10" fillId="113" borderId="1" xfId="0" applyNumberFormat="1" applyFont="1" applyFill="1" applyBorder="1" applyAlignment="1">
      <alignment horizontal="center"/>
    </xf>
    <xf numFmtId="9" fontId="10" fillId="241" borderId="4" xfId="0" applyNumberFormat="1" applyFont="1" applyFill="1" applyBorder="1" applyAlignment="1">
      <alignment horizontal="center"/>
    </xf>
    <xf numFmtId="0" fontId="10" fillId="134" borderId="1" xfId="0" applyFont="1" applyFill="1" applyBorder="1" applyAlignment="1">
      <alignment horizontal="center"/>
    </xf>
    <xf numFmtId="9" fontId="10" fillId="314" borderId="1" xfId="0" applyNumberFormat="1" applyFont="1" applyFill="1" applyBorder="1" applyAlignment="1">
      <alignment horizontal="center"/>
    </xf>
    <xf numFmtId="0" fontId="10" fillId="646" borderId="4" xfId="0" applyFont="1" applyFill="1" applyBorder="1" applyAlignment="1">
      <alignment horizontal="center"/>
    </xf>
    <xf numFmtId="10" fontId="10" fillId="46" borderId="1" xfId="0" applyNumberFormat="1" applyFont="1" applyFill="1" applyBorder="1" applyAlignment="1">
      <alignment horizontal="center"/>
    </xf>
    <xf numFmtId="10" fontId="10" fillId="65" borderId="1" xfId="0" applyNumberFormat="1" applyFont="1" applyFill="1" applyBorder="1" applyAlignment="1">
      <alignment horizontal="center"/>
    </xf>
    <xf numFmtId="10" fontId="10" fillId="257" borderId="4" xfId="0" applyNumberFormat="1" applyFont="1" applyFill="1" applyBorder="1" applyAlignment="1">
      <alignment horizontal="center"/>
    </xf>
    <xf numFmtId="0" fontId="10" fillId="236" borderId="1" xfId="0" applyFont="1" applyFill="1" applyBorder="1" applyAlignment="1">
      <alignment horizontal="center"/>
    </xf>
    <xf numFmtId="0" fontId="10" fillId="845" borderId="1" xfId="0" applyFont="1" applyFill="1" applyBorder="1" applyAlignment="1">
      <alignment horizontal="center"/>
    </xf>
    <xf numFmtId="0" fontId="10" fillId="845" borderId="4" xfId="0" applyFont="1" applyFill="1" applyBorder="1" applyAlignment="1">
      <alignment horizontal="center"/>
    </xf>
    <xf numFmtId="0" fontId="20" fillId="844" borderId="4" xfId="0" applyFont="1" applyFill="1" applyBorder="1" applyAlignment="1">
      <alignment horizontal="center"/>
    </xf>
    <xf numFmtId="164" fontId="10" fillId="599" borderId="2" xfId="0" applyNumberFormat="1" applyFont="1" applyFill="1" applyBorder="1" applyAlignment="1">
      <alignment horizontal="center"/>
    </xf>
    <xf numFmtId="0" fontId="10" fillId="122" borderId="2" xfId="0" applyFont="1" applyFill="1" applyBorder="1" applyAlignment="1">
      <alignment horizontal="center"/>
    </xf>
    <xf numFmtId="0" fontId="10" fillId="740" borderId="2" xfId="0" applyFont="1" applyFill="1" applyBorder="1" applyAlignment="1">
      <alignment horizontal="center"/>
    </xf>
    <xf numFmtId="9" fontId="10" fillId="131" borderId="3" xfId="0" applyNumberFormat="1" applyFont="1" applyFill="1" applyBorder="1" applyAlignment="1">
      <alignment horizontal="center"/>
    </xf>
    <xf numFmtId="0" fontId="10" fillId="57" borderId="3" xfId="0" applyFont="1" applyFill="1" applyBorder="1" applyAlignment="1">
      <alignment horizontal="center"/>
    </xf>
    <xf numFmtId="0" fontId="10" fillId="529" borderId="2" xfId="0" applyFont="1" applyFill="1" applyBorder="1" applyAlignment="1">
      <alignment horizontal="center"/>
    </xf>
    <xf numFmtId="9" fontId="10" fillId="124" borderId="2" xfId="0" applyNumberFormat="1" applyFont="1" applyFill="1" applyBorder="1" applyAlignment="1">
      <alignment horizontal="center"/>
    </xf>
    <xf numFmtId="9" fontId="10" fillId="25" borderId="2" xfId="0" applyNumberFormat="1" applyFont="1" applyFill="1" applyBorder="1" applyAlignment="1">
      <alignment horizontal="center"/>
    </xf>
    <xf numFmtId="0" fontId="10" fillId="398" borderId="3" xfId="0" applyFont="1" applyFill="1" applyBorder="1" applyAlignment="1">
      <alignment horizontal="center"/>
    </xf>
    <xf numFmtId="10" fontId="10" fillId="80" borderId="2" xfId="0" applyNumberFormat="1" applyFont="1" applyFill="1" applyBorder="1" applyAlignment="1">
      <alignment horizontal="center"/>
    </xf>
    <xf numFmtId="10" fontId="10" fillId="148" borderId="2" xfId="0" applyNumberFormat="1" applyFont="1" applyFill="1" applyBorder="1" applyAlignment="1">
      <alignment horizontal="center"/>
    </xf>
    <xf numFmtId="10" fontId="10" fillId="96" borderId="2" xfId="0" applyNumberFormat="1" applyFont="1" applyFill="1" applyBorder="1" applyAlignment="1">
      <alignment horizontal="center"/>
    </xf>
    <xf numFmtId="10" fontId="10" fillId="36" borderId="3" xfId="0" applyNumberFormat="1" applyFont="1" applyFill="1" applyBorder="1" applyAlignment="1">
      <alignment horizontal="center"/>
    </xf>
    <xf numFmtId="0" fontId="10" fillId="81" borderId="13" xfId="0" applyFont="1" applyFill="1" applyBorder="1" applyAlignment="1">
      <alignment horizontal="center"/>
    </xf>
    <xf numFmtId="0" fontId="10" fillId="209" borderId="2" xfId="0" applyFont="1" applyFill="1" applyBorder="1" applyAlignment="1">
      <alignment horizontal="center"/>
    </xf>
    <xf numFmtId="0" fontId="10" fillId="251" borderId="3" xfId="0" applyFont="1" applyFill="1" applyBorder="1" applyAlignment="1">
      <alignment horizontal="center"/>
    </xf>
    <xf numFmtId="164" fontId="10" fillId="345" borderId="1" xfId="0" applyNumberFormat="1" applyFont="1" applyFill="1" applyBorder="1" applyAlignment="1">
      <alignment horizontal="center"/>
    </xf>
    <xf numFmtId="0" fontId="10" fillId="84" borderId="1" xfId="0" applyFont="1" applyFill="1" applyBorder="1" applyAlignment="1">
      <alignment horizontal="center"/>
    </xf>
    <xf numFmtId="0" fontId="10" fillId="506" borderId="1" xfId="0" applyFont="1" applyFill="1" applyBorder="1" applyAlignment="1">
      <alignment horizontal="center"/>
    </xf>
    <xf numFmtId="9" fontId="10" fillId="26" borderId="4" xfId="0" applyNumberFormat="1" applyFont="1" applyFill="1" applyBorder="1" applyAlignment="1">
      <alignment horizontal="center"/>
    </xf>
    <xf numFmtId="0" fontId="10" fillId="438" borderId="4" xfId="0" applyFont="1" applyFill="1" applyBorder="1" applyAlignment="1">
      <alignment horizontal="center"/>
    </xf>
    <xf numFmtId="0" fontId="10" fillId="132" borderId="1" xfId="0" applyFont="1" applyFill="1" applyBorder="1" applyAlignment="1">
      <alignment horizontal="center"/>
    </xf>
    <xf numFmtId="9" fontId="10" fillId="327" borderId="1" xfId="0" applyNumberFormat="1" applyFont="1" applyFill="1" applyBorder="1" applyAlignment="1">
      <alignment horizontal="center"/>
    </xf>
    <xf numFmtId="10" fontId="10" fillId="20" borderId="1" xfId="0" applyNumberFormat="1" applyFont="1" applyFill="1" applyBorder="1" applyAlignment="1">
      <alignment horizontal="center"/>
    </xf>
    <xf numFmtId="10" fontId="10" fillId="96" borderId="1" xfId="0" applyNumberFormat="1" applyFont="1" applyFill="1" applyBorder="1" applyAlignment="1">
      <alignment horizontal="center"/>
    </xf>
    <xf numFmtId="10" fontId="10" fillId="115" borderId="4" xfId="0" applyNumberFormat="1" applyFont="1" applyFill="1" applyBorder="1" applyAlignment="1">
      <alignment horizontal="center"/>
    </xf>
    <xf numFmtId="0" fontId="10" fillId="114" borderId="16" xfId="0" applyFont="1" applyFill="1" applyBorder="1" applyAlignment="1">
      <alignment horizontal="center"/>
    </xf>
    <xf numFmtId="0" fontId="10" fillId="751" borderId="1" xfId="0" applyFont="1" applyFill="1" applyBorder="1" applyAlignment="1">
      <alignment horizontal="center"/>
    </xf>
    <xf numFmtId="0" fontId="10" fillId="399" borderId="1" xfId="0" applyFont="1" applyFill="1" applyBorder="1" applyAlignment="1">
      <alignment horizontal="center"/>
    </xf>
    <xf numFmtId="0" fontId="10" fillId="399" borderId="4" xfId="0" applyFont="1" applyFill="1" applyBorder="1" applyAlignment="1">
      <alignment horizontal="center"/>
    </xf>
    <xf numFmtId="164" fontId="10" fillId="222" borderId="2" xfId="0" applyNumberFormat="1" applyFont="1" applyFill="1" applyBorder="1" applyAlignment="1">
      <alignment horizontal="center"/>
    </xf>
    <xf numFmtId="9" fontId="10" fillId="447" borderId="2" xfId="0" applyNumberFormat="1" applyFont="1" applyFill="1" applyBorder="1" applyAlignment="1">
      <alignment horizontal="center"/>
    </xf>
    <xf numFmtId="0" fontId="10" fillId="846" borderId="2" xfId="0" applyFont="1" applyFill="1" applyBorder="1" applyAlignment="1">
      <alignment horizontal="center"/>
    </xf>
    <xf numFmtId="0" fontId="10" fillId="407" borderId="3" xfId="0" applyFont="1" applyFill="1" applyBorder="1" applyAlignment="1">
      <alignment horizontal="center"/>
    </xf>
    <xf numFmtId="0" fontId="10" fillId="100" borderId="2" xfId="0" applyFont="1" applyFill="1" applyBorder="1" applyAlignment="1">
      <alignment horizontal="center"/>
    </xf>
    <xf numFmtId="10" fontId="10" fillId="595" borderId="2" xfId="0" applyNumberFormat="1" applyFont="1" applyFill="1" applyBorder="1" applyAlignment="1">
      <alignment horizontal="center"/>
    </xf>
    <xf numFmtId="10" fontId="10" fillId="132" borderId="2" xfId="0" applyNumberFormat="1" applyFont="1" applyFill="1" applyBorder="1" applyAlignment="1">
      <alignment horizontal="center"/>
    </xf>
    <xf numFmtId="10" fontId="10" fillId="358" borderId="3" xfId="0" applyNumberFormat="1" applyFont="1" applyFill="1" applyBorder="1" applyAlignment="1">
      <alignment horizontal="center"/>
    </xf>
    <xf numFmtId="0" fontId="10" fillId="177" borderId="13" xfId="0" applyFont="1" applyFill="1" applyBorder="1" applyAlignment="1">
      <alignment horizontal="center"/>
    </xf>
    <xf numFmtId="0" fontId="10" fillId="280" borderId="3" xfId="0" applyFont="1" applyFill="1" applyBorder="1" applyAlignment="1">
      <alignment horizontal="center"/>
    </xf>
    <xf numFmtId="0" fontId="10" fillId="489" borderId="2" xfId="0" applyFont="1" applyFill="1" applyBorder="1" applyAlignment="1">
      <alignment horizontal="center"/>
    </xf>
    <xf numFmtId="0" fontId="10" fillId="449" borderId="2" xfId="0" applyFont="1" applyFill="1" applyBorder="1" applyAlignment="1">
      <alignment horizontal="center"/>
    </xf>
    <xf numFmtId="0" fontId="10" fillId="449" borderId="3" xfId="0" applyFont="1" applyFill="1" applyBorder="1" applyAlignment="1">
      <alignment horizontal="center"/>
    </xf>
    <xf numFmtId="0" fontId="20" fillId="698" borderId="5" xfId="0" applyFont="1" applyFill="1" applyBorder="1" applyAlignment="1">
      <alignment horizontal="center"/>
    </xf>
    <xf numFmtId="164" fontId="10" fillId="299" borderId="1" xfId="0" applyNumberFormat="1" applyFont="1" applyFill="1" applyBorder="1" applyAlignment="1">
      <alignment horizontal="center"/>
    </xf>
    <xf numFmtId="0" fontId="10" fillId="110" borderId="1" xfId="0" applyFont="1" applyFill="1" applyBorder="1" applyAlignment="1">
      <alignment horizontal="center"/>
    </xf>
    <xf numFmtId="9" fontId="10" fillId="98" borderId="1" xfId="0" applyNumberFormat="1" applyFont="1" applyFill="1" applyBorder="1" applyAlignment="1">
      <alignment horizontal="center"/>
    </xf>
    <xf numFmtId="0" fontId="10" fillId="728" borderId="1" xfId="0" applyFont="1" applyFill="1" applyBorder="1" applyAlignment="1">
      <alignment horizontal="center"/>
    </xf>
    <xf numFmtId="9" fontId="10" fillId="525" borderId="4" xfId="0" applyNumberFormat="1" applyFont="1" applyFill="1" applyBorder="1" applyAlignment="1">
      <alignment horizontal="center"/>
    </xf>
    <xf numFmtId="0" fontId="10" fillId="263" borderId="4" xfId="0" applyFont="1" applyFill="1" applyBorder="1" applyAlignment="1">
      <alignment horizontal="center"/>
    </xf>
    <xf numFmtId="0" fontId="10" fillId="163" borderId="1" xfId="0" applyFont="1" applyFill="1" applyBorder="1" applyAlignment="1">
      <alignment horizontal="center"/>
    </xf>
    <xf numFmtId="9" fontId="10" fillId="323" borderId="1" xfId="0" applyNumberFormat="1" applyFont="1" applyFill="1" applyBorder="1" applyAlignment="1">
      <alignment horizontal="center"/>
    </xf>
    <xf numFmtId="9" fontId="10" fillId="202" borderId="1" xfId="0" applyNumberFormat="1" applyFont="1" applyFill="1" applyBorder="1" applyAlignment="1">
      <alignment horizontal="center"/>
    </xf>
    <xf numFmtId="10" fontId="10" fillId="407" borderId="1" xfId="0" applyNumberFormat="1" applyFont="1" applyFill="1" applyBorder="1" applyAlignment="1">
      <alignment horizontal="center"/>
    </xf>
    <xf numFmtId="10" fontId="10" fillId="315" borderId="4" xfId="0" applyNumberFormat="1" applyFont="1" applyFill="1" applyBorder="1" applyAlignment="1">
      <alignment horizontal="center"/>
    </xf>
    <xf numFmtId="0" fontId="10" fillId="547" borderId="1" xfId="0" applyFont="1" applyFill="1" applyBorder="1" applyAlignment="1">
      <alignment horizontal="center"/>
    </xf>
    <xf numFmtId="0" fontId="10" fillId="736" borderId="1" xfId="0" applyFont="1" applyFill="1" applyBorder="1" applyAlignment="1">
      <alignment horizontal="center"/>
    </xf>
    <xf numFmtId="0" fontId="10" fillId="736" borderId="4" xfId="0" applyFont="1" applyFill="1" applyBorder="1" applyAlignment="1">
      <alignment horizontal="center"/>
    </xf>
    <xf numFmtId="0" fontId="20" fillId="698" borderId="4" xfId="0" applyFont="1" applyFill="1" applyBorder="1" applyAlignment="1">
      <alignment horizontal="center"/>
    </xf>
    <xf numFmtId="164" fontId="10" fillId="591" borderId="2" xfId="0" applyNumberFormat="1" applyFont="1" applyFill="1" applyBorder="1" applyAlignment="1">
      <alignment horizontal="center"/>
    </xf>
    <xf numFmtId="0" fontId="10" fillId="233" borderId="2" xfId="0" applyFont="1" applyFill="1" applyBorder="1" applyAlignment="1">
      <alignment horizontal="center"/>
    </xf>
    <xf numFmtId="9" fontId="10" fillId="378" borderId="2" xfId="0" applyNumberFormat="1" applyFont="1" applyFill="1" applyBorder="1" applyAlignment="1">
      <alignment horizontal="center"/>
    </xf>
    <xf numFmtId="0" fontId="10" fillId="628" borderId="2" xfId="0" applyFont="1" applyFill="1" applyBorder="1" applyAlignment="1">
      <alignment horizontal="center"/>
    </xf>
    <xf numFmtId="0" fontId="10" fillId="478" borderId="3" xfId="0" applyFont="1" applyFill="1" applyBorder="1" applyAlignment="1">
      <alignment horizontal="center"/>
    </xf>
    <xf numFmtId="0" fontId="10" fillId="60" borderId="2" xfId="0" applyFont="1" applyFill="1" applyBorder="1" applyAlignment="1">
      <alignment horizontal="center"/>
    </xf>
    <xf numFmtId="9" fontId="10" fillId="487" borderId="2" xfId="0" applyNumberFormat="1" applyFont="1" applyFill="1" applyBorder="1" applyAlignment="1">
      <alignment horizontal="center"/>
    </xf>
    <xf numFmtId="9" fontId="10" fillId="150" borderId="2" xfId="0" applyNumberFormat="1" applyFont="1" applyFill="1" applyBorder="1" applyAlignment="1">
      <alignment horizontal="center"/>
    </xf>
    <xf numFmtId="10" fontId="10" fillId="333" borderId="2" xfId="0" applyNumberFormat="1" applyFont="1" applyFill="1" applyBorder="1" applyAlignment="1">
      <alignment horizontal="center"/>
    </xf>
    <xf numFmtId="10" fontId="10" fillId="293" borderId="3" xfId="0" applyNumberFormat="1" applyFont="1" applyFill="1" applyBorder="1" applyAlignment="1">
      <alignment horizontal="center"/>
    </xf>
    <xf numFmtId="0" fontId="10" fillId="86" borderId="2" xfId="0" applyFont="1" applyFill="1" applyBorder="1" applyAlignment="1">
      <alignment horizontal="center"/>
    </xf>
    <xf numFmtId="0" fontId="10" fillId="86" borderId="3" xfId="0" applyFont="1" applyFill="1" applyBorder="1" applyAlignment="1">
      <alignment horizontal="center"/>
    </xf>
    <xf numFmtId="164" fontId="10" fillId="588" borderId="1" xfId="0" applyNumberFormat="1" applyFont="1" applyFill="1" applyBorder="1" applyAlignment="1">
      <alignment horizontal="center"/>
    </xf>
    <xf numFmtId="0" fontId="10" fillId="129" borderId="1" xfId="0" applyFont="1" applyFill="1" applyBorder="1" applyAlignment="1">
      <alignment horizontal="center"/>
    </xf>
    <xf numFmtId="0" fontId="10" fillId="387" borderId="1" xfId="0" applyFont="1" applyFill="1" applyBorder="1" applyAlignment="1">
      <alignment horizontal="center"/>
    </xf>
    <xf numFmtId="9" fontId="10" fillId="206" borderId="4" xfId="0" applyNumberFormat="1" applyFont="1" applyFill="1" applyBorder="1" applyAlignment="1">
      <alignment horizontal="center"/>
    </xf>
    <xf numFmtId="0" fontId="10" fillId="493" borderId="4" xfId="0" applyFont="1" applyFill="1" applyBorder="1" applyAlignment="1">
      <alignment horizontal="center"/>
    </xf>
    <xf numFmtId="10" fontId="10" fillId="177" borderId="1" xfId="0" applyNumberFormat="1" applyFont="1" applyFill="1" applyBorder="1" applyAlignment="1">
      <alignment horizontal="center"/>
    </xf>
    <xf numFmtId="10" fontId="10" fillId="113" borderId="4" xfId="0" applyNumberFormat="1" applyFont="1" applyFill="1" applyBorder="1" applyAlignment="1">
      <alignment horizontal="center"/>
    </xf>
    <xf numFmtId="0" fontId="10" fillId="833" borderId="1" xfId="0" applyFont="1" applyFill="1" applyBorder="1" applyAlignment="1">
      <alignment horizontal="center"/>
    </xf>
    <xf numFmtId="0" fontId="10" fillId="847" borderId="1" xfId="0" applyFont="1" applyFill="1" applyBorder="1" applyAlignment="1">
      <alignment horizontal="center"/>
    </xf>
    <xf numFmtId="0" fontId="10" fillId="847" borderId="4" xfId="0" applyFont="1" applyFill="1" applyBorder="1" applyAlignment="1">
      <alignment horizontal="center"/>
    </xf>
    <xf numFmtId="164" fontId="10" fillId="397" borderId="2" xfId="0" applyNumberFormat="1" applyFont="1" applyFill="1" applyBorder="1" applyAlignment="1">
      <alignment horizontal="center"/>
    </xf>
    <xf numFmtId="0" fontId="10" fillId="38" borderId="2" xfId="0" applyFont="1" applyFill="1" applyBorder="1" applyAlignment="1">
      <alignment horizontal="center"/>
    </xf>
    <xf numFmtId="0" fontId="10" fillId="848" borderId="2" xfId="0" applyFont="1" applyFill="1" applyBorder="1" applyAlignment="1">
      <alignment horizontal="center"/>
    </xf>
    <xf numFmtId="9" fontId="10" fillId="99" borderId="3" xfId="0" applyNumberFormat="1" applyFont="1" applyFill="1" applyBorder="1" applyAlignment="1">
      <alignment horizontal="center"/>
    </xf>
    <xf numFmtId="0" fontId="10" fillId="202" borderId="3" xfId="0" applyFont="1" applyFill="1" applyBorder="1" applyAlignment="1">
      <alignment horizontal="center"/>
    </xf>
    <xf numFmtId="9" fontId="10" fillId="726" borderId="2" xfId="0" applyNumberFormat="1" applyFont="1" applyFill="1" applyBorder="1" applyAlignment="1">
      <alignment horizontal="center"/>
    </xf>
    <xf numFmtId="9" fontId="10" fillId="130" borderId="2" xfId="0" applyNumberFormat="1" applyFont="1" applyFill="1" applyBorder="1" applyAlignment="1">
      <alignment horizontal="center"/>
    </xf>
    <xf numFmtId="0" fontId="10" fillId="386" borderId="2" xfId="0" applyFont="1" applyFill="1" applyBorder="1" applyAlignment="1">
      <alignment horizontal="center"/>
    </xf>
    <xf numFmtId="0" fontId="10" fillId="849" borderId="2" xfId="0" applyFont="1" applyFill="1" applyBorder="1" applyAlignment="1">
      <alignment horizontal="center"/>
    </xf>
    <xf numFmtId="0" fontId="10" fillId="849" borderId="3" xfId="0" applyFont="1" applyFill="1" applyBorder="1" applyAlignment="1">
      <alignment horizontal="center"/>
    </xf>
    <xf numFmtId="164" fontId="10" fillId="627" borderId="1" xfId="0" applyNumberFormat="1" applyFont="1" applyFill="1" applyBorder="1" applyAlignment="1">
      <alignment horizontal="center"/>
    </xf>
    <xf numFmtId="0" fontId="10" fillId="83" borderId="1" xfId="0" applyFont="1" applyFill="1" applyBorder="1" applyAlignment="1">
      <alignment horizontal="center"/>
    </xf>
    <xf numFmtId="9" fontId="10" fillId="84" borderId="4" xfId="0" applyNumberFormat="1" applyFont="1" applyFill="1" applyBorder="1" applyAlignment="1">
      <alignment horizontal="center"/>
    </xf>
    <xf numFmtId="0" fontId="10" fillId="19" borderId="4" xfId="0" applyFont="1" applyFill="1" applyBorder="1" applyAlignment="1">
      <alignment horizontal="center"/>
    </xf>
    <xf numFmtId="0" fontId="10" fillId="46" borderId="1" xfId="0" applyFont="1" applyFill="1" applyBorder="1" applyAlignment="1">
      <alignment horizontal="center"/>
    </xf>
    <xf numFmtId="9" fontId="10" fillId="177" borderId="1" xfId="0" applyNumberFormat="1" applyFont="1" applyFill="1" applyBorder="1" applyAlignment="1">
      <alignment horizontal="center"/>
    </xf>
    <xf numFmtId="10" fontId="10" fillId="328" borderId="1" xfId="0" applyNumberFormat="1" applyFont="1" applyFill="1" applyBorder="1" applyAlignment="1">
      <alignment horizontal="center"/>
    </xf>
    <xf numFmtId="10" fontId="10" fillId="41" borderId="4" xfId="0" applyNumberFormat="1" applyFont="1" applyFill="1" applyBorder="1" applyAlignment="1">
      <alignment horizontal="center"/>
    </xf>
    <xf numFmtId="0" fontId="10" fillId="850" borderId="1" xfId="0" applyFont="1" applyFill="1" applyBorder="1" applyAlignment="1">
      <alignment horizontal="center"/>
    </xf>
    <xf numFmtId="0" fontId="10" fillId="851" borderId="1" xfId="0" applyFont="1" applyFill="1" applyBorder="1" applyAlignment="1">
      <alignment horizontal="center"/>
    </xf>
    <xf numFmtId="0" fontId="10" fillId="851" borderId="4" xfId="0" applyFont="1" applyFill="1" applyBorder="1" applyAlignment="1">
      <alignment horizontal="center"/>
    </xf>
    <xf numFmtId="49" fontId="1" fillId="5" borderId="0" xfId="0" applyNumberFormat="1" applyFont="1" applyFill="1"/>
    <xf numFmtId="164" fontId="10" fillId="444" borderId="2" xfId="0" applyNumberFormat="1" applyFont="1" applyFill="1" applyBorder="1" applyAlignment="1">
      <alignment horizontal="center"/>
    </xf>
    <xf numFmtId="9" fontId="10" fillId="196" borderId="2" xfId="0" applyNumberFormat="1" applyFont="1" applyFill="1" applyBorder="1" applyAlignment="1">
      <alignment horizontal="center"/>
    </xf>
    <xf numFmtId="0" fontId="10" fillId="731" borderId="2" xfId="0" applyFont="1" applyFill="1" applyBorder="1" applyAlignment="1">
      <alignment horizontal="center"/>
    </xf>
    <xf numFmtId="9" fontId="10" fillId="48" borderId="3" xfId="0" applyNumberFormat="1" applyFont="1" applyFill="1" applyBorder="1" applyAlignment="1">
      <alignment horizontal="center"/>
    </xf>
    <xf numFmtId="0" fontId="10" fillId="93" borderId="3" xfId="0" applyFont="1" applyFill="1" applyBorder="1" applyAlignment="1">
      <alignment horizontal="center"/>
    </xf>
    <xf numFmtId="9" fontId="10" fillId="76" borderId="2" xfId="0" applyNumberFormat="1" applyFont="1" applyFill="1" applyBorder="1" applyAlignment="1">
      <alignment horizontal="center"/>
    </xf>
    <xf numFmtId="0" fontId="10" fillId="15" borderId="3" xfId="0" applyFont="1" applyFill="1" applyBorder="1" applyAlignment="1">
      <alignment horizontal="center"/>
    </xf>
    <xf numFmtId="10" fontId="10" fillId="115" borderId="2" xfId="0" applyNumberFormat="1" applyFont="1" applyFill="1" applyBorder="1" applyAlignment="1">
      <alignment horizontal="center"/>
    </xf>
    <xf numFmtId="10" fontId="10" fillId="411" borderId="2" xfId="0" applyNumberFormat="1" applyFont="1" applyFill="1" applyBorder="1" applyAlignment="1">
      <alignment horizontal="center"/>
    </xf>
    <xf numFmtId="10" fontId="10" fillId="357" borderId="3" xfId="0" applyNumberFormat="1" applyFont="1" applyFill="1" applyBorder="1" applyAlignment="1">
      <alignment horizontal="center"/>
    </xf>
    <xf numFmtId="0" fontId="10" fillId="64" borderId="3" xfId="0" applyFont="1" applyFill="1" applyBorder="1" applyAlignment="1">
      <alignment horizontal="center"/>
    </xf>
    <xf numFmtId="0" fontId="10" fillId="356" borderId="13" xfId="0" applyFont="1" applyFill="1" applyBorder="1" applyAlignment="1">
      <alignment horizontal="center"/>
    </xf>
    <xf numFmtId="0" fontId="10" fillId="515" borderId="2" xfId="0" applyFont="1" applyFill="1" applyBorder="1" applyAlignment="1">
      <alignment horizontal="center"/>
    </xf>
    <xf numFmtId="0" fontId="10" fillId="815" borderId="3" xfId="0" applyFont="1" applyFill="1" applyBorder="1" applyAlignment="1">
      <alignment horizontal="center"/>
    </xf>
    <xf numFmtId="0" fontId="20" fillId="463" borderId="5" xfId="0" applyFont="1" applyFill="1" applyBorder="1" applyAlignment="1">
      <alignment horizontal="center"/>
    </xf>
    <xf numFmtId="0" fontId="10" fillId="105" borderId="2" xfId="0" applyFont="1" applyFill="1" applyBorder="1" applyAlignment="1">
      <alignment horizontal="center"/>
    </xf>
    <xf numFmtId="0" fontId="10" fillId="784" borderId="2" xfId="0" applyFont="1" applyFill="1" applyBorder="1" applyAlignment="1">
      <alignment horizontal="center"/>
    </xf>
    <xf numFmtId="0" fontId="10" fillId="425" borderId="3" xfId="0" applyFont="1" applyFill="1" applyBorder="1" applyAlignment="1">
      <alignment horizontal="center"/>
    </xf>
    <xf numFmtId="164" fontId="10" fillId="222" borderId="1" xfId="0" applyNumberFormat="1" applyFont="1" applyFill="1" applyBorder="1" applyAlignment="1">
      <alignment horizontal="center"/>
    </xf>
    <xf numFmtId="0" fontId="10" fillId="149" borderId="1" xfId="0" applyFont="1" applyFill="1" applyBorder="1" applyAlignment="1">
      <alignment horizontal="center"/>
    </xf>
    <xf numFmtId="9" fontId="10" fillId="124" borderId="1" xfId="0" applyNumberFormat="1" applyFont="1" applyFill="1" applyBorder="1" applyAlignment="1">
      <alignment horizontal="center"/>
    </xf>
    <xf numFmtId="0" fontId="10" fillId="262" borderId="1" xfId="0" applyFont="1" applyFill="1" applyBorder="1" applyAlignment="1">
      <alignment horizontal="center"/>
    </xf>
    <xf numFmtId="9" fontId="10" fillId="456" borderId="4" xfId="0" applyNumberFormat="1" applyFont="1" applyFill="1" applyBorder="1" applyAlignment="1">
      <alignment horizontal="center"/>
    </xf>
    <xf numFmtId="0" fontId="10" fillId="202" borderId="4" xfId="0" applyFont="1" applyFill="1" applyBorder="1" applyAlignment="1">
      <alignment horizontal="center"/>
    </xf>
    <xf numFmtId="9" fontId="10" fillId="216" borderId="1" xfId="0" applyNumberFormat="1" applyFont="1" applyFill="1" applyBorder="1" applyAlignment="1">
      <alignment horizontal="center"/>
    </xf>
    <xf numFmtId="9" fontId="10" fillId="630" borderId="1" xfId="0" applyNumberFormat="1" applyFont="1" applyFill="1" applyBorder="1" applyAlignment="1">
      <alignment horizontal="center"/>
    </xf>
    <xf numFmtId="0" fontId="10" fillId="786" borderId="4" xfId="0" applyFont="1" applyFill="1" applyBorder="1" applyAlignment="1">
      <alignment horizontal="center"/>
    </xf>
    <xf numFmtId="10" fontId="10" fillId="433" borderId="1" xfId="0" applyNumberFormat="1" applyFont="1" applyFill="1" applyBorder="1" applyAlignment="1">
      <alignment horizontal="center"/>
    </xf>
    <xf numFmtId="10" fontId="10" fillId="343" borderId="1" xfId="0" applyNumberFormat="1" applyFont="1" applyFill="1" applyBorder="1" applyAlignment="1">
      <alignment horizontal="center"/>
    </xf>
    <xf numFmtId="0" fontId="10" fillId="852" borderId="1" xfId="0" applyFont="1" applyFill="1" applyBorder="1" applyAlignment="1">
      <alignment horizontal="center"/>
    </xf>
    <xf numFmtId="0" fontId="10" fillId="119" borderId="1" xfId="0" applyFont="1" applyFill="1" applyBorder="1" applyAlignment="1">
      <alignment horizontal="center"/>
    </xf>
    <xf numFmtId="0" fontId="10" fillId="119" borderId="4" xfId="0" applyFont="1" applyFill="1" applyBorder="1" applyAlignment="1">
      <alignment horizontal="center"/>
    </xf>
    <xf numFmtId="0" fontId="20" fillId="463" borderId="4" xfId="0" applyFont="1" applyFill="1" applyBorder="1" applyAlignment="1">
      <alignment horizontal="center"/>
    </xf>
    <xf numFmtId="0" fontId="10" fillId="72" borderId="1" xfId="0" applyFont="1" applyFill="1" applyBorder="1" applyAlignment="1">
      <alignment horizontal="center"/>
    </xf>
    <xf numFmtId="0" fontId="10" fillId="677" borderId="1" xfId="0" applyFont="1" applyFill="1" applyBorder="1" applyAlignment="1">
      <alignment horizontal="center"/>
    </xf>
    <xf numFmtId="0" fontId="10" fillId="104" borderId="4" xfId="0" applyFont="1" applyFill="1" applyBorder="1" applyAlignment="1">
      <alignment horizontal="center"/>
    </xf>
    <xf numFmtId="164" fontId="10" fillId="396" borderId="2" xfId="0" applyNumberFormat="1" applyFont="1" applyFill="1" applyBorder="1" applyAlignment="1">
      <alignment horizontal="center"/>
    </xf>
    <xf numFmtId="0" fontId="10" fillId="222" borderId="2" xfId="0" applyFont="1" applyFill="1" applyBorder="1" applyAlignment="1">
      <alignment horizontal="center"/>
    </xf>
    <xf numFmtId="9" fontId="10" fillId="279" borderId="3" xfId="0" applyNumberFormat="1" applyFont="1" applyFill="1" applyBorder="1" applyAlignment="1">
      <alignment horizontal="center"/>
    </xf>
    <xf numFmtId="0" fontId="10" fillId="161" borderId="3" xfId="0" applyFont="1" applyFill="1" applyBorder="1" applyAlignment="1">
      <alignment horizontal="center"/>
    </xf>
    <xf numFmtId="9" fontId="10" fillId="63" borderId="2" xfId="0" applyNumberFormat="1" applyFont="1" applyFill="1" applyBorder="1" applyAlignment="1">
      <alignment horizontal="center"/>
    </xf>
    <xf numFmtId="10" fontId="10" fillId="433" borderId="2" xfId="0" applyNumberFormat="1" applyFont="1" applyFill="1" applyBorder="1" applyAlignment="1">
      <alignment horizontal="center"/>
    </xf>
    <xf numFmtId="10" fontId="10" fillId="278" borderId="2" xfId="0" applyNumberFormat="1" applyFont="1" applyFill="1" applyBorder="1" applyAlignment="1">
      <alignment horizontal="center"/>
    </xf>
    <xf numFmtId="10" fontId="10" fillId="381" borderId="2" xfId="0" applyNumberFormat="1" applyFont="1" applyFill="1" applyBorder="1" applyAlignment="1">
      <alignment horizontal="center"/>
    </xf>
    <xf numFmtId="10" fontId="10" fillId="310" borderId="3" xfId="0" applyNumberFormat="1" applyFont="1" applyFill="1" applyBorder="1" applyAlignment="1">
      <alignment horizontal="center"/>
    </xf>
    <xf numFmtId="0" fontId="10" fillId="402" borderId="13" xfId="0" applyFont="1" applyFill="1" applyBorder="1" applyAlignment="1">
      <alignment horizontal="center"/>
    </xf>
    <xf numFmtId="0" fontId="10" fillId="423" borderId="2" xfId="0" applyFont="1" applyFill="1" applyBorder="1" applyAlignment="1">
      <alignment horizontal="center"/>
    </xf>
    <xf numFmtId="0" fontId="10" fillId="379" borderId="2" xfId="0" applyFont="1" applyFill="1" applyBorder="1" applyAlignment="1">
      <alignment horizontal="center"/>
    </xf>
    <xf numFmtId="0" fontId="10" fillId="379" borderId="3" xfId="0" applyFont="1" applyFill="1" applyBorder="1" applyAlignment="1">
      <alignment horizontal="center"/>
    </xf>
    <xf numFmtId="0" fontId="20" fillId="787" borderId="5" xfId="0" applyFont="1" applyFill="1" applyBorder="1" applyAlignment="1">
      <alignment horizontal="center"/>
    </xf>
    <xf numFmtId="0" fontId="10" fillId="817" borderId="2" xfId="0" applyFont="1" applyFill="1" applyBorder="1" applyAlignment="1">
      <alignment horizontal="center"/>
    </xf>
    <xf numFmtId="0" fontId="10" fillId="496" borderId="2" xfId="0" applyFont="1" applyFill="1" applyBorder="1" applyAlignment="1">
      <alignment horizontal="center"/>
    </xf>
    <xf numFmtId="0" fontId="10" fillId="853" borderId="3" xfId="0" applyFont="1" applyFill="1" applyBorder="1" applyAlignment="1">
      <alignment horizontal="center"/>
    </xf>
    <xf numFmtId="164" fontId="10" fillId="390" borderId="1" xfId="0" applyNumberFormat="1" applyFont="1" applyFill="1" applyBorder="1" applyAlignment="1">
      <alignment horizontal="center"/>
    </xf>
    <xf numFmtId="0" fontId="10" fillId="100" borderId="1" xfId="0" applyFont="1" applyFill="1" applyBorder="1" applyAlignment="1">
      <alignment horizontal="center"/>
    </xf>
    <xf numFmtId="9" fontId="10" fillId="838" borderId="1" xfId="0" applyNumberFormat="1" applyFont="1" applyFill="1" applyBorder="1" applyAlignment="1">
      <alignment horizontal="center"/>
    </xf>
    <xf numFmtId="0" fontId="10" fillId="558" borderId="1" xfId="0" applyFont="1" applyFill="1" applyBorder="1" applyAlignment="1">
      <alignment horizontal="center"/>
    </xf>
    <xf numFmtId="9" fontId="10" fillId="131" borderId="4" xfId="0" applyNumberFormat="1" applyFont="1" applyFill="1" applyBorder="1" applyAlignment="1">
      <alignment horizontal="center"/>
    </xf>
    <xf numFmtId="0" fontId="10" fillId="177" borderId="4" xfId="0" applyFont="1" applyFill="1" applyBorder="1" applyAlignment="1">
      <alignment horizontal="center"/>
    </xf>
    <xf numFmtId="0" fontId="10" fillId="165" borderId="1" xfId="0" applyFont="1" applyFill="1" applyBorder="1" applyAlignment="1">
      <alignment horizontal="center"/>
    </xf>
    <xf numFmtId="9" fontId="10" fillId="232" borderId="1" xfId="0" applyNumberFormat="1" applyFont="1" applyFill="1" applyBorder="1" applyAlignment="1">
      <alignment horizontal="center"/>
    </xf>
    <xf numFmtId="10" fontId="10" fillId="726" borderId="1" xfId="0" applyNumberFormat="1" applyFont="1" applyFill="1" applyBorder="1" applyAlignment="1">
      <alignment horizontal="center"/>
    </xf>
    <xf numFmtId="10" fontId="10" fillId="99" borderId="1" xfId="0" applyNumberFormat="1" applyFont="1" applyFill="1" applyBorder="1" applyAlignment="1">
      <alignment horizontal="center"/>
    </xf>
    <xf numFmtId="10" fontId="10" fillId="163" borderId="4" xfId="0" applyNumberFormat="1" applyFont="1" applyFill="1" applyBorder="1" applyAlignment="1">
      <alignment horizontal="center"/>
    </xf>
    <xf numFmtId="0" fontId="10" fillId="418" borderId="16" xfId="0" applyFont="1" applyFill="1" applyBorder="1" applyAlignment="1">
      <alignment horizontal="center"/>
    </xf>
    <xf numFmtId="0" fontId="10" fillId="854" borderId="1" xfId="0" applyFont="1" applyFill="1" applyBorder="1" applyAlignment="1">
      <alignment horizontal="center"/>
    </xf>
    <xf numFmtId="0" fontId="10" fillId="854" borderId="4" xfId="0" applyFont="1" applyFill="1" applyBorder="1" applyAlignment="1">
      <alignment horizontal="center"/>
    </xf>
    <xf numFmtId="0" fontId="20" fillId="787" borderId="4" xfId="0" applyFont="1" applyFill="1" applyBorder="1" applyAlignment="1">
      <alignment horizontal="center"/>
    </xf>
    <xf numFmtId="0" fontId="10" fillId="463" borderId="1" xfId="0" applyFont="1" applyFill="1" applyBorder="1" applyAlignment="1">
      <alignment horizontal="center"/>
    </xf>
    <xf numFmtId="0" fontId="10" fillId="325" borderId="1" xfId="0" applyFont="1" applyFill="1" applyBorder="1" applyAlignment="1">
      <alignment horizontal="center"/>
    </xf>
    <xf numFmtId="0" fontId="10" fillId="855" borderId="4" xfId="0" applyFont="1" applyFill="1" applyBorder="1" applyAlignment="1">
      <alignment horizontal="center"/>
    </xf>
    <xf numFmtId="164" fontId="10" fillId="371" borderId="2" xfId="0" applyNumberFormat="1" applyFont="1" applyFill="1" applyBorder="1" applyAlignment="1">
      <alignment horizontal="center"/>
    </xf>
    <xf numFmtId="0" fontId="10" fillId="223" borderId="2" xfId="0" applyFont="1" applyFill="1" applyBorder="1" applyAlignment="1">
      <alignment horizontal="center"/>
    </xf>
    <xf numFmtId="0" fontId="10" fillId="375" borderId="2" xfId="0" applyFont="1" applyFill="1" applyBorder="1" applyAlignment="1">
      <alignment horizontal="center"/>
    </xf>
    <xf numFmtId="0" fontId="10" fillId="333" borderId="3" xfId="0" applyFont="1" applyFill="1" applyBorder="1" applyAlignment="1">
      <alignment horizontal="center"/>
    </xf>
    <xf numFmtId="0" fontId="10" fillId="126" borderId="2" xfId="0" applyFont="1" applyFill="1" applyBorder="1" applyAlignment="1">
      <alignment horizontal="center"/>
    </xf>
    <xf numFmtId="9" fontId="10" fillId="114" borderId="2" xfId="0" applyNumberFormat="1" applyFont="1" applyFill="1" applyBorder="1" applyAlignment="1">
      <alignment horizontal="center"/>
    </xf>
    <xf numFmtId="9" fontId="10" fillId="142" borderId="2" xfId="0" applyNumberFormat="1" applyFont="1" applyFill="1" applyBorder="1" applyAlignment="1">
      <alignment horizontal="center"/>
    </xf>
    <xf numFmtId="0" fontId="10" fillId="25" borderId="3" xfId="0" applyFont="1" applyFill="1" applyBorder="1" applyAlignment="1">
      <alignment horizontal="center"/>
    </xf>
    <xf numFmtId="10" fontId="10" fillId="357" borderId="2" xfId="0" applyNumberFormat="1" applyFont="1" applyFill="1" applyBorder="1" applyAlignment="1">
      <alignment horizontal="center"/>
    </xf>
    <xf numFmtId="10" fontId="10" fillId="35" borderId="3" xfId="0" applyNumberFormat="1" applyFont="1" applyFill="1" applyBorder="1" applyAlignment="1">
      <alignment horizontal="center"/>
    </xf>
    <xf numFmtId="0" fontId="10" fillId="534" borderId="2" xfId="0" applyFont="1" applyFill="1" applyBorder="1" applyAlignment="1">
      <alignment horizontal="center"/>
    </xf>
    <xf numFmtId="0" fontId="10" fillId="856" borderId="2" xfId="0" applyFont="1" applyFill="1" applyBorder="1" applyAlignment="1">
      <alignment horizontal="center"/>
    </xf>
    <xf numFmtId="0" fontId="10" fillId="856" borderId="3" xfId="0" applyFont="1" applyFill="1" applyBorder="1" applyAlignment="1">
      <alignment horizontal="center"/>
    </xf>
    <xf numFmtId="0" fontId="20" fillId="857" borderId="5" xfId="0" applyFont="1" applyFill="1" applyBorder="1" applyAlignment="1">
      <alignment horizontal="center"/>
    </xf>
    <xf numFmtId="0" fontId="10" fillId="789" borderId="2" xfId="0" applyFont="1" applyFill="1" applyBorder="1" applyAlignment="1">
      <alignment horizontal="center"/>
    </xf>
    <xf numFmtId="0" fontId="10" fillId="858" borderId="2" xfId="0" applyFont="1" applyFill="1" applyBorder="1" applyAlignment="1">
      <alignment horizontal="center"/>
    </xf>
    <xf numFmtId="0" fontId="10" fillId="663" borderId="3" xfId="0" applyFont="1" applyFill="1" applyBorder="1" applyAlignment="1">
      <alignment horizontal="center"/>
    </xf>
    <xf numFmtId="164" fontId="10" fillId="457" borderId="1" xfId="0" applyNumberFormat="1" applyFont="1" applyFill="1" applyBorder="1" applyAlignment="1">
      <alignment horizontal="center"/>
    </xf>
    <xf numFmtId="0" fontId="10" fillId="97" borderId="1" xfId="0" applyFont="1" applyFill="1" applyBorder="1" applyAlignment="1">
      <alignment horizontal="center"/>
    </xf>
    <xf numFmtId="9" fontId="10" fillId="316" borderId="1" xfId="0" applyNumberFormat="1" applyFont="1" applyFill="1" applyBorder="1" applyAlignment="1">
      <alignment horizontal="center"/>
    </xf>
    <xf numFmtId="0" fontId="10" fillId="628" borderId="1" xfId="0" applyFont="1" applyFill="1" applyBorder="1" applyAlignment="1">
      <alignment horizontal="center"/>
    </xf>
    <xf numFmtId="9" fontId="10" fillId="41" borderId="4" xfId="0" applyNumberFormat="1" applyFont="1" applyFill="1" applyBorder="1" applyAlignment="1">
      <alignment horizontal="center"/>
    </xf>
    <xf numFmtId="0" fontId="10" fillId="42" borderId="4" xfId="0" applyFont="1" applyFill="1" applyBorder="1" applyAlignment="1">
      <alignment horizontal="center"/>
    </xf>
    <xf numFmtId="9" fontId="10" fillId="150" borderId="1" xfId="0" applyNumberFormat="1" applyFont="1" applyFill="1" applyBorder="1" applyAlignment="1">
      <alignment horizontal="center"/>
    </xf>
    <xf numFmtId="10" fontId="10" fillId="100" borderId="1" xfId="0" applyNumberFormat="1" applyFont="1" applyFill="1" applyBorder="1" applyAlignment="1">
      <alignment horizontal="center"/>
    </xf>
    <xf numFmtId="10" fontId="10" fillId="362" borderId="1" xfId="0" applyNumberFormat="1" applyFont="1" applyFill="1" applyBorder="1" applyAlignment="1">
      <alignment horizontal="center"/>
    </xf>
    <xf numFmtId="10" fontId="10" fillId="388" borderId="1" xfId="0" applyNumberFormat="1" applyFont="1" applyFill="1" applyBorder="1" applyAlignment="1">
      <alignment horizontal="center"/>
    </xf>
    <xf numFmtId="10" fontId="10" fillId="121" borderId="4" xfId="0" applyNumberFormat="1" applyFont="1" applyFill="1" applyBorder="1" applyAlignment="1">
      <alignment horizontal="center"/>
    </xf>
    <xf numFmtId="0" fontId="10" fillId="107" borderId="16" xfId="0" applyFont="1" applyFill="1" applyBorder="1" applyAlignment="1">
      <alignment horizontal="center"/>
    </xf>
    <xf numFmtId="0" fontId="10" fillId="208" borderId="1" xfId="0" applyFont="1" applyFill="1" applyBorder="1" applyAlignment="1">
      <alignment horizontal="center"/>
    </xf>
    <xf numFmtId="0" fontId="10" fillId="186" borderId="1" xfId="0" applyFont="1" applyFill="1" applyBorder="1" applyAlignment="1">
      <alignment horizontal="center"/>
    </xf>
    <xf numFmtId="0" fontId="10" fillId="186" borderId="4" xfId="0" applyFont="1" applyFill="1" applyBorder="1" applyAlignment="1">
      <alignment horizontal="center"/>
    </xf>
    <xf numFmtId="0" fontId="20" fillId="857" borderId="4" xfId="0" applyFont="1" applyFill="1" applyBorder="1" applyAlignment="1">
      <alignment horizontal="center"/>
    </xf>
    <xf numFmtId="0" fontId="10" fillId="513" borderId="1" xfId="0" applyFont="1" applyFill="1" applyBorder="1" applyAlignment="1">
      <alignment horizontal="center"/>
    </xf>
    <xf numFmtId="0" fontId="10" fillId="859" borderId="4" xfId="0" applyFont="1" applyFill="1" applyBorder="1" applyAlignment="1">
      <alignment horizontal="center"/>
    </xf>
    <xf numFmtId="164" fontId="10" fillId="133" borderId="2" xfId="0" applyNumberFormat="1" applyFont="1" applyFill="1" applyBorder="1" applyAlignment="1">
      <alignment horizontal="center"/>
    </xf>
    <xf numFmtId="9" fontId="10" fillId="446" borderId="2" xfId="0" applyNumberFormat="1" applyFont="1" applyFill="1" applyBorder="1" applyAlignment="1">
      <alignment horizontal="center"/>
    </xf>
    <xf numFmtId="0" fontId="10" fillId="440" borderId="2" xfId="0" applyFont="1" applyFill="1" applyBorder="1" applyAlignment="1">
      <alignment horizontal="center"/>
    </xf>
    <xf numFmtId="0" fontId="10" fillId="49" borderId="3" xfId="0" applyFont="1" applyFill="1" applyBorder="1" applyAlignment="1">
      <alignment horizontal="center"/>
    </xf>
    <xf numFmtId="0" fontId="10" fillId="637" borderId="2" xfId="0" applyFont="1" applyFill="1" applyBorder="1" applyAlignment="1">
      <alignment horizontal="center"/>
    </xf>
    <xf numFmtId="9" fontId="10" fillId="96" borderId="2" xfId="0" applyNumberFormat="1" applyFont="1" applyFill="1" applyBorder="1" applyAlignment="1">
      <alignment horizontal="center"/>
    </xf>
    <xf numFmtId="9" fontId="10" fillId="42" borderId="2" xfId="0" applyNumberFormat="1" applyFont="1" applyFill="1" applyBorder="1" applyAlignment="1">
      <alignment horizontal="center"/>
    </xf>
    <xf numFmtId="0" fontId="10" fillId="150" borderId="3" xfId="0" applyFont="1" applyFill="1" applyBorder="1" applyAlignment="1">
      <alignment horizontal="center"/>
    </xf>
    <xf numFmtId="10" fontId="10" fillId="27" borderId="2" xfId="0" applyNumberFormat="1" applyFont="1" applyFill="1" applyBorder="1" applyAlignment="1">
      <alignment horizontal="center"/>
    </xf>
    <xf numFmtId="0" fontId="10" fillId="169" borderId="13" xfId="0" applyFont="1" applyFill="1" applyBorder="1" applyAlignment="1">
      <alignment horizontal="center"/>
    </xf>
    <xf numFmtId="0" fontId="10" fillId="504" borderId="2" xfId="0" applyFont="1" applyFill="1" applyBorder="1" applyAlignment="1">
      <alignment horizontal="center"/>
    </xf>
    <xf numFmtId="0" fontId="10" fillId="186" borderId="2" xfId="0" applyFont="1" applyFill="1" applyBorder="1" applyAlignment="1">
      <alignment horizontal="center"/>
    </xf>
    <xf numFmtId="0" fontId="10" fillId="186" borderId="3" xfId="0" applyFont="1" applyFill="1" applyBorder="1" applyAlignment="1">
      <alignment horizontal="center"/>
    </xf>
    <xf numFmtId="0" fontId="20" fillId="860" borderId="5" xfId="0" applyFont="1" applyFill="1" applyBorder="1" applyAlignment="1">
      <alignment horizontal="center"/>
    </xf>
    <xf numFmtId="0" fontId="10" fillId="799" borderId="2" xfId="0" applyFont="1" applyFill="1" applyBorder="1" applyAlignment="1">
      <alignment horizontal="center"/>
    </xf>
    <xf numFmtId="0" fontId="10" fillId="546" borderId="2" xfId="0" applyFont="1" applyFill="1" applyBorder="1" applyAlignment="1">
      <alignment horizontal="center"/>
    </xf>
    <xf numFmtId="164" fontId="10" fillId="216" borderId="1" xfId="0" applyNumberFormat="1" applyFont="1" applyFill="1" applyBorder="1" applyAlignment="1">
      <alignment horizontal="center"/>
    </xf>
    <xf numFmtId="0" fontId="10" fillId="264" borderId="1" xfId="0" applyFont="1" applyFill="1" applyBorder="1" applyAlignment="1">
      <alignment horizontal="center"/>
    </xf>
    <xf numFmtId="0" fontId="10" fillId="332" borderId="1" xfId="0" applyFont="1" applyFill="1" applyBorder="1" applyAlignment="1">
      <alignment horizontal="center"/>
    </xf>
    <xf numFmtId="9" fontId="10" fillId="279" borderId="4" xfId="0" applyNumberFormat="1" applyFont="1" applyFill="1" applyBorder="1" applyAlignment="1">
      <alignment horizontal="center"/>
    </xf>
    <xf numFmtId="0" fontId="10" fillId="127" borderId="4" xfId="0" applyFont="1" applyFill="1" applyBorder="1" applyAlignment="1">
      <alignment horizontal="center"/>
    </xf>
    <xf numFmtId="0" fontId="10" fillId="412" borderId="1" xfId="0" applyFont="1" applyFill="1" applyBorder="1" applyAlignment="1">
      <alignment horizontal="center"/>
    </xf>
    <xf numFmtId="9" fontId="10" fillId="21" borderId="1" xfId="0" applyNumberFormat="1" applyFont="1" applyFill="1" applyBorder="1" applyAlignment="1">
      <alignment horizontal="center"/>
    </xf>
    <xf numFmtId="0" fontId="10" fillId="15" borderId="4" xfId="0" applyFont="1" applyFill="1" applyBorder="1" applyAlignment="1">
      <alignment horizontal="center"/>
    </xf>
    <xf numFmtId="10" fontId="10" fillId="35" borderId="1" xfId="0" applyNumberFormat="1" applyFont="1" applyFill="1" applyBorder="1" applyAlignment="1">
      <alignment horizontal="center"/>
    </xf>
    <xf numFmtId="10" fontId="10" fillId="27" borderId="1" xfId="0" applyNumberFormat="1" applyFont="1" applyFill="1" applyBorder="1" applyAlignment="1">
      <alignment horizontal="center"/>
    </xf>
    <xf numFmtId="10" fontId="10" fillId="148" borderId="1" xfId="0" applyNumberFormat="1" applyFont="1" applyFill="1" applyBorder="1" applyAlignment="1">
      <alignment horizontal="center"/>
    </xf>
    <xf numFmtId="10" fontId="10" fillId="362" borderId="4" xfId="0" applyNumberFormat="1" applyFont="1" applyFill="1" applyBorder="1" applyAlignment="1">
      <alignment horizontal="center"/>
    </xf>
    <xf numFmtId="0" fontId="10" fillId="316" borderId="16" xfId="0" applyFont="1" applyFill="1" applyBorder="1" applyAlignment="1">
      <alignment horizontal="center"/>
    </xf>
    <xf numFmtId="0" fontId="10" fillId="544" borderId="1" xfId="0" applyFont="1" applyFill="1" applyBorder="1" applyAlignment="1">
      <alignment horizontal="center"/>
    </xf>
    <xf numFmtId="0" fontId="10" fillId="856" borderId="1" xfId="0" applyFont="1" applyFill="1" applyBorder="1" applyAlignment="1">
      <alignment horizontal="center"/>
    </xf>
    <xf numFmtId="0" fontId="10" fillId="856" borderId="4" xfId="0" applyFont="1" applyFill="1" applyBorder="1" applyAlignment="1">
      <alignment horizontal="center"/>
    </xf>
    <xf numFmtId="0" fontId="20" fillId="860" borderId="4" xfId="0" applyFont="1" applyFill="1" applyBorder="1" applyAlignment="1">
      <alignment horizontal="center"/>
    </xf>
    <xf numFmtId="0" fontId="10" fillId="253" borderId="1" xfId="0" applyFont="1" applyFill="1" applyBorder="1" applyAlignment="1">
      <alignment horizontal="center"/>
    </xf>
    <xf numFmtId="0" fontId="10" fillId="546" borderId="1" xfId="0" applyFont="1" applyFill="1" applyBorder="1" applyAlignment="1">
      <alignment horizontal="center"/>
    </xf>
    <xf numFmtId="0" fontId="10" fillId="861" borderId="1" xfId="0" applyFont="1" applyFill="1" applyBorder="1" applyAlignment="1">
      <alignment horizontal="center"/>
    </xf>
    <xf numFmtId="0" fontId="10" fillId="379" borderId="4" xfId="0" applyFont="1" applyFill="1" applyBorder="1" applyAlignment="1">
      <alignment horizontal="center"/>
    </xf>
    <xf numFmtId="164" fontId="10" fillId="307" borderId="2" xfId="0" applyNumberFormat="1" applyFont="1" applyFill="1" applyBorder="1" applyAlignment="1">
      <alignment horizontal="center"/>
    </xf>
    <xf numFmtId="0" fontId="10" fillId="127" borderId="2" xfId="0" applyFont="1" applyFill="1" applyBorder="1" applyAlignment="1">
      <alignment horizontal="center"/>
    </xf>
    <xf numFmtId="0" fontId="10" fillId="291" borderId="2" xfId="0" applyFont="1" applyFill="1" applyBorder="1" applyAlignment="1">
      <alignment horizontal="center"/>
    </xf>
    <xf numFmtId="9" fontId="10" fillId="487" borderId="3" xfId="0" applyNumberFormat="1" applyFont="1" applyFill="1" applyBorder="1" applyAlignment="1">
      <alignment horizontal="center"/>
    </xf>
    <xf numFmtId="0" fontId="10" fillId="149" borderId="3" xfId="0" applyFont="1" applyFill="1" applyBorder="1" applyAlignment="1">
      <alignment horizontal="center"/>
    </xf>
    <xf numFmtId="10" fontId="10" fillId="597" borderId="2" xfId="0" applyNumberFormat="1" applyFont="1" applyFill="1" applyBorder="1" applyAlignment="1">
      <alignment horizontal="center"/>
    </xf>
    <xf numFmtId="10" fontId="10" fillId="248" borderId="3" xfId="0" applyNumberFormat="1" applyFont="1" applyFill="1" applyBorder="1" applyAlignment="1">
      <alignment horizontal="center"/>
    </xf>
    <xf numFmtId="0" fontId="10" fillId="355" borderId="13" xfId="0" applyFont="1" applyFill="1" applyBorder="1" applyAlignment="1">
      <alignment horizontal="center"/>
    </xf>
    <xf numFmtId="0" fontId="10" fillId="102" borderId="2" xfId="0" applyFont="1" applyFill="1" applyBorder="1" applyAlignment="1">
      <alignment horizontal="center"/>
    </xf>
    <xf numFmtId="0" fontId="20" fillId="483" borderId="5" xfId="0" applyFont="1" applyFill="1" applyBorder="1" applyAlignment="1">
      <alignment horizontal="center"/>
    </xf>
    <xf numFmtId="0" fontId="10" fillId="862" borderId="2" xfId="0" applyFont="1" applyFill="1" applyBorder="1" applyAlignment="1">
      <alignment horizontal="center"/>
    </xf>
    <xf numFmtId="0" fontId="10" fillId="510" borderId="2" xfId="0" applyFont="1" applyFill="1" applyBorder="1" applyAlignment="1">
      <alignment horizontal="center"/>
    </xf>
    <xf numFmtId="0" fontId="10" fillId="104" borderId="3" xfId="0" applyFont="1" applyFill="1" applyBorder="1" applyAlignment="1">
      <alignment horizontal="center"/>
    </xf>
    <xf numFmtId="164" fontId="10" fillId="320" borderId="1" xfId="0" applyNumberFormat="1" applyFont="1" applyFill="1" applyBorder="1" applyAlignment="1">
      <alignment horizontal="center"/>
    </xf>
    <xf numFmtId="0" fontId="10" fillId="444" borderId="1" xfId="0" applyFont="1" applyFill="1" applyBorder="1" applyAlignment="1">
      <alignment horizontal="center"/>
    </xf>
    <xf numFmtId="0" fontId="10" fillId="455" borderId="1" xfId="0" applyFont="1" applyFill="1" applyBorder="1" applyAlignment="1">
      <alignment horizontal="center"/>
    </xf>
    <xf numFmtId="9" fontId="10" fillId="344" borderId="1" xfId="0" applyNumberFormat="1" applyFont="1" applyFill="1" applyBorder="1" applyAlignment="1">
      <alignment horizontal="center"/>
    </xf>
    <xf numFmtId="10" fontId="10" fillId="342" borderId="1" xfId="0" applyNumberFormat="1" applyFont="1" applyFill="1" applyBorder="1" applyAlignment="1">
      <alignment horizontal="center"/>
    </xf>
    <xf numFmtId="10" fontId="10" fillId="335" borderId="4" xfId="0" applyNumberFormat="1" applyFont="1" applyFill="1" applyBorder="1" applyAlignment="1">
      <alignment horizontal="center"/>
    </xf>
    <xf numFmtId="0" fontId="20" fillId="483" borderId="4" xfId="0" applyFont="1" applyFill="1" applyBorder="1" applyAlignment="1">
      <alignment horizontal="center"/>
    </xf>
    <xf numFmtId="164" fontId="10" fillId="160" borderId="2" xfId="0" applyNumberFormat="1" applyFont="1" applyFill="1" applyBorder="1" applyAlignment="1">
      <alignment horizontal="center"/>
    </xf>
    <xf numFmtId="0" fontId="10" fillId="487" borderId="2" xfId="0" applyFont="1" applyFill="1" applyBorder="1" applyAlignment="1">
      <alignment horizontal="center"/>
    </xf>
    <xf numFmtId="9" fontId="10" fillId="863" borderId="2" xfId="0" applyNumberFormat="1" applyFont="1" applyFill="1" applyBorder="1" applyAlignment="1">
      <alignment horizontal="center"/>
    </xf>
    <xf numFmtId="9" fontId="10" fillId="20" borderId="3" xfId="0" applyNumberFormat="1" applyFont="1" applyFill="1" applyBorder="1" applyAlignment="1">
      <alignment horizontal="center"/>
    </xf>
    <xf numFmtId="0" fontId="10" fillId="255" borderId="3" xfId="0" applyFont="1" applyFill="1" applyBorder="1" applyAlignment="1">
      <alignment horizontal="center"/>
    </xf>
    <xf numFmtId="0" fontId="10" fillId="121" borderId="2" xfId="0" applyFont="1" applyFill="1" applyBorder="1" applyAlignment="1">
      <alignment horizontal="center"/>
    </xf>
    <xf numFmtId="9" fontId="10" fillId="60" borderId="2" xfId="0" applyNumberFormat="1" applyFont="1" applyFill="1" applyBorder="1" applyAlignment="1">
      <alignment horizontal="center"/>
    </xf>
    <xf numFmtId="9" fontId="10" fillId="357" borderId="2" xfId="0" applyNumberFormat="1" applyFont="1" applyFill="1" applyBorder="1" applyAlignment="1">
      <alignment horizontal="center"/>
    </xf>
    <xf numFmtId="0" fontId="10" fillId="100" borderId="3" xfId="0" applyFont="1" applyFill="1" applyBorder="1" applyAlignment="1">
      <alignment horizontal="center"/>
    </xf>
    <xf numFmtId="10" fontId="10" fillId="114" borderId="2" xfId="0" applyNumberFormat="1" applyFont="1" applyFill="1" applyBorder="1" applyAlignment="1">
      <alignment horizontal="center"/>
    </xf>
    <xf numFmtId="10" fontId="10" fillId="29" borderId="2" xfId="0" applyNumberFormat="1" applyFont="1" applyFill="1" applyBorder="1" applyAlignment="1">
      <alignment horizontal="center"/>
    </xf>
    <xf numFmtId="10" fontId="10" fillId="169" borderId="2" xfId="0" applyNumberFormat="1" applyFont="1" applyFill="1" applyBorder="1" applyAlignment="1">
      <alignment horizontal="center"/>
    </xf>
    <xf numFmtId="10" fontId="10" fillId="76" borderId="3" xfId="0" applyNumberFormat="1" applyFont="1" applyFill="1" applyBorder="1" applyAlignment="1">
      <alignment horizontal="center"/>
    </xf>
    <xf numFmtId="0" fontId="10" fillId="130" borderId="13" xfId="0" applyFont="1" applyFill="1" applyBorder="1" applyAlignment="1">
      <alignment horizontal="center"/>
    </xf>
    <xf numFmtId="0" fontId="10" fillId="775" borderId="2" xfId="0" applyFont="1" applyFill="1" applyBorder="1" applyAlignment="1">
      <alignment horizontal="center"/>
    </xf>
    <xf numFmtId="0" fontId="10" fillId="785" borderId="2" xfId="0" applyFont="1" applyFill="1" applyBorder="1" applyAlignment="1">
      <alignment horizontal="center"/>
    </xf>
    <xf numFmtId="0" fontId="10" fillId="785" borderId="3" xfId="0" applyFont="1" applyFill="1" applyBorder="1" applyAlignment="1">
      <alignment horizontal="center"/>
    </xf>
    <xf numFmtId="0" fontId="10" fillId="653" borderId="2" xfId="0" applyFont="1" applyFill="1" applyBorder="1" applyAlignment="1">
      <alignment horizontal="center"/>
    </xf>
    <xf numFmtId="0" fontId="10" fillId="539" borderId="2" xfId="0" applyFont="1" applyFill="1" applyBorder="1" applyAlignment="1">
      <alignment horizontal="center"/>
    </xf>
    <xf numFmtId="0" fontId="10" fillId="755" borderId="2" xfId="0" applyFont="1" applyFill="1" applyBorder="1" applyAlignment="1">
      <alignment horizontal="center"/>
    </xf>
    <xf numFmtId="164" fontId="10" fillId="332" borderId="1" xfId="0" applyNumberFormat="1" applyFont="1" applyFill="1" applyBorder="1" applyAlignment="1">
      <alignment horizontal="center"/>
    </xf>
    <xf numFmtId="9" fontId="10" fillId="35" borderId="1" xfId="0" applyNumberFormat="1" applyFont="1" applyFill="1" applyBorder="1" applyAlignment="1">
      <alignment horizontal="center"/>
    </xf>
    <xf numFmtId="0" fontId="10" fillId="864" borderId="1" xfId="0" applyFont="1" applyFill="1" applyBorder="1" applyAlignment="1">
      <alignment horizontal="center"/>
    </xf>
    <xf numFmtId="9" fontId="10" fillId="589" borderId="4" xfId="0" applyNumberFormat="1" applyFont="1" applyFill="1" applyBorder="1" applyAlignment="1">
      <alignment horizontal="center"/>
    </xf>
    <xf numFmtId="9" fontId="10" fillId="27" borderId="1" xfId="0" applyNumberFormat="1" applyFont="1" applyFill="1" applyBorder="1" applyAlignment="1">
      <alignment horizontal="center"/>
    </xf>
    <xf numFmtId="9" fontId="10" fillId="477" borderId="1" xfId="0" applyNumberFormat="1" applyFont="1" applyFill="1" applyBorder="1" applyAlignment="1">
      <alignment horizontal="center"/>
    </xf>
    <xf numFmtId="0" fontId="10" fillId="570" borderId="4" xfId="0" applyFont="1" applyFill="1" applyBorder="1" applyAlignment="1">
      <alignment horizontal="center"/>
    </xf>
    <xf numFmtId="10" fontId="10" fillId="354" borderId="1" xfId="0" applyNumberFormat="1" applyFont="1" applyFill="1" applyBorder="1" applyAlignment="1">
      <alignment horizontal="center"/>
    </xf>
    <xf numFmtId="10" fontId="10" fillId="525" borderId="1" xfId="0" applyNumberFormat="1" applyFont="1" applyFill="1" applyBorder="1" applyAlignment="1">
      <alignment horizontal="center"/>
    </xf>
    <xf numFmtId="10" fontId="10" fillId="169" borderId="4" xfId="0" applyNumberFormat="1" applyFont="1" applyFill="1" applyBorder="1" applyAlignment="1">
      <alignment horizontal="center"/>
    </xf>
    <xf numFmtId="0" fontId="10" fillId="87" borderId="1" xfId="0" applyFont="1" applyFill="1" applyBorder="1" applyAlignment="1">
      <alignment horizontal="center"/>
    </xf>
    <xf numFmtId="0" fontId="10" fillId="795" borderId="4" xfId="0" applyFont="1" applyFill="1" applyBorder="1" applyAlignment="1">
      <alignment horizontal="center"/>
    </xf>
    <xf numFmtId="0" fontId="10" fillId="510" borderId="1" xfId="0" applyFont="1" applyFill="1" applyBorder="1" applyAlignment="1">
      <alignment horizontal="center"/>
    </xf>
    <xf numFmtId="0" fontId="10" fillId="796" borderId="1" xfId="0" applyFont="1" applyFill="1" applyBorder="1" applyAlignment="1">
      <alignment horizontal="center"/>
    </xf>
    <xf numFmtId="0" fontId="10" fillId="865" borderId="1" xfId="0" applyFont="1" applyFill="1" applyBorder="1" applyAlignment="1">
      <alignment horizontal="center"/>
    </xf>
    <xf numFmtId="0" fontId="10" fillId="673" borderId="4" xfId="0" applyFont="1" applyFill="1" applyBorder="1" applyAlignment="1">
      <alignment horizontal="center"/>
    </xf>
    <xf numFmtId="164" fontId="10" fillId="375" borderId="2" xfId="0" applyNumberFormat="1" applyFont="1" applyFill="1" applyBorder="1" applyAlignment="1">
      <alignment horizontal="center"/>
    </xf>
    <xf numFmtId="0" fontId="10" fillId="21" borderId="2" xfId="0" applyFont="1" applyFill="1" applyBorder="1" applyAlignment="1">
      <alignment horizontal="center"/>
    </xf>
    <xf numFmtId="9" fontId="10" fillId="316" borderId="2" xfId="0" applyNumberFormat="1" applyFont="1" applyFill="1" applyBorder="1" applyAlignment="1">
      <alignment horizontal="center"/>
    </xf>
    <xf numFmtId="0" fontId="10" fillId="507" borderId="2" xfId="0" applyFont="1" applyFill="1" applyBorder="1" applyAlignment="1">
      <alignment horizontal="center"/>
    </xf>
    <xf numFmtId="9" fontId="10" fillId="589" borderId="3" xfId="0" applyNumberFormat="1" applyFont="1" applyFill="1" applyBorder="1" applyAlignment="1">
      <alignment horizontal="center"/>
    </xf>
    <xf numFmtId="0" fontId="10" fillId="311" borderId="3" xfId="0" applyFont="1" applyFill="1" applyBorder="1" applyAlignment="1">
      <alignment horizontal="center"/>
    </xf>
    <xf numFmtId="9" fontId="10" fillId="40" borderId="2" xfId="0" applyNumberFormat="1" applyFont="1" applyFill="1" applyBorder="1" applyAlignment="1">
      <alignment horizontal="center"/>
    </xf>
    <xf numFmtId="0" fontId="10" fillId="110" borderId="3" xfId="0" applyFont="1" applyFill="1" applyBorder="1" applyAlignment="1">
      <alignment horizontal="center"/>
    </xf>
    <xf numFmtId="10" fontId="10" fillId="98" borderId="2" xfId="0" applyNumberFormat="1" applyFont="1" applyFill="1" applyBorder="1" applyAlignment="1">
      <alignment horizontal="center"/>
    </xf>
    <xf numFmtId="10" fontId="10" fillId="50" borderId="2" xfId="0" applyNumberFormat="1" applyFont="1" applyFill="1" applyBorder="1" applyAlignment="1">
      <alignment horizontal="center"/>
    </xf>
    <xf numFmtId="10" fontId="10" fillId="99" borderId="2" xfId="0" applyNumberFormat="1" applyFont="1" applyFill="1" applyBorder="1" applyAlignment="1">
      <alignment horizontal="center"/>
    </xf>
    <xf numFmtId="0" fontId="10" fillId="765" borderId="2" xfId="0" applyFont="1" applyFill="1" applyBorder="1" applyAlignment="1">
      <alignment horizontal="center"/>
    </xf>
    <xf numFmtId="0" fontId="10" fillId="823" borderId="2" xfId="0" applyFont="1" applyFill="1" applyBorder="1" applyAlignment="1">
      <alignment horizontal="center"/>
    </xf>
    <xf numFmtId="0" fontId="20" fillId="189" borderId="5" xfId="0" applyFont="1" applyFill="1" applyBorder="1" applyAlignment="1">
      <alignment horizontal="center"/>
    </xf>
    <xf numFmtId="0" fontId="10" fillId="516" borderId="2" xfId="0" applyFont="1" applyFill="1" applyBorder="1" applyAlignment="1">
      <alignment horizontal="center"/>
    </xf>
    <xf numFmtId="0" fontId="10" fillId="767" borderId="2" xfId="0" applyFont="1" applyFill="1" applyBorder="1" applyAlignment="1">
      <alignment horizontal="center"/>
    </xf>
    <xf numFmtId="0" fontId="10" fillId="866" borderId="2" xfId="0" applyFont="1" applyFill="1" applyBorder="1" applyAlignment="1">
      <alignment horizontal="center"/>
    </xf>
    <xf numFmtId="0" fontId="10" fillId="867" borderId="3" xfId="0" applyFont="1" applyFill="1" applyBorder="1" applyAlignment="1">
      <alignment horizontal="center"/>
    </xf>
    <xf numFmtId="164" fontId="10" fillId="369" borderId="1" xfId="0" applyNumberFormat="1" applyFont="1" applyFill="1" applyBorder="1" applyAlignment="1">
      <alignment horizontal="center"/>
    </xf>
    <xf numFmtId="0" fontId="10" fillId="150" borderId="1" xfId="0" applyFont="1" applyFill="1" applyBorder="1" applyAlignment="1">
      <alignment horizontal="center"/>
    </xf>
    <xf numFmtId="9" fontId="10" fillId="863" borderId="1" xfId="0" applyNumberFormat="1" applyFont="1" applyFill="1" applyBorder="1" applyAlignment="1">
      <alignment horizontal="center"/>
    </xf>
    <xf numFmtId="0" fontId="10" fillId="201" borderId="1" xfId="0" applyFont="1" applyFill="1" applyBorder="1" applyAlignment="1">
      <alignment horizontal="center"/>
    </xf>
    <xf numFmtId="9" fontId="10" fillId="446" borderId="4" xfId="0" applyNumberFormat="1" applyFont="1" applyFill="1" applyBorder="1" applyAlignment="1">
      <alignment horizontal="center"/>
    </xf>
    <xf numFmtId="0" fontId="10" fillId="487" borderId="4" xfId="0" applyFont="1" applyFill="1" applyBorder="1" applyAlignment="1">
      <alignment horizontal="center"/>
    </xf>
    <xf numFmtId="10" fontId="10" fillId="77" borderId="1" xfId="0" applyNumberFormat="1" applyFont="1" applyFill="1" applyBorder="1" applyAlignment="1">
      <alignment horizontal="center"/>
    </xf>
    <xf numFmtId="10" fontId="10" fillId="216" borderId="4" xfId="0" applyNumberFormat="1" applyFont="1" applyFill="1" applyBorder="1" applyAlignment="1">
      <alignment horizontal="center"/>
    </xf>
    <xf numFmtId="0" fontId="10" fillId="706" borderId="1" xfId="0" applyFont="1" applyFill="1" applyBorder="1" applyAlignment="1">
      <alignment horizontal="center"/>
    </xf>
    <xf numFmtId="0" fontId="10" fillId="674" borderId="1" xfId="0" applyFont="1" applyFill="1" applyBorder="1" applyAlignment="1">
      <alignment horizontal="center"/>
    </xf>
    <xf numFmtId="0" fontId="10" fillId="674" borderId="4" xfId="0" applyFont="1" applyFill="1" applyBorder="1" applyAlignment="1">
      <alignment horizontal="center"/>
    </xf>
    <xf numFmtId="0" fontId="20" fillId="189" borderId="4" xfId="0" applyFont="1" applyFill="1" applyBorder="1" applyAlignment="1">
      <alignment horizontal="center"/>
    </xf>
    <xf numFmtId="0" fontId="10" fillId="516" borderId="1" xfId="0" applyFont="1" applyFill="1" applyBorder="1" applyAlignment="1">
      <alignment horizontal="center"/>
    </xf>
    <xf numFmtId="0" fontId="10" fillId="868" borderId="1" xfId="0" applyFont="1" applyFill="1" applyBorder="1" applyAlignment="1">
      <alignment horizontal="center"/>
    </xf>
    <xf numFmtId="0" fontId="10" fillId="405" borderId="4" xfId="0" applyFont="1" applyFill="1" applyBorder="1" applyAlignment="1">
      <alignment horizontal="center"/>
    </xf>
    <xf numFmtId="0" fontId="10" fillId="124" borderId="2" xfId="0" applyFont="1" applyFill="1" applyBorder="1" applyAlignment="1">
      <alignment horizontal="center"/>
    </xf>
    <xf numFmtId="9" fontId="10" fillId="500" borderId="2" xfId="0" applyNumberFormat="1" applyFont="1" applyFill="1" applyBorder="1" applyAlignment="1">
      <alignment horizontal="center"/>
    </xf>
    <xf numFmtId="0" fontId="10" fillId="869" borderId="2" xfId="0" applyFont="1" applyFill="1" applyBorder="1" applyAlignment="1">
      <alignment horizontal="center"/>
    </xf>
    <xf numFmtId="0" fontId="10" fillId="602" borderId="3" xfId="0" applyFont="1" applyFill="1" applyBorder="1" applyAlignment="1">
      <alignment horizontal="center"/>
    </xf>
    <xf numFmtId="0" fontId="10" fillId="642" borderId="2" xfId="0" applyFont="1" applyFill="1" applyBorder="1" applyAlignment="1">
      <alignment horizontal="center"/>
    </xf>
    <xf numFmtId="0" fontId="10" fillId="249" borderId="3" xfId="0" applyFont="1" applyFill="1" applyBorder="1" applyAlignment="1">
      <alignment horizontal="center"/>
    </xf>
    <xf numFmtId="10" fontId="10" fillId="834" borderId="2" xfId="0" applyNumberFormat="1" applyFont="1" applyFill="1" applyBorder="1" applyAlignment="1">
      <alignment horizontal="center"/>
    </xf>
    <xf numFmtId="10" fontId="10" fillId="308" borderId="2" xfId="0" applyNumberFormat="1" applyFont="1" applyFill="1" applyBorder="1" applyAlignment="1">
      <alignment horizontal="center"/>
    </xf>
    <xf numFmtId="10" fontId="10" fillId="163" borderId="3" xfId="0" applyNumberFormat="1" applyFont="1" applyFill="1" applyBorder="1" applyAlignment="1">
      <alignment horizontal="center"/>
    </xf>
    <xf numFmtId="0" fontId="10" fillId="357" borderId="13" xfId="0" applyFont="1" applyFill="1" applyBorder="1" applyAlignment="1">
      <alignment horizontal="center"/>
    </xf>
    <xf numFmtId="0" fontId="10" fillId="264" borderId="4" xfId="0" applyFont="1" applyFill="1" applyBorder="1" applyAlignment="1">
      <alignment horizontal="center"/>
    </xf>
    <xf numFmtId="10" fontId="10" fillId="633" borderId="1" xfId="0" applyNumberFormat="1" applyFont="1" applyFill="1" applyBorder="1" applyAlignment="1">
      <alignment horizontal="center"/>
    </xf>
    <xf numFmtId="10" fontId="10" fillId="203" borderId="1" xfId="0" applyNumberFormat="1" applyFont="1" applyFill="1" applyBorder="1" applyAlignment="1">
      <alignment horizontal="center"/>
    </xf>
    <xf numFmtId="0" fontId="10" fillId="803" borderId="16" xfId="0" applyFont="1" applyFill="1" applyBorder="1" applyAlignment="1">
      <alignment horizontal="center"/>
    </xf>
    <xf numFmtId="0" fontId="10" fillId="417" borderId="4" xfId="0" applyFont="1" applyFill="1" applyBorder="1" applyAlignment="1">
      <alignment horizontal="center"/>
    </xf>
    <xf numFmtId="0" fontId="10" fillId="870" borderId="1" xfId="0" applyFont="1" applyFill="1" applyBorder="1" applyAlignment="1">
      <alignment horizontal="center"/>
    </xf>
    <xf numFmtId="164" fontId="10" fillId="30" borderId="2" xfId="0" applyNumberFormat="1" applyFont="1" applyFill="1" applyBorder="1" applyAlignment="1">
      <alignment horizontal="center"/>
    </xf>
    <xf numFmtId="0" fontId="10" fillId="553" borderId="2" xfId="0" applyFont="1" applyFill="1" applyBorder="1" applyAlignment="1">
      <alignment horizontal="center"/>
    </xf>
    <xf numFmtId="9" fontId="10" fillId="150" borderId="3" xfId="0" applyNumberFormat="1" applyFont="1" applyFill="1" applyBorder="1" applyAlignment="1">
      <alignment horizontal="center"/>
    </xf>
    <xf numFmtId="0" fontId="10" fillId="769" borderId="3" xfId="0" applyFont="1" applyFill="1" applyBorder="1" applyAlignment="1">
      <alignment horizontal="center"/>
    </xf>
    <xf numFmtId="10" fontId="10" fillId="97" borderId="2" xfId="0" applyNumberFormat="1" applyFont="1" applyFill="1" applyBorder="1" applyAlignment="1">
      <alignment horizontal="center"/>
    </xf>
    <xf numFmtId="10" fontId="10" fillId="448" borderId="3" xfId="0" applyNumberFormat="1" applyFont="1" applyFill="1" applyBorder="1" applyAlignment="1">
      <alignment horizontal="center"/>
    </xf>
    <xf numFmtId="0" fontId="10" fillId="553" borderId="13" xfId="0" applyFont="1" applyFill="1" applyBorder="1" applyAlignment="1">
      <alignment horizontal="center"/>
    </xf>
    <xf numFmtId="0" fontId="10" fillId="554" borderId="2" xfId="0" applyFont="1" applyFill="1" applyBorder="1" applyAlignment="1">
      <alignment horizontal="center"/>
    </xf>
    <xf numFmtId="0" fontId="10" fillId="653" borderId="3" xfId="0" applyFont="1" applyFill="1" applyBorder="1" applyAlignment="1">
      <alignment horizontal="center"/>
    </xf>
    <xf numFmtId="0" fontId="10" fillId="276" borderId="2" xfId="0" applyFont="1" applyFill="1" applyBorder="1" applyAlignment="1">
      <alignment horizontal="center"/>
    </xf>
    <xf numFmtId="0" fontId="10" fillId="703" borderId="2" xfId="0" applyFont="1" applyFill="1" applyBorder="1" applyAlignment="1">
      <alignment horizontal="center"/>
    </xf>
    <xf numFmtId="0" fontId="10" fillId="871" borderId="2" xfId="0" applyFont="1" applyFill="1" applyBorder="1" applyAlignment="1">
      <alignment horizontal="center"/>
    </xf>
    <xf numFmtId="0" fontId="10" fillId="673" borderId="3" xfId="0" applyFont="1" applyFill="1" applyBorder="1" applyAlignment="1">
      <alignment horizontal="center"/>
    </xf>
    <xf numFmtId="164" fontId="10" fillId="426" borderId="1" xfId="0" applyNumberFormat="1" applyFont="1" applyFill="1" applyBorder="1" applyAlignment="1">
      <alignment horizontal="center"/>
    </xf>
    <xf numFmtId="0" fontId="10" fillId="530" borderId="1" xfId="0" applyFont="1" applyFill="1" applyBorder="1" applyAlignment="1">
      <alignment horizontal="center"/>
    </xf>
    <xf numFmtId="0" fontId="10" fillId="247" borderId="1" xfId="0" applyFont="1" applyFill="1" applyBorder="1" applyAlignment="1">
      <alignment horizontal="center"/>
    </xf>
    <xf numFmtId="9" fontId="10" fillId="148" borderId="4" xfId="0" applyNumberFormat="1" applyFont="1" applyFill="1" applyBorder="1" applyAlignment="1">
      <alignment horizontal="center"/>
    </xf>
    <xf numFmtId="0" fontId="10" fillId="658" borderId="4" xfId="0" applyFont="1" applyFill="1" applyBorder="1" applyAlignment="1">
      <alignment horizontal="center"/>
    </xf>
    <xf numFmtId="10" fontId="10" fillId="286" borderId="1" xfId="0" applyNumberFormat="1" applyFont="1" applyFill="1" applyBorder="1" applyAlignment="1">
      <alignment horizontal="center"/>
    </xf>
    <xf numFmtId="0" fontId="10" fillId="402" borderId="16" xfId="0" applyFont="1" applyFill="1" applyBorder="1" applyAlignment="1">
      <alignment horizontal="center"/>
    </xf>
    <xf numFmtId="0" fontId="10" fillId="64" borderId="4" xfId="0" applyFont="1" applyFill="1" applyBorder="1" applyAlignment="1">
      <alignment horizontal="center"/>
    </xf>
    <xf numFmtId="0" fontId="10" fillId="646" borderId="16" xfId="0" applyFont="1" applyFill="1" applyBorder="1" applyAlignment="1">
      <alignment horizontal="center"/>
    </xf>
    <xf numFmtId="0" fontId="10" fillId="579" borderId="1" xfId="0" applyFont="1" applyFill="1" applyBorder="1" applyAlignment="1">
      <alignment horizontal="center"/>
    </xf>
    <xf numFmtId="0" fontId="10" fillId="579" borderId="4" xfId="0" applyFont="1" applyFill="1" applyBorder="1" applyAlignment="1">
      <alignment horizontal="center"/>
    </xf>
    <xf numFmtId="0" fontId="10" fillId="459" borderId="1" xfId="0" applyFont="1" applyFill="1" applyBorder="1" applyAlignment="1">
      <alignment horizontal="center"/>
    </xf>
    <xf numFmtId="0" fontId="10" fillId="822" borderId="1" xfId="0" applyFont="1" applyFill="1" applyBorder="1" applyAlignment="1">
      <alignment horizontal="center"/>
    </xf>
    <xf numFmtId="0" fontId="10" fillId="872" borderId="1" xfId="0" applyFont="1" applyFill="1" applyBorder="1" applyAlignment="1">
      <alignment horizontal="center"/>
    </xf>
    <xf numFmtId="164" fontId="10" fillId="414" borderId="2" xfId="0" applyNumberFormat="1" applyFont="1" applyFill="1" applyBorder="1" applyAlignment="1">
      <alignment horizontal="center"/>
    </xf>
    <xf numFmtId="0" fontId="10" fillId="35" borderId="2" xfId="0" applyFont="1" applyFill="1" applyBorder="1" applyAlignment="1">
      <alignment horizontal="center"/>
    </xf>
    <xf numFmtId="0" fontId="10" fillId="729" borderId="2" xfId="0" applyFont="1" applyFill="1" applyBorder="1" applyAlignment="1">
      <alignment horizontal="center"/>
    </xf>
    <xf numFmtId="0" fontId="10" fillId="263" borderId="3" xfId="0" applyFont="1" applyFill="1" applyBorder="1" applyAlignment="1">
      <alignment horizontal="center"/>
    </xf>
    <xf numFmtId="9" fontId="10" fillId="342" borderId="2" xfId="0" applyNumberFormat="1" applyFont="1" applyFill="1" applyBorder="1" applyAlignment="1">
      <alignment horizontal="center"/>
    </xf>
    <xf numFmtId="9" fontId="10" fillId="197" borderId="2" xfId="0" applyNumberFormat="1" applyFont="1" applyFill="1" applyBorder="1" applyAlignment="1">
      <alignment horizontal="center"/>
    </xf>
    <xf numFmtId="10" fontId="10" fillId="42" borderId="2" xfId="0" applyNumberFormat="1" applyFont="1" applyFill="1" applyBorder="1" applyAlignment="1">
      <alignment horizontal="center"/>
    </xf>
    <xf numFmtId="10" fontId="10" fillId="203" borderId="2" xfId="0" applyNumberFormat="1" applyFont="1" applyFill="1" applyBorder="1" applyAlignment="1">
      <alignment horizontal="center"/>
    </xf>
    <xf numFmtId="10" fontId="10" fillId="26" borderId="3" xfId="0" applyNumberFormat="1" applyFont="1" applyFill="1" applyBorder="1" applyAlignment="1">
      <alignment horizontal="center"/>
    </xf>
    <xf numFmtId="0" fontId="10" fillId="824" borderId="2" xfId="0" applyFont="1" applyFill="1" applyBorder="1" applyAlignment="1">
      <alignment horizontal="center"/>
    </xf>
    <xf numFmtId="0" fontId="10" fillId="873" borderId="2" xfId="0" applyFont="1" applyFill="1" applyBorder="1" applyAlignment="1">
      <alignment horizontal="center"/>
    </xf>
    <xf numFmtId="0" fontId="10" fillId="873" borderId="3" xfId="0" applyFont="1" applyFill="1" applyBorder="1" applyAlignment="1">
      <alignment horizontal="center"/>
    </xf>
    <xf numFmtId="0" fontId="20" fillId="105" borderId="5" xfId="0" applyFont="1" applyFill="1" applyBorder="1" applyAlignment="1">
      <alignment horizontal="center"/>
    </xf>
    <xf numFmtId="0" fontId="10" fillId="874" borderId="2" xfId="0" applyFont="1" applyFill="1" applyBorder="1" applyAlignment="1">
      <alignment horizontal="center"/>
    </xf>
    <xf numFmtId="164" fontId="10" fillId="417" borderId="1" xfId="0" applyNumberFormat="1" applyFont="1" applyFill="1" applyBorder="1" applyAlignment="1">
      <alignment horizontal="center"/>
    </xf>
    <xf numFmtId="9" fontId="10" fillId="196" borderId="1" xfId="0" applyNumberFormat="1" applyFont="1" applyFill="1" applyBorder="1" applyAlignment="1">
      <alignment horizontal="center"/>
    </xf>
    <xf numFmtId="9" fontId="10" fillId="563" borderId="4" xfId="0" applyNumberFormat="1" applyFont="1" applyFill="1" applyBorder="1" applyAlignment="1">
      <alignment horizontal="center"/>
    </xf>
    <xf numFmtId="10" fontId="10" fillId="98" borderId="1" xfId="0" applyNumberFormat="1" applyFont="1" applyFill="1" applyBorder="1" applyAlignment="1">
      <alignment horizontal="center"/>
    </xf>
    <xf numFmtId="10" fontId="10" fillId="478" borderId="1" xfId="0" applyNumberFormat="1" applyFont="1" applyFill="1" applyBorder="1" applyAlignment="1">
      <alignment horizontal="center"/>
    </xf>
    <xf numFmtId="10" fontId="10" fillId="410" borderId="4" xfId="0" applyNumberFormat="1" applyFont="1" applyFill="1" applyBorder="1" applyAlignment="1">
      <alignment horizontal="center"/>
    </xf>
    <xf numFmtId="0" fontId="10" fillId="875" borderId="1" xfId="0" applyFont="1" applyFill="1" applyBorder="1" applyAlignment="1">
      <alignment horizontal="center"/>
    </xf>
    <xf numFmtId="0" fontId="10" fillId="547" borderId="4" xfId="0" applyFont="1" applyFill="1" applyBorder="1" applyAlignment="1">
      <alignment horizontal="center"/>
    </xf>
    <xf numFmtId="0" fontId="20" fillId="105" borderId="4" xfId="0" applyFont="1" applyFill="1" applyBorder="1" applyAlignment="1">
      <alignment horizontal="center"/>
    </xf>
    <xf numFmtId="0" fontId="10" fillId="862" borderId="1" xfId="0" applyFont="1" applyFill="1" applyBorder="1" applyAlignment="1">
      <alignment horizontal="center"/>
    </xf>
    <xf numFmtId="0" fontId="10" fillId="815" borderId="1" xfId="0" applyFont="1" applyFill="1" applyBorder="1" applyAlignment="1">
      <alignment horizontal="center"/>
    </xf>
    <xf numFmtId="164" fontId="10" fillId="85" borderId="2" xfId="0" applyNumberFormat="1" applyFont="1" applyFill="1" applyBorder="1" applyAlignment="1">
      <alignment horizontal="center"/>
    </xf>
    <xf numFmtId="0" fontId="10" fillId="96" borderId="2" xfId="0" applyFont="1" applyFill="1" applyBorder="1" applyAlignment="1">
      <alignment horizontal="center"/>
    </xf>
    <xf numFmtId="0" fontId="10" fillId="34" borderId="2" xfId="0" applyFont="1" applyFill="1" applyBorder="1" applyAlignment="1">
      <alignment horizontal="center"/>
    </xf>
    <xf numFmtId="9" fontId="10" fillId="563" borderId="3" xfId="0" applyNumberFormat="1" applyFont="1" applyFill="1" applyBorder="1" applyAlignment="1">
      <alignment horizontal="center"/>
    </xf>
    <xf numFmtId="0" fontId="10" fillId="625" borderId="2" xfId="0" applyFont="1" applyFill="1" applyBorder="1" applyAlignment="1">
      <alignment horizontal="center"/>
    </xf>
    <xf numFmtId="10" fontId="10" fillId="435" borderId="2" xfId="0" applyNumberFormat="1" applyFont="1" applyFill="1" applyBorder="1" applyAlignment="1">
      <alignment horizontal="center"/>
    </xf>
    <xf numFmtId="0" fontId="10" fillId="822" borderId="2" xfId="0" applyFont="1" applyFill="1" applyBorder="1" applyAlignment="1">
      <alignment horizontal="center"/>
    </xf>
    <xf numFmtId="0" fontId="10" fillId="319" borderId="2" xfId="0" applyFont="1" applyFill="1" applyBorder="1" applyAlignment="1">
      <alignment horizontal="center"/>
    </xf>
    <xf numFmtId="0" fontId="10" fillId="319" borderId="3" xfId="0" applyFont="1" applyFill="1" applyBorder="1" applyAlignment="1">
      <alignment horizontal="center"/>
    </xf>
    <xf numFmtId="0" fontId="20" fillId="689" borderId="5" xfId="0" applyFont="1" applyFill="1" applyBorder="1" applyAlignment="1">
      <alignment horizontal="center"/>
    </xf>
    <xf numFmtId="0" fontId="10" fillId="686" borderId="2" xfId="0" applyFont="1" applyFill="1" applyBorder="1" applyAlignment="1">
      <alignment horizontal="center"/>
    </xf>
    <xf numFmtId="0" fontId="10" fillId="876" borderId="3" xfId="0" applyFont="1" applyFill="1" applyBorder="1" applyAlignment="1">
      <alignment horizontal="center"/>
    </xf>
    <xf numFmtId="164" fontId="10" fillId="441" borderId="1" xfId="0" applyNumberFormat="1" applyFont="1" applyFill="1" applyBorder="1" applyAlignment="1">
      <alignment horizontal="center"/>
    </xf>
    <xf numFmtId="0" fontId="10" fillId="272" borderId="1" xfId="0" applyFont="1" applyFill="1" applyBorder="1" applyAlignment="1">
      <alignment horizontal="center"/>
    </xf>
    <xf numFmtId="9" fontId="10" fillId="24" borderId="4" xfId="0" applyNumberFormat="1" applyFont="1" applyFill="1" applyBorder="1" applyAlignment="1">
      <alignment horizontal="center"/>
    </xf>
    <xf numFmtId="10" fontId="10" fillId="834" borderId="1" xfId="0" applyNumberFormat="1" applyFont="1" applyFill="1" applyBorder="1" applyAlignment="1">
      <alignment horizontal="center"/>
    </xf>
    <xf numFmtId="10" fontId="10" fillId="308" borderId="1" xfId="0" applyNumberFormat="1" applyFont="1" applyFill="1" applyBorder="1" applyAlignment="1">
      <alignment horizontal="center"/>
    </xf>
    <xf numFmtId="10" fontId="10" fillId="278" borderId="4" xfId="0" applyNumberFormat="1" applyFont="1" applyFill="1" applyBorder="1" applyAlignment="1">
      <alignment horizontal="center"/>
    </xf>
    <xf numFmtId="0" fontId="10" fillId="357" borderId="16" xfId="0" applyFont="1" applyFill="1" applyBorder="1" applyAlignment="1">
      <alignment horizontal="center"/>
    </xf>
    <xf numFmtId="0" fontId="10" fillId="877" borderId="1" xfId="0" applyFont="1" applyFill="1" applyBorder="1" applyAlignment="1">
      <alignment horizontal="center"/>
    </xf>
    <xf numFmtId="0" fontId="10" fillId="237" borderId="1" xfId="0" applyFont="1" applyFill="1" applyBorder="1" applyAlignment="1">
      <alignment horizontal="center"/>
    </xf>
    <xf numFmtId="0" fontId="10" fillId="237" borderId="4" xfId="0" applyFont="1" applyFill="1" applyBorder="1" applyAlignment="1">
      <alignment horizontal="center"/>
    </xf>
    <xf numFmtId="0" fontId="20" fillId="689" borderId="4" xfId="0" applyFont="1" applyFill="1" applyBorder="1" applyAlignment="1">
      <alignment horizontal="center"/>
    </xf>
    <xf numFmtId="0" fontId="10" fillId="784" borderId="1" xfId="0" applyFont="1" applyFill="1" applyBorder="1" applyAlignment="1">
      <alignment horizontal="center"/>
    </xf>
    <xf numFmtId="0" fontId="10" fillId="878" borderId="4" xfId="0" applyFont="1" applyFill="1" applyBorder="1" applyAlignment="1">
      <alignment horizontal="center"/>
    </xf>
    <xf numFmtId="164" fontId="10" fillId="432" borderId="2" xfId="0" applyNumberFormat="1" applyFont="1" applyFill="1" applyBorder="1" applyAlignment="1">
      <alignment horizontal="center"/>
    </xf>
    <xf numFmtId="9" fontId="10" fillId="127" borderId="2" xfId="0" applyNumberFormat="1" applyFont="1" applyFill="1" applyBorder="1" applyAlignment="1">
      <alignment horizontal="center"/>
    </xf>
    <xf numFmtId="9" fontId="10" fillId="529" borderId="3" xfId="0" applyNumberFormat="1" applyFont="1" applyFill="1" applyBorder="1" applyAlignment="1">
      <alignment horizontal="center"/>
    </xf>
    <xf numFmtId="0" fontId="10" fillId="194" borderId="3" xfId="0" applyFont="1" applyFill="1" applyBorder="1" applyAlignment="1">
      <alignment horizontal="center"/>
    </xf>
    <xf numFmtId="10" fontId="10" fillId="334" borderId="2" xfId="0" applyNumberFormat="1" applyFont="1" applyFill="1" applyBorder="1" applyAlignment="1">
      <alignment horizontal="center"/>
    </xf>
    <xf numFmtId="10" fontId="10" fillId="401" borderId="2" xfId="0" applyNumberFormat="1" applyFont="1" applyFill="1" applyBorder="1" applyAlignment="1">
      <alignment horizontal="center"/>
    </xf>
    <xf numFmtId="10" fontId="10" fillId="128" borderId="3" xfId="0" applyNumberFormat="1" applyFont="1" applyFill="1" applyBorder="1" applyAlignment="1">
      <alignment horizontal="center"/>
    </xf>
    <xf numFmtId="0" fontId="10" fillId="852" borderId="2" xfId="0" applyFont="1" applyFill="1" applyBorder="1" applyAlignment="1">
      <alignment horizontal="center"/>
    </xf>
    <xf numFmtId="0" fontId="10" fillId="878" borderId="2" xfId="0" applyFont="1" applyFill="1" applyBorder="1" applyAlignment="1">
      <alignment horizontal="center"/>
    </xf>
    <xf numFmtId="0" fontId="10" fillId="878" borderId="3" xfId="0" applyFont="1" applyFill="1" applyBorder="1" applyAlignment="1">
      <alignment horizontal="center"/>
    </xf>
    <xf numFmtId="0" fontId="10" fillId="835" borderId="2" xfId="0" applyFont="1" applyFill="1" applyBorder="1" applyAlignment="1">
      <alignment horizontal="center"/>
    </xf>
    <xf numFmtId="0" fontId="10" fillId="428" borderId="2" xfId="0" applyFont="1" applyFill="1" applyBorder="1" applyAlignment="1">
      <alignment horizontal="center"/>
    </xf>
    <xf numFmtId="0" fontId="10" fillId="325" borderId="2" xfId="0" applyFont="1" applyFill="1" applyBorder="1" applyAlignment="1">
      <alignment horizontal="center"/>
    </xf>
    <xf numFmtId="0" fontId="10" fillId="513" borderId="3" xfId="0" applyFont="1" applyFill="1" applyBorder="1" applyAlignment="1">
      <alignment horizontal="center"/>
    </xf>
    <xf numFmtId="164" fontId="10" fillId="429" borderId="1" xfId="0" applyNumberFormat="1" applyFont="1" applyFill="1" applyBorder="1" applyAlignment="1">
      <alignment horizontal="center"/>
    </xf>
    <xf numFmtId="0" fontId="10" fillId="357" borderId="1" xfId="0" applyFont="1" applyFill="1" applyBorder="1" applyAlignment="1">
      <alignment horizontal="center"/>
    </xf>
    <xf numFmtId="0" fontId="10" fillId="879" borderId="1" xfId="0" applyFont="1" applyFill="1" applyBorder="1" applyAlignment="1">
      <alignment horizontal="center"/>
    </xf>
    <xf numFmtId="9" fontId="10" fillId="150" borderId="4" xfId="0" applyNumberFormat="1" applyFont="1" applyFill="1" applyBorder="1" applyAlignment="1">
      <alignment horizontal="center"/>
    </xf>
    <xf numFmtId="0" fontId="10" fillId="25" borderId="4" xfId="0" applyFont="1" applyFill="1" applyBorder="1" applyAlignment="1">
      <alignment horizontal="center"/>
    </xf>
    <xf numFmtId="9" fontId="10" fillId="165" borderId="1" xfId="0" applyNumberFormat="1" applyFont="1" applyFill="1" applyBorder="1" applyAlignment="1">
      <alignment horizontal="center"/>
    </xf>
    <xf numFmtId="10" fontId="10" fillId="234" borderId="1" xfId="0" applyNumberFormat="1" applyFont="1" applyFill="1" applyBorder="1" applyAlignment="1">
      <alignment horizontal="center"/>
    </xf>
    <xf numFmtId="10" fontId="10" fillId="433" borderId="4" xfId="0" applyNumberFormat="1" applyFont="1" applyFill="1" applyBorder="1" applyAlignment="1">
      <alignment horizontal="center"/>
    </xf>
    <xf numFmtId="0" fontId="10" fillId="515" borderId="1" xfId="0" applyFont="1" applyFill="1" applyBorder="1" applyAlignment="1">
      <alignment horizontal="center"/>
    </xf>
    <xf numFmtId="0" fontId="10" fillId="880" borderId="1" xfId="0" applyFont="1" applyFill="1" applyBorder="1" applyAlignment="1">
      <alignment horizontal="center"/>
    </xf>
    <xf numFmtId="0" fontId="10" fillId="880" borderId="4" xfId="0" applyFont="1" applyFill="1" applyBorder="1" applyAlignment="1">
      <alignment horizontal="center"/>
    </xf>
    <xf numFmtId="0" fontId="10" fillId="242" borderId="1" xfId="0" applyFont="1" applyFill="1" applyBorder="1" applyAlignment="1">
      <alignment horizontal="center"/>
    </xf>
    <xf numFmtId="0" fontId="10" fillId="881" borderId="1" xfId="0" applyFont="1" applyFill="1" applyBorder="1" applyAlignment="1">
      <alignment horizontal="center"/>
    </xf>
    <xf numFmtId="0" fontId="10" fillId="688" borderId="4" xfId="0" applyFont="1" applyFill="1" applyBorder="1" applyAlignment="1">
      <alignment horizontal="center"/>
    </xf>
    <xf numFmtId="0" fontId="10" fillId="314" borderId="2" xfId="0" applyFont="1" applyFill="1" applyBorder="1" applyAlignment="1">
      <alignment horizontal="center"/>
    </xf>
    <xf numFmtId="0" fontId="10" fillId="309" borderId="2" xfId="0" applyFont="1" applyFill="1" applyBorder="1" applyAlignment="1">
      <alignment horizontal="center"/>
    </xf>
    <xf numFmtId="9" fontId="10" fillId="40" borderId="3" xfId="0" applyNumberFormat="1" applyFont="1" applyFill="1" applyBorder="1" applyAlignment="1">
      <alignment horizontal="center"/>
    </xf>
    <xf numFmtId="0" fontId="10" fillId="377" borderId="3" xfId="0" applyFont="1" applyFill="1" applyBorder="1" applyAlignment="1">
      <alignment horizontal="center"/>
    </xf>
    <xf numFmtId="0" fontId="10" fillId="602" borderId="2" xfId="0" applyFont="1" applyFill="1" applyBorder="1" applyAlignment="1">
      <alignment horizontal="center"/>
    </xf>
    <xf numFmtId="9" fontId="10" fillId="589" borderId="2" xfId="0" applyNumberFormat="1" applyFont="1" applyFill="1" applyBorder="1" applyAlignment="1">
      <alignment horizontal="center"/>
    </xf>
    <xf numFmtId="10" fontId="10" fillId="25" borderId="2" xfId="0" applyNumberFormat="1" applyFont="1" applyFill="1" applyBorder="1" applyAlignment="1">
      <alignment horizontal="center"/>
    </xf>
    <xf numFmtId="10" fontId="10" fillId="487" borderId="2" xfId="0" applyNumberFormat="1" applyFont="1" applyFill="1" applyBorder="1" applyAlignment="1">
      <alignment horizontal="center"/>
    </xf>
    <xf numFmtId="10" fontId="10" fillId="211" borderId="3" xfId="0" applyNumberFormat="1" applyFont="1" applyFill="1" applyBorder="1" applyAlignment="1">
      <alignment horizontal="center"/>
    </xf>
    <xf numFmtId="0" fontId="10" fillId="316" borderId="13" xfId="0" applyFont="1" applyFill="1" applyBorder="1" applyAlignment="1">
      <alignment horizontal="center"/>
    </xf>
    <xf numFmtId="0" fontId="10" fillId="160" borderId="3" xfId="0" applyFont="1" applyFill="1" applyBorder="1" applyAlignment="1">
      <alignment horizontal="center"/>
    </xf>
    <xf numFmtId="0" fontId="10" fillId="882" borderId="2" xfId="0" applyFont="1" applyFill="1" applyBorder="1" applyAlignment="1">
      <alignment horizontal="center"/>
    </xf>
    <xf numFmtId="0" fontId="10" fillId="680" borderId="2" xfId="0" applyFont="1" applyFill="1" applyBorder="1" applyAlignment="1">
      <alignment horizontal="center"/>
    </xf>
    <xf numFmtId="0" fontId="10" fillId="680" borderId="3" xfId="0" applyFont="1" applyFill="1" applyBorder="1" applyAlignment="1">
      <alignment horizontal="center"/>
    </xf>
    <xf numFmtId="0" fontId="10" fillId="41" borderId="1" xfId="0" applyFont="1" applyFill="1" applyBorder="1" applyAlignment="1">
      <alignment horizontal="center"/>
    </xf>
    <xf numFmtId="9" fontId="10" fillId="264" borderId="1" xfId="0" applyNumberFormat="1" applyFont="1" applyFill="1" applyBorder="1" applyAlignment="1">
      <alignment horizontal="center"/>
    </xf>
    <xf numFmtId="0" fontId="10" fillId="492" borderId="1" xfId="0" applyFont="1" applyFill="1" applyBorder="1" applyAlignment="1">
      <alignment horizontal="center"/>
    </xf>
    <xf numFmtId="9" fontId="10" fillId="40" borderId="4" xfId="0" applyNumberFormat="1" applyFont="1" applyFill="1" applyBorder="1" applyAlignment="1">
      <alignment horizontal="center"/>
    </xf>
    <xf numFmtId="0" fontId="10" fillId="265" borderId="4" xfId="0" applyFont="1" applyFill="1" applyBorder="1" applyAlignment="1">
      <alignment horizontal="center"/>
    </xf>
    <xf numFmtId="0" fontId="10" fillId="596" borderId="1" xfId="0" applyFont="1" applyFill="1" applyBorder="1" applyAlignment="1">
      <alignment horizontal="center"/>
    </xf>
    <xf numFmtId="9" fontId="10" fillId="493" borderId="1" xfId="0" applyNumberFormat="1" applyFont="1" applyFill="1" applyBorder="1" applyAlignment="1">
      <alignment horizontal="center"/>
    </xf>
    <xf numFmtId="10" fontId="10" fillId="598" borderId="1" xfId="0" applyNumberFormat="1" applyFont="1" applyFill="1" applyBorder="1" applyAlignment="1">
      <alignment horizontal="center"/>
    </xf>
    <xf numFmtId="10" fontId="10" fillId="593" borderId="4" xfId="0" applyNumberFormat="1" applyFont="1" applyFill="1" applyBorder="1" applyAlignment="1">
      <alignment horizontal="center"/>
    </xf>
    <xf numFmtId="0" fontId="10" fillId="228" borderId="1" xfId="0" applyFont="1" applyFill="1" applyBorder="1" applyAlignment="1">
      <alignment horizontal="center"/>
    </xf>
    <xf numFmtId="0" fontId="10" fillId="777" borderId="1" xfId="0" applyFont="1" applyFill="1" applyBorder="1" applyAlignment="1">
      <alignment horizontal="center"/>
    </xf>
    <xf numFmtId="0" fontId="10" fillId="777" borderId="4" xfId="0" applyFont="1" applyFill="1" applyBorder="1" applyAlignment="1">
      <alignment horizontal="center"/>
    </xf>
    <xf numFmtId="9" fontId="10" fillId="264" borderId="2" xfId="0" applyNumberFormat="1" applyFont="1" applyFill="1" applyBorder="1" applyAlignment="1">
      <alignment horizontal="center"/>
    </xf>
    <xf numFmtId="0" fontId="10" fillId="445" borderId="2" xfId="0" applyFont="1" applyFill="1" applyBorder="1" applyAlignment="1">
      <alignment horizontal="center"/>
    </xf>
    <xf numFmtId="9" fontId="10" fillId="602" borderId="3" xfId="0" applyNumberFormat="1" applyFont="1" applyFill="1" applyBorder="1" applyAlignment="1">
      <alignment horizontal="center"/>
    </xf>
    <xf numFmtId="0" fontId="10" fillId="121" borderId="3" xfId="0" applyFont="1" applyFill="1" applyBorder="1" applyAlignment="1">
      <alignment horizontal="center"/>
    </xf>
    <xf numFmtId="0" fontId="10" fillId="59" borderId="2" xfId="0" applyFont="1" applyFill="1" applyBorder="1" applyAlignment="1">
      <alignment horizontal="center"/>
    </xf>
    <xf numFmtId="10" fontId="10" fillId="205" borderId="2" xfId="0" applyNumberFormat="1" applyFont="1" applyFill="1" applyBorder="1" applyAlignment="1">
      <alignment horizontal="center"/>
    </xf>
    <xf numFmtId="10" fontId="10" fillId="314" borderId="2" xfId="0" applyNumberFormat="1" applyFont="1" applyFill="1" applyBorder="1" applyAlignment="1">
      <alignment horizontal="center"/>
    </xf>
    <xf numFmtId="10" fontId="10" fillId="255" borderId="3" xfId="0" applyNumberFormat="1" applyFont="1" applyFill="1" applyBorder="1" applyAlignment="1">
      <alignment horizontal="center"/>
    </xf>
    <xf numFmtId="0" fontId="10" fillId="75" borderId="13" xfId="0" applyFont="1" applyFill="1" applyBorder="1" applyAlignment="1">
      <alignment horizontal="center"/>
    </xf>
    <xf numFmtId="0" fontId="10" fillId="151" borderId="13" xfId="0" applyFont="1" applyFill="1" applyBorder="1" applyAlignment="1">
      <alignment horizontal="center"/>
    </xf>
    <xf numFmtId="0" fontId="10" fillId="387" borderId="3" xfId="0" applyFont="1" applyFill="1" applyBorder="1" applyAlignment="1">
      <alignment horizontal="center"/>
    </xf>
    <xf numFmtId="0" fontId="10" fillId="716" borderId="2" xfId="0" applyFont="1" applyFill="1" applyBorder="1" applyAlignment="1">
      <alignment horizontal="center"/>
    </xf>
    <xf numFmtId="0" fontId="10" fillId="230" borderId="1" xfId="0" applyFont="1" applyFill="1" applyBorder="1" applyAlignment="1">
      <alignment horizontal="center"/>
    </xf>
    <xf numFmtId="9" fontId="10" fillId="36" borderId="4" xfId="0" applyNumberFormat="1" applyFont="1" applyFill="1" applyBorder="1" applyAlignment="1">
      <alignment horizontal="center"/>
    </xf>
    <xf numFmtId="0" fontId="10" fillId="349" borderId="1" xfId="0" applyFont="1" applyFill="1" applyBorder="1" applyAlignment="1">
      <alignment horizontal="center"/>
    </xf>
    <xf numFmtId="9" fontId="10" fillId="130" borderId="1" xfId="0" applyNumberFormat="1" applyFont="1" applyFill="1" applyBorder="1" applyAlignment="1">
      <alignment horizontal="center"/>
    </xf>
    <xf numFmtId="9" fontId="10" fillId="40" borderId="1" xfId="0" applyNumberFormat="1" applyFont="1" applyFill="1" applyBorder="1" applyAlignment="1">
      <alignment horizontal="center"/>
    </xf>
    <xf numFmtId="0" fontId="10" fillId="76" borderId="4" xfId="0" applyFont="1" applyFill="1" applyBorder="1" applyAlignment="1">
      <alignment horizontal="center"/>
    </xf>
    <xf numFmtId="10" fontId="10" fillId="62" borderId="1" xfId="0" applyNumberFormat="1" applyFont="1" applyFill="1" applyBorder="1" applyAlignment="1">
      <alignment horizontal="center"/>
    </xf>
    <xf numFmtId="10" fontId="10" fillId="487" borderId="1" xfId="0" applyNumberFormat="1" applyFont="1" applyFill="1" applyBorder="1" applyAlignment="1">
      <alignment horizontal="center"/>
    </xf>
    <xf numFmtId="10" fontId="10" fillId="314" borderId="1" xfId="0" applyNumberFormat="1" applyFont="1" applyFill="1" applyBorder="1" applyAlignment="1">
      <alignment horizontal="center"/>
    </xf>
    <xf numFmtId="10" fontId="10" fillId="95" borderId="4" xfId="0" applyNumberFormat="1" applyFont="1" applyFill="1" applyBorder="1" applyAlignment="1">
      <alignment horizontal="center"/>
    </xf>
    <xf numFmtId="0" fontId="10" fillId="160" borderId="4" xfId="0" applyFont="1" applyFill="1" applyBorder="1" applyAlignment="1">
      <alignment horizontal="center"/>
    </xf>
    <xf numFmtId="0" fontId="10" fillId="430" borderId="16" xfId="0" applyFont="1" applyFill="1" applyBorder="1" applyAlignment="1">
      <alignment horizontal="center"/>
    </xf>
    <xf numFmtId="0" fontId="10" fillId="307" borderId="4" xfId="0" applyFont="1" applyFill="1" applyBorder="1" applyAlignment="1">
      <alignment horizontal="center"/>
    </xf>
    <xf numFmtId="0" fontId="10" fillId="883" borderId="1" xfId="0" applyFont="1" applyFill="1" applyBorder="1" applyAlignment="1">
      <alignment horizontal="center"/>
    </xf>
    <xf numFmtId="0" fontId="10" fillId="883" borderId="4" xfId="0" applyFont="1" applyFill="1" applyBorder="1" applyAlignment="1">
      <alignment horizontal="center"/>
    </xf>
    <xf numFmtId="9" fontId="10" fillId="14" borderId="3" xfId="0" applyNumberFormat="1" applyFont="1" applyFill="1" applyBorder="1" applyAlignment="1">
      <alignment horizontal="center"/>
    </xf>
    <xf numFmtId="10" fontId="10" fillId="135" borderId="2" xfId="0" applyNumberFormat="1" applyFont="1" applyFill="1" applyBorder="1" applyAlignment="1">
      <alignment horizontal="center"/>
    </xf>
    <xf numFmtId="10" fontId="10" fillId="46" borderId="3" xfId="0" applyNumberFormat="1" applyFont="1" applyFill="1" applyBorder="1" applyAlignment="1">
      <alignment horizontal="center"/>
    </xf>
    <xf numFmtId="0" fontId="10" fillId="59" borderId="13" xfId="0" applyFont="1" applyFill="1" applyBorder="1" applyAlignment="1">
      <alignment horizontal="center"/>
    </xf>
    <xf numFmtId="0" fontId="10" fillId="54" borderId="2" xfId="0" applyFont="1" applyFill="1" applyBorder="1" applyAlignment="1">
      <alignment horizontal="center"/>
    </xf>
    <xf numFmtId="0" fontId="10" fillId="744" borderId="2" xfId="0" applyFont="1" applyFill="1" applyBorder="1" applyAlignment="1">
      <alignment horizontal="center"/>
    </xf>
    <xf numFmtId="0" fontId="10" fillId="744" borderId="3" xfId="0" applyFont="1" applyFill="1" applyBorder="1" applyAlignment="1">
      <alignment horizontal="center"/>
    </xf>
    <xf numFmtId="0" fontId="10" fillId="401" borderId="1" xfId="0" applyFont="1" applyFill="1" applyBorder="1" applyAlignment="1">
      <alignment horizontal="center"/>
    </xf>
    <xf numFmtId="9" fontId="10" fillId="81" borderId="1" xfId="0" applyNumberFormat="1" applyFont="1" applyFill="1" applyBorder="1" applyAlignment="1">
      <alignment horizontal="center"/>
    </xf>
    <xf numFmtId="0" fontId="10" fillId="617" borderId="1" xfId="0" applyFont="1" applyFill="1" applyBorder="1" applyAlignment="1">
      <alignment horizontal="center"/>
    </xf>
    <xf numFmtId="0" fontId="10" fillId="132" borderId="4" xfId="0" applyFont="1" applyFill="1" applyBorder="1" applyAlignment="1">
      <alignment horizontal="center"/>
    </xf>
    <xf numFmtId="10" fontId="10" fillId="323" borderId="1" xfId="0" applyNumberFormat="1" applyFont="1" applyFill="1" applyBorder="1" applyAlignment="1">
      <alignment horizontal="center"/>
    </xf>
    <xf numFmtId="10" fontId="10" fillId="74" borderId="1" xfId="0" applyNumberFormat="1" applyFont="1" applyFill="1" applyBorder="1" applyAlignment="1">
      <alignment horizontal="center"/>
    </xf>
    <xf numFmtId="10" fontId="10" fillId="82" borderId="4" xfId="0" applyNumberFormat="1" applyFont="1" applyFill="1" applyBorder="1" applyAlignment="1">
      <alignment horizontal="center"/>
    </xf>
    <xf numFmtId="0" fontId="10" fillId="336" borderId="16" xfId="0" applyFont="1" applyFill="1" applyBorder="1" applyAlignment="1">
      <alignment horizontal="center"/>
    </xf>
    <xf numFmtId="0" fontId="10" fillId="177" borderId="16" xfId="0" applyFont="1" applyFill="1" applyBorder="1" applyAlignment="1">
      <alignment horizontal="center"/>
    </xf>
    <xf numFmtId="0" fontId="10" fillId="216" borderId="4" xfId="0" applyFont="1" applyFill="1" applyBorder="1" applyAlignment="1">
      <alignment horizontal="center"/>
    </xf>
    <xf numFmtId="0" fontId="10" fillId="346" borderId="1" xfId="0" applyFont="1" applyFill="1" applyBorder="1" applyAlignment="1">
      <alignment horizontal="center"/>
    </xf>
    <xf numFmtId="0" fontId="10" fillId="661" borderId="1" xfId="0" applyFont="1" applyFill="1" applyBorder="1" applyAlignment="1">
      <alignment horizontal="center"/>
    </xf>
    <xf numFmtId="0" fontId="10" fillId="661" borderId="4" xfId="0" applyFont="1" applyFill="1" applyBorder="1" applyAlignment="1">
      <alignment horizontal="center"/>
    </xf>
    <xf numFmtId="9" fontId="10" fillId="333" borderId="2" xfId="0" applyNumberFormat="1" applyFont="1" applyFill="1" applyBorder="1" applyAlignment="1">
      <alignment horizontal="center"/>
    </xf>
    <xf numFmtId="0" fontId="10" fillId="739" borderId="2" xfId="0" applyFont="1" applyFill="1" applyBorder="1" applyAlignment="1">
      <alignment horizontal="center"/>
    </xf>
    <xf numFmtId="9" fontId="10" fillId="43" borderId="3" xfId="0" applyNumberFormat="1" applyFont="1" applyFill="1" applyBorder="1" applyAlignment="1">
      <alignment horizontal="center"/>
    </xf>
    <xf numFmtId="0" fontId="10" fillId="50" borderId="2" xfId="0" applyFont="1" applyFill="1" applyBorder="1" applyAlignment="1">
      <alignment horizontal="center"/>
    </xf>
    <xf numFmtId="9" fontId="10" fillId="303" borderId="2" xfId="0" applyNumberFormat="1" applyFont="1" applyFill="1" applyBorder="1" applyAlignment="1">
      <alignment horizontal="center"/>
    </xf>
    <xf numFmtId="10" fontId="10" fillId="180" borderId="2" xfId="0" applyNumberFormat="1" applyFont="1" applyFill="1" applyBorder="1" applyAlignment="1">
      <alignment horizontal="center"/>
    </xf>
    <xf numFmtId="0" fontId="10" fillId="622" borderId="13" xfId="0" applyFont="1" applyFill="1" applyBorder="1" applyAlignment="1">
      <alignment horizontal="center"/>
    </xf>
    <xf numFmtId="0" fontId="10" fillId="884" borderId="2" xfId="0" applyFont="1" applyFill="1" applyBorder="1" applyAlignment="1">
      <alignment horizontal="center"/>
    </xf>
    <xf numFmtId="0" fontId="10" fillId="885" borderId="2" xfId="0" applyFont="1" applyFill="1" applyBorder="1" applyAlignment="1">
      <alignment horizontal="center"/>
    </xf>
    <xf numFmtId="0" fontId="10" fillId="885" borderId="3" xfId="0" applyFont="1" applyFill="1" applyBorder="1" applyAlignment="1">
      <alignment horizontal="center"/>
    </xf>
    <xf numFmtId="9" fontId="10" fillId="134" borderId="1" xfId="0" applyNumberFormat="1" applyFont="1" applyFill="1" applyBorder="1" applyAlignment="1">
      <alignment horizontal="center"/>
    </xf>
    <xf numFmtId="0" fontId="10" fillId="396" borderId="1" xfId="0" applyFont="1" applyFill="1" applyBorder="1" applyAlignment="1">
      <alignment horizontal="center"/>
    </xf>
    <xf numFmtId="0" fontId="10" fillId="537" borderId="1" xfId="0" applyFont="1" applyFill="1" applyBorder="1" applyAlignment="1">
      <alignment horizontal="center"/>
    </xf>
    <xf numFmtId="9" fontId="10" fillId="508" borderId="1" xfId="0" applyNumberFormat="1" applyFont="1" applyFill="1" applyBorder="1" applyAlignment="1">
      <alignment horizontal="center"/>
    </xf>
    <xf numFmtId="0" fontId="10" fillId="134" borderId="4" xfId="0" applyFont="1" applyFill="1" applyBorder="1" applyAlignment="1">
      <alignment horizontal="center"/>
    </xf>
    <xf numFmtId="10" fontId="10" fillId="110" borderId="1" xfId="0" applyNumberFormat="1" applyFont="1" applyFill="1" applyBorder="1" applyAlignment="1">
      <alignment horizontal="center"/>
    </xf>
    <xf numFmtId="10" fontId="10" fillId="128" borderId="1" xfId="0" applyNumberFormat="1" applyFont="1" applyFill="1" applyBorder="1" applyAlignment="1">
      <alignment horizontal="center"/>
    </xf>
    <xf numFmtId="10" fontId="10" fillId="327" borderId="4" xfId="0" applyNumberFormat="1" applyFont="1" applyFill="1" applyBorder="1" applyAlignment="1">
      <alignment horizontal="center"/>
    </xf>
    <xf numFmtId="0" fontId="10" fillId="444" borderId="4" xfId="0" applyFont="1" applyFill="1" applyBorder="1" applyAlignment="1">
      <alignment horizontal="center"/>
    </xf>
    <xf numFmtId="0" fontId="10" fillId="90" borderId="1" xfId="0" applyFont="1" applyFill="1" applyBorder="1" applyAlignment="1">
      <alignment horizontal="center"/>
    </xf>
    <xf numFmtId="0" fontId="10" fillId="90" borderId="4" xfId="0" applyFont="1" applyFill="1" applyBorder="1" applyAlignment="1">
      <alignment horizontal="center"/>
    </xf>
    <xf numFmtId="0" fontId="10" fillId="113" borderId="2" xfId="0" applyFont="1" applyFill="1" applyBorder="1" applyAlignment="1">
      <alignment horizontal="center"/>
    </xf>
    <xf numFmtId="9" fontId="10" fillId="109" borderId="2" xfId="0" applyNumberFormat="1" applyFont="1" applyFill="1" applyBorder="1" applyAlignment="1">
      <alignment horizontal="center"/>
    </xf>
    <xf numFmtId="0" fontId="10" fillId="98" borderId="2" xfId="0" applyFont="1" applyFill="1" applyBorder="1" applyAlignment="1">
      <alignment horizontal="center"/>
    </xf>
    <xf numFmtId="9" fontId="10" fillId="60" borderId="3" xfId="0" applyNumberFormat="1" applyFont="1" applyFill="1" applyBorder="1" applyAlignment="1">
      <alignment horizontal="center"/>
    </xf>
    <xf numFmtId="9" fontId="10" fillId="223" borderId="2" xfId="0" applyNumberFormat="1" applyFont="1" applyFill="1" applyBorder="1" applyAlignment="1">
      <alignment horizontal="center"/>
    </xf>
    <xf numFmtId="0" fontId="10" fillId="203" borderId="13" xfId="0" applyFont="1" applyFill="1" applyBorder="1" applyAlignment="1">
      <alignment horizontal="center"/>
    </xf>
    <xf numFmtId="0" fontId="10" fillId="430" borderId="13" xfId="0" applyFont="1" applyFill="1" applyBorder="1" applyAlignment="1">
      <alignment horizontal="center"/>
    </xf>
    <xf numFmtId="0" fontId="10" fillId="504" borderId="3" xfId="0" applyFont="1" applyFill="1" applyBorder="1" applyAlignment="1">
      <alignment horizontal="center"/>
    </xf>
    <xf numFmtId="0" fontId="10" fillId="308" borderId="1" xfId="0" applyFont="1" applyFill="1" applyBorder="1" applyAlignment="1">
      <alignment horizontal="center"/>
    </xf>
    <xf numFmtId="9" fontId="10" fillId="132" borderId="4" xfId="0" applyNumberFormat="1" applyFont="1" applyFill="1" applyBorder="1" applyAlignment="1">
      <alignment horizontal="center"/>
    </xf>
    <xf numFmtId="0" fontId="10" fillId="293" borderId="4" xfId="0" applyFont="1" applyFill="1" applyBorder="1" applyAlignment="1">
      <alignment horizontal="center"/>
    </xf>
    <xf numFmtId="0" fontId="10" fillId="836" borderId="1" xfId="0" applyFont="1" applyFill="1" applyBorder="1" applyAlignment="1">
      <alignment horizontal="center"/>
    </xf>
    <xf numFmtId="10" fontId="10" fillId="421" borderId="1" xfId="0" applyNumberFormat="1" applyFont="1" applyFill="1" applyBorder="1" applyAlignment="1">
      <alignment horizontal="center"/>
    </xf>
    <xf numFmtId="10" fontId="10" fillId="197" borderId="4" xfId="0" applyNumberFormat="1" applyFont="1" applyFill="1" applyBorder="1" applyAlignment="1">
      <alignment horizontal="center"/>
    </xf>
    <xf numFmtId="0" fontId="10" fillId="436" borderId="1" xfId="0" applyFont="1" applyFill="1" applyBorder="1" applyAlignment="1">
      <alignment horizontal="center"/>
    </xf>
    <xf numFmtId="0" fontId="10" fillId="886" borderId="1" xfId="0" applyFont="1" applyFill="1" applyBorder="1" applyAlignment="1">
      <alignment horizontal="center"/>
    </xf>
    <xf numFmtId="0" fontId="10" fillId="886" borderId="4" xfId="0" applyFont="1" applyFill="1" applyBorder="1" applyAlignment="1">
      <alignment horizontal="center"/>
    </xf>
    <xf numFmtId="0" fontId="10" fillId="446" borderId="2" xfId="0" applyFont="1" applyFill="1" applyBorder="1" applyAlignment="1">
      <alignment horizontal="center"/>
    </xf>
    <xf numFmtId="9" fontId="10" fillId="49" borderId="2" xfId="0" applyNumberFormat="1" applyFont="1" applyFill="1" applyBorder="1" applyAlignment="1">
      <alignment horizontal="center"/>
    </xf>
    <xf numFmtId="0" fontId="10" fillId="887" borderId="2" xfId="0" applyFont="1" applyFill="1" applyBorder="1" applyAlignment="1">
      <alignment horizontal="center"/>
    </xf>
    <xf numFmtId="9" fontId="10" fillId="197" borderId="3" xfId="0" applyNumberFormat="1" applyFont="1" applyFill="1" applyBorder="1" applyAlignment="1">
      <alignment horizontal="center"/>
    </xf>
    <xf numFmtId="0" fontId="10" fillId="195" borderId="3" xfId="0" applyFont="1" applyFill="1" applyBorder="1" applyAlignment="1">
      <alignment horizontal="center"/>
    </xf>
    <xf numFmtId="0" fontId="10" fillId="758" borderId="2" xfId="0" applyFont="1" applyFill="1" applyBorder="1" applyAlignment="1">
      <alignment horizontal="center"/>
    </xf>
    <xf numFmtId="0" fontId="10" fillId="630" borderId="3" xfId="0" applyFont="1" applyFill="1" applyBorder="1" applyAlignment="1">
      <alignment horizontal="center"/>
    </xf>
    <xf numFmtId="10" fontId="10" fillId="888" borderId="2" xfId="0" applyNumberFormat="1" applyFont="1" applyFill="1" applyBorder="1" applyAlignment="1">
      <alignment horizontal="center"/>
    </xf>
    <xf numFmtId="10" fontId="10" fillId="587" borderId="3" xfId="0" applyNumberFormat="1" applyFont="1" applyFill="1" applyBorder="1" applyAlignment="1">
      <alignment horizontal="center"/>
    </xf>
    <xf numFmtId="0" fontId="10" fillId="216" borderId="3" xfId="0" applyFont="1" applyFill="1" applyBorder="1" applyAlignment="1">
      <alignment horizontal="center"/>
    </xf>
    <xf numFmtId="0" fontId="10" fillId="259" borderId="2" xfId="0" applyFont="1" applyFill="1" applyBorder="1" applyAlignment="1">
      <alignment horizontal="center"/>
    </xf>
    <xf numFmtId="0" fontId="10" fillId="830" borderId="2" xfId="0" applyFont="1" applyFill="1" applyBorder="1" applyAlignment="1">
      <alignment horizontal="center"/>
    </xf>
    <xf numFmtId="0" fontId="10" fillId="830" borderId="3" xfId="0" applyFont="1" applyFill="1" applyBorder="1" applyAlignment="1">
      <alignment horizontal="center"/>
    </xf>
    <xf numFmtId="9" fontId="10" fillId="114" borderId="1" xfId="0" applyNumberFormat="1" applyFont="1" applyFill="1" applyBorder="1" applyAlignment="1">
      <alignment horizontal="center"/>
    </xf>
    <xf numFmtId="0" fontId="10" fillId="739" borderId="1" xfId="0" applyFont="1" applyFill="1" applyBorder="1" applyAlignment="1">
      <alignment horizontal="center"/>
    </xf>
    <xf numFmtId="9" fontId="10" fillId="43" borderId="4" xfId="0" applyNumberFormat="1" applyFont="1" applyFill="1" applyBorder="1" applyAlignment="1">
      <alignment horizontal="center"/>
    </xf>
    <xf numFmtId="0" fontId="10" fillId="327" borderId="4" xfId="0" applyFont="1" applyFill="1" applyBorder="1" applyAlignment="1">
      <alignment horizontal="center"/>
    </xf>
    <xf numFmtId="0" fontId="10" fillId="47" borderId="1" xfId="0" applyFont="1" applyFill="1" applyBorder="1" applyAlignment="1">
      <alignment horizontal="center"/>
    </xf>
    <xf numFmtId="9" fontId="10" fillId="205" borderId="1" xfId="0" applyNumberFormat="1" applyFont="1" applyFill="1" applyBorder="1" applyAlignment="1">
      <alignment horizontal="center"/>
    </xf>
    <xf numFmtId="10" fontId="10" fillId="265" borderId="1" xfId="0" applyNumberFormat="1" applyFont="1" applyFill="1" applyBorder="1" applyAlignment="1">
      <alignment horizontal="center"/>
    </xf>
    <xf numFmtId="10" fontId="10" fillId="127" borderId="4" xfId="0" applyNumberFormat="1" applyFont="1" applyFill="1" applyBorder="1" applyAlignment="1">
      <alignment horizontal="center"/>
    </xf>
    <xf numFmtId="0" fontId="10" fillId="75" borderId="16" xfId="0" applyFont="1" applyFill="1" applyBorder="1" applyAlignment="1">
      <alignment horizontal="center"/>
    </xf>
    <xf numFmtId="0" fontId="10" fillId="51" borderId="1" xfId="0" applyFont="1" applyFill="1" applyBorder="1" applyAlignment="1">
      <alignment horizontal="center"/>
    </xf>
    <xf numFmtId="0" fontId="10" fillId="495" borderId="1" xfId="0" applyFont="1" applyFill="1" applyBorder="1" applyAlignment="1">
      <alignment horizontal="center"/>
    </xf>
    <xf numFmtId="0" fontId="10" fillId="495" borderId="4" xfId="0" applyFont="1" applyFill="1" applyBorder="1" applyAlignment="1">
      <alignment horizontal="center"/>
    </xf>
    <xf numFmtId="0" fontId="10" fillId="132" borderId="2" xfId="0" applyFont="1" applyFill="1" applyBorder="1" applyAlignment="1">
      <alignment horizontal="center"/>
    </xf>
    <xf numFmtId="0" fontId="10" fillId="520" borderId="2" xfId="0" applyFont="1" applyFill="1" applyBorder="1" applyAlignment="1">
      <alignment horizontal="center"/>
    </xf>
    <xf numFmtId="9" fontId="10" fillId="603" borderId="3" xfId="0" applyNumberFormat="1" applyFont="1" applyFill="1" applyBorder="1" applyAlignment="1">
      <alignment horizontal="center"/>
    </xf>
    <xf numFmtId="0" fontId="10" fillId="358" borderId="2" xfId="0" applyFont="1" applyFill="1" applyBorder="1" applyAlignment="1">
      <alignment horizontal="center"/>
    </xf>
    <xf numFmtId="9" fontId="10" fillId="233" borderId="2" xfId="0" applyNumberFormat="1" applyFont="1" applyFill="1" applyBorder="1" applyAlignment="1">
      <alignment horizontal="center"/>
    </xf>
    <xf numFmtId="10" fontId="10" fillId="127" borderId="2" xfId="0" applyNumberFormat="1" applyFont="1" applyFill="1" applyBorder="1" applyAlignment="1">
      <alignment horizontal="center"/>
    </xf>
    <xf numFmtId="10" fontId="10" fillId="113" borderId="3" xfId="0" applyNumberFormat="1" applyFont="1" applyFill="1" applyBorder="1" applyAlignment="1">
      <alignment horizontal="center"/>
    </xf>
    <xf numFmtId="0" fontId="10" fillId="493" borderId="13" xfId="0" applyFont="1" applyFill="1" applyBorder="1" applyAlignment="1">
      <alignment horizontal="center"/>
    </xf>
    <xf numFmtId="0" fontId="10" fillId="337" borderId="3" xfId="0" applyFont="1" applyFill="1" applyBorder="1" applyAlignment="1">
      <alignment horizontal="center"/>
    </xf>
    <xf numFmtId="0" fontId="10" fillId="779" borderId="2" xfId="0" applyFont="1" applyFill="1" applyBorder="1" applyAlignment="1">
      <alignment horizontal="center"/>
    </xf>
    <xf numFmtId="0" fontId="10" fillId="889" borderId="2" xfId="0" applyFont="1" applyFill="1" applyBorder="1" applyAlignment="1">
      <alignment horizontal="center"/>
    </xf>
    <xf numFmtId="0" fontId="10" fillId="889" borderId="3" xfId="0" applyFont="1" applyFill="1" applyBorder="1" applyAlignment="1">
      <alignment horizontal="center"/>
    </xf>
    <xf numFmtId="9" fontId="10" fillId="726" borderId="1" xfId="0" applyNumberFormat="1" applyFont="1" applyFill="1" applyBorder="1" applyAlignment="1">
      <alignment horizontal="center"/>
    </xf>
    <xf numFmtId="0" fontId="10" fillId="309" borderId="1" xfId="0" applyFont="1" applyFill="1" applyBorder="1" applyAlignment="1">
      <alignment horizontal="center"/>
    </xf>
    <xf numFmtId="0" fontId="10" fillId="211" borderId="4" xfId="0" applyFont="1" applyFill="1" applyBorder="1" applyAlignment="1">
      <alignment horizontal="center"/>
    </xf>
    <xf numFmtId="10" fontId="10" fillId="404" borderId="1" xfId="0" applyNumberFormat="1" applyFont="1" applyFill="1" applyBorder="1" applyAlignment="1">
      <alignment horizontal="center"/>
    </xf>
    <xf numFmtId="10" fontId="10" fillId="302" borderId="1" xfId="0" applyNumberFormat="1" applyFont="1" applyFill="1" applyBorder="1" applyAlignment="1">
      <alignment horizontal="center"/>
    </xf>
    <xf numFmtId="10" fontId="10" fillId="447" borderId="1" xfId="0" applyNumberFormat="1" applyFont="1" applyFill="1" applyBorder="1" applyAlignment="1">
      <alignment horizontal="center"/>
    </xf>
    <xf numFmtId="10" fontId="10" fillId="448" borderId="4" xfId="0" applyNumberFormat="1" applyFont="1" applyFill="1" applyBorder="1" applyAlignment="1">
      <alignment horizontal="center"/>
    </xf>
    <xf numFmtId="0" fontId="10" fillId="337" borderId="4" xfId="0" applyFont="1" applyFill="1" applyBorder="1" applyAlignment="1">
      <alignment horizontal="center"/>
    </xf>
    <xf numFmtId="0" fontId="10" fillId="890" borderId="1" xfId="0" applyFont="1" applyFill="1" applyBorder="1" applyAlignment="1">
      <alignment horizontal="center"/>
    </xf>
    <xf numFmtId="0" fontId="10" fillId="781" borderId="2" xfId="0" applyFont="1" applyFill="1" applyBorder="1" applyAlignment="1">
      <alignment horizontal="center"/>
    </xf>
    <xf numFmtId="9" fontId="10" fillId="140" borderId="3" xfId="0" applyNumberFormat="1" applyFont="1" applyFill="1" applyBorder="1" applyAlignment="1">
      <alignment horizontal="center"/>
    </xf>
    <xf numFmtId="0" fontId="10" fillId="36" borderId="3" xfId="0" applyFont="1" applyFill="1" applyBorder="1" applyAlignment="1">
      <alignment horizontal="center"/>
    </xf>
    <xf numFmtId="9" fontId="10" fillId="362" borderId="2" xfId="0" applyNumberFormat="1" applyFont="1" applyFill="1" applyBorder="1" applyAlignment="1">
      <alignment horizontal="center"/>
    </xf>
    <xf numFmtId="10" fontId="10" fillId="113" borderId="2" xfId="0" applyNumberFormat="1" applyFont="1" applyFill="1" applyBorder="1" applyAlignment="1">
      <alignment horizontal="center"/>
    </xf>
    <xf numFmtId="0" fontId="10" fillId="98" borderId="13" xfId="0" applyFont="1" applyFill="1" applyBorder="1" applyAlignment="1">
      <alignment horizontal="center"/>
    </xf>
    <xf numFmtId="0" fontId="10" fillId="307" borderId="3" xfId="0" applyFont="1" applyFill="1" applyBorder="1" applyAlignment="1">
      <alignment horizontal="center"/>
    </xf>
    <xf numFmtId="9" fontId="10" fillId="76" borderId="1" xfId="0" applyNumberFormat="1" applyFont="1" applyFill="1" applyBorder="1" applyAlignment="1">
      <alignment horizontal="center"/>
    </xf>
    <xf numFmtId="9" fontId="10" fillId="140" borderId="4" xfId="0" applyNumberFormat="1" applyFont="1" applyFill="1" applyBorder="1" applyAlignment="1">
      <alignment horizontal="center"/>
    </xf>
    <xf numFmtId="10" fontId="10" fillId="367" borderId="1" xfId="0" applyNumberFormat="1" applyFont="1" applyFill="1" applyBorder="1" applyAlignment="1">
      <alignment horizontal="center"/>
    </xf>
    <xf numFmtId="10" fontId="10" fillId="127" borderId="1" xfId="0" applyNumberFormat="1" applyFont="1" applyFill="1" applyBorder="1" applyAlignment="1">
      <alignment horizontal="center"/>
    </xf>
    <xf numFmtId="10" fontId="10" fillId="197" borderId="1" xfId="0" applyNumberFormat="1" applyFont="1" applyFill="1" applyBorder="1" applyAlignment="1">
      <alignment horizontal="center"/>
    </xf>
    <xf numFmtId="10" fontId="10" fillId="537" borderId="4" xfId="0" applyNumberFormat="1" applyFont="1" applyFill="1" applyBorder="1" applyAlignment="1">
      <alignment horizontal="center"/>
    </xf>
    <xf numFmtId="0" fontId="10" fillId="278" borderId="2" xfId="0" applyFont="1" applyFill="1" applyBorder="1" applyAlignment="1">
      <alignment horizontal="center"/>
    </xf>
    <xf numFmtId="0" fontId="10" fillId="605" borderId="2" xfId="0" applyFont="1" applyFill="1" applyBorder="1" applyAlignment="1">
      <alignment horizontal="center"/>
    </xf>
    <xf numFmtId="9" fontId="10" fillId="121" borderId="3" xfId="0" applyNumberFormat="1" applyFont="1" applyFill="1" applyBorder="1" applyAlignment="1">
      <alignment horizontal="center"/>
    </xf>
    <xf numFmtId="0" fontId="10" fillId="233" borderId="3" xfId="0" applyFont="1" applyFill="1" applyBorder="1" applyAlignment="1">
      <alignment horizontal="center"/>
    </xf>
    <xf numFmtId="0" fontId="10" fillId="603" borderId="2" xfId="0" applyFont="1" applyFill="1" applyBorder="1" applyAlignment="1">
      <alignment horizontal="center"/>
    </xf>
    <xf numFmtId="9" fontId="10" fillId="508" borderId="2" xfId="0" applyNumberFormat="1" applyFont="1" applyFill="1" applyBorder="1" applyAlignment="1">
      <alignment horizontal="center"/>
    </xf>
    <xf numFmtId="10" fontId="10" fillId="697" borderId="2" xfId="0" applyNumberFormat="1" applyFont="1" applyFill="1" applyBorder="1" applyAlignment="1">
      <alignment horizontal="center"/>
    </xf>
    <xf numFmtId="10" fontId="10" fillId="23" borderId="3" xfId="0" applyNumberFormat="1" applyFont="1" applyFill="1" applyBorder="1" applyAlignment="1">
      <alignment horizontal="center"/>
    </xf>
    <xf numFmtId="0" fontId="10" fillId="444" borderId="3" xfId="0" applyFont="1" applyFill="1" applyBorder="1" applyAlignment="1">
      <alignment horizontal="center"/>
    </xf>
    <xf numFmtId="0" fontId="10" fillId="850" borderId="2" xfId="0" applyFont="1" applyFill="1" applyBorder="1" applyAlignment="1">
      <alignment horizontal="center"/>
    </xf>
    <xf numFmtId="0" fontId="10" fillId="891" borderId="2" xfId="0" applyFont="1" applyFill="1" applyBorder="1" applyAlignment="1">
      <alignment horizontal="center"/>
    </xf>
    <xf numFmtId="0" fontId="10" fillId="891" borderId="3" xfId="0" applyFont="1" applyFill="1" applyBorder="1" applyAlignment="1">
      <alignment horizontal="center"/>
    </xf>
    <xf numFmtId="0" fontId="10" fillId="469" borderId="1" xfId="0" applyFont="1" applyFill="1" applyBorder="1" applyAlignment="1">
      <alignment horizontal="center"/>
    </xf>
    <xf numFmtId="9" fontId="10" fillId="48" borderId="4" xfId="0" applyNumberFormat="1" applyFont="1" applyFill="1" applyBorder="1" applyAlignment="1">
      <alignment horizontal="center"/>
    </xf>
    <xf numFmtId="0" fontId="10" fillId="333" borderId="4" xfId="0" applyFont="1" applyFill="1" applyBorder="1" applyAlignment="1">
      <alignment horizontal="center"/>
    </xf>
    <xf numFmtId="0" fontId="10" fillId="60" borderId="1" xfId="0" applyFont="1" applyFill="1" applyBorder="1" applyAlignment="1">
      <alignment horizontal="center"/>
    </xf>
    <xf numFmtId="9" fontId="10" fillId="398" borderId="1" xfId="0" applyNumberFormat="1" applyFont="1" applyFill="1" applyBorder="1" applyAlignment="1">
      <alignment horizontal="center"/>
    </xf>
    <xf numFmtId="10" fontId="10" fillId="202" borderId="1" xfId="0" applyNumberFormat="1" applyFont="1" applyFill="1" applyBorder="1" applyAlignment="1">
      <alignment horizontal="center"/>
    </xf>
    <xf numFmtId="0" fontId="10" fillId="241" borderId="16" xfId="0" applyFont="1" applyFill="1" applyBorder="1" applyAlignment="1">
      <alignment horizontal="center"/>
    </xf>
    <xf numFmtId="0" fontId="10" fillId="892" borderId="1" xfId="0" applyFont="1" applyFill="1" applyBorder="1" applyAlignment="1">
      <alignment horizontal="center"/>
    </xf>
    <xf numFmtId="0" fontId="10" fillId="892" borderId="4" xfId="0" applyFont="1" applyFill="1" applyBorder="1" applyAlignment="1">
      <alignment horizontal="center"/>
    </xf>
    <xf numFmtId="9" fontId="10" fillId="134" borderId="2" xfId="0" applyNumberFormat="1" applyFont="1" applyFill="1" applyBorder="1" applyAlignment="1">
      <alignment horizontal="center"/>
    </xf>
    <xf numFmtId="0" fontId="10" fillId="124" borderId="3" xfId="0" applyFont="1" applyFill="1" applyBorder="1" applyAlignment="1">
      <alignment horizontal="center"/>
    </xf>
    <xf numFmtId="0" fontId="10" fillId="430" borderId="2" xfId="0" applyFont="1" applyFill="1" applyBorder="1" applyAlignment="1">
      <alignment horizontal="center"/>
    </xf>
    <xf numFmtId="9" fontId="10" fillId="98" borderId="2" xfId="0" applyNumberFormat="1" applyFont="1" applyFill="1" applyBorder="1" applyAlignment="1">
      <alignment horizontal="center"/>
    </xf>
    <xf numFmtId="10" fontId="10" fillId="819" borderId="3" xfId="0" applyNumberFormat="1" applyFont="1" applyFill="1" applyBorder="1" applyAlignment="1">
      <alignment horizontal="center"/>
    </xf>
    <xf numFmtId="0" fontId="10" fillId="206" borderId="13" xfId="0" applyFont="1" applyFill="1" applyBorder="1" applyAlignment="1">
      <alignment horizontal="center"/>
    </xf>
    <xf numFmtId="0" fontId="10" fillId="558" borderId="3" xfId="0" applyFont="1" applyFill="1" applyBorder="1" applyAlignment="1">
      <alignment horizontal="center"/>
    </xf>
    <xf numFmtId="0" fontId="10" fillId="769" borderId="13" xfId="0" applyFont="1" applyFill="1" applyBorder="1" applyAlignment="1">
      <alignment horizontal="center"/>
    </xf>
    <xf numFmtId="0" fontId="10" fillId="306" borderId="2" xfId="0" applyFont="1" applyFill="1" applyBorder="1" applyAlignment="1">
      <alignment horizontal="center"/>
    </xf>
    <xf numFmtId="0" fontId="10" fillId="306" borderId="3" xfId="0" applyFont="1" applyFill="1" applyBorder="1" applyAlignment="1">
      <alignment horizontal="center"/>
    </xf>
    <xf numFmtId="0" fontId="10" fillId="43" borderId="1" xfId="0" applyFont="1" applyFill="1" applyBorder="1" applyAlignment="1">
      <alignment horizontal="center"/>
    </xf>
    <xf numFmtId="0" fontId="10" fillId="100" borderId="4" xfId="0" applyFont="1" applyFill="1" applyBorder="1" applyAlignment="1">
      <alignment horizontal="center"/>
    </xf>
    <xf numFmtId="9" fontId="10" fillId="357" borderId="1" xfId="0" applyNumberFormat="1" applyFont="1" applyFill="1" applyBorder="1" applyAlignment="1">
      <alignment horizontal="center"/>
    </xf>
    <xf numFmtId="10" fontId="10" fillId="82" borderId="1" xfId="0" applyNumberFormat="1" applyFont="1" applyFill="1" applyBorder="1" applyAlignment="1">
      <alignment horizontal="center"/>
    </xf>
    <xf numFmtId="10" fontId="10" fillId="213" borderId="1" xfId="0" applyNumberFormat="1" applyFont="1" applyFill="1" applyBorder="1" applyAlignment="1">
      <alignment horizontal="center"/>
    </xf>
    <xf numFmtId="10" fontId="10" fillId="61" borderId="4" xfId="0" applyNumberFormat="1" applyFont="1" applyFill="1" applyBorder="1" applyAlignment="1">
      <alignment horizontal="center"/>
    </xf>
    <xf numFmtId="0" fontId="10" fillId="356" borderId="16" xfId="0" applyFont="1" applyFill="1" applyBorder="1" applyAlignment="1">
      <alignment horizontal="center"/>
    </xf>
    <xf numFmtId="0" fontId="10" fillId="183" borderId="1" xfId="0" applyFont="1" applyFill="1" applyBorder="1" applyAlignment="1">
      <alignment horizontal="center"/>
    </xf>
    <xf numFmtId="0" fontId="10" fillId="183" borderId="4" xfId="0" applyFont="1" applyFill="1" applyBorder="1" applyAlignment="1">
      <alignment horizontal="center"/>
    </xf>
    <xf numFmtId="0" fontId="10" fillId="25" borderId="2" xfId="0" applyFont="1" applyFill="1" applyBorder="1" applyAlignment="1">
      <alignment horizontal="center"/>
    </xf>
    <xf numFmtId="9" fontId="10" fillId="36" borderId="2" xfId="0" applyNumberFormat="1" applyFont="1" applyFill="1" applyBorder="1" applyAlignment="1">
      <alignment horizontal="center"/>
    </xf>
    <xf numFmtId="0" fontId="10" fillId="469" borderId="2" xfId="0" applyFont="1" applyFill="1" applyBorder="1" applyAlignment="1">
      <alignment horizontal="center"/>
    </xf>
    <xf numFmtId="9" fontId="10" fillId="110" borderId="2" xfId="0" applyNumberFormat="1" applyFont="1" applyFill="1" applyBorder="1" applyAlignment="1">
      <alignment horizontal="center"/>
    </xf>
    <xf numFmtId="10" fontId="10" fillId="477" borderId="2" xfId="0" applyNumberFormat="1" applyFont="1" applyFill="1" applyBorder="1" applyAlignment="1">
      <alignment horizontal="center"/>
    </xf>
    <xf numFmtId="10" fontId="10" fillId="150" borderId="2" xfId="0" applyNumberFormat="1" applyFont="1" applyFill="1" applyBorder="1" applyAlignment="1">
      <alignment horizontal="center"/>
    </xf>
    <xf numFmtId="10" fontId="10" fillId="74" borderId="3" xfId="0" applyNumberFormat="1" applyFont="1" applyFill="1" applyBorder="1" applyAlignment="1">
      <alignment horizontal="center"/>
    </xf>
    <xf numFmtId="0" fontId="10" fillId="248" borderId="13" xfId="0" applyFont="1" applyFill="1" applyBorder="1" applyAlignment="1">
      <alignment horizontal="center"/>
    </xf>
    <xf numFmtId="0" fontId="10" fillId="578" borderId="2" xfId="0" applyFont="1" applyFill="1" applyBorder="1" applyAlignment="1">
      <alignment horizontal="center"/>
    </xf>
    <xf numFmtId="0" fontId="10" fillId="893" borderId="1" xfId="0" applyFont="1" applyFill="1" applyBorder="1" applyAlignment="1">
      <alignment horizontal="center"/>
    </xf>
    <xf numFmtId="0" fontId="10" fillId="224" borderId="4" xfId="0" applyFont="1" applyFill="1" applyBorder="1" applyAlignment="1">
      <alignment horizontal="center"/>
    </xf>
    <xf numFmtId="10" fontId="10" fillId="121" borderId="1" xfId="0" applyNumberFormat="1" applyFont="1" applyFill="1" applyBorder="1" applyAlignment="1">
      <alignment horizontal="center"/>
    </xf>
    <xf numFmtId="10" fontId="10" fillId="623" borderId="1" xfId="0" applyNumberFormat="1" applyFont="1" applyFill="1" applyBorder="1" applyAlignment="1">
      <alignment horizontal="center"/>
    </xf>
    <xf numFmtId="10" fontId="10" fillId="143" borderId="1" xfId="0" applyNumberFormat="1" applyFont="1" applyFill="1" applyBorder="1" applyAlignment="1">
      <alignment horizontal="center"/>
    </xf>
    <xf numFmtId="10" fontId="10" fillId="377" borderId="4" xfId="0" applyNumberFormat="1" applyFont="1" applyFill="1" applyBorder="1" applyAlignment="1">
      <alignment horizontal="center"/>
    </xf>
    <xf numFmtId="0" fontId="10" fillId="306" borderId="1" xfId="0" applyFont="1" applyFill="1" applyBorder="1" applyAlignment="1">
      <alignment horizontal="center"/>
    </xf>
    <xf numFmtId="0" fontId="10" fillId="289" borderId="1" xfId="0" applyFont="1" applyFill="1" applyBorder="1" applyAlignment="1">
      <alignment horizontal="center"/>
    </xf>
    <xf numFmtId="0" fontId="10" fillId="289" borderId="4" xfId="0" applyFont="1" applyFill="1" applyBorder="1" applyAlignment="1">
      <alignment horizontal="center"/>
    </xf>
    <xf numFmtId="9" fontId="10" fillId="224" borderId="2" xfId="0" applyNumberFormat="1" applyFont="1" applyFill="1" applyBorder="1" applyAlignment="1">
      <alignment horizontal="center"/>
    </xf>
    <xf numFmtId="0" fontId="10" fillId="894" borderId="2" xfId="0" applyFont="1" applyFill="1" applyBorder="1" applyAlignment="1">
      <alignment horizontal="center"/>
    </xf>
    <xf numFmtId="0" fontId="10" fillId="166" borderId="2" xfId="0" applyFont="1" applyFill="1" applyBorder="1" applyAlignment="1">
      <alignment horizontal="center"/>
    </xf>
    <xf numFmtId="9" fontId="10" fillId="301" borderId="2" xfId="0" applyNumberFormat="1" applyFont="1" applyFill="1" applyBorder="1" applyAlignment="1">
      <alignment horizontal="center"/>
    </xf>
    <xf numFmtId="10" fontId="10" fillId="416" borderId="2" xfId="0" applyNumberFormat="1" applyFont="1" applyFill="1" applyBorder="1" applyAlignment="1">
      <alignment horizontal="center"/>
    </xf>
    <xf numFmtId="0" fontId="10" fillId="890" borderId="2" xfId="0" applyFont="1" applyFill="1" applyBorder="1" applyAlignment="1">
      <alignment horizontal="center"/>
    </xf>
    <xf numFmtId="0" fontId="10" fillId="895" borderId="2" xfId="0" applyFont="1" applyFill="1" applyBorder="1" applyAlignment="1">
      <alignment horizontal="center"/>
    </xf>
    <xf numFmtId="0" fontId="10" fillId="895" borderId="3" xfId="0" applyFont="1" applyFill="1" applyBorder="1" applyAlignment="1">
      <alignment horizontal="center"/>
    </xf>
    <xf numFmtId="0" fontId="10" fillId="18" borderId="1" xfId="0" applyFont="1" applyFill="1" applyBorder="1" applyAlignment="1">
      <alignment horizontal="center"/>
    </xf>
    <xf numFmtId="9" fontId="10" fillId="263" borderId="1" xfId="0" applyNumberFormat="1" applyFont="1" applyFill="1" applyBorder="1" applyAlignment="1">
      <alignment horizontal="center"/>
    </xf>
    <xf numFmtId="0" fontId="10" fillId="896" borderId="1" xfId="0" applyFont="1" applyFill="1" applyBorder="1" applyAlignment="1">
      <alignment horizontal="center"/>
    </xf>
    <xf numFmtId="9" fontId="10" fillId="21" borderId="4" xfId="0" applyNumberFormat="1" applyFont="1" applyFill="1" applyBorder="1" applyAlignment="1">
      <alignment horizontal="center"/>
    </xf>
    <xf numFmtId="0" fontId="10" fillId="779" borderId="1" xfId="0" applyFont="1" applyFill="1" applyBorder="1" applyAlignment="1">
      <alignment horizontal="center"/>
    </xf>
    <xf numFmtId="0" fontId="10" fillId="897" borderId="1" xfId="0" applyFont="1" applyFill="1" applyBorder="1" applyAlignment="1">
      <alignment horizontal="center"/>
    </xf>
    <xf numFmtId="0" fontId="10" fillId="897" borderId="4" xfId="0" applyFont="1" applyFill="1" applyBorder="1" applyAlignment="1">
      <alignment horizontal="center"/>
    </xf>
    <xf numFmtId="9" fontId="10" fillId="115" borderId="2" xfId="0" applyNumberFormat="1" applyFont="1" applyFill="1" applyBorder="1" applyAlignment="1">
      <alignment horizontal="center"/>
    </xf>
    <xf numFmtId="0" fontId="10" fillId="898" borderId="2" xfId="0" applyFont="1" applyFill="1" applyBorder="1" applyAlignment="1">
      <alignment horizontal="center"/>
    </xf>
    <xf numFmtId="9" fontId="10" fillId="62" borderId="3" xfId="0" applyNumberFormat="1" applyFont="1" applyFill="1" applyBorder="1" applyAlignment="1">
      <alignment horizontal="center"/>
    </xf>
    <xf numFmtId="0" fontId="10" fillId="143" borderId="3" xfId="0" applyFont="1" applyFill="1" applyBorder="1" applyAlignment="1">
      <alignment horizontal="center"/>
    </xf>
    <xf numFmtId="0" fontId="10" fillId="27" borderId="2" xfId="0" applyFont="1" applyFill="1" applyBorder="1" applyAlignment="1">
      <alignment horizontal="center"/>
    </xf>
    <xf numFmtId="9" fontId="10" fillId="20" borderId="2" xfId="0" applyNumberFormat="1" applyFont="1" applyFill="1" applyBorder="1" applyAlignment="1">
      <alignment horizontal="center"/>
    </xf>
    <xf numFmtId="0" fontId="10" fillId="81" borderId="3" xfId="0" applyFont="1" applyFill="1" applyBorder="1" applyAlignment="1">
      <alignment horizontal="center"/>
    </xf>
    <xf numFmtId="10" fontId="10" fillId="271" borderId="3" xfId="0" applyNumberFormat="1" applyFont="1" applyFill="1" applyBorder="1" applyAlignment="1">
      <alignment horizontal="center"/>
    </xf>
    <xf numFmtId="0" fontId="10" fillId="709" borderId="2" xfId="0" applyFont="1" applyFill="1" applyBorder="1" applyAlignment="1">
      <alignment horizontal="center"/>
    </xf>
    <xf numFmtId="0" fontId="10" fillId="192" borderId="2" xfId="0" applyFont="1" applyFill="1" applyBorder="1" applyAlignment="1">
      <alignment horizontal="center"/>
    </xf>
    <xf numFmtId="0" fontId="10" fillId="192" borderId="3" xfId="0" applyFont="1" applyFill="1" applyBorder="1" applyAlignment="1">
      <alignment horizontal="center"/>
    </xf>
    <xf numFmtId="0" fontId="10" fillId="168" borderId="1" xfId="0" applyFont="1" applyFill="1" applyBorder="1" applyAlignment="1">
      <alignment horizontal="center"/>
    </xf>
    <xf numFmtId="0" fontId="10" fillId="899" borderId="1" xfId="0" applyFont="1" applyFill="1" applyBorder="1" applyAlignment="1">
      <alignment horizontal="center"/>
    </xf>
    <xf numFmtId="0" fontId="10" fillId="149" borderId="4" xfId="0" applyFont="1" applyFill="1" applyBorder="1" applyAlignment="1">
      <alignment horizontal="center"/>
    </xf>
    <xf numFmtId="9" fontId="10" fillId="595" borderId="1" xfId="0" applyNumberFormat="1" applyFont="1" applyFill="1" applyBorder="1" applyAlignment="1">
      <alignment horizontal="center"/>
    </xf>
    <xf numFmtId="0" fontId="10" fillId="834" borderId="4" xfId="0" applyFont="1" applyFill="1" applyBorder="1" applyAlignment="1">
      <alignment horizontal="center"/>
    </xf>
    <xf numFmtId="10" fontId="10" fillId="25" borderId="1" xfId="0" applyNumberFormat="1" applyFont="1" applyFill="1" applyBorder="1" applyAlignment="1">
      <alignment horizontal="center"/>
    </xf>
    <xf numFmtId="10" fontId="10" fillId="508" borderId="1" xfId="0" applyNumberFormat="1" applyFont="1" applyFill="1" applyBorder="1" applyAlignment="1">
      <alignment horizontal="center"/>
    </xf>
    <xf numFmtId="10" fontId="10" fillId="108" borderId="4" xfId="0" applyNumberFormat="1" applyFont="1" applyFill="1" applyBorder="1" applyAlignment="1">
      <alignment horizontal="center"/>
    </xf>
    <xf numFmtId="0" fontId="10" fillId="206" borderId="16" xfId="0" applyFont="1" applyFill="1" applyBorder="1" applyAlignment="1">
      <alignment horizontal="center"/>
    </xf>
    <xf numFmtId="0" fontId="10" fillId="900" borderId="1" xfId="0" applyFont="1" applyFill="1" applyBorder="1" applyAlignment="1">
      <alignment horizontal="center"/>
    </xf>
    <xf numFmtId="0" fontId="10" fillId="235" borderId="1" xfId="0" applyFont="1" applyFill="1" applyBorder="1" applyAlignment="1">
      <alignment horizontal="center"/>
    </xf>
    <xf numFmtId="0" fontId="10" fillId="235" borderId="4" xfId="0" applyFont="1" applyFill="1" applyBorder="1" applyAlignment="1">
      <alignment horizontal="center"/>
    </xf>
    <xf numFmtId="0" fontId="10" fillId="40" borderId="3" xfId="0" applyFont="1" applyFill="1" applyBorder="1" applyAlignment="1">
      <alignment horizontal="center"/>
    </xf>
    <xf numFmtId="0" fontId="10" fillId="128" borderId="2" xfId="0" applyFont="1" applyFill="1" applyBorder="1" applyAlignment="1">
      <alignment horizontal="center"/>
    </xf>
    <xf numFmtId="9" fontId="10" fillId="596" borderId="2" xfId="0" applyNumberFormat="1" applyFont="1" applyFill="1" applyBorder="1" applyAlignment="1">
      <alignment horizontal="center"/>
    </xf>
    <xf numFmtId="10" fontId="10" fillId="316" borderId="2" xfId="0" applyNumberFormat="1" applyFont="1" applyFill="1" applyBorder="1" applyAlignment="1">
      <alignment horizontal="center"/>
    </xf>
    <xf numFmtId="10" fontId="10" fillId="467" borderId="2" xfId="0" applyNumberFormat="1" applyFont="1" applyFill="1" applyBorder="1" applyAlignment="1">
      <alignment horizontal="center"/>
    </xf>
    <xf numFmtId="10" fontId="10" fillId="312" borderId="3" xfId="0" applyNumberFormat="1" applyFont="1" applyFill="1" applyBorder="1" applyAlignment="1">
      <alignment horizontal="center"/>
    </xf>
    <xf numFmtId="9" fontId="10" fillId="121" borderId="1" xfId="0" applyNumberFormat="1" applyFont="1" applyFill="1" applyBorder="1" applyAlignment="1">
      <alignment horizontal="center"/>
    </xf>
    <xf numFmtId="0" fontId="10" fillId="317" borderId="1" xfId="0" applyFont="1" applyFill="1" applyBorder="1" applyAlignment="1">
      <alignment horizontal="center"/>
    </xf>
    <xf numFmtId="9" fontId="10" fillId="62" borderId="4" xfId="0" applyNumberFormat="1" applyFont="1" applyFill="1" applyBorder="1" applyAlignment="1">
      <alignment horizontal="center"/>
    </xf>
    <xf numFmtId="9" fontId="10" fillId="138" borderId="1" xfId="0" applyNumberFormat="1" applyFont="1" applyFill="1" applyBorder="1" applyAlignment="1">
      <alignment horizontal="center"/>
    </xf>
    <xf numFmtId="10" fontId="10" fillId="38" borderId="4" xfId="0" applyNumberFormat="1" applyFont="1" applyFill="1" applyBorder="1" applyAlignment="1">
      <alignment horizontal="center"/>
    </xf>
    <xf numFmtId="0" fontId="10" fillId="387" borderId="4" xfId="0" applyFont="1" applyFill="1" applyBorder="1" applyAlignment="1">
      <alignment horizontal="center"/>
    </xf>
    <xf numFmtId="0" fontId="10" fillId="885" borderId="1" xfId="0" applyFont="1" applyFill="1" applyBorder="1" applyAlignment="1">
      <alignment horizontal="center"/>
    </xf>
    <xf numFmtId="0" fontId="10" fillId="885" borderId="4" xfId="0" applyFont="1" applyFill="1" applyBorder="1" applyAlignment="1">
      <alignment horizontal="center"/>
    </xf>
    <xf numFmtId="0" fontId="1" fillId="0" borderId="2" xfId="0" applyFont="1" applyBorder="1"/>
    <xf numFmtId="165" fontId="10" fillId="12" borderId="2" xfId="0" applyNumberFormat="1" applyFont="1" applyFill="1" applyBorder="1" applyAlignment="1">
      <alignment horizontal="center"/>
    </xf>
    <xf numFmtId="0" fontId="10" fillId="421" borderId="2" xfId="0" applyFont="1" applyFill="1" applyBorder="1" applyAlignment="1">
      <alignment horizontal="center"/>
    </xf>
    <xf numFmtId="0" fontId="10" fillId="448" borderId="2" xfId="0" applyFont="1" applyFill="1" applyBorder="1" applyAlignment="1">
      <alignment horizontal="center"/>
    </xf>
    <xf numFmtId="9" fontId="10" fillId="15" borderId="3" xfId="0" applyNumberFormat="1" applyFont="1" applyFill="1" applyBorder="1" applyAlignment="1">
      <alignment horizontal="center"/>
    </xf>
    <xf numFmtId="0" fontId="10" fillId="35" borderId="3" xfId="0" applyFont="1" applyFill="1" applyBorder="1" applyAlignment="1">
      <alignment horizontal="center"/>
    </xf>
    <xf numFmtId="0" fontId="10" fillId="46" borderId="2" xfId="0" applyFont="1" applyFill="1" applyBorder="1" applyAlignment="1">
      <alignment horizontal="center"/>
    </xf>
    <xf numFmtId="9" fontId="10" fillId="257" borderId="2" xfId="0" applyNumberFormat="1" applyFont="1" applyFill="1" applyBorder="1" applyAlignment="1">
      <alignment horizontal="center"/>
    </xf>
    <xf numFmtId="9" fontId="10" fillId="166" borderId="2" xfId="0" applyNumberFormat="1" applyFont="1" applyFill="1" applyBorder="1" applyAlignment="1">
      <alignment horizontal="center"/>
    </xf>
    <xf numFmtId="0" fontId="10" fillId="595" borderId="3" xfId="0" applyFont="1" applyFill="1" applyBorder="1" applyAlignment="1">
      <alignment horizontal="center"/>
    </xf>
    <xf numFmtId="10" fontId="10" fillId="410" borderId="2" xfId="0" applyNumberFormat="1" applyFont="1" applyFill="1" applyBorder="1" applyAlignment="1">
      <alignment horizontal="center"/>
    </xf>
    <xf numFmtId="10" fontId="10" fillId="84" borderId="2" xfId="0" applyNumberFormat="1" applyFont="1" applyFill="1" applyBorder="1" applyAlignment="1">
      <alignment horizontal="center"/>
    </xf>
    <xf numFmtId="10" fontId="10" fillId="786" borderId="3" xfId="0" applyNumberFormat="1" applyFont="1" applyFill="1" applyBorder="1" applyAlignment="1">
      <alignment horizontal="center"/>
    </xf>
    <xf numFmtId="0" fontId="10" fillId="50" borderId="13" xfId="0" applyFont="1" applyFill="1" applyBorder="1" applyAlignment="1">
      <alignment horizontal="center"/>
    </xf>
    <xf numFmtId="0" fontId="10" fillId="256" borderId="3" xfId="0" applyFont="1" applyFill="1" applyBorder="1" applyAlignment="1">
      <alignment horizontal="center"/>
    </xf>
    <xf numFmtId="0" fontId="10" fillId="901" borderId="2" xfId="0" applyFont="1" applyFill="1" applyBorder="1" applyAlignment="1">
      <alignment horizontal="center"/>
    </xf>
    <xf numFmtId="0" fontId="10" fillId="575" borderId="2" xfId="0" applyFont="1" applyFill="1" applyBorder="1" applyAlignment="1">
      <alignment horizontal="center"/>
    </xf>
    <xf numFmtId="0" fontId="10" fillId="575" borderId="3" xfId="0" applyFont="1" applyFill="1" applyBorder="1" applyAlignment="1">
      <alignment horizontal="center"/>
    </xf>
    <xf numFmtId="0" fontId="10" fillId="25" borderId="1" xfId="0" applyFont="1" applyFill="1" applyBorder="1" applyAlignment="1">
      <alignment horizontal="center"/>
    </xf>
    <xf numFmtId="9" fontId="10" fillId="258" borderId="1" xfId="0" applyNumberFormat="1" applyFont="1" applyFill="1" applyBorder="1" applyAlignment="1">
      <alignment horizontal="center"/>
    </xf>
    <xf numFmtId="0" fontId="10" fillId="724" borderId="1" xfId="0" applyFont="1" applyFill="1" applyBorder="1" applyAlignment="1">
      <alignment horizontal="center"/>
    </xf>
    <xf numFmtId="0" fontId="10" fillId="161" borderId="1" xfId="0" applyFont="1" applyFill="1" applyBorder="1" applyAlignment="1">
      <alignment horizontal="center"/>
    </xf>
    <xf numFmtId="9" fontId="10" fillId="41" borderId="1" xfId="0" applyNumberFormat="1" applyFont="1" applyFill="1" applyBorder="1" applyAlignment="1">
      <alignment horizontal="center"/>
    </xf>
    <xf numFmtId="0" fontId="10" fillId="595" borderId="4" xfId="0" applyFont="1" applyFill="1" applyBorder="1" applyAlignment="1">
      <alignment horizontal="center"/>
    </xf>
    <xf numFmtId="10" fontId="10" fillId="59" borderId="1" xfId="0" applyNumberFormat="1" applyFont="1" applyFill="1" applyBorder="1" applyAlignment="1">
      <alignment horizontal="center"/>
    </xf>
    <xf numFmtId="10" fontId="10" fillId="358" borderId="1" xfId="0" applyNumberFormat="1" applyFont="1" applyFill="1" applyBorder="1" applyAlignment="1">
      <alignment horizontal="center"/>
    </xf>
    <xf numFmtId="10" fontId="10" fillId="493" borderId="1" xfId="0" applyNumberFormat="1" applyFont="1" applyFill="1" applyBorder="1" applyAlignment="1">
      <alignment horizontal="center"/>
    </xf>
    <xf numFmtId="10" fontId="10" fillId="358" borderId="4" xfId="0" applyNumberFormat="1" applyFont="1" applyFill="1" applyBorder="1" applyAlignment="1">
      <alignment horizontal="center"/>
    </xf>
    <xf numFmtId="0" fontId="10" fillId="176" borderId="16" xfId="0" applyFont="1" applyFill="1" applyBorder="1" applyAlignment="1">
      <alignment horizontal="center"/>
    </xf>
    <xf numFmtId="0" fontId="10" fillId="132" borderId="16" xfId="0" applyFont="1" applyFill="1" applyBorder="1" applyAlignment="1">
      <alignment horizontal="center"/>
    </xf>
    <xf numFmtId="0" fontId="10" fillId="583" borderId="1" xfId="0" applyFont="1" applyFill="1" applyBorder="1" applyAlignment="1">
      <alignment horizontal="center"/>
    </xf>
    <xf numFmtId="0" fontId="10" fillId="775" borderId="1" xfId="0" applyFont="1" applyFill="1" applyBorder="1" applyAlignment="1">
      <alignment horizontal="center"/>
    </xf>
    <xf numFmtId="0" fontId="10" fillId="775" borderId="4" xfId="0" applyFont="1" applyFill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9" fontId="10" fillId="530" borderId="3" xfId="0" applyNumberFormat="1" applyFont="1" applyFill="1" applyBorder="1" applyAlignment="1">
      <alignment horizontal="center"/>
    </xf>
    <xf numFmtId="0" fontId="10" fillId="223" borderId="3" xfId="0" applyFont="1" applyFill="1" applyBorder="1" applyAlignment="1">
      <alignment horizontal="center"/>
    </xf>
    <xf numFmtId="10" fontId="10" fillId="451" borderId="2" xfId="0" applyNumberFormat="1" applyFont="1" applyFill="1" applyBorder="1" applyAlignment="1">
      <alignment horizontal="center"/>
    </xf>
    <xf numFmtId="10" fontId="10" fillId="563" borderId="2" xfId="0" applyNumberFormat="1" applyFont="1" applyFill="1" applyBorder="1" applyAlignment="1">
      <alignment horizontal="center"/>
    </xf>
    <xf numFmtId="10" fontId="10" fillId="272" borderId="3" xfId="0" applyNumberFormat="1" applyFont="1" applyFill="1" applyBorder="1" applyAlignment="1">
      <alignment horizontal="center"/>
    </xf>
    <xf numFmtId="0" fontId="10" fillId="902" borderId="2" xfId="0" applyFont="1" applyFill="1" applyBorder="1" applyAlignment="1">
      <alignment horizontal="center"/>
    </xf>
    <xf numFmtId="0" fontId="10" fillId="902" borderId="3" xfId="0" applyFont="1" applyFill="1" applyBorder="1" applyAlignment="1">
      <alignment horizontal="center"/>
    </xf>
    <xf numFmtId="0" fontId="10" fillId="278" borderId="1" xfId="0" applyFont="1" applyFill="1" applyBorder="1" applyAlignment="1">
      <alignment horizontal="center"/>
    </xf>
    <xf numFmtId="9" fontId="10" fillId="95" borderId="1" xfId="0" applyNumberFormat="1" applyFont="1" applyFill="1" applyBorder="1" applyAlignment="1">
      <alignment horizontal="center"/>
    </xf>
    <xf numFmtId="0" fontId="10" fillId="424" borderId="1" xfId="0" applyFont="1" applyFill="1" applyBorder="1" applyAlignment="1">
      <alignment horizontal="center"/>
    </xf>
    <xf numFmtId="9" fontId="10" fillId="255" borderId="4" xfId="0" applyNumberFormat="1" applyFont="1" applyFill="1" applyBorder="1" applyAlignment="1">
      <alignment horizontal="center"/>
    </xf>
    <xf numFmtId="0" fontId="10" fillId="195" borderId="1" xfId="0" applyFont="1" applyFill="1" applyBorder="1" applyAlignment="1">
      <alignment horizontal="center"/>
    </xf>
    <xf numFmtId="9" fontId="10" fillId="109" borderId="1" xfId="0" applyNumberFormat="1" applyFont="1" applyFill="1" applyBorder="1" applyAlignment="1">
      <alignment horizontal="center"/>
    </xf>
    <xf numFmtId="0" fontId="10" fillId="207" borderId="4" xfId="0" applyFont="1" applyFill="1" applyBorder="1" applyAlignment="1">
      <alignment horizontal="center"/>
    </xf>
    <xf numFmtId="10" fontId="10" fillId="15" borderId="1" xfId="0" applyNumberFormat="1" applyFont="1" applyFill="1" applyBorder="1" applyAlignment="1">
      <alignment horizontal="center"/>
    </xf>
    <xf numFmtId="10" fontId="10" fillId="78" borderId="1" xfId="0" applyNumberFormat="1" applyFont="1" applyFill="1" applyBorder="1" applyAlignment="1">
      <alignment horizontal="center"/>
    </xf>
    <xf numFmtId="0" fontId="10" fillId="273" borderId="16" xfId="0" applyFont="1" applyFill="1" applyBorder="1" applyAlignment="1">
      <alignment horizontal="center"/>
    </xf>
    <xf numFmtId="0" fontId="10" fillId="903" borderId="2" xfId="0" applyFont="1" applyFill="1" applyBorder="1" applyAlignment="1">
      <alignment horizontal="center"/>
    </xf>
    <xf numFmtId="0" fontId="10" fillId="109" borderId="2" xfId="0" applyFont="1" applyFill="1" applyBorder="1" applyAlignment="1">
      <alignment horizontal="center"/>
    </xf>
    <xf numFmtId="9" fontId="10" fillId="176" borderId="2" xfId="0" applyNumberFormat="1" applyFont="1" applyFill="1" applyBorder="1" applyAlignment="1">
      <alignment horizontal="center"/>
    </xf>
    <xf numFmtId="10" fontId="10" fillId="124" borderId="2" xfId="0" applyNumberFormat="1" applyFont="1" applyFill="1" applyBorder="1" applyAlignment="1">
      <alignment horizontal="center"/>
    </xf>
    <xf numFmtId="10" fontId="10" fillId="15" borderId="2" xfId="0" applyNumberFormat="1" applyFont="1" applyFill="1" applyBorder="1" applyAlignment="1">
      <alignment horizontal="center"/>
    </xf>
    <xf numFmtId="10" fontId="10" fillId="76" borderId="2" xfId="0" applyNumberFormat="1" applyFont="1" applyFill="1" applyBorder="1" applyAlignment="1">
      <alignment horizontal="center"/>
    </xf>
    <xf numFmtId="10" fontId="10" fillId="98" borderId="3" xfId="0" applyNumberFormat="1" applyFont="1" applyFill="1" applyBorder="1" applyAlignment="1">
      <alignment horizontal="center"/>
    </xf>
    <xf numFmtId="0" fontId="10" fillId="164" borderId="13" xfId="0" applyFont="1" applyFill="1" applyBorder="1" applyAlignment="1">
      <alignment horizontal="center"/>
    </xf>
    <xf numFmtId="0" fontId="10" fillId="258" borderId="13" xfId="0" applyFont="1" applyFill="1" applyBorder="1" applyAlignment="1">
      <alignment horizontal="center"/>
    </xf>
    <xf numFmtId="0" fontId="10" fillId="904" borderId="2" xfId="0" applyFont="1" applyFill="1" applyBorder="1" applyAlignment="1">
      <alignment horizontal="center"/>
    </xf>
    <xf numFmtId="0" fontId="10" fillId="318" borderId="2" xfId="0" applyFont="1" applyFill="1" applyBorder="1" applyAlignment="1">
      <alignment horizontal="center"/>
    </xf>
    <xf numFmtId="0" fontId="10" fillId="318" borderId="3" xfId="0" applyFont="1" applyFill="1" applyBorder="1" applyAlignment="1">
      <alignment horizontal="center"/>
    </xf>
    <xf numFmtId="0" fontId="10" fillId="310" borderId="1" xfId="0" applyFont="1" applyFill="1" applyBorder="1" applyAlignment="1">
      <alignment horizontal="center"/>
    </xf>
    <xf numFmtId="0" fontId="10" fillId="370" borderId="1" xfId="0" applyFont="1" applyFill="1" applyBorder="1" applyAlignment="1">
      <alignment horizontal="center"/>
    </xf>
    <xf numFmtId="9" fontId="10" fillId="322" borderId="4" xfId="0" applyNumberFormat="1" applyFont="1" applyFill="1" applyBorder="1" applyAlignment="1">
      <alignment horizontal="center"/>
    </xf>
    <xf numFmtId="0" fontId="10" fillId="121" borderId="4" xfId="0" applyFont="1" applyFill="1" applyBorder="1" applyAlignment="1">
      <alignment horizontal="center"/>
    </xf>
    <xf numFmtId="0" fontId="10" fillId="59" borderId="1" xfId="0" applyFont="1" applyFill="1" applyBorder="1" applyAlignment="1">
      <alignment horizontal="center"/>
    </xf>
    <xf numFmtId="9" fontId="10" fillId="45" borderId="1" xfId="0" applyNumberFormat="1" applyFont="1" applyFill="1" applyBorder="1" applyAlignment="1">
      <alignment horizontal="center"/>
    </xf>
    <xf numFmtId="9" fontId="10" fillId="149" borderId="1" xfId="0" applyNumberFormat="1" applyFont="1" applyFill="1" applyBorder="1" applyAlignment="1">
      <alignment horizontal="center"/>
    </xf>
    <xf numFmtId="10" fontId="10" fillId="402" borderId="1" xfId="0" applyNumberFormat="1" applyFont="1" applyFill="1" applyBorder="1" applyAlignment="1">
      <alignment horizontal="center"/>
    </xf>
    <xf numFmtId="10" fontId="10" fillId="477" borderId="1" xfId="0" applyNumberFormat="1" applyFont="1" applyFill="1" applyBorder="1" applyAlignment="1">
      <alignment horizontal="center"/>
    </xf>
    <xf numFmtId="10" fontId="10" fillId="95" borderId="1" xfId="0" applyNumberFormat="1" applyFont="1" applyFill="1" applyBorder="1" applyAlignment="1">
      <alignment horizontal="center"/>
    </xf>
    <xf numFmtId="10" fontId="10" fillId="313" borderId="4" xfId="0" applyNumberFormat="1" applyFont="1" applyFill="1" applyBorder="1" applyAlignment="1">
      <alignment horizontal="center"/>
    </xf>
    <xf numFmtId="0" fontId="10" fillId="467" borderId="16" xfId="0" applyFont="1" applyFill="1" applyBorder="1" applyAlignment="1">
      <alignment horizontal="center"/>
    </xf>
    <xf numFmtId="0" fontId="10" fillId="50" borderId="16" xfId="0" applyFont="1" applyFill="1" applyBorder="1" applyAlignment="1">
      <alignment horizontal="center"/>
    </xf>
    <xf numFmtId="165" fontId="10" fillId="2" borderId="2" xfId="0" applyNumberFormat="1" applyFont="1" applyFill="1" applyBorder="1" applyAlignment="1">
      <alignment horizontal="center"/>
    </xf>
    <xf numFmtId="0" fontId="10" fillId="619" borderId="3" xfId="0" applyFont="1" applyFill="1" applyBorder="1" applyAlignment="1">
      <alignment horizontal="center"/>
    </xf>
    <xf numFmtId="9" fontId="10" fillId="139" borderId="2" xfId="0" applyNumberFormat="1" applyFont="1" applyFill="1" applyBorder="1" applyAlignment="1">
      <alignment horizontal="center"/>
    </xf>
    <xf numFmtId="10" fontId="10" fillId="164" borderId="2" xfId="0" applyNumberFormat="1" applyFont="1" applyFill="1" applyBorder="1" applyAlignment="1">
      <alignment horizontal="center"/>
    </xf>
    <xf numFmtId="0" fontId="10" fillId="477" borderId="13" xfId="0" applyFont="1" applyFill="1" applyBorder="1" applyAlignment="1">
      <alignment horizontal="center"/>
    </xf>
    <xf numFmtId="0" fontId="10" fillId="176" borderId="13" xfId="0" applyFont="1" applyFill="1" applyBorder="1" applyAlignment="1">
      <alignment horizontal="center"/>
    </xf>
    <xf numFmtId="0" fontId="10" fillId="735" borderId="3" xfId="0" applyFont="1" applyFill="1" applyBorder="1" applyAlignment="1">
      <alignment horizontal="center"/>
    </xf>
    <xf numFmtId="0" fontId="10" fillId="211" borderId="1" xfId="0" applyFont="1" applyFill="1" applyBorder="1" applyAlignment="1">
      <alignment horizontal="center"/>
    </xf>
    <xf numFmtId="0" fontId="10" fillId="773" borderId="1" xfId="0" applyFont="1" applyFill="1" applyBorder="1" applyAlignment="1">
      <alignment horizontal="center"/>
    </xf>
    <xf numFmtId="0" fontId="10" fillId="77" borderId="4" xfId="0" applyFont="1" applyFill="1" applyBorder="1" applyAlignment="1">
      <alignment horizontal="center"/>
    </xf>
    <xf numFmtId="9" fontId="10" fillId="335" borderId="1" xfId="0" applyNumberFormat="1" applyFont="1" applyFill="1" applyBorder="1" applyAlignment="1">
      <alignment horizontal="center"/>
    </xf>
    <xf numFmtId="10" fontId="10" fillId="131" borderId="1" xfId="0" applyNumberFormat="1" applyFont="1" applyFill="1" applyBorder="1" applyAlignment="1">
      <alignment horizontal="center"/>
    </xf>
    <xf numFmtId="10" fontId="10" fillId="84" borderId="1" xfId="0" applyNumberFormat="1" applyFont="1" applyFill="1" applyBorder="1" applyAlignment="1">
      <alignment horizontal="center"/>
    </xf>
    <xf numFmtId="10" fontId="10" fillId="29" borderId="4" xfId="0" applyNumberFormat="1" applyFont="1" applyFill="1" applyBorder="1" applyAlignment="1">
      <alignment horizontal="center"/>
    </xf>
    <xf numFmtId="0" fontId="10" fillId="144" borderId="16" xfId="0" applyFont="1" applyFill="1" applyBorder="1" applyAlignment="1">
      <alignment horizontal="center"/>
    </xf>
    <xf numFmtId="0" fontId="10" fillId="256" borderId="4" xfId="0" applyFont="1" applyFill="1" applyBorder="1" applyAlignment="1">
      <alignment horizontal="center"/>
    </xf>
    <xf numFmtId="0" fontId="10" fillId="905" borderId="1" xfId="0" applyFont="1" applyFill="1" applyBorder="1" applyAlignment="1">
      <alignment horizontal="center"/>
    </xf>
    <xf numFmtId="9" fontId="10" fillId="598" borderId="2" xfId="0" applyNumberFormat="1" applyFont="1" applyFill="1" applyBorder="1" applyAlignment="1">
      <alignment horizontal="center"/>
    </xf>
    <xf numFmtId="9" fontId="10" fillId="322" borderId="3" xfId="0" applyNumberFormat="1" applyFont="1" applyFill="1" applyBorder="1" applyAlignment="1">
      <alignment horizontal="center"/>
    </xf>
    <xf numFmtId="0" fontId="10" fillId="313" borderId="3" xfId="0" applyFont="1" applyFill="1" applyBorder="1" applyAlignment="1">
      <alignment horizontal="center"/>
    </xf>
    <xf numFmtId="0" fontId="10" fillId="456" borderId="2" xfId="0" applyFont="1" applyFill="1" applyBorder="1" applyAlignment="1">
      <alignment horizontal="center"/>
    </xf>
    <xf numFmtId="9" fontId="10" fillId="410" borderId="2" xfId="0" applyNumberFormat="1" applyFont="1" applyFill="1" applyBorder="1" applyAlignment="1">
      <alignment horizontal="center"/>
    </xf>
    <xf numFmtId="10" fontId="10" fillId="478" borderId="2" xfId="0" applyNumberFormat="1" applyFont="1" applyFill="1" applyBorder="1" applyAlignment="1">
      <alignment horizontal="center"/>
    </xf>
    <xf numFmtId="10" fontId="10" fillId="134" borderId="2" xfId="0" applyNumberFormat="1" applyFont="1" applyFill="1" applyBorder="1" applyAlignment="1">
      <alignment horizontal="center"/>
    </xf>
    <xf numFmtId="10" fontId="10" fillId="625" borderId="2" xfId="0" applyNumberFormat="1" applyFont="1" applyFill="1" applyBorder="1" applyAlignment="1">
      <alignment horizontal="center"/>
    </xf>
    <xf numFmtId="10" fontId="10" fillId="22" borderId="3" xfId="0" applyNumberFormat="1" applyFont="1" applyFill="1" applyBorder="1" applyAlignment="1">
      <alignment horizontal="center"/>
    </xf>
    <xf numFmtId="0" fontId="10" fillId="906" borderId="2" xfId="0" applyFont="1" applyFill="1" applyBorder="1" applyAlignment="1">
      <alignment horizontal="center"/>
    </xf>
    <xf numFmtId="0" fontId="10" fillId="906" borderId="3" xfId="0" applyFont="1" applyFill="1" applyBorder="1" applyAlignment="1">
      <alignment horizontal="center"/>
    </xf>
    <xf numFmtId="0" fontId="10" fillId="197" borderId="1" xfId="0" applyFont="1" applyFill="1" applyBorder="1" applyAlignment="1">
      <alignment horizontal="center"/>
    </xf>
    <xf numFmtId="9" fontId="10" fillId="142" borderId="4" xfId="0" applyNumberFormat="1" applyFont="1" applyFill="1" applyBorder="1" applyAlignment="1">
      <alignment horizontal="center"/>
    </xf>
    <xf numFmtId="0" fontId="10" fillId="508" borderId="4" xfId="0" applyFont="1" applyFill="1" applyBorder="1" applyAlignment="1">
      <alignment horizontal="center"/>
    </xf>
    <xf numFmtId="0" fontId="10" fillId="112" borderId="1" xfId="0" applyFont="1" applyFill="1" applyBorder="1" applyAlignment="1">
      <alignment horizontal="center"/>
    </xf>
    <xf numFmtId="0" fontId="10" fillId="84" borderId="4" xfId="0" applyFont="1" applyFill="1" applyBorder="1" applyAlignment="1">
      <alignment horizontal="center"/>
    </xf>
    <xf numFmtId="10" fontId="10" fillId="410" borderId="1" xfId="0" applyNumberFormat="1" applyFont="1" applyFill="1" applyBorder="1" applyAlignment="1">
      <alignment horizontal="center"/>
    </xf>
    <xf numFmtId="10" fontId="10" fillId="271" borderId="1" xfId="0" applyNumberFormat="1" applyFont="1" applyFill="1" applyBorder="1" applyAlignment="1">
      <alignment horizontal="center"/>
    </xf>
    <xf numFmtId="10" fontId="10" fillId="233" borderId="4" xfId="0" applyNumberFormat="1" applyFont="1" applyFill="1" applyBorder="1" applyAlignment="1">
      <alignment horizontal="center"/>
    </xf>
    <xf numFmtId="0" fontId="10" fillId="509" borderId="1" xfId="0" applyFont="1" applyFill="1" applyBorder="1" applyAlignment="1">
      <alignment horizontal="center"/>
    </xf>
    <xf numFmtId="0" fontId="10" fillId="671" borderId="1" xfId="0" applyFont="1" applyFill="1" applyBorder="1" applyAlignment="1">
      <alignment horizontal="center"/>
    </xf>
    <xf numFmtId="0" fontId="10" fillId="671" borderId="4" xfId="0" applyFont="1" applyFill="1" applyBorder="1" applyAlignment="1">
      <alignment horizontal="center"/>
    </xf>
    <xf numFmtId="0" fontId="10" fillId="112" borderId="2" xfId="0" applyFont="1" applyFill="1" applyBorder="1" applyAlignment="1">
      <alignment horizontal="center"/>
    </xf>
    <xf numFmtId="9" fontId="10" fillId="360" borderId="3" xfId="0" applyNumberFormat="1" applyFont="1" applyFill="1" applyBorder="1" applyAlignment="1">
      <alignment horizontal="center"/>
    </xf>
    <xf numFmtId="0" fontId="10" fillId="530" borderId="3" xfId="0" applyFont="1" applyFill="1" applyBorder="1" applyAlignment="1">
      <alignment horizontal="center"/>
    </xf>
    <xf numFmtId="0" fontId="10" fillId="129" borderId="2" xfId="0" applyFont="1" applyFill="1" applyBorder="1" applyAlignment="1">
      <alignment horizontal="center"/>
    </xf>
    <xf numFmtId="10" fontId="10" fillId="493" borderId="2" xfId="0" applyNumberFormat="1" applyFont="1" applyFill="1" applyBorder="1" applyAlignment="1">
      <alignment horizontal="center"/>
    </xf>
    <xf numFmtId="10" fontId="10" fillId="78" borderId="3" xfId="0" applyNumberFormat="1" applyFont="1" applyFill="1" applyBorder="1" applyAlignment="1">
      <alignment horizontal="center"/>
    </xf>
    <xf numFmtId="0" fontId="10" fillId="435" borderId="13" xfId="0" applyFont="1" applyFill="1" applyBorder="1" applyAlignment="1">
      <alignment horizontal="center"/>
    </xf>
    <xf numFmtId="0" fontId="10" fillId="84" borderId="13" xfId="0" applyFont="1" applyFill="1" applyBorder="1" applyAlignment="1">
      <alignment horizontal="center"/>
    </xf>
    <xf numFmtId="0" fontId="10" fillId="132" borderId="13" xfId="0" applyFont="1" applyFill="1" applyBorder="1" applyAlignment="1">
      <alignment horizontal="center"/>
    </xf>
    <xf numFmtId="0" fontId="10" fillId="872" borderId="2" xfId="0" applyFont="1" applyFill="1" applyBorder="1" applyAlignment="1">
      <alignment horizontal="center"/>
    </xf>
    <xf numFmtId="0" fontId="10" fillId="813" borderId="2" xfId="0" applyFont="1" applyFill="1" applyBorder="1" applyAlignment="1">
      <alignment horizontal="center"/>
    </xf>
    <xf numFmtId="0" fontId="10" fillId="813" borderId="3" xfId="0" applyFont="1" applyFill="1" applyBorder="1" applyAlignment="1">
      <alignment horizontal="center"/>
    </xf>
    <xf numFmtId="165" fontId="10" fillId="2" borderId="1" xfId="0" applyNumberFormat="1" applyFont="1" applyFill="1" applyBorder="1" applyAlignment="1">
      <alignment horizontal="center"/>
    </xf>
    <xf numFmtId="0" fontId="10" fillId="17" borderId="1" xfId="0" applyFont="1" applyFill="1" applyBorder="1" applyAlignment="1">
      <alignment horizontal="center"/>
    </xf>
    <xf numFmtId="0" fontId="10" fillId="907" borderId="1" xfId="0" applyFont="1" applyFill="1" applyBorder="1" applyAlignment="1">
      <alignment horizontal="center"/>
    </xf>
    <xf numFmtId="9" fontId="10" fillId="177" borderId="4" xfId="0" applyNumberFormat="1" applyFont="1" applyFill="1" applyBorder="1" applyAlignment="1">
      <alignment horizontal="center"/>
    </xf>
    <xf numFmtId="0" fontId="10" fillId="477" borderId="4" xfId="0" applyFont="1" applyFill="1" applyBorder="1" applyAlignment="1">
      <alignment horizontal="center"/>
    </xf>
    <xf numFmtId="0" fontId="10" fillId="311" borderId="1" xfId="0" applyFont="1" applyFill="1" applyBorder="1" applyAlignment="1">
      <alignment horizontal="center"/>
    </xf>
    <xf numFmtId="9" fontId="10" fillId="300" borderId="1" xfId="0" applyNumberFormat="1" applyFont="1" applyFill="1" applyBorder="1" applyAlignment="1">
      <alignment horizontal="center"/>
    </xf>
    <xf numFmtId="10" fontId="10" fillId="357" borderId="1" xfId="0" applyNumberFormat="1" applyFont="1" applyFill="1" applyBorder="1" applyAlignment="1">
      <alignment horizontal="center"/>
    </xf>
    <xf numFmtId="10" fontId="10" fillId="76" borderId="1" xfId="0" applyNumberFormat="1" applyFont="1" applyFill="1" applyBorder="1" applyAlignment="1">
      <alignment horizontal="center"/>
    </xf>
    <xf numFmtId="10" fontId="10" fillId="493" borderId="4" xfId="0" applyNumberFormat="1" applyFont="1" applyFill="1" applyBorder="1" applyAlignment="1">
      <alignment horizontal="center"/>
    </xf>
    <xf numFmtId="0" fontId="10" fillId="477" borderId="16" xfId="0" applyFont="1" applyFill="1" applyBorder="1" applyAlignment="1">
      <alignment horizontal="center"/>
    </xf>
    <xf numFmtId="0" fontId="10" fillId="84" borderId="16" xfId="0" applyFont="1" applyFill="1" applyBorder="1" applyAlignment="1">
      <alignment horizontal="center"/>
    </xf>
    <xf numFmtId="0" fontId="10" fillId="825" borderId="1" xfId="0" applyFont="1" applyFill="1" applyBorder="1" applyAlignment="1">
      <alignment horizontal="center"/>
    </xf>
    <xf numFmtId="0" fontId="10" fillId="304" borderId="1" xfId="0" applyFont="1" applyFill="1" applyBorder="1" applyAlignment="1">
      <alignment horizontal="center"/>
    </xf>
    <xf numFmtId="0" fontId="10" fillId="304" borderId="4" xfId="0" applyFont="1" applyFill="1" applyBorder="1" applyAlignment="1">
      <alignment horizontal="center"/>
    </xf>
    <xf numFmtId="0" fontId="10" fillId="256" borderId="2" xfId="0" applyFont="1" applyFill="1" applyBorder="1" applyAlignment="1">
      <alignment horizontal="center"/>
    </xf>
    <xf numFmtId="9" fontId="10" fillId="372" borderId="3" xfId="0" applyNumberFormat="1" applyFont="1" applyFill="1" applyBorder="1" applyAlignment="1">
      <alignment horizontal="center"/>
    </xf>
    <xf numFmtId="0" fontId="10" fillId="164" borderId="3" xfId="0" applyFont="1" applyFill="1" applyBorder="1" applyAlignment="1">
      <alignment horizontal="center"/>
    </xf>
    <xf numFmtId="10" fontId="10" fillId="202" borderId="2" xfId="0" applyNumberFormat="1" applyFont="1" applyFill="1" applyBorder="1" applyAlignment="1">
      <alignment horizontal="center"/>
    </xf>
    <xf numFmtId="10" fontId="10" fillId="342" borderId="3" xfId="0" applyNumberFormat="1" applyFont="1" applyFill="1" applyBorder="1" applyAlignment="1">
      <alignment horizontal="center"/>
    </xf>
    <xf numFmtId="0" fontId="10" fillId="844" borderId="2" xfId="0" applyFont="1" applyFill="1" applyBorder="1" applyAlignment="1">
      <alignment horizontal="center"/>
    </xf>
    <xf numFmtId="0" fontId="10" fillId="844" borderId="3" xfId="0" applyFont="1" applyFill="1" applyBorder="1" applyAlignment="1">
      <alignment horizontal="center"/>
    </xf>
    <xf numFmtId="0" fontId="10" fillId="286" borderId="1" xfId="0" applyFont="1" applyFill="1" applyBorder="1" applyAlignment="1">
      <alignment horizontal="center"/>
    </xf>
    <xf numFmtId="0" fontId="10" fillId="729" borderId="1" xfId="0" applyFont="1" applyFill="1" applyBorder="1" applyAlignment="1">
      <alignment horizontal="center"/>
    </xf>
    <xf numFmtId="0" fontId="10" fillId="589" borderId="4" xfId="0" applyFont="1" applyFill="1" applyBorder="1" applyAlignment="1">
      <alignment horizontal="center"/>
    </xf>
    <xf numFmtId="9" fontId="10" fillId="349" borderId="1" xfId="0" applyNumberFormat="1" applyFont="1" applyFill="1" applyBorder="1" applyAlignment="1">
      <alignment horizontal="center"/>
    </xf>
    <xf numFmtId="0" fontId="10" fillId="164" borderId="16" xfId="0" applyFont="1" applyFill="1" applyBorder="1" applyAlignment="1">
      <alignment horizontal="center"/>
    </xf>
    <xf numFmtId="0" fontId="10" fillId="735" borderId="4" xfId="0" applyFont="1" applyFill="1" applyBorder="1" applyAlignment="1">
      <alignment horizontal="center"/>
    </xf>
    <xf numFmtId="0" fontId="10" fillId="908" borderId="1" xfId="0" applyFont="1" applyFill="1" applyBorder="1" applyAlignment="1">
      <alignment horizontal="center"/>
    </xf>
    <xf numFmtId="0" fontId="10" fillId="908" borderId="4" xfId="0" applyFont="1" applyFill="1" applyBorder="1" applyAlignment="1">
      <alignment horizontal="center"/>
    </xf>
    <xf numFmtId="0" fontId="10" fillId="300" borderId="2" xfId="0" applyFont="1" applyFill="1" applyBorder="1" applyAlignment="1">
      <alignment horizontal="center"/>
    </xf>
    <xf numFmtId="9" fontId="10" fillId="142" borderId="3" xfId="0" applyNumberFormat="1" applyFont="1" applyFill="1" applyBorder="1" applyAlignment="1">
      <alignment horizontal="center"/>
    </xf>
    <xf numFmtId="10" fontId="10" fillId="530" borderId="2" xfId="0" applyNumberFormat="1" applyFont="1" applyFill="1" applyBorder="1" applyAlignment="1">
      <alignment horizontal="center"/>
    </xf>
    <xf numFmtId="10" fontId="10" fillId="93" borderId="2" xfId="0" applyNumberFormat="1" applyFont="1" applyFill="1" applyBorder="1" applyAlignment="1">
      <alignment horizontal="center"/>
    </xf>
    <xf numFmtId="10" fontId="10" fillId="608" borderId="3" xfId="0" applyNumberFormat="1" applyFont="1" applyFill="1" applyBorder="1" applyAlignment="1">
      <alignment horizontal="center"/>
    </xf>
    <xf numFmtId="0" fontId="10" fillId="327" borderId="13" xfId="0" applyFont="1" applyFill="1" applyBorder="1" applyAlignment="1">
      <alignment horizontal="center"/>
    </xf>
    <xf numFmtId="0" fontId="10" fillId="297" borderId="2" xfId="0" applyFont="1" applyFill="1" applyBorder="1" applyAlignment="1">
      <alignment horizontal="center"/>
    </xf>
    <xf numFmtId="0" fontId="10" fillId="297" borderId="3" xfId="0" applyFont="1" applyFill="1" applyBorder="1" applyAlignment="1">
      <alignment horizontal="center"/>
    </xf>
    <xf numFmtId="0" fontId="10" fillId="124" borderId="1" xfId="0" applyFont="1" applyFill="1" applyBorder="1" applyAlignment="1">
      <alignment horizontal="center"/>
    </xf>
    <xf numFmtId="9" fontId="10" fillId="525" borderId="1" xfId="0" applyNumberFormat="1" applyFont="1" applyFill="1" applyBorder="1" applyAlignment="1">
      <alignment horizontal="center"/>
    </xf>
    <xf numFmtId="0" fontId="10" fillId="216" borderId="1" xfId="0" applyFont="1" applyFill="1" applyBorder="1" applyAlignment="1">
      <alignment horizontal="center"/>
    </xf>
    <xf numFmtId="0" fontId="10" fillId="279" borderId="4" xfId="0" applyFont="1" applyFill="1" applyBorder="1" applyAlignment="1">
      <alignment horizontal="center"/>
    </xf>
    <xf numFmtId="0" fontId="10" fillId="594" borderId="1" xfId="0" applyFont="1" applyFill="1" applyBorder="1" applyAlignment="1">
      <alignment horizontal="center"/>
    </xf>
    <xf numFmtId="9" fontId="10" fillId="333" borderId="1" xfId="0" applyNumberFormat="1" applyFont="1" applyFill="1" applyBorder="1" applyAlignment="1">
      <alignment horizontal="center"/>
    </xf>
    <xf numFmtId="10" fontId="10" fillId="50" borderId="1" xfId="0" applyNumberFormat="1" applyFont="1" applyFill="1" applyBorder="1" applyAlignment="1">
      <alignment horizontal="center"/>
    </xf>
    <xf numFmtId="10" fontId="10" fillId="333" borderId="4" xfId="0" applyNumberFormat="1" applyFont="1" applyFill="1" applyBorder="1" applyAlignment="1">
      <alignment horizontal="center"/>
    </xf>
    <xf numFmtId="0" fontId="10" fillId="909" borderId="1" xfId="0" applyFont="1" applyFill="1" applyBorder="1" applyAlignment="1">
      <alignment horizontal="center"/>
    </xf>
    <xf numFmtId="0" fontId="10" fillId="672" borderId="1" xfId="0" applyFont="1" applyFill="1" applyBorder="1" applyAlignment="1">
      <alignment horizontal="center"/>
    </xf>
    <xf numFmtId="0" fontId="10" fillId="672" borderId="4" xfId="0" applyFont="1" applyFill="1" applyBorder="1" applyAlignment="1">
      <alignment horizontal="center"/>
    </xf>
    <xf numFmtId="9" fontId="10" fillId="129" borderId="2" xfId="0" applyNumberFormat="1" applyFont="1" applyFill="1" applyBorder="1" applyAlignment="1">
      <alignment horizontal="center"/>
    </xf>
    <xf numFmtId="9" fontId="10" fillId="234" borderId="3" xfId="0" applyNumberFormat="1" applyFont="1" applyFill="1" applyBorder="1" applyAlignment="1">
      <alignment horizontal="center"/>
    </xf>
    <xf numFmtId="0" fontId="10" fillId="181" borderId="3" xfId="0" applyFont="1" applyFill="1" applyBorder="1" applyAlignment="1">
      <alignment horizontal="center"/>
    </xf>
    <xf numFmtId="0" fontId="10" fillId="327" borderId="2" xfId="0" applyFont="1" applyFill="1" applyBorder="1" applyAlignment="1">
      <alignment horizontal="center"/>
    </xf>
    <xf numFmtId="10" fontId="10" fillId="47" borderId="2" xfId="0" applyNumberFormat="1" applyFont="1" applyFill="1" applyBorder="1" applyAlignment="1">
      <alignment horizontal="center"/>
    </xf>
    <xf numFmtId="10" fontId="10" fillId="21" borderId="3" xfId="0" applyNumberFormat="1" applyFont="1" applyFill="1" applyBorder="1" applyAlignment="1">
      <alignment horizontal="center"/>
    </xf>
    <xf numFmtId="0" fontId="10" fillId="122" borderId="13" xfId="0" applyFont="1" applyFill="1" applyBorder="1" applyAlignment="1">
      <alignment horizontal="center"/>
    </xf>
    <xf numFmtId="0" fontId="10" fillId="910" borderId="2" xfId="0" applyFont="1" applyFill="1" applyBorder="1" applyAlignment="1">
      <alignment horizontal="center"/>
    </xf>
    <xf numFmtId="0" fontId="10" fillId="910" borderId="3" xfId="0" applyFont="1" applyFill="1" applyBorder="1" applyAlignment="1">
      <alignment horizontal="center"/>
    </xf>
    <xf numFmtId="165" fontId="10" fillId="12" borderId="1" xfId="0" applyNumberFormat="1" applyFont="1" applyFill="1" applyBorder="1" applyAlignment="1">
      <alignment horizontal="center"/>
    </xf>
    <xf numFmtId="9" fontId="10" fillId="301" borderId="4" xfId="0" applyNumberFormat="1" applyFont="1" applyFill="1" applyBorder="1" applyAlignment="1">
      <alignment horizontal="center"/>
    </xf>
    <xf numFmtId="0" fontId="10" fillId="447" borderId="4" xfId="0" applyFont="1" applyFill="1" applyBorder="1" applyAlignment="1">
      <alignment horizontal="center"/>
    </xf>
    <xf numFmtId="10" fontId="10" fillId="632" borderId="4" xfId="0" applyNumberFormat="1" applyFont="1" applyFill="1" applyBorder="1" applyAlignment="1">
      <alignment horizontal="center"/>
    </xf>
    <xf numFmtId="0" fontId="10" fillId="364" borderId="4" xfId="0" applyFont="1" applyFill="1" applyBorder="1" applyAlignment="1">
      <alignment horizontal="center"/>
    </xf>
    <xf numFmtId="0" fontId="10" fillId="911" borderId="2" xfId="0" applyFont="1" applyFill="1" applyBorder="1" applyAlignment="1">
      <alignment horizontal="center"/>
    </xf>
    <xf numFmtId="10" fontId="10" fillId="49" borderId="2" xfId="0" applyNumberFormat="1" applyFont="1" applyFill="1" applyBorder="1" applyAlignment="1">
      <alignment horizontal="center"/>
    </xf>
    <xf numFmtId="10" fontId="10" fillId="525" borderId="3" xfId="0" applyNumberFormat="1" applyFont="1" applyFill="1" applyBorder="1" applyAlignment="1">
      <alignment horizontal="center"/>
    </xf>
    <xf numFmtId="0" fontId="10" fillId="131" borderId="13" xfId="0" applyFont="1" applyFill="1" applyBorder="1" applyAlignment="1">
      <alignment horizontal="center"/>
    </xf>
    <xf numFmtId="0" fontId="10" fillId="912" borderId="2" xfId="0" applyFont="1" applyFill="1" applyBorder="1" applyAlignment="1">
      <alignment horizontal="center"/>
    </xf>
    <xf numFmtId="9" fontId="10" fillId="265" borderId="4" xfId="0" applyNumberFormat="1" applyFont="1" applyFill="1" applyBorder="1" applyAlignment="1">
      <alignment horizontal="center"/>
    </xf>
    <xf numFmtId="0" fontId="10" fillId="128" borderId="1" xfId="0" applyFont="1" applyFill="1" applyBorder="1" applyAlignment="1">
      <alignment horizontal="center"/>
    </xf>
    <xf numFmtId="9" fontId="10" fillId="342" borderId="1" xfId="0" applyNumberFormat="1" applyFont="1" applyFill="1" applyBorder="1" applyAlignment="1">
      <alignment horizontal="center"/>
    </xf>
    <xf numFmtId="10" fontId="10" fillId="611" borderId="1" xfId="0" applyNumberFormat="1" applyFont="1" applyFill="1" applyBorder="1" applyAlignment="1">
      <alignment horizontal="center"/>
    </xf>
    <xf numFmtId="10" fontId="10" fillId="467" borderId="1" xfId="0" applyNumberFormat="1" applyFont="1" applyFill="1" applyBorder="1" applyAlignment="1">
      <alignment horizontal="center"/>
    </xf>
    <xf numFmtId="10" fontId="10" fillId="563" borderId="1" xfId="0" applyNumberFormat="1" applyFont="1" applyFill="1" applyBorder="1" applyAlignment="1">
      <alignment horizontal="center"/>
    </xf>
    <xf numFmtId="10" fontId="10" fillId="98" borderId="4" xfId="0" applyNumberFormat="1" applyFont="1" applyFill="1" applyBorder="1" applyAlignment="1">
      <alignment horizontal="center"/>
    </xf>
    <xf numFmtId="0" fontId="10" fillId="122" borderId="16" xfId="0" applyFont="1" applyFill="1" applyBorder="1" applyAlignment="1">
      <alignment horizontal="center"/>
    </xf>
    <xf numFmtId="0" fontId="10" fillId="913" borderId="1" xfId="0" applyFont="1" applyFill="1" applyBorder="1" applyAlignment="1">
      <alignment horizontal="center"/>
    </xf>
    <xf numFmtId="0" fontId="10" fillId="61" borderId="2" xfId="0" applyFont="1" applyFill="1" applyBorder="1" applyAlignment="1">
      <alignment horizontal="center"/>
    </xf>
    <xf numFmtId="0" fontId="10" fillId="234" borderId="2" xfId="0" applyFont="1" applyFill="1" applyBorder="1" applyAlignment="1">
      <alignment horizontal="center"/>
    </xf>
    <xf numFmtId="9" fontId="10" fillId="78" borderId="2" xfId="0" applyNumberFormat="1" applyFont="1" applyFill="1" applyBorder="1" applyAlignment="1">
      <alignment horizontal="center"/>
    </xf>
    <xf numFmtId="9" fontId="10" fillId="45" borderId="2" xfId="0" applyNumberFormat="1" applyFont="1" applyFill="1" applyBorder="1" applyAlignment="1">
      <alignment horizontal="center"/>
    </xf>
    <xf numFmtId="10" fontId="10" fillId="294" borderId="2" xfId="0" applyNumberFormat="1" applyFont="1" applyFill="1" applyBorder="1" applyAlignment="1">
      <alignment horizontal="center"/>
    </xf>
    <xf numFmtId="0" fontId="10" fillId="207" borderId="13" xfId="0" applyFont="1" applyFill="1" applyBorder="1" applyAlignment="1">
      <alignment horizontal="center"/>
    </xf>
    <xf numFmtId="0" fontId="10" fillId="686" borderId="3" xfId="0" applyFont="1" applyFill="1" applyBorder="1" applyAlignment="1">
      <alignment horizontal="center"/>
    </xf>
    <xf numFmtId="0" fontId="10" fillId="213" borderId="1" xfId="0" applyFont="1" applyFill="1" applyBorder="1" applyAlignment="1">
      <alignment horizontal="center"/>
    </xf>
    <xf numFmtId="0" fontId="10" fillId="299" borderId="1" xfId="0" applyFont="1" applyFill="1" applyBorder="1" applyAlignment="1">
      <alignment horizontal="center"/>
    </xf>
    <xf numFmtId="0" fontId="10" fillId="122" borderId="4" xfId="0" applyFont="1" applyFill="1" applyBorder="1" applyAlignment="1">
      <alignment horizontal="center"/>
    </xf>
    <xf numFmtId="0" fontId="10" fillId="96" borderId="1" xfId="0" applyFont="1" applyFill="1" applyBorder="1" applyAlignment="1">
      <alignment horizontal="center"/>
    </xf>
    <xf numFmtId="0" fontId="10" fillId="81" borderId="4" xfId="0" applyFont="1" applyFill="1" applyBorder="1" applyAlignment="1">
      <alignment horizontal="center"/>
    </xf>
    <xf numFmtId="10" fontId="10" fillId="122" borderId="1" xfId="0" applyNumberFormat="1" applyFont="1" applyFill="1" applyBorder="1" applyAlignment="1">
      <alignment horizontal="center"/>
    </xf>
    <xf numFmtId="10" fontId="10" fillId="25" borderId="4" xfId="0" applyNumberFormat="1" applyFont="1" applyFill="1" applyBorder="1" applyAlignment="1">
      <alignment horizontal="center"/>
    </xf>
    <xf numFmtId="0" fontId="10" fillId="47" borderId="16" xfId="0" applyFont="1" applyFill="1" applyBorder="1" applyAlignment="1">
      <alignment horizontal="center"/>
    </xf>
    <xf numFmtId="0" fontId="10" fillId="88" borderId="1" xfId="0" applyFont="1" applyFill="1" applyBorder="1" applyAlignment="1">
      <alignment horizontal="center"/>
    </xf>
    <xf numFmtId="0" fontId="10" fillId="88" borderId="4" xfId="0" applyFont="1" applyFill="1" applyBorder="1" applyAlignment="1">
      <alignment horizontal="center"/>
    </xf>
    <xf numFmtId="0" fontId="10" fillId="791" borderId="2" xfId="0" applyFont="1" applyFill="1" applyBorder="1" applyAlignment="1">
      <alignment horizontal="center"/>
    </xf>
    <xf numFmtId="0" fontId="10" fillId="896" borderId="2" xfId="0" applyFont="1" applyFill="1" applyBorder="1" applyAlignment="1">
      <alignment horizontal="center"/>
    </xf>
    <xf numFmtId="0" fontId="10" fillId="207" borderId="3" xfId="0" applyFont="1" applyFill="1" applyBorder="1" applyAlignment="1">
      <alignment horizontal="center"/>
    </xf>
    <xf numFmtId="10" fontId="10" fillId="206" borderId="2" xfId="0" applyNumberFormat="1" applyFont="1" applyFill="1" applyBorder="1" applyAlignment="1">
      <alignment horizontal="center"/>
    </xf>
    <xf numFmtId="10" fontId="10" fillId="401" borderId="3" xfId="0" applyNumberFormat="1" applyFont="1" applyFill="1" applyBorder="1" applyAlignment="1">
      <alignment horizontal="center"/>
    </xf>
    <xf numFmtId="0" fontId="10" fillId="47" borderId="13" xfId="0" applyFont="1" applyFill="1" applyBorder="1" applyAlignment="1">
      <alignment horizontal="center"/>
    </xf>
    <xf numFmtId="0" fontId="10" fillId="217" borderId="2" xfId="0" applyFont="1" applyFill="1" applyBorder="1" applyAlignment="1">
      <alignment horizontal="center"/>
    </xf>
    <xf numFmtId="0" fontId="10" fillId="914" borderId="2" xfId="0" applyFont="1" applyFill="1" applyBorder="1" applyAlignment="1">
      <alignment horizontal="center"/>
    </xf>
    <xf numFmtId="0" fontId="10" fillId="914" borderId="3" xfId="0" applyFont="1" applyFill="1" applyBorder="1" applyAlignment="1">
      <alignment horizontal="center"/>
    </xf>
    <xf numFmtId="0" fontId="10" fillId="381" borderId="1" xfId="0" applyFont="1" applyFill="1" applyBorder="1" applyAlignment="1">
      <alignment horizontal="center"/>
    </xf>
    <xf numFmtId="0" fontId="10" fillId="915" borderId="1" xfId="0" applyFont="1" applyFill="1" applyBorder="1" applyAlignment="1">
      <alignment horizontal="center"/>
    </xf>
    <xf numFmtId="9" fontId="10" fillId="372" borderId="4" xfId="0" applyNumberFormat="1" applyFont="1" applyFill="1" applyBorder="1" applyAlignment="1">
      <alignment horizontal="center"/>
    </xf>
    <xf numFmtId="0" fontId="10" fillId="916" borderId="1" xfId="0" applyFont="1" applyFill="1" applyBorder="1" applyAlignment="1">
      <alignment horizontal="center"/>
    </xf>
    <xf numFmtId="0" fontId="10" fillId="660" borderId="1" xfId="0" applyFont="1" applyFill="1" applyBorder="1" applyAlignment="1">
      <alignment horizontal="center"/>
    </xf>
    <xf numFmtId="0" fontId="10" fillId="660" borderId="4" xfId="0" applyFont="1" applyFill="1" applyBorder="1" applyAlignment="1">
      <alignment horizontal="center"/>
    </xf>
    <xf numFmtId="0" fontId="10" fillId="115" borderId="2" xfId="0" applyFont="1" applyFill="1" applyBorder="1" applyAlignment="1">
      <alignment horizontal="center"/>
    </xf>
    <xf numFmtId="0" fontId="10" fillId="893" borderId="2" xfId="0" applyFont="1" applyFill="1" applyBorder="1" applyAlignment="1">
      <alignment horizontal="center"/>
    </xf>
    <xf numFmtId="0" fontId="10" fillId="582" borderId="3" xfId="0" applyFont="1" applyFill="1" applyBorder="1" applyAlignment="1">
      <alignment horizontal="center"/>
    </xf>
    <xf numFmtId="10" fontId="10" fillId="626" borderId="2" xfId="0" applyNumberFormat="1" applyFont="1" applyFill="1" applyBorder="1" applyAlignment="1">
      <alignment horizontal="center"/>
    </xf>
    <xf numFmtId="0" fontId="10" fillId="917" borderId="2" xfId="0" applyFont="1" applyFill="1" applyBorder="1" applyAlignment="1">
      <alignment horizontal="center"/>
    </xf>
    <xf numFmtId="0" fontId="10" fillId="331" borderId="2" xfId="0" applyFont="1" applyFill="1" applyBorder="1" applyAlignment="1">
      <alignment horizontal="center"/>
    </xf>
    <xf numFmtId="0" fontId="10" fillId="331" borderId="3" xfId="0" applyFont="1" applyFill="1" applyBorder="1" applyAlignment="1">
      <alignment horizontal="center"/>
    </xf>
    <xf numFmtId="0" fontId="10" fillId="179" borderId="1" xfId="0" applyFont="1" applyFill="1" applyBorder="1" applyAlignment="1">
      <alignment horizontal="center"/>
    </xf>
    <xf numFmtId="9" fontId="10" fillId="35" borderId="4" xfId="0" applyNumberFormat="1" applyFont="1" applyFill="1" applyBorder="1" applyAlignment="1">
      <alignment horizontal="center"/>
    </xf>
    <xf numFmtId="0" fontId="10" fillId="128" borderId="4" xfId="0" applyFont="1" applyFill="1" applyBorder="1" applyAlignment="1">
      <alignment horizontal="center"/>
    </xf>
    <xf numFmtId="9" fontId="10" fillId="401" borderId="1" xfId="0" applyNumberFormat="1" applyFont="1" applyFill="1" applyBorder="1" applyAlignment="1">
      <alignment horizontal="center"/>
    </xf>
    <xf numFmtId="10" fontId="10" fillId="161" borderId="1" xfId="0" applyNumberFormat="1" applyFont="1" applyFill="1" applyBorder="1" applyAlignment="1">
      <alignment horizontal="center"/>
    </xf>
    <xf numFmtId="10" fontId="10" fillId="625" borderId="1" xfId="0" applyNumberFormat="1" applyFont="1" applyFill="1" applyBorder="1" applyAlignment="1">
      <alignment horizontal="center"/>
    </xf>
    <xf numFmtId="10" fontId="10" fillId="168" borderId="4" xfId="0" applyNumberFormat="1" applyFont="1" applyFill="1" applyBorder="1" applyAlignment="1">
      <alignment horizontal="center"/>
    </xf>
    <xf numFmtId="0" fontId="10" fillId="131" borderId="16" xfId="0" applyFont="1" applyFill="1" applyBorder="1" applyAlignment="1">
      <alignment horizontal="center"/>
    </xf>
    <xf numFmtId="0" fontId="10" fillId="207" borderId="16" xfId="0" applyFont="1" applyFill="1" applyBorder="1" applyAlignment="1">
      <alignment horizontal="center"/>
    </xf>
    <xf numFmtId="0" fontId="10" fillId="559" borderId="1" xfId="0" applyFont="1" applyFill="1" applyBorder="1" applyAlignment="1">
      <alignment horizontal="center"/>
    </xf>
    <xf numFmtId="0" fontId="10" fillId="761" borderId="4" xfId="0" applyFont="1" applyFill="1" applyBorder="1" applyAlignment="1">
      <alignment horizontal="center"/>
    </xf>
    <xf numFmtId="49" fontId="10" fillId="12" borderId="3" xfId="0" applyNumberFormat="1" applyFont="1" applyFill="1" applyBorder="1" applyAlignment="1">
      <alignment horizontal="center"/>
    </xf>
    <xf numFmtId="0" fontId="10" fillId="373" borderId="2" xfId="0" applyFont="1" applyFill="1" applyBorder="1" applyAlignment="1">
      <alignment horizontal="center"/>
    </xf>
    <xf numFmtId="9" fontId="10" fillId="84" borderId="2" xfId="0" applyNumberFormat="1" applyFont="1" applyFill="1" applyBorder="1" applyAlignment="1">
      <alignment horizontal="center"/>
    </xf>
    <xf numFmtId="0" fontId="10" fillId="403" borderId="2" xfId="0" applyFont="1" applyFill="1" applyBorder="1" applyAlignment="1">
      <alignment horizontal="center"/>
    </xf>
    <xf numFmtId="9" fontId="10" fillId="393" borderId="3" xfId="0" applyNumberFormat="1" applyFont="1" applyFill="1" applyBorder="1" applyAlignment="1">
      <alignment horizontal="center"/>
    </xf>
    <xf numFmtId="0" fontId="10" fillId="443" borderId="3" xfId="0" applyFont="1" applyFill="1" applyBorder="1" applyAlignment="1">
      <alignment horizontal="center"/>
    </xf>
    <xf numFmtId="0" fontId="10" fillId="149" borderId="2" xfId="0" applyFont="1" applyFill="1" applyBorder="1" applyAlignment="1">
      <alignment horizontal="center"/>
    </xf>
    <xf numFmtId="9" fontId="10" fillId="371" borderId="2" xfId="0" applyNumberFormat="1" applyFont="1" applyFill="1" applyBorder="1" applyAlignment="1">
      <alignment horizontal="center"/>
    </xf>
    <xf numFmtId="9" fontId="10" fillId="635" borderId="2" xfId="0" applyNumberFormat="1" applyFont="1" applyFill="1" applyBorder="1" applyAlignment="1">
      <alignment horizontal="center"/>
    </xf>
    <xf numFmtId="0" fontId="10" fillId="169" borderId="3" xfId="0" applyFont="1" applyFill="1" applyBorder="1" applyAlignment="1">
      <alignment horizontal="center"/>
    </xf>
    <xf numFmtId="10" fontId="10" fillId="126" borderId="2" xfId="0" applyNumberFormat="1" applyFont="1" applyFill="1" applyBorder="1" applyAlignment="1">
      <alignment horizontal="center"/>
    </xf>
    <xf numFmtId="0" fontId="10" fillId="418" borderId="13" xfId="0" applyFont="1" applyFill="1" applyBorder="1" applyAlignment="1">
      <alignment horizontal="center"/>
    </xf>
    <xf numFmtId="0" fontId="10" fillId="225" borderId="2" xfId="0" applyFont="1" applyFill="1" applyBorder="1" applyAlignment="1">
      <alignment horizontal="center"/>
    </xf>
    <xf numFmtId="49" fontId="10" fillId="12" borderId="4" xfId="0" applyNumberFormat="1" applyFont="1" applyFill="1" applyBorder="1" applyAlignment="1">
      <alignment horizontal="center"/>
    </xf>
    <xf numFmtId="0" fontId="10" fillId="691" borderId="1" xfId="0" applyFont="1" applyFill="1" applyBorder="1" applyAlignment="1">
      <alignment horizontal="center"/>
    </xf>
    <xf numFmtId="9" fontId="10" fillId="635" borderId="1" xfId="0" applyNumberFormat="1" applyFont="1" applyFill="1" applyBorder="1" applyAlignment="1">
      <alignment horizontal="center"/>
    </xf>
    <xf numFmtId="0" fontId="10" fillId="570" borderId="1" xfId="0" applyFont="1" applyFill="1" applyBorder="1" applyAlignment="1">
      <alignment horizontal="center"/>
    </xf>
    <xf numFmtId="9" fontId="10" fillId="757" borderId="1" xfId="0" applyNumberFormat="1" applyFont="1" applyFill="1" applyBorder="1" applyAlignment="1">
      <alignment horizontal="center"/>
    </xf>
    <xf numFmtId="0" fontId="10" fillId="49" borderId="4" xfId="0" applyFont="1" applyFill="1" applyBorder="1" applyAlignment="1">
      <alignment horizontal="center"/>
    </xf>
    <xf numFmtId="10" fontId="10" fillId="769" borderId="1" xfId="0" applyNumberFormat="1" applyFont="1" applyFill="1" applyBorder="1" applyAlignment="1">
      <alignment horizontal="center"/>
    </xf>
    <xf numFmtId="10" fontId="10" fillId="142" borderId="1" xfId="0" applyNumberFormat="1" applyFont="1" applyFill="1" applyBorder="1" applyAlignment="1">
      <alignment horizontal="center"/>
    </xf>
    <xf numFmtId="10" fontId="10" fillId="159" borderId="1" xfId="0" applyNumberFormat="1" applyFont="1" applyFill="1" applyBorder="1" applyAlignment="1">
      <alignment horizontal="center"/>
    </xf>
    <xf numFmtId="0" fontId="10" fillId="86" borderId="1" xfId="0" applyFont="1" applyFill="1" applyBorder="1" applyAlignment="1">
      <alignment horizontal="center"/>
    </xf>
    <xf numFmtId="0" fontId="10" fillId="436" borderId="4" xfId="0" applyFont="1" applyFill="1" applyBorder="1" applyAlignment="1">
      <alignment horizontal="center"/>
    </xf>
    <xf numFmtId="49" fontId="10" fillId="2" borderId="3" xfId="0" applyNumberFormat="1" applyFont="1" applyFill="1" applyBorder="1" applyAlignment="1">
      <alignment horizontal="center"/>
    </xf>
    <xf numFmtId="9" fontId="10" fillId="286" borderId="2" xfId="0" applyNumberFormat="1" applyFont="1" applyFill="1" applyBorder="1" applyAlignment="1">
      <alignment horizontal="center"/>
    </xf>
    <xf numFmtId="0" fontId="10" fillId="918" borderId="2" xfId="0" applyFont="1" applyFill="1" applyBorder="1" applyAlignment="1">
      <alignment horizontal="center"/>
    </xf>
    <xf numFmtId="9" fontId="10" fillId="315" borderId="3" xfId="0" applyNumberFormat="1" applyFont="1" applyFill="1" applyBorder="1" applyAlignment="1">
      <alignment horizontal="center"/>
    </xf>
    <xf numFmtId="10" fontId="10" fillId="734" borderId="2" xfId="0" applyNumberFormat="1" applyFont="1" applyFill="1" applyBorder="1" applyAlignment="1">
      <alignment horizontal="center"/>
    </xf>
    <xf numFmtId="0" fontId="10" fillId="825" borderId="2" xfId="0" applyFont="1" applyFill="1" applyBorder="1" applyAlignment="1">
      <alignment horizontal="center"/>
    </xf>
    <xf numFmtId="0" fontId="10" fillId="825" borderId="3" xfId="0" applyFont="1" applyFill="1" applyBorder="1" applyAlignment="1">
      <alignment horizontal="center"/>
    </xf>
    <xf numFmtId="49" fontId="10" fillId="2" borderId="4" xfId="0" applyNumberFormat="1" applyFont="1" applyFill="1" applyBorder="1" applyAlignment="1">
      <alignment horizontal="center"/>
    </xf>
    <xf numFmtId="9" fontId="10" fillId="451" borderId="1" xfId="0" applyNumberFormat="1" applyFont="1" applyFill="1" applyBorder="1" applyAlignment="1">
      <alignment horizontal="center"/>
    </xf>
    <xf numFmtId="9" fontId="10" fillId="233" borderId="4" xfId="0" applyNumberFormat="1" applyFont="1" applyFill="1" applyBorder="1" applyAlignment="1">
      <alignment horizontal="center"/>
    </xf>
    <xf numFmtId="0" fontId="10" fillId="272" borderId="4" xfId="0" applyFont="1" applyFill="1" applyBorder="1" applyAlignment="1">
      <alignment horizontal="center"/>
    </xf>
    <xf numFmtId="0" fontId="10" fillId="294" borderId="1" xfId="0" applyFont="1" applyFill="1" applyBorder="1" applyAlignment="1">
      <alignment horizontal="center"/>
    </xf>
    <xf numFmtId="0" fontId="10" fillId="93" borderId="4" xfId="0" applyFont="1" applyFill="1" applyBorder="1" applyAlignment="1">
      <alignment horizontal="center"/>
    </xf>
    <xf numFmtId="10" fontId="10" fillId="323" borderId="4" xfId="0" applyNumberFormat="1" applyFont="1" applyFill="1" applyBorder="1" applyAlignment="1">
      <alignment horizontal="center"/>
    </xf>
    <xf numFmtId="0" fontId="10" fillId="93" borderId="16" xfId="0" applyFont="1" applyFill="1" applyBorder="1" applyAlignment="1">
      <alignment horizontal="center"/>
    </xf>
    <xf numFmtId="0" fontId="10" fillId="462" borderId="1" xfId="0" applyFont="1" applyFill="1" applyBorder="1" applyAlignment="1">
      <alignment horizontal="center"/>
    </xf>
    <xf numFmtId="0" fontId="10" fillId="259" borderId="1" xfId="0" applyFont="1" applyFill="1" applyBorder="1" applyAlignment="1">
      <alignment horizontal="center"/>
    </xf>
    <xf numFmtId="0" fontId="10" fillId="259" borderId="4" xfId="0" applyFont="1" applyFill="1" applyBorder="1" applyAlignment="1">
      <alignment horizontal="center"/>
    </xf>
    <xf numFmtId="9" fontId="10" fillId="113" borderId="2" xfId="0" applyNumberFormat="1" applyFont="1" applyFill="1" applyBorder="1" applyAlignment="1">
      <alignment horizontal="center"/>
    </xf>
    <xf numFmtId="0" fontId="10" fillId="919" borderId="2" xfId="0" applyFont="1" applyFill="1" applyBorder="1" applyAlignment="1">
      <alignment horizontal="center"/>
    </xf>
    <xf numFmtId="9" fontId="10" fillId="264" borderId="3" xfId="0" applyNumberFormat="1" applyFont="1" applyFill="1" applyBorder="1" applyAlignment="1">
      <alignment horizontal="center"/>
    </xf>
    <xf numFmtId="0" fontId="10" fillId="65" borderId="3" xfId="0" applyFont="1" applyFill="1" applyBorder="1" applyAlignment="1">
      <alignment horizontal="center"/>
    </xf>
    <xf numFmtId="0" fontId="10" fillId="508" borderId="2" xfId="0" applyFont="1" applyFill="1" applyBorder="1" applyAlignment="1">
      <alignment horizontal="center"/>
    </xf>
    <xf numFmtId="0" fontId="10" fillId="132" borderId="3" xfId="0" applyFont="1" applyFill="1" applyBorder="1" applyAlignment="1">
      <alignment horizontal="center"/>
    </xf>
    <xf numFmtId="10" fontId="10" fillId="455" borderId="2" xfId="0" applyNumberFormat="1" applyFont="1" applyFill="1" applyBorder="1" applyAlignment="1">
      <alignment horizontal="center"/>
    </xf>
    <xf numFmtId="10" fontId="10" fillId="24" borderId="2" xfId="0" applyNumberFormat="1" applyFont="1" applyFill="1" applyBorder="1" applyAlignment="1">
      <alignment horizontal="center"/>
    </xf>
    <xf numFmtId="10" fontId="10" fillId="812" borderId="2" xfId="0" applyNumberFormat="1" applyFont="1" applyFill="1" applyBorder="1" applyAlignment="1">
      <alignment horizontal="center"/>
    </xf>
    <xf numFmtId="10" fontId="10" fillId="416" borderId="3" xfId="0" applyNumberFormat="1" applyFont="1" applyFill="1" applyBorder="1" applyAlignment="1">
      <alignment horizontal="center"/>
    </xf>
    <xf numFmtId="0" fontId="10" fillId="183" borderId="2" xfId="0" applyFont="1" applyFill="1" applyBorder="1" applyAlignment="1">
      <alignment horizontal="center"/>
    </xf>
    <xf numFmtId="0" fontId="10" fillId="533" borderId="2" xfId="0" applyFont="1" applyFill="1" applyBorder="1" applyAlignment="1">
      <alignment horizontal="center"/>
    </xf>
    <xf numFmtId="0" fontId="10" fillId="533" borderId="3" xfId="0" applyFont="1" applyFill="1" applyBorder="1" applyAlignment="1">
      <alignment horizontal="center"/>
    </xf>
    <xf numFmtId="9" fontId="10" fillId="74" borderId="1" xfId="0" applyNumberFormat="1" applyFont="1" applyFill="1" applyBorder="1" applyAlignment="1">
      <alignment horizontal="center"/>
    </xf>
    <xf numFmtId="0" fontId="10" fillId="432" borderId="1" xfId="0" applyFont="1" applyFill="1" applyBorder="1" applyAlignment="1">
      <alignment horizontal="center"/>
    </xf>
    <xf numFmtId="9" fontId="10" fillId="45" borderId="4" xfId="0" applyNumberFormat="1" applyFont="1" applyFill="1" applyBorder="1" applyAlignment="1">
      <alignment horizontal="center"/>
    </xf>
    <xf numFmtId="0" fontId="10" fillId="590" borderId="4" xfId="0" applyFont="1" applyFill="1" applyBorder="1" applyAlignment="1">
      <alignment horizontal="center"/>
    </xf>
    <xf numFmtId="10" fontId="10" fillId="791" borderId="4" xfId="0" applyNumberFormat="1" applyFont="1" applyFill="1" applyBorder="1" applyAlignment="1">
      <alignment horizontal="center"/>
    </xf>
    <xf numFmtId="0" fontId="10" fillId="65" borderId="16" xfId="0" applyFont="1" applyFill="1" applyBorder="1" applyAlignment="1">
      <alignment horizontal="center"/>
    </xf>
    <xf numFmtId="0" fontId="10" fillId="920" borderId="1" xfId="0" applyFont="1" applyFill="1" applyBorder="1" applyAlignment="1">
      <alignment horizontal="center"/>
    </xf>
    <xf numFmtId="0" fontId="10" fillId="921" borderId="1" xfId="0" applyFont="1" applyFill="1" applyBorder="1" applyAlignment="1">
      <alignment horizontal="center"/>
    </xf>
    <xf numFmtId="0" fontId="10" fillId="921" borderId="4" xfId="0" applyFont="1" applyFill="1" applyBorder="1" applyAlignment="1">
      <alignment horizontal="center"/>
    </xf>
    <xf numFmtId="0" fontId="10" fillId="769" borderId="2" xfId="0" applyFont="1" applyFill="1" applyBorder="1" applyAlignment="1">
      <alignment horizontal="center"/>
    </xf>
    <xf numFmtId="0" fontId="10" fillId="387" borderId="2" xfId="0" applyFont="1" applyFill="1" applyBorder="1" applyAlignment="1">
      <alignment horizontal="center"/>
    </xf>
    <xf numFmtId="0" fontId="10" fillId="310" borderId="3" xfId="0" applyFont="1" applyFill="1" applyBorder="1" applyAlignment="1">
      <alignment horizontal="center"/>
    </xf>
    <xf numFmtId="10" fontId="10" fillId="138" borderId="2" xfId="0" applyNumberFormat="1" applyFont="1" applyFill="1" applyBorder="1" applyAlignment="1">
      <alignment horizontal="center"/>
    </xf>
    <xf numFmtId="0" fontId="10" fillId="488" borderId="13" xfId="0" applyFont="1" applyFill="1" applyBorder="1" applyAlignment="1">
      <alignment horizontal="center"/>
    </xf>
    <xf numFmtId="0" fontId="10" fillId="648" borderId="2" xfId="0" applyFont="1" applyFill="1" applyBorder="1" applyAlignment="1">
      <alignment horizontal="center"/>
    </xf>
    <xf numFmtId="0" fontId="10" fillId="467" borderId="1" xfId="0" applyFont="1" applyFill="1" applyBorder="1" applyAlignment="1">
      <alignment horizontal="center"/>
    </xf>
    <xf numFmtId="9" fontId="10" fillId="211" borderId="1" xfId="0" applyNumberFormat="1" applyFont="1" applyFill="1" applyBorder="1" applyAlignment="1">
      <alignment horizontal="center"/>
    </xf>
    <xf numFmtId="0" fontId="10" fillId="417" borderId="1" xfId="0" applyFont="1" applyFill="1" applyBorder="1" applyAlignment="1">
      <alignment horizontal="center"/>
    </xf>
    <xf numFmtId="0" fontId="10" fillId="164" borderId="4" xfId="0" applyFont="1" applyFill="1" applyBorder="1" applyAlignment="1">
      <alignment horizontal="center"/>
    </xf>
    <xf numFmtId="0" fontId="10" fillId="819" borderId="1" xfId="0" applyFont="1" applyFill="1" applyBorder="1" applyAlignment="1">
      <alignment horizontal="center"/>
    </xf>
    <xf numFmtId="9" fontId="10" fillId="257" borderId="1" xfId="0" applyNumberFormat="1" applyFont="1" applyFill="1" applyBorder="1" applyAlignment="1">
      <alignment horizontal="center"/>
    </xf>
    <xf numFmtId="0" fontId="10" fillId="47" borderId="4" xfId="0" applyFont="1" applyFill="1" applyBorder="1" applyAlignment="1">
      <alignment horizontal="center"/>
    </xf>
    <xf numFmtId="10" fontId="10" fillId="140" borderId="1" xfId="0" applyNumberFormat="1" applyFont="1" applyFill="1" applyBorder="1" applyAlignment="1">
      <alignment horizontal="center"/>
    </xf>
    <xf numFmtId="10" fontId="10" fillId="819" borderId="1" xfId="0" applyNumberFormat="1" applyFont="1" applyFill="1" applyBorder="1" applyAlignment="1">
      <alignment horizontal="center"/>
    </xf>
    <xf numFmtId="10" fontId="10" fillId="922" borderId="4" xfId="0" applyNumberFormat="1" applyFont="1" applyFill="1" applyBorder="1" applyAlignment="1">
      <alignment horizontal="center"/>
    </xf>
    <xf numFmtId="0" fontId="10" fillId="498" borderId="1" xfId="0" applyFont="1" applyFill="1" applyBorder="1" applyAlignment="1">
      <alignment horizontal="center"/>
    </xf>
    <xf numFmtId="0" fontId="10" fillId="923" borderId="1" xfId="0" applyFont="1" applyFill="1" applyBorder="1" applyAlignment="1">
      <alignment horizontal="center"/>
    </xf>
    <xf numFmtId="0" fontId="10" fillId="923" borderId="4" xfId="0" applyFont="1" applyFill="1" applyBorder="1" applyAlignment="1">
      <alignment horizontal="center"/>
    </xf>
    <xf numFmtId="0" fontId="10" fillId="263" borderId="2" xfId="0" applyFont="1" applyFill="1" applyBorder="1" applyAlignment="1">
      <alignment horizontal="center"/>
    </xf>
    <xf numFmtId="9" fontId="10" fillId="300" borderId="2" xfId="0" applyNumberFormat="1" applyFont="1" applyFill="1" applyBorder="1" applyAlignment="1">
      <alignment horizontal="center"/>
    </xf>
    <xf numFmtId="0" fontId="10" fillId="644" borderId="2" xfId="0" applyFont="1" applyFill="1" applyBorder="1" applyAlignment="1">
      <alignment horizontal="center"/>
    </xf>
    <xf numFmtId="9" fontId="10" fillId="373" borderId="3" xfId="0" applyNumberFormat="1" applyFont="1" applyFill="1" applyBorder="1" applyAlignment="1">
      <alignment horizontal="center"/>
    </xf>
    <xf numFmtId="9" fontId="10" fillId="327" borderId="2" xfId="0" applyNumberFormat="1" applyFont="1" applyFill="1" applyBorder="1" applyAlignment="1">
      <alignment horizontal="center"/>
    </xf>
    <xf numFmtId="9" fontId="10" fillId="350" borderId="2" xfId="0" applyNumberFormat="1" applyFont="1" applyFill="1" applyBorder="1" applyAlignment="1">
      <alignment horizontal="center"/>
    </xf>
    <xf numFmtId="10" fontId="10" fillId="608" borderId="2" xfId="0" applyNumberFormat="1" applyFont="1" applyFill="1" applyBorder="1" applyAlignment="1">
      <alignment horizontal="center"/>
    </xf>
    <xf numFmtId="0" fontId="10" fillId="286" borderId="13" xfId="0" applyFont="1" applyFill="1" applyBorder="1" applyAlignment="1">
      <alignment horizontal="center"/>
    </xf>
    <xf numFmtId="0" fontId="10" fillId="924" borderId="2" xfId="0" applyFont="1" applyFill="1" applyBorder="1" applyAlignment="1">
      <alignment horizontal="center"/>
    </xf>
    <xf numFmtId="0" fontId="10" fillId="267" borderId="2" xfId="0" applyFont="1" applyFill="1" applyBorder="1" applyAlignment="1">
      <alignment horizontal="center"/>
    </xf>
    <xf numFmtId="0" fontId="10" fillId="267" borderId="3" xfId="0" applyFont="1" applyFill="1" applyBorder="1" applyAlignment="1">
      <alignment horizontal="center"/>
    </xf>
    <xf numFmtId="0" fontId="10" fillId="40" borderId="1" xfId="0" applyFont="1" applyFill="1" applyBorder="1" applyAlignment="1">
      <alignment horizontal="center"/>
    </xf>
    <xf numFmtId="0" fontId="10" fillId="408" borderId="1" xfId="0" applyFont="1" applyFill="1" applyBorder="1" applyAlignment="1">
      <alignment horizontal="center"/>
    </xf>
    <xf numFmtId="9" fontId="10" fillId="373" borderId="4" xfId="0" applyNumberFormat="1" applyFont="1" applyFill="1" applyBorder="1" applyAlignment="1">
      <alignment horizontal="center"/>
    </xf>
    <xf numFmtId="0" fontId="10" fillId="537" borderId="4" xfId="0" applyFont="1" applyFill="1" applyBorder="1" applyAlignment="1">
      <alignment horizontal="center"/>
    </xf>
    <xf numFmtId="9" fontId="10" fillId="108" borderId="1" xfId="0" applyNumberFormat="1" applyFont="1" applyFill="1" applyBorder="1" applyAlignment="1">
      <alignment horizontal="center"/>
    </xf>
    <xf numFmtId="10" fontId="10" fillId="455" borderId="1" xfId="0" applyNumberFormat="1" applyFont="1" applyFill="1" applyBorder="1" applyAlignment="1">
      <alignment horizontal="center"/>
    </xf>
    <xf numFmtId="10" fontId="10" fillId="925" borderId="1" xfId="0" applyNumberFormat="1" applyFont="1" applyFill="1" applyBorder="1" applyAlignment="1">
      <alignment horizontal="center"/>
    </xf>
    <xf numFmtId="10" fontId="10" fillId="165" borderId="4" xfId="0" applyNumberFormat="1" applyFont="1" applyFill="1" applyBorder="1" applyAlignment="1">
      <alignment horizontal="center"/>
    </xf>
    <xf numFmtId="0" fontId="10" fillId="656" borderId="1" xfId="0" applyFont="1" applyFill="1" applyBorder="1" applyAlignment="1">
      <alignment horizontal="center"/>
    </xf>
    <xf numFmtId="0" fontId="10" fillId="664" borderId="1" xfId="0" applyFont="1" applyFill="1" applyBorder="1" applyAlignment="1">
      <alignment horizontal="center"/>
    </xf>
    <xf numFmtId="0" fontId="10" fillId="664" borderId="4" xfId="0" applyFont="1" applyFill="1" applyBorder="1" applyAlignment="1">
      <alignment horizontal="center"/>
    </xf>
    <xf numFmtId="9" fontId="10" fillId="272" borderId="3" xfId="0" applyNumberFormat="1" applyFont="1" applyFill="1" applyBorder="1" applyAlignment="1">
      <alignment horizontal="center"/>
    </xf>
    <xf numFmtId="0" fontId="10" fillId="41" borderId="3" xfId="0" applyFont="1" applyFill="1" applyBorder="1" applyAlignment="1">
      <alignment horizontal="center"/>
    </xf>
    <xf numFmtId="9" fontId="10" fillId="165" borderId="2" xfId="0" applyNumberFormat="1" applyFont="1" applyFill="1" applyBorder="1" applyAlignment="1">
      <alignment horizontal="center"/>
    </xf>
    <xf numFmtId="9" fontId="10" fillId="181" borderId="2" xfId="0" applyNumberFormat="1" applyFont="1" applyFill="1" applyBorder="1" applyAlignment="1">
      <alignment horizontal="center"/>
    </xf>
    <xf numFmtId="10" fontId="10" fillId="284" borderId="3" xfId="0" applyNumberFormat="1" applyFont="1" applyFill="1" applyBorder="1" applyAlignment="1">
      <alignment horizontal="center"/>
    </xf>
    <xf numFmtId="0" fontId="10" fillId="462" borderId="2" xfId="0" applyFont="1" applyFill="1" applyBorder="1" applyAlignment="1">
      <alignment horizontal="center"/>
    </xf>
    <xf numFmtId="0" fontId="10" fillId="185" borderId="2" xfId="0" applyFont="1" applyFill="1" applyBorder="1" applyAlignment="1">
      <alignment horizontal="center"/>
    </xf>
    <xf numFmtId="0" fontId="10" fillId="185" borderId="3" xfId="0" applyFont="1" applyFill="1" applyBorder="1" applyAlignment="1">
      <alignment horizontal="center"/>
    </xf>
    <xf numFmtId="0" fontId="10" fillId="108" borderId="1" xfId="0" applyFont="1" applyFill="1" applyBorder="1" applyAlignment="1">
      <alignment horizontal="center"/>
    </xf>
    <xf numFmtId="9" fontId="10" fillId="50" borderId="1" xfId="0" applyNumberFormat="1" applyFont="1" applyFill="1" applyBorder="1" applyAlignment="1">
      <alignment horizontal="center"/>
    </xf>
    <xf numFmtId="0" fontId="10" fillId="361" borderId="1" xfId="0" applyFont="1" applyFill="1" applyBorder="1" applyAlignment="1">
      <alignment horizontal="center"/>
    </xf>
    <xf numFmtId="10" fontId="10" fillId="773" borderId="1" xfId="0" applyNumberFormat="1" applyFont="1" applyFill="1" applyBorder="1" applyAlignment="1">
      <alignment horizontal="center"/>
    </xf>
    <xf numFmtId="10" fontId="10" fillId="529" borderId="4" xfId="0" applyNumberFormat="1" applyFont="1" applyFill="1" applyBorder="1" applyAlignment="1">
      <alignment horizontal="center"/>
    </xf>
    <xf numFmtId="0" fontId="10" fillId="223" borderId="16" xfId="0" applyFont="1" applyFill="1" applyBorder="1" applyAlignment="1">
      <alignment horizontal="center"/>
    </xf>
    <xf numFmtId="0" fontId="10" fillId="182" borderId="4" xfId="0" applyFont="1" applyFill="1" applyBorder="1" applyAlignment="1">
      <alignment horizontal="center"/>
    </xf>
    <xf numFmtId="0" fontId="10" fillId="489" borderId="1" xfId="0" applyFont="1" applyFill="1" applyBorder="1" applyAlignment="1">
      <alignment horizontal="center"/>
    </xf>
    <xf numFmtId="0" fontId="10" fillId="926" borderId="1" xfId="0" applyFont="1" applyFill="1" applyBorder="1" applyAlignment="1">
      <alignment horizontal="center"/>
    </xf>
    <xf numFmtId="0" fontId="10" fillId="926" borderId="4" xfId="0" applyFont="1" applyFill="1" applyBorder="1" applyAlignment="1">
      <alignment horizontal="center"/>
    </xf>
    <xf numFmtId="0" fontId="10" fillId="299" borderId="2" xfId="0" applyFont="1" applyFill="1" applyBorder="1" applyAlignment="1">
      <alignment horizontal="center"/>
    </xf>
    <xf numFmtId="9" fontId="10" fillId="323" borderId="3" xfId="0" applyNumberFormat="1" applyFont="1" applyFill="1" applyBorder="1" applyAlignment="1">
      <alignment horizontal="center"/>
    </xf>
    <xf numFmtId="0" fontId="10" fillId="603" borderId="3" xfId="0" applyFont="1" applyFill="1" applyBorder="1" applyAlignment="1">
      <alignment horizontal="center"/>
    </xf>
    <xf numFmtId="0" fontId="10" fillId="640" borderId="2" xfId="0" applyFont="1" applyFill="1" applyBorder="1" applyAlignment="1">
      <alignment horizontal="center"/>
    </xf>
    <xf numFmtId="10" fontId="10" fillId="65" borderId="3" xfId="0" applyNumberFormat="1" applyFont="1" applyFill="1" applyBorder="1" applyAlignment="1">
      <alignment horizontal="center"/>
    </xf>
    <xf numFmtId="0" fontId="10" fillId="93" borderId="13" xfId="0" applyFont="1" applyFill="1" applyBorder="1" applyAlignment="1">
      <alignment horizontal="center"/>
    </xf>
    <xf numFmtId="0" fontId="10" fillId="223" borderId="13" xfId="0" applyFont="1" applyFill="1" applyBorder="1" applyAlignment="1">
      <alignment horizontal="center"/>
    </xf>
    <xf numFmtId="0" fontId="10" fillId="832" borderId="2" xfId="0" applyFont="1" applyFill="1" applyBorder="1" applyAlignment="1">
      <alignment horizontal="center"/>
    </xf>
    <xf numFmtId="0" fontId="10" fillId="664" borderId="2" xfId="0" applyFont="1" applyFill="1" applyBorder="1" applyAlignment="1">
      <alignment horizontal="center"/>
    </xf>
    <xf numFmtId="0" fontId="10" fillId="664" borderId="3" xfId="0" applyFont="1" applyFill="1" applyBorder="1" applyAlignment="1">
      <alignment horizontal="center"/>
    </xf>
    <xf numFmtId="0" fontId="10" fillId="162" borderId="1" xfId="0" applyFont="1" applyFill="1" applyBorder="1" applyAlignment="1">
      <alignment horizontal="center"/>
    </xf>
    <xf numFmtId="0" fontId="10" fillId="48" borderId="1" xfId="0" applyFont="1" applyFill="1" applyBorder="1" applyAlignment="1">
      <alignment horizontal="center"/>
    </xf>
    <xf numFmtId="0" fontId="10" fillId="109" borderId="1" xfId="0" applyFont="1" applyFill="1" applyBorder="1" applyAlignment="1">
      <alignment horizontal="center"/>
    </xf>
    <xf numFmtId="9" fontId="10" fillId="393" borderId="1" xfId="0" applyNumberFormat="1" applyFont="1" applyFill="1" applyBorder="1" applyAlignment="1">
      <alignment horizontal="center"/>
    </xf>
    <xf numFmtId="0" fontId="10" fillId="302" borderId="4" xfId="0" applyFont="1" applyFill="1" applyBorder="1" applyAlignment="1">
      <alignment horizontal="center"/>
    </xf>
    <xf numFmtId="10" fontId="10" fillId="435" borderId="1" xfId="0" applyNumberFormat="1" applyFont="1" applyFill="1" applyBorder="1" applyAlignment="1">
      <alignment horizontal="center"/>
    </xf>
    <xf numFmtId="10" fontId="10" fillId="667" borderId="1" xfId="0" applyNumberFormat="1" applyFont="1" applyFill="1" applyBorder="1" applyAlignment="1">
      <alignment horizontal="center"/>
    </xf>
    <xf numFmtId="10" fontId="10" fillId="213" borderId="4" xfId="0" applyNumberFormat="1" applyFont="1" applyFill="1" applyBorder="1" applyAlignment="1">
      <alignment horizontal="center"/>
    </xf>
    <xf numFmtId="0" fontId="10" fillId="401" borderId="16" xfId="0" applyFont="1" applyFill="1" applyBorder="1" applyAlignment="1">
      <alignment horizontal="center"/>
    </xf>
    <xf numFmtId="0" fontId="10" fillId="395" borderId="4" xfId="0" applyFont="1" applyFill="1" applyBorder="1" applyAlignment="1">
      <alignment horizontal="center"/>
    </xf>
    <xf numFmtId="9" fontId="10" fillId="415" borderId="3" xfId="0" applyNumberFormat="1" applyFont="1" applyFill="1" applyBorder="1" applyAlignment="1">
      <alignment horizontal="center"/>
    </xf>
    <xf numFmtId="10" fontId="10" fillId="589" borderId="2" xfId="0" applyNumberFormat="1" applyFont="1" applyFill="1" applyBorder="1" applyAlignment="1">
      <alignment horizontal="center"/>
    </xf>
    <xf numFmtId="10" fontId="10" fillId="646" borderId="3" xfId="0" applyNumberFormat="1" applyFont="1" applyFill="1" applyBorder="1" applyAlignment="1">
      <alignment horizontal="center"/>
    </xf>
    <xf numFmtId="0" fontId="10" fillId="182" borderId="3" xfId="0" applyFont="1" applyFill="1" applyBorder="1" applyAlignment="1">
      <alignment horizontal="center"/>
    </xf>
    <xf numFmtId="0" fontId="10" fillId="788" borderId="3" xfId="0" applyFont="1" applyFill="1" applyBorder="1" applyAlignment="1">
      <alignment horizontal="center"/>
    </xf>
    <xf numFmtId="0" fontId="10" fillId="187" borderId="1" xfId="0" applyFont="1" applyFill="1" applyBorder="1" applyAlignment="1">
      <alignment horizontal="center"/>
    </xf>
    <xf numFmtId="0" fontId="10" fillId="194" borderId="4" xfId="0" applyFont="1" applyFill="1" applyBorder="1" applyAlignment="1">
      <alignment horizontal="center"/>
    </xf>
    <xf numFmtId="10" fontId="10" fillId="233" borderId="1" xfId="0" applyNumberFormat="1" applyFont="1" applyFill="1" applyBorder="1" applyAlignment="1">
      <alignment horizontal="center"/>
    </xf>
    <xf numFmtId="10" fontId="10" fillId="168" borderId="1" xfId="0" applyNumberFormat="1" applyFont="1" applyFill="1" applyBorder="1" applyAlignment="1">
      <alignment horizontal="center"/>
    </xf>
    <xf numFmtId="10" fontId="10" fillId="646" borderId="4" xfId="0" applyNumberFormat="1" applyFont="1" applyFill="1" applyBorder="1" applyAlignment="1">
      <alignment horizontal="center"/>
    </xf>
    <xf numFmtId="0" fontId="10" fillId="489" borderId="4" xfId="0" applyFont="1" applyFill="1" applyBorder="1" applyAlignment="1">
      <alignment horizontal="center"/>
    </xf>
    <xf numFmtId="0" fontId="10" fillId="342" borderId="2" xfId="0" applyFont="1" applyFill="1" applyBorder="1" applyAlignment="1">
      <alignment horizontal="center"/>
    </xf>
    <xf numFmtId="0" fontId="10" fillId="567" borderId="2" xfId="0" applyFont="1" applyFill="1" applyBorder="1" applyAlignment="1">
      <alignment horizontal="center"/>
    </xf>
    <xf numFmtId="0" fontId="10" fillId="19" borderId="3" xfId="0" applyFont="1" applyFill="1" applyBorder="1" applyAlignment="1">
      <alignment horizontal="center"/>
    </xf>
    <xf numFmtId="9" fontId="10" fillId="344" borderId="2" xfId="0" applyNumberFormat="1" applyFont="1" applyFill="1" applyBorder="1" applyAlignment="1">
      <alignment horizontal="center"/>
    </xf>
    <xf numFmtId="10" fontId="10" fillId="633" borderId="2" xfId="0" applyNumberFormat="1" applyFont="1" applyFill="1" applyBorder="1" applyAlignment="1">
      <alignment horizontal="center"/>
    </xf>
    <xf numFmtId="10" fontId="10" fillId="142" borderId="2" xfId="0" applyNumberFormat="1" applyFont="1" applyFill="1" applyBorder="1" applyAlignment="1">
      <alignment horizontal="center"/>
    </xf>
    <xf numFmtId="10" fontId="10" fillId="360" borderId="2" xfId="0" applyNumberFormat="1" applyFont="1" applyFill="1" applyBorder="1" applyAlignment="1">
      <alignment horizontal="center"/>
    </xf>
    <xf numFmtId="10" fontId="10" fillId="922" borderId="3" xfId="0" applyNumberFormat="1" applyFont="1" applyFill="1" applyBorder="1" applyAlignment="1">
      <alignment horizontal="center"/>
    </xf>
    <xf numFmtId="0" fontId="10" fillId="747" borderId="2" xfId="0" applyFont="1" applyFill="1" applyBorder="1" applyAlignment="1">
      <alignment horizontal="center"/>
    </xf>
    <xf numFmtId="0" fontId="10" fillId="747" borderId="3" xfId="0" applyFont="1" applyFill="1" applyBorder="1" applyAlignment="1">
      <alignment horizontal="center"/>
    </xf>
    <xf numFmtId="0" fontId="10" fillId="205" borderId="1" xfId="0" applyFont="1" applyFill="1" applyBorder="1" applyAlignment="1">
      <alignment horizontal="center"/>
    </xf>
    <xf numFmtId="9" fontId="10" fillId="84" borderId="1" xfId="0" applyNumberFormat="1" applyFont="1" applyFill="1" applyBorder="1" applyAlignment="1">
      <alignment horizontal="center"/>
    </xf>
    <xf numFmtId="0" fontId="10" fillId="643" borderId="1" xfId="0" applyFont="1" applyFill="1" applyBorder="1" applyAlignment="1">
      <alignment horizontal="center"/>
    </xf>
    <xf numFmtId="9" fontId="10" fillId="61" borderId="1" xfId="0" applyNumberFormat="1" applyFont="1" applyFill="1" applyBorder="1" applyAlignment="1">
      <alignment horizontal="center"/>
    </xf>
    <xf numFmtId="0" fontId="10" fillId="349" borderId="4" xfId="0" applyFont="1" applyFill="1" applyBorder="1" applyAlignment="1">
      <alignment horizontal="center"/>
    </xf>
    <xf numFmtId="10" fontId="10" fillId="21" borderId="1" xfId="0" applyNumberFormat="1" applyFont="1" applyFill="1" applyBorder="1" applyAlignment="1">
      <alignment horizontal="center"/>
    </xf>
    <xf numFmtId="10" fontId="10" fillId="373" borderId="1" xfId="0" applyNumberFormat="1" applyFont="1" applyFill="1" applyBorder="1" applyAlignment="1">
      <alignment horizontal="center"/>
    </xf>
    <xf numFmtId="10" fontId="10" fillId="63" borderId="4" xfId="0" applyNumberFormat="1" applyFont="1" applyFill="1" applyBorder="1" applyAlignment="1">
      <alignment horizontal="center"/>
    </xf>
    <xf numFmtId="0" fontId="10" fillId="509" borderId="4" xfId="0" applyFont="1" applyFill="1" applyBorder="1" applyAlignment="1">
      <alignment horizontal="center"/>
    </xf>
    <xf numFmtId="0" fontId="10" fillId="594" borderId="2" xfId="0" applyFont="1" applyFill="1" applyBorder="1" applyAlignment="1">
      <alignment horizontal="center"/>
    </xf>
    <xf numFmtId="9" fontId="10" fillId="74" borderId="2" xfId="0" applyNumberFormat="1" applyFont="1" applyFill="1" applyBorder="1" applyAlignment="1">
      <alignment horizontal="center"/>
    </xf>
    <xf numFmtId="0" fontId="10" fillId="742" borderId="2" xfId="0" applyFont="1" applyFill="1" applyBorder="1" applyAlignment="1">
      <alignment horizontal="center"/>
    </xf>
    <xf numFmtId="9" fontId="10" fillId="108" borderId="3" xfId="0" applyNumberFormat="1" applyFont="1" applyFill="1" applyBorder="1" applyAlignment="1">
      <alignment horizontal="center"/>
    </xf>
    <xf numFmtId="9" fontId="10" fillId="315" borderId="2" xfId="0" applyNumberFormat="1" applyFont="1" applyFill="1" applyBorder="1" applyAlignment="1">
      <alignment horizontal="center"/>
    </xf>
    <xf numFmtId="10" fontId="10" fillId="202" borderId="3" xfId="0" applyNumberFormat="1" applyFont="1" applyFill="1" applyBorder="1" applyAlignment="1">
      <alignment horizontal="center"/>
    </xf>
    <xf numFmtId="0" fontId="10" fillId="927" borderId="2" xfId="0" applyFont="1" applyFill="1" applyBorder="1" applyAlignment="1">
      <alignment horizontal="center"/>
    </xf>
    <xf numFmtId="0" fontId="10" fillId="927" borderId="3" xfId="0" applyFont="1" applyFill="1" applyBorder="1" applyAlignment="1">
      <alignment horizontal="center"/>
    </xf>
    <xf numFmtId="0" fontId="10" fillId="928" borderId="1" xfId="0" applyFont="1" applyFill="1" applyBorder="1" applyAlignment="1">
      <alignment horizontal="center"/>
    </xf>
    <xf numFmtId="9" fontId="10" fillId="592" borderId="1" xfId="0" applyNumberFormat="1" applyFont="1" applyFill="1" applyBorder="1" applyAlignment="1">
      <alignment horizontal="center"/>
    </xf>
    <xf numFmtId="9" fontId="10" fillId="611" borderId="4" xfId="0" applyNumberFormat="1" applyFont="1" applyFill="1" applyBorder="1" applyAlignment="1">
      <alignment horizontal="center"/>
    </xf>
    <xf numFmtId="0" fontId="10" fillId="421" borderId="4" xfId="0" applyFont="1" applyFill="1" applyBorder="1" applyAlignment="1">
      <alignment horizontal="center"/>
    </xf>
    <xf numFmtId="10" fontId="10" fillId="329" borderId="1" xfId="0" applyNumberFormat="1" applyFont="1" applyFill="1" applyBorder="1" applyAlignment="1">
      <alignment horizontal="center"/>
    </xf>
    <xf numFmtId="0" fontId="10" fillId="298" borderId="1" xfId="0" applyFont="1" applyFill="1" applyBorder="1" applyAlignment="1">
      <alignment horizontal="center"/>
    </xf>
    <xf numFmtId="0" fontId="10" fillId="298" borderId="4" xfId="0" applyFont="1" applyFill="1" applyBorder="1" applyAlignment="1">
      <alignment horizontal="center"/>
    </xf>
    <xf numFmtId="0" fontId="10" fillId="57" borderId="2" xfId="0" applyFont="1" applyFill="1" applyBorder="1" applyAlignment="1">
      <alignment horizontal="center"/>
    </xf>
    <xf numFmtId="9" fontId="10" fillId="109" borderId="3" xfId="0" applyNumberFormat="1" applyFont="1" applyFill="1" applyBorder="1" applyAlignment="1">
      <alignment horizontal="center"/>
    </xf>
    <xf numFmtId="0" fontId="10" fillId="126" borderId="3" xfId="0" applyFont="1" applyFill="1" applyBorder="1" applyAlignment="1">
      <alignment horizontal="center"/>
    </xf>
    <xf numFmtId="0" fontId="10" fillId="203" borderId="2" xfId="0" applyFont="1" applyFill="1" applyBorder="1" applyAlignment="1">
      <alignment horizontal="center"/>
    </xf>
    <xf numFmtId="10" fontId="10" fillId="667" borderId="2" xfId="0" applyNumberFormat="1" applyFont="1" applyFill="1" applyBorder="1" applyAlignment="1">
      <alignment horizontal="center"/>
    </xf>
    <xf numFmtId="10" fontId="10" fillId="640" borderId="3" xfId="0" applyNumberFormat="1" applyFont="1" applyFill="1" applyBorder="1" applyAlignment="1">
      <alignment horizontal="center"/>
    </xf>
    <xf numFmtId="0" fontId="10" fillId="401" borderId="13" xfId="0" applyFont="1" applyFill="1" applyBorder="1" applyAlignment="1">
      <alignment horizontal="center"/>
    </xf>
    <xf numFmtId="9" fontId="10" fillId="271" borderId="4" xfId="0" applyNumberFormat="1" applyFont="1" applyFill="1" applyBorder="1" applyAlignment="1">
      <alignment horizontal="center"/>
    </xf>
    <xf numFmtId="0" fontId="10" fillId="450" borderId="4" xfId="0" applyFont="1" applyFill="1" applyBorder="1" applyAlignment="1">
      <alignment horizontal="center"/>
    </xf>
    <xf numFmtId="9" fontId="10" fillId="233" borderId="1" xfId="0" applyNumberFormat="1" applyFont="1" applyFill="1" applyBorder="1" applyAlignment="1">
      <alignment horizontal="center"/>
    </xf>
    <xf numFmtId="10" fontId="10" fillId="151" borderId="1" xfId="0" applyNumberFormat="1" applyFont="1" applyFill="1" applyBorder="1" applyAlignment="1">
      <alignment horizontal="center"/>
    </xf>
    <xf numFmtId="0" fontId="10" fillId="109" borderId="3" xfId="0" applyFont="1" applyFill="1" applyBorder="1" applyAlignment="1">
      <alignment horizontal="center"/>
    </xf>
    <xf numFmtId="9" fontId="10" fillId="23" borderId="2" xfId="0" applyNumberFormat="1" applyFont="1" applyFill="1" applyBorder="1" applyAlignment="1">
      <alignment horizontal="center"/>
    </xf>
    <xf numFmtId="10" fontId="10" fillId="258" borderId="2" xfId="0" applyNumberFormat="1" applyFont="1" applyFill="1" applyBorder="1" applyAlignment="1">
      <alignment horizontal="center"/>
    </xf>
    <xf numFmtId="10" fontId="10" fillId="19" borderId="2" xfId="0" applyNumberFormat="1" applyFont="1" applyFill="1" applyBorder="1" applyAlignment="1">
      <alignment horizontal="center"/>
    </xf>
    <xf numFmtId="0" fontId="10" fillId="85" borderId="3" xfId="0" applyFont="1" applyFill="1" applyBorder="1" applyAlignment="1">
      <alignment horizontal="center"/>
    </xf>
    <xf numFmtId="0" fontId="10" fillId="929" borderId="2" xfId="0" applyFont="1" applyFill="1" applyBorder="1" applyAlignment="1">
      <alignment horizontal="center"/>
    </xf>
    <xf numFmtId="0" fontId="10" fillId="682" borderId="2" xfId="0" applyFont="1" applyFill="1" applyBorder="1" applyAlignment="1">
      <alignment horizontal="center"/>
    </xf>
    <xf numFmtId="0" fontId="10" fillId="682" borderId="3" xfId="0" applyFont="1" applyFill="1" applyBorder="1" applyAlignment="1">
      <alignment horizontal="center"/>
    </xf>
    <xf numFmtId="0" fontId="10" fillId="930" borderId="1" xfId="0" applyFont="1" applyFill="1" applyBorder="1" applyAlignment="1">
      <alignment horizontal="center"/>
    </xf>
    <xf numFmtId="9" fontId="10" fillId="286" borderId="1" xfId="0" applyNumberFormat="1" applyFont="1" applyFill="1" applyBorder="1" applyAlignment="1">
      <alignment horizontal="center"/>
    </xf>
    <xf numFmtId="0" fontId="10" fillId="737" borderId="1" xfId="0" applyFont="1" applyFill="1" applyBorder="1" applyAlignment="1">
      <alignment horizontal="center"/>
    </xf>
    <xf numFmtId="10" fontId="10" fillId="602" borderId="4" xfId="0" applyNumberFormat="1" applyFont="1" applyFill="1" applyBorder="1" applyAlignment="1">
      <alignment horizontal="center"/>
    </xf>
    <xf numFmtId="0" fontId="10" fillId="817" borderId="1" xfId="0" applyFont="1" applyFill="1" applyBorder="1" applyAlignment="1">
      <alignment horizontal="center"/>
    </xf>
    <xf numFmtId="0" fontId="10" fillId="242" borderId="4" xfId="0" applyFont="1" applyFill="1" applyBorder="1" applyAlignment="1">
      <alignment horizontal="center"/>
    </xf>
    <xf numFmtId="9" fontId="10" fillId="314" borderId="2" xfId="0" applyNumberFormat="1" applyFont="1" applyFill="1" applyBorder="1" applyAlignment="1">
      <alignment horizontal="center"/>
    </xf>
    <xf numFmtId="9" fontId="10" fillId="76" borderId="3" xfId="0" applyNumberFormat="1" applyFont="1" applyFill="1" applyBorder="1" applyAlignment="1">
      <alignment horizontal="center"/>
    </xf>
    <xf numFmtId="9" fontId="10" fillId="349" borderId="2" xfId="0" applyNumberFormat="1" applyFont="1" applyFill="1" applyBorder="1" applyAlignment="1">
      <alignment horizontal="center"/>
    </xf>
    <xf numFmtId="10" fontId="10" fillId="107" borderId="2" xfId="0" applyNumberFormat="1" applyFont="1" applyFill="1" applyBorder="1" applyAlignment="1">
      <alignment horizontal="center"/>
    </xf>
    <xf numFmtId="0" fontId="10" fillId="323" borderId="13" xfId="0" applyFont="1" applyFill="1" applyBorder="1" applyAlignment="1">
      <alignment horizontal="center"/>
    </xf>
    <xf numFmtId="0" fontId="11" fillId="12" borderId="4" xfId="0" applyFont="1" applyFill="1" applyBorder="1"/>
    <xf numFmtId="9" fontId="10" fillId="129" borderId="1" xfId="0" applyNumberFormat="1" applyFont="1" applyFill="1" applyBorder="1" applyAlignment="1">
      <alignment horizontal="center"/>
    </xf>
    <xf numFmtId="0" fontId="10" fillId="931" borderId="1" xfId="0" applyFont="1" applyFill="1" applyBorder="1" applyAlignment="1">
      <alignment horizontal="center"/>
    </xf>
    <xf numFmtId="0" fontId="10" fillId="59" borderId="4" xfId="0" applyFont="1" applyFill="1" applyBorder="1" applyAlignment="1">
      <alignment horizontal="center"/>
    </xf>
    <xf numFmtId="9" fontId="10" fillId="132" borderId="1" xfId="0" applyNumberFormat="1" applyFont="1" applyFill="1" applyBorder="1" applyAlignment="1">
      <alignment horizontal="center"/>
    </xf>
    <xf numFmtId="0" fontId="10" fillId="29" borderId="4" xfId="0" applyFont="1" applyFill="1" applyBorder="1" applyAlignment="1">
      <alignment horizontal="center"/>
    </xf>
    <xf numFmtId="10" fontId="10" fillId="250" borderId="1" xfId="0" applyNumberFormat="1" applyFont="1" applyFill="1" applyBorder="1" applyAlignment="1">
      <alignment horizontal="center"/>
    </xf>
    <xf numFmtId="10" fontId="10" fillId="310" borderId="1" xfId="0" applyNumberFormat="1" applyFont="1" applyFill="1" applyBorder="1" applyAlignment="1">
      <alignment horizontal="center"/>
    </xf>
    <xf numFmtId="0" fontId="10" fillId="79" borderId="16" xfId="0" applyFont="1" applyFill="1" applyBorder="1" applyAlignment="1">
      <alignment horizontal="center"/>
    </xf>
    <xf numFmtId="0" fontId="10" fillId="479" borderId="4" xfId="0" applyFont="1" applyFill="1" applyBorder="1" applyAlignment="1">
      <alignment horizontal="center"/>
    </xf>
    <xf numFmtId="0" fontId="10" fillId="469" borderId="4" xfId="0" applyFont="1" applyFill="1" applyBorder="1" applyAlignment="1">
      <alignment horizontal="center"/>
    </xf>
    <xf numFmtId="0" fontId="10" fillId="589" borderId="2" xfId="0" applyFont="1" applyFill="1" applyBorder="1" applyAlignment="1">
      <alignment horizontal="center"/>
    </xf>
    <xf numFmtId="9" fontId="10" fillId="258" borderId="2" xfId="0" applyNumberFormat="1" applyFont="1" applyFill="1" applyBorder="1" applyAlignment="1">
      <alignment horizontal="center"/>
    </xf>
    <xf numFmtId="9" fontId="10" fillId="303" borderId="3" xfId="0" applyNumberFormat="1" applyFont="1" applyFill="1" applyBorder="1" applyAlignment="1">
      <alignment horizontal="center"/>
    </xf>
    <xf numFmtId="9" fontId="10" fillId="418" borderId="2" xfId="0" applyNumberFormat="1" applyFont="1" applyFill="1" applyBorder="1" applyAlignment="1">
      <alignment horizontal="center"/>
    </xf>
    <xf numFmtId="10" fontId="10" fillId="176" borderId="2" xfId="0" applyNumberFormat="1" applyFont="1" applyFill="1" applyBorder="1" applyAlignment="1">
      <alignment horizontal="center"/>
    </xf>
    <xf numFmtId="10" fontId="10" fillId="152" borderId="2" xfId="0" applyNumberFormat="1" applyFont="1" applyFill="1" applyBorder="1" applyAlignment="1">
      <alignment horizontal="center"/>
    </xf>
    <xf numFmtId="0" fontId="10" fillId="391" borderId="3" xfId="0" applyFont="1" applyFill="1" applyBorder="1" applyAlignment="1">
      <alignment horizontal="center"/>
    </xf>
    <xf numFmtId="0" fontId="10" fillId="530" borderId="13" xfId="0" applyFont="1" applyFill="1" applyBorder="1" applyAlignment="1">
      <alignment horizontal="center"/>
    </xf>
    <xf numFmtId="0" fontId="10" fillId="233" borderId="1" xfId="0" applyFont="1" applyFill="1" applyBorder="1" applyAlignment="1">
      <alignment horizontal="center"/>
    </xf>
    <xf numFmtId="0" fontId="10" fillId="337" borderId="1" xfId="0" applyFont="1" applyFill="1" applyBorder="1" applyAlignment="1">
      <alignment horizontal="center"/>
    </xf>
    <xf numFmtId="9" fontId="10" fillId="377" borderId="4" xfId="0" applyNumberFormat="1" applyFont="1" applyFill="1" applyBorder="1" applyAlignment="1">
      <alignment horizontal="center"/>
    </xf>
    <xf numFmtId="0" fontId="10" fillId="311" borderId="4" xfId="0" applyFont="1" applyFill="1" applyBorder="1" applyAlignment="1">
      <alignment horizontal="center"/>
    </xf>
    <xf numFmtId="0" fontId="10" fillId="161" borderId="4" xfId="0" applyFont="1" applyFill="1" applyBorder="1" applyAlignment="1">
      <alignment horizontal="center"/>
    </xf>
    <xf numFmtId="10" fontId="10" fillId="61" borderId="1" xfId="0" applyNumberFormat="1" applyFont="1" applyFill="1" applyBorder="1" applyAlignment="1">
      <alignment horizontal="center"/>
    </xf>
    <xf numFmtId="10" fontId="10" fillId="265" borderId="4" xfId="0" applyNumberFormat="1" applyFont="1" applyFill="1" applyBorder="1" applyAlignment="1">
      <alignment horizontal="center"/>
    </xf>
    <xf numFmtId="0" fontId="10" fillId="250" borderId="16" xfId="0" applyFont="1" applyFill="1" applyBorder="1" applyAlignment="1">
      <alignment horizontal="center"/>
    </xf>
    <xf numFmtId="0" fontId="10" fillId="19" borderId="2" xfId="0" applyFont="1" applyFill="1" applyBorder="1" applyAlignment="1">
      <alignment horizontal="center"/>
    </xf>
    <xf numFmtId="0" fontId="10" fillId="43" borderId="2" xfId="0" applyFont="1" applyFill="1" applyBorder="1" applyAlignment="1">
      <alignment horizontal="center"/>
    </xf>
    <xf numFmtId="0" fontId="10" fillId="314" borderId="3" xfId="0" applyFont="1" applyFill="1" applyBorder="1" applyAlignment="1">
      <alignment horizontal="center"/>
    </xf>
    <xf numFmtId="10" fontId="10" fillId="38" borderId="2" xfId="0" applyNumberFormat="1" applyFont="1" applyFill="1" applyBorder="1" applyAlignment="1">
      <alignment horizontal="center"/>
    </xf>
    <xf numFmtId="10" fontId="10" fillId="327" borderId="2" xfId="0" applyNumberFormat="1" applyFont="1" applyFill="1" applyBorder="1" applyAlignment="1">
      <alignment horizontal="center"/>
    </xf>
    <xf numFmtId="10" fontId="10" fillId="455" borderId="3" xfId="0" applyNumberFormat="1" applyFont="1" applyFill="1" applyBorder="1" applyAlignment="1">
      <alignment horizontal="center"/>
    </xf>
    <xf numFmtId="0" fontId="10" fillId="45" borderId="13" xfId="0" applyFont="1" applyFill="1" applyBorder="1" applyAlignment="1">
      <alignment horizontal="center"/>
    </xf>
    <xf numFmtId="0" fontId="10" fillId="469" borderId="3" xfId="0" applyFont="1" applyFill="1" applyBorder="1" applyAlignment="1">
      <alignment horizontal="center"/>
    </xf>
    <xf numFmtId="0" fontId="10" fillId="354" borderId="13" xfId="0" applyFont="1" applyFill="1" applyBorder="1" applyAlignment="1">
      <alignment horizontal="center"/>
    </xf>
    <xf numFmtId="9" fontId="10" fillId="608" borderId="4" xfId="0" applyNumberFormat="1" applyFont="1" applyFill="1" applyBorder="1" applyAlignment="1">
      <alignment horizontal="center"/>
    </xf>
    <xf numFmtId="0" fontId="10" fillId="300" borderId="1" xfId="0" applyFont="1" applyFill="1" applyBorder="1" applyAlignment="1">
      <alignment horizontal="center"/>
    </xf>
    <xf numFmtId="9" fontId="10" fillId="143" borderId="1" xfId="0" applyNumberFormat="1" applyFont="1" applyFill="1" applyBorder="1" applyAlignment="1">
      <alignment horizontal="center"/>
    </xf>
    <xf numFmtId="10" fontId="10" fillId="19" borderId="1" xfId="0" applyNumberFormat="1" applyFont="1" applyFill="1" applyBorder="1" applyAlignment="1">
      <alignment horizontal="center"/>
    </xf>
    <xf numFmtId="0" fontId="10" fillId="323" borderId="16" xfId="0" applyFont="1" applyFill="1" applyBorder="1" applyAlignment="1">
      <alignment horizontal="center"/>
    </xf>
    <xf numFmtId="0" fontId="10" fillId="378" borderId="16" xfId="0" applyFont="1" applyFill="1" applyBorder="1" applyAlignment="1">
      <alignment horizontal="center"/>
    </xf>
    <xf numFmtId="0" fontId="10" fillId="15" borderId="16" xfId="0" applyFont="1" applyFill="1" applyBorder="1" applyAlignment="1">
      <alignment horizontal="center"/>
    </xf>
    <xf numFmtId="0" fontId="10" fillId="20" borderId="2" xfId="0" applyFont="1" applyFill="1" applyBorder="1" applyAlignment="1">
      <alignment horizontal="center"/>
    </xf>
    <xf numFmtId="9" fontId="10" fillId="93" borderId="3" xfId="0" applyNumberFormat="1" applyFont="1" applyFill="1" applyBorder="1" applyAlignment="1">
      <alignment horizontal="center"/>
    </xf>
    <xf numFmtId="10" fontId="10" fillId="41" borderId="2" xfId="0" applyNumberFormat="1" applyFont="1" applyFill="1" applyBorder="1" applyAlignment="1">
      <alignment horizontal="center"/>
    </xf>
    <xf numFmtId="10" fontId="10" fillId="47" borderId="3" xfId="0" applyNumberFormat="1" applyFont="1" applyFill="1" applyBorder="1" applyAlignment="1">
      <alignment horizontal="center"/>
    </xf>
    <xf numFmtId="0" fontId="10" fillId="202" borderId="13" xfId="0" applyFont="1" applyFill="1" applyBorder="1" applyAlignment="1">
      <alignment horizontal="center"/>
    </xf>
    <xf numFmtId="0" fontId="10" fillId="623" borderId="1" xfId="0" applyFont="1" applyFill="1" applyBorder="1" applyAlignment="1">
      <alignment horizontal="center"/>
    </xf>
    <xf numFmtId="9" fontId="10" fillId="176" borderId="1" xfId="0" applyNumberFormat="1" applyFont="1" applyFill="1" applyBorder="1" applyAlignment="1">
      <alignment horizontal="center"/>
    </xf>
    <xf numFmtId="0" fontId="10" fillId="391" borderId="1" xfId="0" applyFont="1" applyFill="1" applyBorder="1" applyAlignment="1">
      <alignment horizontal="center"/>
    </xf>
    <xf numFmtId="9" fontId="10" fillId="124" borderId="4" xfId="0" applyNumberFormat="1" applyFont="1" applyFill="1" applyBorder="1" applyAlignment="1">
      <alignment horizontal="center"/>
    </xf>
    <xf numFmtId="0" fontId="10" fillId="61" borderId="4" xfId="0" applyFont="1" applyFill="1" applyBorder="1" applyAlignment="1">
      <alignment horizontal="center"/>
    </xf>
    <xf numFmtId="0" fontId="10" fillId="500" borderId="1" xfId="0" applyFont="1" applyFill="1" applyBorder="1" applyAlignment="1">
      <alignment horizontal="center"/>
    </xf>
    <xf numFmtId="9" fontId="10" fillId="78" borderId="1" xfId="0" applyNumberFormat="1" applyFont="1" applyFill="1" applyBorder="1" applyAlignment="1">
      <alignment horizontal="center"/>
    </xf>
    <xf numFmtId="0" fontId="10" fillId="223" borderId="4" xfId="0" applyFont="1" applyFill="1" applyBorder="1" applyAlignment="1">
      <alignment horizontal="center"/>
    </xf>
    <xf numFmtId="10" fontId="10" fillId="169" borderId="1" xfId="0" applyNumberFormat="1" applyFont="1" applyFill="1" applyBorder="1" applyAlignment="1">
      <alignment horizontal="center"/>
    </xf>
    <xf numFmtId="10" fontId="10" fillId="570" borderId="1" xfId="0" applyNumberFormat="1" applyFont="1" applyFill="1" applyBorder="1" applyAlignment="1">
      <alignment horizontal="center"/>
    </xf>
    <xf numFmtId="10" fontId="10" fillId="216" borderId="1" xfId="0" applyNumberFormat="1" applyFont="1" applyFill="1" applyBorder="1" applyAlignment="1">
      <alignment horizontal="center"/>
    </xf>
    <xf numFmtId="0" fontId="10" fillId="43" borderId="16" xfId="0" applyFont="1" applyFill="1" applyBorder="1" applyAlignment="1">
      <alignment horizontal="center"/>
    </xf>
    <xf numFmtId="9" fontId="10" fillId="764" borderId="2" xfId="0" applyNumberFormat="1" applyFont="1" applyFill="1" applyBorder="1" applyAlignment="1">
      <alignment horizontal="center"/>
    </xf>
    <xf numFmtId="0" fontId="10" fillId="444" borderId="2" xfId="0" applyFont="1" applyFill="1" applyBorder="1" applyAlignment="1">
      <alignment horizontal="center"/>
    </xf>
    <xf numFmtId="9" fontId="10" fillId="149" borderId="3" xfId="0" applyNumberFormat="1" applyFont="1" applyFill="1" applyBorder="1" applyAlignment="1">
      <alignment horizontal="center"/>
    </xf>
    <xf numFmtId="0" fontId="10" fillId="139" borderId="3" xfId="0" applyFont="1" applyFill="1" applyBorder="1" applyAlignment="1">
      <alignment horizontal="center"/>
    </xf>
    <xf numFmtId="0" fontId="10" fillId="22" borderId="2" xfId="0" applyFont="1" applyFill="1" applyBorder="1" applyAlignment="1">
      <alignment horizontal="center"/>
    </xf>
    <xf numFmtId="0" fontId="10" fillId="115" borderId="3" xfId="0" applyFont="1" applyFill="1" applyBorder="1" applyAlignment="1">
      <alignment horizontal="center"/>
    </xf>
    <xf numFmtId="10" fontId="10" fillId="344" borderId="2" xfId="0" applyNumberFormat="1" applyFont="1" applyFill="1" applyBorder="1" applyAlignment="1">
      <alignment horizontal="center"/>
    </xf>
    <xf numFmtId="10" fontId="10" fillId="195" borderId="2" xfId="0" applyNumberFormat="1" applyFont="1" applyFill="1" applyBorder="1" applyAlignment="1">
      <alignment horizontal="center"/>
    </xf>
    <xf numFmtId="10" fontId="10" fillId="127" borderId="3" xfId="0" applyNumberFormat="1" applyFont="1" applyFill="1" applyBorder="1" applyAlignment="1">
      <alignment horizontal="center"/>
    </xf>
    <xf numFmtId="0" fontId="10" fillId="233" borderId="13" xfId="0" applyFont="1" applyFill="1" applyBorder="1" applyAlignment="1">
      <alignment horizontal="center"/>
    </xf>
    <xf numFmtId="0" fontId="10" fillId="479" borderId="3" xfId="0" applyFont="1" applyFill="1" applyBorder="1" applyAlignment="1">
      <alignment horizontal="center"/>
    </xf>
    <xf numFmtId="0" fontId="10" fillId="345" borderId="1" xfId="0" applyFont="1" applyFill="1" applyBorder="1" applyAlignment="1">
      <alignment horizontal="center"/>
    </xf>
    <xf numFmtId="9" fontId="10" fillId="181" borderId="4" xfId="0" applyNumberFormat="1" applyFont="1" applyFill="1" applyBorder="1" applyAlignment="1">
      <alignment horizontal="center"/>
    </xf>
    <xf numFmtId="10" fontId="10" fillId="315" borderId="1" xfId="0" applyNumberFormat="1" applyFont="1" applyFill="1" applyBorder="1" applyAlignment="1">
      <alignment horizontal="center"/>
    </xf>
    <xf numFmtId="10" fontId="10" fillId="43" borderId="1" xfId="0" applyNumberFormat="1" applyFont="1" applyFill="1" applyBorder="1" applyAlignment="1">
      <alignment horizontal="center"/>
    </xf>
    <xf numFmtId="0" fontId="10" fillId="45" borderId="16" xfId="0" applyFont="1" applyFill="1" applyBorder="1" applyAlignment="1">
      <alignment horizontal="center"/>
    </xf>
    <xf numFmtId="0" fontId="10" fillId="197" borderId="2" xfId="0" applyFont="1" applyFill="1" applyBorder="1" applyAlignment="1">
      <alignment horizontal="center"/>
    </xf>
    <xf numFmtId="9" fontId="10" fillId="29" borderId="3" xfId="0" applyNumberFormat="1" applyFont="1" applyFill="1" applyBorder="1" applyAlignment="1">
      <alignment horizontal="center"/>
    </xf>
    <xf numFmtId="0" fontId="10" fillId="757" borderId="2" xfId="0" applyFont="1" applyFill="1" applyBorder="1" applyAlignment="1">
      <alignment horizontal="center"/>
    </xf>
    <xf numFmtId="10" fontId="10" fillId="255" borderId="2" xfId="0" applyNumberFormat="1" applyFont="1" applyFill="1" applyBorder="1" applyAlignment="1">
      <alignment horizontal="center"/>
    </xf>
    <xf numFmtId="10" fontId="10" fillId="602" borderId="2" xfId="0" applyNumberFormat="1" applyFont="1" applyFill="1" applyBorder="1" applyAlignment="1">
      <alignment horizontal="center"/>
    </xf>
    <xf numFmtId="0" fontId="10" fillId="725" borderId="3" xfId="0" applyFont="1" applyFill="1" applyBorder="1" applyAlignment="1">
      <alignment horizontal="center"/>
    </xf>
    <xf numFmtId="0" fontId="10" fillId="144" borderId="1" xfId="0" applyFont="1" applyFill="1" applyBorder="1" applyAlignment="1">
      <alignment horizontal="center"/>
    </xf>
    <xf numFmtId="0" fontId="10" fillId="130" borderId="4" xfId="0" applyFont="1" applyFill="1" applyBorder="1" applyAlignment="1">
      <alignment horizontal="center"/>
    </xf>
    <xf numFmtId="10" fontId="10" fillId="107" borderId="1" xfId="0" applyNumberFormat="1" applyFont="1" applyFill="1" applyBorder="1" applyAlignment="1">
      <alignment horizontal="center"/>
    </xf>
    <xf numFmtId="10" fontId="10" fillId="360" borderId="1" xfId="0" applyNumberFormat="1" applyFont="1" applyFill="1" applyBorder="1" applyAlignment="1">
      <alignment horizontal="center"/>
    </xf>
    <xf numFmtId="10" fontId="10" fillId="487" borderId="4" xfId="0" applyNumberFormat="1" applyFont="1" applyFill="1" applyBorder="1" applyAlignment="1">
      <alignment horizontal="center"/>
    </xf>
    <xf numFmtId="0" fontId="10" fillId="612" borderId="2" xfId="0" applyFont="1" applyFill="1" applyBorder="1" applyAlignment="1">
      <alignment horizontal="center"/>
    </xf>
    <xf numFmtId="0" fontId="10" fillId="27" borderId="3" xfId="0" applyFont="1" applyFill="1" applyBorder="1" applyAlignment="1">
      <alignment horizontal="center"/>
    </xf>
    <xf numFmtId="10" fontId="10" fillId="264" borderId="2" xfId="0" applyNumberFormat="1" applyFont="1" applyFill="1" applyBorder="1" applyAlignment="1">
      <alignment horizontal="center"/>
    </xf>
    <xf numFmtId="10" fontId="10" fillId="382" borderId="3" xfId="0" applyNumberFormat="1" applyFont="1" applyFill="1" applyBorder="1" applyAlignment="1">
      <alignment horizontal="center"/>
    </xf>
    <xf numFmtId="0" fontId="10" fillId="15" borderId="13" xfId="0" applyFont="1" applyFill="1" applyBorder="1" applyAlignment="1">
      <alignment horizontal="center"/>
    </xf>
    <xf numFmtId="0" fontId="10" fillId="98" borderId="4" xfId="0" applyFont="1" applyFill="1" applyBorder="1" applyAlignment="1">
      <alignment horizontal="center"/>
    </xf>
    <xf numFmtId="0" fontId="10" fillId="430" borderId="1" xfId="0" applyFont="1" applyFill="1" applyBorder="1" applyAlignment="1">
      <alignment horizontal="center"/>
    </xf>
    <xf numFmtId="0" fontId="10" fillId="112" borderId="4" xfId="0" applyFont="1" applyFill="1" applyBorder="1" applyAlignment="1">
      <alignment horizontal="center"/>
    </xf>
    <xf numFmtId="10" fontId="10" fillId="110" borderId="4" xfId="0" applyNumberFormat="1" applyFont="1" applyFill="1" applyBorder="1" applyAlignment="1">
      <alignment horizontal="center"/>
    </xf>
    <xf numFmtId="0" fontId="10" fillId="595" borderId="16" xfId="0" applyFont="1" applyFill="1" applyBorder="1" applyAlignment="1">
      <alignment horizontal="center"/>
    </xf>
    <xf numFmtId="0" fontId="10" fillId="932" borderId="2" xfId="0" applyFont="1" applyFill="1" applyBorder="1" applyAlignment="1">
      <alignment horizontal="center"/>
    </xf>
    <xf numFmtId="10" fontId="10" fillId="310" borderId="2" xfId="0" applyNumberFormat="1" applyFont="1" applyFill="1" applyBorder="1" applyAlignment="1">
      <alignment horizontal="center"/>
    </xf>
    <xf numFmtId="10" fontId="10" fillId="758" borderId="3" xfId="0" applyNumberFormat="1" applyFont="1" applyFill="1" applyBorder="1" applyAlignment="1">
      <alignment horizontal="center"/>
    </xf>
    <xf numFmtId="9" fontId="10" fillId="278" borderId="4" xfId="0" applyNumberFormat="1" applyFont="1" applyFill="1" applyBorder="1" applyAlignment="1">
      <alignment horizontal="center"/>
    </xf>
    <xf numFmtId="0" fontId="10" fillId="525" borderId="4" xfId="0" applyFont="1" applyFill="1" applyBorder="1" applyAlignment="1">
      <alignment horizontal="center"/>
    </xf>
    <xf numFmtId="9" fontId="10" fillId="362" borderId="1" xfId="0" applyNumberFormat="1" applyFont="1" applyFill="1" applyBorder="1" applyAlignment="1">
      <alignment horizontal="center"/>
    </xf>
    <xf numFmtId="10" fontId="10" fillId="24" borderId="1" xfId="0" applyNumberFormat="1" applyFont="1" applyFill="1" applyBorder="1" applyAlignment="1">
      <alignment horizontal="center"/>
    </xf>
    <xf numFmtId="0" fontId="10" fillId="65" borderId="2" xfId="0" applyFont="1" applyFill="1" applyBorder="1" applyAlignment="1">
      <alignment horizontal="center"/>
    </xf>
    <xf numFmtId="0" fontId="10" fillId="634" borderId="2" xfId="0" applyFont="1" applyFill="1" applyBorder="1" applyAlignment="1">
      <alignment horizontal="center"/>
    </xf>
    <xf numFmtId="0" fontId="10" fillId="590" borderId="3" xfId="0" applyFont="1" applyFill="1" applyBorder="1" applyAlignment="1">
      <alignment horizontal="center"/>
    </xf>
    <xf numFmtId="0" fontId="10" fillId="316" borderId="2" xfId="0" applyFont="1" applyFill="1" applyBorder="1" applyAlignment="1">
      <alignment horizontal="center"/>
    </xf>
    <xf numFmtId="9" fontId="10" fillId="525" borderId="2" xfId="0" applyNumberFormat="1" applyFont="1" applyFill="1" applyBorder="1" applyAlignment="1">
      <alignment horizontal="center"/>
    </xf>
    <xf numFmtId="10" fontId="10" fillId="77" borderId="2" xfId="0" applyNumberFormat="1" applyFont="1" applyFill="1" applyBorder="1" applyAlignment="1">
      <alignment horizontal="center"/>
    </xf>
    <xf numFmtId="10" fontId="10" fillId="139" borderId="3" xfId="0" applyNumberFormat="1" applyFont="1" applyFill="1" applyBorder="1" applyAlignment="1">
      <alignment horizontal="center"/>
    </xf>
    <xf numFmtId="0" fontId="10" fillId="43" borderId="13" xfId="0" applyFont="1" applyFill="1" applyBorder="1" applyAlignment="1">
      <alignment horizontal="center"/>
    </xf>
    <xf numFmtId="0" fontId="10" fillId="607" borderId="1" xfId="0" applyFont="1" applyFill="1" applyBorder="1" applyAlignment="1">
      <alignment horizontal="center"/>
    </xf>
    <xf numFmtId="9" fontId="10" fillId="93" borderId="4" xfId="0" applyNumberFormat="1" applyFont="1" applyFill="1" applyBorder="1" applyAlignment="1">
      <alignment horizontal="center"/>
    </xf>
    <xf numFmtId="0" fontId="10" fillId="107" borderId="4" xfId="0" applyFont="1" applyFill="1" applyBorder="1" applyAlignment="1">
      <alignment horizontal="center"/>
    </xf>
    <xf numFmtId="9" fontId="10" fillId="381" borderId="1" xfId="0" applyNumberFormat="1" applyFont="1" applyFill="1" applyBorder="1" applyAlignment="1">
      <alignment horizontal="center"/>
    </xf>
    <xf numFmtId="10" fontId="10" fillId="573" borderId="1" xfId="0" applyNumberFormat="1" applyFont="1" applyFill="1" applyBorder="1" applyAlignment="1">
      <alignment horizontal="center"/>
    </xf>
    <xf numFmtId="10" fontId="10" fillId="435" borderId="4" xfId="0" applyNumberFormat="1" applyFont="1" applyFill="1" applyBorder="1" applyAlignment="1">
      <alignment horizontal="center"/>
    </xf>
    <xf numFmtId="0" fontId="10" fillId="530" borderId="16" xfId="0" applyFont="1" applyFill="1" applyBorder="1" applyAlignment="1">
      <alignment horizontal="center"/>
    </xf>
    <xf numFmtId="0" fontId="10" fillId="391" borderId="4" xfId="0" applyFont="1" applyFill="1" applyBorder="1" applyAlignment="1">
      <alignment horizontal="center"/>
    </xf>
    <xf numFmtId="0" fontId="10" fillId="292" borderId="2" xfId="0" applyFont="1" applyFill="1" applyBorder="1" applyAlignment="1">
      <alignment horizontal="center"/>
    </xf>
    <xf numFmtId="0" fontId="10" fillId="278" borderId="3" xfId="0" applyFont="1" applyFill="1" applyBorder="1" applyAlignment="1">
      <alignment horizontal="center"/>
    </xf>
    <xf numFmtId="0" fontId="10" fillId="164" borderId="2" xfId="0" applyFont="1" applyFill="1" applyBorder="1" applyAlignment="1">
      <alignment horizontal="center"/>
    </xf>
    <xf numFmtId="10" fontId="10" fillId="131" borderId="2" xfId="0" applyNumberFormat="1" applyFont="1" applyFill="1" applyBorder="1" applyAlignment="1">
      <alignment horizontal="center"/>
    </xf>
    <xf numFmtId="10" fontId="10" fillId="316" borderId="3" xfId="0" applyNumberFormat="1" applyFont="1" applyFill="1" applyBorder="1" applyAlignment="1">
      <alignment horizontal="center"/>
    </xf>
    <xf numFmtId="9" fontId="10" fillId="300" borderId="4" xfId="0" applyNumberFormat="1" applyFont="1" applyFill="1" applyBorder="1" applyAlignment="1">
      <alignment horizontal="center"/>
    </xf>
    <xf numFmtId="10" fontId="10" fillId="582" borderId="1" xfId="0" applyNumberFormat="1" applyFont="1" applyFill="1" applyBorder="1" applyAlignment="1">
      <alignment horizontal="center"/>
    </xf>
    <xf numFmtId="10" fontId="10" fillId="258" borderId="4" xfId="0" applyNumberFormat="1" applyFont="1" applyFill="1" applyBorder="1" applyAlignment="1">
      <alignment horizontal="center"/>
    </xf>
    <xf numFmtId="0" fontId="10" fillId="165" borderId="2" xfId="0" applyFont="1" applyFill="1" applyBorder="1" applyAlignment="1">
      <alignment horizontal="center"/>
    </xf>
    <xf numFmtId="9" fontId="10" fillId="477" borderId="2" xfId="0" applyNumberFormat="1" applyFont="1" applyFill="1" applyBorder="1" applyAlignment="1">
      <alignment horizontal="center"/>
    </xf>
    <xf numFmtId="0" fontId="10" fillId="479" borderId="2" xfId="0" applyFont="1" applyFill="1" applyBorder="1" applyAlignment="1">
      <alignment horizontal="center"/>
    </xf>
    <xf numFmtId="10" fontId="10" fillId="323" borderId="2" xfId="0" applyNumberFormat="1" applyFont="1" applyFill="1" applyBorder="1" applyAlignment="1">
      <alignment horizontal="center"/>
    </xf>
    <xf numFmtId="0" fontId="10" fillId="137" borderId="1" xfId="0" applyFont="1" applyFill="1" applyBorder="1" applyAlignment="1">
      <alignment horizontal="center"/>
    </xf>
    <xf numFmtId="9" fontId="10" fillId="197" borderId="4" xfId="0" applyNumberFormat="1" applyFont="1" applyFill="1" applyBorder="1" applyAlignment="1">
      <alignment horizontal="center"/>
    </xf>
    <xf numFmtId="10" fontId="10" fillId="418" borderId="1" xfId="0" applyNumberFormat="1" applyFont="1" applyFill="1" applyBorder="1" applyAlignment="1">
      <alignment horizontal="center"/>
    </xf>
    <xf numFmtId="10" fontId="10" fillId="646" borderId="1" xfId="0" applyNumberFormat="1" applyFont="1" applyFill="1" applyBorder="1" applyAlignment="1">
      <alignment horizontal="center"/>
    </xf>
    <xf numFmtId="0" fontId="10" fillId="486" borderId="2" xfId="0" applyFont="1" applyFill="1" applyBorder="1" applyAlignment="1">
      <alignment horizontal="center"/>
    </xf>
    <xf numFmtId="9" fontId="10" fillId="313" borderId="3" xfId="0" applyNumberFormat="1" applyFont="1" applyFill="1" applyBorder="1" applyAlignment="1">
      <alignment horizontal="center"/>
    </xf>
    <xf numFmtId="9" fontId="10" fillId="135" borderId="2" xfId="0" applyNumberFormat="1" applyFont="1" applyFill="1" applyBorder="1" applyAlignment="1">
      <alignment horizontal="center"/>
    </xf>
    <xf numFmtId="10" fontId="10" fillId="61" borderId="2" xfId="0" applyNumberFormat="1" applyFont="1" applyFill="1" applyBorder="1" applyAlignment="1">
      <alignment horizontal="center"/>
    </xf>
    <xf numFmtId="10" fontId="10" fillId="216" borderId="3" xfId="0" applyNumberFormat="1" applyFont="1" applyFill="1" applyBorder="1" applyAlignment="1">
      <alignment horizontal="center"/>
    </xf>
    <xf numFmtId="0" fontId="10" fillId="60" borderId="16" xfId="0" applyFont="1" applyFill="1" applyBorder="1" applyAlignment="1">
      <alignment horizontal="center"/>
    </xf>
    <xf numFmtId="0" fontId="10" fillId="360" borderId="2" xfId="0" applyFont="1" applyFill="1" applyBorder="1" applyAlignment="1">
      <alignment horizontal="center"/>
    </xf>
    <xf numFmtId="0" fontId="10" fillId="376" borderId="2" xfId="0" applyFont="1" applyFill="1" applyBorder="1" applyAlignment="1">
      <alignment horizontal="center"/>
    </xf>
    <xf numFmtId="0" fontId="10" fillId="96" borderId="3" xfId="0" applyFont="1" applyFill="1" applyBorder="1" applyAlignment="1">
      <alignment horizontal="center"/>
    </xf>
    <xf numFmtId="0" fontId="10" fillId="114" borderId="2" xfId="0" applyFont="1" applyFill="1" applyBorder="1" applyAlignment="1">
      <alignment horizontal="center"/>
    </xf>
    <xf numFmtId="10" fontId="10" fillId="418" borderId="2" xfId="0" applyNumberFormat="1" applyFont="1" applyFill="1" applyBorder="1" applyAlignment="1">
      <alignment horizontal="center"/>
    </xf>
    <xf numFmtId="10" fontId="10" fillId="165" borderId="3" xfId="0" applyNumberFormat="1" applyFont="1" applyFill="1" applyBorder="1" applyAlignment="1">
      <alignment horizontal="center"/>
    </xf>
    <xf numFmtId="0" fontId="20" fillId="718" borderId="5" xfId="0" applyFont="1" applyFill="1" applyBorder="1" applyAlignment="1">
      <alignment horizontal="center"/>
    </xf>
    <xf numFmtId="0" fontId="10" fillId="766" borderId="2" xfId="0" applyFont="1" applyFill="1" applyBorder="1" applyAlignment="1">
      <alignment horizontal="center"/>
    </xf>
    <xf numFmtId="0" fontId="10" fillId="663" borderId="2" xfId="0" applyFont="1" applyFill="1" applyBorder="1" applyAlignment="1">
      <alignment horizontal="center"/>
    </xf>
    <xf numFmtId="0" fontId="10" fillId="460" borderId="3" xfId="0" applyFont="1" applyFill="1" applyBorder="1" applyAlignment="1">
      <alignment horizontal="center"/>
    </xf>
    <xf numFmtId="164" fontId="10" fillId="123" borderId="1" xfId="0" applyNumberFormat="1" applyFont="1" applyFill="1" applyBorder="1" applyAlignment="1">
      <alignment horizontal="center"/>
    </xf>
    <xf numFmtId="0" fontId="10" fillId="121" borderId="1" xfId="0" applyFont="1" applyFill="1" applyBorder="1" applyAlignment="1">
      <alignment horizontal="center"/>
    </xf>
    <xf numFmtId="9" fontId="10" fillId="301" borderId="1" xfId="0" applyNumberFormat="1" applyFont="1" applyFill="1" applyBorder="1" applyAlignment="1">
      <alignment horizontal="center"/>
    </xf>
    <xf numFmtId="0" fontId="10" fillId="624" borderId="1" xfId="0" applyFont="1" applyFill="1" applyBorder="1" applyAlignment="1">
      <alignment horizontal="center"/>
    </xf>
    <xf numFmtId="9" fontId="10" fillId="49" borderId="4" xfId="0" applyNumberFormat="1" applyFont="1" applyFill="1" applyBorder="1" applyAlignment="1">
      <alignment horizontal="center"/>
    </xf>
    <xf numFmtId="0" fontId="10" fillId="377" borderId="4" xfId="0" applyFont="1" applyFill="1" applyBorder="1" applyAlignment="1">
      <alignment horizontal="center"/>
    </xf>
    <xf numFmtId="0" fontId="10" fillId="764" borderId="1" xfId="0" applyFont="1" applyFill="1" applyBorder="1" applyAlignment="1">
      <alignment horizontal="center"/>
    </xf>
    <xf numFmtId="10" fontId="10" fillId="602" borderId="1" xfId="0" applyNumberFormat="1" applyFont="1" applyFill="1" applyBorder="1" applyAlignment="1">
      <alignment horizontal="center"/>
    </xf>
    <xf numFmtId="10" fontId="10" fillId="355" borderId="1" xfId="0" applyNumberFormat="1" applyFont="1" applyFill="1" applyBorder="1" applyAlignment="1">
      <alignment horizontal="center"/>
    </xf>
    <xf numFmtId="0" fontId="10" fillId="327" borderId="16" xfId="0" applyFont="1" applyFill="1" applyBorder="1" applyAlignment="1">
      <alignment horizontal="center"/>
    </xf>
    <xf numFmtId="0" fontId="10" fillId="933" borderId="1" xfId="0" applyFont="1" applyFill="1" applyBorder="1" applyAlignment="1">
      <alignment horizontal="center"/>
    </xf>
    <xf numFmtId="0" fontId="10" fillId="71" borderId="4" xfId="0" applyFont="1" applyFill="1" applyBorder="1" applyAlignment="1">
      <alignment horizontal="center"/>
    </xf>
    <xf numFmtId="0" fontId="20" fillId="718" borderId="4" xfId="0" applyFont="1" applyFill="1" applyBorder="1" applyAlignment="1">
      <alignment horizontal="center"/>
    </xf>
    <xf numFmtId="0" fontId="10" fillId="527" borderId="1" xfId="0" applyFont="1" applyFill="1" applyBorder="1" applyAlignment="1">
      <alignment horizontal="center"/>
    </xf>
    <xf numFmtId="0" fontId="10" fillId="283" borderId="1" xfId="0" applyFont="1" applyFill="1" applyBorder="1" applyAlignment="1">
      <alignment horizontal="center"/>
    </xf>
    <xf numFmtId="0" fontId="10" fillId="172" borderId="1" xfId="0" applyFont="1" applyFill="1" applyBorder="1" applyAlignment="1">
      <alignment horizontal="center"/>
    </xf>
    <xf numFmtId="0" fontId="10" fillId="793" borderId="4" xfId="0" applyFont="1" applyFill="1" applyBorder="1" applyAlignment="1">
      <alignment horizontal="center"/>
    </xf>
    <xf numFmtId="164" fontId="10" fillId="729" borderId="2" xfId="0" applyNumberFormat="1" applyFont="1" applyFill="1" applyBorder="1" applyAlignment="1">
      <alignment horizontal="center"/>
    </xf>
    <xf numFmtId="10" fontId="10" fillId="60" borderId="2" xfId="0" applyNumberFormat="1" applyFont="1" applyFill="1" applyBorder="1" applyAlignment="1">
      <alignment horizontal="center"/>
    </xf>
    <xf numFmtId="0" fontId="10" fillId="600" borderId="3" xfId="0" applyFont="1" applyFill="1" applyBorder="1" applyAlignment="1">
      <alignment horizontal="center"/>
    </xf>
    <xf numFmtId="0" fontId="10" fillId="481" borderId="2" xfId="0" applyFont="1" applyFill="1" applyBorder="1" applyAlignment="1">
      <alignment horizontal="center"/>
    </xf>
    <xf numFmtId="0" fontId="10" fillId="760" borderId="2" xfId="0" applyFont="1" applyFill="1" applyBorder="1" applyAlignment="1">
      <alignment horizontal="center"/>
    </xf>
    <xf numFmtId="0" fontId="10" fillId="760" borderId="3" xfId="0" applyFont="1" applyFill="1" applyBorder="1" applyAlignment="1">
      <alignment horizontal="center"/>
    </xf>
    <xf numFmtId="0" fontId="10" fillId="252" borderId="2" xfId="0" applyFont="1" applyFill="1" applyBorder="1" applyAlignment="1">
      <alignment horizontal="center"/>
    </xf>
    <xf numFmtId="0" fontId="10" fillId="934" borderId="2" xfId="0" applyFont="1" applyFill="1" applyBorder="1" applyAlignment="1">
      <alignment horizontal="center"/>
    </xf>
    <xf numFmtId="0" fontId="10" fillId="209" borderId="3" xfId="0" applyFont="1" applyFill="1" applyBorder="1" applyAlignment="1">
      <alignment horizontal="center"/>
    </xf>
    <xf numFmtId="164" fontId="10" fillId="613" borderId="1" xfId="0" applyNumberFormat="1" applyFont="1" applyFill="1" applyBorder="1" applyAlignment="1">
      <alignment horizontal="center"/>
    </xf>
    <xf numFmtId="9" fontId="10" fillId="594" borderId="1" xfId="0" applyNumberFormat="1" applyFont="1" applyFill="1" applyBorder="1" applyAlignment="1">
      <alignment horizontal="center"/>
    </xf>
    <xf numFmtId="0" fontId="10" fillId="541" borderId="1" xfId="0" applyFont="1" applyFill="1" applyBorder="1" applyAlignment="1">
      <alignment horizontal="center"/>
    </xf>
    <xf numFmtId="0" fontId="10" fillId="74" borderId="1" xfId="0" applyFont="1" applyFill="1" applyBorder="1" applyAlignment="1">
      <alignment horizontal="center"/>
    </xf>
    <xf numFmtId="10" fontId="10" fillId="165" borderId="1" xfId="0" applyNumberFormat="1" applyFont="1" applyFill="1" applyBorder="1" applyAlignment="1">
      <alignment horizontal="center"/>
    </xf>
    <xf numFmtId="10" fontId="10" fillId="371" borderId="1" xfId="0" applyNumberFormat="1" applyFont="1" applyFill="1" applyBorder="1" applyAlignment="1">
      <alignment horizontal="center"/>
    </xf>
    <xf numFmtId="10" fontId="10" fillId="344" borderId="4" xfId="0" applyNumberFormat="1" applyFont="1" applyFill="1" applyBorder="1" applyAlignment="1">
      <alignment horizontal="center"/>
    </xf>
    <xf numFmtId="0" fontId="10" fillId="435" borderId="16" xfId="0" applyFont="1" applyFill="1" applyBorder="1" applyAlignment="1">
      <alignment horizontal="center"/>
    </xf>
    <xf numFmtId="0" fontId="10" fillId="935" borderId="1" xfId="0" applyFont="1" applyFill="1" applyBorder="1" applyAlignment="1">
      <alignment horizontal="center"/>
    </xf>
    <xf numFmtId="0" fontId="10" fillId="861" borderId="4" xfId="0" applyFont="1" applyFill="1" applyBorder="1" applyAlignment="1">
      <alignment horizontal="center"/>
    </xf>
    <xf numFmtId="0" fontId="10" fillId="936" borderId="1" xfId="0" applyFont="1" applyFill="1" applyBorder="1" applyAlignment="1">
      <alignment horizontal="center"/>
    </xf>
    <xf numFmtId="0" fontId="10" fillId="425" borderId="1" xfId="0" applyFont="1" applyFill="1" applyBorder="1" applyAlignment="1">
      <alignment horizontal="center"/>
    </xf>
    <xf numFmtId="0" fontId="10" fillId="745" borderId="4" xfId="0" applyFont="1" applyFill="1" applyBorder="1" applyAlignment="1">
      <alignment horizontal="center"/>
    </xf>
    <xf numFmtId="0" fontId="10" fillId="29" borderId="2" xfId="0" applyFont="1" applyFill="1" applyBorder="1" applyAlignment="1">
      <alignment horizontal="center"/>
    </xf>
    <xf numFmtId="0" fontId="10" fillId="937" borderId="2" xfId="0" applyFont="1" applyFill="1" applyBorder="1" applyAlignment="1">
      <alignment horizontal="center"/>
    </xf>
    <xf numFmtId="0" fontId="10" fillId="381" borderId="3" xfId="0" applyFont="1" applyFill="1" applyBorder="1" applyAlignment="1">
      <alignment horizontal="center"/>
    </xf>
    <xf numFmtId="0" fontId="10" fillId="273" borderId="13" xfId="0" applyFont="1" applyFill="1" applyBorder="1" applyAlignment="1">
      <alignment horizontal="center"/>
    </xf>
    <xf numFmtId="0" fontId="20" fillId="547" borderId="5" xfId="0" applyFont="1" applyFill="1" applyBorder="1" applyAlignment="1">
      <alignment horizontal="center"/>
    </xf>
    <xf numFmtId="0" fontId="10" fillId="693" borderId="2" xfId="0" applyFont="1" applyFill="1" applyBorder="1" applyAlignment="1">
      <alignment horizontal="center"/>
    </xf>
    <xf numFmtId="0" fontId="10" fillId="401" borderId="4" xfId="0" applyFont="1" applyFill="1" applyBorder="1" applyAlignment="1">
      <alignment horizontal="center"/>
    </xf>
    <xf numFmtId="10" fontId="10" fillId="150" borderId="1" xfId="0" applyNumberFormat="1" applyFont="1" applyFill="1" applyBorder="1" applyAlignment="1">
      <alignment horizontal="center"/>
    </xf>
    <xf numFmtId="10" fontId="10" fillId="594" borderId="1" xfId="0" applyNumberFormat="1" applyFont="1" applyFill="1" applyBorder="1" applyAlignment="1">
      <alignment horizontal="center"/>
    </xf>
    <xf numFmtId="10" fontId="10" fillId="112" borderId="1" xfId="0" applyNumberFormat="1" applyFont="1" applyFill="1" applyBorder="1" applyAlignment="1">
      <alignment horizontal="center"/>
    </xf>
    <xf numFmtId="0" fontId="10" fillId="600" borderId="4" xfId="0" applyFont="1" applyFill="1" applyBorder="1" applyAlignment="1">
      <alignment horizontal="center"/>
    </xf>
    <xf numFmtId="0" fontId="20" fillId="547" borderId="4" xfId="0" applyFont="1" applyFill="1" applyBorder="1" applyAlignment="1">
      <alignment horizontal="center"/>
    </xf>
    <xf numFmtId="0" fontId="10" fillId="243" borderId="1" xfId="0" applyFont="1" applyFill="1" applyBorder="1" applyAlignment="1">
      <alignment horizontal="center"/>
    </xf>
    <xf numFmtId="0" fontId="10" fillId="385" borderId="4" xfId="0" applyFont="1" applyFill="1" applyBorder="1" applyAlignment="1">
      <alignment horizontal="center"/>
    </xf>
    <xf numFmtId="164" fontId="10" fillId="938" borderId="2" xfId="0" applyNumberFormat="1" applyFont="1" applyFill="1" applyBorder="1" applyAlignment="1">
      <alignment horizontal="center"/>
    </xf>
    <xf numFmtId="9" fontId="10" fillId="81" borderId="3" xfId="0" applyNumberFormat="1" applyFont="1" applyFill="1" applyBorder="1" applyAlignment="1">
      <alignment horizontal="center"/>
    </xf>
    <xf numFmtId="0" fontId="10" fillId="271" borderId="2" xfId="0" applyFont="1" applyFill="1" applyBorder="1" applyAlignment="1">
      <alignment horizontal="center"/>
    </xf>
    <xf numFmtId="0" fontId="10" fillId="358" borderId="3" xfId="0" applyFont="1" applyFill="1" applyBorder="1" applyAlignment="1">
      <alignment horizontal="center"/>
    </xf>
    <xf numFmtId="10" fontId="10" fillId="40" borderId="3" xfId="0" applyNumberFormat="1" applyFont="1" applyFill="1" applyBorder="1" applyAlignment="1">
      <alignment horizontal="center"/>
    </xf>
    <xf numFmtId="0" fontId="10" fillId="28" borderId="3" xfId="0" applyFont="1" applyFill="1" applyBorder="1" applyAlignment="1">
      <alignment horizontal="center"/>
    </xf>
    <xf numFmtId="0" fontId="10" fillId="939" borderId="2" xfId="0" applyFont="1" applyFill="1" applyBorder="1" applyAlignment="1">
      <alignment horizontal="center"/>
    </xf>
    <xf numFmtId="0" fontId="10" fillId="939" borderId="3" xfId="0" applyFont="1" applyFill="1" applyBorder="1" applyAlignment="1">
      <alignment horizontal="center"/>
    </xf>
    <xf numFmtId="0" fontId="10" fillId="71" borderId="2" xfId="0" applyFont="1" applyFill="1" applyBorder="1" applyAlignment="1">
      <alignment horizontal="center"/>
    </xf>
    <xf numFmtId="0" fontId="10" fillId="385" borderId="3" xfId="0" applyFont="1" applyFill="1" applyBorder="1" applyAlignment="1">
      <alignment horizontal="center"/>
    </xf>
    <xf numFmtId="164" fontId="10" fillId="526" borderId="1" xfId="0" applyNumberFormat="1" applyFont="1" applyFill="1" applyBorder="1" applyAlignment="1">
      <alignment horizontal="center"/>
    </xf>
    <xf numFmtId="9" fontId="10" fillId="197" borderId="1" xfId="0" applyNumberFormat="1" applyFont="1" applyFill="1" applyBorder="1" applyAlignment="1">
      <alignment horizontal="center"/>
    </xf>
    <xf numFmtId="0" fontId="10" fillId="731" borderId="1" xfId="0" applyFont="1" applyFill="1" applyBorder="1" applyAlignment="1">
      <alignment horizontal="center"/>
    </xf>
    <xf numFmtId="9" fontId="10" fillId="109" borderId="4" xfId="0" applyNumberFormat="1" applyFont="1" applyFill="1" applyBorder="1" applyAlignment="1">
      <alignment horizontal="center"/>
    </xf>
    <xf numFmtId="0" fontId="10" fillId="36" borderId="1" xfId="0" applyFont="1" applyFill="1" applyBorder="1" applyAlignment="1">
      <alignment horizontal="center"/>
    </xf>
    <xf numFmtId="0" fontId="10" fillId="388" borderId="4" xfId="0" applyFont="1" applyFill="1" applyBorder="1" applyAlignment="1">
      <alignment horizontal="center"/>
    </xf>
    <xf numFmtId="10" fontId="10" fillId="264" borderId="1" xfId="0" applyNumberFormat="1" applyFont="1" applyFill="1" applyBorder="1" applyAlignment="1">
      <alignment horizontal="center"/>
    </xf>
    <xf numFmtId="0" fontId="10" fillId="57" borderId="16" xfId="0" applyFont="1" applyFill="1" applyBorder="1" applyAlignment="1">
      <alignment horizontal="center"/>
    </xf>
    <xf numFmtId="0" fontId="10" fillId="400" borderId="1" xfId="0" applyFont="1" applyFill="1" applyBorder="1" applyAlignment="1">
      <alignment horizontal="center"/>
    </xf>
    <xf numFmtId="0" fontId="10" fillId="759" borderId="1" xfId="0" applyFont="1" applyFill="1" applyBorder="1" applyAlignment="1">
      <alignment horizontal="center"/>
    </xf>
    <xf numFmtId="0" fontId="10" fillId="891" borderId="1" xfId="0" applyFont="1" applyFill="1" applyBorder="1" applyAlignment="1">
      <alignment horizontal="center"/>
    </xf>
    <xf numFmtId="164" fontId="10" fillId="940" borderId="2" xfId="0" applyNumberFormat="1" applyFont="1" applyFill="1" applyBorder="1" applyAlignment="1">
      <alignment horizontal="center"/>
    </xf>
    <xf numFmtId="0" fontId="10" fillId="623" borderId="2" xfId="0" applyFont="1" applyFill="1" applyBorder="1" applyAlignment="1">
      <alignment horizontal="center"/>
    </xf>
    <xf numFmtId="0" fontId="10" fillId="457" borderId="2" xfId="0" applyFont="1" applyFill="1" applyBorder="1" applyAlignment="1">
      <alignment horizontal="center"/>
    </xf>
    <xf numFmtId="9" fontId="10" fillId="127" borderId="3" xfId="0" applyNumberFormat="1" applyFont="1" applyFill="1" applyBorder="1" applyAlignment="1">
      <alignment horizontal="center"/>
    </xf>
    <xf numFmtId="0" fontId="10" fillId="161" borderId="2" xfId="0" applyFont="1" applyFill="1" applyBorder="1" applyAlignment="1">
      <alignment horizontal="center"/>
    </xf>
    <xf numFmtId="9" fontId="10" fillId="112" borderId="2" xfId="0" applyNumberFormat="1" applyFont="1" applyFill="1" applyBorder="1" applyAlignment="1">
      <alignment horizontal="center"/>
    </xf>
    <xf numFmtId="0" fontId="10" fillId="312" borderId="3" xfId="0" applyFont="1" applyFill="1" applyBorder="1" applyAlignment="1">
      <alignment horizontal="center"/>
    </xf>
    <xf numFmtId="10" fontId="10" fillId="44" borderId="2" xfId="0" applyNumberFormat="1" applyFont="1" applyFill="1" applyBorder="1" applyAlignment="1">
      <alignment horizontal="center"/>
    </xf>
    <xf numFmtId="10" fontId="10" fillId="107" borderId="3" xfId="0" applyNumberFormat="1" applyFont="1" applyFill="1" applyBorder="1" applyAlignment="1">
      <alignment horizontal="center"/>
    </xf>
    <xf numFmtId="0" fontId="10" fillId="764" borderId="13" xfId="0" applyFont="1" applyFill="1" applyBorder="1" applyAlignment="1">
      <alignment horizontal="center"/>
    </xf>
    <xf numFmtId="0" fontId="10" fillId="652" borderId="2" xfId="0" applyFont="1" applyFill="1" applyBorder="1" applyAlignment="1">
      <alignment horizontal="center"/>
    </xf>
    <xf numFmtId="0" fontId="10" fillId="652" borderId="3" xfId="0" applyFont="1" applyFill="1" applyBorder="1" applyAlignment="1">
      <alignment horizontal="center"/>
    </xf>
    <xf numFmtId="0" fontId="10" fillId="795" borderId="2" xfId="0" applyFont="1" applyFill="1" applyBorder="1" applyAlignment="1">
      <alignment horizontal="center"/>
    </xf>
    <xf numFmtId="0" fontId="10" fillId="527" borderId="2" xfId="0" applyFont="1" applyFill="1" applyBorder="1" applyAlignment="1">
      <alignment horizontal="center"/>
    </xf>
    <xf numFmtId="0" fontId="10" fillId="173" borderId="2" xfId="0" applyFont="1" applyFill="1" applyBorder="1" applyAlignment="1">
      <alignment horizontal="center"/>
    </xf>
    <xf numFmtId="164" fontId="10" fillId="347" borderId="1" xfId="0" applyNumberFormat="1" applyFont="1" applyFill="1" applyBorder="1" applyAlignment="1">
      <alignment horizontal="center"/>
    </xf>
    <xf numFmtId="0" fontId="10" fillId="373" borderId="1" xfId="0" applyFont="1" applyFill="1" applyBorder="1" applyAlignment="1">
      <alignment horizontal="center"/>
    </xf>
    <xf numFmtId="9" fontId="10" fillId="279" borderId="1" xfId="0" applyNumberFormat="1" applyFont="1" applyFill="1" applyBorder="1" applyAlignment="1">
      <alignment horizontal="center"/>
    </xf>
    <xf numFmtId="0" fontId="10" fillId="566" borderId="1" xfId="0" applyFont="1" applyFill="1" applyBorder="1" applyAlignment="1">
      <alignment horizontal="center"/>
    </xf>
    <xf numFmtId="9" fontId="10" fillId="553" borderId="1" xfId="0" applyNumberFormat="1" applyFont="1" applyFill="1" applyBorder="1" applyAlignment="1">
      <alignment horizontal="center"/>
    </xf>
    <xf numFmtId="9" fontId="10" fillId="25" borderId="1" xfId="0" applyNumberFormat="1" applyFont="1" applyFill="1" applyBorder="1" applyAlignment="1">
      <alignment horizontal="center"/>
    </xf>
    <xf numFmtId="10" fontId="10" fillId="530" borderId="1" xfId="0" applyNumberFormat="1" applyFont="1" applyFill="1" applyBorder="1" applyAlignment="1">
      <alignment horizontal="center"/>
    </xf>
    <xf numFmtId="0" fontId="10" fillId="306" borderId="4" xfId="0" applyFont="1" applyFill="1" applyBorder="1" applyAlignment="1">
      <alignment horizontal="center"/>
    </xf>
    <xf numFmtId="0" fontId="10" fillId="941" borderId="1" xfId="0" applyFont="1" applyFill="1" applyBorder="1" applyAlignment="1">
      <alignment horizontal="center"/>
    </xf>
    <xf numFmtId="164" fontId="10" fillId="182" borderId="2" xfId="0" applyNumberFormat="1" applyFont="1" applyFill="1" applyBorder="1" applyAlignment="1">
      <alignment horizontal="center"/>
    </xf>
    <xf numFmtId="0" fontId="10" fillId="580" borderId="2" xfId="0" applyFont="1" applyFill="1" applyBorder="1" applyAlignment="1">
      <alignment horizontal="center"/>
    </xf>
    <xf numFmtId="9" fontId="10" fillId="629" borderId="3" xfId="0" applyNumberFormat="1" applyFont="1" applyFill="1" applyBorder="1" applyAlignment="1">
      <alignment horizontal="center"/>
    </xf>
    <xf numFmtId="0" fontId="10" fillId="611" borderId="3" xfId="0" applyFont="1" applyFill="1" applyBorder="1" applyAlignment="1">
      <alignment horizontal="center"/>
    </xf>
    <xf numFmtId="10" fontId="10" fillId="197" borderId="2" xfId="0" applyNumberFormat="1" applyFont="1" applyFill="1" applyBorder="1" applyAlignment="1">
      <alignment horizontal="center"/>
    </xf>
    <xf numFmtId="10" fontId="10" fillId="447" borderId="3" xfId="0" applyNumberFormat="1" applyFont="1" applyFill="1" applyBorder="1" applyAlignment="1">
      <alignment horizontal="center"/>
    </xf>
    <xf numFmtId="0" fontId="10" fillId="155" borderId="2" xfId="0" applyFont="1" applyFill="1" applyBorder="1" applyAlignment="1">
      <alignment horizontal="center"/>
    </xf>
    <xf numFmtId="0" fontId="10" fillId="155" borderId="3" xfId="0" applyFont="1" applyFill="1" applyBorder="1" applyAlignment="1">
      <alignment horizontal="center"/>
    </xf>
    <xf numFmtId="0" fontId="20" fillId="885" borderId="5" xfId="0" applyFont="1" applyFill="1" applyBorder="1" applyAlignment="1">
      <alignment horizontal="center"/>
    </xf>
    <xf numFmtId="0" fontId="10" fillId="942" borderId="2" xfId="0" applyFont="1" applyFill="1" applyBorder="1" applyAlignment="1">
      <alignment horizontal="center"/>
    </xf>
    <xf numFmtId="164" fontId="10" fillId="64" borderId="1" xfId="0" applyNumberFormat="1" applyFont="1" applyFill="1" applyBorder="1" applyAlignment="1">
      <alignment horizontal="center"/>
    </xf>
    <xf numFmtId="0" fontId="10" fillId="334" borderId="1" xfId="0" applyFont="1" applyFill="1" applyBorder="1" applyAlignment="1">
      <alignment horizontal="center"/>
    </xf>
    <xf numFmtId="0" fontId="10" fillId="943" borderId="1" xfId="0" applyFont="1" applyFill="1" applyBorder="1" applyAlignment="1">
      <alignment horizontal="center"/>
    </xf>
    <xf numFmtId="9" fontId="10" fillId="834" borderId="4" xfId="0" applyNumberFormat="1" applyFont="1" applyFill="1" applyBorder="1" applyAlignment="1">
      <alignment horizontal="center"/>
    </xf>
    <xf numFmtId="0" fontId="10" fillId="642" borderId="1" xfId="0" applyFont="1" applyFill="1" applyBorder="1" applyAlignment="1">
      <alignment horizontal="center"/>
    </xf>
    <xf numFmtId="9" fontId="10" fillId="360" borderId="1" xfId="0" applyNumberFormat="1" applyFont="1" applyFill="1" applyBorder="1" applyAlignment="1">
      <alignment horizontal="center"/>
    </xf>
    <xf numFmtId="0" fontId="10" fillId="257" borderId="4" xfId="0" applyFont="1" applyFill="1" applyBorder="1" applyAlignment="1">
      <alignment horizontal="center"/>
    </xf>
    <xf numFmtId="10" fontId="10" fillId="488" borderId="1" xfId="0" applyNumberFormat="1" applyFont="1" applyFill="1" applyBorder="1" applyAlignment="1">
      <alignment horizontal="center"/>
    </xf>
    <xf numFmtId="10" fontId="10" fillId="48" borderId="4" xfId="0" applyNumberFormat="1" applyFont="1" applyFill="1" applyBorder="1" applyAlignment="1">
      <alignment horizontal="center"/>
    </xf>
    <xf numFmtId="0" fontId="10" fillId="189" borderId="1" xfId="0" applyFont="1" applyFill="1" applyBorder="1" applyAlignment="1">
      <alignment horizontal="center"/>
    </xf>
    <xf numFmtId="0" fontId="10" fillId="583" borderId="4" xfId="0" applyFont="1" applyFill="1" applyBorder="1" applyAlignment="1">
      <alignment horizontal="center"/>
    </xf>
    <xf numFmtId="0" fontId="20" fillId="885" borderId="4" xfId="0" applyFont="1" applyFill="1" applyBorder="1" applyAlignment="1">
      <alignment horizontal="center"/>
    </xf>
    <xf numFmtId="0" fontId="10" fillId="104" borderId="1" xfId="0" applyFont="1" applyFill="1" applyBorder="1" applyAlignment="1">
      <alignment horizontal="center"/>
    </xf>
    <xf numFmtId="0" fontId="10" fillId="914" borderId="1" xfId="0" applyFont="1" applyFill="1" applyBorder="1" applyAlignment="1">
      <alignment horizontal="center"/>
    </xf>
    <xf numFmtId="0" fontId="10" fillId="655" borderId="4" xfId="0" applyFont="1" applyFill="1" applyBorder="1" applyAlignment="1">
      <alignment horizontal="center"/>
    </xf>
    <xf numFmtId="164" fontId="10" fillId="580" borderId="2" xfId="0" applyNumberFormat="1" applyFont="1" applyFill="1" applyBorder="1" applyAlignment="1">
      <alignment horizontal="center"/>
    </xf>
    <xf numFmtId="0" fontId="10" fillId="944" borderId="2" xfId="0" applyFont="1" applyFill="1" applyBorder="1" applyAlignment="1">
      <alignment horizontal="center"/>
    </xf>
    <xf numFmtId="9" fontId="10" fillId="224" borderId="3" xfId="0" applyNumberFormat="1" applyFont="1" applyFill="1" applyBorder="1" applyAlignment="1">
      <alignment horizontal="center"/>
    </xf>
    <xf numFmtId="0" fontId="10" fillId="122" borderId="3" xfId="0" applyFont="1" applyFill="1" applyBorder="1" applyAlignment="1">
      <alignment horizontal="center"/>
    </xf>
    <xf numFmtId="0" fontId="10" fillId="803" borderId="2" xfId="0" applyFont="1" applyFill="1" applyBorder="1" applyAlignment="1">
      <alignment horizontal="center"/>
    </xf>
    <xf numFmtId="9" fontId="10" fillId="265" borderId="2" xfId="0" applyNumberFormat="1" applyFont="1" applyFill="1" applyBorder="1" applyAlignment="1">
      <alignment horizontal="center"/>
    </xf>
    <xf numFmtId="10" fontId="10" fillId="149" borderId="3" xfId="0" applyNumberFormat="1" applyFont="1" applyFill="1" applyBorder="1" applyAlignment="1">
      <alignment horizontal="center"/>
    </xf>
    <xf numFmtId="0" fontId="10" fillId="170" borderId="2" xfId="0" applyFont="1" applyFill="1" applyBorder="1" applyAlignment="1">
      <alignment horizontal="center"/>
    </xf>
    <xf numFmtId="0" fontId="10" fillId="539" borderId="3" xfId="0" applyFont="1" applyFill="1" applyBorder="1" applyAlignment="1">
      <alignment horizontal="center"/>
    </xf>
    <xf numFmtId="0" fontId="20" fillId="274" borderId="5" xfId="0" applyFont="1" applyFill="1" applyBorder="1" applyAlignment="1">
      <alignment horizontal="center"/>
    </xf>
    <xf numFmtId="0" fontId="10" fillId="550" borderId="2" xfId="0" applyFont="1" applyFill="1" applyBorder="1" applyAlignment="1">
      <alignment horizontal="center"/>
    </xf>
    <xf numFmtId="0" fontId="10" fillId="172" borderId="2" xfId="0" applyFont="1" applyFill="1" applyBorder="1" applyAlignment="1">
      <alignment horizontal="center"/>
    </xf>
    <xf numFmtId="164" fontId="10" fillId="329" borderId="1" xfId="0" applyNumberFormat="1" applyFont="1" applyFill="1" applyBorder="1" applyAlignment="1">
      <alignment horizontal="center"/>
    </xf>
    <xf numFmtId="0" fontId="10" fillId="411" borderId="1" xfId="0" applyFont="1" applyFill="1" applyBorder="1" applyAlignment="1">
      <alignment horizontal="center"/>
    </xf>
    <xf numFmtId="0" fontId="10" fillId="563" borderId="4" xfId="0" applyFont="1" applyFill="1" applyBorder="1" applyAlignment="1">
      <alignment horizontal="center"/>
    </xf>
    <xf numFmtId="0" fontId="10" fillId="153" borderId="1" xfId="0" applyFont="1" applyFill="1" applyBorder="1" applyAlignment="1">
      <alignment horizontal="center"/>
    </xf>
    <xf numFmtId="0" fontId="10" fillId="809" borderId="1" xfId="0" applyFont="1" applyFill="1" applyBorder="1" applyAlignment="1">
      <alignment horizontal="center"/>
    </xf>
    <xf numFmtId="0" fontId="20" fillId="274" borderId="4" xfId="0" applyFont="1" applyFill="1" applyBorder="1" applyAlignment="1">
      <alignment horizontal="center"/>
    </xf>
    <xf numFmtId="0" fontId="10" fillId="945" borderId="1" xfId="0" applyFont="1" applyFill="1" applyBorder="1" applyAlignment="1">
      <alignment horizontal="center"/>
    </xf>
    <xf numFmtId="164" fontId="10" fillId="837" borderId="2" xfId="0" applyNumberFormat="1" applyFont="1" applyFill="1" applyBorder="1" applyAlignment="1">
      <alignment horizontal="center"/>
    </xf>
    <xf numFmtId="9" fontId="10" fillId="44" borderId="2" xfId="0" applyNumberFormat="1" applyFont="1" applyFill="1" applyBorder="1" applyAlignment="1">
      <alignment horizontal="center"/>
    </xf>
    <xf numFmtId="0" fontId="10" fillId="17" borderId="3" xfId="0" applyFont="1" applyFill="1" applyBorder="1" applyAlignment="1">
      <alignment horizontal="center"/>
    </xf>
    <xf numFmtId="0" fontId="10" fillId="308" borderId="2" xfId="0" applyFont="1" applyFill="1" applyBorder="1" applyAlignment="1">
      <alignment horizontal="center"/>
    </xf>
    <xf numFmtId="9" fontId="10" fillId="93" borderId="2" xfId="0" applyNumberFormat="1" applyFont="1" applyFill="1" applyBorder="1" applyAlignment="1">
      <alignment horizontal="center"/>
    </xf>
    <xf numFmtId="0" fontId="10" fillId="876" borderId="2" xfId="0" applyFont="1" applyFill="1" applyBorder="1" applyAlignment="1">
      <alignment horizontal="center"/>
    </xf>
    <xf numFmtId="0" fontId="10" fillId="650" borderId="2" xfId="0" applyFont="1" applyFill="1" applyBorder="1" applyAlignment="1">
      <alignment horizontal="center"/>
    </xf>
    <xf numFmtId="0" fontId="10" fillId="103" borderId="2" xfId="0" applyFont="1" applyFill="1" applyBorder="1" applyAlignment="1">
      <alignment horizontal="center"/>
    </xf>
    <xf numFmtId="0" fontId="10" fillId="700" borderId="3" xfId="0" applyFont="1" applyFill="1" applyBorder="1" applyAlignment="1">
      <alignment horizontal="center"/>
    </xf>
    <xf numFmtId="164" fontId="10" fillId="366" borderId="1" xfId="0" applyNumberFormat="1" applyFont="1" applyFill="1" applyBorder="1" applyAlignment="1">
      <alignment horizontal="center"/>
    </xf>
    <xf numFmtId="0" fontId="10" fillId="606" borderId="1" xfId="0" applyFont="1" applyFill="1" applyBorder="1" applyAlignment="1">
      <alignment horizontal="center"/>
    </xf>
    <xf numFmtId="9" fontId="10" fillId="114" borderId="4" xfId="0" applyNumberFormat="1" applyFont="1" applyFill="1" applyBorder="1" applyAlignment="1">
      <alignment horizontal="center"/>
    </xf>
    <xf numFmtId="9" fontId="10" fillId="161" borderId="1" xfId="0" applyNumberFormat="1" applyFont="1" applyFill="1" applyBorder="1" applyAlignment="1">
      <alignment horizontal="center"/>
    </xf>
    <xf numFmtId="0" fontId="10" fillId="706" borderId="4" xfId="0" applyFont="1" applyFill="1" applyBorder="1" applyAlignment="1">
      <alignment horizontal="center"/>
    </xf>
    <xf numFmtId="0" fontId="10" fillId="942" borderId="1" xfId="0" applyFont="1" applyFill="1" applyBorder="1" applyAlignment="1">
      <alignment horizontal="center"/>
    </xf>
    <xf numFmtId="0" fontId="10" fillId="946" borderId="1" xfId="0" applyFont="1" applyFill="1" applyBorder="1" applyAlignment="1">
      <alignment horizontal="center"/>
    </xf>
    <xf numFmtId="0" fontId="10" fillId="89" borderId="1" xfId="0" applyFont="1" applyFill="1" applyBorder="1" applyAlignment="1">
      <alignment horizontal="center"/>
    </xf>
    <xf numFmtId="0" fontId="10" fillId="498" borderId="4" xfId="0" applyFont="1" applyFill="1" applyBorder="1" applyAlignment="1">
      <alignment horizontal="center"/>
    </xf>
    <xf numFmtId="164" fontId="10" fillId="558" borderId="2" xfId="0" applyNumberFormat="1" applyFont="1" applyFill="1" applyBorder="1" applyAlignment="1">
      <alignment horizontal="center"/>
    </xf>
    <xf numFmtId="9" fontId="10" fillId="834" borderId="3" xfId="0" applyNumberFormat="1" applyFont="1" applyFill="1" applyBorder="1" applyAlignment="1">
      <alignment horizontal="center"/>
    </xf>
    <xf numFmtId="0" fontId="10" fillId="79" borderId="3" xfId="0" applyFont="1" applyFill="1" applyBorder="1" applyAlignment="1">
      <alignment horizontal="center"/>
    </xf>
    <xf numFmtId="9" fontId="10" fillId="161" borderId="2" xfId="0" applyNumberFormat="1" applyFont="1" applyFill="1" applyBorder="1" applyAlignment="1">
      <alignment horizontal="center"/>
    </xf>
    <xf numFmtId="10" fontId="10" fillId="177" borderId="2" xfId="0" applyNumberFormat="1" applyFont="1" applyFill="1" applyBorder="1" applyAlignment="1">
      <alignment horizontal="center"/>
    </xf>
    <xf numFmtId="10" fontId="10" fillId="646" borderId="2" xfId="0" applyNumberFormat="1" applyFont="1" applyFill="1" applyBorder="1" applyAlignment="1">
      <alignment horizontal="center"/>
    </xf>
    <xf numFmtId="10" fontId="10" fillId="177" borderId="3" xfId="0" applyNumberFormat="1" applyFont="1" applyFill="1" applyBorder="1" applyAlignment="1">
      <alignment horizontal="center"/>
    </xf>
    <xf numFmtId="0" fontId="10" fillId="128" borderId="13" xfId="0" applyFont="1" applyFill="1" applyBorder="1" applyAlignment="1">
      <alignment horizontal="center"/>
    </xf>
    <xf numFmtId="0" fontId="10" fillId="865" borderId="2" xfId="0" applyFont="1" applyFill="1" applyBorder="1" applyAlignment="1">
      <alignment horizontal="center"/>
    </xf>
    <xf numFmtId="0" fontId="20" fillId="947" borderId="5" xfId="0" applyFont="1" applyFill="1" applyBorder="1" applyAlignment="1">
      <alignment horizontal="center"/>
    </xf>
    <xf numFmtId="0" fontId="10" fillId="219" borderId="2" xfId="0" applyFont="1" applyFill="1" applyBorder="1" applyAlignment="1">
      <alignment horizontal="center"/>
    </xf>
    <xf numFmtId="0" fontId="10" fillId="759" borderId="2" xfId="0" applyFont="1" applyFill="1" applyBorder="1" applyAlignment="1">
      <alignment horizontal="center"/>
    </xf>
    <xf numFmtId="0" fontId="10" fillId="655" borderId="3" xfId="0" applyFont="1" applyFill="1" applyBorder="1" applyAlignment="1">
      <alignment horizontal="center"/>
    </xf>
    <xf numFmtId="164" fontId="10" fillId="948" borderId="1" xfId="0" applyNumberFormat="1" applyFont="1" applyFill="1" applyBorder="1" applyAlignment="1">
      <alignment horizontal="center"/>
    </xf>
    <xf numFmtId="0" fontId="10" fillId="125" borderId="1" xfId="0" applyFont="1" applyFill="1" applyBorder="1" applyAlignment="1">
      <alignment horizontal="center"/>
    </xf>
    <xf numFmtId="0" fontId="10" fillId="619" borderId="4" xfId="0" applyFont="1" applyFill="1" applyBorder="1" applyAlignment="1">
      <alignment horizontal="center"/>
    </xf>
    <xf numFmtId="9" fontId="10" fillId="265" borderId="1" xfId="0" applyNumberFormat="1" applyFont="1" applyFill="1" applyBorder="1" applyAlignment="1">
      <alignment horizontal="center"/>
    </xf>
    <xf numFmtId="9" fontId="10" fillId="93" borderId="1" xfId="0" applyNumberFormat="1" applyFont="1" applyFill="1" applyBorder="1" applyAlignment="1">
      <alignment horizontal="center"/>
    </xf>
    <xf numFmtId="0" fontId="10" fillId="884" borderId="1" xfId="0" applyFont="1" applyFill="1" applyBorder="1" applyAlignment="1">
      <alignment horizontal="center"/>
    </xf>
    <xf numFmtId="0" fontId="20" fillId="947" borderId="4" xfId="0" applyFont="1" applyFill="1" applyBorder="1" applyAlignment="1">
      <alignment horizontal="center"/>
    </xf>
    <xf numFmtId="0" fontId="10" fillId="675" borderId="1" xfId="0" applyFont="1" applyFill="1" applyBorder="1" applyAlignment="1">
      <alignment horizontal="center"/>
    </xf>
    <xf numFmtId="0" fontId="10" fillId="782" borderId="1" xfId="0" applyFont="1" applyFill="1" applyBorder="1" applyAlignment="1">
      <alignment horizontal="center"/>
    </xf>
    <xf numFmtId="0" fontId="10" fillId="510" borderId="4" xfId="0" applyFont="1" applyFill="1" applyBorder="1" applyAlignment="1">
      <alignment horizontal="center"/>
    </xf>
    <xf numFmtId="164" fontId="10" fillId="949" borderId="2" xfId="0" applyNumberFormat="1" applyFont="1" applyFill="1" applyBorder="1" applyAlignment="1">
      <alignment horizontal="center"/>
    </xf>
    <xf numFmtId="165" fontId="10" fillId="2" borderId="3" xfId="0" applyNumberFormat="1" applyFont="1" applyFill="1" applyBorder="1" applyAlignment="1">
      <alignment horizontal="center"/>
    </xf>
    <xf numFmtId="9" fontId="10" fillId="43" borderId="2" xfId="0" applyNumberFormat="1" applyFont="1" applyFill="1" applyBorder="1" applyAlignment="1">
      <alignment horizontal="center"/>
    </xf>
    <xf numFmtId="0" fontId="10" fillId="262" borderId="2" xfId="0" applyFont="1" applyFill="1" applyBorder="1" applyAlignment="1">
      <alignment horizontal="center"/>
    </xf>
    <xf numFmtId="0" fontId="10" fillId="75" borderId="2" xfId="0" applyFont="1" applyFill="1" applyBorder="1" applyAlignment="1">
      <alignment horizontal="center"/>
    </xf>
    <xf numFmtId="10" fontId="10" fillId="121" borderId="2" xfId="0" applyNumberFormat="1" applyFont="1" applyFill="1" applyBorder="1" applyAlignment="1">
      <alignment horizontal="center"/>
    </xf>
    <xf numFmtId="10" fontId="10" fillId="159" borderId="2" xfId="0" applyNumberFormat="1" applyFont="1" applyFill="1" applyBorder="1" applyAlignment="1">
      <alignment horizontal="center"/>
    </xf>
    <xf numFmtId="10" fontId="10" fillId="82" borderId="3" xfId="0" applyNumberFormat="1" applyFont="1" applyFill="1" applyBorder="1" applyAlignment="1">
      <alignment horizontal="center"/>
    </xf>
    <xf numFmtId="0" fontId="10" fillId="754" borderId="2" xfId="0" applyFont="1" applyFill="1" applyBorder="1" applyAlignment="1">
      <alignment horizontal="center"/>
    </xf>
    <xf numFmtId="0" fontId="10" fillId="394" borderId="2" xfId="0" applyFont="1" applyFill="1" applyBorder="1" applyAlignment="1">
      <alignment horizontal="center"/>
    </xf>
    <xf numFmtId="0" fontId="10" fillId="394" borderId="3" xfId="0" applyFont="1" applyFill="1" applyBorder="1" applyAlignment="1">
      <alignment horizontal="center"/>
    </xf>
    <xf numFmtId="0" fontId="10" fillId="687" borderId="2" xfId="0" applyFont="1" applyFill="1" applyBorder="1" applyAlignment="1">
      <alignment horizontal="center"/>
    </xf>
    <xf numFmtId="164" fontId="10" fillId="536" borderId="1" xfId="0" applyNumberFormat="1" applyFont="1" applyFill="1" applyBorder="1" applyAlignment="1">
      <alignment horizontal="center"/>
    </xf>
    <xf numFmtId="0" fontId="10" fillId="130" borderId="1" xfId="0" applyFont="1" applyFill="1" applyBorder="1" applyAlignment="1">
      <alignment horizontal="center"/>
    </xf>
    <xf numFmtId="9" fontId="10" fillId="224" borderId="4" xfId="0" applyNumberFormat="1" applyFont="1" applyFill="1" applyBorder="1" applyAlignment="1">
      <alignment horizontal="center"/>
    </xf>
    <xf numFmtId="0" fontId="10" fillId="22" borderId="4" xfId="0" applyFont="1" applyFill="1" applyBorder="1" applyAlignment="1">
      <alignment horizontal="center"/>
    </xf>
    <xf numFmtId="0" fontId="10" fillId="39" borderId="1" xfId="0" applyFont="1" applyFill="1" applyBorder="1" applyAlignment="1">
      <alignment horizontal="center"/>
    </xf>
    <xf numFmtId="10" fontId="10" fillId="35" borderId="4" xfId="0" applyNumberFormat="1" applyFont="1" applyFill="1" applyBorder="1" applyAlignment="1">
      <alignment horizontal="center"/>
    </xf>
    <xf numFmtId="0" fontId="10" fillId="318" borderId="1" xfId="0" applyFont="1" applyFill="1" applyBorder="1" applyAlignment="1">
      <alignment horizontal="center"/>
    </xf>
    <xf numFmtId="0" fontId="10" fillId="449" borderId="1" xfId="0" applyFont="1" applyFill="1" applyBorder="1" applyAlignment="1">
      <alignment horizontal="center"/>
    </xf>
    <xf numFmtId="0" fontId="10" fillId="721" borderId="1" xfId="0" applyFont="1" applyFill="1" applyBorder="1" applyAlignment="1">
      <alignment horizontal="center"/>
    </xf>
    <xf numFmtId="0" fontId="10" fillId="95" borderId="2" xfId="0" applyFont="1" applyFill="1" applyBorder="1" applyAlignment="1">
      <alignment horizontal="center"/>
    </xf>
    <xf numFmtId="9" fontId="10" fillId="114" borderId="3" xfId="0" applyNumberFormat="1" applyFont="1" applyFill="1" applyBorder="1" applyAlignment="1">
      <alignment horizontal="center"/>
    </xf>
    <xf numFmtId="0" fontId="10" fillId="269" borderId="3" xfId="0" applyFont="1" applyFill="1" applyBorder="1" applyAlignment="1">
      <alignment horizontal="center"/>
    </xf>
    <xf numFmtId="0" fontId="10" fillId="315" borderId="2" xfId="0" applyFont="1" applyFill="1" applyBorder="1" applyAlignment="1">
      <alignment horizontal="center"/>
    </xf>
    <xf numFmtId="10" fontId="10" fillId="439" borderId="2" xfId="0" applyNumberFormat="1" applyFont="1" applyFill="1" applyBorder="1" applyAlignment="1">
      <alignment horizontal="center"/>
    </xf>
    <xf numFmtId="0" fontId="10" fillId="502" borderId="2" xfId="0" applyFont="1" applyFill="1" applyBorder="1" applyAlignment="1">
      <alignment horizontal="center"/>
    </xf>
    <xf numFmtId="0" fontId="10" fillId="191" borderId="2" xfId="0" applyFont="1" applyFill="1" applyBorder="1" applyAlignment="1">
      <alignment horizontal="center"/>
    </xf>
    <xf numFmtId="0" fontId="10" fillId="881" borderId="2" xfId="0" applyFont="1" applyFill="1" applyBorder="1" applyAlignment="1">
      <alignment horizontal="center"/>
    </xf>
    <xf numFmtId="164" fontId="10" fillId="58" borderId="1" xfId="0" applyNumberFormat="1" applyFont="1" applyFill="1" applyBorder="1" applyAlignment="1">
      <alignment horizontal="center"/>
    </xf>
    <xf numFmtId="0" fontId="10" fillId="126" borderId="1" xfId="0" applyFont="1" applyFill="1" applyBorder="1" applyAlignment="1">
      <alignment horizontal="center"/>
    </xf>
    <xf numFmtId="0" fontId="10" fillId="616" borderId="1" xfId="0" applyFont="1" applyFill="1" applyBorder="1" applyAlignment="1">
      <alignment horizontal="center"/>
    </xf>
    <xf numFmtId="9" fontId="10" fillId="127" borderId="4" xfId="0" applyNumberFormat="1" applyFont="1" applyFill="1" applyBorder="1" applyAlignment="1">
      <alignment horizontal="center"/>
    </xf>
    <xf numFmtId="0" fontId="10" fillId="255" borderId="4" xfId="0" applyFont="1" applyFill="1" applyBorder="1" applyAlignment="1">
      <alignment horizontal="center"/>
    </xf>
    <xf numFmtId="10" fontId="10" fillId="36" borderId="1" xfId="0" applyNumberFormat="1" applyFont="1" applyFill="1" applyBorder="1" applyAlignment="1">
      <alignment horizontal="center"/>
    </xf>
    <xf numFmtId="10" fontId="10" fillId="149" borderId="4" xfId="0" applyNumberFormat="1" applyFont="1" applyFill="1" applyBorder="1" applyAlignment="1">
      <alignment horizontal="center"/>
    </xf>
    <xf numFmtId="0" fontId="10" fillId="258" borderId="16" xfId="0" applyFont="1" applyFill="1" applyBorder="1" applyAlignment="1">
      <alignment horizontal="center"/>
    </xf>
    <xf numFmtId="0" fontId="10" fillId="28" borderId="4" xfId="0" applyFont="1" applyFill="1" applyBorder="1" applyAlignment="1">
      <alignment horizontal="center"/>
    </xf>
    <xf numFmtId="0" fontId="10" fillId="470" borderId="1" xfId="0" applyFont="1" applyFill="1" applyBorder="1" applyAlignment="1">
      <alignment horizontal="center"/>
    </xf>
    <xf numFmtId="0" fontId="10" fillId="405" borderId="1" xfId="0" applyFont="1" applyFill="1" applyBorder="1" applyAlignment="1">
      <alignment horizontal="center"/>
    </xf>
    <xf numFmtId="0" fontId="10" fillId="490" borderId="4" xfId="0" applyFont="1" applyFill="1" applyBorder="1" applyAlignment="1">
      <alignment horizontal="center"/>
    </xf>
    <xf numFmtId="164" fontId="10" fillId="337" borderId="2" xfId="0" applyNumberFormat="1" applyFont="1" applyFill="1" applyBorder="1" applyAlignment="1">
      <alignment horizontal="center"/>
    </xf>
    <xf numFmtId="0" fontId="10" fillId="264" borderId="2" xfId="0" applyFont="1" applyFill="1" applyBorder="1" applyAlignment="1">
      <alignment horizontal="center"/>
    </xf>
    <xf numFmtId="9" fontId="10" fillId="592" borderId="2" xfId="0" applyNumberFormat="1" applyFont="1" applyFill="1" applyBorder="1" applyAlignment="1">
      <alignment horizontal="center"/>
    </xf>
    <xf numFmtId="0" fontId="10" fillId="30" borderId="2" xfId="0" applyFont="1" applyFill="1" applyBorder="1" applyAlignment="1">
      <alignment horizontal="center"/>
    </xf>
    <xf numFmtId="0" fontId="10" fillId="590" borderId="2" xfId="0" applyFont="1" applyFill="1" applyBorder="1" applyAlignment="1">
      <alignment horizontal="center"/>
    </xf>
    <xf numFmtId="10" fontId="10" fillId="435" borderId="3" xfId="0" applyNumberFormat="1" applyFont="1" applyFill="1" applyBorder="1" applyAlignment="1">
      <alignment horizontal="center"/>
    </xf>
    <xf numFmtId="0" fontId="10" fillId="920" borderId="2" xfId="0" applyFont="1" applyFill="1" applyBorder="1" applyAlignment="1">
      <alignment horizontal="center"/>
    </xf>
    <xf numFmtId="0" fontId="10" fillId="413" borderId="2" xfId="0" applyFont="1" applyFill="1" applyBorder="1" applyAlignment="1">
      <alignment horizontal="center"/>
    </xf>
    <xf numFmtId="0" fontId="10" fillId="413" borderId="3" xfId="0" applyFont="1" applyFill="1" applyBorder="1" applyAlignment="1">
      <alignment horizontal="center"/>
    </xf>
    <xf numFmtId="164" fontId="10" fillId="894" borderId="1" xfId="0" applyNumberFormat="1" applyFont="1" applyFill="1" applyBorder="1" applyAlignment="1">
      <alignment horizontal="center"/>
    </xf>
    <xf numFmtId="0" fontId="10" fillId="950" borderId="1" xfId="0" applyFont="1" applyFill="1" applyBorder="1" applyAlignment="1">
      <alignment horizontal="center"/>
    </xf>
    <xf numFmtId="9" fontId="10" fillId="333" borderId="4" xfId="0" applyNumberFormat="1" applyFont="1" applyFill="1" applyBorder="1" applyAlignment="1">
      <alignment horizontal="center"/>
    </xf>
    <xf numFmtId="0" fontId="10" fillId="74" borderId="4" xfId="0" applyFont="1" applyFill="1" applyBorder="1" applyAlignment="1">
      <alignment horizontal="center"/>
    </xf>
    <xf numFmtId="9" fontId="10" fillId="343" borderId="1" xfId="0" applyNumberFormat="1" applyFont="1" applyFill="1" applyBorder="1" applyAlignment="1">
      <alignment horizontal="center"/>
    </xf>
    <xf numFmtId="10" fontId="10" fillId="630" borderId="1" xfId="0" applyNumberFormat="1" applyFont="1" applyFill="1" applyBorder="1" applyAlignment="1">
      <alignment horizontal="center"/>
    </xf>
    <xf numFmtId="10" fontId="10" fillId="411" borderId="1" xfId="0" applyNumberFormat="1" applyFont="1" applyFill="1" applyBorder="1" applyAlignment="1">
      <alignment horizontal="center"/>
    </xf>
    <xf numFmtId="10" fontId="10" fillId="77" borderId="4" xfId="0" applyNumberFormat="1" applyFont="1" applyFill="1" applyBorder="1" applyAlignment="1">
      <alignment horizontal="center"/>
    </xf>
    <xf numFmtId="0" fontId="10" fillId="951" borderId="1" xfId="0" applyFont="1" applyFill="1" applyBorder="1" applyAlignment="1">
      <alignment horizontal="center"/>
    </xf>
    <xf numFmtId="0" fontId="10" fillId="952" borderId="1" xfId="0" applyFont="1" applyFill="1" applyBorder="1" applyAlignment="1">
      <alignment horizontal="center"/>
    </xf>
    <xf numFmtId="0" fontId="10" fillId="389" borderId="1" xfId="0" applyFont="1" applyFill="1" applyBorder="1" applyAlignment="1">
      <alignment horizontal="center"/>
    </xf>
    <xf numFmtId="0" fontId="10" fillId="823" borderId="1" xfId="0" applyFont="1" applyFill="1" applyBorder="1" applyAlignment="1">
      <alignment horizontal="center"/>
    </xf>
    <xf numFmtId="164" fontId="10" fillId="391" borderId="2" xfId="0" applyNumberFormat="1" applyFont="1" applyFill="1" applyBorder="1" applyAlignment="1">
      <alignment horizontal="center"/>
    </xf>
    <xf numFmtId="0" fontId="10" fillId="159" borderId="2" xfId="0" applyFont="1" applyFill="1" applyBorder="1" applyAlignment="1">
      <alignment horizontal="center"/>
    </xf>
    <xf numFmtId="9" fontId="10" fillId="49" borderId="3" xfId="0" applyNumberFormat="1" applyFont="1" applyFill="1" applyBorder="1" applyAlignment="1">
      <alignment horizontal="center"/>
    </xf>
    <xf numFmtId="0" fontId="10" fillId="493" borderId="3" xfId="0" applyFont="1" applyFill="1" applyBorder="1" applyAlignment="1">
      <alignment horizontal="center"/>
    </xf>
    <xf numFmtId="10" fontId="10" fillId="110" borderId="2" xfId="0" applyNumberFormat="1" applyFont="1" applyFill="1" applyBorder="1" applyAlignment="1">
      <alignment horizontal="center"/>
    </xf>
    <xf numFmtId="10" fontId="10" fillId="602" borderId="3" xfId="0" applyNumberFormat="1" applyFont="1" applyFill="1" applyBorder="1" applyAlignment="1">
      <alignment horizontal="center"/>
    </xf>
    <xf numFmtId="0" fontId="10" fillId="656" borderId="2" xfId="0" applyFont="1" applyFill="1" applyBorder="1" applyAlignment="1">
      <alignment horizontal="center"/>
    </xf>
    <xf numFmtId="0" fontId="10" fillId="656" borderId="3" xfId="0" applyFont="1" applyFill="1" applyBorder="1" applyAlignment="1">
      <alignment horizontal="center"/>
    </xf>
    <xf numFmtId="0" fontId="20" fillId="815" borderId="5" xfId="0" applyFont="1" applyFill="1" applyBorder="1" applyAlignment="1">
      <alignment horizontal="center"/>
    </xf>
    <xf numFmtId="0" fontId="10" fillId="743" borderId="2" xfId="0" applyFont="1" applyFill="1" applyBorder="1" applyAlignment="1">
      <alignment horizontal="center"/>
    </xf>
    <xf numFmtId="0" fontId="10" fillId="719" borderId="3" xfId="0" applyFont="1" applyFill="1" applyBorder="1" applyAlignment="1">
      <alignment horizontal="center"/>
    </xf>
    <xf numFmtId="164" fontId="10" fillId="507" borderId="1" xfId="0" applyNumberFormat="1" applyFont="1" applyFill="1" applyBorder="1" applyAlignment="1">
      <alignment horizontal="center"/>
    </xf>
    <xf numFmtId="10" fontId="10" fillId="44" borderId="1" xfId="0" applyNumberFormat="1" applyFont="1" applyFill="1" applyBorder="1" applyAlignment="1">
      <alignment horizontal="center"/>
    </xf>
    <xf numFmtId="10" fontId="10" fillId="372" borderId="4" xfId="0" applyNumberFormat="1" applyFont="1" applyFill="1" applyBorder="1" applyAlignment="1">
      <alignment horizontal="center"/>
    </xf>
    <xf numFmtId="0" fontId="10" fillId="484" borderId="1" xfId="0" applyFont="1" applyFill="1" applyBorder="1" applyAlignment="1">
      <alignment horizontal="center"/>
    </xf>
    <xf numFmtId="0" fontId="10" fillId="484" borderId="4" xfId="0" applyFont="1" applyFill="1" applyBorder="1" applyAlignment="1">
      <alignment horizontal="center"/>
    </xf>
    <xf numFmtId="0" fontId="20" fillId="815" borderId="4" xfId="0" applyFont="1" applyFill="1" applyBorder="1" applyAlignment="1">
      <alignment horizontal="center"/>
    </xf>
    <xf numFmtId="0" fontId="10" fillId="785" borderId="1" xfId="0" applyFont="1" applyFill="1" applyBorder="1" applyAlignment="1">
      <alignment horizontal="center"/>
    </xf>
    <xf numFmtId="0" fontId="10" fillId="693" borderId="1" xfId="0" applyFont="1" applyFill="1" applyBorder="1" applyAlignment="1">
      <alignment horizontal="center"/>
    </xf>
    <xf numFmtId="164" fontId="10" fillId="528" borderId="2" xfId="0" applyNumberFormat="1" applyFont="1" applyFill="1" applyBorder="1" applyAlignment="1">
      <alignment horizontal="center"/>
    </xf>
    <xf numFmtId="0" fontId="10" fillId="476" borderId="3" xfId="0" applyFont="1" applyFill="1" applyBorder="1" applyAlignment="1">
      <alignment horizontal="center"/>
    </xf>
    <xf numFmtId="0" fontId="10" fillId="513" borderId="2" xfId="0" applyFont="1" applyFill="1" applyBorder="1" applyAlignment="1">
      <alignment horizontal="center"/>
    </xf>
    <xf numFmtId="0" fontId="20" fillId="942" borderId="5" xfId="0" applyFont="1" applyFill="1" applyBorder="1" applyAlignment="1">
      <alignment horizontal="center"/>
    </xf>
    <xf numFmtId="0" fontId="10" fillId="953" borderId="2" xfId="0" applyFont="1" applyFill="1" applyBorder="1" applyAlignment="1">
      <alignment horizontal="center"/>
    </xf>
    <xf numFmtId="0" fontId="10" fillId="225" borderId="3" xfId="0" applyFont="1" applyFill="1" applyBorder="1" applyAlignment="1">
      <alignment horizontal="center"/>
    </xf>
    <xf numFmtId="164" fontId="10" fillId="954" borderId="1" xfId="0" applyNumberFormat="1" applyFont="1" applyFill="1" applyBorder="1" applyAlignment="1">
      <alignment horizontal="center"/>
    </xf>
    <xf numFmtId="0" fontId="10" fillId="609" borderId="1" xfId="0" applyFont="1" applyFill="1" applyBorder="1" applyAlignment="1">
      <alignment horizontal="center"/>
    </xf>
    <xf numFmtId="0" fontId="10" fillId="197" borderId="4" xfId="0" applyFont="1" applyFill="1" applyBorder="1" applyAlignment="1">
      <alignment horizontal="center"/>
    </xf>
    <xf numFmtId="9" fontId="10" fillId="36" borderId="1" xfId="0" applyNumberFormat="1" applyFont="1" applyFill="1" applyBorder="1" applyAlignment="1">
      <alignment horizontal="center"/>
    </xf>
    <xf numFmtId="9" fontId="10" fillId="107" borderId="1" xfId="0" applyNumberFormat="1" applyFont="1" applyFill="1" applyBorder="1" applyAlignment="1">
      <alignment horizontal="center"/>
    </xf>
    <xf numFmtId="10" fontId="10" fillId="224" borderId="1" xfId="0" applyNumberFormat="1" applyFont="1" applyFill="1" applyBorder="1" applyAlignment="1">
      <alignment horizontal="center"/>
    </xf>
    <xf numFmtId="0" fontId="10" fillId="578" borderId="1" xfId="0" applyFont="1" applyFill="1" applyBorder="1" applyAlignment="1">
      <alignment horizontal="center"/>
    </xf>
    <xf numFmtId="0" fontId="10" fillId="470" borderId="4" xfId="0" applyFont="1" applyFill="1" applyBorder="1" applyAlignment="1">
      <alignment horizontal="center"/>
    </xf>
    <xf numFmtId="0" fontId="20" fillId="942" borderId="4" xfId="0" applyFont="1" applyFill="1" applyBorder="1" applyAlignment="1">
      <alignment horizontal="center"/>
    </xf>
    <xf numFmtId="0" fontId="10" fillId="748" borderId="1" xfId="0" applyFont="1" applyFill="1" applyBorder="1" applyAlignment="1">
      <alignment horizontal="center"/>
    </xf>
    <xf numFmtId="0" fontId="20" fillId="2" borderId="4" xfId="0" applyFont="1" applyFill="1" applyBorder="1" applyAlignment="1">
      <alignment horizontal="center" wrapText="1"/>
    </xf>
    <xf numFmtId="0" fontId="10" fillId="131" borderId="3" xfId="0" applyFont="1" applyFill="1" applyBorder="1" applyAlignment="1">
      <alignment horizontal="center"/>
    </xf>
    <xf numFmtId="10" fontId="10" fillId="151" borderId="2" xfId="0" applyNumberFormat="1" applyFont="1" applyFill="1" applyBorder="1" applyAlignment="1">
      <alignment horizontal="center"/>
    </xf>
    <xf numFmtId="10" fontId="10" fillId="611" borderId="3" xfId="0" applyNumberFormat="1" applyFont="1" applyFill="1" applyBorder="1" applyAlignment="1">
      <alignment horizontal="center"/>
    </xf>
    <xf numFmtId="0" fontId="10" fillId="158" borderId="2" xfId="0" applyFont="1" applyFill="1" applyBorder="1" applyAlignment="1">
      <alignment horizontal="center"/>
    </xf>
    <xf numFmtId="0" fontId="10" fillId="519" borderId="2" xfId="0" applyFont="1" applyFill="1" applyBorder="1" applyAlignment="1">
      <alignment horizontal="center"/>
    </xf>
    <xf numFmtId="0" fontId="10" fillId="519" borderId="3" xfId="0" applyFont="1" applyFill="1" applyBorder="1" applyAlignment="1">
      <alignment horizontal="center"/>
    </xf>
    <xf numFmtId="0" fontId="20" fillId="673" borderId="5" xfId="0" applyFont="1" applyFill="1" applyBorder="1" applyAlignment="1">
      <alignment horizontal="center"/>
    </xf>
    <xf numFmtId="0" fontId="10" fillId="189" borderId="2" xfId="0" applyFont="1" applyFill="1" applyBorder="1" applyAlignment="1">
      <alignment horizontal="center"/>
    </xf>
    <xf numFmtId="0" fontId="10" fillId="693" borderId="3" xfId="0" applyFont="1" applyFill="1" applyBorder="1" applyAlignment="1">
      <alignment horizontal="center"/>
    </xf>
    <xf numFmtId="0" fontId="10" fillId="113" borderId="1" xfId="0" applyFont="1" applyFill="1" applyBorder="1" applyAlignment="1">
      <alignment horizontal="center"/>
    </xf>
    <xf numFmtId="9" fontId="10" fillId="608" borderId="1" xfId="0" applyNumberFormat="1" applyFont="1" applyFill="1" applyBorder="1" applyAlignment="1">
      <alignment horizontal="center"/>
    </xf>
    <xf numFmtId="0" fontId="10" fillId="468" borderId="1" xfId="0" applyFont="1" applyFill="1" applyBorder="1" applyAlignment="1">
      <alignment horizontal="center"/>
    </xf>
    <xf numFmtId="9" fontId="10" fillId="278" borderId="1" xfId="0" applyNumberFormat="1" applyFont="1" applyFill="1" applyBorder="1" applyAlignment="1">
      <alignment horizontal="center"/>
    </xf>
    <xf numFmtId="0" fontId="10" fillId="435" borderId="4" xfId="0" applyFont="1" applyFill="1" applyBorder="1" applyAlignment="1">
      <alignment horizontal="center"/>
    </xf>
    <xf numFmtId="10" fontId="10" fillId="223" borderId="1" xfId="0" applyNumberFormat="1" applyFont="1" applyFill="1" applyBorder="1" applyAlignment="1">
      <alignment horizontal="center"/>
    </xf>
    <xf numFmtId="10" fontId="10" fillId="23" borderId="1" xfId="0" applyNumberFormat="1" applyFont="1" applyFill="1" applyBorder="1" applyAlignment="1">
      <alignment horizontal="center"/>
    </xf>
    <xf numFmtId="10" fontId="10" fillId="111" borderId="1" xfId="0" applyNumberFormat="1" applyFont="1" applyFill="1" applyBorder="1" applyAlignment="1">
      <alignment horizontal="center"/>
    </xf>
    <xf numFmtId="10" fontId="10" fillId="296" borderId="4" xfId="0" applyNumberFormat="1" applyFont="1" applyFill="1" applyBorder="1" applyAlignment="1">
      <alignment horizontal="center"/>
    </xf>
    <xf numFmtId="0" fontId="10" fillId="563" borderId="16" xfId="0" applyFont="1" applyFill="1" applyBorder="1" applyAlignment="1">
      <alignment horizontal="center"/>
    </xf>
    <xf numFmtId="0" fontId="10" fillId="192" borderId="1" xfId="0" applyFont="1" applyFill="1" applyBorder="1" applyAlignment="1">
      <alignment horizontal="center"/>
    </xf>
    <xf numFmtId="0" fontId="10" fillId="192" borderId="4" xfId="0" applyFont="1" applyFill="1" applyBorder="1" applyAlignment="1">
      <alignment horizontal="center"/>
    </xf>
    <xf numFmtId="0" fontId="20" fillId="673" borderId="4" xfId="0" applyFont="1" applyFill="1" applyBorder="1" applyAlignment="1">
      <alignment horizontal="center"/>
    </xf>
    <xf numFmtId="0" fontId="10" fillId="947" borderId="1" xfId="0" applyFont="1" applyFill="1" applyBorder="1" applyAlignment="1">
      <alignment horizontal="center"/>
    </xf>
    <xf numFmtId="0" fontId="10" fillId="955" borderId="1" xfId="0" applyFont="1" applyFill="1" applyBorder="1" applyAlignment="1">
      <alignment horizontal="center"/>
    </xf>
    <xf numFmtId="0" fontId="10" fillId="267" borderId="1" xfId="0" applyFont="1" applyFill="1" applyBorder="1" applyAlignment="1">
      <alignment horizontal="center"/>
    </xf>
    <xf numFmtId="0" fontId="10" fillId="325" borderId="4" xfId="0" applyFont="1" applyFill="1" applyBorder="1" applyAlignment="1">
      <alignment horizontal="center"/>
    </xf>
    <xf numFmtId="9" fontId="10" fillId="96" borderId="3" xfId="0" applyNumberFormat="1" applyFont="1" applyFill="1" applyBorder="1" applyAlignment="1">
      <alignment horizontal="center"/>
    </xf>
    <xf numFmtId="0" fontId="10" fillId="362" borderId="3" xfId="0" applyFont="1" applyFill="1" applyBorder="1" applyAlignment="1">
      <alignment horizontal="center"/>
    </xf>
    <xf numFmtId="0" fontId="10" fillId="206" borderId="2" xfId="0" applyFont="1" applyFill="1" applyBorder="1" applyAlignment="1">
      <alignment horizontal="center"/>
    </xf>
    <xf numFmtId="10" fontId="10" fillId="43" borderId="3" xfId="0" applyNumberFormat="1" applyFont="1" applyFill="1" applyBorder="1" applyAlignment="1">
      <alignment horizontal="center"/>
    </xf>
    <xf numFmtId="0" fontId="20" fillId="956" borderId="5" xfId="0" applyFont="1" applyFill="1" applyBorder="1" applyAlignment="1">
      <alignment horizontal="center"/>
    </xf>
    <xf numFmtId="0" fontId="10" fillId="116" borderId="2" xfId="0" applyFont="1" applyFill="1" applyBorder="1" applyAlignment="1">
      <alignment horizontal="center"/>
    </xf>
    <xf numFmtId="0" fontId="10" fillId="957" borderId="3" xfId="0" applyFont="1" applyFill="1" applyBorder="1" applyAlignment="1">
      <alignment horizontal="center"/>
    </xf>
    <xf numFmtId="0" fontId="10" fillId="35" borderId="1" xfId="0" applyFont="1" applyFill="1" applyBorder="1" applyAlignment="1">
      <alignment horizontal="center"/>
    </xf>
    <xf numFmtId="9" fontId="10" fillId="131" borderId="1" xfId="0" applyNumberFormat="1" applyFont="1" applyFill="1" applyBorder="1" applyAlignment="1">
      <alignment horizontal="center"/>
    </xf>
    <xf numFmtId="0" fontId="10" fillId="78" borderId="4" xfId="0" applyFont="1" applyFill="1" applyBorder="1" applyAlignment="1">
      <alignment horizontal="center"/>
    </xf>
    <xf numFmtId="10" fontId="10" fillId="84" borderId="4" xfId="0" applyNumberFormat="1" applyFont="1" applyFill="1" applyBorder="1" applyAlignment="1">
      <alignment horizontal="center"/>
    </xf>
    <xf numFmtId="0" fontId="10" fillId="185" borderId="1" xfId="0" applyFont="1" applyFill="1" applyBorder="1" applyAlignment="1">
      <alignment horizontal="center"/>
    </xf>
    <xf numFmtId="0" fontId="10" fillId="185" borderId="4" xfId="0" applyFont="1" applyFill="1" applyBorder="1" applyAlignment="1">
      <alignment horizontal="center"/>
    </xf>
    <xf numFmtId="0" fontId="20" fillId="956" borderId="4" xfId="0" applyFont="1" applyFill="1" applyBorder="1" applyAlignment="1">
      <alignment horizontal="center"/>
    </xf>
    <xf numFmtId="0" fontId="10" fillId="239" borderId="1" xfId="0" applyFont="1" applyFill="1" applyBorder="1" applyAlignment="1">
      <alignment horizontal="center"/>
    </xf>
    <xf numFmtId="0" fontId="10" fillId="369" borderId="2" xfId="0" applyFont="1" applyFill="1" applyBorder="1" applyAlignment="1">
      <alignment horizontal="center"/>
    </xf>
    <xf numFmtId="0" fontId="10" fillId="265" borderId="3" xfId="0" applyFont="1" applyFill="1" applyBorder="1" applyAlignment="1">
      <alignment horizontal="center"/>
    </xf>
    <xf numFmtId="0" fontId="10" fillId="207" borderId="2" xfId="0" applyFont="1" applyFill="1" applyBorder="1" applyAlignment="1">
      <alignment horizontal="center"/>
    </xf>
    <xf numFmtId="0" fontId="10" fillId="438" borderId="3" xfId="0" applyFont="1" applyFill="1" applyBorder="1" applyAlignment="1">
      <alignment horizontal="center"/>
    </xf>
    <xf numFmtId="10" fontId="10" fillId="594" borderId="2" xfId="0" applyNumberFormat="1" applyFont="1" applyFill="1" applyBorder="1" applyAlignment="1">
      <alignment horizontal="center"/>
    </xf>
    <xf numFmtId="10" fontId="10" fillId="286" borderId="3" xfId="0" applyNumberFormat="1" applyFont="1" applyFill="1" applyBorder="1" applyAlignment="1">
      <alignment horizontal="center"/>
    </xf>
    <xf numFmtId="0" fontId="10" fillId="467" borderId="13" xfId="0" applyFont="1" applyFill="1" applyBorder="1" applyAlignment="1">
      <alignment horizontal="center"/>
    </xf>
    <xf numFmtId="0" fontId="20" fillId="550" borderId="5" xfId="0" applyFont="1" applyFill="1" applyBorder="1" applyAlignment="1">
      <alignment horizontal="center"/>
    </xf>
    <xf numFmtId="0" fontId="10" fillId="958" borderId="2" xfId="0" applyFont="1" applyFill="1" applyBorder="1" applyAlignment="1">
      <alignment horizontal="center"/>
    </xf>
    <xf numFmtId="0" fontId="10" fillId="348" borderId="1" xfId="0" applyFont="1" applyFill="1" applyBorder="1" applyAlignment="1">
      <alignment horizontal="center"/>
    </xf>
    <xf numFmtId="0" fontId="10" fillId="314" borderId="1" xfId="0" applyFont="1" applyFill="1" applyBorder="1" applyAlignment="1">
      <alignment horizontal="center"/>
    </xf>
    <xf numFmtId="9" fontId="10" fillId="47" borderId="1" xfId="0" applyNumberFormat="1" applyFont="1" applyFill="1" applyBorder="1" applyAlignment="1">
      <alignment horizontal="center"/>
    </xf>
    <xf numFmtId="0" fontId="10" fillId="43" borderId="4" xfId="0" applyFont="1" applyFill="1" applyBorder="1" applyAlignment="1">
      <alignment horizontal="center"/>
    </xf>
    <xf numFmtId="10" fontId="10" fillId="734" borderId="1" xfId="0" applyNumberFormat="1" applyFont="1" applyFill="1" applyBorder="1" applyAlignment="1">
      <alignment horizontal="center"/>
    </xf>
    <xf numFmtId="10" fontId="10" fillId="758" borderId="1" xfId="0" applyNumberFormat="1" applyFont="1" applyFill="1" applyBorder="1" applyAlignment="1">
      <alignment horizontal="center"/>
    </xf>
    <xf numFmtId="10" fontId="10" fillId="412" borderId="4" xfId="0" applyNumberFormat="1" applyFont="1" applyFill="1" applyBorder="1" applyAlignment="1">
      <alignment horizontal="center"/>
    </xf>
    <xf numFmtId="0" fontId="10" fillId="389" borderId="4" xfId="0" applyFont="1" applyFill="1" applyBorder="1" applyAlignment="1">
      <alignment horizontal="center"/>
    </xf>
    <xf numFmtId="0" fontId="20" fillId="550" borderId="4" xfId="0" applyFont="1" applyFill="1" applyBorder="1" applyAlignment="1">
      <alignment horizontal="center"/>
    </xf>
    <xf numFmtId="0" fontId="10" fillId="423" borderId="1" xfId="0" applyFont="1" applyFill="1" applyBorder="1" applyAlignment="1">
      <alignment horizontal="center"/>
    </xf>
    <xf numFmtId="0" fontId="10" fillId="318" borderId="4" xfId="0" applyFont="1" applyFill="1" applyBorder="1" applyAlignment="1">
      <alignment horizontal="center"/>
    </xf>
    <xf numFmtId="0" fontId="10" fillId="639" borderId="2" xfId="0" applyFont="1" applyFill="1" applyBorder="1" applyAlignment="1">
      <alignment horizontal="center"/>
    </xf>
    <xf numFmtId="9" fontId="10" fillId="596" borderId="3" xfId="0" applyNumberFormat="1" applyFont="1" applyFill="1" applyBorder="1" applyAlignment="1">
      <alignment horizontal="center"/>
    </xf>
    <xf numFmtId="9" fontId="10" fillId="455" borderId="2" xfId="0" applyNumberFormat="1" applyFont="1" applyFill="1" applyBorder="1" applyAlignment="1">
      <alignment horizontal="center"/>
    </xf>
    <xf numFmtId="10" fontId="10" fillId="206" borderId="3" xfId="0" applyNumberFormat="1" applyFont="1" applyFill="1" applyBorder="1" applyAlignment="1">
      <alignment horizontal="center"/>
    </xf>
    <xf numFmtId="0" fontId="10" fillId="259" borderId="3" xfId="0" applyFont="1" applyFill="1" applyBorder="1" applyAlignment="1">
      <alignment horizontal="center"/>
    </xf>
    <xf numFmtId="0" fontId="10" fillId="959" borderId="2" xfId="0" applyFont="1" applyFill="1" applyBorder="1" applyAlignment="1">
      <alignment horizontal="center"/>
    </xf>
    <xf numFmtId="0" fontId="10" fillId="160" borderId="1" xfId="0" applyFont="1" applyFill="1" applyBorder="1" applyAlignment="1">
      <alignment horizontal="center"/>
    </xf>
    <xf numFmtId="9" fontId="10" fillId="202" borderId="4" xfId="0" applyNumberFormat="1" applyFont="1" applyFill="1" applyBorder="1" applyAlignment="1">
      <alignment horizontal="center"/>
    </xf>
    <xf numFmtId="0" fontId="10" fillId="181" borderId="4" xfId="0" applyFont="1" applyFill="1" applyBorder="1" applyAlignment="1">
      <alignment horizontal="center"/>
    </xf>
    <xf numFmtId="0" fontId="10" fillId="135" borderId="1" xfId="0" applyFont="1" applyFill="1" applyBorder="1" applyAlignment="1">
      <alignment horizontal="center"/>
    </xf>
    <xf numFmtId="10" fontId="10" fillId="108" borderId="1" xfId="0" applyNumberFormat="1" applyFont="1" applyFill="1" applyBorder="1" applyAlignment="1">
      <alignment horizontal="center"/>
    </xf>
    <xf numFmtId="10" fontId="10" fillId="15" borderId="4" xfId="0" applyNumberFormat="1" applyFont="1" applyFill="1" applyBorder="1" applyAlignment="1">
      <alignment horizontal="center"/>
    </xf>
    <xf numFmtId="0" fontId="10" fillId="558" borderId="4" xfId="0" applyFont="1" applyFill="1" applyBorder="1" applyAlignment="1">
      <alignment horizontal="center"/>
    </xf>
    <xf numFmtId="0" fontId="10" fillId="692" borderId="1" xfId="0" applyFont="1" applyFill="1" applyBorder="1" applyAlignment="1">
      <alignment horizontal="center"/>
    </xf>
    <xf numFmtId="0" fontId="10" fillId="473" borderId="1" xfId="0" applyFont="1" applyFill="1" applyBorder="1" applyAlignment="1">
      <alignment horizontal="center"/>
    </xf>
    <xf numFmtId="0" fontId="10" fillId="462" borderId="4" xfId="0" applyFont="1" applyFill="1" applyBorder="1" applyAlignment="1">
      <alignment horizontal="center"/>
    </xf>
    <xf numFmtId="9" fontId="10" fillId="377" borderId="2" xfId="0" applyNumberFormat="1" applyFont="1" applyFill="1" applyBorder="1" applyAlignment="1">
      <alignment horizontal="center"/>
    </xf>
    <xf numFmtId="9" fontId="10" fillId="381" borderId="2" xfId="0" applyNumberFormat="1" applyFont="1" applyFill="1" applyBorder="1" applyAlignment="1">
      <alignment horizontal="center"/>
    </xf>
    <xf numFmtId="0" fontId="10" fillId="960" borderId="2" xfId="0" applyFont="1" applyFill="1" applyBorder="1" applyAlignment="1">
      <alignment horizontal="center"/>
    </xf>
    <xf numFmtId="0" fontId="10" fillId="31" borderId="3" xfId="0" applyFont="1" applyFill="1" applyBorder="1" applyAlignment="1">
      <alignment horizontal="center"/>
    </xf>
    <xf numFmtId="0" fontId="10" fillId="807" borderId="1" xfId="0" applyFont="1" applyFill="1" applyBorder="1" applyAlignment="1">
      <alignment horizontal="center"/>
    </xf>
    <xf numFmtId="0" fontId="10" fillId="601" borderId="1" xfId="0" applyFont="1" applyFill="1" applyBorder="1" applyAlignment="1">
      <alignment horizontal="center"/>
    </xf>
    <xf numFmtId="0" fontId="10" fillId="488" borderId="1" xfId="0" applyFont="1" applyFill="1" applyBorder="1" applyAlignment="1">
      <alignment horizontal="center"/>
    </xf>
    <xf numFmtId="9" fontId="10" fillId="29" borderId="1" xfId="0" applyNumberFormat="1" applyFont="1" applyFill="1" applyBorder="1" applyAlignment="1">
      <alignment horizontal="center"/>
    </xf>
    <xf numFmtId="9" fontId="10" fillId="407" borderId="1" xfId="0" applyNumberFormat="1" applyFont="1" applyFill="1" applyBorder="1" applyAlignment="1">
      <alignment horizontal="center"/>
    </xf>
    <xf numFmtId="0" fontId="10" fillId="466" borderId="4" xfId="0" applyFont="1" applyFill="1" applyBorder="1" applyAlignment="1">
      <alignment horizontal="center"/>
    </xf>
    <xf numFmtId="10" fontId="10" fillId="456" borderId="1" xfId="0" applyNumberFormat="1" applyFont="1" applyFill="1" applyBorder="1" applyAlignment="1">
      <alignment horizontal="center"/>
    </xf>
    <xf numFmtId="10" fontId="10" fillId="22" borderId="4" xfId="0" applyNumberFormat="1" applyFont="1" applyFill="1" applyBorder="1" applyAlignment="1">
      <alignment horizontal="center"/>
    </xf>
    <xf numFmtId="0" fontId="10" fillId="738" borderId="1" xfId="0" applyFont="1" applyFill="1" applyBorder="1" applyAlignment="1">
      <alignment horizontal="center"/>
    </xf>
    <xf numFmtId="0" fontId="10" fillId="738" borderId="4" xfId="0" applyFont="1" applyFill="1" applyBorder="1" applyAlignment="1">
      <alignment horizontal="center"/>
    </xf>
    <xf numFmtId="0" fontId="10" fillId="550" borderId="1" xfId="0" applyFont="1" applyFill="1" applyBorder="1" applyAlignment="1">
      <alignment horizontal="center"/>
    </xf>
    <xf numFmtId="0" fontId="10" fillId="961" borderId="1" xfId="0" applyFont="1" applyFill="1" applyBorder="1" applyAlignment="1">
      <alignment horizontal="center"/>
    </xf>
    <xf numFmtId="0" fontId="10" fillId="231" borderId="2" xfId="0" applyFont="1" applyFill="1" applyBorder="1" applyAlignment="1">
      <alignment horizontal="center"/>
    </xf>
    <xf numFmtId="0" fontId="10" fillId="360" borderId="3" xfId="0" applyFont="1" applyFill="1" applyBorder="1" applyAlignment="1">
      <alignment horizontal="center"/>
    </xf>
    <xf numFmtId="0" fontId="10" fillId="44" borderId="2" xfId="0" applyFont="1" applyFill="1" applyBorder="1" applyAlignment="1">
      <alignment horizontal="center"/>
    </xf>
    <xf numFmtId="9" fontId="10" fillId="570" borderId="2" xfId="0" applyNumberFormat="1" applyFont="1" applyFill="1" applyBorder="1" applyAlignment="1">
      <alignment horizontal="center"/>
    </xf>
    <xf numFmtId="10" fontId="10" fillId="928" borderId="2" xfId="0" applyNumberFormat="1" applyFont="1" applyFill="1" applyBorder="1" applyAlignment="1">
      <alignment horizontal="center"/>
    </xf>
    <xf numFmtId="10" fontId="10" fillId="97" borderId="3" xfId="0" applyNumberFormat="1" applyFont="1" applyFill="1" applyBorder="1" applyAlignment="1">
      <alignment horizontal="center"/>
    </xf>
    <xf numFmtId="0" fontId="10" fillId="437" borderId="2" xfId="0" applyFont="1" applyFill="1" applyBorder="1" applyAlignment="1">
      <alignment horizontal="center"/>
    </xf>
    <xf numFmtId="0" fontId="10" fillId="962" borderId="2" xfId="0" applyFont="1" applyFill="1" applyBorder="1" applyAlignment="1">
      <alignment horizontal="center"/>
    </xf>
    <xf numFmtId="0" fontId="10" fillId="962" borderId="3" xfId="0" applyFont="1" applyFill="1" applyBorder="1" applyAlignment="1">
      <alignment horizontal="center"/>
    </xf>
    <xf numFmtId="0" fontId="10" fillId="963" borderId="1" xfId="0" applyFont="1" applyFill="1" applyBorder="1" applyAlignment="1">
      <alignment horizontal="center"/>
    </xf>
    <xf numFmtId="9" fontId="10" fillId="263" borderId="4" xfId="0" applyNumberFormat="1" applyFont="1" applyFill="1" applyBorder="1" applyAlignment="1">
      <alignment horizontal="center"/>
    </xf>
    <xf numFmtId="0" fontId="10" fillId="27" borderId="4" xfId="0" applyFont="1" applyFill="1" applyBorder="1" applyAlignment="1">
      <alignment horizontal="center"/>
    </xf>
    <xf numFmtId="0" fontId="10" fillId="632" borderId="4" xfId="0" applyFont="1" applyFill="1" applyBorder="1" applyAlignment="1">
      <alignment horizontal="center"/>
    </xf>
    <xf numFmtId="10" fontId="10" fillId="179" borderId="4" xfId="0" applyNumberFormat="1" applyFont="1" applyFill="1" applyBorder="1" applyAlignment="1">
      <alignment horizontal="center"/>
    </xf>
    <xf numFmtId="0" fontId="10" fillId="425" borderId="4" xfId="0" applyFont="1" applyFill="1" applyBorder="1" applyAlignment="1">
      <alignment horizontal="center"/>
    </xf>
    <xf numFmtId="0" fontId="10" fillId="493" borderId="2" xfId="0" applyFont="1" applyFill="1" applyBorder="1" applyAlignment="1">
      <alignment horizontal="center"/>
    </xf>
    <xf numFmtId="10" fontId="10" fillId="764" borderId="2" xfId="0" applyNumberFormat="1" applyFont="1" applyFill="1" applyBorder="1" applyAlignment="1">
      <alignment horizontal="center"/>
    </xf>
    <xf numFmtId="0" fontId="10" fillId="964" borderId="2" xfId="0" applyFont="1" applyFill="1" applyBorder="1" applyAlignment="1">
      <alignment horizontal="center"/>
    </xf>
    <xf numFmtId="0" fontId="10" fillId="853" borderId="2" xfId="0" applyFont="1" applyFill="1" applyBorder="1" applyAlignment="1">
      <alignment horizontal="center"/>
    </xf>
    <xf numFmtId="0" fontId="10" fillId="325" borderId="3" xfId="0" applyFont="1" applyFill="1" applyBorder="1" applyAlignment="1">
      <alignment horizontal="center"/>
    </xf>
    <xf numFmtId="9" fontId="10" fillId="121" borderId="4" xfId="0" applyNumberFormat="1" applyFont="1" applyFill="1" applyBorder="1" applyAlignment="1">
      <alignment horizontal="center"/>
    </xf>
    <xf numFmtId="0" fontId="10" fillId="301" borderId="4" xfId="0" applyFont="1" applyFill="1" applyBorder="1" applyAlignment="1">
      <alignment horizontal="center"/>
    </xf>
    <xf numFmtId="10" fontId="10" fillId="592" borderId="4" xfId="0" applyNumberFormat="1" applyFont="1" applyFill="1" applyBorder="1" applyAlignment="1">
      <alignment horizontal="center"/>
    </xf>
    <xf numFmtId="0" fontId="10" fillId="860" borderId="1" xfId="0" applyFont="1" applyFill="1" applyBorder="1" applyAlignment="1">
      <alignment horizontal="center"/>
    </xf>
    <xf numFmtId="0" fontId="10" fillId="860" borderId="4" xfId="0" applyFont="1" applyFill="1" applyBorder="1" applyAlignment="1">
      <alignment horizontal="center"/>
    </xf>
    <xf numFmtId="0" fontId="10" fillId="428" borderId="1" xfId="0" applyFont="1" applyFill="1" applyBorder="1" applyAlignment="1">
      <alignment horizontal="center"/>
    </xf>
    <xf numFmtId="9" fontId="10" fillId="180" borderId="2" xfId="0" applyNumberFormat="1" applyFont="1" applyFill="1" applyBorder="1" applyAlignment="1">
      <alignment horizontal="center"/>
    </xf>
    <xf numFmtId="0" fontId="10" fillId="254" borderId="2" xfId="0" applyFont="1" applyFill="1" applyBorder="1" applyAlignment="1">
      <alignment horizontal="center"/>
    </xf>
    <xf numFmtId="9" fontId="10" fillId="758" borderId="3" xfId="0" applyNumberFormat="1" applyFont="1" applyFill="1" applyBorder="1" applyAlignment="1">
      <alignment horizontal="center"/>
    </xf>
    <xf numFmtId="10" fontId="10" fillId="430" borderId="2" xfId="0" applyNumberFormat="1" applyFont="1" applyFill="1" applyBorder="1" applyAlignment="1">
      <alignment horizontal="center"/>
    </xf>
    <xf numFmtId="10" fontId="10" fillId="29" borderId="3" xfId="0" applyNumberFormat="1" applyFont="1" applyFill="1" applyBorder="1" applyAlignment="1">
      <alignment horizontal="center"/>
    </xf>
    <xf numFmtId="9" fontId="10" fillId="563" borderId="1" xfId="0" applyNumberFormat="1" applyFont="1" applyFill="1" applyBorder="1" applyAlignment="1">
      <alignment horizontal="center"/>
    </xf>
    <xf numFmtId="0" fontId="10" fillId="448" borderId="1" xfId="0" applyFont="1" applyFill="1" applyBorder="1" applyAlignment="1">
      <alignment horizontal="center"/>
    </xf>
    <xf numFmtId="0" fontId="10" fillId="458" borderId="1" xfId="0" applyFont="1" applyFill="1" applyBorder="1" applyAlignment="1">
      <alignment horizontal="center"/>
    </xf>
    <xf numFmtId="10" fontId="10" fillId="296" borderId="1" xfId="0" applyNumberFormat="1" applyFont="1" applyFill="1" applyBorder="1" applyAlignment="1">
      <alignment horizontal="center"/>
    </xf>
    <xf numFmtId="10" fontId="10" fillId="438" borderId="4" xfId="0" applyNumberFormat="1" applyFont="1" applyFill="1" applyBorder="1" applyAlignment="1">
      <alignment horizontal="center"/>
    </xf>
    <xf numFmtId="0" fontId="10" fillId="59" borderId="16" xfId="0" applyFont="1" applyFill="1" applyBorder="1" applyAlignment="1">
      <alignment horizontal="center"/>
    </xf>
    <xf numFmtId="0" fontId="10" fillId="576" borderId="1" xfId="0" applyFont="1" applyFill="1" applyBorder="1" applyAlignment="1">
      <alignment horizontal="center"/>
    </xf>
    <xf numFmtId="0" fontId="10" fillId="371" borderId="2" xfId="0" applyFont="1" applyFill="1" applyBorder="1" applyAlignment="1">
      <alignment horizontal="center"/>
    </xf>
    <xf numFmtId="0" fontId="10" fillId="622" borderId="3" xfId="0" applyFont="1" applyFill="1" applyBorder="1" applyAlignment="1">
      <alignment horizontal="center"/>
    </xf>
    <xf numFmtId="10" fontId="10" fillId="74" borderId="2" xfId="0" applyNumberFormat="1" applyFont="1" applyFill="1" applyBorder="1" applyAlignment="1">
      <alignment horizontal="center"/>
    </xf>
    <xf numFmtId="0" fontId="10" fillId="164" borderId="1" xfId="0" applyFont="1" applyFill="1" applyBorder="1" applyAlignment="1">
      <alignment horizontal="center"/>
    </xf>
    <xf numFmtId="10" fontId="10" fillId="138" borderId="1" xfId="0" applyNumberFormat="1" applyFont="1" applyFill="1" applyBorder="1" applyAlignment="1">
      <alignment horizontal="center"/>
    </xf>
    <xf numFmtId="10" fontId="10" fillId="791" borderId="1" xfId="0" applyNumberFormat="1" applyFont="1" applyFill="1" applyBorder="1" applyAlignment="1">
      <alignment horizontal="center"/>
    </xf>
    <xf numFmtId="0" fontId="10" fillId="131" borderId="2" xfId="0" applyFont="1" applyFill="1" applyBorder="1" applyAlignment="1">
      <alignment horizontal="center"/>
    </xf>
    <xf numFmtId="0" fontId="10" fillId="396" borderId="2" xfId="0" applyFont="1" applyFill="1" applyBorder="1" applyAlignment="1">
      <alignment horizontal="center"/>
    </xf>
    <xf numFmtId="0" fontId="10" fillId="778" borderId="3" xfId="0" applyFont="1" applyFill="1" applyBorder="1" applyAlignment="1">
      <alignment horizontal="center"/>
    </xf>
    <xf numFmtId="0" fontId="10" fillId="675" borderId="2" xfId="0" applyFont="1" applyFill="1" applyBorder="1" applyAlignment="1">
      <alignment horizontal="center"/>
    </xf>
    <xf numFmtId="0" fontId="10" fillId="425" borderId="2" xfId="0" applyFont="1" applyFill="1" applyBorder="1" applyAlignment="1">
      <alignment horizontal="center"/>
    </xf>
    <xf numFmtId="0" fontId="10" fillId="24" borderId="1" xfId="0" applyFont="1" applyFill="1" applyBorder="1" applyAlignment="1">
      <alignment horizontal="center"/>
    </xf>
    <xf numFmtId="9" fontId="10" fillId="487" borderId="4" xfId="0" applyNumberFormat="1" applyFont="1" applyFill="1" applyBorder="1" applyAlignment="1">
      <alignment horizontal="center"/>
    </xf>
    <xf numFmtId="0" fontId="10" fillId="120" borderId="1" xfId="0" applyFont="1" applyFill="1" applyBorder="1" applyAlignment="1">
      <alignment horizontal="center"/>
    </xf>
    <xf numFmtId="0" fontId="10" fillId="962" borderId="1" xfId="0" applyFont="1" applyFill="1" applyBorder="1" applyAlignment="1">
      <alignment horizontal="center"/>
    </xf>
    <xf numFmtId="0" fontId="10" fillId="962" borderId="4" xfId="0" applyFont="1" applyFill="1" applyBorder="1" applyAlignment="1">
      <alignment horizontal="center"/>
    </xf>
    <xf numFmtId="0" fontId="10" fillId="302" borderId="2" xfId="0" applyFont="1" applyFill="1" applyBorder="1" applyAlignment="1">
      <alignment horizontal="center"/>
    </xf>
    <xf numFmtId="9" fontId="10" fillId="336" borderId="2" xfId="0" applyNumberFormat="1" applyFont="1" applyFill="1" applyBorder="1" applyAlignment="1">
      <alignment horizontal="center"/>
    </xf>
    <xf numFmtId="10" fontId="10" fillId="45" borderId="3" xfId="0" applyNumberFormat="1" applyFont="1" applyFill="1" applyBorder="1" applyAlignment="1">
      <alignment horizontal="center"/>
    </xf>
    <xf numFmtId="0" fontId="10" fillId="529" borderId="13" xfId="0" applyFont="1" applyFill="1" applyBorder="1" applyAlignment="1">
      <alignment horizontal="center"/>
    </xf>
    <xf numFmtId="0" fontId="10" fillId="470" borderId="2" xfId="0" applyFont="1" applyFill="1" applyBorder="1" applyAlignment="1">
      <alignment horizontal="center"/>
    </xf>
    <xf numFmtId="0" fontId="10" fillId="198" borderId="2" xfId="0" applyFont="1" applyFill="1" applyBorder="1" applyAlignment="1">
      <alignment horizontal="center"/>
    </xf>
    <xf numFmtId="0" fontId="10" fillId="198" borderId="3" xfId="0" applyFont="1" applyFill="1" applyBorder="1" applyAlignment="1">
      <alignment horizontal="center"/>
    </xf>
    <xf numFmtId="9" fontId="10" fillId="596" borderId="4" xfId="0" applyNumberFormat="1" applyFont="1" applyFill="1" applyBorder="1" applyAlignment="1">
      <alignment horizontal="center"/>
    </xf>
    <xf numFmtId="0" fontId="10" fillId="138" borderId="1" xfId="0" applyFont="1" applyFill="1" applyBorder="1" applyAlignment="1">
      <alignment horizontal="center"/>
    </xf>
    <xf numFmtId="10" fontId="10" fillId="40" borderId="1" xfId="0" applyNumberFormat="1" applyFont="1" applyFill="1" applyBorder="1" applyAlignment="1">
      <alignment horizontal="center"/>
    </xf>
    <xf numFmtId="10" fontId="10" fillId="78" borderId="4" xfId="0" applyNumberFormat="1" applyFont="1" applyFill="1" applyBorder="1" applyAlignment="1">
      <alignment horizontal="center"/>
    </xf>
    <xf numFmtId="0" fontId="10" fillId="151" borderId="16" xfId="0" applyFont="1" applyFill="1" applyBorder="1" applyAlignment="1">
      <alignment horizontal="center"/>
    </xf>
    <xf numFmtId="0" fontId="10" fillId="321" borderId="2" xfId="0" applyFont="1" applyFill="1" applyBorder="1" applyAlignment="1">
      <alignment horizontal="center"/>
    </xf>
    <xf numFmtId="0" fontId="10" fillId="447" borderId="2" xfId="0" applyFont="1" applyFill="1" applyBorder="1" applyAlignment="1">
      <alignment horizontal="center"/>
    </xf>
    <xf numFmtId="9" fontId="10" fillId="335" borderId="2" xfId="0" applyNumberFormat="1" applyFont="1" applyFill="1" applyBorder="1" applyAlignment="1">
      <alignment horizontal="center"/>
    </xf>
    <xf numFmtId="10" fontId="10" fillId="335" borderId="2" xfId="0" applyNumberFormat="1" applyFont="1" applyFill="1" applyBorder="1" applyAlignment="1">
      <alignment horizontal="center"/>
    </xf>
    <xf numFmtId="10" fontId="10" fillId="41" borderId="3" xfId="0" applyNumberFormat="1" applyFont="1" applyFill="1" applyBorder="1" applyAlignment="1">
      <alignment horizontal="center"/>
    </xf>
    <xf numFmtId="0" fontId="10" fillId="965" borderId="2" xfId="0" applyFont="1" applyFill="1" applyBorder="1" applyAlignment="1">
      <alignment horizontal="center"/>
    </xf>
    <xf numFmtId="0" fontId="10" fillId="965" borderId="3" xfId="0" applyFont="1" applyFill="1" applyBorder="1" applyAlignment="1">
      <alignment horizontal="center"/>
    </xf>
    <xf numFmtId="10" fontId="10" fillId="611" borderId="4" xfId="0" applyNumberFormat="1" applyFont="1" applyFill="1" applyBorder="1" applyAlignment="1">
      <alignment horizontal="center"/>
    </xf>
    <xf numFmtId="0" fontId="1" fillId="5" borderId="4" xfId="0" applyFont="1" applyFill="1" applyBorder="1"/>
    <xf numFmtId="0" fontId="1" fillId="5" borderId="3" xfId="0" applyFont="1" applyFill="1" applyBorder="1"/>
    <xf numFmtId="0" fontId="1" fillId="5" borderId="2" xfId="0" applyFont="1" applyFill="1" applyBorder="1"/>
    <xf numFmtId="0" fontId="1" fillId="5" borderId="13" xfId="0" applyFont="1" applyFill="1" applyBorder="1"/>
    <xf numFmtId="164" fontId="10" fillId="380" borderId="2" xfId="0" applyNumberFormat="1" applyFont="1" applyFill="1" applyBorder="1" applyAlignment="1">
      <alignment horizontal="center"/>
    </xf>
    <xf numFmtId="164" fontId="10" fillId="34" borderId="3" xfId="0" applyNumberFormat="1" applyFont="1" applyFill="1" applyBorder="1" applyAlignment="1">
      <alignment horizontal="center"/>
    </xf>
    <xf numFmtId="0" fontId="10" fillId="73" borderId="2" xfId="0" applyFont="1" applyFill="1" applyBorder="1" applyAlignment="1">
      <alignment horizontal="center"/>
    </xf>
    <xf numFmtId="0" fontId="10" fillId="563" borderId="2" xfId="0" applyFont="1" applyFill="1" applyBorder="1" applyAlignment="1">
      <alignment horizontal="center"/>
    </xf>
    <xf numFmtId="10" fontId="10" fillId="81" borderId="2" xfId="0" applyNumberFormat="1" applyFont="1" applyFill="1" applyBorder="1" applyAlignment="1">
      <alignment horizontal="center"/>
    </xf>
    <xf numFmtId="10" fontId="10" fillId="328" borderId="3" xfId="0" applyNumberFormat="1" applyFont="1" applyFill="1" applyBorder="1" applyAlignment="1">
      <alignment horizontal="center"/>
    </xf>
    <xf numFmtId="0" fontId="10" fillId="509" borderId="2" xfId="0" applyFont="1" applyFill="1" applyBorder="1" applyAlignment="1">
      <alignment horizontal="center"/>
    </xf>
    <xf numFmtId="0" fontId="10" fillId="386" borderId="3" xfId="0" applyFont="1" applyFill="1" applyBorder="1" applyAlignment="1">
      <alignment horizontal="center"/>
    </xf>
    <xf numFmtId="0" fontId="20" fillId="208" borderId="5" xfId="0" applyFont="1" applyFill="1" applyBorder="1" applyAlignment="1">
      <alignment horizontal="center"/>
    </xf>
    <xf numFmtId="0" fontId="10" fillId="809" borderId="2" xfId="0" applyFont="1" applyFill="1" applyBorder="1" applyAlignment="1">
      <alignment horizontal="center"/>
    </xf>
    <xf numFmtId="0" fontId="10" fillId="683" borderId="2" xfId="0" applyFont="1" applyFill="1" applyBorder="1" applyAlignment="1">
      <alignment horizontal="center"/>
    </xf>
    <xf numFmtId="0" fontId="10" fillId="923" borderId="3" xfId="0" applyFont="1" applyFill="1" applyBorder="1" applyAlignment="1">
      <alignment horizontal="center"/>
    </xf>
    <xf numFmtId="164" fontId="10" fillId="387" borderId="1" xfId="0" applyNumberFormat="1" applyFont="1" applyFill="1" applyBorder="1" applyAlignment="1">
      <alignment horizontal="center"/>
    </xf>
    <xf numFmtId="164" fontId="10" fillId="966" borderId="4" xfId="0" applyNumberFormat="1" applyFont="1" applyFill="1" applyBorder="1" applyAlignment="1">
      <alignment horizontal="center"/>
    </xf>
    <xf numFmtId="0" fontId="10" fillId="938" borderId="1" xfId="0" applyFont="1" applyFill="1" applyBorder="1" applyAlignment="1">
      <alignment horizontal="center"/>
    </xf>
    <xf numFmtId="9" fontId="10" fillId="65" borderId="4" xfId="0" applyNumberFormat="1" applyFont="1" applyFill="1" applyBorder="1" applyAlignment="1">
      <alignment horizontal="center"/>
    </xf>
    <xf numFmtId="0" fontId="10" fillId="726" borderId="4" xfId="0" applyFont="1" applyFill="1" applyBorder="1" applyAlignment="1">
      <alignment horizontal="center"/>
    </xf>
    <xf numFmtId="9" fontId="10" fillId="313" borderId="1" xfId="0" applyNumberFormat="1" applyFont="1" applyFill="1" applyBorder="1" applyAlignment="1">
      <alignment horizontal="center"/>
    </xf>
    <xf numFmtId="10" fontId="10" fillId="150" borderId="4" xfId="0" applyNumberFormat="1" applyFont="1" applyFill="1" applyBorder="1" applyAlignment="1">
      <alignment horizontal="center"/>
    </xf>
    <xf numFmtId="0" fontId="10" fillId="319" borderId="1" xfId="0" applyFont="1" applyFill="1" applyBorder="1" applyAlignment="1">
      <alignment horizontal="center"/>
    </xf>
    <xf numFmtId="0" fontId="10" fillId="776" borderId="1" xfId="0" applyFont="1" applyFill="1" applyBorder="1" applyAlignment="1">
      <alignment horizontal="center"/>
    </xf>
    <xf numFmtId="0" fontId="10" fillId="776" borderId="4" xfId="0" applyFont="1" applyFill="1" applyBorder="1" applyAlignment="1">
      <alignment horizontal="center"/>
    </xf>
    <xf numFmtId="0" fontId="20" fillId="208" borderId="4" xfId="0" applyFont="1" applyFill="1" applyBorder="1" applyAlignment="1">
      <alignment horizontal="center"/>
    </xf>
    <xf numFmtId="0" fontId="10" fillId="676" borderId="1" xfId="0" applyFont="1" applyFill="1" applyBorder="1" applyAlignment="1">
      <alignment horizontal="center"/>
    </xf>
    <xf numFmtId="0" fontId="10" fillId="743" borderId="4" xfId="0" applyFont="1" applyFill="1" applyBorder="1" applyAlignment="1">
      <alignment horizontal="center"/>
    </xf>
    <xf numFmtId="164" fontId="10" fillId="429" borderId="2" xfId="0" applyNumberFormat="1" applyFont="1" applyFill="1" applyBorder="1" applyAlignment="1">
      <alignment horizontal="center"/>
    </xf>
    <xf numFmtId="164" fontId="10" fillId="429" borderId="3" xfId="0" applyNumberFormat="1" applyFont="1" applyFill="1" applyBorder="1" applyAlignment="1">
      <alignment horizontal="center"/>
    </xf>
    <xf numFmtId="0" fontId="10" fillId="622" borderId="2" xfId="0" applyFont="1" applyFill="1" applyBorder="1" applyAlignment="1">
      <alignment horizontal="center"/>
    </xf>
    <xf numFmtId="0" fontId="10" fillId="410" borderId="3" xfId="0" applyFont="1" applyFill="1" applyBorder="1" applyAlignment="1">
      <alignment horizontal="center"/>
    </xf>
    <xf numFmtId="9" fontId="10" fillId="97" borderId="2" xfId="0" applyNumberFormat="1" applyFont="1" applyFill="1" applyBorder="1" applyAlignment="1">
      <alignment horizontal="center"/>
    </xf>
    <xf numFmtId="9" fontId="10" fillId="313" borderId="2" xfId="0" applyNumberFormat="1" applyFont="1" applyFill="1" applyBorder="1" applyAlignment="1">
      <alignment horizontal="center"/>
    </xf>
    <xf numFmtId="0" fontId="10" fillId="29" borderId="3" xfId="0" applyFont="1" applyFill="1" applyBorder="1" applyAlignment="1">
      <alignment horizontal="center"/>
    </xf>
    <xf numFmtId="10" fontId="10" fillId="603" borderId="2" xfId="0" applyNumberFormat="1" applyFont="1" applyFill="1" applyBorder="1" applyAlignment="1">
      <alignment horizontal="center"/>
    </xf>
    <xf numFmtId="10" fontId="10" fillId="100" borderId="3" xfId="0" applyNumberFormat="1" applyFont="1" applyFill="1" applyBorder="1" applyAlignment="1">
      <alignment horizontal="center"/>
    </xf>
    <xf numFmtId="0" fontId="10" fillId="190" borderId="2" xfId="0" applyFont="1" applyFill="1" applyBorder="1" applyAlignment="1">
      <alignment horizontal="center"/>
    </xf>
    <xf numFmtId="0" fontId="10" fillId="190" borderId="3" xfId="0" applyFont="1" applyFill="1" applyBorder="1" applyAlignment="1">
      <alignment horizontal="center"/>
    </xf>
    <xf numFmtId="164" fontId="10" fillId="175" borderId="4" xfId="0" applyNumberFormat="1" applyFont="1" applyFill="1" applyBorder="1" applyAlignment="1">
      <alignment horizontal="center"/>
    </xf>
    <xf numFmtId="9" fontId="10" fillId="638" borderId="4" xfId="0" applyNumberFormat="1" applyFont="1" applyFill="1" applyBorder="1" applyAlignment="1">
      <alignment horizontal="center"/>
    </xf>
    <xf numFmtId="0" fontId="10" fillId="637" borderId="4" xfId="0" applyFont="1" applyFill="1" applyBorder="1" applyAlignment="1">
      <alignment horizontal="center"/>
    </xf>
    <xf numFmtId="9" fontId="10" fillId="22" borderId="1" xfId="0" applyNumberFormat="1" applyFont="1" applyFill="1" applyBorder="1" applyAlignment="1">
      <alignment horizontal="center"/>
    </xf>
    <xf numFmtId="10" fontId="10" fillId="57" borderId="4" xfId="0" applyNumberFormat="1" applyFont="1" applyFill="1" applyBorder="1" applyAlignment="1">
      <alignment horizontal="center"/>
    </xf>
    <xf numFmtId="0" fontId="10" fillId="769" borderId="16" xfId="0" applyFont="1" applyFill="1" applyBorder="1" applyAlignment="1">
      <alignment horizontal="center"/>
    </xf>
    <xf numFmtId="0" fontId="10" fillId="140" borderId="16" xfId="0" applyFont="1" applyFill="1" applyBorder="1" applyAlignment="1">
      <alignment horizontal="center"/>
    </xf>
    <xf numFmtId="0" fontId="10" fillId="617" borderId="4" xfId="0" applyFont="1" applyFill="1" applyBorder="1" applyAlignment="1">
      <alignment horizontal="center"/>
    </xf>
    <xf numFmtId="0" fontId="10" fillId="779" borderId="4" xfId="0" applyFont="1" applyFill="1" applyBorder="1" applyAlignment="1">
      <alignment horizontal="center"/>
    </xf>
    <xf numFmtId="0" fontId="10" fillId="967" borderId="1" xfId="0" applyFont="1" applyFill="1" applyBorder="1" applyAlignment="1">
      <alignment horizontal="center"/>
    </xf>
    <xf numFmtId="0" fontId="10" fillId="517" borderId="1" xfId="0" applyFont="1" applyFill="1" applyBorder="1" applyAlignment="1">
      <alignment horizontal="center"/>
    </xf>
    <xf numFmtId="0" fontId="10" fillId="968" borderId="1" xfId="0" applyFont="1" applyFill="1" applyBorder="1" applyAlignment="1">
      <alignment horizontal="center"/>
    </xf>
    <xf numFmtId="0" fontId="10" fillId="283" borderId="4" xfId="0" applyFont="1" applyFill="1" applyBorder="1" applyAlignment="1">
      <alignment horizontal="center"/>
    </xf>
    <xf numFmtId="164" fontId="10" fillId="280" borderId="3" xfId="0" applyNumberFormat="1" applyFont="1" applyFill="1" applyBorder="1" applyAlignment="1">
      <alignment horizontal="center"/>
    </xf>
    <xf numFmtId="0" fontId="10" fillId="969" borderId="2" xfId="0" applyFont="1" applyFill="1" applyBorder="1" applyAlignment="1">
      <alignment horizontal="center"/>
    </xf>
    <xf numFmtId="9" fontId="10" fillId="493" borderId="2" xfId="0" applyNumberFormat="1" applyFont="1" applyFill="1" applyBorder="1" applyAlignment="1">
      <alignment horizontal="center"/>
    </xf>
    <xf numFmtId="9" fontId="10" fillId="378" borderId="3" xfId="0" applyNumberFormat="1" applyFont="1" applyFill="1" applyBorder="1" applyAlignment="1">
      <alignment horizontal="center"/>
    </xf>
    <xf numFmtId="0" fontId="10" fillId="667" borderId="3" xfId="0" applyFont="1" applyFill="1" applyBorder="1" applyAlignment="1">
      <alignment horizontal="center"/>
    </xf>
    <xf numFmtId="0" fontId="10" fillId="269" borderId="2" xfId="0" applyFont="1" applyFill="1" applyBorder="1" applyAlignment="1">
      <alignment horizontal="center"/>
    </xf>
    <xf numFmtId="9" fontId="10" fillId="132" borderId="2" xfId="0" applyNumberFormat="1" applyFont="1" applyFill="1" applyBorder="1" applyAlignment="1">
      <alignment horizontal="center"/>
    </xf>
    <xf numFmtId="10" fontId="10" fillId="181" borderId="3" xfId="0" applyNumberFormat="1" applyFont="1" applyFill="1" applyBorder="1" applyAlignment="1">
      <alignment horizontal="center"/>
    </xf>
    <xf numFmtId="0" fontId="10" fillId="317" borderId="3" xfId="0" applyFont="1" applyFill="1" applyBorder="1" applyAlignment="1">
      <alignment horizontal="center"/>
    </xf>
    <xf numFmtId="0" fontId="10" fillId="751" borderId="2" xfId="0" applyFont="1" applyFill="1" applyBorder="1" applyAlignment="1">
      <alignment horizontal="center"/>
    </xf>
    <xf numFmtId="0" fontId="10" fillId="751" borderId="3" xfId="0" applyFont="1" applyFill="1" applyBorder="1" applyAlignment="1">
      <alignment horizontal="center"/>
    </xf>
    <xf numFmtId="0" fontId="20" fillId="817" borderId="5" xfId="0" applyFont="1" applyFill="1" applyBorder="1" applyAlignment="1">
      <alignment horizontal="center"/>
    </xf>
    <xf numFmtId="0" fontId="10" fillId="970" borderId="3" xfId="0" applyFont="1" applyFill="1" applyBorder="1" applyAlignment="1">
      <alignment horizontal="center"/>
    </xf>
    <xf numFmtId="164" fontId="10" fillId="261" borderId="4" xfId="0" applyNumberFormat="1" applyFont="1" applyFill="1" applyBorder="1" applyAlignment="1">
      <alignment horizontal="center"/>
    </xf>
    <xf numFmtId="165" fontId="10" fillId="12" borderId="4" xfId="0" applyNumberFormat="1" applyFont="1" applyFill="1" applyBorder="1" applyAlignment="1">
      <alignment horizontal="center"/>
    </xf>
    <xf numFmtId="0" fontId="10" fillId="263" borderId="1" xfId="0" applyFont="1" applyFill="1" applyBorder="1" applyAlignment="1">
      <alignment horizontal="center"/>
    </xf>
    <xf numFmtId="9" fontId="10" fillId="100" borderId="1" xfId="0" applyNumberFormat="1" applyFont="1" applyFill="1" applyBorder="1" applyAlignment="1">
      <alignment horizontal="center"/>
    </xf>
    <xf numFmtId="0" fontId="10" fillId="499" borderId="1" xfId="0" applyFont="1" applyFill="1" applyBorder="1" applyAlignment="1">
      <alignment horizontal="center"/>
    </xf>
    <xf numFmtId="0" fontId="10" fillId="302" borderId="1" xfId="0" applyFont="1" applyFill="1" applyBorder="1" applyAlignment="1">
      <alignment horizontal="center"/>
    </xf>
    <xf numFmtId="0" fontId="10" fillId="358" borderId="4" xfId="0" applyFont="1" applyFill="1" applyBorder="1" applyAlignment="1">
      <alignment horizontal="center"/>
    </xf>
    <xf numFmtId="10" fontId="10" fillId="313" borderId="1" xfId="0" applyNumberFormat="1" applyFont="1" applyFill="1" applyBorder="1" applyAlignment="1">
      <alignment horizontal="center"/>
    </xf>
    <xf numFmtId="10" fontId="10" fillId="203" borderId="4" xfId="0" applyNumberFormat="1" applyFont="1" applyFill="1" applyBorder="1" applyAlignment="1">
      <alignment horizontal="center"/>
    </xf>
    <xf numFmtId="0" fontId="10" fillId="248" borderId="16" xfId="0" applyFont="1" applyFill="1" applyBorder="1" applyAlignment="1">
      <alignment horizontal="center"/>
    </xf>
    <xf numFmtId="0" fontId="10" fillId="217" borderId="1" xfId="0" applyFont="1" applyFill="1" applyBorder="1" applyAlignment="1">
      <alignment horizontal="center"/>
    </xf>
    <xf numFmtId="0" fontId="20" fillId="817" borderId="4" xfId="0" applyFont="1" applyFill="1" applyBorder="1" applyAlignment="1">
      <alignment horizontal="center"/>
    </xf>
    <xf numFmtId="0" fontId="10" fillId="689" borderId="1" xfId="0" applyFont="1" applyFill="1" applyBorder="1" applyAlignment="1">
      <alignment horizontal="center"/>
    </xf>
    <xf numFmtId="0" fontId="10" fillId="252" borderId="1" xfId="0" applyFont="1" applyFill="1" applyBorder="1" applyAlignment="1">
      <alignment horizontal="center"/>
    </xf>
    <xf numFmtId="0" fontId="10" fillId="172" borderId="4" xfId="0" applyFont="1" applyFill="1" applyBorder="1" applyAlignment="1">
      <alignment horizontal="center"/>
    </xf>
    <xf numFmtId="164" fontId="10" fillId="444" borderId="3" xfId="0" applyNumberFormat="1" applyFont="1" applyFill="1" applyBorder="1" applyAlignment="1">
      <alignment horizontal="center"/>
    </xf>
    <xf numFmtId="9" fontId="10" fillId="638" borderId="3" xfId="0" applyNumberFormat="1" applyFont="1" applyFill="1" applyBorder="1" applyAlignment="1">
      <alignment horizontal="center"/>
    </xf>
    <xf numFmtId="0" fontId="10" fillId="764" borderId="2" xfId="0" applyFont="1" applyFill="1" applyBorder="1" applyAlignment="1">
      <alignment horizontal="center"/>
    </xf>
    <xf numFmtId="9" fontId="10" fillId="401" borderId="2" xfId="0" applyNumberFormat="1" applyFont="1" applyFill="1" applyBorder="1" applyAlignment="1">
      <alignment horizontal="center"/>
    </xf>
    <xf numFmtId="9" fontId="10" fillId="458" borderId="2" xfId="0" applyNumberFormat="1" applyFont="1" applyFill="1" applyBorder="1" applyAlignment="1">
      <alignment horizontal="center"/>
    </xf>
    <xf numFmtId="10" fontId="10" fillId="45" borderId="2" xfId="0" applyNumberFormat="1" applyFont="1" applyFill="1" applyBorder="1" applyAlignment="1">
      <alignment horizontal="center"/>
    </xf>
    <xf numFmtId="10" fontId="10" fillId="19" borderId="3" xfId="0" applyNumberFormat="1" applyFont="1" applyFill="1" applyBorder="1" applyAlignment="1">
      <alignment horizontal="center"/>
    </xf>
    <xf numFmtId="164" fontId="10" fillId="291" borderId="4" xfId="0" applyNumberFormat="1" applyFont="1" applyFill="1" applyBorder="1" applyAlignment="1">
      <alignment horizontal="center"/>
    </xf>
    <xf numFmtId="9" fontId="10" fillId="24" borderId="1" xfId="0" applyNumberFormat="1" applyFont="1" applyFill="1" applyBorder="1" applyAlignment="1">
      <alignment horizontal="center"/>
    </xf>
    <xf numFmtId="9" fontId="10" fillId="530" borderId="4" xfId="0" applyNumberFormat="1" applyFont="1" applyFill="1" applyBorder="1" applyAlignment="1">
      <alignment horizontal="center"/>
    </xf>
    <xf numFmtId="0" fontId="10" fillId="57" borderId="1" xfId="0" applyFont="1" applyFill="1" applyBorder="1" applyAlignment="1">
      <alignment horizontal="center"/>
    </xf>
    <xf numFmtId="10" fontId="10" fillId="407" borderId="4" xfId="0" applyNumberFormat="1" applyFont="1" applyFill="1" applyBorder="1" applyAlignment="1">
      <alignment horizontal="center"/>
    </xf>
    <xf numFmtId="0" fontId="10" fillId="317" borderId="4" xfId="0" applyFont="1" applyFill="1" applyBorder="1" applyAlignment="1">
      <alignment horizontal="center"/>
    </xf>
    <xf numFmtId="0" fontId="10" fillId="544" borderId="4" xfId="0" applyFont="1" applyFill="1" applyBorder="1" applyAlignment="1">
      <alignment horizontal="center"/>
    </xf>
    <xf numFmtId="0" fontId="10" fillId="910" borderId="1" xfId="0" applyFont="1" applyFill="1" applyBorder="1" applyAlignment="1">
      <alignment horizontal="center"/>
    </xf>
    <xf numFmtId="0" fontId="10" fillId="200" borderId="4" xfId="0" applyFont="1" applyFill="1" applyBorder="1" applyAlignment="1">
      <alignment horizontal="center"/>
    </xf>
    <xf numFmtId="164" fontId="10" fillId="347" borderId="2" xfId="0" applyNumberFormat="1" applyFont="1" applyFill="1" applyBorder="1" applyAlignment="1">
      <alignment horizontal="center"/>
    </xf>
    <xf numFmtId="164" fontId="10" fillId="560" borderId="3" xfId="0" applyNumberFormat="1" applyFont="1" applyFill="1" applyBorder="1" applyAlignment="1">
      <alignment horizontal="center"/>
    </xf>
    <xf numFmtId="9" fontId="10" fillId="35" borderId="3" xfId="0" applyNumberFormat="1" applyFont="1" applyFill="1" applyBorder="1" applyAlignment="1">
      <alignment horizontal="center"/>
    </xf>
    <xf numFmtId="0" fontId="10" fillId="21" borderId="3" xfId="0" applyFont="1" applyFill="1" applyBorder="1" applyAlignment="1">
      <alignment horizontal="center"/>
    </xf>
    <xf numFmtId="9" fontId="10" fillId="178" borderId="2" xfId="0" applyNumberFormat="1" applyFont="1" applyFill="1" applyBorder="1" applyAlignment="1">
      <alignment horizontal="center"/>
    </xf>
    <xf numFmtId="9" fontId="10" fillId="360" borderId="2" xfId="0" applyNumberFormat="1" applyFont="1" applyFill="1" applyBorder="1" applyAlignment="1">
      <alignment horizontal="center"/>
    </xf>
    <xf numFmtId="10" fontId="10" fillId="350" borderId="2" xfId="0" applyNumberFormat="1" applyFont="1" applyFill="1" applyBorder="1" applyAlignment="1">
      <alignment horizontal="center"/>
    </xf>
    <xf numFmtId="10" fontId="10" fillId="93" borderId="3" xfId="0" applyNumberFormat="1" applyFont="1" applyFill="1" applyBorder="1" applyAlignment="1">
      <alignment horizontal="center"/>
    </xf>
    <xf numFmtId="0" fontId="10" fillId="166" borderId="13" xfId="0" applyFont="1" applyFill="1" applyBorder="1" applyAlignment="1">
      <alignment horizontal="center"/>
    </xf>
    <xf numFmtId="0" fontId="10" fillId="80" borderId="13" xfId="0" applyFont="1" applyFill="1" applyBorder="1" applyAlignment="1">
      <alignment horizontal="center"/>
    </xf>
    <xf numFmtId="0" fontId="10" fillId="790" borderId="3" xfId="0" applyFont="1" applyFill="1" applyBorder="1" applyAlignment="1">
      <alignment horizontal="center"/>
    </xf>
    <xf numFmtId="0" fontId="10" fillId="851" borderId="2" xfId="0" applyFont="1" applyFill="1" applyBorder="1" applyAlignment="1">
      <alignment horizontal="center"/>
    </xf>
    <xf numFmtId="0" fontId="10" fillId="971" borderId="2" xfId="0" applyFont="1" applyFill="1" applyBorder="1" applyAlignment="1">
      <alignment horizontal="center"/>
    </xf>
    <xf numFmtId="0" fontId="10" fillId="817" borderId="3" xfId="0" applyFont="1" applyFill="1" applyBorder="1" applyAlignment="1">
      <alignment horizontal="center"/>
    </xf>
    <xf numFmtId="164" fontId="10" fillId="340" borderId="1" xfId="0" applyNumberFormat="1" applyFont="1" applyFill="1" applyBorder="1" applyAlignment="1">
      <alignment horizontal="center"/>
    </xf>
    <xf numFmtId="164" fontId="10" fillId="277" borderId="4" xfId="0" applyNumberFormat="1" applyFont="1" applyFill="1" applyBorder="1" applyAlignment="1">
      <alignment horizontal="center"/>
    </xf>
    <xf numFmtId="0" fontId="10" fillId="270" borderId="1" xfId="0" applyFont="1" applyFill="1" applyBorder="1" applyAlignment="1">
      <alignment horizontal="center"/>
    </xf>
    <xf numFmtId="0" fontId="10" fillId="143" borderId="4" xfId="0" applyFont="1" applyFill="1" applyBorder="1" applyAlignment="1">
      <alignment horizontal="center"/>
    </xf>
    <xf numFmtId="10" fontId="10" fillId="17" borderId="1" xfId="0" applyNumberFormat="1" applyFont="1" applyFill="1" applyBorder="1" applyAlignment="1">
      <alignment horizontal="center"/>
    </xf>
    <xf numFmtId="10" fontId="10" fillId="81" borderId="1" xfId="0" applyNumberFormat="1" applyFont="1" applyFill="1" applyBorder="1" applyAlignment="1">
      <alignment horizontal="center"/>
    </xf>
    <xf numFmtId="0" fontId="10" fillId="972" borderId="1" xfId="0" applyFont="1" applyFill="1" applyBorder="1" applyAlignment="1">
      <alignment horizontal="center"/>
    </xf>
    <xf numFmtId="0" fontId="10" fillId="972" borderId="4" xfId="0" applyFont="1" applyFill="1" applyBorder="1" applyAlignment="1">
      <alignment horizontal="center"/>
    </xf>
    <xf numFmtId="0" fontId="10" fillId="102" borderId="1" xfId="0" applyFont="1" applyFill="1" applyBorder="1" applyAlignment="1">
      <alignment horizontal="center"/>
    </xf>
    <xf numFmtId="0" fontId="10" fillId="199" borderId="4" xfId="0" applyFont="1" applyFill="1" applyBorder="1" applyAlignment="1">
      <alignment horizontal="center"/>
    </xf>
    <xf numFmtId="164" fontId="10" fillId="26" borderId="3" xfId="0" applyNumberFormat="1" applyFont="1" applyFill="1" applyBorder="1" applyAlignment="1">
      <alignment horizontal="center"/>
    </xf>
    <xf numFmtId="9" fontId="10" fillId="635" borderId="3" xfId="0" applyNumberFormat="1" applyFont="1" applyFill="1" applyBorder="1" applyAlignment="1">
      <alignment horizontal="center"/>
    </xf>
    <xf numFmtId="0" fontId="10" fillId="152" borderId="2" xfId="0" applyFont="1" applyFill="1" applyBorder="1" applyAlignment="1">
      <alignment horizontal="center"/>
    </xf>
    <xf numFmtId="10" fontId="10" fillId="973" borderId="2" xfId="0" applyNumberFormat="1" applyFont="1" applyFill="1" applyBorder="1" applyAlignment="1">
      <alignment horizontal="center"/>
    </xf>
    <xf numFmtId="10" fontId="10" fillId="223" borderId="2" xfId="0" applyNumberFormat="1" applyFont="1" applyFill="1" applyBorder="1" applyAlignment="1">
      <alignment horizontal="center"/>
    </xf>
    <xf numFmtId="0" fontId="10" fillId="364" borderId="2" xfId="0" applyFont="1" applyFill="1" applyBorder="1" applyAlignment="1">
      <alignment horizontal="center"/>
    </xf>
    <xf numFmtId="0" fontId="20" fillId="974" borderId="5" xfId="0" applyFont="1" applyFill="1" applyBorder="1" applyAlignment="1">
      <alignment horizontal="center"/>
    </xf>
    <xf numFmtId="164" fontId="10" fillId="560" borderId="4" xfId="0" applyNumberFormat="1" applyFont="1" applyFill="1" applyBorder="1" applyAlignment="1">
      <alignment horizontal="center"/>
    </xf>
    <xf numFmtId="9" fontId="10" fillId="113" borderId="4" xfId="0" applyNumberFormat="1" applyFont="1" applyFill="1" applyBorder="1" applyAlignment="1">
      <alignment horizontal="center"/>
    </xf>
    <xf numFmtId="0" fontId="10" fillId="179" borderId="4" xfId="0" applyFont="1" applyFill="1" applyBorder="1" applyAlignment="1">
      <alignment horizontal="center"/>
    </xf>
    <xf numFmtId="0" fontId="10" fillId="734" borderId="1" xfId="0" applyFont="1" applyFill="1" applyBorder="1" applyAlignment="1">
      <alignment horizontal="center"/>
    </xf>
    <xf numFmtId="10" fontId="10" fillId="446" borderId="1" xfId="0" applyNumberFormat="1" applyFont="1" applyFill="1" applyBorder="1" applyAlignment="1">
      <alignment horizontal="center"/>
    </xf>
    <xf numFmtId="10" fontId="10" fillId="401" borderId="4" xfId="0" applyNumberFormat="1" applyFont="1" applyFill="1" applyBorder="1" applyAlignment="1">
      <alignment horizontal="center"/>
    </xf>
    <xf numFmtId="0" fontId="20" fillId="974" borderId="4" xfId="0" applyFont="1" applyFill="1" applyBorder="1" applyAlignment="1">
      <alignment horizontal="center"/>
    </xf>
    <xf numFmtId="0" fontId="10" fillId="866" borderId="1" xfId="0" applyFont="1" applyFill="1" applyBorder="1" applyAlignment="1">
      <alignment horizontal="center"/>
    </xf>
    <xf numFmtId="0" fontId="10" fillId="722" borderId="4" xfId="0" applyFont="1" applyFill="1" applyBorder="1" applyAlignment="1">
      <alignment horizontal="center"/>
    </xf>
    <xf numFmtId="164" fontId="10" fillId="261" borderId="3" xfId="0" applyNumberFormat="1" applyFont="1" applyFill="1" applyBorder="1" applyAlignment="1">
      <alignment horizontal="center"/>
    </xf>
    <xf numFmtId="0" fontId="10" fillId="435" borderId="2" xfId="0" applyFont="1" applyFill="1" applyBorder="1" applyAlignment="1">
      <alignment horizontal="center"/>
    </xf>
    <xf numFmtId="0" fontId="10" fillId="931" borderId="2" xfId="0" applyFont="1" applyFill="1" applyBorder="1" applyAlignment="1">
      <alignment horizontal="center"/>
    </xf>
    <xf numFmtId="0" fontId="10" fillId="272" borderId="3" xfId="0" applyFont="1" applyFill="1" applyBorder="1" applyAlignment="1">
      <alignment horizontal="center"/>
    </xf>
    <xf numFmtId="0" fontId="10" fillId="257" borderId="2" xfId="0" applyFont="1" applyFill="1" applyBorder="1" applyAlignment="1">
      <alignment horizontal="center"/>
    </xf>
    <xf numFmtId="10" fontId="10" fillId="241" borderId="2" xfId="0" applyNumberFormat="1" applyFont="1" applyFill="1" applyBorder="1" applyAlignment="1">
      <alignment horizontal="center"/>
    </xf>
    <xf numFmtId="10" fontId="10" fillId="362" borderId="3" xfId="0" applyNumberFormat="1" applyFont="1" applyFill="1" applyBorder="1" applyAlignment="1">
      <alignment horizontal="center"/>
    </xf>
    <xf numFmtId="0" fontId="10" fillId="534" borderId="3" xfId="0" applyFont="1" applyFill="1" applyBorder="1" applyAlignment="1">
      <alignment horizontal="center"/>
    </xf>
    <xf numFmtId="0" fontId="10" fillId="753" borderId="2" xfId="0" applyFont="1" applyFill="1" applyBorder="1" applyAlignment="1">
      <alignment horizontal="center"/>
    </xf>
    <xf numFmtId="0" fontId="10" fillId="831" borderId="2" xfId="0" applyFont="1" applyFill="1" applyBorder="1" applyAlignment="1">
      <alignment horizontal="center"/>
    </xf>
    <xf numFmtId="0" fontId="10" fillId="975" borderId="3" xfId="0" applyFont="1" applyFill="1" applyBorder="1" applyAlignment="1">
      <alignment horizontal="center"/>
    </xf>
    <xf numFmtId="164" fontId="10" fillId="639" borderId="4" xfId="0" applyNumberFormat="1" applyFont="1" applyFill="1" applyBorder="1" applyAlignment="1">
      <alignment horizontal="center"/>
    </xf>
    <xf numFmtId="9" fontId="10" fillId="130" borderId="4" xfId="0" applyNumberFormat="1" applyFont="1" applyFill="1" applyBorder="1" applyAlignment="1">
      <alignment horizontal="center"/>
    </xf>
    <xf numFmtId="0" fontId="10" fillId="360" borderId="1" xfId="0" applyFont="1" applyFill="1" applyBorder="1" applyAlignment="1">
      <alignment horizontal="center"/>
    </xf>
    <xf numFmtId="0" fontId="10" fillId="145" borderId="1" xfId="0" applyFont="1" applyFill="1" applyBorder="1" applyAlignment="1">
      <alignment horizontal="center"/>
    </xf>
    <xf numFmtId="164" fontId="10" fillId="976" borderId="3" xfId="0" applyNumberFormat="1" applyFont="1" applyFill="1" applyBorder="1" applyAlignment="1">
      <alignment horizontal="center"/>
    </xf>
    <xf numFmtId="9" fontId="10" fillId="786" borderId="2" xfId="0" applyNumberFormat="1" applyFont="1" applyFill="1" applyBorder="1" applyAlignment="1">
      <alignment horizontal="center"/>
    </xf>
    <xf numFmtId="0" fontId="10" fillId="531" borderId="2" xfId="0" applyFont="1" applyFill="1" applyBorder="1" applyAlignment="1">
      <alignment horizontal="center"/>
    </xf>
    <xf numFmtId="0" fontId="10" fillId="531" borderId="3" xfId="0" applyFont="1" applyFill="1" applyBorder="1" applyAlignment="1">
      <alignment horizontal="center"/>
    </xf>
    <xf numFmtId="0" fontId="10" fillId="117" borderId="2" xfId="0" applyFont="1" applyFill="1" applyBorder="1" applyAlignment="1">
      <alignment horizontal="center"/>
    </xf>
    <xf numFmtId="0" fontId="10" fillId="900" borderId="2" xfId="0" applyFont="1" applyFill="1" applyBorder="1" applyAlignment="1">
      <alignment horizontal="center"/>
    </xf>
    <xf numFmtId="0" fontId="10" fillId="489" borderId="3" xfId="0" applyFont="1" applyFill="1" applyBorder="1" applyAlignment="1">
      <alignment horizontal="center"/>
    </xf>
    <xf numFmtId="0" fontId="10" fillId="561" borderId="1" xfId="0" applyFont="1" applyFill="1" applyBorder="1" applyAlignment="1">
      <alignment horizontal="center"/>
    </xf>
    <xf numFmtId="9" fontId="10" fillId="343" borderId="4" xfId="0" applyNumberFormat="1" applyFont="1" applyFill="1" applyBorder="1" applyAlignment="1">
      <alignment horizontal="center"/>
    </xf>
    <xf numFmtId="0" fontId="10" fillId="343" borderId="4" xfId="0" applyFont="1" applyFill="1" applyBorder="1" applyAlignment="1">
      <alignment horizontal="center"/>
    </xf>
    <xf numFmtId="0" fontId="10" fillId="49" borderId="2" xfId="0" applyFont="1" applyFill="1" applyBorder="1" applyAlignment="1">
      <alignment horizontal="center"/>
    </xf>
    <xf numFmtId="9" fontId="10" fillId="113" borderId="3" xfId="0" applyNumberFormat="1" applyFont="1" applyFill="1" applyBorder="1" applyAlignment="1">
      <alignment horizontal="center"/>
    </xf>
    <xf numFmtId="10" fontId="10" fillId="36" borderId="2" xfId="0" applyNumberFormat="1" applyFont="1" applyFill="1" applyBorder="1" applyAlignment="1">
      <alignment horizontal="center"/>
    </xf>
    <xf numFmtId="10" fontId="10" fillId="80" borderId="3" xfId="0" applyNumberFormat="1" applyFont="1" applyFill="1" applyBorder="1" applyAlignment="1">
      <alignment horizontal="center"/>
    </xf>
    <xf numFmtId="0" fontId="20" fillId="385" borderId="5" xfId="0" applyFont="1" applyFill="1" applyBorder="1" applyAlignment="1">
      <alignment horizontal="center"/>
    </xf>
    <xf numFmtId="0" fontId="10" fillId="226" borderId="2" xfId="0" applyFont="1" applyFill="1" applyBorder="1" applyAlignment="1">
      <alignment horizontal="center"/>
    </xf>
    <xf numFmtId="0" fontId="10" fillId="977" borderId="3" xfId="0" applyFont="1" applyFill="1" applyBorder="1" applyAlignment="1">
      <alignment horizontal="center"/>
    </xf>
    <xf numFmtId="164" fontId="10" fillId="34" borderId="4" xfId="0" applyNumberFormat="1" applyFont="1" applyFill="1" applyBorder="1" applyAlignment="1">
      <alignment horizontal="center"/>
    </xf>
    <xf numFmtId="10" fontId="10" fillId="278" borderId="1" xfId="0" applyNumberFormat="1" applyFont="1" applyFill="1" applyBorder="1" applyAlignment="1">
      <alignment horizontal="center"/>
    </xf>
    <xf numFmtId="10" fontId="10" fillId="164" borderId="4" xfId="0" applyNumberFormat="1" applyFont="1" applyFill="1" applyBorder="1" applyAlignment="1">
      <alignment horizontal="center"/>
    </xf>
    <xf numFmtId="0" fontId="20" fillId="385" borderId="4" xfId="0" applyFont="1" applyFill="1" applyBorder="1" applyAlignment="1">
      <alignment horizontal="center"/>
    </xf>
    <xf numFmtId="0" fontId="10" fillId="555" borderId="1" xfId="0" applyFont="1" applyFill="1" applyBorder="1" applyAlignment="1">
      <alignment horizontal="center"/>
    </xf>
    <xf numFmtId="0" fontId="10" fillId="753" borderId="1" xfId="0" applyFont="1" applyFill="1" applyBorder="1" applyAlignment="1">
      <alignment horizontal="center"/>
    </xf>
    <xf numFmtId="0" fontId="10" fillId="875" borderId="4" xfId="0" applyFont="1" applyFill="1" applyBorder="1" applyAlignment="1">
      <alignment horizontal="center"/>
    </xf>
    <xf numFmtId="164" fontId="10" fillId="175" borderId="3" xfId="0" applyNumberFormat="1" applyFont="1" applyFill="1" applyBorder="1" applyAlignment="1">
      <alignment horizontal="center"/>
    </xf>
    <xf numFmtId="0" fontId="10" fillId="286" borderId="2" xfId="0" applyFont="1" applyFill="1" applyBorder="1" applyAlignment="1">
      <alignment horizontal="center"/>
    </xf>
    <xf numFmtId="0" fontId="10" fillId="907" borderId="2" xfId="0" applyFont="1" applyFill="1" applyBorder="1" applyAlignment="1">
      <alignment horizontal="center"/>
    </xf>
    <xf numFmtId="0" fontId="10" fillId="273" borderId="3" xfId="0" applyFont="1" applyFill="1" applyBorder="1" applyAlignment="1">
      <alignment horizontal="center"/>
    </xf>
    <xf numFmtId="9" fontId="10" fillId="638" borderId="2" xfId="0" applyNumberFormat="1" applyFont="1" applyFill="1" applyBorder="1" applyAlignment="1">
      <alignment horizontal="center"/>
    </xf>
    <xf numFmtId="10" fontId="10" fillId="978" borderId="2" xfId="0" applyNumberFormat="1" applyFont="1" applyFill="1" applyBorder="1" applyAlignment="1">
      <alignment horizontal="center"/>
    </xf>
    <xf numFmtId="0" fontId="10" fillId="672" borderId="2" xfId="0" applyFont="1" applyFill="1" applyBorder="1" applyAlignment="1">
      <alignment horizontal="center"/>
    </xf>
    <xf numFmtId="0" fontId="10" fillId="672" borderId="3" xfId="0" applyFont="1" applyFill="1" applyBorder="1" applyAlignment="1">
      <alignment horizontal="center"/>
    </xf>
    <xf numFmtId="0" fontId="20" fillId="521" borderId="5" xfId="0" applyFont="1" applyFill="1" applyBorder="1" applyAlignment="1">
      <alignment horizontal="center"/>
    </xf>
    <xf numFmtId="0" fontId="10" fillId="555" borderId="2" xfId="0" applyFont="1" applyFill="1" applyBorder="1" applyAlignment="1">
      <alignment horizontal="center"/>
    </xf>
    <xf numFmtId="0" fontId="10" fillId="522" borderId="2" xfId="0" applyFont="1" applyFill="1" applyBorder="1" applyAlignment="1">
      <alignment horizontal="center"/>
    </xf>
    <xf numFmtId="164" fontId="10" fillId="976" borderId="4" xfId="0" applyNumberFormat="1" applyFont="1" applyFill="1" applyBorder="1" applyAlignment="1">
      <alignment horizontal="center"/>
    </xf>
    <xf numFmtId="9" fontId="10" fillId="19" borderId="1" xfId="0" applyNumberFormat="1" applyFont="1" applyFill="1" applyBorder="1" applyAlignment="1">
      <alignment horizontal="center"/>
    </xf>
    <xf numFmtId="0" fontId="10" fillId="669" borderId="1" xfId="0" applyFont="1" applyFill="1" applyBorder="1" applyAlignment="1">
      <alignment horizontal="center"/>
    </xf>
    <xf numFmtId="0" fontId="10" fillId="669" borderId="4" xfId="0" applyFont="1" applyFill="1" applyBorder="1" applyAlignment="1">
      <alignment horizontal="center"/>
    </xf>
    <xf numFmtId="0" fontId="20" fillId="521" borderId="4" xfId="0" applyFont="1" applyFill="1" applyBorder="1" applyAlignment="1">
      <alignment horizontal="center"/>
    </xf>
    <xf numFmtId="0" fontId="10" fillId="876" borderId="1" xfId="0" applyFont="1" applyFill="1" applyBorder="1" applyAlignment="1">
      <alignment horizontal="center"/>
    </xf>
    <xf numFmtId="0" fontId="10" fillId="556" borderId="1" xfId="0" applyFont="1" applyFill="1" applyBorder="1" applyAlignment="1">
      <alignment horizontal="center"/>
    </xf>
    <xf numFmtId="0" fontId="10" fillId="712" borderId="4" xfId="0" applyFont="1" applyFill="1" applyBorder="1" applyAlignment="1">
      <alignment horizontal="center"/>
    </xf>
    <xf numFmtId="164" fontId="10" fillId="14" borderId="3" xfId="0" applyNumberFormat="1" applyFont="1" applyFill="1" applyBorder="1" applyAlignment="1">
      <alignment horizontal="center"/>
    </xf>
    <xf numFmtId="9" fontId="10" fillId="163" borderId="2" xfId="0" applyNumberFormat="1" applyFont="1" applyFill="1" applyBorder="1" applyAlignment="1">
      <alignment horizontal="center"/>
    </xf>
    <xf numFmtId="0" fontId="10" fillId="337" borderId="2" xfId="0" applyFont="1" applyFill="1" applyBorder="1" applyAlignment="1">
      <alignment horizontal="center"/>
    </xf>
    <xf numFmtId="9" fontId="10" fillId="19" borderId="3" xfId="0" applyNumberFormat="1" applyFont="1" applyFill="1" applyBorder="1" applyAlignment="1">
      <alignment horizontal="center"/>
    </xf>
    <xf numFmtId="0" fontId="10" fillId="310" borderId="2" xfId="0" applyFont="1" applyFill="1" applyBorder="1" applyAlignment="1">
      <alignment horizontal="center"/>
    </xf>
    <xf numFmtId="9" fontId="10" fillId="19" borderId="2" xfId="0" applyNumberFormat="1" applyFont="1" applyFill="1" applyBorder="1" applyAlignment="1">
      <alignment horizontal="center"/>
    </xf>
    <xf numFmtId="10" fontId="10" fillId="443" borderId="2" xfId="0" applyNumberFormat="1" applyFont="1" applyFill="1" applyBorder="1" applyAlignment="1">
      <alignment horizontal="center"/>
    </xf>
    <xf numFmtId="10" fontId="10" fillId="525" borderId="2" xfId="0" applyNumberFormat="1" applyFont="1" applyFill="1" applyBorder="1" applyAlignment="1">
      <alignment horizontal="center"/>
    </xf>
    <xf numFmtId="10" fontId="10" fillId="350" borderId="3" xfId="0" applyNumberFormat="1" applyFont="1" applyFill="1" applyBorder="1" applyAlignment="1">
      <alignment horizontal="center"/>
    </xf>
    <xf numFmtId="0" fontId="10" fillId="979" borderId="3" xfId="0" applyFont="1" applyFill="1" applyBorder="1" applyAlignment="1">
      <alignment horizontal="center"/>
    </xf>
    <xf numFmtId="164" fontId="10" fillId="26" borderId="4" xfId="0" applyNumberFormat="1" applyFont="1" applyFill="1" applyBorder="1" applyAlignment="1">
      <alignment horizontal="center"/>
    </xf>
    <xf numFmtId="0" fontId="10" fillId="65" borderId="1" xfId="0" applyFont="1" applyFill="1" applyBorder="1" applyAlignment="1">
      <alignment horizontal="center"/>
    </xf>
    <xf numFmtId="0" fontId="10" fillId="887" borderId="1" xfId="0" applyFont="1" applyFill="1" applyBorder="1" applyAlignment="1">
      <alignment horizontal="center"/>
    </xf>
    <xf numFmtId="9" fontId="10" fillId="18" borderId="4" xfId="0" applyNumberFormat="1" applyFont="1" applyFill="1" applyBorder="1" applyAlignment="1">
      <alignment horizontal="center"/>
    </xf>
    <xf numFmtId="9" fontId="10" fillId="18" borderId="1" xfId="0" applyNumberFormat="1" applyFont="1" applyFill="1" applyBorder="1" applyAlignment="1">
      <alignment horizontal="center"/>
    </xf>
    <xf numFmtId="10" fontId="10" fillId="93" borderId="4" xfId="0" applyNumberFormat="1" applyFont="1" applyFill="1" applyBorder="1" applyAlignment="1">
      <alignment horizontal="center"/>
    </xf>
    <xf numFmtId="0" fontId="10" fillId="980" borderId="1" xfId="0" applyFont="1" applyFill="1" applyBorder="1" applyAlignment="1">
      <alignment horizontal="center"/>
    </xf>
    <xf numFmtId="0" fontId="10" fillId="686" borderId="1" xfId="0" applyFont="1" applyFill="1" applyBorder="1" applyAlignment="1">
      <alignment horizontal="center"/>
    </xf>
    <xf numFmtId="0" fontId="10" fillId="477" borderId="2" xfId="0" applyFont="1" applyFill="1" applyBorder="1" applyAlignment="1">
      <alignment horizontal="center"/>
    </xf>
    <xf numFmtId="0" fontId="10" fillId="343" borderId="3" xfId="0" applyFont="1" applyFill="1" applyBorder="1" applyAlignment="1">
      <alignment horizontal="center"/>
    </xf>
    <xf numFmtId="9" fontId="10" fillId="619" borderId="2" xfId="0" applyNumberFormat="1" applyFont="1" applyFill="1" applyBorder="1" applyAlignment="1">
      <alignment horizontal="center"/>
    </xf>
    <xf numFmtId="10" fontId="10" fillId="293" borderId="2" xfId="0" applyNumberFormat="1" applyFont="1" applyFill="1" applyBorder="1" applyAlignment="1">
      <alignment horizontal="center"/>
    </xf>
    <xf numFmtId="10" fontId="10" fillId="313" borderId="2" xfId="0" applyNumberFormat="1" applyFont="1" applyFill="1" applyBorder="1" applyAlignment="1">
      <alignment horizontal="center"/>
    </xf>
    <xf numFmtId="10" fontId="10" fillId="333" borderId="3" xfId="0" applyNumberFormat="1" applyFont="1" applyFill="1" applyBorder="1" applyAlignment="1">
      <alignment horizontal="center"/>
    </xf>
    <xf numFmtId="0" fontId="10" fillId="208" borderId="2" xfId="0" applyFont="1" applyFill="1" applyBorder="1" applyAlignment="1">
      <alignment horizontal="center"/>
    </xf>
    <xf numFmtId="0" fontId="10" fillId="743" borderId="3" xfId="0" applyFont="1" applyFill="1" applyBorder="1" applyAlignment="1">
      <alignment horizontal="center"/>
    </xf>
    <xf numFmtId="0" fontId="20" fillId="672" borderId="5" xfId="0" applyFont="1" applyFill="1" applyBorder="1" applyAlignment="1">
      <alignment horizontal="center"/>
    </xf>
    <xf numFmtId="0" fontId="10" fillId="875" borderId="2" xfId="0" applyFont="1" applyFill="1" applyBorder="1" applyAlignment="1">
      <alignment horizontal="center"/>
    </xf>
    <xf numFmtId="0" fontId="10" fillId="119" borderId="2" xfId="0" applyFont="1" applyFill="1" applyBorder="1" applyAlignment="1">
      <alignment horizontal="center"/>
    </xf>
    <xf numFmtId="0" fontId="10" fillId="802" borderId="2" xfId="0" applyFont="1" applyFill="1" applyBorder="1" applyAlignment="1">
      <alignment horizontal="center"/>
    </xf>
    <xf numFmtId="0" fontId="10" fillId="721" borderId="3" xfId="0" applyFont="1" applyFill="1" applyBorder="1" applyAlignment="1">
      <alignment horizontal="center"/>
    </xf>
    <xf numFmtId="164" fontId="10" fillId="245" borderId="4" xfId="0" applyNumberFormat="1" applyFont="1" applyFill="1" applyBorder="1" applyAlignment="1">
      <alignment horizontal="center"/>
    </xf>
    <xf numFmtId="0" fontId="10" fillId="486" borderId="1" xfId="0" applyFont="1" applyFill="1" applyBorder="1" applyAlignment="1">
      <alignment horizontal="center"/>
    </xf>
    <xf numFmtId="0" fontId="10" fillId="23" borderId="4" xfId="0" applyFont="1" applyFill="1" applyBorder="1" applyAlignment="1">
      <alignment horizontal="center"/>
    </xf>
    <xf numFmtId="0" fontId="10" fillId="611" borderId="1" xfId="0" applyFont="1" applyFill="1" applyBorder="1" applyAlignment="1">
      <alignment horizontal="center"/>
    </xf>
    <xf numFmtId="10" fontId="10" fillId="114" borderId="1" xfId="0" applyNumberFormat="1" applyFont="1" applyFill="1" applyBorder="1" applyAlignment="1">
      <alignment horizontal="center"/>
    </xf>
    <xf numFmtId="0" fontId="10" fillId="627" borderId="4" xfId="0" applyFont="1" applyFill="1" applyBorder="1" applyAlignment="1">
      <alignment horizontal="center"/>
    </xf>
    <xf numFmtId="0" fontId="10" fillId="981" borderId="1" xfId="0" applyFont="1" applyFill="1" applyBorder="1" applyAlignment="1">
      <alignment horizontal="center"/>
    </xf>
    <xf numFmtId="0" fontId="10" fillId="981" borderId="4" xfId="0" applyFont="1" applyFill="1" applyBorder="1" applyAlignment="1">
      <alignment horizontal="center"/>
    </xf>
    <xf numFmtId="0" fontId="20" fillId="672" borderId="4" xfId="0" applyFont="1" applyFill="1" applyBorder="1" applyAlignment="1">
      <alignment horizontal="center"/>
    </xf>
    <xf numFmtId="164" fontId="10" fillId="369" borderId="2" xfId="0" applyNumberFormat="1" applyFont="1" applyFill="1" applyBorder="1" applyAlignment="1">
      <alignment horizontal="center"/>
    </xf>
    <xf numFmtId="164" fontId="10" fillId="245" borderId="3" xfId="0" applyNumberFormat="1" applyFont="1" applyFill="1" applyBorder="1" applyAlignment="1">
      <alignment horizontal="center"/>
    </xf>
    <xf numFmtId="0" fontId="10" fillId="78" borderId="2" xfId="0" applyFont="1" applyFill="1" applyBorder="1" applyAlignment="1">
      <alignment horizontal="center"/>
    </xf>
    <xf numFmtId="0" fontId="10" fillId="36" borderId="2" xfId="0" applyFont="1" applyFill="1" applyBorder="1" applyAlignment="1">
      <alignment horizontal="center"/>
    </xf>
    <xf numFmtId="10" fontId="10" fillId="216" borderId="2" xfId="0" applyNumberFormat="1" applyFont="1" applyFill="1" applyBorder="1" applyAlignment="1">
      <alignment horizontal="center"/>
    </xf>
    <xf numFmtId="0" fontId="10" fillId="784" borderId="3" xfId="0" applyFont="1" applyFill="1" applyBorder="1" applyAlignment="1">
      <alignment horizontal="center"/>
    </xf>
    <xf numFmtId="0" fontId="10" fillId="982" borderId="2" xfId="0" applyFont="1" applyFill="1" applyBorder="1" applyAlignment="1">
      <alignment horizontal="center"/>
    </xf>
    <xf numFmtId="0" fontId="10" fillId="983" borderId="3" xfId="0" applyFont="1" applyFill="1" applyBorder="1" applyAlignment="1">
      <alignment horizontal="center"/>
    </xf>
    <xf numFmtId="164" fontId="10" fillId="375" borderId="1" xfId="0" applyNumberFormat="1" applyFont="1" applyFill="1" applyBorder="1" applyAlignment="1">
      <alignment horizontal="center"/>
    </xf>
    <xf numFmtId="164" fontId="10" fillId="606" borderId="3" xfId="0" applyNumberFormat="1" applyFont="1" applyFill="1" applyBorder="1" applyAlignment="1">
      <alignment horizontal="center"/>
    </xf>
    <xf numFmtId="0" fontId="10" fillId="329" borderId="1" xfId="0" applyFont="1" applyFill="1" applyBorder="1" applyAlignment="1">
      <alignment horizontal="center"/>
    </xf>
    <xf numFmtId="0" fontId="10" fillId="256" borderId="1" xfId="0" applyFont="1" applyFill="1" applyBorder="1" applyAlignment="1">
      <alignment horizontal="center"/>
    </xf>
    <xf numFmtId="0" fontId="10" fillId="602" borderId="4" xfId="0" applyFont="1" applyFill="1" applyBorder="1" applyAlignment="1">
      <alignment horizontal="center"/>
    </xf>
    <xf numFmtId="10" fontId="10" fillId="327" borderId="1" xfId="0" applyNumberFormat="1" applyFont="1" applyFill="1" applyBorder="1" applyAlignment="1">
      <alignment horizontal="center"/>
    </xf>
    <xf numFmtId="10" fontId="10" fillId="598" borderId="4" xfId="0" applyNumberFormat="1" applyFont="1" applyFill="1" applyBorder="1" applyAlignment="1">
      <alignment horizontal="center"/>
    </xf>
    <xf numFmtId="0" fontId="10" fillId="673" borderId="1" xfId="0" applyFont="1" applyFill="1" applyBorder="1" applyAlignment="1">
      <alignment horizontal="center"/>
    </xf>
    <xf numFmtId="0" fontId="10" fillId="413" borderId="1" xfId="0" applyFont="1" applyFill="1" applyBorder="1" applyAlignment="1">
      <alignment horizontal="center"/>
    </xf>
    <xf numFmtId="0" fontId="10" fillId="783" borderId="4" xfId="0" applyFont="1" applyFill="1" applyBorder="1" applyAlignment="1">
      <alignment horizontal="center"/>
    </xf>
    <xf numFmtId="9" fontId="10" fillId="205" borderId="3" xfId="0" applyNumberFormat="1" applyFont="1" applyFill="1" applyBorder="1" applyAlignment="1">
      <alignment horizontal="center"/>
    </xf>
    <xf numFmtId="0" fontId="10" fillId="335" borderId="3" xfId="0" applyFont="1" applyFill="1" applyBorder="1" applyAlignment="1">
      <alignment horizontal="center"/>
    </xf>
    <xf numFmtId="10" fontId="10" fillId="632" borderId="2" xfId="0" applyNumberFormat="1" applyFont="1" applyFill="1" applyBorder="1" applyAlignment="1">
      <alignment horizontal="center"/>
    </xf>
    <xf numFmtId="10" fontId="10" fillId="257" borderId="3" xfId="0" applyNumberFormat="1" applyFont="1" applyFill="1" applyBorder="1" applyAlignment="1">
      <alignment horizontal="center"/>
    </xf>
    <xf numFmtId="0" fontId="10" fillId="362" borderId="1" xfId="0" applyFont="1" applyFill="1" applyBorder="1" applyAlignment="1">
      <alignment horizontal="center"/>
    </xf>
    <xf numFmtId="0" fontId="10" fillId="507" borderId="1" xfId="0" applyFont="1" applyFill="1" applyBorder="1" applyAlignment="1">
      <alignment horizontal="center"/>
    </xf>
    <xf numFmtId="9" fontId="10" fillId="205" borderId="4" xfId="0" applyNumberFormat="1" applyFont="1" applyFill="1" applyBorder="1" applyAlignment="1">
      <alignment horizontal="center"/>
    </xf>
    <xf numFmtId="0" fontId="10" fillId="279" borderId="1" xfId="0" applyFont="1" applyFill="1" applyBorder="1" applyAlignment="1">
      <alignment horizontal="center"/>
    </xf>
    <xf numFmtId="0" fontId="10" fillId="635" borderId="4" xfId="0" applyFont="1" applyFill="1" applyBorder="1" applyAlignment="1">
      <alignment horizontal="center"/>
    </xf>
    <xf numFmtId="10" fontId="10" fillId="595" borderId="4" xfId="0" applyNumberFormat="1" applyFont="1" applyFill="1" applyBorder="1" applyAlignment="1">
      <alignment horizontal="center"/>
    </xf>
    <xf numFmtId="9" fontId="10" fillId="74" borderId="3" xfId="0" applyNumberFormat="1" applyFont="1" applyFill="1" applyBorder="1" applyAlignment="1">
      <alignment horizontal="center"/>
    </xf>
    <xf numFmtId="0" fontId="10" fillId="40" borderId="2" xfId="0" applyFont="1" applyFill="1" applyBorder="1" applyAlignment="1">
      <alignment horizontal="center"/>
    </xf>
    <xf numFmtId="9" fontId="10" fillId="563" borderId="2" xfId="0" applyNumberFormat="1" applyFont="1" applyFill="1" applyBorder="1" applyAlignment="1">
      <alignment horizontal="center"/>
    </xf>
    <xf numFmtId="9" fontId="10" fillId="146" borderId="2" xfId="0" applyNumberFormat="1" applyFont="1" applyFill="1" applyBorder="1" applyAlignment="1">
      <alignment horizontal="center"/>
    </xf>
    <xf numFmtId="10" fontId="10" fillId="773" borderId="2" xfId="0" applyNumberFormat="1" applyFont="1" applyFill="1" applyBorder="1" applyAlignment="1">
      <alignment horizontal="center"/>
    </xf>
    <xf numFmtId="10" fontId="10" fillId="141" borderId="3" xfId="0" applyNumberFormat="1" applyFont="1" applyFill="1" applyBorder="1" applyAlignment="1">
      <alignment horizontal="center"/>
    </xf>
    <xf numFmtId="0" fontId="10" fillId="255" borderId="1" xfId="0" applyFont="1" applyFill="1" applyBorder="1" applyAlignment="1">
      <alignment horizontal="center"/>
    </xf>
    <xf numFmtId="0" fontId="10" fillId="984" borderId="1" xfId="0" applyFont="1" applyFill="1" applyBorder="1" applyAlignment="1">
      <alignment horizontal="center"/>
    </xf>
    <xf numFmtId="9" fontId="10" fillId="476" borderId="1" xfId="0" applyNumberFormat="1" applyFont="1" applyFill="1" applyBorder="1" applyAlignment="1">
      <alignment horizontal="center"/>
    </xf>
    <xf numFmtId="0" fontId="10" fillId="314" borderId="4" xfId="0" applyFont="1" applyFill="1" applyBorder="1" applyAlignment="1">
      <alignment horizontal="center"/>
    </xf>
    <xf numFmtId="10" fontId="10" fillId="49" borderId="1" xfId="0" applyNumberFormat="1" applyFont="1" applyFill="1" applyBorder="1" applyAlignment="1">
      <alignment horizontal="center"/>
    </xf>
    <xf numFmtId="0" fontId="10" fillId="341" borderId="2" xfId="0" applyFont="1" applyFill="1" applyBorder="1" applyAlignment="1">
      <alignment horizontal="center"/>
    </xf>
    <xf numFmtId="9" fontId="10" fillId="35" borderId="2" xfId="0" applyNumberFormat="1" applyFont="1" applyFill="1" applyBorder="1" applyAlignment="1">
      <alignment horizontal="center"/>
    </xf>
    <xf numFmtId="10" fontId="10" fillId="22" borderId="2" xfId="0" applyNumberFormat="1" applyFont="1" applyFill="1" applyBorder="1" applyAlignment="1">
      <alignment horizontal="center"/>
    </xf>
    <xf numFmtId="0" fontId="10" fillId="407" borderId="1" xfId="0" applyFont="1" applyFill="1" applyBorder="1" applyAlignment="1">
      <alignment horizontal="center"/>
    </xf>
    <xf numFmtId="9" fontId="10" fillId="60" borderId="1" xfId="0" applyNumberFormat="1" applyFont="1" applyFill="1" applyBorder="1" applyAlignment="1">
      <alignment horizontal="center"/>
    </xf>
    <xf numFmtId="0" fontId="10" fillId="182" borderId="1" xfId="0" applyFont="1" applyFill="1" applyBorder="1" applyAlignment="1">
      <alignment horizontal="center"/>
    </xf>
    <xf numFmtId="9" fontId="10" fillId="358" borderId="4" xfId="0" applyNumberFormat="1" applyFont="1" applyFill="1" applyBorder="1" applyAlignment="1">
      <alignment horizontal="center"/>
    </xf>
    <xf numFmtId="0" fontId="10" fillId="257" borderId="1" xfId="0" applyFont="1" applyFill="1" applyBorder="1" applyAlignment="1">
      <alignment horizontal="center"/>
    </xf>
    <xf numFmtId="0" fontId="10" fillId="250" borderId="4" xfId="0" applyFont="1" applyFill="1" applyBorder="1" applyAlignment="1">
      <alignment horizontal="center"/>
    </xf>
    <xf numFmtId="10" fontId="10" fillId="176" borderId="4" xfId="0" applyNumberFormat="1" applyFont="1" applyFill="1" applyBorder="1" applyAlignment="1">
      <alignment horizontal="center"/>
    </xf>
    <xf numFmtId="0" fontId="10" fillId="528" borderId="2" xfId="0" applyFont="1" applyFill="1" applyBorder="1" applyAlignment="1">
      <alignment horizontal="center"/>
    </xf>
    <xf numFmtId="0" fontId="10" fillId="315" borderId="3" xfId="0" applyFont="1" applyFill="1" applyBorder="1" applyAlignment="1">
      <alignment horizontal="center"/>
    </xf>
    <xf numFmtId="10" fontId="10" fillId="773" borderId="3" xfId="0" applyNumberFormat="1" applyFont="1" applyFill="1" applyBorder="1" applyAlignment="1">
      <alignment horizontal="center"/>
    </xf>
    <xf numFmtId="9" fontId="10" fillId="166" borderId="4" xfId="0" applyNumberFormat="1" applyFont="1" applyFill="1" applyBorder="1" applyAlignment="1">
      <alignment horizontal="center"/>
    </xf>
    <xf numFmtId="0" fontId="10" fillId="203" borderId="4" xfId="0" applyFont="1" applyFill="1" applyBorder="1" applyAlignment="1">
      <alignment horizontal="center"/>
    </xf>
    <xf numFmtId="10" fontId="10" fillId="629" borderId="1" xfId="0" applyNumberFormat="1" applyFont="1" applyFill="1" applyBorder="1" applyAlignment="1">
      <alignment horizontal="center"/>
    </xf>
    <xf numFmtId="10" fontId="10" fillId="691" borderId="4" xfId="0" applyNumberFormat="1" applyFont="1" applyFill="1" applyBorder="1" applyAlignment="1">
      <alignment horizontal="center"/>
    </xf>
    <xf numFmtId="9" fontId="10" fillId="435" borderId="2" xfId="0" applyNumberFormat="1" applyFont="1" applyFill="1" applyBorder="1" applyAlignment="1">
      <alignment horizontal="center"/>
    </xf>
    <xf numFmtId="9" fontId="10" fillId="148" borderId="3" xfId="0" applyNumberFormat="1" applyFont="1" applyFill="1" applyBorder="1" applyAlignment="1">
      <alignment horizontal="center"/>
    </xf>
    <xf numFmtId="10" fontId="10" fillId="421" borderId="2" xfId="0" applyNumberFormat="1" applyFont="1" applyFill="1" applyBorder="1" applyAlignment="1">
      <alignment horizontal="center"/>
    </xf>
    <xf numFmtId="10" fontId="10" fillId="224" borderId="2" xfId="0" applyNumberFormat="1" applyFont="1" applyFill="1" applyBorder="1" applyAlignment="1">
      <alignment horizontal="center"/>
    </xf>
    <xf numFmtId="0" fontId="10" fillId="123" borderId="1" xfId="0" applyFont="1" applyFill="1" applyBorder="1" applyAlignment="1">
      <alignment horizontal="center"/>
    </xf>
    <xf numFmtId="9" fontId="10" fillId="316" borderId="4" xfId="0" applyNumberFormat="1" applyFont="1" applyFill="1" applyBorder="1" applyAlignment="1">
      <alignment horizontal="center"/>
    </xf>
    <xf numFmtId="0" fontId="10" fillId="323" borderId="4" xfId="0" applyFont="1" applyFill="1" applyBorder="1" applyAlignment="1">
      <alignment horizontal="center"/>
    </xf>
    <xf numFmtId="10" fontId="10" fillId="412" borderId="1" xfId="0" applyNumberFormat="1" applyFont="1" applyFill="1" applyBorder="1" applyAlignment="1">
      <alignment horizontal="center"/>
    </xf>
    <xf numFmtId="10" fontId="10" fillId="300" borderId="4" xfId="0" applyNumberFormat="1" applyFont="1" applyFill="1" applyBorder="1" applyAlignment="1">
      <alignment horizontal="center"/>
    </xf>
    <xf numFmtId="10" fontId="10" fillId="250" borderId="2" xfId="0" applyNumberFormat="1" applyFont="1" applyFill="1" applyBorder="1" applyAlignment="1">
      <alignment horizontal="center"/>
    </xf>
    <xf numFmtId="0" fontId="10" fillId="618" borderId="1" xfId="0" applyFont="1" applyFill="1" applyBorder="1" applyAlignment="1">
      <alignment horizontal="center"/>
    </xf>
    <xf numFmtId="9" fontId="10" fillId="623" borderId="4" xfId="0" applyNumberFormat="1" applyFont="1" applyFill="1" applyBorder="1" applyAlignment="1">
      <alignment horizontal="center"/>
    </xf>
    <xf numFmtId="9" fontId="10" fillId="786" borderId="1" xfId="0" applyNumberFormat="1" applyFont="1" applyFill="1" applyBorder="1" applyAlignment="1">
      <alignment horizontal="center"/>
    </xf>
    <xf numFmtId="0" fontId="10" fillId="658" borderId="2" xfId="0" applyFont="1" applyFill="1" applyBorder="1" applyAlignment="1">
      <alignment horizontal="center"/>
    </xf>
    <xf numFmtId="0" fontId="10" fillId="638" borderId="2" xfId="0" applyFont="1" applyFill="1" applyBorder="1" applyAlignment="1">
      <alignment horizontal="center"/>
    </xf>
    <xf numFmtId="9" fontId="10" fillId="443" borderId="2" xfId="0" applyNumberFormat="1" applyFont="1" applyFill="1" applyBorder="1" applyAlignment="1">
      <alignment horizontal="center"/>
    </xf>
    <xf numFmtId="0" fontId="10" fillId="401" borderId="3" xfId="0" applyFont="1" applyFill="1" applyBorder="1" applyAlignment="1">
      <alignment horizontal="center"/>
    </xf>
    <xf numFmtId="10" fontId="10" fillId="130" borderId="2" xfId="0" applyNumberFormat="1" applyFont="1" applyFill="1" applyBorder="1" applyAlignment="1">
      <alignment horizontal="center"/>
    </xf>
    <xf numFmtId="10" fontId="10" fillId="407" borderId="2" xfId="0" applyNumberFormat="1" applyFont="1" applyFill="1" applyBorder="1" applyAlignment="1">
      <alignment horizontal="center"/>
    </xf>
    <xf numFmtId="0" fontId="10" fillId="723" borderId="1" xfId="0" applyFont="1" applyFill="1" applyBorder="1" applyAlignment="1">
      <alignment horizontal="center"/>
    </xf>
    <xf numFmtId="0" fontId="10" fillId="985" borderId="1" xfId="0" applyFont="1" applyFill="1" applyBorder="1" applyAlignment="1">
      <alignment horizontal="center"/>
    </xf>
    <xf numFmtId="9" fontId="10" fillId="354" borderId="1" xfId="0" applyNumberFormat="1" applyFont="1" applyFill="1" applyBorder="1" applyAlignment="1">
      <alignment horizontal="center"/>
    </xf>
    <xf numFmtId="0" fontId="10" fillId="357" borderId="2" xfId="0" applyFont="1" applyFill="1" applyBorder="1" applyAlignment="1">
      <alignment horizontal="center"/>
    </xf>
    <xf numFmtId="0" fontId="10" fillId="499" borderId="2" xfId="0" applyFont="1" applyFill="1" applyBorder="1" applyAlignment="1">
      <alignment horizontal="center"/>
    </xf>
    <xf numFmtId="0" fontId="10" fillId="203" borderId="3" xfId="0" applyFont="1" applyFill="1" applyBorder="1" applyAlignment="1">
      <alignment horizontal="center"/>
    </xf>
    <xf numFmtId="10" fontId="10" fillId="181" borderId="2" xfId="0" applyNumberFormat="1" applyFont="1" applyFill="1" applyBorder="1" applyAlignment="1">
      <alignment horizontal="center"/>
    </xf>
    <xf numFmtId="9" fontId="10" fillId="82" borderId="1" xfId="0" applyNumberFormat="1" applyFont="1" applyFill="1" applyBorder="1" applyAlignment="1">
      <alignment horizontal="center"/>
    </xf>
    <xf numFmtId="0" fontId="10" fillId="366" borderId="1" xfId="0" applyFont="1" applyFill="1" applyBorder="1" applyAlignment="1">
      <alignment horizontal="center"/>
    </xf>
    <xf numFmtId="9" fontId="10" fillId="357" borderId="4" xfId="0" applyNumberFormat="1" applyFont="1" applyFill="1" applyBorder="1" applyAlignment="1">
      <alignment horizontal="center"/>
    </xf>
    <xf numFmtId="0" fontId="10" fillId="206" borderId="1" xfId="0" applyFont="1" applyFill="1" applyBorder="1" applyAlignment="1">
      <alignment horizontal="center"/>
    </xf>
    <xf numFmtId="9" fontId="10" fillId="112" borderId="1" xfId="0" applyNumberFormat="1" applyFont="1" applyFill="1" applyBorder="1" applyAlignment="1">
      <alignment horizontal="center"/>
    </xf>
    <xf numFmtId="9" fontId="10" fillId="179" borderId="2" xfId="0" applyNumberFormat="1" applyFont="1" applyFill="1" applyBorder="1" applyAlignment="1">
      <alignment horizontal="center"/>
    </xf>
    <xf numFmtId="9" fontId="10" fillId="80" borderId="3" xfId="0" applyNumberFormat="1" applyFont="1" applyFill="1" applyBorder="1" applyAlignment="1">
      <alignment horizontal="center"/>
    </xf>
    <xf numFmtId="10" fontId="10" fillId="115" borderId="3" xfId="0" applyNumberFormat="1" applyFont="1" applyFill="1" applyBorder="1" applyAlignment="1">
      <alignment horizontal="center"/>
    </xf>
    <xf numFmtId="0" fontId="10" fillId="347" borderId="1" xfId="0" applyFont="1" applyFill="1" applyBorder="1" applyAlignment="1">
      <alignment horizontal="center"/>
    </xf>
    <xf numFmtId="9" fontId="10" fillId="38" borderId="4" xfId="0" applyNumberFormat="1" applyFont="1" applyFill="1" applyBorder="1" applyAlignment="1">
      <alignment horizontal="center"/>
    </xf>
    <xf numFmtId="10" fontId="10" fillId="582" borderId="4" xfId="0" applyNumberFormat="1" applyFont="1" applyFill="1" applyBorder="1" applyAlignment="1">
      <alignment horizontal="center"/>
    </xf>
    <xf numFmtId="0" fontId="10" fillId="42" borderId="2" xfId="0" applyFont="1" applyFill="1" applyBorder="1" applyAlignment="1">
      <alignment horizontal="center"/>
    </xf>
    <xf numFmtId="0" fontId="10" fillId="724" borderId="2" xfId="0" applyFont="1" applyFill="1" applyBorder="1" applyAlignment="1">
      <alignment horizontal="center"/>
    </xf>
    <xf numFmtId="9" fontId="10" fillId="215" borderId="3" xfId="0" applyNumberFormat="1" applyFont="1" applyFill="1" applyBorder="1" applyAlignment="1">
      <alignment horizontal="center"/>
    </xf>
    <xf numFmtId="0" fontId="10" fillId="265" borderId="2" xfId="0" applyFont="1" applyFill="1" applyBorder="1" applyAlignment="1">
      <alignment horizontal="center"/>
    </xf>
    <xf numFmtId="9" fontId="10" fillId="407" borderId="2" xfId="0" applyNumberFormat="1" applyFont="1" applyFill="1" applyBorder="1" applyAlignment="1">
      <alignment horizontal="center"/>
    </xf>
    <xf numFmtId="0" fontId="10" fillId="323" borderId="3" xfId="0" applyFont="1" applyFill="1" applyBorder="1" applyAlignment="1">
      <alignment horizontal="center"/>
    </xf>
    <xf numFmtId="10" fontId="10" fillId="622" borderId="2" xfId="0" applyNumberFormat="1" applyFont="1" applyFill="1" applyBorder="1" applyAlignment="1">
      <alignment horizontal="center"/>
    </xf>
    <xf numFmtId="10" fontId="10" fillId="272" borderId="2" xfId="0" applyNumberFormat="1" applyFont="1" applyFill="1" applyBorder="1" applyAlignment="1">
      <alignment horizontal="center"/>
    </xf>
    <xf numFmtId="10" fontId="10" fillId="614" borderId="3" xfId="0" applyNumberFormat="1" applyFont="1" applyFill="1" applyBorder="1" applyAlignment="1">
      <alignment horizontal="center"/>
    </xf>
    <xf numFmtId="0" fontId="10" fillId="418" borderId="1" xfId="0" applyFont="1" applyFill="1" applyBorder="1" applyAlignment="1">
      <alignment horizontal="center"/>
    </xf>
    <xf numFmtId="0" fontId="10" fillId="986" borderId="1" xfId="0" applyFont="1" applyFill="1" applyBorder="1" applyAlignment="1">
      <alignment horizontal="center"/>
    </xf>
    <xf numFmtId="9" fontId="10" fillId="626" borderId="4" xfId="0" applyNumberFormat="1" applyFont="1" applyFill="1" applyBorder="1" applyAlignment="1">
      <alignment horizontal="center"/>
    </xf>
    <xf numFmtId="10" fontId="10" fillId="302" borderId="4" xfId="0" applyNumberFormat="1" applyFont="1" applyFill="1" applyBorder="1" applyAlignment="1">
      <alignment horizontal="center"/>
    </xf>
    <xf numFmtId="9" fontId="10" fillId="38" borderId="3" xfId="0" applyNumberFormat="1" applyFont="1" applyFill="1" applyBorder="1" applyAlignment="1">
      <alignment horizontal="center"/>
    </xf>
    <xf numFmtId="0" fontId="10" fillId="45" borderId="3" xfId="0" applyFont="1" applyFill="1" applyBorder="1" applyAlignment="1">
      <alignment horizontal="center"/>
    </xf>
    <xf numFmtId="10" fontId="10" fillId="265" borderId="2" xfId="0" applyNumberFormat="1" applyFont="1" applyFill="1" applyBorder="1" applyAlignment="1">
      <alignment horizontal="center"/>
    </xf>
    <xf numFmtId="10" fontId="10" fillId="468" borderId="2" xfId="0" applyNumberFormat="1" applyFont="1" applyFill="1" applyBorder="1" applyAlignment="1">
      <alignment horizontal="center"/>
    </xf>
    <xf numFmtId="0" fontId="10" fillId="316" borderId="1" xfId="0" applyFont="1" applyFill="1" applyBorder="1" applyAlignment="1">
      <alignment horizontal="center"/>
    </xf>
    <xf numFmtId="10" fontId="10" fillId="734" borderId="4" xfId="0" applyNumberFormat="1" applyFont="1" applyFill="1" applyBorder="1" applyAlignment="1">
      <alignment horizontal="center"/>
    </xf>
    <xf numFmtId="9" fontId="10" fillId="468" borderId="2" xfId="0" applyNumberFormat="1" applyFont="1" applyFill="1" applyBorder="1" applyAlignment="1">
      <alignment horizontal="center"/>
    </xf>
    <xf numFmtId="9" fontId="10" fillId="357" borderId="3" xfId="0" applyNumberFormat="1" applyFont="1" applyFill="1" applyBorder="1" applyAlignment="1">
      <alignment horizontal="center"/>
    </xf>
    <xf numFmtId="0" fontId="10" fillId="487" borderId="3" xfId="0" applyFont="1" applyFill="1" applyBorder="1" applyAlignment="1">
      <alignment horizontal="center"/>
    </xf>
    <xf numFmtId="0" fontId="10" fillId="74" borderId="2" xfId="0" applyFont="1" applyFill="1" applyBorder="1" applyAlignment="1">
      <alignment horizontal="center"/>
    </xf>
    <xf numFmtId="10" fontId="10" fillId="213" borderId="2" xfId="0" applyNumberFormat="1" applyFont="1" applyFill="1" applyBorder="1" applyAlignment="1">
      <alignment horizontal="center"/>
    </xf>
    <xf numFmtId="10" fontId="10" fillId="638" borderId="2" xfId="0" applyNumberFormat="1" applyFont="1" applyFill="1" applyBorder="1" applyAlignment="1">
      <alignment horizontal="center"/>
    </xf>
    <xf numFmtId="0" fontId="10" fillId="19" borderId="1" xfId="0" applyFont="1" applyFill="1" applyBorder="1" applyAlignment="1">
      <alignment horizontal="center"/>
    </xf>
    <xf numFmtId="0" fontId="10" fillId="151" borderId="4" xfId="0" applyFont="1" applyFill="1" applyBorder="1" applyAlignment="1">
      <alignment horizontal="center"/>
    </xf>
    <xf numFmtId="9" fontId="10" fillId="135" borderId="1" xfId="0" applyNumberFormat="1" applyFont="1" applyFill="1" applyBorder="1" applyAlignment="1">
      <alignment horizontal="center"/>
    </xf>
    <xf numFmtId="10" fontId="10" fillId="132" borderId="4" xfId="0" applyNumberFormat="1" applyFont="1" applyFill="1" applyBorder="1" applyAlignment="1">
      <alignment horizontal="center"/>
    </xf>
    <xf numFmtId="0" fontId="10" fillId="819" borderId="3" xfId="0" applyFont="1" applyFill="1" applyBorder="1" applyAlignment="1">
      <alignment horizontal="center"/>
    </xf>
    <xf numFmtId="0" fontId="10" fillId="272" borderId="2" xfId="0" applyFont="1" applyFill="1" applyBorder="1" applyAlignment="1">
      <alignment horizontal="center"/>
    </xf>
    <xf numFmtId="10" fontId="10" fillId="629" borderId="2" xfId="0" applyNumberFormat="1" applyFont="1" applyFill="1" applyBorder="1" applyAlignment="1">
      <alignment horizontal="center"/>
    </xf>
    <xf numFmtId="10" fontId="10" fillId="132" borderId="3" xfId="0" applyNumberFormat="1" applyFont="1" applyFill="1" applyBorder="1" applyAlignment="1">
      <alignment horizontal="center"/>
    </xf>
    <xf numFmtId="9" fontId="10" fillId="23" borderId="1" xfId="0" applyNumberFormat="1" applyFont="1" applyFill="1" applyBorder="1" applyAlignment="1">
      <alignment horizontal="center"/>
    </xf>
    <xf numFmtId="0" fontId="10" fillId="254" borderId="1" xfId="0" applyFont="1" applyFill="1" applyBorder="1" applyAlignment="1">
      <alignment horizontal="center"/>
    </xf>
    <xf numFmtId="0" fontId="10" fillId="334" borderId="4" xfId="0" applyFont="1" applyFill="1" applyBorder="1" applyAlignment="1">
      <alignment horizontal="center"/>
    </xf>
    <xf numFmtId="10" fontId="10" fillId="130" borderId="1" xfId="0" applyNumberFormat="1" applyFont="1" applyFill="1" applyBorder="1" applyAlignment="1">
      <alignment horizontal="center"/>
    </xf>
    <xf numFmtId="0" fontId="10" fillId="476" borderId="2" xfId="0" applyFont="1" applyFill="1" applyBorder="1" applyAlignment="1">
      <alignment horizontal="center"/>
    </xf>
    <xf numFmtId="9" fontId="10" fillId="61" borderId="2" xfId="0" applyNumberFormat="1" applyFont="1" applyFill="1" applyBorder="1" applyAlignment="1">
      <alignment horizontal="center"/>
    </xf>
    <xf numFmtId="0" fontId="10" fillId="166" borderId="3" xfId="0" applyFont="1" applyFill="1" applyBorder="1" applyAlignment="1">
      <alignment horizontal="center"/>
    </xf>
    <xf numFmtId="0" fontId="10" fillId="402" borderId="1" xfId="0" applyFont="1" applyFill="1" applyBorder="1" applyAlignment="1">
      <alignment horizontal="center"/>
    </xf>
    <xf numFmtId="0" fontId="10" fillId="295" borderId="4" xfId="0" applyFont="1" applyFill="1" applyBorder="1" applyAlignment="1">
      <alignment horizontal="center"/>
    </xf>
    <xf numFmtId="164" fontId="10" fillId="426" borderId="2" xfId="0" applyNumberFormat="1" applyFont="1" applyFill="1" applyBorder="1" applyAlignment="1">
      <alignment horizontal="center"/>
    </xf>
    <xf numFmtId="164" fontId="10" fillId="133" borderId="3" xfId="0" applyNumberFormat="1" applyFont="1" applyFill="1" applyBorder="1" applyAlignment="1">
      <alignment horizontal="center"/>
    </xf>
    <xf numFmtId="9" fontId="10" fillId="216" borderId="2" xfId="0" applyNumberFormat="1" applyFont="1" applyFill="1" applyBorder="1" applyAlignment="1">
      <alignment horizontal="center"/>
    </xf>
    <xf numFmtId="0" fontId="10" fillId="987" borderId="2" xfId="0" applyFont="1" applyFill="1" applyBorder="1" applyAlignment="1">
      <alignment horizontal="center"/>
    </xf>
    <xf numFmtId="9" fontId="10" fillId="122" borderId="3" xfId="0" applyNumberFormat="1" applyFont="1" applyFill="1" applyBorder="1" applyAlignment="1">
      <alignment horizontal="center"/>
    </xf>
    <xf numFmtId="10" fontId="10" fillId="434" borderId="2" xfId="0" applyNumberFormat="1" applyFont="1" applyFill="1" applyBorder="1" applyAlignment="1">
      <alignment horizontal="center"/>
    </xf>
    <xf numFmtId="10" fontId="10" fillId="23" borderId="2" xfId="0" applyNumberFormat="1" applyFont="1" applyFill="1" applyBorder="1" applyAlignment="1">
      <alignment horizontal="center"/>
    </xf>
    <xf numFmtId="10" fontId="10" fillId="232" borderId="3" xfId="0" applyNumberFormat="1" applyFont="1" applyFill="1" applyBorder="1" applyAlignment="1">
      <alignment horizontal="center"/>
    </xf>
    <xf numFmtId="0" fontId="20" fillId="690" borderId="5" xfId="0" applyFont="1" applyFill="1" applyBorder="1" applyAlignment="1">
      <alignment horizontal="center"/>
    </xf>
    <xf numFmtId="0" fontId="10" fillId="665" borderId="2" xfId="0" applyFont="1" applyFill="1" applyBorder="1" applyAlignment="1">
      <alignment horizontal="center"/>
    </xf>
    <xf numFmtId="164" fontId="10" fillId="30" borderId="1" xfId="0" applyNumberFormat="1" applyFont="1" applyFill="1" applyBorder="1" applyAlignment="1">
      <alignment horizontal="center"/>
    </xf>
    <xf numFmtId="164" fontId="10" fillId="396" borderId="4" xfId="0" applyNumberFormat="1" applyFont="1" applyFill="1" applyBorder="1" applyAlignment="1">
      <alignment horizontal="center"/>
    </xf>
    <xf numFmtId="9" fontId="10" fillId="143" borderId="4" xfId="0" applyNumberFormat="1" applyFont="1" applyFill="1" applyBorder="1" applyAlignment="1">
      <alignment horizontal="center"/>
    </xf>
    <xf numFmtId="0" fontId="10" fillId="296" borderId="1" xfId="0" applyFont="1" applyFill="1" applyBorder="1" applyAlignment="1">
      <alignment horizontal="center"/>
    </xf>
    <xf numFmtId="0" fontId="10" fillId="169" borderId="4" xfId="0" applyFont="1" applyFill="1" applyBorder="1" applyAlignment="1">
      <alignment horizontal="center"/>
    </xf>
    <xf numFmtId="0" fontId="10" fillId="302" borderId="16" xfId="0" applyFont="1" applyFill="1" applyBorder="1" applyAlignment="1">
      <alignment horizontal="center"/>
    </xf>
    <xf numFmtId="0" fontId="10" fillId="895" borderId="1" xfId="0" applyFont="1" applyFill="1" applyBorder="1" applyAlignment="1">
      <alignment horizontal="center"/>
    </xf>
    <xf numFmtId="0" fontId="10" fillId="719" borderId="4" xfId="0" applyFont="1" applyFill="1" applyBorder="1" applyAlignment="1">
      <alignment horizontal="center"/>
    </xf>
    <xf numFmtId="0" fontId="20" fillId="690" borderId="4" xfId="0" applyFont="1" applyFill="1" applyBorder="1" applyAlignment="1">
      <alignment horizontal="center"/>
    </xf>
    <xf numFmtId="164" fontId="10" fillId="222" borderId="3" xfId="0" applyNumberFormat="1" applyFont="1" applyFill="1" applyBorder="1" applyAlignment="1">
      <alignment horizontal="center"/>
    </xf>
    <xf numFmtId="0" fontId="10" fillId="618" borderId="2" xfId="0" applyFont="1" applyFill="1" applyBorder="1" applyAlignment="1">
      <alignment horizontal="center"/>
    </xf>
    <xf numFmtId="9" fontId="10" fillId="110" borderId="3" xfId="0" applyNumberFormat="1" applyFont="1" applyFill="1" applyBorder="1" applyAlignment="1">
      <alignment horizontal="center"/>
    </xf>
    <xf numFmtId="0" fontId="10" fillId="791" borderId="3" xfId="0" applyFont="1" applyFill="1" applyBorder="1" applyAlignment="1">
      <alignment horizontal="center"/>
    </xf>
    <xf numFmtId="9" fontId="10" fillId="194" borderId="2" xfId="0" applyNumberFormat="1" applyFont="1" applyFill="1" applyBorder="1" applyAlignment="1">
      <alignment horizontal="center"/>
    </xf>
    <xf numFmtId="10" fontId="10" fillId="770" borderId="2" xfId="0" applyNumberFormat="1" applyFont="1" applyFill="1" applyBorder="1" applyAlignment="1">
      <alignment horizontal="center"/>
    </xf>
    <xf numFmtId="10" fontId="10" fillId="467" borderId="3" xfId="0" applyNumberFormat="1" applyFont="1" applyFill="1" applyBorder="1" applyAlignment="1">
      <alignment horizontal="center"/>
    </xf>
    <xf numFmtId="0" fontId="10" fillId="351" borderId="13" xfId="0" applyFont="1" applyFill="1" applyBorder="1" applyAlignment="1">
      <alignment horizontal="center"/>
    </xf>
    <xf numFmtId="0" fontId="10" fillId="352" borderId="2" xfId="0" applyFont="1" applyFill="1" applyBorder="1" applyAlignment="1">
      <alignment horizontal="center"/>
    </xf>
    <xf numFmtId="164" fontId="10" fillId="444" borderId="1" xfId="0" applyNumberFormat="1" applyFont="1" applyFill="1" applyBorder="1" applyAlignment="1">
      <alignment horizontal="center"/>
    </xf>
    <xf numFmtId="164" fontId="10" fillId="444" borderId="4" xfId="0" applyNumberFormat="1" applyFont="1" applyFill="1" applyBorder="1" applyAlignment="1">
      <alignment horizontal="center"/>
    </xf>
    <xf numFmtId="0" fontId="10" fillId="635" borderId="1" xfId="0" applyFont="1" applyFill="1" applyBorder="1" applyAlignment="1">
      <alignment horizontal="center"/>
    </xf>
    <xf numFmtId="0" fontId="10" fillId="440" borderId="1" xfId="0" applyFont="1" applyFill="1" applyBorder="1" applyAlignment="1">
      <alignment horizontal="center"/>
    </xf>
    <xf numFmtId="0" fontId="10" fillId="224" borderId="1" xfId="0" applyFont="1" applyFill="1" applyBorder="1" applyAlignment="1">
      <alignment horizontal="center"/>
    </xf>
    <xf numFmtId="0" fontId="10" fillId="97" borderId="4" xfId="0" applyFont="1" applyFill="1" applyBorder="1" applyAlignment="1">
      <alignment horizontal="center"/>
    </xf>
    <xf numFmtId="10" fontId="10" fillId="398" borderId="4" xfId="0" applyNumberFormat="1" applyFont="1" applyFill="1" applyBorder="1" applyAlignment="1">
      <alignment horizontal="center"/>
    </xf>
    <xf numFmtId="0" fontId="10" fillId="233" borderId="16" xfId="0" applyFont="1" applyFill="1" applyBorder="1" applyAlignment="1">
      <alignment horizontal="center"/>
    </xf>
    <xf numFmtId="0" fontId="10" fillId="988" borderId="1" xfId="0" applyFont="1" applyFill="1" applyBorder="1" applyAlignment="1">
      <alignment horizontal="center"/>
    </xf>
    <xf numFmtId="0" fontId="10" fillId="988" borderId="4" xfId="0" applyFont="1" applyFill="1" applyBorder="1" applyAlignment="1">
      <alignment horizontal="center"/>
    </xf>
    <xf numFmtId="0" fontId="10" fillId="989" borderId="1" xfId="0" applyFont="1" applyFill="1" applyBorder="1" applyAlignment="1">
      <alignment horizontal="center"/>
    </xf>
    <xf numFmtId="0" fontId="10" fillId="990" borderId="4" xfId="0" applyFont="1" applyFill="1" applyBorder="1" applyAlignment="1">
      <alignment horizontal="center"/>
    </xf>
    <xf numFmtId="164" fontId="10" fillId="390" borderId="2" xfId="0" applyNumberFormat="1" applyFont="1" applyFill="1" applyBorder="1" applyAlignment="1">
      <alignment horizontal="center"/>
    </xf>
    <xf numFmtId="164" fontId="10" fillId="390" borderId="3" xfId="0" applyNumberFormat="1" applyFont="1" applyFill="1" applyBorder="1" applyAlignment="1">
      <alignment horizontal="center"/>
    </xf>
    <xf numFmtId="0" fontId="10" fillId="728" borderId="2" xfId="0" applyFont="1" applyFill="1" applyBorder="1" applyAlignment="1">
      <alignment horizontal="center"/>
    </xf>
    <xf numFmtId="9" fontId="10" fillId="98" borderId="3" xfId="0" applyNumberFormat="1" applyFont="1" applyFill="1" applyBorder="1" applyAlignment="1">
      <alignment horizontal="center"/>
    </xf>
    <xf numFmtId="0" fontId="10" fillId="87" borderId="2" xfId="0" applyFont="1" applyFill="1" applyBorder="1" applyAlignment="1">
      <alignment horizontal="center"/>
    </xf>
    <xf numFmtId="0" fontId="10" fillId="87" borderId="3" xfId="0" applyFont="1" applyFill="1" applyBorder="1" applyAlignment="1">
      <alignment horizontal="center"/>
    </xf>
    <xf numFmtId="0" fontId="20" fillId="988" borderId="5" xfId="0" applyFont="1" applyFill="1" applyBorder="1" applyAlignment="1">
      <alignment horizontal="center"/>
    </xf>
    <xf numFmtId="0" fontId="10" fillId="661" borderId="2" xfId="0" applyFont="1" applyFill="1" applyBorder="1" applyAlignment="1">
      <alignment horizontal="center"/>
    </xf>
    <xf numFmtId="0" fontId="10" fillId="173" borderId="3" xfId="0" applyFont="1" applyFill="1" applyBorder="1" applyAlignment="1">
      <alignment horizontal="center"/>
    </xf>
    <xf numFmtId="164" fontId="10" fillId="396" borderId="1" xfId="0" applyNumberFormat="1" applyFont="1" applyFill="1" applyBorder="1" applyAlignment="1">
      <alignment horizontal="center"/>
    </xf>
    <xf numFmtId="164" fontId="10" fillId="307" borderId="4" xfId="0" applyNumberFormat="1" applyFont="1" applyFill="1" applyBorder="1" applyAlignment="1">
      <alignment horizontal="center"/>
    </xf>
    <xf numFmtId="0" fontId="10" fillId="477" borderId="1" xfId="0" applyFont="1" applyFill="1" applyBorder="1" applyAlignment="1">
      <alignment horizontal="center"/>
    </xf>
    <xf numFmtId="9" fontId="10" fillId="159" borderId="1" xfId="0" applyNumberFormat="1" applyFont="1" applyFill="1" applyBorder="1" applyAlignment="1">
      <alignment horizontal="center"/>
    </xf>
    <xf numFmtId="0" fontId="10" fillId="75" borderId="4" xfId="0" applyFont="1" applyFill="1" applyBorder="1" applyAlignment="1">
      <alignment horizontal="center"/>
    </xf>
    <xf numFmtId="0" fontId="10" fillId="392" borderId="1" xfId="0" applyFont="1" applyFill="1" applyBorder="1" applyAlignment="1">
      <alignment horizontal="center"/>
    </xf>
    <xf numFmtId="9" fontId="10" fillId="294" borderId="1" xfId="0" applyNumberFormat="1" applyFont="1" applyFill="1" applyBorder="1" applyAlignment="1">
      <alignment horizontal="center"/>
    </xf>
    <xf numFmtId="9" fontId="10" fillId="17" borderId="1" xfId="0" applyNumberFormat="1" applyFont="1" applyFill="1" applyBorder="1" applyAlignment="1">
      <alignment horizontal="center"/>
    </xf>
    <xf numFmtId="10" fontId="10" fillId="129" borderId="1" xfId="0" applyNumberFormat="1" applyFont="1" applyFill="1" applyBorder="1" applyAlignment="1">
      <alignment horizontal="center"/>
    </xf>
    <xf numFmtId="10" fontId="10" fillId="303" borderId="1" xfId="0" applyNumberFormat="1" applyFont="1" applyFill="1" applyBorder="1" applyAlignment="1">
      <alignment horizontal="center"/>
    </xf>
    <xf numFmtId="10" fontId="10" fillId="343" borderId="4" xfId="0" applyNumberFormat="1" applyFont="1" applyFill="1" applyBorder="1" applyAlignment="1">
      <alignment horizontal="center"/>
    </xf>
    <xf numFmtId="0" fontId="10" fillId="329" borderId="16" xfId="0" applyFont="1" applyFill="1" applyBorder="1" applyAlignment="1">
      <alignment horizontal="center"/>
    </xf>
    <xf numFmtId="0" fontId="10" fillId="465" borderId="1" xfId="0" applyFont="1" applyFill="1" applyBorder="1" applyAlignment="1">
      <alignment horizontal="center"/>
    </xf>
    <xf numFmtId="0" fontId="10" fillId="208" borderId="4" xfId="0" applyFont="1" applyFill="1" applyBorder="1" applyAlignment="1">
      <alignment horizontal="center"/>
    </xf>
    <xf numFmtId="0" fontId="20" fillId="988" borderId="4" xfId="0" applyFont="1" applyFill="1" applyBorder="1" applyAlignment="1">
      <alignment horizontal="center"/>
    </xf>
    <xf numFmtId="0" fontId="10" fillId="991" borderId="1" xfId="0" applyFont="1" applyFill="1" applyBorder="1" applyAlignment="1">
      <alignment horizontal="center"/>
    </xf>
    <xf numFmtId="164" fontId="10" fillId="380" borderId="3" xfId="0" applyNumberFormat="1" applyFont="1" applyFill="1" applyBorder="1" applyAlignment="1">
      <alignment horizontal="center"/>
    </xf>
    <xf numFmtId="9" fontId="10" fillId="334" borderId="2" xfId="0" applyNumberFormat="1" applyFont="1" applyFill="1" applyBorder="1" applyAlignment="1">
      <alignment horizontal="center"/>
    </xf>
    <xf numFmtId="0" fontId="10" fillId="992" borderId="2" xfId="0" applyFont="1" applyFill="1" applyBorder="1" applyAlignment="1">
      <alignment horizontal="center"/>
    </xf>
    <xf numFmtId="0" fontId="10" fillId="264" borderId="3" xfId="0" applyFont="1" applyFill="1" applyBorder="1" applyAlignment="1">
      <alignment horizontal="center"/>
    </xf>
    <xf numFmtId="9" fontId="10" fillId="47" borderId="2" xfId="0" applyNumberFormat="1" applyFont="1" applyFill="1" applyBorder="1" applyAlignment="1">
      <alignment horizontal="center"/>
    </xf>
    <xf numFmtId="10" fontId="10" fillId="195" borderId="3" xfId="0" applyNumberFormat="1" applyFont="1" applyFill="1" applyBorder="1" applyAlignment="1">
      <alignment horizontal="center"/>
    </xf>
    <xf numFmtId="0" fontId="10" fillId="20" borderId="13" xfId="0" applyFont="1" applyFill="1" applyBorder="1" applyAlignment="1">
      <alignment horizontal="center"/>
    </xf>
    <xf numFmtId="0" fontId="10" fillId="266" borderId="2" xfId="0" applyFont="1" applyFill="1" applyBorder="1" applyAlignment="1">
      <alignment horizontal="center"/>
    </xf>
    <xf numFmtId="0" fontId="10" fillId="266" borderId="3" xfId="0" applyFont="1" applyFill="1" applyBorder="1" applyAlignment="1">
      <alignment horizontal="center"/>
    </xf>
    <xf numFmtId="0" fontId="10" fillId="748" borderId="2" xfId="0" applyFont="1" applyFill="1" applyBorder="1" applyAlignment="1">
      <alignment horizontal="center"/>
    </xf>
    <xf numFmtId="0" fontId="10" fillId="870" borderId="2" xfId="0" applyFont="1" applyFill="1" applyBorder="1" applyAlignment="1">
      <alignment horizontal="center"/>
    </xf>
    <xf numFmtId="0" fontId="10" fillId="171" borderId="3" xfId="0" applyFont="1" applyFill="1" applyBorder="1" applyAlignment="1">
      <alignment horizontal="center"/>
    </xf>
    <xf numFmtId="164" fontId="10" fillId="387" borderId="4" xfId="0" applyNumberFormat="1" applyFont="1" applyFill="1" applyBorder="1" applyAlignment="1">
      <alignment horizontal="center"/>
    </xf>
    <xf numFmtId="0" fontId="10" fillId="81" borderId="1" xfId="0" applyFont="1" applyFill="1" applyBorder="1" applyAlignment="1">
      <alignment horizontal="center"/>
    </xf>
    <xf numFmtId="0" fontId="10" fillId="993" borderId="1" xfId="0" applyFont="1" applyFill="1" applyBorder="1" applyAlignment="1">
      <alignment horizontal="center"/>
    </xf>
    <xf numFmtId="9" fontId="10" fillId="435" borderId="4" xfId="0" applyNumberFormat="1" applyFont="1" applyFill="1" applyBorder="1" applyAlignment="1">
      <alignment horizontal="center"/>
    </xf>
    <xf numFmtId="9" fontId="10" fillId="42" borderId="1" xfId="0" applyNumberFormat="1" applyFont="1" applyFill="1" applyBorder="1" applyAlignment="1">
      <alignment horizontal="center"/>
    </xf>
    <xf numFmtId="10" fontId="10" fillId="181" borderId="1" xfId="0" applyNumberFormat="1" applyFont="1" applyFill="1" applyBorder="1" applyAlignment="1">
      <alignment horizontal="center"/>
    </xf>
    <xf numFmtId="0" fontId="10" fillId="407" borderId="16" xfId="0" applyFont="1" applyFill="1" applyBorder="1" applyAlignment="1">
      <alignment horizontal="center"/>
    </xf>
    <xf numFmtId="0" fontId="10" fillId="862" borderId="4" xfId="0" applyFont="1" applyFill="1" applyBorder="1" applyAlignment="1">
      <alignment horizontal="center"/>
    </xf>
    <xf numFmtId="0" fontId="10" fillId="229" borderId="4" xfId="0" applyFont="1" applyFill="1" applyBorder="1" applyAlignment="1">
      <alignment horizontal="center"/>
    </xf>
    <xf numFmtId="164" fontId="10" fillId="332" borderId="2" xfId="0" applyNumberFormat="1" applyFont="1" applyFill="1" applyBorder="1" applyAlignment="1">
      <alignment horizontal="center"/>
    </xf>
    <xf numFmtId="0" fontId="10" fillId="696" borderId="2" xfId="0" applyFont="1" applyFill="1" applyBorder="1" applyAlignment="1">
      <alignment horizontal="center"/>
    </xf>
    <xf numFmtId="0" fontId="10" fillId="268" borderId="2" xfId="0" applyFont="1" applyFill="1" applyBorder="1" applyAlignment="1">
      <alignment horizontal="center"/>
    </xf>
    <xf numFmtId="10" fontId="10" fillId="447" borderId="2" xfId="0" applyNumberFormat="1" applyFont="1" applyFill="1" applyBorder="1" applyAlignment="1">
      <alignment horizontal="center"/>
    </xf>
    <xf numFmtId="10" fontId="10" fillId="42" borderId="3" xfId="0" applyNumberFormat="1" applyFont="1" applyFill="1" applyBorder="1" applyAlignment="1">
      <alignment horizontal="center"/>
    </xf>
    <xf numFmtId="0" fontId="10" fillId="396" borderId="3" xfId="0" applyFont="1" applyFill="1" applyBorder="1" applyAlignment="1">
      <alignment horizontal="center"/>
    </xf>
    <xf numFmtId="0" fontId="10" fillId="584" borderId="2" xfId="0" applyFont="1" applyFill="1" applyBorder="1" applyAlignment="1">
      <alignment horizontal="center"/>
    </xf>
    <xf numFmtId="0" fontId="10" fillId="252" borderId="3" xfId="0" applyFont="1" applyFill="1" applyBorder="1" applyAlignment="1">
      <alignment horizontal="center"/>
    </xf>
    <xf numFmtId="164" fontId="10" fillId="160" borderId="1" xfId="0" applyNumberFormat="1" applyFont="1" applyFill="1" applyBorder="1" applyAlignment="1">
      <alignment horizontal="center"/>
    </xf>
    <xf numFmtId="164" fontId="10" fillId="222" borderId="4" xfId="0" applyNumberFormat="1" applyFont="1" applyFill="1" applyBorder="1" applyAlignment="1">
      <alignment horizontal="center"/>
    </xf>
    <xf numFmtId="10" fontId="10" fillId="335" borderId="1" xfId="0" applyNumberFormat="1" applyFont="1" applyFill="1" applyBorder="1" applyAlignment="1">
      <alignment horizontal="center"/>
    </xf>
    <xf numFmtId="10" fontId="10" fillId="45" borderId="1" xfId="0" applyNumberFormat="1" applyFont="1" applyFill="1" applyBorder="1" applyAlignment="1">
      <alignment horizontal="center"/>
    </xf>
    <xf numFmtId="0" fontId="10" fillId="594" borderId="16" xfId="0" applyFont="1" applyFill="1" applyBorder="1" applyAlignment="1">
      <alignment horizontal="center"/>
    </xf>
    <xf numFmtId="0" fontId="10" fillId="502" borderId="1" xfId="0" applyFont="1" applyFill="1" applyBorder="1" applyAlignment="1">
      <alignment horizontal="center"/>
    </xf>
    <xf numFmtId="0" fontId="10" fillId="502" borderId="4" xfId="0" applyFont="1" applyFill="1" applyBorder="1" applyAlignment="1">
      <alignment horizontal="center"/>
    </xf>
    <xf numFmtId="0" fontId="10" fillId="994" borderId="1" xfId="0" applyFont="1" applyFill="1" applyBorder="1" applyAlignment="1">
      <alignment horizontal="center"/>
    </xf>
    <xf numFmtId="0" fontId="10" fillId="995" borderId="1" xfId="0" applyFont="1" applyFill="1" applyBorder="1" applyAlignment="1">
      <alignment horizontal="center"/>
    </xf>
    <xf numFmtId="0" fontId="10" fillId="650" borderId="4" xfId="0" applyFont="1" applyFill="1" applyBorder="1" applyAlignment="1">
      <alignment horizontal="center"/>
    </xf>
    <xf numFmtId="164" fontId="10" fillId="30" borderId="3" xfId="0" applyNumberFormat="1" applyFont="1" applyFill="1" applyBorder="1" applyAlignment="1">
      <alignment horizontal="center"/>
    </xf>
    <xf numFmtId="9" fontId="10" fillId="106" borderId="2" xfId="0" applyNumberFormat="1" applyFont="1" applyFill="1" applyBorder="1" applyAlignment="1">
      <alignment horizontal="center"/>
    </xf>
    <xf numFmtId="9" fontId="10" fillId="467" borderId="2" xfId="0" applyNumberFormat="1" applyFont="1" applyFill="1" applyBorder="1" applyAlignment="1">
      <alignment horizontal="center"/>
    </xf>
    <xf numFmtId="9" fontId="10" fillId="41" borderId="2" xfId="0" applyNumberFormat="1" applyFont="1" applyFill="1" applyBorder="1" applyAlignment="1">
      <alignment horizontal="center"/>
    </xf>
    <xf numFmtId="0" fontId="10" fillId="594" borderId="13" xfId="0" applyFont="1" applyFill="1" applyBorder="1" applyAlignment="1">
      <alignment horizontal="center"/>
    </xf>
    <xf numFmtId="0" fontId="10" fillId="208" borderId="3" xfId="0" applyFont="1" applyFill="1" applyBorder="1" applyAlignment="1">
      <alignment horizontal="center"/>
    </xf>
    <xf numFmtId="0" fontId="20" fillId="229" borderId="5" xfId="0" applyFont="1" applyFill="1" applyBorder="1" applyAlignment="1">
      <alignment horizontal="center"/>
    </xf>
    <xf numFmtId="0" fontId="10" fillId="801" borderId="2" xfId="0" applyFont="1" applyFill="1" applyBorder="1" applyAlignment="1">
      <alignment horizontal="center"/>
    </xf>
    <xf numFmtId="164" fontId="10" fillId="320" borderId="4" xfId="0" applyNumberFormat="1" applyFont="1" applyFill="1" applyBorder="1" applyAlignment="1">
      <alignment horizontal="center"/>
    </xf>
    <xf numFmtId="9" fontId="10" fillId="697" borderId="4" xfId="0" applyNumberFormat="1" applyFont="1" applyFill="1" applyBorder="1" applyAlignment="1">
      <alignment horizontal="center"/>
    </xf>
    <xf numFmtId="9" fontId="10" fillId="322" borderId="1" xfId="0" applyNumberFormat="1" applyFont="1" applyFill="1" applyBorder="1" applyAlignment="1">
      <alignment horizontal="center"/>
    </xf>
    <xf numFmtId="0" fontId="10" fillId="20" borderId="16" xfId="0" applyFont="1" applyFill="1" applyBorder="1" applyAlignment="1">
      <alignment horizontal="center"/>
    </xf>
    <xf numFmtId="0" fontId="10" fillId="652" borderId="1" xfId="0" applyFont="1" applyFill="1" applyBorder="1" applyAlignment="1">
      <alignment horizontal="center"/>
    </xf>
    <xf numFmtId="0" fontId="10" fillId="87" borderId="4" xfId="0" applyFont="1" applyFill="1" applyBorder="1" applyAlignment="1">
      <alignment horizontal="center"/>
    </xf>
    <xf numFmtId="0" fontId="20" fillId="229" borderId="4" xfId="0" applyFont="1" applyFill="1" applyBorder="1" applyAlignment="1">
      <alignment horizontal="center"/>
    </xf>
    <xf numFmtId="0" fontId="10" fillId="996" borderId="1" xfId="0" applyFont="1" applyFill="1" applyBorder="1" applyAlignment="1">
      <alignment horizontal="center"/>
    </xf>
    <xf numFmtId="0" fontId="10" fillId="497" borderId="1" xfId="0" applyFont="1" applyFill="1" applyBorder="1" applyAlignment="1">
      <alignment horizontal="center"/>
    </xf>
    <xf numFmtId="164" fontId="10" fillId="216" borderId="3" xfId="0" applyNumberFormat="1" applyFont="1" applyFill="1" applyBorder="1" applyAlignment="1">
      <alignment horizontal="center"/>
    </xf>
    <xf numFmtId="9" fontId="10" fillId="180" borderId="3" xfId="0" applyNumberFormat="1" applyFont="1" applyFill="1" applyBorder="1" applyAlignment="1">
      <alignment horizontal="center"/>
    </xf>
    <xf numFmtId="0" fontId="10" fillId="562" borderId="2" xfId="0" applyFont="1" applyFill="1" applyBorder="1" applyAlignment="1">
      <alignment horizontal="center"/>
    </xf>
    <xf numFmtId="10" fontId="10" fillId="214" borderId="2" xfId="0" applyNumberFormat="1" applyFont="1" applyFill="1" applyBorder="1" applyAlignment="1">
      <alignment horizontal="center"/>
    </xf>
    <xf numFmtId="10" fontId="10" fillId="360" borderId="3" xfId="0" applyNumberFormat="1" applyFont="1" applyFill="1" applyBorder="1" applyAlignment="1">
      <alignment horizontal="center"/>
    </xf>
    <xf numFmtId="0" fontId="10" fillId="782" borderId="2" xfId="0" applyFont="1" applyFill="1" applyBorder="1" applyAlignment="1">
      <alignment horizontal="center"/>
    </xf>
    <xf numFmtId="0" fontId="10" fillId="782" borderId="3" xfId="0" applyFont="1" applyFill="1" applyBorder="1" applyAlignment="1">
      <alignment horizontal="center"/>
    </xf>
    <xf numFmtId="164" fontId="10" fillId="30" borderId="4" xfId="0" applyNumberFormat="1" applyFont="1" applyFill="1" applyBorder="1" applyAlignment="1">
      <alignment horizontal="center"/>
    </xf>
    <xf numFmtId="9" fontId="10" fillId="451" borderId="4" xfId="0" applyNumberFormat="1" applyFont="1" applyFill="1" applyBorder="1" applyAlignment="1">
      <alignment horizontal="center"/>
    </xf>
    <xf numFmtId="9" fontId="10" fillId="529" borderId="1" xfId="0" applyNumberFormat="1" applyFont="1" applyFill="1" applyBorder="1" applyAlignment="1">
      <alignment horizontal="center"/>
    </xf>
    <xf numFmtId="0" fontId="10" fillId="196" borderId="16" xfId="0" applyFont="1" applyFill="1" applyBorder="1" applyAlignment="1">
      <alignment horizontal="center"/>
    </xf>
    <xf numFmtId="0" fontId="10" fillId="765" borderId="1" xfId="0" applyFont="1" applyFill="1" applyBorder="1" applyAlignment="1">
      <alignment horizontal="center"/>
    </xf>
    <xf numFmtId="0" fontId="10" fillId="765" borderId="4" xfId="0" applyFont="1" applyFill="1" applyBorder="1" applyAlignment="1">
      <alignment horizontal="center"/>
    </xf>
    <xf numFmtId="0" fontId="10" fillId="997" borderId="1" xfId="0" applyFont="1" applyFill="1" applyBorder="1" applyAlignment="1">
      <alignment horizontal="center"/>
    </xf>
    <xf numFmtId="0" fontId="10" fillId="839" borderId="4" xfId="0" applyFont="1" applyFill="1" applyBorder="1" applyAlignment="1">
      <alignment horizontal="center"/>
    </xf>
    <xf numFmtId="0" fontId="10" fillId="97" borderId="2" xfId="0" applyFont="1" applyFill="1" applyBorder="1" applyAlignment="1">
      <alignment horizontal="center"/>
    </xf>
    <xf numFmtId="0" fontId="10" fillId="998" borderId="2" xfId="0" applyFont="1" applyFill="1" applyBorder="1" applyAlignment="1">
      <alignment horizontal="center"/>
    </xf>
    <xf numFmtId="9" fontId="10" fillId="697" borderId="3" xfId="0" applyNumberFormat="1" applyFont="1" applyFill="1" applyBorder="1" applyAlignment="1">
      <alignment horizontal="center"/>
    </xf>
    <xf numFmtId="0" fontId="10" fillId="141" borderId="3" xfId="0" applyFont="1" applyFill="1" applyBorder="1" applyAlignment="1">
      <alignment horizontal="center"/>
    </xf>
    <xf numFmtId="9" fontId="10" fillId="402" borderId="2" xfId="0" applyNumberFormat="1" applyFont="1" applyFill="1" applyBorder="1" applyAlignment="1">
      <alignment horizontal="center"/>
    </xf>
    <xf numFmtId="10" fontId="10" fillId="412" borderId="2" xfId="0" applyNumberFormat="1" applyFont="1" applyFill="1" applyBorder="1" applyAlignment="1">
      <alignment horizontal="center"/>
    </xf>
    <xf numFmtId="0" fontId="20" fillId="719" borderId="5" xfId="0" applyFont="1" applyFill="1" applyBorder="1" applyAlignment="1">
      <alignment horizontal="center"/>
    </xf>
    <xf numFmtId="0" fontId="10" fillId="482" borderId="2" xfId="0" applyFont="1" applyFill="1" applyBorder="1" applyAlignment="1">
      <alignment horizontal="center"/>
    </xf>
    <xf numFmtId="0" fontId="10" fillId="752" borderId="2" xfId="0" applyFont="1" applyFill="1" applyBorder="1" applyAlignment="1">
      <alignment horizontal="center"/>
    </xf>
    <xf numFmtId="0" fontId="10" fillId="422" borderId="3" xfId="0" applyFont="1" applyFill="1" applyBorder="1" applyAlignment="1">
      <alignment horizontal="center"/>
    </xf>
    <xf numFmtId="0" fontId="10" fillId="169" borderId="1" xfId="0" applyFont="1" applyFill="1" applyBorder="1" applyAlignment="1">
      <alignment horizontal="center"/>
    </xf>
    <xf numFmtId="9" fontId="10" fillId="455" borderId="1" xfId="0" applyNumberFormat="1" applyFont="1" applyFill="1" applyBorder="1" applyAlignment="1">
      <alignment horizontal="center"/>
    </xf>
    <xf numFmtId="0" fontId="10" fillId="147" borderId="1" xfId="0" applyFont="1" applyFill="1" applyBorder="1" applyAlignment="1">
      <alignment horizontal="center"/>
    </xf>
    <xf numFmtId="10" fontId="10" fillId="381" borderId="1" xfId="0" applyNumberFormat="1" applyFont="1" applyFill="1" applyBorder="1" applyAlignment="1">
      <alignment horizontal="center"/>
    </xf>
    <xf numFmtId="0" fontId="20" fillId="719" borderId="4" xfId="0" applyFont="1" applyFill="1" applyBorder="1" applyAlignment="1">
      <alignment horizontal="center"/>
    </xf>
    <xf numFmtId="0" fontId="10" fillId="999" borderId="1" xfId="0" applyFont="1" applyFill="1" applyBorder="1" applyAlignment="1">
      <alignment horizontal="center"/>
    </xf>
    <xf numFmtId="10" fontId="10" fillId="354" borderId="2" xfId="0" applyNumberFormat="1" applyFont="1" applyFill="1" applyBorder="1" applyAlignment="1">
      <alignment horizontal="center"/>
    </xf>
    <xf numFmtId="10" fontId="10" fillId="142" borderId="3" xfId="0" applyNumberFormat="1" applyFont="1" applyFill="1" applyBorder="1" applyAlignment="1">
      <alignment horizontal="center"/>
    </xf>
    <xf numFmtId="0" fontId="10" fillId="302" borderId="13" xfId="0" applyFont="1" applyFill="1" applyBorder="1" applyAlignment="1">
      <alignment horizontal="center"/>
    </xf>
    <xf numFmtId="0" fontId="10" fillId="228" borderId="2" xfId="0" applyFont="1" applyFill="1" applyBorder="1" applyAlignment="1">
      <alignment horizontal="center"/>
    </xf>
    <xf numFmtId="0" fontId="10" fillId="88" borderId="2" xfId="0" applyFont="1" applyFill="1" applyBorder="1" applyAlignment="1">
      <alignment horizontal="center"/>
    </xf>
    <xf numFmtId="0" fontId="10" fillId="88" borderId="3" xfId="0" applyFont="1" applyFill="1" applyBorder="1" applyAlignment="1">
      <alignment horizontal="center"/>
    </xf>
    <xf numFmtId="0" fontId="20" fillId="774" borderId="5" xfId="0" applyFont="1" applyFill="1" applyBorder="1" applyAlignment="1">
      <alignment horizontal="center"/>
    </xf>
    <xf numFmtId="0" fontId="10" fillId="991" borderId="2" xfId="0" applyFont="1" applyFill="1" applyBorder="1" applyAlignment="1">
      <alignment horizontal="center"/>
    </xf>
    <xf numFmtId="0" fontId="10" fillId="532" borderId="2" xfId="0" applyFont="1" applyFill="1" applyBorder="1" applyAlignment="1">
      <alignment horizontal="center"/>
    </xf>
    <xf numFmtId="0" fontId="10" fillId="875" borderId="3" xfId="0" applyFont="1" applyFill="1" applyBorder="1" applyAlignment="1">
      <alignment horizontal="center"/>
    </xf>
    <xf numFmtId="164" fontId="10" fillId="426" borderId="4" xfId="0" applyNumberFormat="1" applyFont="1" applyFill="1" applyBorder="1" applyAlignment="1">
      <alignment horizontal="center"/>
    </xf>
    <xf numFmtId="9" fontId="10" fillId="250" borderId="1" xfId="0" applyNumberFormat="1" applyFont="1" applyFill="1" applyBorder="1" applyAlignment="1">
      <alignment horizontal="center"/>
    </xf>
    <xf numFmtId="0" fontId="10" fillId="358" borderId="1" xfId="0" applyFont="1" applyFill="1" applyBorder="1" applyAlignment="1">
      <alignment horizontal="center"/>
    </xf>
    <xf numFmtId="9" fontId="10" fillId="15" borderId="4" xfId="0" applyNumberFormat="1" applyFont="1" applyFill="1" applyBorder="1" applyAlignment="1">
      <alignment horizontal="center"/>
    </xf>
    <xf numFmtId="9" fontId="10" fillId="1000" borderId="1" xfId="0" applyNumberFormat="1" applyFont="1" applyFill="1" applyBorder="1" applyAlignment="1">
      <alignment horizontal="center"/>
    </xf>
    <xf numFmtId="0" fontId="10" fillId="889" borderId="1" xfId="0" applyFont="1" applyFill="1" applyBorder="1" applyAlignment="1">
      <alignment horizontal="center"/>
    </xf>
    <xf numFmtId="0" fontId="20" fillId="774" borderId="4" xfId="0" applyFont="1" applyFill="1" applyBorder="1" applyAlignment="1">
      <alignment horizontal="center"/>
    </xf>
    <xf numFmtId="0" fontId="10" fillId="990" borderId="1" xfId="0" applyFont="1" applyFill="1" applyBorder="1" applyAlignment="1">
      <alignment horizontal="center"/>
    </xf>
    <xf numFmtId="0" fontId="10" fillId="173" borderId="4" xfId="0" applyFont="1" applyFill="1" applyBorder="1" applyAlignment="1">
      <alignment horizontal="center"/>
    </xf>
    <xf numFmtId="164" fontId="10" fillId="307" borderId="3" xfId="0" applyNumberFormat="1" applyFont="1" applyFill="1" applyBorder="1" applyAlignment="1">
      <alignment horizontal="center"/>
    </xf>
    <xf numFmtId="0" fontId="10" fillId="258" borderId="2" xfId="0" applyFont="1" applyFill="1" applyBorder="1" applyAlignment="1">
      <alignment horizontal="center"/>
    </xf>
    <xf numFmtId="9" fontId="10" fillId="250" borderId="2" xfId="0" applyNumberFormat="1" applyFont="1" applyFill="1" applyBorder="1" applyAlignment="1">
      <alignment horizontal="center"/>
    </xf>
    <xf numFmtId="0" fontId="10" fillId="624" borderId="2" xfId="0" applyFont="1" applyFill="1" applyBorder="1" applyAlignment="1">
      <alignment horizontal="center"/>
    </xf>
    <xf numFmtId="9" fontId="10" fillId="100" borderId="3" xfId="0" applyNumberFormat="1" applyFont="1" applyFill="1" applyBorder="1" applyAlignment="1">
      <alignment horizontal="center"/>
    </xf>
    <xf numFmtId="0" fontId="10" fillId="42" borderId="3" xfId="0" applyFont="1" applyFill="1" applyBorder="1" applyAlignment="1">
      <alignment horizontal="center"/>
    </xf>
    <xf numFmtId="9" fontId="10" fillId="131" borderId="2" xfId="0" applyNumberFormat="1" applyFont="1" applyFill="1" applyBorder="1" applyAlignment="1">
      <alignment horizontal="center"/>
    </xf>
    <xf numFmtId="10" fontId="10" fillId="598" borderId="2" xfId="0" applyNumberFormat="1" applyFont="1" applyFill="1" applyBorder="1" applyAlignment="1">
      <alignment horizontal="center"/>
    </xf>
    <xf numFmtId="10" fontId="10" fillId="301" borderId="3" xfId="0" applyNumberFormat="1" applyFont="1" applyFill="1" applyBorder="1" applyAlignment="1">
      <alignment horizontal="center"/>
    </xf>
    <xf numFmtId="0" fontId="10" fillId="775" borderId="3" xfId="0" applyFont="1" applyFill="1" applyBorder="1" applyAlignment="1">
      <alignment horizontal="center"/>
    </xf>
    <xf numFmtId="0" fontId="20" fillId="828" borderId="5" xfId="0" applyFont="1" applyFill="1" applyBorder="1" applyAlignment="1">
      <alignment horizontal="center"/>
    </xf>
    <xf numFmtId="0" fontId="10" fillId="497" borderId="2" xfId="0" applyFont="1" applyFill="1" applyBorder="1" applyAlignment="1">
      <alignment horizontal="center"/>
    </xf>
    <xf numFmtId="164" fontId="10" fillId="432" borderId="1" xfId="0" applyNumberFormat="1" applyFont="1" applyFill="1" applyBorder="1" applyAlignment="1">
      <alignment horizontal="center"/>
    </xf>
    <xf numFmtId="0" fontId="10" fillId="321" borderId="1" xfId="0" applyFont="1" applyFill="1" applyBorder="1" applyAlignment="1">
      <alignment horizontal="center"/>
    </xf>
    <xf numFmtId="0" fontId="10" fillId="378" borderId="1" xfId="0" applyFont="1" applyFill="1" applyBorder="1" applyAlignment="1">
      <alignment horizontal="center"/>
    </xf>
    <xf numFmtId="9" fontId="10" fillId="402" borderId="1" xfId="0" applyNumberFormat="1" applyFont="1" applyFill="1" applyBorder="1" applyAlignment="1">
      <alignment horizontal="center"/>
    </xf>
    <xf numFmtId="0" fontId="20" fillId="828" borderId="4" xfId="0" applyFont="1" applyFill="1" applyBorder="1" applyAlignment="1">
      <alignment horizontal="center"/>
    </xf>
    <xf numFmtId="0" fontId="10" fillId="330" borderId="1" xfId="0" applyFont="1" applyFill="1" applyBorder="1" applyAlignment="1">
      <alignment horizontal="center"/>
    </xf>
    <xf numFmtId="0" fontId="10" fillId="539" borderId="4" xfId="0" applyFont="1" applyFill="1" applyBorder="1" applyAlignment="1">
      <alignment horizontal="center"/>
    </xf>
    <xf numFmtId="0" fontId="10" fillId="581" borderId="2" xfId="0" applyFont="1" applyFill="1" applyBorder="1" applyAlignment="1">
      <alignment horizontal="center"/>
    </xf>
    <xf numFmtId="0" fontId="10" fillId="125" borderId="2" xfId="0" applyFont="1" applyFill="1" applyBorder="1" applyAlignment="1">
      <alignment horizontal="center"/>
    </xf>
    <xf numFmtId="9" fontId="10" fillId="202" borderId="2" xfId="0" applyNumberFormat="1" applyFont="1" applyFill="1" applyBorder="1" applyAlignment="1">
      <alignment horizontal="center"/>
    </xf>
    <xf numFmtId="0" fontId="10" fillId="595" borderId="13" xfId="0" applyFont="1" applyFill="1" applyBorder="1" applyAlignment="1">
      <alignment horizontal="center"/>
    </xf>
    <xf numFmtId="0" fontId="20" fillId="304" borderId="5" xfId="0" applyFont="1" applyFill="1" applyBorder="1" applyAlignment="1">
      <alignment horizontal="center"/>
    </xf>
    <xf numFmtId="9" fontId="10" fillId="100" borderId="4" xfId="0" applyNumberFormat="1" applyFont="1" applyFill="1" applyBorder="1" applyAlignment="1">
      <alignment horizontal="center"/>
    </xf>
    <xf numFmtId="10" fontId="10" fillId="608" borderId="1" xfId="0" applyNumberFormat="1" applyFont="1" applyFill="1" applyBorder="1" applyAlignment="1">
      <alignment horizontal="center"/>
    </xf>
    <xf numFmtId="0" fontId="10" fillId="44" borderId="16" xfId="0" applyFont="1" applyFill="1" applyBorder="1" applyAlignment="1">
      <alignment horizontal="center"/>
    </xf>
    <xf numFmtId="0" fontId="20" fillId="304" borderId="4" xfId="0" applyFont="1" applyFill="1" applyBorder="1" applyAlignment="1">
      <alignment horizontal="center"/>
    </xf>
    <xf numFmtId="0" fontId="10" fillId="1001" borderId="1" xfId="0" applyFont="1" applyFill="1" applyBorder="1" applyAlignment="1">
      <alignment horizontal="center"/>
    </xf>
    <xf numFmtId="0" fontId="10" fillId="331" borderId="1" xfId="0" applyFont="1" applyFill="1" applyBorder="1" applyAlignment="1">
      <alignment horizontal="center"/>
    </xf>
    <xf numFmtId="0" fontId="10" fillId="338" borderId="4" xfId="0" applyFont="1" applyFill="1" applyBorder="1" applyAlignment="1">
      <alignment horizontal="center"/>
    </xf>
    <xf numFmtId="164" fontId="10" fillId="387" borderId="2" xfId="0" applyNumberFormat="1" applyFont="1" applyFill="1" applyBorder="1" applyAlignment="1">
      <alignment horizontal="center"/>
    </xf>
    <xf numFmtId="164" fontId="10" fillId="387" borderId="3" xfId="0" applyNumberFormat="1" applyFont="1" applyFill="1" applyBorder="1" applyAlignment="1">
      <alignment horizontal="center"/>
    </xf>
    <xf numFmtId="0" fontId="10" fillId="336" borderId="2" xfId="0" applyFont="1" applyFill="1" applyBorder="1" applyAlignment="1">
      <alignment horizontal="center"/>
    </xf>
    <xf numFmtId="9" fontId="10" fillId="167" borderId="3" xfId="0" applyNumberFormat="1" applyFont="1" applyFill="1" applyBorder="1" applyAlignment="1">
      <alignment horizontal="center"/>
    </xf>
    <xf numFmtId="10" fontId="10" fillId="373" borderId="2" xfId="0" applyNumberFormat="1" applyFont="1" applyFill="1" applyBorder="1" applyAlignment="1">
      <alignment horizontal="center"/>
    </xf>
    <xf numFmtId="0" fontId="10" fillId="197" borderId="13" xfId="0" applyFont="1" applyFill="1" applyBorder="1" applyAlignment="1">
      <alignment horizontal="center"/>
    </xf>
    <xf numFmtId="0" fontId="10" fillId="120" borderId="3" xfId="0" applyFont="1" applyFill="1" applyBorder="1" applyAlignment="1">
      <alignment horizontal="center"/>
    </xf>
    <xf numFmtId="0" fontId="10" fillId="952" borderId="2" xfId="0" applyFont="1" applyFill="1" applyBorder="1" applyAlignment="1">
      <alignment horizontal="center"/>
    </xf>
    <xf numFmtId="0" fontId="10" fillId="462" borderId="3" xfId="0" applyFont="1" applyFill="1" applyBorder="1" applyAlignment="1">
      <alignment horizontal="center"/>
    </xf>
    <xf numFmtId="164" fontId="10" fillId="380" borderId="1" xfId="0" applyNumberFormat="1" applyFont="1" applyFill="1" applyBorder="1" applyAlignment="1">
      <alignment horizontal="center"/>
    </xf>
    <xf numFmtId="164" fontId="10" fillId="340" borderId="4" xfId="0" applyNumberFormat="1" applyFont="1" applyFill="1" applyBorder="1" applyAlignment="1">
      <alignment horizontal="center"/>
    </xf>
    <xf numFmtId="0" fontId="10" fillId="508" borderId="1" xfId="0" applyFont="1" applyFill="1" applyBorder="1" applyAlignment="1">
      <alignment horizontal="center"/>
    </xf>
    <xf numFmtId="0" fontId="10" fillId="376" borderId="1" xfId="0" applyFont="1" applyFill="1" applyBorder="1" applyAlignment="1">
      <alignment horizontal="center"/>
    </xf>
    <xf numFmtId="0" fontId="10" fillId="642" borderId="4" xfId="0" applyFont="1" applyFill="1" applyBorder="1" applyAlignment="1">
      <alignment horizontal="center"/>
    </xf>
    <xf numFmtId="10" fontId="10" fillId="142" borderId="4" xfId="0" applyNumberFormat="1" applyFont="1" applyFill="1" applyBorder="1" applyAlignment="1">
      <alignment horizontal="center"/>
    </xf>
    <xf numFmtId="0" fontId="10" fillId="858" borderId="1" xfId="0" applyFont="1" applyFill="1" applyBorder="1" applyAlignment="1">
      <alignment horizontal="center"/>
    </xf>
    <xf numFmtId="0" fontId="10" fillId="574" borderId="1" xfId="0" applyFont="1" applyFill="1" applyBorder="1" applyAlignment="1">
      <alignment horizontal="center"/>
    </xf>
    <xf numFmtId="0" fontId="10" fillId="574" borderId="4" xfId="0" applyFont="1" applyFill="1" applyBorder="1" applyAlignment="1">
      <alignment horizontal="center"/>
    </xf>
    <xf numFmtId="0" fontId="10" fillId="103" borderId="1" xfId="0" applyFont="1" applyFill="1" applyBorder="1" applyAlignment="1">
      <alignment horizontal="center"/>
    </xf>
    <xf numFmtId="0" fontId="10" fillId="539" borderId="1" xfId="0" applyFont="1" applyFill="1" applyBorder="1" applyAlignment="1">
      <alignment horizontal="center"/>
    </xf>
    <xf numFmtId="0" fontId="10" fillId="831" borderId="4" xfId="0" applyFont="1" applyFill="1" applyBorder="1" applyAlignment="1">
      <alignment horizontal="center"/>
    </xf>
    <xf numFmtId="164" fontId="10" fillId="340" borderId="2" xfId="0" applyNumberFormat="1" applyFont="1" applyFill="1" applyBorder="1" applyAlignment="1">
      <alignment horizontal="center"/>
    </xf>
    <xf numFmtId="164" fontId="10" fillId="340" borderId="3" xfId="0" applyNumberFormat="1" applyFont="1" applyFill="1" applyBorder="1" applyAlignment="1">
      <alignment horizontal="center"/>
    </xf>
    <xf numFmtId="0" fontId="10" fillId="84" borderId="2" xfId="0" applyFont="1" applyFill="1" applyBorder="1" applyAlignment="1">
      <alignment horizontal="center"/>
    </xf>
    <xf numFmtId="9" fontId="10" fillId="819" borderId="3" xfId="0" applyNumberFormat="1" applyFont="1" applyFill="1" applyBorder="1" applyAlignment="1">
      <alignment horizontal="center"/>
    </xf>
    <xf numFmtId="0" fontId="10" fillId="271" borderId="3" xfId="0" applyFont="1" applyFill="1" applyBorder="1" applyAlignment="1">
      <alignment horizontal="center"/>
    </xf>
    <xf numFmtId="0" fontId="10" fillId="407" borderId="2" xfId="0" applyFont="1" applyFill="1" applyBorder="1" applyAlignment="1">
      <alignment horizontal="center"/>
    </xf>
    <xf numFmtId="10" fontId="10" fillId="196" borderId="2" xfId="0" applyNumberFormat="1" applyFont="1" applyFill="1" applyBorder="1" applyAlignment="1">
      <alignment horizontal="center"/>
    </xf>
    <xf numFmtId="10" fontId="10" fillId="294" borderId="3" xfId="0" applyNumberFormat="1" applyFont="1" applyFill="1" applyBorder="1" applyAlignment="1">
      <alignment horizontal="center"/>
    </xf>
    <xf numFmtId="0" fontId="10" fillId="779" borderId="3" xfId="0" applyFont="1" applyFill="1" applyBorder="1" applyAlignment="1">
      <alignment horizontal="center"/>
    </xf>
    <xf numFmtId="0" fontId="10" fillId="549" borderId="2" xfId="0" applyFont="1" applyFill="1" applyBorder="1" applyAlignment="1">
      <alignment horizontal="center"/>
    </xf>
    <xf numFmtId="0" fontId="10" fillId="330" borderId="2" xfId="0" applyFont="1" applyFill="1" applyBorder="1" applyAlignment="1">
      <alignment horizontal="center"/>
    </xf>
    <xf numFmtId="0" fontId="10" fillId="1002" borderId="2" xfId="0" applyFont="1" applyFill="1" applyBorder="1" applyAlignment="1">
      <alignment horizontal="center"/>
    </xf>
    <xf numFmtId="0" fontId="10" fillId="831" borderId="3" xfId="0" applyFont="1" applyFill="1" applyBorder="1" applyAlignment="1">
      <alignment horizontal="center"/>
    </xf>
    <xf numFmtId="164" fontId="10" fillId="347" borderId="3" xfId="0" applyNumberFormat="1" applyFont="1" applyFill="1" applyBorder="1" applyAlignment="1">
      <alignment horizontal="center"/>
    </xf>
    <xf numFmtId="0" fontId="10" fillId="265" borderId="1" xfId="0" applyFont="1" applyFill="1" applyBorder="1" applyAlignment="1">
      <alignment horizontal="center"/>
    </xf>
    <xf numFmtId="9" fontId="10" fillId="110" borderId="4" xfId="0" applyNumberFormat="1" applyFont="1" applyFill="1" applyBorder="1" applyAlignment="1">
      <alignment horizontal="center"/>
    </xf>
    <xf numFmtId="0" fontId="10" fillId="15" borderId="1" xfId="0" applyFont="1" applyFill="1" applyBorder="1" applyAlignment="1">
      <alignment horizontal="center"/>
    </xf>
    <xf numFmtId="9" fontId="10" fillId="141" borderId="1" xfId="0" applyNumberFormat="1" applyFont="1" applyFill="1" applyBorder="1" applyAlignment="1">
      <alignment horizontal="center"/>
    </xf>
    <xf numFmtId="10" fontId="10" fillId="18" borderId="1" xfId="0" applyNumberFormat="1" applyFont="1" applyFill="1" applyBorder="1" applyAlignment="1">
      <alignment horizontal="center"/>
    </xf>
    <xf numFmtId="10" fontId="10" fillId="392" borderId="4" xfId="0" applyNumberFormat="1" applyFont="1" applyFill="1" applyBorder="1" applyAlignment="1">
      <alignment horizontal="center"/>
    </xf>
    <xf numFmtId="0" fontId="3" fillId="0" borderId="0" xfId="0" applyFont="1" applyAlignment="1">
      <alignment horizontal="right"/>
    </xf>
    <xf numFmtId="20" fontId="3" fillId="0" borderId="0" xfId="0" applyNumberFormat="1" applyFont="1" applyAlignment="1">
      <alignment horizontal="right"/>
    </xf>
    <xf numFmtId="0" fontId="26" fillId="0" borderId="0" xfId="0" applyFont="1"/>
    <xf numFmtId="0" fontId="1" fillId="1003" borderId="0" xfId="0" applyFont="1" applyFill="1"/>
    <xf numFmtId="20" fontId="1" fillId="1003" borderId="0" xfId="0" applyNumberFormat="1" applyFont="1" applyFill="1"/>
    <xf numFmtId="0" fontId="1" fillId="1004" borderId="0" xfId="0" applyFont="1" applyFill="1" applyAlignment="1">
      <alignment horizontal="right"/>
    </xf>
    <xf numFmtId="10" fontId="4" fillId="1004" borderId="0" xfId="0" applyNumberFormat="1" applyFont="1" applyFill="1" applyAlignment="1">
      <alignment horizontal="right"/>
    </xf>
    <xf numFmtId="3" fontId="4" fillId="1004" borderId="0" xfId="0" applyNumberFormat="1" applyFont="1" applyFill="1" applyAlignment="1">
      <alignment horizontal="right"/>
    </xf>
    <xf numFmtId="0" fontId="1" fillId="1004" borderId="0" xfId="0" applyFont="1" applyFill="1"/>
    <xf numFmtId="20" fontId="1" fillId="1004" borderId="0" xfId="0" applyNumberFormat="1" applyFont="1" applyFill="1"/>
    <xf numFmtId="0" fontId="4" fillId="1004" borderId="0" xfId="0" applyFont="1" applyFill="1" applyAlignment="1">
      <alignment horizontal="right"/>
    </xf>
    <xf numFmtId="10" fontId="1" fillId="1004" borderId="0" xfId="0" applyNumberFormat="1" applyFont="1" applyFill="1" applyAlignment="1">
      <alignment horizontal="right"/>
    </xf>
    <xf numFmtId="3" fontId="1" fillId="1004" borderId="0" xfId="0" applyNumberFormat="1" applyFont="1" applyFill="1"/>
    <xf numFmtId="0" fontId="27" fillId="2" borderId="0" xfId="0" applyFont="1" applyFill="1"/>
    <xf numFmtId="0" fontId="6" fillId="0" borderId="0" xfId="0" applyFont="1"/>
    <xf numFmtId="0" fontId="28" fillId="0" borderId="0" xfId="0" applyFont="1"/>
    <xf numFmtId="0" fontId="28" fillId="0" borderId="0" xfId="0" applyFont="1" applyAlignment="1">
      <alignment horizontal="right"/>
    </xf>
    <xf numFmtId="20" fontId="28" fillId="0" borderId="0" xfId="0" applyNumberFormat="1" applyFont="1" applyAlignment="1">
      <alignment horizontal="right"/>
    </xf>
    <xf numFmtId="0" fontId="29" fillId="0" borderId="0" xfId="0" applyFont="1"/>
    <xf numFmtId="0" fontId="10" fillId="2" borderId="5" xfId="0" applyFont="1" applyFill="1" applyBorder="1" applyAlignment="1">
      <alignment horizontal="center"/>
    </xf>
    <xf numFmtId="0" fontId="22" fillId="0" borderId="4" xfId="0" applyFont="1" applyBorder="1"/>
    <xf numFmtId="0" fontId="10" fillId="12" borderId="5" xfId="0" applyFont="1" applyFill="1" applyBorder="1" applyAlignment="1">
      <alignment horizontal="center"/>
    </xf>
    <xf numFmtId="0" fontId="20" fillId="2" borderId="5" xfId="0" applyFont="1" applyFill="1" applyBorder="1" applyAlignment="1">
      <alignment horizontal="center" wrapText="1"/>
    </xf>
    <xf numFmtId="0" fontId="1" fillId="0" borderId="1" xfId="0" applyFont="1" applyBorder="1"/>
    <xf numFmtId="0" fontId="22" fillId="0" borderId="1" xfId="0" applyFont="1" applyBorder="1"/>
    <xf numFmtId="0" fontId="21" fillId="7" borderId="1" xfId="0" applyFont="1" applyFill="1" applyBorder="1" applyAlignment="1">
      <alignment horizontal="center"/>
    </xf>
    <xf numFmtId="0" fontId="21" fillId="8" borderId="1" xfId="0" applyFont="1" applyFill="1" applyBorder="1" applyAlignment="1">
      <alignment horizontal="center"/>
    </xf>
    <xf numFmtId="0" fontId="21" fillId="9" borderId="1" xfId="0" applyFont="1" applyFill="1" applyBorder="1" applyAlignment="1">
      <alignment horizontal="center"/>
    </xf>
    <xf numFmtId="0" fontId="20" fillId="2" borderId="5" xfId="0" applyFont="1" applyFill="1" applyBorder="1" applyAlignment="1">
      <alignment horizontal="center"/>
    </xf>
    <xf numFmtId="0" fontId="21" fillId="6" borderId="1" xfId="0" applyFont="1" applyFill="1" applyBorder="1" applyAlignment="1">
      <alignment horizontal="center"/>
    </xf>
    <xf numFmtId="0" fontId="21" fillId="10" borderId="1" xfId="0" applyFont="1" applyFill="1" applyBorder="1" applyAlignment="1">
      <alignment horizontal="center"/>
    </xf>
    <xf numFmtId="0" fontId="25" fillId="2" borderId="5" xfId="0" applyFont="1" applyFill="1" applyBorder="1" applyAlignment="1">
      <alignment horizontal="center" wrapText="1"/>
    </xf>
    <xf numFmtId="0" fontId="1" fillId="12" borderId="5" xfId="0" applyFont="1" applyFill="1" applyBorder="1"/>
    <xf numFmtId="0" fontId="1" fillId="2" borderId="5" xfId="0" applyFont="1" applyFill="1" applyBorder="1"/>
    <xf numFmtId="0" fontId="1" fillId="6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ufcstats.com/fight-details/eda1e8c285a0a788" TargetMode="External"/><Relationship Id="rId21" Type="http://schemas.openxmlformats.org/officeDocument/2006/relationships/hyperlink" Target="http://ufcstats.com/fight-details/9785420602b452f7" TargetMode="External"/><Relationship Id="rId63" Type="http://schemas.openxmlformats.org/officeDocument/2006/relationships/hyperlink" Target="https://www.sherdog.com/fighter/Sean-Woodson-235563" TargetMode="External"/><Relationship Id="rId159" Type="http://schemas.openxmlformats.org/officeDocument/2006/relationships/hyperlink" Target="http://ufcstats.com/fight-details/640f2ae3995b3b4f" TargetMode="External"/><Relationship Id="rId170" Type="http://schemas.openxmlformats.org/officeDocument/2006/relationships/hyperlink" Target="http://ufcstats.com/fight-details/ce33085fc5205bab" TargetMode="External"/><Relationship Id="rId226" Type="http://schemas.openxmlformats.org/officeDocument/2006/relationships/hyperlink" Target="http://ufcstats.com/fight-details/eb9f9f61507497a5" TargetMode="External"/><Relationship Id="rId268" Type="http://schemas.openxmlformats.org/officeDocument/2006/relationships/hyperlink" Target="http://ufcstats.com/fight-details/d4ace70b3661ee6c" TargetMode="External"/><Relationship Id="rId32" Type="http://schemas.openxmlformats.org/officeDocument/2006/relationships/hyperlink" Target="http://ufcstats.com/fight-details/246d06693b5ca1e8" TargetMode="External"/><Relationship Id="rId74" Type="http://schemas.openxmlformats.org/officeDocument/2006/relationships/hyperlink" Target="http://ufcstats.com/fight-details/93ddc6b233d1956a" TargetMode="External"/><Relationship Id="rId128" Type="http://schemas.openxmlformats.org/officeDocument/2006/relationships/hyperlink" Target="http://ufcstats.com/fight-details/0976778a6e6cf8a8" TargetMode="External"/><Relationship Id="rId5" Type="http://schemas.openxmlformats.org/officeDocument/2006/relationships/hyperlink" Target="http://ufcstats.com/fight-details/f9ec8bedc15ece93" TargetMode="External"/><Relationship Id="rId181" Type="http://schemas.openxmlformats.org/officeDocument/2006/relationships/hyperlink" Target="http://ufcstats.com/fight-details/e30250daa73005a8" TargetMode="External"/><Relationship Id="rId237" Type="http://schemas.openxmlformats.org/officeDocument/2006/relationships/hyperlink" Target="http://ufcstats.com/fight-details/1efc813ccd7a5aba" TargetMode="External"/><Relationship Id="rId279" Type="http://schemas.openxmlformats.org/officeDocument/2006/relationships/hyperlink" Target="https://www.sherdog.com/fighter/Polyana-Viana-153951" TargetMode="External"/><Relationship Id="rId22" Type="http://schemas.openxmlformats.org/officeDocument/2006/relationships/hyperlink" Target="http://ufcstats.com/fight-details/e92fb5c609e20b49" TargetMode="External"/><Relationship Id="rId43" Type="http://schemas.openxmlformats.org/officeDocument/2006/relationships/hyperlink" Target="http://ufcstats.com/fight-details/acc7392d48cc09a0" TargetMode="External"/><Relationship Id="rId64" Type="http://schemas.openxmlformats.org/officeDocument/2006/relationships/hyperlink" Target="https://www.sherdog.com/fighter/Sean-Woodson-235563" TargetMode="External"/><Relationship Id="rId118" Type="http://schemas.openxmlformats.org/officeDocument/2006/relationships/hyperlink" Target="http://ufcstats.com/fight-details/697e38075fd41819" TargetMode="External"/><Relationship Id="rId139" Type="http://schemas.openxmlformats.org/officeDocument/2006/relationships/hyperlink" Target="http://ufcstats.com/fight-details/8a121f9c48f3773c" TargetMode="External"/><Relationship Id="rId85" Type="http://schemas.openxmlformats.org/officeDocument/2006/relationships/hyperlink" Target="http://ufcstats.com/fight-details/ab105e5a56b5ee90" TargetMode="External"/><Relationship Id="rId150" Type="http://schemas.openxmlformats.org/officeDocument/2006/relationships/hyperlink" Target="http://ufcstats.com/fight-details/8baff440b82afd2b" TargetMode="External"/><Relationship Id="rId171" Type="http://schemas.openxmlformats.org/officeDocument/2006/relationships/hyperlink" Target="http://ufcstats.com/fight-details/406f2aacd1d1faf9" TargetMode="External"/><Relationship Id="rId192" Type="http://schemas.openxmlformats.org/officeDocument/2006/relationships/hyperlink" Target="http://ufcstats.com/fight-details/767ceb4a0cb43ade" TargetMode="External"/><Relationship Id="rId206" Type="http://schemas.openxmlformats.org/officeDocument/2006/relationships/hyperlink" Target="http://ufcstats.com/fight-details/3fa8ee3fdc04fe36" TargetMode="External"/><Relationship Id="rId227" Type="http://schemas.openxmlformats.org/officeDocument/2006/relationships/hyperlink" Target="http://ufcstats.com/fight-details/270edfb687c0d20c" TargetMode="External"/><Relationship Id="rId248" Type="http://schemas.openxmlformats.org/officeDocument/2006/relationships/hyperlink" Target="https://www.sherdog.com/fighter/Priscila-Cachoeira-227399" TargetMode="External"/><Relationship Id="rId269" Type="http://schemas.openxmlformats.org/officeDocument/2006/relationships/hyperlink" Target="http://ufcstats.com/fight-details/6fd67582d8adb1c7" TargetMode="External"/><Relationship Id="rId12" Type="http://schemas.openxmlformats.org/officeDocument/2006/relationships/hyperlink" Target="http://ufcstats.com/fight-details/1f7566c90343a680" TargetMode="External"/><Relationship Id="rId33" Type="http://schemas.openxmlformats.org/officeDocument/2006/relationships/hyperlink" Target="http://ufcstats.com/fight-details/2ae243f518948794" TargetMode="External"/><Relationship Id="rId108" Type="http://schemas.openxmlformats.org/officeDocument/2006/relationships/hyperlink" Target="http://ufcstats.com/fight-details/1456a3f96ac7e35b" TargetMode="External"/><Relationship Id="rId129" Type="http://schemas.openxmlformats.org/officeDocument/2006/relationships/hyperlink" Target="http://ufcstats.com/fight-details/01f7c28804746979" TargetMode="External"/><Relationship Id="rId280" Type="http://schemas.openxmlformats.org/officeDocument/2006/relationships/hyperlink" Target="https://www.sherdog.com/fighter/Polyana-Viana-153951" TargetMode="External"/><Relationship Id="rId54" Type="http://schemas.openxmlformats.org/officeDocument/2006/relationships/hyperlink" Target="http://ufcstats.com/fight-details/9c22ddb8d8fc1838" TargetMode="External"/><Relationship Id="rId75" Type="http://schemas.openxmlformats.org/officeDocument/2006/relationships/hyperlink" Target="http://ufcstats.com/fight-details/f4ea27d942a390a5" TargetMode="External"/><Relationship Id="rId96" Type="http://schemas.openxmlformats.org/officeDocument/2006/relationships/hyperlink" Target="http://ufcstats.com/fight-details/df9847839c73a678" TargetMode="External"/><Relationship Id="rId140" Type="http://schemas.openxmlformats.org/officeDocument/2006/relationships/hyperlink" Target="http://ufcstats.com/fight-details/2faf5b8d708f8e94" TargetMode="External"/><Relationship Id="rId161" Type="http://schemas.openxmlformats.org/officeDocument/2006/relationships/hyperlink" Target="http://ufcstats.com/fight-details/5ac1725f775c6f00" TargetMode="External"/><Relationship Id="rId182" Type="http://schemas.openxmlformats.org/officeDocument/2006/relationships/hyperlink" Target="http://ufcstats.com/fight-details/d564e3a6c77d0c85" TargetMode="External"/><Relationship Id="rId217" Type="http://schemas.openxmlformats.org/officeDocument/2006/relationships/hyperlink" Target="https://www.sherdog.com/fighter/Yohan-Lainesse-295377" TargetMode="External"/><Relationship Id="rId6" Type="http://schemas.openxmlformats.org/officeDocument/2006/relationships/hyperlink" Target="http://ufcstats.com/fight-details/fbedeb4e4b019b94" TargetMode="External"/><Relationship Id="rId238" Type="http://schemas.openxmlformats.org/officeDocument/2006/relationships/hyperlink" Target="http://ufcstats.com/fight-details/3adab28c5c6a9254" TargetMode="External"/><Relationship Id="rId259" Type="http://schemas.openxmlformats.org/officeDocument/2006/relationships/hyperlink" Target="http://ufcstats.com/fight-details/45de6d0b9cf5451c" TargetMode="External"/><Relationship Id="rId23" Type="http://schemas.openxmlformats.org/officeDocument/2006/relationships/hyperlink" Target="http://ufcstats.com/fight-details/6cd542650d886c22" TargetMode="External"/><Relationship Id="rId119" Type="http://schemas.openxmlformats.org/officeDocument/2006/relationships/hyperlink" Target="http://ufcstats.com/fight-details/df3cc5ec78d05a71" TargetMode="External"/><Relationship Id="rId270" Type="http://schemas.openxmlformats.org/officeDocument/2006/relationships/hyperlink" Target="http://ufcstats.com/fight-details/a0362d60d2e1db0d" TargetMode="External"/><Relationship Id="rId44" Type="http://schemas.openxmlformats.org/officeDocument/2006/relationships/hyperlink" Target="http://ufcstats.com/fight-details/3b05a4ced6dd74f5" TargetMode="External"/><Relationship Id="rId65" Type="http://schemas.openxmlformats.org/officeDocument/2006/relationships/hyperlink" Target="http://ufcstats.com/fight-details/331ddc1141e934d1" TargetMode="External"/><Relationship Id="rId86" Type="http://schemas.openxmlformats.org/officeDocument/2006/relationships/hyperlink" Target="http://ufcstats.com/fight-details/fd29123ff92789e4" TargetMode="External"/><Relationship Id="rId130" Type="http://schemas.openxmlformats.org/officeDocument/2006/relationships/hyperlink" Target="http://ufcstats.com/fight-details/18824fa5c15c212f" TargetMode="External"/><Relationship Id="rId151" Type="http://schemas.openxmlformats.org/officeDocument/2006/relationships/hyperlink" Target="http://ufcstats.com/fight-details/4e566db7d26df001" TargetMode="External"/><Relationship Id="rId172" Type="http://schemas.openxmlformats.org/officeDocument/2006/relationships/hyperlink" Target="https://www.sherdog.com/fighter/MarcAndre-Barriault-170803" TargetMode="External"/><Relationship Id="rId193" Type="http://schemas.openxmlformats.org/officeDocument/2006/relationships/hyperlink" Target="http://ufcstats.com/fight-details/1afc4f372a125c74" TargetMode="External"/><Relationship Id="rId207" Type="http://schemas.openxmlformats.org/officeDocument/2006/relationships/hyperlink" Target="https://www.sherdog.com/fighter/Mayra-Bueno-Silva-223917" TargetMode="External"/><Relationship Id="rId228" Type="http://schemas.openxmlformats.org/officeDocument/2006/relationships/hyperlink" Target="http://ufcstats.com/fight-details/68f7f992603192c6" TargetMode="External"/><Relationship Id="rId249" Type="http://schemas.openxmlformats.org/officeDocument/2006/relationships/hyperlink" Target="http://ufcstats.com/fight-details/7736eb6bd5c1ff4a" TargetMode="External"/><Relationship Id="rId13" Type="http://schemas.openxmlformats.org/officeDocument/2006/relationships/hyperlink" Target="http://ufcstats.com/fight-details/17e8ab0065e9085f" TargetMode="External"/><Relationship Id="rId109" Type="http://schemas.openxmlformats.org/officeDocument/2006/relationships/hyperlink" Target="http://ufcstats.com/fight-details/a8718a3419a11e15" TargetMode="External"/><Relationship Id="rId260" Type="http://schemas.openxmlformats.org/officeDocument/2006/relationships/hyperlink" Target="http://ufcstats.com/fight-details/1631f70535ae5dcc" TargetMode="External"/><Relationship Id="rId281" Type="http://schemas.openxmlformats.org/officeDocument/2006/relationships/hyperlink" Target="http://ufcstats.com/fight-details/dff2685afd98ed9e" TargetMode="External"/><Relationship Id="rId34" Type="http://schemas.openxmlformats.org/officeDocument/2006/relationships/hyperlink" Target="http://ufcstats.com/fight-details/57333b7bff20ece0" TargetMode="External"/><Relationship Id="rId55" Type="http://schemas.openxmlformats.org/officeDocument/2006/relationships/hyperlink" Target="http://ufcstats.com/fight-details/32375b4435fea5e6" TargetMode="External"/><Relationship Id="rId76" Type="http://schemas.openxmlformats.org/officeDocument/2006/relationships/hyperlink" Target="http://ufcstats.com/fight-details/3d3dde60e3d59c1c" TargetMode="External"/><Relationship Id="rId97" Type="http://schemas.openxmlformats.org/officeDocument/2006/relationships/hyperlink" Target="http://ufcstats.com/fight-details/6f13fe34cb3ca906" TargetMode="External"/><Relationship Id="rId120" Type="http://schemas.openxmlformats.org/officeDocument/2006/relationships/hyperlink" Target="http://ufcstats.com/fight-details/aeb3e4d9710207a4" TargetMode="External"/><Relationship Id="rId141" Type="http://schemas.openxmlformats.org/officeDocument/2006/relationships/hyperlink" Target="http://ufcstats.com/fight-details/b9de363e6b406853" TargetMode="External"/><Relationship Id="rId7" Type="http://schemas.openxmlformats.org/officeDocument/2006/relationships/hyperlink" Target="http://ufcstats.com/fight-details/c1aef0f60a5b62e3" TargetMode="External"/><Relationship Id="rId162" Type="http://schemas.openxmlformats.org/officeDocument/2006/relationships/hyperlink" Target="http://ufcstats.com/fight-details/9feb9500b0fedfcd" TargetMode="External"/><Relationship Id="rId183" Type="http://schemas.openxmlformats.org/officeDocument/2006/relationships/hyperlink" Target="http://ufcstats.com/fight-details/569e0ba18701c305" TargetMode="External"/><Relationship Id="rId218" Type="http://schemas.openxmlformats.org/officeDocument/2006/relationships/hyperlink" Target="https://www.sherdog.com/fighter/Yohan-Lainesse-295377" TargetMode="External"/><Relationship Id="rId239" Type="http://schemas.openxmlformats.org/officeDocument/2006/relationships/hyperlink" Target="http://ufcstats.com/fight-details/32813f5f46f045e8" TargetMode="External"/><Relationship Id="rId250" Type="http://schemas.openxmlformats.org/officeDocument/2006/relationships/hyperlink" Target="http://ufcstats.com/fight-details/609d994bfe440ec3" TargetMode="External"/><Relationship Id="rId271" Type="http://schemas.openxmlformats.org/officeDocument/2006/relationships/hyperlink" Target="http://ufcstats.com/fight-details/c84a29f426f1aab7" TargetMode="External"/><Relationship Id="rId24" Type="http://schemas.openxmlformats.org/officeDocument/2006/relationships/hyperlink" Target="https://www.sherdog.com/fighter/Garrett-Armfield-254941" TargetMode="External"/><Relationship Id="rId45" Type="http://schemas.openxmlformats.org/officeDocument/2006/relationships/hyperlink" Target="http://ufcstats.com/fight-details/50dae6b76c9c6490" TargetMode="External"/><Relationship Id="rId66" Type="http://schemas.openxmlformats.org/officeDocument/2006/relationships/hyperlink" Target="http://ufcstats.com/fight-details/0494ebcee93e717b" TargetMode="External"/><Relationship Id="rId87" Type="http://schemas.openxmlformats.org/officeDocument/2006/relationships/hyperlink" Target="http://ufcstats.com/fight-details/4ec249e549309b16" TargetMode="External"/><Relationship Id="rId110" Type="http://schemas.openxmlformats.org/officeDocument/2006/relationships/hyperlink" Target="http://ufcstats.com/fight-details/f41e83de703acf85" TargetMode="External"/><Relationship Id="rId131" Type="http://schemas.openxmlformats.org/officeDocument/2006/relationships/hyperlink" Target="http://ufcstats.com/fight-details/47f8812a335b6ce9" TargetMode="External"/><Relationship Id="rId152" Type="http://schemas.openxmlformats.org/officeDocument/2006/relationships/hyperlink" Target="http://ufcstats.com/fight-details/ecbece0cbd60029e" TargetMode="External"/><Relationship Id="rId173" Type="http://schemas.openxmlformats.org/officeDocument/2006/relationships/hyperlink" Target="https://www.sherdog.com/fighter/MarcAndre-Barriault-170803" TargetMode="External"/><Relationship Id="rId194" Type="http://schemas.openxmlformats.org/officeDocument/2006/relationships/hyperlink" Target="http://ufcstats.com/fight-details/02713b2d25f74d43" TargetMode="External"/><Relationship Id="rId208" Type="http://schemas.openxmlformats.org/officeDocument/2006/relationships/hyperlink" Target="https://www.sherdog.com/fighter/Mayra-Bueno-Silva-223917" TargetMode="External"/><Relationship Id="rId229" Type="http://schemas.openxmlformats.org/officeDocument/2006/relationships/hyperlink" Target="http://ufcstats.com/fight-details/8fb0092430448368" TargetMode="External"/><Relationship Id="rId240" Type="http://schemas.openxmlformats.org/officeDocument/2006/relationships/hyperlink" Target="http://ufcstats.com/fight-details/73ebbfb998edc1f1" TargetMode="External"/><Relationship Id="rId261" Type="http://schemas.openxmlformats.org/officeDocument/2006/relationships/hyperlink" Target="http://ufcstats.com/fight-details/faf19712bd7ea41e" TargetMode="External"/><Relationship Id="rId14" Type="http://schemas.openxmlformats.org/officeDocument/2006/relationships/hyperlink" Target="http://ufcstats.com/fight-details/127be512f86618b2" TargetMode="External"/><Relationship Id="rId35" Type="http://schemas.openxmlformats.org/officeDocument/2006/relationships/hyperlink" Target="http://ufcstats.com/fight-details/c456b1950208e0b2" TargetMode="External"/><Relationship Id="rId56" Type="http://schemas.openxmlformats.org/officeDocument/2006/relationships/hyperlink" Target="http://ufcstats.com/fight-details/636b01ee49925e49" TargetMode="External"/><Relationship Id="rId77" Type="http://schemas.openxmlformats.org/officeDocument/2006/relationships/hyperlink" Target="http://ufcstats.com/fight-details/5a82757b553c40fc" TargetMode="External"/><Relationship Id="rId100" Type="http://schemas.openxmlformats.org/officeDocument/2006/relationships/hyperlink" Target="http://ufcstats.com/fight-details/e98eb6de29c62c9c" TargetMode="External"/><Relationship Id="rId282" Type="http://schemas.openxmlformats.org/officeDocument/2006/relationships/hyperlink" Target="http://ufcstats.com/fight-details/acde7c89bd724af8" TargetMode="External"/><Relationship Id="rId8" Type="http://schemas.openxmlformats.org/officeDocument/2006/relationships/hyperlink" Target="http://ufcstats.com/fight-details/5c3b8819dbe98114" TargetMode="External"/><Relationship Id="rId98" Type="http://schemas.openxmlformats.org/officeDocument/2006/relationships/hyperlink" Target="http://ufcstats.com/fight-details/fce6522f42b48f18" TargetMode="External"/><Relationship Id="rId121" Type="http://schemas.openxmlformats.org/officeDocument/2006/relationships/hyperlink" Target="http://ufcstats.com/fight-details/dbfd7616dec2b6d5" TargetMode="External"/><Relationship Id="rId142" Type="http://schemas.openxmlformats.org/officeDocument/2006/relationships/hyperlink" Target="http://ufcstats.com/fight-details/89db7aca37b87711" TargetMode="External"/><Relationship Id="rId163" Type="http://schemas.openxmlformats.org/officeDocument/2006/relationships/hyperlink" Target="http://ufcstats.com/fight-details/03eecf1926d9c77c" TargetMode="External"/><Relationship Id="rId184" Type="http://schemas.openxmlformats.org/officeDocument/2006/relationships/hyperlink" Target="http://ufcstats.com/fight-details/f0a9dfbb6f6ac852" TargetMode="External"/><Relationship Id="rId219" Type="http://schemas.openxmlformats.org/officeDocument/2006/relationships/hyperlink" Target="http://ufcstats.com/fight-details/a10e2d5416972b9c" TargetMode="External"/><Relationship Id="rId230" Type="http://schemas.openxmlformats.org/officeDocument/2006/relationships/hyperlink" Target="http://ufcstats.com/fight-details/ef13ed466e0b42d8" TargetMode="External"/><Relationship Id="rId251" Type="http://schemas.openxmlformats.org/officeDocument/2006/relationships/hyperlink" Target="http://ufcstats.com/fight-details/5a6e894e4b6cc703" TargetMode="External"/><Relationship Id="rId25" Type="http://schemas.openxmlformats.org/officeDocument/2006/relationships/hyperlink" Target="https://www.sherdog.com/fighter/Garrett-Armfield-254941" TargetMode="External"/><Relationship Id="rId46" Type="http://schemas.openxmlformats.org/officeDocument/2006/relationships/hyperlink" Target="http://ufcstats.com/fight-details/e1930496b33fa636" TargetMode="External"/><Relationship Id="rId67" Type="http://schemas.openxmlformats.org/officeDocument/2006/relationships/hyperlink" Target="http://ufcstats.com/fight-details/1cf69de0eea46877" TargetMode="External"/><Relationship Id="rId272" Type="http://schemas.openxmlformats.org/officeDocument/2006/relationships/hyperlink" Target="http://ufcstats.com/fight-details/4915c8a588513c22" TargetMode="External"/><Relationship Id="rId88" Type="http://schemas.openxmlformats.org/officeDocument/2006/relationships/hyperlink" Target="http://ufcstats.com/fight-details/35addc4646509286" TargetMode="External"/><Relationship Id="rId111" Type="http://schemas.openxmlformats.org/officeDocument/2006/relationships/hyperlink" Target="http://ufcstats.com/fight-details/35f9beb94b4ef9e2" TargetMode="External"/><Relationship Id="rId132" Type="http://schemas.openxmlformats.org/officeDocument/2006/relationships/hyperlink" Target="http://ufcstats.com/fight-details/de7cb625bdec0f91" TargetMode="External"/><Relationship Id="rId153" Type="http://schemas.openxmlformats.org/officeDocument/2006/relationships/hyperlink" Target="http://ufcstats.com/fight-details/673a156925dfb31d" TargetMode="External"/><Relationship Id="rId174" Type="http://schemas.openxmlformats.org/officeDocument/2006/relationships/hyperlink" Target="http://ufcstats.com/fight-details/ba5005d1116fa45f" TargetMode="External"/><Relationship Id="rId195" Type="http://schemas.openxmlformats.org/officeDocument/2006/relationships/hyperlink" Target="http://ufcstats.com/fight-details/0320a6a967069571" TargetMode="External"/><Relationship Id="rId209" Type="http://schemas.openxmlformats.org/officeDocument/2006/relationships/hyperlink" Target="http://ufcstats.com/fight-details/faf15b752fb8924c" TargetMode="External"/><Relationship Id="rId220" Type="http://schemas.openxmlformats.org/officeDocument/2006/relationships/hyperlink" Target="http://ufcstats.com/fight-details/5f622d812b8f407f" TargetMode="External"/><Relationship Id="rId241" Type="http://schemas.openxmlformats.org/officeDocument/2006/relationships/hyperlink" Target="http://ufcstats.com/fight-details/188e6416157e5a1f" TargetMode="External"/><Relationship Id="rId15" Type="http://schemas.openxmlformats.org/officeDocument/2006/relationships/hyperlink" Target="http://ufcstats.com/fight-details/48ff3f1bcefbf965" TargetMode="External"/><Relationship Id="rId36" Type="http://schemas.openxmlformats.org/officeDocument/2006/relationships/hyperlink" Target="http://ufcstats.com/fight-details/7ca5604d99220e88" TargetMode="External"/><Relationship Id="rId57" Type="http://schemas.openxmlformats.org/officeDocument/2006/relationships/hyperlink" Target="http://ufcstats.com/fight-details/976abc27a4e5e26a" TargetMode="External"/><Relationship Id="rId262" Type="http://schemas.openxmlformats.org/officeDocument/2006/relationships/hyperlink" Target="http://ufcstats.com/fight-details/33658a3ca932d15d" TargetMode="External"/><Relationship Id="rId283" Type="http://schemas.openxmlformats.org/officeDocument/2006/relationships/hyperlink" Target="http://ufcstats.com/fight-details/bd4d2522cb0d1a23" TargetMode="External"/><Relationship Id="rId78" Type="http://schemas.openxmlformats.org/officeDocument/2006/relationships/hyperlink" Target="http://ufcstats.com/fight-details/024beecfd3f0ed7a" TargetMode="External"/><Relationship Id="rId99" Type="http://schemas.openxmlformats.org/officeDocument/2006/relationships/hyperlink" Target="http://ufcstats.com/fight-details/36f10b949b935b8c" TargetMode="External"/><Relationship Id="rId101" Type="http://schemas.openxmlformats.org/officeDocument/2006/relationships/hyperlink" Target="http://ufcstats.com/fight-details/dae70ccdf9e7475e" TargetMode="External"/><Relationship Id="rId122" Type="http://schemas.openxmlformats.org/officeDocument/2006/relationships/hyperlink" Target="http://ufcstats.com/fight-details/f2b407019b2a5c15" TargetMode="External"/><Relationship Id="rId143" Type="http://schemas.openxmlformats.org/officeDocument/2006/relationships/hyperlink" Target="http://ufcstats.com/fight-details/681cd3cc6299d652" TargetMode="External"/><Relationship Id="rId164" Type="http://schemas.openxmlformats.org/officeDocument/2006/relationships/hyperlink" Target="http://ufcstats.com/fight-details/20bfa549cb2cabe7" TargetMode="External"/><Relationship Id="rId185" Type="http://schemas.openxmlformats.org/officeDocument/2006/relationships/hyperlink" Target="http://ufcstats.com/fight-details/32bd7ed48f5aea7e" TargetMode="External"/><Relationship Id="rId9" Type="http://schemas.openxmlformats.org/officeDocument/2006/relationships/hyperlink" Target="http://ufcstats.com/fight-details/b3d88eaea611a4a8" TargetMode="External"/><Relationship Id="rId210" Type="http://schemas.openxmlformats.org/officeDocument/2006/relationships/hyperlink" Target="http://ufcstats.com/fight-details/66eddbe35056c06d" TargetMode="External"/><Relationship Id="rId26" Type="http://schemas.openxmlformats.org/officeDocument/2006/relationships/hyperlink" Target="http://ufcstats.com/fight-details/670e4754d8d3d172" TargetMode="External"/><Relationship Id="rId231" Type="http://schemas.openxmlformats.org/officeDocument/2006/relationships/hyperlink" Target="http://ufcstats.com/fight-details/9ddaa62cc806958d" TargetMode="External"/><Relationship Id="rId252" Type="http://schemas.openxmlformats.org/officeDocument/2006/relationships/hyperlink" Target="http://ufcstats.com/fight-details/6997693d552600dd" TargetMode="External"/><Relationship Id="rId273" Type="http://schemas.openxmlformats.org/officeDocument/2006/relationships/hyperlink" Target="http://ufcstats.com/fight-details/603afedc31d95999" TargetMode="External"/><Relationship Id="rId47" Type="http://schemas.openxmlformats.org/officeDocument/2006/relationships/hyperlink" Target="http://ufcstats.com/fight-details/3b21a9f48bac4a44" TargetMode="External"/><Relationship Id="rId68" Type="http://schemas.openxmlformats.org/officeDocument/2006/relationships/hyperlink" Target="http://ufcstats.com/fight-details/4b45f190122a1ce1" TargetMode="External"/><Relationship Id="rId89" Type="http://schemas.openxmlformats.org/officeDocument/2006/relationships/hyperlink" Target="http://ufcstats.com/fight-details/84f6de7c99779e5f" TargetMode="External"/><Relationship Id="rId112" Type="http://schemas.openxmlformats.org/officeDocument/2006/relationships/hyperlink" Target="http://ufcstats.com/fight-details/7bc7af11050e861b" TargetMode="External"/><Relationship Id="rId133" Type="http://schemas.openxmlformats.org/officeDocument/2006/relationships/hyperlink" Target="http://ufcstats.com/fight-details/ba8f219260e212f8" TargetMode="External"/><Relationship Id="rId154" Type="http://schemas.openxmlformats.org/officeDocument/2006/relationships/hyperlink" Target="http://ufcstats.com/fight-details/a376f6d5806d0c90" TargetMode="External"/><Relationship Id="rId175" Type="http://schemas.openxmlformats.org/officeDocument/2006/relationships/hyperlink" Target="http://ufcstats.com/fight-details/d0d99889c6abd8e1" TargetMode="External"/><Relationship Id="rId196" Type="http://schemas.openxmlformats.org/officeDocument/2006/relationships/hyperlink" Target="http://ufcstats.com/fight-details/7990b6716a53b2cd" TargetMode="External"/><Relationship Id="rId200" Type="http://schemas.openxmlformats.org/officeDocument/2006/relationships/hyperlink" Target="http://ufcstats.com/fight-details/3f419fce8ba8aa0e" TargetMode="External"/><Relationship Id="rId16" Type="http://schemas.openxmlformats.org/officeDocument/2006/relationships/hyperlink" Target="http://ufcstats.com/fight-details/9861b6d04e6ed43c" TargetMode="External"/><Relationship Id="rId221" Type="http://schemas.openxmlformats.org/officeDocument/2006/relationships/hyperlink" Target="http://ufcstats.com/fight-details/39c4ae4624052f9f" TargetMode="External"/><Relationship Id="rId242" Type="http://schemas.openxmlformats.org/officeDocument/2006/relationships/hyperlink" Target="http://ufcstats.com/fight-details/f1c3abce15ef053e" TargetMode="External"/><Relationship Id="rId263" Type="http://schemas.openxmlformats.org/officeDocument/2006/relationships/hyperlink" Target="http://ufcstats.com/fight-details/3677ce6c1ee06a83" TargetMode="External"/><Relationship Id="rId37" Type="http://schemas.openxmlformats.org/officeDocument/2006/relationships/hyperlink" Target="http://ufcstats.com/fight-details/538ca98010ed00ec" TargetMode="External"/><Relationship Id="rId58" Type="http://schemas.openxmlformats.org/officeDocument/2006/relationships/hyperlink" Target="http://ufcstats.com/fight-details/8c8337ce8437fe2e" TargetMode="External"/><Relationship Id="rId79" Type="http://schemas.openxmlformats.org/officeDocument/2006/relationships/hyperlink" Target="http://ufcstats.com/fight-details/d1d3b6ab8a56e973" TargetMode="External"/><Relationship Id="rId102" Type="http://schemas.openxmlformats.org/officeDocument/2006/relationships/hyperlink" Target="http://ufcstats.com/fight-details/ff5a8078ea85bbc7" TargetMode="External"/><Relationship Id="rId123" Type="http://schemas.openxmlformats.org/officeDocument/2006/relationships/hyperlink" Target="http://ufcstats.com/fight-details/521a0e016878d174" TargetMode="External"/><Relationship Id="rId144" Type="http://schemas.openxmlformats.org/officeDocument/2006/relationships/hyperlink" Target="http://ufcstats.com/fight-details/cf5e8f98159c3971" TargetMode="External"/><Relationship Id="rId90" Type="http://schemas.openxmlformats.org/officeDocument/2006/relationships/hyperlink" Target="http://ufcstats.com/fight-details/9abf0b60a44a82d1" TargetMode="External"/><Relationship Id="rId165" Type="http://schemas.openxmlformats.org/officeDocument/2006/relationships/hyperlink" Target="http://ufcstats.com/fight-details/6e5a3d6b6ed84ac3" TargetMode="External"/><Relationship Id="rId186" Type="http://schemas.openxmlformats.org/officeDocument/2006/relationships/hyperlink" Target="http://ufcstats.com/fight-details/3ea7d69a1238f26a" TargetMode="External"/><Relationship Id="rId211" Type="http://schemas.openxmlformats.org/officeDocument/2006/relationships/hyperlink" Target="http://ufcstats.com/fight-details/b78a222fb448aed4" TargetMode="External"/><Relationship Id="rId232" Type="http://schemas.openxmlformats.org/officeDocument/2006/relationships/hyperlink" Target="http://ufcstats.com/fight-details/246fef4b19c3a7ed" TargetMode="External"/><Relationship Id="rId253" Type="http://schemas.openxmlformats.org/officeDocument/2006/relationships/hyperlink" Target="http://ufcstats.com/fight-details/b1ac165326d8f29e" TargetMode="External"/><Relationship Id="rId274" Type="http://schemas.openxmlformats.org/officeDocument/2006/relationships/hyperlink" Target="http://ufcstats.com/fight-details/99dc6d45cbdfa322" TargetMode="External"/><Relationship Id="rId27" Type="http://schemas.openxmlformats.org/officeDocument/2006/relationships/hyperlink" Target="https://www.sherdog.com/fighter/Ramon-Taveras-332055" TargetMode="External"/><Relationship Id="rId48" Type="http://schemas.openxmlformats.org/officeDocument/2006/relationships/hyperlink" Target="http://ufcstats.com/fight-details/abb6e2169ba580d2" TargetMode="External"/><Relationship Id="rId69" Type="http://schemas.openxmlformats.org/officeDocument/2006/relationships/hyperlink" Target="http://ufcstats.com/fight-details/fe0f1b418e6d3ecb" TargetMode="External"/><Relationship Id="rId113" Type="http://schemas.openxmlformats.org/officeDocument/2006/relationships/hyperlink" Target="http://ufcstats.com/fight-details/ad26bf55ff201f4f" TargetMode="External"/><Relationship Id="rId134" Type="http://schemas.openxmlformats.org/officeDocument/2006/relationships/hyperlink" Target="http://ufcstats.com/fight-details/5344e76e26503716" TargetMode="External"/><Relationship Id="rId80" Type="http://schemas.openxmlformats.org/officeDocument/2006/relationships/hyperlink" Target="http://ufcstats.com/fight-details/1c03c1bb62f3aed6" TargetMode="External"/><Relationship Id="rId155" Type="http://schemas.openxmlformats.org/officeDocument/2006/relationships/hyperlink" Target="http://ufcstats.com/fight-details/5304956aada097e8" TargetMode="External"/><Relationship Id="rId176" Type="http://schemas.openxmlformats.org/officeDocument/2006/relationships/hyperlink" Target="http://ufcstats.com/fight-details/3e74caa9fff4a5eb" TargetMode="External"/><Relationship Id="rId197" Type="http://schemas.openxmlformats.org/officeDocument/2006/relationships/hyperlink" Target="http://ufcstats.com/fight-details/16109688429c09de" TargetMode="External"/><Relationship Id="rId201" Type="http://schemas.openxmlformats.org/officeDocument/2006/relationships/hyperlink" Target="http://ufcstats.com/fight-details/4896b36f1333d25c" TargetMode="External"/><Relationship Id="rId222" Type="http://schemas.openxmlformats.org/officeDocument/2006/relationships/hyperlink" Target="http://ufcstats.com/fight-details/b210b99d9c1c9196" TargetMode="External"/><Relationship Id="rId243" Type="http://schemas.openxmlformats.org/officeDocument/2006/relationships/hyperlink" Target="http://ufcstats.com/fight-details/2f414494f2b6f426" TargetMode="External"/><Relationship Id="rId264" Type="http://schemas.openxmlformats.org/officeDocument/2006/relationships/hyperlink" Target="http://ufcstats.com/fight-details/b7d238437d6644ce" TargetMode="External"/><Relationship Id="rId17" Type="http://schemas.openxmlformats.org/officeDocument/2006/relationships/hyperlink" Target="http://ufcstats.com/fight-details/ebb758b49e82d0ed" TargetMode="External"/><Relationship Id="rId38" Type="http://schemas.openxmlformats.org/officeDocument/2006/relationships/hyperlink" Target="http://ufcstats.com/fight-details/91aa08e910fb4412" TargetMode="External"/><Relationship Id="rId59" Type="http://schemas.openxmlformats.org/officeDocument/2006/relationships/hyperlink" Target="http://ufcstats.com/fight-details/c26f27667c230391" TargetMode="External"/><Relationship Id="rId103" Type="http://schemas.openxmlformats.org/officeDocument/2006/relationships/hyperlink" Target="http://ufcstats.com/fight-details/cd6452a463ec8a28" TargetMode="External"/><Relationship Id="rId124" Type="http://schemas.openxmlformats.org/officeDocument/2006/relationships/hyperlink" Target="http://ufcstats.com/fight-details/83a0fff04494bfc4" TargetMode="External"/><Relationship Id="rId70" Type="http://schemas.openxmlformats.org/officeDocument/2006/relationships/hyperlink" Target="http://ufcstats.com/fight-details/a0cae57eae875820" TargetMode="External"/><Relationship Id="rId91" Type="http://schemas.openxmlformats.org/officeDocument/2006/relationships/hyperlink" Target="http://ufcstats.com/fight-details/5704e73f91b9e7f7" TargetMode="External"/><Relationship Id="rId145" Type="http://schemas.openxmlformats.org/officeDocument/2006/relationships/hyperlink" Target="http://ufcstats.com/fight-details/efdad54c8550e6e0" TargetMode="External"/><Relationship Id="rId166" Type="http://schemas.openxmlformats.org/officeDocument/2006/relationships/hyperlink" Target="http://ufcstats.com/fight-details/9fe98de1eac21f2e" TargetMode="External"/><Relationship Id="rId187" Type="http://schemas.openxmlformats.org/officeDocument/2006/relationships/hyperlink" Target="http://ufcstats.com/fight-details/01432891260084a4" TargetMode="External"/><Relationship Id="rId1" Type="http://schemas.openxmlformats.org/officeDocument/2006/relationships/hyperlink" Target="http://ufcstats.com/fight-details/f1cbd73e7be64d28" TargetMode="External"/><Relationship Id="rId212" Type="http://schemas.openxmlformats.org/officeDocument/2006/relationships/hyperlink" Target="http://ufcstats.com/fight-details/ec5d705232983b87" TargetMode="External"/><Relationship Id="rId233" Type="http://schemas.openxmlformats.org/officeDocument/2006/relationships/hyperlink" Target="http://ufcstats.com/fight-details/af6d56860ba4d259" TargetMode="External"/><Relationship Id="rId254" Type="http://schemas.openxmlformats.org/officeDocument/2006/relationships/hyperlink" Target="http://ufcstats.com/fight-details/ccf3b6eda4c2a564" TargetMode="External"/><Relationship Id="rId28" Type="http://schemas.openxmlformats.org/officeDocument/2006/relationships/hyperlink" Target="https://www.sherdog.com/fighter/Ramon-Taveras-332055" TargetMode="External"/><Relationship Id="rId49" Type="http://schemas.openxmlformats.org/officeDocument/2006/relationships/hyperlink" Target="http://ufcstats.com/fight-details/62b64802ea49e2fd" TargetMode="External"/><Relationship Id="rId114" Type="http://schemas.openxmlformats.org/officeDocument/2006/relationships/hyperlink" Target="http://ufcstats.com/fight-details/91093a019d32af2e" TargetMode="External"/><Relationship Id="rId275" Type="http://schemas.openxmlformats.org/officeDocument/2006/relationships/hyperlink" Target="http://ufcstats.com/fight-details/66873dde4077bd5d" TargetMode="External"/><Relationship Id="rId60" Type="http://schemas.openxmlformats.org/officeDocument/2006/relationships/hyperlink" Target="http://ufcstats.com/fight-details/25259e230be9cdc9" TargetMode="External"/><Relationship Id="rId81" Type="http://schemas.openxmlformats.org/officeDocument/2006/relationships/hyperlink" Target="http://ufcstats.com/fight-details/ca7d61e167d7789c" TargetMode="External"/><Relationship Id="rId135" Type="http://schemas.openxmlformats.org/officeDocument/2006/relationships/hyperlink" Target="http://ufcstats.com/fight-details/acc57a9c114b694a" TargetMode="External"/><Relationship Id="rId156" Type="http://schemas.openxmlformats.org/officeDocument/2006/relationships/hyperlink" Target="http://ufcstats.com/fight-details/edf46d6962be7e8d" TargetMode="External"/><Relationship Id="rId177" Type="http://schemas.openxmlformats.org/officeDocument/2006/relationships/hyperlink" Target="http://ufcstats.com/fight-details/2db0998b24c11ea0" TargetMode="External"/><Relationship Id="rId198" Type="http://schemas.openxmlformats.org/officeDocument/2006/relationships/hyperlink" Target="http://ufcstats.com/fight-details/894c44c3d04aaf6f" TargetMode="External"/><Relationship Id="rId202" Type="http://schemas.openxmlformats.org/officeDocument/2006/relationships/hyperlink" Target="http://ufcstats.com/fight-details/db49619221b282af" TargetMode="External"/><Relationship Id="rId223" Type="http://schemas.openxmlformats.org/officeDocument/2006/relationships/hyperlink" Target="http://ufcstats.com/fight-details/a7fd9da657bbce8e" TargetMode="External"/><Relationship Id="rId244" Type="http://schemas.openxmlformats.org/officeDocument/2006/relationships/hyperlink" Target="http://ufcstats.com/fight-details/711ec0545552455b" TargetMode="External"/><Relationship Id="rId18" Type="http://schemas.openxmlformats.org/officeDocument/2006/relationships/hyperlink" Target="http://ufcstats.com/fight-details/dcf5014e56649c2f" TargetMode="External"/><Relationship Id="rId39" Type="http://schemas.openxmlformats.org/officeDocument/2006/relationships/hyperlink" Target="http://ufcstats.com/fight-details/f59cefe16905d62c" TargetMode="External"/><Relationship Id="rId265" Type="http://schemas.openxmlformats.org/officeDocument/2006/relationships/hyperlink" Target="http://ufcstats.com/fight-details/7b1882dc76786d77" TargetMode="External"/><Relationship Id="rId50" Type="http://schemas.openxmlformats.org/officeDocument/2006/relationships/hyperlink" Target="http://ufcstats.com/fight-details/f0fe73e650b746f2" TargetMode="External"/><Relationship Id="rId104" Type="http://schemas.openxmlformats.org/officeDocument/2006/relationships/hyperlink" Target="http://ufcstats.com/fight-details/3223b7e196a07224" TargetMode="External"/><Relationship Id="rId125" Type="http://schemas.openxmlformats.org/officeDocument/2006/relationships/hyperlink" Target="http://ufcstats.com/fight-details/6c67aa7063717a0c" TargetMode="External"/><Relationship Id="rId146" Type="http://schemas.openxmlformats.org/officeDocument/2006/relationships/hyperlink" Target="http://ufcstats.com/fight-details/6ff21ea2c75c48ed" TargetMode="External"/><Relationship Id="rId167" Type="http://schemas.openxmlformats.org/officeDocument/2006/relationships/hyperlink" Target="http://ufcstats.com/fight-details/480c4dbd2e792d86" TargetMode="External"/><Relationship Id="rId188" Type="http://schemas.openxmlformats.org/officeDocument/2006/relationships/hyperlink" Target="http://ufcstats.com/fight-details/f87a3fa07f0009c9" TargetMode="External"/><Relationship Id="rId71" Type="http://schemas.openxmlformats.org/officeDocument/2006/relationships/hyperlink" Target="http://ufcstats.com/fight-details/451df53c13185584" TargetMode="External"/><Relationship Id="rId92" Type="http://schemas.openxmlformats.org/officeDocument/2006/relationships/hyperlink" Target="http://ufcstats.com/fight-details/8a0fc4624578a7e4" TargetMode="External"/><Relationship Id="rId213" Type="http://schemas.openxmlformats.org/officeDocument/2006/relationships/hyperlink" Target="http://ufcstats.com/fight-details/de12349f334c964e" TargetMode="External"/><Relationship Id="rId234" Type="http://schemas.openxmlformats.org/officeDocument/2006/relationships/hyperlink" Target="https://www.sherdog.com/fighter/Mike-Malott-79377" TargetMode="External"/><Relationship Id="rId2" Type="http://schemas.openxmlformats.org/officeDocument/2006/relationships/hyperlink" Target="http://ufcstats.com/fight-details/a7d397cd0f2ac93a" TargetMode="External"/><Relationship Id="rId29" Type="http://schemas.openxmlformats.org/officeDocument/2006/relationships/hyperlink" Target="http://ufcstats.com/fight-details/43d90683078fcee5" TargetMode="External"/><Relationship Id="rId255" Type="http://schemas.openxmlformats.org/officeDocument/2006/relationships/hyperlink" Target="http://ufcstats.com/fight-details/4661e9ca9354021e" TargetMode="External"/><Relationship Id="rId276" Type="http://schemas.openxmlformats.org/officeDocument/2006/relationships/hyperlink" Target="http://ufcstats.com/fight-details/6e4acb2aaa2cee56" TargetMode="External"/><Relationship Id="rId40" Type="http://schemas.openxmlformats.org/officeDocument/2006/relationships/hyperlink" Target="http://ufcstats.com/fight-details/72f123ddb4cc9d1c" TargetMode="External"/><Relationship Id="rId115" Type="http://schemas.openxmlformats.org/officeDocument/2006/relationships/hyperlink" Target="http://ufcstats.com/fight-details/0dc2fc8d39e226a3" TargetMode="External"/><Relationship Id="rId136" Type="http://schemas.openxmlformats.org/officeDocument/2006/relationships/hyperlink" Target="http://ufcstats.com/fight-details/d0602cdc04d2c159" TargetMode="External"/><Relationship Id="rId157" Type="http://schemas.openxmlformats.org/officeDocument/2006/relationships/hyperlink" Target="http://ufcstats.com/fight-details/733e675fd7c0052a" TargetMode="External"/><Relationship Id="rId178" Type="http://schemas.openxmlformats.org/officeDocument/2006/relationships/hyperlink" Target="http://ufcstats.com/fight-details/0c2e3988793b418c" TargetMode="External"/><Relationship Id="rId61" Type="http://schemas.openxmlformats.org/officeDocument/2006/relationships/hyperlink" Target="http://ufcstats.com/fight-details/478a637045ad49fb" TargetMode="External"/><Relationship Id="rId82" Type="http://schemas.openxmlformats.org/officeDocument/2006/relationships/hyperlink" Target="https://en.wikipedia.org/wiki/Malcolm_Gordon_(fighter)" TargetMode="External"/><Relationship Id="rId199" Type="http://schemas.openxmlformats.org/officeDocument/2006/relationships/hyperlink" Target="http://ufcstats.com/fight-details/bec3154a11df3299" TargetMode="External"/><Relationship Id="rId203" Type="http://schemas.openxmlformats.org/officeDocument/2006/relationships/hyperlink" Target="http://ufcstats.com/fight-details/e4931f3ab3bf4141" TargetMode="External"/><Relationship Id="rId19" Type="http://schemas.openxmlformats.org/officeDocument/2006/relationships/hyperlink" Target="http://ufcstats.com/fight-details/cde2f88251b73305" TargetMode="External"/><Relationship Id="rId224" Type="http://schemas.openxmlformats.org/officeDocument/2006/relationships/hyperlink" Target="http://ufcstats.com/fight-details/6ea77cb62aa2f276" TargetMode="External"/><Relationship Id="rId245" Type="http://schemas.openxmlformats.org/officeDocument/2006/relationships/hyperlink" Target="http://ufcstats.com/fight-details/626c82ed45fdcf59" TargetMode="External"/><Relationship Id="rId266" Type="http://schemas.openxmlformats.org/officeDocument/2006/relationships/hyperlink" Target="http://ufcstats.com/fight-details/c28d40498150de90" TargetMode="External"/><Relationship Id="rId30" Type="http://schemas.openxmlformats.org/officeDocument/2006/relationships/hyperlink" Target="http://ufcstats.com/fight-details/03de7404decde12f" TargetMode="External"/><Relationship Id="rId105" Type="http://schemas.openxmlformats.org/officeDocument/2006/relationships/hyperlink" Target="http://ufcstats.com/fight-details/8bc0c220f7dcefa7" TargetMode="External"/><Relationship Id="rId126" Type="http://schemas.openxmlformats.org/officeDocument/2006/relationships/hyperlink" Target="http://ufcstats.com/fight-details/8d9bcbb48888a5a3" TargetMode="External"/><Relationship Id="rId147" Type="http://schemas.openxmlformats.org/officeDocument/2006/relationships/hyperlink" Target="http://ufcstats.com/fight-details/4f20f3ada1489823" TargetMode="External"/><Relationship Id="rId168" Type="http://schemas.openxmlformats.org/officeDocument/2006/relationships/hyperlink" Target="http://ufcstats.com/fight-details/4c025d1fff9e9fce" TargetMode="External"/><Relationship Id="rId51" Type="http://schemas.openxmlformats.org/officeDocument/2006/relationships/hyperlink" Target="http://ufcstats.com/fight-details/128ab9aa4802c73f" TargetMode="External"/><Relationship Id="rId72" Type="http://schemas.openxmlformats.org/officeDocument/2006/relationships/hyperlink" Target="http://ufcstats.com/fight-details/74f5cbecac011abb" TargetMode="External"/><Relationship Id="rId93" Type="http://schemas.openxmlformats.org/officeDocument/2006/relationships/hyperlink" Target="http://ufcstats.com/fight-details/6f0f84075fa1a4b0" TargetMode="External"/><Relationship Id="rId189" Type="http://schemas.openxmlformats.org/officeDocument/2006/relationships/hyperlink" Target="http://ufcstats.com/fight-details/17050a7b673dc49d" TargetMode="External"/><Relationship Id="rId3" Type="http://schemas.openxmlformats.org/officeDocument/2006/relationships/hyperlink" Target="http://ufcstats.com/fight-details/a8239866e1222eae" TargetMode="External"/><Relationship Id="rId214" Type="http://schemas.openxmlformats.org/officeDocument/2006/relationships/hyperlink" Target="http://ufcstats.com/fight-details/08f7a60bd84a6b3c" TargetMode="External"/><Relationship Id="rId235" Type="http://schemas.openxmlformats.org/officeDocument/2006/relationships/hyperlink" Target="https://www.sherdog.com/fighter/Mike-Malott-79377" TargetMode="External"/><Relationship Id="rId256" Type="http://schemas.openxmlformats.org/officeDocument/2006/relationships/hyperlink" Target="http://ufcstats.com/fight-details/e6d4fdad2b3422d1" TargetMode="External"/><Relationship Id="rId277" Type="http://schemas.openxmlformats.org/officeDocument/2006/relationships/hyperlink" Target="http://ufcstats.com/fight-details/2aeb3ec2d8c05dc8" TargetMode="External"/><Relationship Id="rId116" Type="http://schemas.openxmlformats.org/officeDocument/2006/relationships/hyperlink" Target="http://ufcstats.com/fight-details/a049c12f43914449" TargetMode="External"/><Relationship Id="rId137" Type="http://schemas.openxmlformats.org/officeDocument/2006/relationships/hyperlink" Target="http://ufcstats.com/fight-details/5be63144ac46f97e" TargetMode="External"/><Relationship Id="rId158" Type="http://schemas.openxmlformats.org/officeDocument/2006/relationships/hyperlink" Target="http://ufcstats.com/fight-details/e396c509fb47b037" TargetMode="External"/><Relationship Id="rId20" Type="http://schemas.openxmlformats.org/officeDocument/2006/relationships/hyperlink" Target="http://ufcstats.com/fight-details/063e7ce759c52f81" TargetMode="External"/><Relationship Id="rId41" Type="http://schemas.openxmlformats.org/officeDocument/2006/relationships/hyperlink" Target="http://ufcstats.com/fight-details/a1294453a28beda3" TargetMode="External"/><Relationship Id="rId62" Type="http://schemas.openxmlformats.org/officeDocument/2006/relationships/hyperlink" Target="http://ufcstats.com/fight-details/1a7cd191f0cf160c" TargetMode="External"/><Relationship Id="rId83" Type="http://schemas.openxmlformats.org/officeDocument/2006/relationships/hyperlink" Target="https://www.sherdog.com/fighter/Jimmy-Flick-60460" TargetMode="External"/><Relationship Id="rId179" Type="http://schemas.openxmlformats.org/officeDocument/2006/relationships/hyperlink" Target="http://ufcstats.com/fight-details/3ce96bb0c69b39be" TargetMode="External"/><Relationship Id="rId190" Type="http://schemas.openxmlformats.org/officeDocument/2006/relationships/hyperlink" Target="http://ufcstats.com/fight-details/e7938bac3ec8b442" TargetMode="External"/><Relationship Id="rId204" Type="http://schemas.openxmlformats.org/officeDocument/2006/relationships/hyperlink" Target="http://ufcstats.com/fight-details/b1f2ec122beda7a5" TargetMode="External"/><Relationship Id="rId225" Type="http://schemas.openxmlformats.org/officeDocument/2006/relationships/hyperlink" Target="http://ufcstats.com/fight-details/0b9cd718d7e329e8" TargetMode="External"/><Relationship Id="rId246" Type="http://schemas.openxmlformats.org/officeDocument/2006/relationships/hyperlink" Target="http://ufcstats.com/fight-details/1685eecc7ef37fb5" TargetMode="External"/><Relationship Id="rId267" Type="http://schemas.openxmlformats.org/officeDocument/2006/relationships/hyperlink" Target="http://ufcstats.com/fight-details/13d8d5cd83e5b57e" TargetMode="External"/><Relationship Id="rId106" Type="http://schemas.openxmlformats.org/officeDocument/2006/relationships/hyperlink" Target="http://ufcstats.com/fight-details/0133019a4f1055ee" TargetMode="External"/><Relationship Id="rId127" Type="http://schemas.openxmlformats.org/officeDocument/2006/relationships/hyperlink" Target="http://ufcstats.com/fight-details/0a85b3ad328205ff" TargetMode="External"/><Relationship Id="rId10" Type="http://schemas.openxmlformats.org/officeDocument/2006/relationships/hyperlink" Target="http://ufcstats.com/fight-details/55231cc4112334b4" TargetMode="External"/><Relationship Id="rId31" Type="http://schemas.openxmlformats.org/officeDocument/2006/relationships/hyperlink" Target="http://ufcstats.com/fight-details/477c3b9de012e4b3" TargetMode="External"/><Relationship Id="rId52" Type="http://schemas.openxmlformats.org/officeDocument/2006/relationships/hyperlink" Target="http://ufcstats.com/fight-details/8aa07b6cc40f0cb2" TargetMode="External"/><Relationship Id="rId73" Type="http://schemas.openxmlformats.org/officeDocument/2006/relationships/hyperlink" Target="http://ufcstats.com/fight-details/5e8c710f9f27aff8" TargetMode="External"/><Relationship Id="rId94" Type="http://schemas.openxmlformats.org/officeDocument/2006/relationships/hyperlink" Target="http://ufcstats.com/fight-details/417049c7a3d65ccc" TargetMode="External"/><Relationship Id="rId148" Type="http://schemas.openxmlformats.org/officeDocument/2006/relationships/hyperlink" Target="http://ufcstats.com/fight-details/537b3cef39d2d573" TargetMode="External"/><Relationship Id="rId169" Type="http://schemas.openxmlformats.org/officeDocument/2006/relationships/hyperlink" Target="http://ufcstats.com/fight-details/77992b8727382373" TargetMode="External"/><Relationship Id="rId4" Type="http://schemas.openxmlformats.org/officeDocument/2006/relationships/hyperlink" Target="http://ufcstats.com/fight-details/f8a8871d167fc929" TargetMode="External"/><Relationship Id="rId180" Type="http://schemas.openxmlformats.org/officeDocument/2006/relationships/hyperlink" Target="http://ufcstats.com/fight-details/3cf5e0ebb5f8322c" TargetMode="External"/><Relationship Id="rId215" Type="http://schemas.openxmlformats.org/officeDocument/2006/relationships/hyperlink" Target="http://ufcstats.com/fight-details/330d86bfaa4155fe" TargetMode="External"/><Relationship Id="rId236" Type="http://schemas.openxmlformats.org/officeDocument/2006/relationships/hyperlink" Target="http://ufcstats.com/fight-details/97817609ed46baa0" TargetMode="External"/><Relationship Id="rId257" Type="http://schemas.openxmlformats.org/officeDocument/2006/relationships/hyperlink" Target="http://ufcstats.com/fight-details/c442899c21d58779" TargetMode="External"/><Relationship Id="rId278" Type="http://schemas.openxmlformats.org/officeDocument/2006/relationships/hyperlink" Target="http://ufcstats.com/fight-details/c3986c1a56a6e94d" TargetMode="External"/><Relationship Id="rId42" Type="http://schemas.openxmlformats.org/officeDocument/2006/relationships/hyperlink" Target="http://ufcstats.com/fight-details/0e6782b758451063" TargetMode="External"/><Relationship Id="rId84" Type="http://schemas.openxmlformats.org/officeDocument/2006/relationships/hyperlink" Target="https://www.sherdog.com/fighter/Jimmy-Flick-60460" TargetMode="External"/><Relationship Id="rId138" Type="http://schemas.openxmlformats.org/officeDocument/2006/relationships/hyperlink" Target="http://ufcstats.com/fight-details/420a5e3b4010ebef" TargetMode="External"/><Relationship Id="rId191" Type="http://schemas.openxmlformats.org/officeDocument/2006/relationships/hyperlink" Target="http://ufcstats.com/fight-details/9d8473ae274ed625" TargetMode="External"/><Relationship Id="rId205" Type="http://schemas.openxmlformats.org/officeDocument/2006/relationships/hyperlink" Target="http://ufcstats.com/fight-details/14e53999507c76a7" TargetMode="External"/><Relationship Id="rId247" Type="http://schemas.openxmlformats.org/officeDocument/2006/relationships/hyperlink" Target="https://www.sherdog.com/fighter/Priscila-Cachoeira-227399" TargetMode="External"/><Relationship Id="rId107" Type="http://schemas.openxmlformats.org/officeDocument/2006/relationships/hyperlink" Target="http://ufcstats.com/fight-details/cbdf29f36b343f6f" TargetMode="External"/><Relationship Id="rId11" Type="http://schemas.openxmlformats.org/officeDocument/2006/relationships/hyperlink" Target="http://ufcstats.com/fight-details/3ab0d8b344d2ebea" TargetMode="External"/><Relationship Id="rId53" Type="http://schemas.openxmlformats.org/officeDocument/2006/relationships/hyperlink" Target="http://ufcstats.com/fight-details/d95f21817a56eb05" TargetMode="External"/><Relationship Id="rId149" Type="http://schemas.openxmlformats.org/officeDocument/2006/relationships/hyperlink" Target="http://ufcstats.com/fight-details/6e73ebbd089aff5e" TargetMode="External"/><Relationship Id="rId95" Type="http://schemas.openxmlformats.org/officeDocument/2006/relationships/hyperlink" Target="http://ufcstats.com/fight-details/838fd9d2b14e0790" TargetMode="External"/><Relationship Id="rId160" Type="http://schemas.openxmlformats.org/officeDocument/2006/relationships/hyperlink" Target="http://ufcstats.com/fight-details/ac8628d945a78b03" TargetMode="External"/><Relationship Id="rId216" Type="http://schemas.openxmlformats.org/officeDocument/2006/relationships/hyperlink" Target="http://ufcstats.com/fight-details/4cff9aeef3ac75c1" TargetMode="External"/><Relationship Id="rId258" Type="http://schemas.openxmlformats.org/officeDocument/2006/relationships/hyperlink" Target="http://ufcstats.com/fight-details/d0ac2cc5c57c4e66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ufcstats.com/fight-details/e98eb6de29c62c9c" TargetMode="External"/><Relationship Id="rId13" Type="http://schemas.openxmlformats.org/officeDocument/2006/relationships/hyperlink" Target="http://ufcstats.com/fight-details/8bc0c220f7dcefa7" TargetMode="External"/><Relationship Id="rId3" Type="http://schemas.openxmlformats.org/officeDocument/2006/relationships/hyperlink" Target="http://ufcstats.com/fight-details/838fd9d2b14e0790" TargetMode="External"/><Relationship Id="rId7" Type="http://schemas.openxmlformats.org/officeDocument/2006/relationships/hyperlink" Target="http://ufcstats.com/fight-details/36f10b949b935b8c" TargetMode="External"/><Relationship Id="rId12" Type="http://schemas.openxmlformats.org/officeDocument/2006/relationships/hyperlink" Target="http://ufcstats.com/fight-details/3223b7e196a07224" TargetMode="External"/><Relationship Id="rId2" Type="http://schemas.openxmlformats.org/officeDocument/2006/relationships/hyperlink" Target="http://ufcstats.com/fight-details/417049c7a3d65ccc" TargetMode="External"/><Relationship Id="rId16" Type="http://schemas.openxmlformats.org/officeDocument/2006/relationships/hyperlink" Target="http://ufcstats.com/fight-details/1456a3f96ac7e35b" TargetMode="External"/><Relationship Id="rId1" Type="http://schemas.openxmlformats.org/officeDocument/2006/relationships/hyperlink" Target="http://ufcstats.com/fight-details/6f0f84075fa1a4b0" TargetMode="External"/><Relationship Id="rId6" Type="http://schemas.openxmlformats.org/officeDocument/2006/relationships/hyperlink" Target="http://ufcstats.com/fight-details/fce6522f42b48f18" TargetMode="External"/><Relationship Id="rId11" Type="http://schemas.openxmlformats.org/officeDocument/2006/relationships/hyperlink" Target="http://ufcstats.com/fight-details/cd6452a463ec8a28" TargetMode="External"/><Relationship Id="rId5" Type="http://schemas.openxmlformats.org/officeDocument/2006/relationships/hyperlink" Target="http://ufcstats.com/fight-details/6f13fe34cb3ca906" TargetMode="External"/><Relationship Id="rId15" Type="http://schemas.openxmlformats.org/officeDocument/2006/relationships/hyperlink" Target="http://ufcstats.com/fight-details/cbdf29f36b343f6f" TargetMode="External"/><Relationship Id="rId10" Type="http://schemas.openxmlformats.org/officeDocument/2006/relationships/hyperlink" Target="http://ufcstats.com/fight-details/ff5a8078ea85bbc7" TargetMode="External"/><Relationship Id="rId4" Type="http://schemas.openxmlformats.org/officeDocument/2006/relationships/hyperlink" Target="http://ufcstats.com/fight-details/df9847839c73a678" TargetMode="External"/><Relationship Id="rId9" Type="http://schemas.openxmlformats.org/officeDocument/2006/relationships/hyperlink" Target="http://ufcstats.com/fight-details/dae70ccdf9e7475e" TargetMode="External"/><Relationship Id="rId14" Type="http://schemas.openxmlformats.org/officeDocument/2006/relationships/hyperlink" Target="http://ufcstats.com/fight-details/0133019a4f1055e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ufcstats.com/fight-details/a049c12f43914449" TargetMode="External"/><Relationship Id="rId13" Type="http://schemas.openxmlformats.org/officeDocument/2006/relationships/hyperlink" Target="http://ufcstats.com/fight-details/dbfd7616dec2b6d5" TargetMode="External"/><Relationship Id="rId3" Type="http://schemas.openxmlformats.org/officeDocument/2006/relationships/hyperlink" Target="http://ufcstats.com/fight-details/35f9beb94b4ef9e2" TargetMode="External"/><Relationship Id="rId7" Type="http://schemas.openxmlformats.org/officeDocument/2006/relationships/hyperlink" Target="http://ufcstats.com/fight-details/0dc2fc8d39e226a3" TargetMode="External"/><Relationship Id="rId12" Type="http://schemas.openxmlformats.org/officeDocument/2006/relationships/hyperlink" Target="http://ufcstats.com/fight-details/aeb3e4d9710207a4" TargetMode="External"/><Relationship Id="rId2" Type="http://schemas.openxmlformats.org/officeDocument/2006/relationships/hyperlink" Target="http://ufcstats.com/fight-details/f41e83de703acf85" TargetMode="External"/><Relationship Id="rId1" Type="http://schemas.openxmlformats.org/officeDocument/2006/relationships/hyperlink" Target="http://ufcstats.com/fight-details/a8718a3419a11e15" TargetMode="External"/><Relationship Id="rId6" Type="http://schemas.openxmlformats.org/officeDocument/2006/relationships/hyperlink" Target="http://ufcstats.com/fight-details/91093a019d32af2e" TargetMode="External"/><Relationship Id="rId11" Type="http://schemas.openxmlformats.org/officeDocument/2006/relationships/hyperlink" Target="http://ufcstats.com/fight-details/df3cc5ec78d05a71" TargetMode="External"/><Relationship Id="rId5" Type="http://schemas.openxmlformats.org/officeDocument/2006/relationships/hyperlink" Target="http://ufcstats.com/fight-details/ad26bf55ff201f4f" TargetMode="External"/><Relationship Id="rId15" Type="http://schemas.openxmlformats.org/officeDocument/2006/relationships/hyperlink" Target="http://ufcstats.com/fight-details/521a0e016878d174" TargetMode="External"/><Relationship Id="rId10" Type="http://schemas.openxmlformats.org/officeDocument/2006/relationships/hyperlink" Target="http://ufcstats.com/fight-details/697e38075fd41819" TargetMode="External"/><Relationship Id="rId4" Type="http://schemas.openxmlformats.org/officeDocument/2006/relationships/hyperlink" Target="http://ufcstats.com/fight-details/7bc7af11050e861b" TargetMode="External"/><Relationship Id="rId9" Type="http://schemas.openxmlformats.org/officeDocument/2006/relationships/hyperlink" Target="http://ufcstats.com/fight-details/eda1e8c285a0a788" TargetMode="External"/><Relationship Id="rId14" Type="http://schemas.openxmlformats.org/officeDocument/2006/relationships/hyperlink" Target="http://ufcstats.com/fight-details/f2b407019b2a5c15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ufcstats.com/fight-details/faf19712bd7ea41e" TargetMode="External"/><Relationship Id="rId13" Type="http://schemas.openxmlformats.org/officeDocument/2006/relationships/hyperlink" Target="http://ufcstats.com/fight-details/c28d40498150de90" TargetMode="External"/><Relationship Id="rId3" Type="http://schemas.openxmlformats.org/officeDocument/2006/relationships/hyperlink" Target="http://ufcstats.com/fight-details/e6d4fdad2b3422d1" TargetMode="External"/><Relationship Id="rId7" Type="http://schemas.openxmlformats.org/officeDocument/2006/relationships/hyperlink" Target="http://ufcstats.com/fight-details/1631f70535ae5dcc" TargetMode="External"/><Relationship Id="rId12" Type="http://schemas.openxmlformats.org/officeDocument/2006/relationships/hyperlink" Target="http://ufcstats.com/fight-details/7b1882dc76786d77" TargetMode="External"/><Relationship Id="rId2" Type="http://schemas.openxmlformats.org/officeDocument/2006/relationships/hyperlink" Target="http://ufcstats.com/fight-details/4661e9ca9354021e" TargetMode="External"/><Relationship Id="rId1" Type="http://schemas.openxmlformats.org/officeDocument/2006/relationships/hyperlink" Target="http://ufcstats.com/fight-details/ccf3b6eda4c2a564" TargetMode="External"/><Relationship Id="rId6" Type="http://schemas.openxmlformats.org/officeDocument/2006/relationships/hyperlink" Target="http://ufcstats.com/fight-details/45de6d0b9cf5451c" TargetMode="External"/><Relationship Id="rId11" Type="http://schemas.openxmlformats.org/officeDocument/2006/relationships/hyperlink" Target="http://ufcstats.com/fight-details/b7d238437d6644ce" TargetMode="External"/><Relationship Id="rId5" Type="http://schemas.openxmlformats.org/officeDocument/2006/relationships/hyperlink" Target="http://ufcstats.com/fight-details/d0ac2cc5c57c4e66" TargetMode="External"/><Relationship Id="rId10" Type="http://schemas.openxmlformats.org/officeDocument/2006/relationships/hyperlink" Target="http://ufcstats.com/fight-details/3677ce6c1ee06a83" TargetMode="External"/><Relationship Id="rId4" Type="http://schemas.openxmlformats.org/officeDocument/2006/relationships/hyperlink" Target="http://ufcstats.com/fight-details/c442899c21d58779" TargetMode="External"/><Relationship Id="rId9" Type="http://schemas.openxmlformats.org/officeDocument/2006/relationships/hyperlink" Target="http://ufcstats.com/fight-details/33658a3ca932d15d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ufcstats.com/fight-details/3e74caa9fff4a5eb" TargetMode="External"/><Relationship Id="rId13" Type="http://schemas.openxmlformats.org/officeDocument/2006/relationships/hyperlink" Target="http://ufcstats.com/fight-details/e30250daa73005a8" TargetMode="External"/><Relationship Id="rId18" Type="http://schemas.openxmlformats.org/officeDocument/2006/relationships/hyperlink" Target="http://ufcstats.com/fight-details/3ea7d69a1238f26a" TargetMode="External"/><Relationship Id="rId26" Type="http://schemas.openxmlformats.org/officeDocument/2006/relationships/hyperlink" Target="http://ufcstats.com/fight-details/02713b2d25f74d43" TargetMode="External"/><Relationship Id="rId3" Type="http://schemas.openxmlformats.org/officeDocument/2006/relationships/hyperlink" Target="http://ufcstats.com/fight-details/406f2aacd1d1faf9" TargetMode="External"/><Relationship Id="rId21" Type="http://schemas.openxmlformats.org/officeDocument/2006/relationships/hyperlink" Target="http://ufcstats.com/fight-details/17050a7b673dc49d" TargetMode="External"/><Relationship Id="rId7" Type="http://schemas.openxmlformats.org/officeDocument/2006/relationships/hyperlink" Target="http://ufcstats.com/fight-details/d0d99889c6abd8e1" TargetMode="External"/><Relationship Id="rId12" Type="http://schemas.openxmlformats.org/officeDocument/2006/relationships/hyperlink" Target="http://ufcstats.com/fight-details/3cf5e0ebb5f8322c" TargetMode="External"/><Relationship Id="rId17" Type="http://schemas.openxmlformats.org/officeDocument/2006/relationships/hyperlink" Target="http://ufcstats.com/fight-details/32bd7ed48f5aea7e" TargetMode="External"/><Relationship Id="rId25" Type="http://schemas.openxmlformats.org/officeDocument/2006/relationships/hyperlink" Target="http://ufcstats.com/fight-details/1afc4f372a125c74" TargetMode="External"/><Relationship Id="rId2" Type="http://schemas.openxmlformats.org/officeDocument/2006/relationships/hyperlink" Target="http://ufcstats.com/fight-details/ce33085fc5205bab" TargetMode="External"/><Relationship Id="rId16" Type="http://schemas.openxmlformats.org/officeDocument/2006/relationships/hyperlink" Target="http://ufcstats.com/fight-details/f0a9dfbb6f6ac852" TargetMode="External"/><Relationship Id="rId20" Type="http://schemas.openxmlformats.org/officeDocument/2006/relationships/hyperlink" Target="http://ufcstats.com/fight-details/f87a3fa07f0009c9" TargetMode="External"/><Relationship Id="rId29" Type="http://schemas.openxmlformats.org/officeDocument/2006/relationships/hyperlink" Target="http://ufcstats.com/fight-details/16109688429c09de" TargetMode="External"/><Relationship Id="rId1" Type="http://schemas.openxmlformats.org/officeDocument/2006/relationships/hyperlink" Target="http://ufcstats.com/fight-details/77992b8727382373" TargetMode="External"/><Relationship Id="rId6" Type="http://schemas.openxmlformats.org/officeDocument/2006/relationships/hyperlink" Target="http://ufcstats.com/fight-details/ba5005d1116fa45f" TargetMode="External"/><Relationship Id="rId11" Type="http://schemas.openxmlformats.org/officeDocument/2006/relationships/hyperlink" Target="http://ufcstats.com/fight-details/3ce96bb0c69b39be" TargetMode="External"/><Relationship Id="rId24" Type="http://schemas.openxmlformats.org/officeDocument/2006/relationships/hyperlink" Target="http://ufcstats.com/fight-details/767ceb4a0cb43ade" TargetMode="External"/><Relationship Id="rId5" Type="http://schemas.openxmlformats.org/officeDocument/2006/relationships/hyperlink" Target="https://www.sherdog.com/fighter/MarcAndre-Barriault-170803" TargetMode="External"/><Relationship Id="rId15" Type="http://schemas.openxmlformats.org/officeDocument/2006/relationships/hyperlink" Target="http://ufcstats.com/fight-details/569e0ba18701c305" TargetMode="External"/><Relationship Id="rId23" Type="http://schemas.openxmlformats.org/officeDocument/2006/relationships/hyperlink" Target="http://ufcstats.com/fight-details/9d8473ae274ed625" TargetMode="External"/><Relationship Id="rId28" Type="http://schemas.openxmlformats.org/officeDocument/2006/relationships/hyperlink" Target="http://ufcstats.com/fight-details/7990b6716a53b2cd" TargetMode="External"/><Relationship Id="rId10" Type="http://schemas.openxmlformats.org/officeDocument/2006/relationships/hyperlink" Target="http://ufcstats.com/fight-details/0c2e3988793b418c" TargetMode="External"/><Relationship Id="rId19" Type="http://schemas.openxmlformats.org/officeDocument/2006/relationships/hyperlink" Target="http://ufcstats.com/fight-details/01432891260084a4" TargetMode="External"/><Relationship Id="rId4" Type="http://schemas.openxmlformats.org/officeDocument/2006/relationships/hyperlink" Target="https://www.sherdog.com/fighter/MarcAndre-Barriault-170803" TargetMode="External"/><Relationship Id="rId9" Type="http://schemas.openxmlformats.org/officeDocument/2006/relationships/hyperlink" Target="http://ufcstats.com/fight-details/2db0998b24c11ea0" TargetMode="External"/><Relationship Id="rId14" Type="http://schemas.openxmlformats.org/officeDocument/2006/relationships/hyperlink" Target="http://ufcstats.com/fight-details/d564e3a6c77d0c85" TargetMode="External"/><Relationship Id="rId22" Type="http://schemas.openxmlformats.org/officeDocument/2006/relationships/hyperlink" Target="http://ufcstats.com/fight-details/e7938bac3ec8b442" TargetMode="External"/><Relationship Id="rId27" Type="http://schemas.openxmlformats.org/officeDocument/2006/relationships/hyperlink" Target="http://ufcstats.com/fight-details/0320a6a967069571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://ufcstats.com/fight-details/17e8ab0065e9085f" TargetMode="External"/><Relationship Id="rId18" Type="http://schemas.openxmlformats.org/officeDocument/2006/relationships/hyperlink" Target="http://ufcstats.com/fight-details/dcf5014e56649c2f" TargetMode="External"/><Relationship Id="rId26" Type="http://schemas.openxmlformats.org/officeDocument/2006/relationships/hyperlink" Target="http://ufcstats.com/fight-details/670e4754d8d3d172" TargetMode="External"/><Relationship Id="rId3" Type="http://schemas.openxmlformats.org/officeDocument/2006/relationships/hyperlink" Target="http://ufcstats.com/fight-details/a8239866e1222eae" TargetMode="External"/><Relationship Id="rId21" Type="http://schemas.openxmlformats.org/officeDocument/2006/relationships/hyperlink" Target="http://ufcstats.com/fight-details/9785420602b452f7" TargetMode="External"/><Relationship Id="rId7" Type="http://schemas.openxmlformats.org/officeDocument/2006/relationships/hyperlink" Target="http://ufcstats.com/fight-details/c1aef0f60a5b62e3" TargetMode="External"/><Relationship Id="rId12" Type="http://schemas.openxmlformats.org/officeDocument/2006/relationships/hyperlink" Target="http://ufcstats.com/fight-details/1f7566c90343a680" TargetMode="External"/><Relationship Id="rId17" Type="http://schemas.openxmlformats.org/officeDocument/2006/relationships/hyperlink" Target="http://ufcstats.com/fight-details/ebb758b49e82d0ed" TargetMode="External"/><Relationship Id="rId25" Type="http://schemas.openxmlformats.org/officeDocument/2006/relationships/hyperlink" Target="https://www.sherdog.com/fighter/Garrett-Armfield-254941" TargetMode="External"/><Relationship Id="rId33" Type="http://schemas.openxmlformats.org/officeDocument/2006/relationships/hyperlink" Target="http://ufcstats.com/fight-details/2ae243f518948794" TargetMode="External"/><Relationship Id="rId2" Type="http://schemas.openxmlformats.org/officeDocument/2006/relationships/hyperlink" Target="http://ufcstats.com/fight-details/a7d397cd0f2ac93a" TargetMode="External"/><Relationship Id="rId16" Type="http://schemas.openxmlformats.org/officeDocument/2006/relationships/hyperlink" Target="http://ufcstats.com/fight-details/9861b6d04e6ed43c" TargetMode="External"/><Relationship Id="rId20" Type="http://schemas.openxmlformats.org/officeDocument/2006/relationships/hyperlink" Target="http://ufcstats.com/fight-details/063e7ce759c52f81" TargetMode="External"/><Relationship Id="rId29" Type="http://schemas.openxmlformats.org/officeDocument/2006/relationships/hyperlink" Target="http://ufcstats.com/fight-details/43d90683078fcee5" TargetMode="External"/><Relationship Id="rId1" Type="http://schemas.openxmlformats.org/officeDocument/2006/relationships/hyperlink" Target="http://ufcstats.com/fight-details/f1cbd73e7be64d28" TargetMode="External"/><Relationship Id="rId6" Type="http://schemas.openxmlformats.org/officeDocument/2006/relationships/hyperlink" Target="http://ufcstats.com/fight-details/fbedeb4e4b019b94" TargetMode="External"/><Relationship Id="rId11" Type="http://schemas.openxmlformats.org/officeDocument/2006/relationships/hyperlink" Target="http://ufcstats.com/fight-details/3ab0d8b344d2ebea" TargetMode="External"/><Relationship Id="rId24" Type="http://schemas.openxmlformats.org/officeDocument/2006/relationships/hyperlink" Target="https://www.sherdog.com/fighter/Garrett-Armfield-254941" TargetMode="External"/><Relationship Id="rId32" Type="http://schemas.openxmlformats.org/officeDocument/2006/relationships/hyperlink" Target="http://ufcstats.com/fight-details/246d06693b5ca1e8" TargetMode="External"/><Relationship Id="rId5" Type="http://schemas.openxmlformats.org/officeDocument/2006/relationships/hyperlink" Target="http://ufcstats.com/fight-details/f9ec8bedc15ece93" TargetMode="External"/><Relationship Id="rId15" Type="http://schemas.openxmlformats.org/officeDocument/2006/relationships/hyperlink" Target="http://ufcstats.com/fight-details/48ff3f1bcefbf965" TargetMode="External"/><Relationship Id="rId23" Type="http://schemas.openxmlformats.org/officeDocument/2006/relationships/hyperlink" Target="http://ufcstats.com/fight-details/6cd542650d886c22" TargetMode="External"/><Relationship Id="rId28" Type="http://schemas.openxmlformats.org/officeDocument/2006/relationships/hyperlink" Target="https://www.sherdog.com/fighter/Ramon-Taveras-332055" TargetMode="External"/><Relationship Id="rId10" Type="http://schemas.openxmlformats.org/officeDocument/2006/relationships/hyperlink" Target="http://ufcstats.com/fight-details/55231cc4112334b4" TargetMode="External"/><Relationship Id="rId19" Type="http://schemas.openxmlformats.org/officeDocument/2006/relationships/hyperlink" Target="http://ufcstats.com/fight-details/cde2f88251b73305" TargetMode="External"/><Relationship Id="rId31" Type="http://schemas.openxmlformats.org/officeDocument/2006/relationships/hyperlink" Target="http://ufcstats.com/fight-details/477c3b9de012e4b3" TargetMode="External"/><Relationship Id="rId4" Type="http://schemas.openxmlformats.org/officeDocument/2006/relationships/hyperlink" Target="http://ufcstats.com/fight-details/f8a8871d167fc929" TargetMode="External"/><Relationship Id="rId9" Type="http://schemas.openxmlformats.org/officeDocument/2006/relationships/hyperlink" Target="http://ufcstats.com/fight-details/b3d88eaea611a4a8" TargetMode="External"/><Relationship Id="rId14" Type="http://schemas.openxmlformats.org/officeDocument/2006/relationships/hyperlink" Target="http://ufcstats.com/fight-details/127be512f86618b2" TargetMode="External"/><Relationship Id="rId22" Type="http://schemas.openxmlformats.org/officeDocument/2006/relationships/hyperlink" Target="http://ufcstats.com/fight-details/e92fb5c609e20b49" TargetMode="External"/><Relationship Id="rId27" Type="http://schemas.openxmlformats.org/officeDocument/2006/relationships/hyperlink" Target="https://www.sherdog.com/fighter/Ramon-Taveras-332055" TargetMode="External"/><Relationship Id="rId30" Type="http://schemas.openxmlformats.org/officeDocument/2006/relationships/hyperlink" Target="http://ufcstats.com/fight-details/03de7404decde12f" TargetMode="External"/><Relationship Id="rId8" Type="http://schemas.openxmlformats.org/officeDocument/2006/relationships/hyperlink" Target="http://ufcstats.com/fight-details/5c3b8819dbe98114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ufcstats.com/fight-details/99dc6d45cbdfa322" TargetMode="External"/><Relationship Id="rId13" Type="http://schemas.openxmlformats.org/officeDocument/2006/relationships/hyperlink" Target="https://www.sherdog.com/fighter/Polyana-Viana-153951" TargetMode="External"/><Relationship Id="rId3" Type="http://schemas.openxmlformats.org/officeDocument/2006/relationships/hyperlink" Target="http://ufcstats.com/fight-details/6fd67582d8adb1c7" TargetMode="External"/><Relationship Id="rId7" Type="http://schemas.openxmlformats.org/officeDocument/2006/relationships/hyperlink" Target="http://ufcstats.com/fight-details/603afedc31d95999" TargetMode="External"/><Relationship Id="rId12" Type="http://schemas.openxmlformats.org/officeDocument/2006/relationships/hyperlink" Target="http://ufcstats.com/fight-details/c3986c1a56a6e94d" TargetMode="External"/><Relationship Id="rId17" Type="http://schemas.openxmlformats.org/officeDocument/2006/relationships/hyperlink" Target="http://ufcstats.com/fight-details/bd4d2522cb0d1a23" TargetMode="External"/><Relationship Id="rId2" Type="http://schemas.openxmlformats.org/officeDocument/2006/relationships/hyperlink" Target="http://ufcstats.com/fight-details/d4ace70b3661ee6c" TargetMode="External"/><Relationship Id="rId16" Type="http://schemas.openxmlformats.org/officeDocument/2006/relationships/hyperlink" Target="http://ufcstats.com/fight-details/acde7c89bd724af8" TargetMode="External"/><Relationship Id="rId1" Type="http://schemas.openxmlformats.org/officeDocument/2006/relationships/hyperlink" Target="http://ufcstats.com/fight-details/13d8d5cd83e5b57e" TargetMode="External"/><Relationship Id="rId6" Type="http://schemas.openxmlformats.org/officeDocument/2006/relationships/hyperlink" Target="http://ufcstats.com/fight-details/4915c8a588513c22" TargetMode="External"/><Relationship Id="rId11" Type="http://schemas.openxmlformats.org/officeDocument/2006/relationships/hyperlink" Target="http://ufcstats.com/fight-details/2aeb3ec2d8c05dc8" TargetMode="External"/><Relationship Id="rId5" Type="http://schemas.openxmlformats.org/officeDocument/2006/relationships/hyperlink" Target="http://ufcstats.com/fight-details/c84a29f426f1aab7" TargetMode="External"/><Relationship Id="rId15" Type="http://schemas.openxmlformats.org/officeDocument/2006/relationships/hyperlink" Target="http://ufcstats.com/fight-details/dff2685afd98ed9e" TargetMode="External"/><Relationship Id="rId10" Type="http://schemas.openxmlformats.org/officeDocument/2006/relationships/hyperlink" Target="http://ufcstats.com/fight-details/6e4acb2aaa2cee56" TargetMode="External"/><Relationship Id="rId4" Type="http://schemas.openxmlformats.org/officeDocument/2006/relationships/hyperlink" Target="http://ufcstats.com/fight-details/a0362d60d2e1db0d" TargetMode="External"/><Relationship Id="rId9" Type="http://schemas.openxmlformats.org/officeDocument/2006/relationships/hyperlink" Target="http://ufcstats.com/fight-details/66873dde4077bd5d" TargetMode="External"/><Relationship Id="rId14" Type="http://schemas.openxmlformats.org/officeDocument/2006/relationships/hyperlink" Target="https://www.sherdog.com/fighter/Polyana-Viana-153951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ufcstats.com/fight-details/d0602cdc04d2c159" TargetMode="External"/><Relationship Id="rId18" Type="http://schemas.openxmlformats.org/officeDocument/2006/relationships/hyperlink" Target="http://ufcstats.com/fight-details/b9de363e6b406853" TargetMode="External"/><Relationship Id="rId26" Type="http://schemas.openxmlformats.org/officeDocument/2006/relationships/hyperlink" Target="http://ufcstats.com/fight-details/6e73ebbd089aff5e" TargetMode="External"/><Relationship Id="rId39" Type="http://schemas.openxmlformats.org/officeDocument/2006/relationships/hyperlink" Target="http://ufcstats.com/fight-details/9feb9500b0fedfcd" TargetMode="External"/><Relationship Id="rId21" Type="http://schemas.openxmlformats.org/officeDocument/2006/relationships/hyperlink" Target="http://ufcstats.com/fight-details/cf5e8f98159c3971" TargetMode="External"/><Relationship Id="rId34" Type="http://schemas.openxmlformats.org/officeDocument/2006/relationships/hyperlink" Target="http://ufcstats.com/fight-details/733e675fd7c0052a" TargetMode="External"/><Relationship Id="rId42" Type="http://schemas.openxmlformats.org/officeDocument/2006/relationships/hyperlink" Target="http://ufcstats.com/fight-details/6e5a3d6b6ed84ac3" TargetMode="External"/><Relationship Id="rId7" Type="http://schemas.openxmlformats.org/officeDocument/2006/relationships/hyperlink" Target="http://ufcstats.com/fight-details/18824fa5c15c212f" TargetMode="External"/><Relationship Id="rId2" Type="http://schemas.openxmlformats.org/officeDocument/2006/relationships/hyperlink" Target="http://ufcstats.com/fight-details/6c67aa7063717a0c" TargetMode="External"/><Relationship Id="rId16" Type="http://schemas.openxmlformats.org/officeDocument/2006/relationships/hyperlink" Target="http://ufcstats.com/fight-details/8a121f9c48f3773c" TargetMode="External"/><Relationship Id="rId29" Type="http://schemas.openxmlformats.org/officeDocument/2006/relationships/hyperlink" Target="http://ufcstats.com/fight-details/ecbece0cbd60029e" TargetMode="External"/><Relationship Id="rId1" Type="http://schemas.openxmlformats.org/officeDocument/2006/relationships/hyperlink" Target="http://ufcstats.com/fight-details/83a0fff04494bfc4" TargetMode="External"/><Relationship Id="rId6" Type="http://schemas.openxmlformats.org/officeDocument/2006/relationships/hyperlink" Target="http://ufcstats.com/fight-details/01f7c28804746979" TargetMode="External"/><Relationship Id="rId11" Type="http://schemas.openxmlformats.org/officeDocument/2006/relationships/hyperlink" Target="http://ufcstats.com/fight-details/5344e76e26503716" TargetMode="External"/><Relationship Id="rId24" Type="http://schemas.openxmlformats.org/officeDocument/2006/relationships/hyperlink" Target="http://ufcstats.com/fight-details/4f20f3ada1489823" TargetMode="External"/><Relationship Id="rId32" Type="http://schemas.openxmlformats.org/officeDocument/2006/relationships/hyperlink" Target="http://ufcstats.com/fight-details/5304956aada097e8" TargetMode="External"/><Relationship Id="rId37" Type="http://schemas.openxmlformats.org/officeDocument/2006/relationships/hyperlink" Target="http://ufcstats.com/fight-details/ac8628d945a78b03" TargetMode="External"/><Relationship Id="rId40" Type="http://schemas.openxmlformats.org/officeDocument/2006/relationships/hyperlink" Target="http://ufcstats.com/fight-details/03eecf1926d9c77c" TargetMode="External"/><Relationship Id="rId45" Type="http://schemas.openxmlformats.org/officeDocument/2006/relationships/hyperlink" Target="http://ufcstats.com/fight-details/4c025d1fff9e9fce" TargetMode="External"/><Relationship Id="rId5" Type="http://schemas.openxmlformats.org/officeDocument/2006/relationships/hyperlink" Target="http://ufcstats.com/fight-details/0976778a6e6cf8a8" TargetMode="External"/><Relationship Id="rId15" Type="http://schemas.openxmlformats.org/officeDocument/2006/relationships/hyperlink" Target="http://ufcstats.com/fight-details/420a5e3b4010ebef" TargetMode="External"/><Relationship Id="rId23" Type="http://schemas.openxmlformats.org/officeDocument/2006/relationships/hyperlink" Target="http://ufcstats.com/fight-details/6ff21ea2c75c48ed" TargetMode="External"/><Relationship Id="rId28" Type="http://schemas.openxmlformats.org/officeDocument/2006/relationships/hyperlink" Target="http://ufcstats.com/fight-details/4e566db7d26df001" TargetMode="External"/><Relationship Id="rId36" Type="http://schemas.openxmlformats.org/officeDocument/2006/relationships/hyperlink" Target="http://ufcstats.com/fight-details/640f2ae3995b3b4f" TargetMode="External"/><Relationship Id="rId10" Type="http://schemas.openxmlformats.org/officeDocument/2006/relationships/hyperlink" Target="http://ufcstats.com/fight-details/ba8f219260e212f8" TargetMode="External"/><Relationship Id="rId19" Type="http://schemas.openxmlformats.org/officeDocument/2006/relationships/hyperlink" Target="http://ufcstats.com/fight-details/89db7aca37b87711" TargetMode="External"/><Relationship Id="rId31" Type="http://schemas.openxmlformats.org/officeDocument/2006/relationships/hyperlink" Target="http://ufcstats.com/fight-details/a376f6d5806d0c90" TargetMode="External"/><Relationship Id="rId44" Type="http://schemas.openxmlformats.org/officeDocument/2006/relationships/hyperlink" Target="http://ufcstats.com/fight-details/480c4dbd2e792d86" TargetMode="External"/><Relationship Id="rId4" Type="http://schemas.openxmlformats.org/officeDocument/2006/relationships/hyperlink" Target="http://ufcstats.com/fight-details/0a85b3ad328205ff" TargetMode="External"/><Relationship Id="rId9" Type="http://schemas.openxmlformats.org/officeDocument/2006/relationships/hyperlink" Target="http://ufcstats.com/fight-details/de7cb625bdec0f91" TargetMode="External"/><Relationship Id="rId14" Type="http://schemas.openxmlformats.org/officeDocument/2006/relationships/hyperlink" Target="http://ufcstats.com/fight-details/5be63144ac46f97e" TargetMode="External"/><Relationship Id="rId22" Type="http://schemas.openxmlformats.org/officeDocument/2006/relationships/hyperlink" Target="http://ufcstats.com/fight-details/efdad54c8550e6e0" TargetMode="External"/><Relationship Id="rId27" Type="http://schemas.openxmlformats.org/officeDocument/2006/relationships/hyperlink" Target="http://ufcstats.com/fight-details/8baff440b82afd2b" TargetMode="External"/><Relationship Id="rId30" Type="http://schemas.openxmlformats.org/officeDocument/2006/relationships/hyperlink" Target="http://ufcstats.com/fight-details/673a156925dfb31d" TargetMode="External"/><Relationship Id="rId35" Type="http://schemas.openxmlformats.org/officeDocument/2006/relationships/hyperlink" Target="http://ufcstats.com/fight-details/e396c509fb47b037" TargetMode="External"/><Relationship Id="rId43" Type="http://schemas.openxmlformats.org/officeDocument/2006/relationships/hyperlink" Target="http://ufcstats.com/fight-details/9fe98de1eac21f2e" TargetMode="External"/><Relationship Id="rId8" Type="http://schemas.openxmlformats.org/officeDocument/2006/relationships/hyperlink" Target="http://ufcstats.com/fight-details/47f8812a335b6ce9" TargetMode="External"/><Relationship Id="rId3" Type="http://schemas.openxmlformats.org/officeDocument/2006/relationships/hyperlink" Target="http://ufcstats.com/fight-details/8d9bcbb48888a5a3" TargetMode="External"/><Relationship Id="rId12" Type="http://schemas.openxmlformats.org/officeDocument/2006/relationships/hyperlink" Target="http://ufcstats.com/fight-details/acc57a9c114b694a" TargetMode="External"/><Relationship Id="rId17" Type="http://schemas.openxmlformats.org/officeDocument/2006/relationships/hyperlink" Target="http://ufcstats.com/fight-details/2faf5b8d708f8e94" TargetMode="External"/><Relationship Id="rId25" Type="http://schemas.openxmlformats.org/officeDocument/2006/relationships/hyperlink" Target="http://ufcstats.com/fight-details/537b3cef39d2d573" TargetMode="External"/><Relationship Id="rId33" Type="http://schemas.openxmlformats.org/officeDocument/2006/relationships/hyperlink" Target="http://ufcstats.com/fight-details/edf46d6962be7e8d" TargetMode="External"/><Relationship Id="rId38" Type="http://schemas.openxmlformats.org/officeDocument/2006/relationships/hyperlink" Target="http://ufcstats.com/fight-details/5ac1725f775c6f00" TargetMode="External"/><Relationship Id="rId20" Type="http://schemas.openxmlformats.org/officeDocument/2006/relationships/hyperlink" Target="http://ufcstats.com/fight-details/681cd3cc6299d652" TargetMode="External"/><Relationship Id="rId41" Type="http://schemas.openxmlformats.org/officeDocument/2006/relationships/hyperlink" Target="http://ufcstats.com/fight-details/20bfa549cb2cabe7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ufcstats.com/fight-details/f4ea27d942a390a5" TargetMode="External"/><Relationship Id="rId13" Type="http://schemas.openxmlformats.org/officeDocument/2006/relationships/hyperlink" Target="http://ufcstats.com/fight-details/1c03c1bb62f3aed6" TargetMode="External"/><Relationship Id="rId18" Type="http://schemas.openxmlformats.org/officeDocument/2006/relationships/hyperlink" Target="http://ufcstats.com/fight-details/ab105e5a56b5ee90" TargetMode="External"/><Relationship Id="rId3" Type="http://schemas.openxmlformats.org/officeDocument/2006/relationships/hyperlink" Target="http://ufcstats.com/fight-details/a0cae57eae875820" TargetMode="External"/><Relationship Id="rId21" Type="http://schemas.openxmlformats.org/officeDocument/2006/relationships/hyperlink" Target="http://ufcstats.com/fight-details/35addc4646509286" TargetMode="External"/><Relationship Id="rId7" Type="http://schemas.openxmlformats.org/officeDocument/2006/relationships/hyperlink" Target="http://ufcstats.com/fight-details/93ddc6b233d1956a" TargetMode="External"/><Relationship Id="rId12" Type="http://schemas.openxmlformats.org/officeDocument/2006/relationships/hyperlink" Target="http://ufcstats.com/fight-details/d1d3b6ab8a56e973" TargetMode="External"/><Relationship Id="rId17" Type="http://schemas.openxmlformats.org/officeDocument/2006/relationships/hyperlink" Target="https://www.sherdog.com/fighter/Jimmy-Flick-60460" TargetMode="External"/><Relationship Id="rId25" Type="http://schemas.openxmlformats.org/officeDocument/2006/relationships/hyperlink" Target="http://ufcstats.com/fight-details/8a0fc4624578a7e4" TargetMode="External"/><Relationship Id="rId2" Type="http://schemas.openxmlformats.org/officeDocument/2006/relationships/hyperlink" Target="http://ufcstats.com/fight-details/fe0f1b418e6d3ecb" TargetMode="External"/><Relationship Id="rId16" Type="http://schemas.openxmlformats.org/officeDocument/2006/relationships/hyperlink" Target="https://www.sherdog.com/fighter/Jimmy-Flick-60460" TargetMode="External"/><Relationship Id="rId20" Type="http://schemas.openxmlformats.org/officeDocument/2006/relationships/hyperlink" Target="http://ufcstats.com/fight-details/4ec249e549309b16" TargetMode="External"/><Relationship Id="rId1" Type="http://schemas.openxmlformats.org/officeDocument/2006/relationships/hyperlink" Target="http://ufcstats.com/fight-details/4b45f190122a1ce1" TargetMode="External"/><Relationship Id="rId6" Type="http://schemas.openxmlformats.org/officeDocument/2006/relationships/hyperlink" Target="http://ufcstats.com/fight-details/5e8c710f9f27aff8" TargetMode="External"/><Relationship Id="rId11" Type="http://schemas.openxmlformats.org/officeDocument/2006/relationships/hyperlink" Target="http://ufcstats.com/fight-details/024beecfd3f0ed7a" TargetMode="External"/><Relationship Id="rId24" Type="http://schemas.openxmlformats.org/officeDocument/2006/relationships/hyperlink" Target="http://ufcstats.com/fight-details/5704e73f91b9e7f7" TargetMode="External"/><Relationship Id="rId5" Type="http://schemas.openxmlformats.org/officeDocument/2006/relationships/hyperlink" Target="http://ufcstats.com/fight-details/74f5cbecac011abb" TargetMode="External"/><Relationship Id="rId15" Type="http://schemas.openxmlformats.org/officeDocument/2006/relationships/hyperlink" Target="https://en.wikipedia.org/wiki/Malcolm_Gordon_(fighter)" TargetMode="External"/><Relationship Id="rId23" Type="http://schemas.openxmlformats.org/officeDocument/2006/relationships/hyperlink" Target="http://ufcstats.com/fight-details/9abf0b60a44a82d1" TargetMode="External"/><Relationship Id="rId10" Type="http://schemas.openxmlformats.org/officeDocument/2006/relationships/hyperlink" Target="http://ufcstats.com/fight-details/5a82757b553c40fc" TargetMode="External"/><Relationship Id="rId19" Type="http://schemas.openxmlformats.org/officeDocument/2006/relationships/hyperlink" Target="http://ufcstats.com/fight-details/fd29123ff92789e4" TargetMode="External"/><Relationship Id="rId4" Type="http://schemas.openxmlformats.org/officeDocument/2006/relationships/hyperlink" Target="http://ufcstats.com/fight-details/451df53c13185584" TargetMode="External"/><Relationship Id="rId9" Type="http://schemas.openxmlformats.org/officeDocument/2006/relationships/hyperlink" Target="http://ufcstats.com/fight-details/3d3dde60e3d59c1c" TargetMode="External"/><Relationship Id="rId14" Type="http://schemas.openxmlformats.org/officeDocument/2006/relationships/hyperlink" Target="http://ufcstats.com/fight-details/ca7d61e167d7789c" TargetMode="External"/><Relationship Id="rId22" Type="http://schemas.openxmlformats.org/officeDocument/2006/relationships/hyperlink" Target="http://ufcstats.com/fight-details/84f6de7c99779e5f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herdog.com/fighter/Yohan-Lainesse-295377" TargetMode="External"/><Relationship Id="rId13" Type="http://schemas.openxmlformats.org/officeDocument/2006/relationships/hyperlink" Target="http://ufcstats.com/fight-details/a7fd9da657bbce8e" TargetMode="External"/><Relationship Id="rId18" Type="http://schemas.openxmlformats.org/officeDocument/2006/relationships/hyperlink" Target="http://ufcstats.com/fight-details/68f7f992603192c6" TargetMode="External"/><Relationship Id="rId26" Type="http://schemas.openxmlformats.org/officeDocument/2006/relationships/hyperlink" Target="http://ufcstats.com/fight-details/97817609ed46baa0" TargetMode="External"/><Relationship Id="rId3" Type="http://schemas.openxmlformats.org/officeDocument/2006/relationships/hyperlink" Target="http://ufcstats.com/fight-details/de12349f334c964e" TargetMode="External"/><Relationship Id="rId21" Type="http://schemas.openxmlformats.org/officeDocument/2006/relationships/hyperlink" Target="http://ufcstats.com/fight-details/9ddaa62cc806958d" TargetMode="External"/><Relationship Id="rId7" Type="http://schemas.openxmlformats.org/officeDocument/2006/relationships/hyperlink" Target="https://www.sherdog.com/fighter/Yohan-Lainesse-295377" TargetMode="External"/><Relationship Id="rId12" Type="http://schemas.openxmlformats.org/officeDocument/2006/relationships/hyperlink" Target="http://ufcstats.com/fight-details/b210b99d9c1c9196" TargetMode="External"/><Relationship Id="rId17" Type="http://schemas.openxmlformats.org/officeDocument/2006/relationships/hyperlink" Target="http://ufcstats.com/fight-details/270edfb687c0d20c" TargetMode="External"/><Relationship Id="rId25" Type="http://schemas.openxmlformats.org/officeDocument/2006/relationships/hyperlink" Target="https://www.sherdog.com/fighter/Mike-Malott-79377" TargetMode="External"/><Relationship Id="rId2" Type="http://schemas.openxmlformats.org/officeDocument/2006/relationships/hyperlink" Target="http://ufcstats.com/fight-details/ec5d705232983b87" TargetMode="External"/><Relationship Id="rId16" Type="http://schemas.openxmlformats.org/officeDocument/2006/relationships/hyperlink" Target="http://ufcstats.com/fight-details/eb9f9f61507497a5" TargetMode="External"/><Relationship Id="rId20" Type="http://schemas.openxmlformats.org/officeDocument/2006/relationships/hyperlink" Target="http://ufcstats.com/fight-details/ef13ed466e0b42d8" TargetMode="External"/><Relationship Id="rId29" Type="http://schemas.openxmlformats.org/officeDocument/2006/relationships/hyperlink" Target="http://ufcstats.com/fight-details/32813f5f46f045e8" TargetMode="External"/><Relationship Id="rId1" Type="http://schemas.openxmlformats.org/officeDocument/2006/relationships/hyperlink" Target="http://ufcstats.com/fight-details/b78a222fb448aed4" TargetMode="External"/><Relationship Id="rId6" Type="http://schemas.openxmlformats.org/officeDocument/2006/relationships/hyperlink" Target="http://ufcstats.com/fight-details/4cff9aeef3ac75c1" TargetMode="External"/><Relationship Id="rId11" Type="http://schemas.openxmlformats.org/officeDocument/2006/relationships/hyperlink" Target="http://ufcstats.com/fight-details/39c4ae4624052f9f" TargetMode="External"/><Relationship Id="rId24" Type="http://schemas.openxmlformats.org/officeDocument/2006/relationships/hyperlink" Target="https://www.sherdog.com/fighter/Mike-Malott-79377" TargetMode="External"/><Relationship Id="rId5" Type="http://schemas.openxmlformats.org/officeDocument/2006/relationships/hyperlink" Target="http://ufcstats.com/fight-details/330d86bfaa4155fe" TargetMode="External"/><Relationship Id="rId15" Type="http://schemas.openxmlformats.org/officeDocument/2006/relationships/hyperlink" Target="http://ufcstats.com/fight-details/0b9cd718d7e329e8" TargetMode="External"/><Relationship Id="rId23" Type="http://schemas.openxmlformats.org/officeDocument/2006/relationships/hyperlink" Target="http://ufcstats.com/fight-details/af6d56860ba4d259" TargetMode="External"/><Relationship Id="rId28" Type="http://schemas.openxmlformats.org/officeDocument/2006/relationships/hyperlink" Target="http://ufcstats.com/fight-details/3adab28c5c6a9254" TargetMode="External"/><Relationship Id="rId10" Type="http://schemas.openxmlformats.org/officeDocument/2006/relationships/hyperlink" Target="http://ufcstats.com/fight-details/5f622d812b8f407f" TargetMode="External"/><Relationship Id="rId19" Type="http://schemas.openxmlformats.org/officeDocument/2006/relationships/hyperlink" Target="http://ufcstats.com/fight-details/8fb0092430448368" TargetMode="External"/><Relationship Id="rId4" Type="http://schemas.openxmlformats.org/officeDocument/2006/relationships/hyperlink" Target="http://ufcstats.com/fight-details/08f7a60bd84a6b3c" TargetMode="External"/><Relationship Id="rId9" Type="http://schemas.openxmlformats.org/officeDocument/2006/relationships/hyperlink" Target="http://ufcstats.com/fight-details/a10e2d5416972b9c" TargetMode="External"/><Relationship Id="rId14" Type="http://schemas.openxmlformats.org/officeDocument/2006/relationships/hyperlink" Target="http://ufcstats.com/fight-details/6ea77cb62aa2f276" TargetMode="External"/><Relationship Id="rId22" Type="http://schemas.openxmlformats.org/officeDocument/2006/relationships/hyperlink" Target="http://ufcstats.com/fight-details/246fef4b19c3a7ed" TargetMode="External"/><Relationship Id="rId27" Type="http://schemas.openxmlformats.org/officeDocument/2006/relationships/hyperlink" Target="http://ufcstats.com/fight-details/1efc813ccd7a5aba" TargetMode="External"/><Relationship Id="rId30" Type="http://schemas.openxmlformats.org/officeDocument/2006/relationships/hyperlink" Target="http://ufcstats.com/fight-details/73ebbfb998edc1f1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herdog.com/fighter/Priscila-Cachoeira-227399" TargetMode="External"/><Relationship Id="rId13" Type="http://schemas.openxmlformats.org/officeDocument/2006/relationships/hyperlink" Target="http://ufcstats.com/fight-details/b1ac165326d8f29e" TargetMode="External"/><Relationship Id="rId3" Type="http://schemas.openxmlformats.org/officeDocument/2006/relationships/hyperlink" Target="http://ufcstats.com/fight-details/2f414494f2b6f426" TargetMode="External"/><Relationship Id="rId7" Type="http://schemas.openxmlformats.org/officeDocument/2006/relationships/hyperlink" Target="https://www.sherdog.com/fighter/Priscila-Cachoeira-227399" TargetMode="External"/><Relationship Id="rId12" Type="http://schemas.openxmlformats.org/officeDocument/2006/relationships/hyperlink" Target="http://ufcstats.com/fight-details/6997693d552600dd" TargetMode="External"/><Relationship Id="rId2" Type="http://schemas.openxmlformats.org/officeDocument/2006/relationships/hyperlink" Target="http://ufcstats.com/fight-details/f1c3abce15ef053e" TargetMode="External"/><Relationship Id="rId1" Type="http://schemas.openxmlformats.org/officeDocument/2006/relationships/hyperlink" Target="http://ufcstats.com/fight-details/188e6416157e5a1f" TargetMode="External"/><Relationship Id="rId6" Type="http://schemas.openxmlformats.org/officeDocument/2006/relationships/hyperlink" Target="http://ufcstats.com/fight-details/1685eecc7ef37fb5" TargetMode="External"/><Relationship Id="rId11" Type="http://schemas.openxmlformats.org/officeDocument/2006/relationships/hyperlink" Target="http://ufcstats.com/fight-details/5a6e894e4b6cc703" TargetMode="External"/><Relationship Id="rId5" Type="http://schemas.openxmlformats.org/officeDocument/2006/relationships/hyperlink" Target="http://ufcstats.com/fight-details/626c82ed45fdcf59" TargetMode="External"/><Relationship Id="rId10" Type="http://schemas.openxmlformats.org/officeDocument/2006/relationships/hyperlink" Target="http://ufcstats.com/fight-details/609d994bfe440ec3" TargetMode="External"/><Relationship Id="rId4" Type="http://schemas.openxmlformats.org/officeDocument/2006/relationships/hyperlink" Target="http://ufcstats.com/fight-details/711ec0545552455b" TargetMode="External"/><Relationship Id="rId9" Type="http://schemas.openxmlformats.org/officeDocument/2006/relationships/hyperlink" Target="http://ufcstats.com/fight-details/7736eb6bd5c1ff4a" TargetMode="Externa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://ufcstats.com/fight-details/3b21a9f48bac4a44" TargetMode="External"/><Relationship Id="rId18" Type="http://schemas.openxmlformats.org/officeDocument/2006/relationships/hyperlink" Target="http://ufcstats.com/fight-details/8aa07b6cc40f0cb2" TargetMode="External"/><Relationship Id="rId26" Type="http://schemas.openxmlformats.org/officeDocument/2006/relationships/hyperlink" Target="http://ufcstats.com/fight-details/25259e230be9cdc9" TargetMode="External"/><Relationship Id="rId3" Type="http://schemas.openxmlformats.org/officeDocument/2006/relationships/hyperlink" Target="http://ufcstats.com/fight-details/538ca98010ed00ec" TargetMode="External"/><Relationship Id="rId21" Type="http://schemas.openxmlformats.org/officeDocument/2006/relationships/hyperlink" Target="http://ufcstats.com/fight-details/32375b4435fea5e6" TargetMode="External"/><Relationship Id="rId7" Type="http://schemas.openxmlformats.org/officeDocument/2006/relationships/hyperlink" Target="http://ufcstats.com/fight-details/a1294453a28beda3" TargetMode="External"/><Relationship Id="rId12" Type="http://schemas.openxmlformats.org/officeDocument/2006/relationships/hyperlink" Target="http://ufcstats.com/fight-details/e1930496b33fa636" TargetMode="External"/><Relationship Id="rId17" Type="http://schemas.openxmlformats.org/officeDocument/2006/relationships/hyperlink" Target="http://ufcstats.com/fight-details/128ab9aa4802c73f" TargetMode="External"/><Relationship Id="rId25" Type="http://schemas.openxmlformats.org/officeDocument/2006/relationships/hyperlink" Target="http://ufcstats.com/fight-details/c26f27667c230391" TargetMode="External"/><Relationship Id="rId33" Type="http://schemas.openxmlformats.org/officeDocument/2006/relationships/hyperlink" Target="http://ufcstats.com/fight-details/1cf69de0eea46877" TargetMode="External"/><Relationship Id="rId2" Type="http://schemas.openxmlformats.org/officeDocument/2006/relationships/hyperlink" Target="http://ufcstats.com/fight-details/7ca5604d99220e88" TargetMode="External"/><Relationship Id="rId16" Type="http://schemas.openxmlformats.org/officeDocument/2006/relationships/hyperlink" Target="http://ufcstats.com/fight-details/f0fe73e650b746f2" TargetMode="External"/><Relationship Id="rId20" Type="http://schemas.openxmlformats.org/officeDocument/2006/relationships/hyperlink" Target="http://ufcstats.com/fight-details/9c22ddb8d8fc1838" TargetMode="External"/><Relationship Id="rId29" Type="http://schemas.openxmlformats.org/officeDocument/2006/relationships/hyperlink" Target="https://www.sherdog.com/fighter/Sean-Woodson-235563" TargetMode="External"/><Relationship Id="rId1" Type="http://schemas.openxmlformats.org/officeDocument/2006/relationships/hyperlink" Target="http://ufcstats.com/fight-details/c456b1950208e0b2" TargetMode="External"/><Relationship Id="rId6" Type="http://schemas.openxmlformats.org/officeDocument/2006/relationships/hyperlink" Target="http://ufcstats.com/fight-details/72f123ddb4cc9d1c" TargetMode="External"/><Relationship Id="rId11" Type="http://schemas.openxmlformats.org/officeDocument/2006/relationships/hyperlink" Target="http://ufcstats.com/fight-details/50dae6b76c9c6490" TargetMode="External"/><Relationship Id="rId24" Type="http://schemas.openxmlformats.org/officeDocument/2006/relationships/hyperlink" Target="http://ufcstats.com/fight-details/8c8337ce8437fe2e" TargetMode="External"/><Relationship Id="rId32" Type="http://schemas.openxmlformats.org/officeDocument/2006/relationships/hyperlink" Target="http://ufcstats.com/fight-details/0494ebcee93e717b" TargetMode="External"/><Relationship Id="rId5" Type="http://schemas.openxmlformats.org/officeDocument/2006/relationships/hyperlink" Target="http://ufcstats.com/fight-details/f59cefe16905d62c" TargetMode="External"/><Relationship Id="rId15" Type="http://schemas.openxmlformats.org/officeDocument/2006/relationships/hyperlink" Target="http://ufcstats.com/fight-details/62b64802ea49e2fd" TargetMode="External"/><Relationship Id="rId23" Type="http://schemas.openxmlformats.org/officeDocument/2006/relationships/hyperlink" Target="http://ufcstats.com/fight-details/976abc27a4e5e26a" TargetMode="External"/><Relationship Id="rId28" Type="http://schemas.openxmlformats.org/officeDocument/2006/relationships/hyperlink" Target="http://ufcstats.com/fight-details/1a7cd191f0cf160c" TargetMode="External"/><Relationship Id="rId10" Type="http://schemas.openxmlformats.org/officeDocument/2006/relationships/hyperlink" Target="http://ufcstats.com/fight-details/3b05a4ced6dd74f5" TargetMode="External"/><Relationship Id="rId19" Type="http://schemas.openxmlformats.org/officeDocument/2006/relationships/hyperlink" Target="http://ufcstats.com/fight-details/d95f21817a56eb05" TargetMode="External"/><Relationship Id="rId31" Type="http://schemas.openxmlformats.org/officeDocument/2006/relationships/hyperlink" Target="http://ufcstats.com/fight-details/331ddc1141e934d1" TargetMode="External"/><Relationship Id="rId4" Type="http://schemas.openxmlformats.org/officeDocument/2006/relationships/hyperlink" Target="http://ufcstats.com/fight-details/91aa08e910fb4412" TargetMode="External"/><Relationship Id="rId9" Type="http://schemas.openxmlformats.org/officeDocument/2006/relationships/hyperlink" Target="http://ufcstats.com/fight-details/acc7392d48cc09a0" TargetMode="External"/><Relationship Id="rId14" Type="http://schemas.openxmlformats.org/officeDocument/2006/relationships/hyperlink" Target="http://ufcstats.com/fight-details/abb6e2169ba580d2" TargetMode="External"/><Relationship Id="rId22" Type="http://schemas.openxmlformats.org/officeDocument/2006/relationships/hyperlink" Target="http://ufcstats.com/fight-details/636b01ee49925e49" TargetMode="External"/><Relationship Id="rId27" Type="http://schemas.openxmlformats.org/officeDocument/2006/relationships/hyperlink" Target="http://ufcstats.com/fight-details/478a637045ad49fb" TargetMode="External"/><Relationship Id="rId30" Type="http://schemas.openxmlformats.org/officeDocument/2006/relationships/hyperlink" Target="https://www.sherdog.com/fighter/Sean-Woodson-235563" TargetMode="External"/><Relationship Id="rId8" Type="http://schemas.openxmlformats.org/officeDocument/2006/relationships/hyperlink" Target="http://ufcstats.com/fight-details/0e6782b758451063" TargetMode="External"/></Relationships>
</file>

<file path=xl/worksheets/_rels/sheet14.xml.rels><?xml version="1.0" encoding="UTF-8" standalone="yes"?>
<Relationships xmlns="http://schemas.openxmlformats.org/package/2006/relationships"><Relationship Id="rId1827" Type="http://schemas.openxmlformats.org/officeDocument/2006/relationships/hyperlink" Target="http://ufcstats.com/fight-details/e3a2bf2d9ee83318" TargetMode="External"/><Relationship Id="rId3182" Type="http://schemas.openxmlformats.org/officeDocument/2006/relationships/hyperlink" Target="http://ufcstats.com/fight-details/cc73c73e6e3412d4" TargetMode="External"/><Relationship Id="rId4233" Type="http://schemas.openxmlformats.org/officeDocument/2006/relationships/hyperlink" Target="http://ufcstats.com/fight-details/ca9804845b010845" TargetMode="External"/><Relationship Id="rId3999" Type="http://schemas.openxmlformats.org/officeDocument/2006/relationships/hyperlink" Target="http://ufcstats.com/fight-details/34cb6e9952cd30a4" TargetMode="External"/><Relationship Id="rId4300" Type="http://schemas.openxmlformats.org/officeDocument/2006/relationships/hyperlink" Target="http://ufcstats.com/fight-details/7fe0cec2b0f1c146" TargetMode="External"/><Relationship Id="rId170" Type="http://schemas.openxmlformats.org/officeDocument/2006/relationships/hyperlink" Target="http://ufcstats.com/fight-details/3db15d45e8490c22" TargetMode="External"/><Relationship Id="rId987" Type="http://schemas.openxmlformats.org/officeDocument/2006/relationships/hyperlink" Target="http://ufcstats.com/fight-details/cd7fd3f034717d3c" TargetMode="External"/><Relationship Id="rId2668" Type="http://schemas.openxmlformats.org/officeDocument/2006/relationships/hyperlink" Target="http://ufcstats.com/fight-details/569e2c02f7699c0d" TargetMode="External"/><Relationship Id="rId3719" Type="http://schemas.openxmlformats.org/officeDocument/2006/relationships/hyperlink" Target="http://ufcstats.com/fight-details/f6ab2eec90980ac0" TargetMode="External"/><Relationship Id="rId4090" Type="http://schemas.openxmlformats.org/officeDocument/2006/relationships/hyperlink" Target="http://ufcstats.com/fight-details/13129c1f044fdd47" TargetMode="External"/><Relationship Id="rId1684" Type="http://schemas.openxmlformats.org/officeDocument/2006/relationships/hyperlink" Target="http://ufcstats.com/fight-details/7adaf85915993137" TargetMode="External"/><Relationship Id="rId2735" Type="http://schemas.openxmlformats.org/officeDocument/2006/relationships/hyperlink" Target="http://ufcstats.com/fight-details/51461da4ba467901" TargetMode="External"/><Relationship Id="rId707" Type="http://schemas.openxmlformats.org/officeDocument/2006/relationships/hyperlink" Target="http://ufcstats.com/fight-details/1b6e5363eb81c409" TargetMode="External"/><Relationship Id="rId1337" Type="http://schemas.openxmlformats.org/officeDocument/2006/relationships/hyperlink" Target="http://ufcstats.com/fight-details/51ec53f442d2cc9b" TargetMode="External"/><Relationship Id="rId1751" Type="http://schemas.openxmlformats.org/officeDocument/2006/relationships/hyperlink" Target="http://ufcstats.com/fight-details/a3ef3d05ddd80a94" TargetMode="External"/><Relationship Id="rId2802" Type="http://schemas.openxmlformats.org/officeDocument/2006/relationships/hyperlink" Target="http://ufcstats.com/fight-details/d0d99889c6abd8e1" TargetMode="External"/><Relationship Id="rId43" Type="http://schemas.openxmlformats.org/officeDocument/2006/relationships/hyperlink" Target="http://ufcstats.com/fight-details/ab853176cfe20b01" TargetMode="External"/><Relationship Id="rId1404" Type="http://schemas.openxmlformats.org/officeDocument/2006/relationships/hyperlink" Target="http://ufcstats.com/fight-details/9072bf6135cad3e0" TargetMode="External"/><Relationship Id="rId3576" Type="http://schemas.openxmlformats.org/officeDocument/2006/relationships/hyperlink" Target="http://ufcstats.com/fight-details/f2ced83baf0457fc" TargetMode="External"/><Relationship Id="rId497" Type="http://schemas.openxmlformats.org/officeDocument/2006/relationships/hyperlink" Target="http://ufcstats.com/fight-details/1e5c66d12761d4fe" TargetMode="External"/><Relationship Id="rId2178" Type="http://schemas.openxmlformats.org/officeDocument/2006/relationships/hyperlink" Target="http://ufcstats.com/fight-details/7e9cb0c322773157" TargetMode="External"/><Relationship Id="rId3229" Type="http://schemas.openxmlformats.org/officeDocument/2006/relationships/hyperlink" Target="http://ufcstats.com/fight-details/c0ab927864bb6e98" TargetMode="External"/><Relationship Id="rId3990" Type="http://schemas.openxmlformats.org/officeDocument/2006/relationships/hyperlink" Target="http://ufcstats.com/fight-details/d0ac2cc5c57c4e66" TargetMode="External"/><Relationship Id="rId1194" Type="http://schemas.openxmlformats.org/officeDocument/2006/relationships/hyperlink" Target="http://ufcstats.com/fight-details/96b62bd56b252bab" TargetMode="External"/><Relationship Id="rId2592" Type="http://schemas.openxmlformats.org/officeDocument/2006/relationships/hyperlink" Target="http://ufcstats.com/fight-details/65ce9335b93d9c57" TargetMode="External"/><Relationship Id="rId3643" Type="http://schemas.openxmlformats.org/officeDocument/2006/relationships/hyperlink" Target="http://ufcstats.com/fight-details/9b8a82276f06829f" TargetMode="External"/><Relationship Id="rId217" Type="http://schemas.openxmlformats.org/officeDocument/2006/relationships/hyperlink" Target="http://ufcstats.com/fight-details/971d9fa5947a4bb7" TargetMode="External"/><Relationship Id="rId564" Type="http://schemas.openxmlformats.org/officeDocument/2006/relationships/hyperlink" Target="http://ufcstats.com/fight-details/7ec86f2af631344f" TargetMode="External"/><Relationship Id="rId2245" Type="http://schemas.openxmlformats.org/officeDocument/2006/relationships/hyperlink" Target="http://ufcstats.com/fight-details/95beb5ec32718faf" TargetMode="External"/><Relationship Id="rId3710" Type="http://schemas.openxmlformats.org/officeDocument/2006/relationships/hyperlink" Target="http://ufcstats.com/fight-details/c5d5fcf290cc029e" TargetMode="External"/><Relationship Id="rId631" Type="http://schemas.openxmlformats.org/officeDocument/2006/relationships/hyperlink" Target="http://ufcstats.com/fight-details/41cdfea7df63003f" TargetMode="External"/><Relationship Id="rId1261" Type="http://schemas.openxmlformats.org/officeDocument/2006/relationships/hyperlink" Target="http://ufcstats.com/fight-details/394ae51820bedd4c" TargetMode="External"/><Relationship Id="rId2312" Type="http://schemas.openxmlformats.org/officeDocument/2006/relationships/hyperlink" Target="http://ufcstats.com/fight-details/3e2f00991f511607" TargetMode="External"/><Relationship Id="rId3086" Type="http://schemas.openxmlformats.org/officeDocument/2006/relationships/hyperlink" Target="http://ufcstats.com/fight-details/256894b49303537b" TargetMode="External"/><Relationship Id="rId4137" Type="http://schemas.openxmlformats.org/officeDocument/2006/relationships/hyperlink" Target="http://ufcstats.com/fight-details/6832e9e62da0f9d3" TargetMode="External"/><Relationship Id="rId3153" Type="http://schemas.openxmlformats.org/officeDocument/2006/relationships/hyperlink" Target="http://ufcstats.com/fight-details/2f1f16c86a8cc6e2" TargetMode="External"/><Relationship Id="rId4204" Type="http://schemas.openxmlformats.org/officeDocument/2006/relationships/hyperlink" Target="http://ufcstats.com/fight-details/acde7c89bd724af8" TargetMode="External"/><Relationship Id="rId141" Type="http://schemas.openxmlformats.org/officeDocument/2006/relationships/hyperlink" Target="http://ufcstats.com/fight-details/ac6b2a5f24c2b8bd" TargetMode="External"/><Relationship Id="rId3220" Type="http://schemas.openxmlformats.org/officeDocument/2006/relationships/hyperlink" Target="http://ufcstats.com/fight-details/3fcd53eb27945231" TargetMode="External"/><Relationship Id="rId7" Type="http://schemas.openxmlformats.org/officeDocument/2006/relationships/hyperlink" Target="http://ufcstats.com/fight-details/e2503ed6a1f9257d" TargetMode="External"/><Relationship Id="rId2986" Type="http://schemas.openxmlformats.org/officeDocument/2006/relationships/hyperlink" Target="http://ufcstats.com/fight-details/5be97c1fa222093d" TargetMode="External"/><Relationship Id="rId958" Type="http://schemas.openxmlformats.org/officeDocument/2006/relationships/hyperlink" Target="http://ufcstats.com/fight-details/b01e6e97d66681c5" TargetMode="External"/><Relationship Id="rId1588" Type="http://schemas.openxmlformats.org/officeDocument/2006/relationships/hyperlink" Target="http://ufcstats.com/fight-details/36220644401d85e1" TargetMode="External"/><Relationship Id="rId2639" Type="http://schemas.openxmlformats.org/officeDocument/2006/relationships/hyperlink" Target="http://ufcstats.com/fight-details/3fd3b871e83434c5" TargetMode="External"/><Relationship Id="rId1655" Type="http://schemas.openxmlformats.org/officeDocument/2006/relationships/hyperlink" Target="http://ufcstats.com/fight-details/244357514dd89bd6" TargetMode="External"/><Relationship Id="rId2706" Type="http://schemas.openxmlformats.org/officeDocument/2006/relationships/hyperlink" Target="http://ufcstats.com/fight-details/3b463d688d598a72" TargetMode="External"/><Relationship Id="rId4061" Type="http://schemas.openxmlformats.org/officeDocument/2006/relationships/hyperlink" Target="http://ufcstats.com/fight-details/5d5bf07dbfada0e3" TargetMode="External"/><Relationship Id="rId1308" Type="http://schemas.openxmlformats.org/officeDocument/2006/relationships/hyperlink" Target="http://ufcstats.com/fight-details/f6472ca263a863d1" TargetMode="External"/><Relationship Id="rId1722" Type="http://schemas.openxmlformats.org/officeDocument/2006/relationships/hyperlink" Target="http://ufcstats.com/fight-details/3e1c27f17433f9e4" TargetMode="External"/><Relationship Id="rId14" Type="http://schemas.openxmlformats.org/officeDocument/2006/relationships/hyperlink" Target="http://ufcstats.com/fight-details/0f2983fe7753403f" TargetMode="External"/><Relationship Id="rId3894" Type="http://schemas.openxmlformats.org/officeDocument/2006/relationships/hyperlink" Target="http://ufcstats.com/fight-details/7d14f95d03afb359" TargetMode="External"/><Relationship Id="rId2496" Type="http://schemas.openxmlformats.org/officeDocument/2006/relationships/hyperlink" Target="http://ufcstats.com/fight-details/0590fb4acc06fa93" TargetMode="External"/><Relationship Id="rId3547" Type="http://schemas.openxmlformats.org/officeDocument/2006/relationships/hyperlink" Target="http://ufcstats.com/fight-details/06b3226c34c17001" TargetMode="External"/><Relationship Id="rId3961" Type="http://schemas.openxmlformats.org/officeDocument/2006/relationships/hyperlink" Target="http://ufcstats.com/fight-details/83da743f6dda7dcc" TargetMode="External"/><Relationship Id="rId468" Type="http://schemas.openxmlformats.org/officeDocument/2006/relationships/hyperlink" Target="http://ufcstats.com/fight-details/d7022b6058dbb26b" TargetMode="External"/><Relationship Id="rId882" Type="http://schemas.openxmlformats.org/officeDocument/2006/relationships/hyperlink" Target="http://ufcstats.com/fight-details/1bde9cb65d31cc76" TargetMode="External"/><Relationship Id="rId1098" Type="http://schemas.openxmlformats.org/officeDocument/2006/relationships/hyperlink" Target="http://ufcstats.com/fight-details/7e9ed49a1831056f" TargetMode="External"/><Relationship Id="rId2149" Type="http://schemas.openxmlformats.org/officeDocument/2006/relationships/hyperlink" Target="http://ufcstats.com/fight-details/f457d55f78d581f9" TargetMode="External"/><Relationship Id="rId2563" Type="http://schemas.openxmlformats.org/officeDocument/2006/relationships/hyperlink" Target="http://ufcstats.com/fight-details/c8ca99d1adc5448d" TargetMode="External"/><Relationship Id="rId3614" Type="http://schemas.openxmlformats.org/officeDocument/2006/relationships/hyperlink" Target="http://ufcstats.com/fight-details/02e3699be1d8daa2" TargetMode="External"/><Relationship Id="rId535" Type="http://schemas.openxmlformats.org/officeDocument/2006/relationships/hyperlink" Target="http://ufcstats.com/fight-details/c94b153951be7590" TargetMode="External"/><Relationship Id="rId1165" Type="http://schemas.openxmlformats.org/officeDocument/2006/relationships/hyperlink" Target="http://ufcstats.com/fight-details/fdde8777c7ae9769" TargetMode="External"/><Relationship Id="rId2216" Type="http://schemas.openxmlformats.org/officeDocument/2006/relationships/hyperlink" Target="http://ufcstats.com/fight-details/9feb9500b0fedfcd" TargetMode="External"/><Relationship Id="rId2630" Type="http://schemas.openxmlformats.org/officeDocument/2006/relationships/hyperlink" Target="http://ufcstats.com/fight-details/09f5fb0bec3c948a" TargetMode="External"/><Relationship Id="rId602" Type="http://schemas.openxmlformats.org/officeDocument/2006/relationships/hyperlink" Target="http://ufcstats.com/fight-details/43ec12079ccc371c" TargetMode="External"/><Relationship Id="rId1232" Type="http://schemas.openxmlformats.org/officeDocument/2006/relationships/hyperlink" Target="http://ufcstats.com/fight-details/8e4024cb49c963f2" TargetMode="External"/><Relationship Id="rId4388" Type="http://schemas.openxmlformats.org/officeDocument/2006/relationships/hyperlink" Target="http://ufcstats.com/fight-details/a3cde349c8e018fb" TargetMode="External"/><Relationship Id="rId3057" Type="http://schemas.openxmlformats.org/officeDocument/2006/relationships/hyperlink" Target="http://ufcstats.com/fight-details/2208b9f471a201d9" TargetMode="External"/><Relationship Id="rId4108" Type="http://schemas.openxmlformats.org/officeDocument/2006/relationships/hyperlink" Target="http://ufcstats.com/fight-details/85060e6e71ed14e4" TargetMode="External"/><Relationship Id="rId4455" Type="http://schemas.openxmlformats.org/officeDocument/2006/relationships/hyperlink" Target="http://ufcstats.com/fight-details/53c3565ee1d3411a" TargetMode="External"/><Relationship Id="rId3471" Type="http://schemas.openxmlformats.org/officeDocument/2006/relationships/hyperlink" Target="http://ufcstats.com/fight-details/824368db1ed8191f" TargetMode="External"/><Relationship Id="rId392" Type="http://schemas.openxmlformats.org/officeDocument/2006/relationships/hyperlink" Target="http://ufcstats.com/fight-details/5a36c9362552e0dc" TargetMode="External"/><Relationship Id="rId2073" Type="http://schemas.openxmlformats.org/officeDocument/2006/relationships/hyperlink" Target="http://ufcstats.com/fight-details/0febad4c4a3d69fc" TargetMode="External"/><Relationship Id="rId3124" Type="http://schemas.openxmlformats.org/officeDocument/2006/relationships/hyperlink" Target="http://ufcstats.com/fight-details/ecb4534c0066c5f3" TargetMode="External"/><Relationship Id="rId2140" Type="http://schemas.openxmlformats.org/officeDocument/2006/relationships/hyperlink" Target="http://ufcstats.com/fight-details/31dd8b5d6444f19b" TargetMode="External"/><Relationship Id="rId112" Type="http://schemas.openxmlformats.org/officeDocument/2006/relationships/hyperlink" Target="http://ufcstats.com/fight-details/28bd070f7ab0a0b9" TargetMode="External"/><Relationship Id="rId2957" Type="http://schemas.openxmlformats.org/officeDocument/2006/relationships/hyperlink" Target="http://ufcstats.com/fight-details/646eeca9447c6965" TargetMode="External"/><Relationship Id="rId929" Type="http://schemas.openxmlformats.org/officeDocument/2006/relationships/hyperlink" Target="http://ufcstats.com/fight-details/6e705b2365bc03fa" TargetMode="External"/><Relationship Id="rId1559" Type="http://schemas.openxmlformats.org/officeDocument/2006/relationships/hyperlink" Target="http://ufcstats.com/fight-details/a3b972117a3998ee" TargetMode="External"/><Relationship Id="rId1973" Type="http://schemas.openxmlformats.org/officeDocument/2006/relationships/hyperlink" Target="http://ufcstats.com/fight-details/20bfa549cb2cabe7" TargetMode="External"/><Relationship Id="rId4032" Type="http://schemas.openxmlformats.org/officeDocument/2006/relationships/hyperlink" Target="http://ufcstats.com/fight-details/53d6d5ad08ac0694" TargetMode="External"/><Relationship Id="rId1626" Type="http://schemas.openxmlformats.org/officeDocument/2006/relationships/hyperlink" Target="http://ufcstats.com/fight-details/5bba49d88db7430f" TargetMode="External"/><Relationship Id="rId3798" Type="http://schemas.openxmlformats.org/officeDocument/2006/relationships/hyperlink" Target="http://ufcstats.com/fight-details/8a8190f3f71408a4" TargetMode="External"/><Relationship Id="rId3865" Type="http://schemas.openxmlformats.org/officeDocument/2006/relationships/hyperlink" Target="http://ufcstats.com/fight-details/e842c6f63fa2e27a" TargetMode="External"/><Relationship Id="rId786" Type="http://schemas.openxmlformats.org/officeDocument/2006/relationships/hyperlink" Target="http://ufcstats.com/fight-details/abeaae1a64934178" TargetMode="External"/><Relationship Id="rId2467" Type="http://schemas.openxmlformats.org/officeDocument/2006/relationships/hyperlink" Target="http://ufcstats.com/fight-details/128e818254ebfabe" TargetMode="External"/><Relationship Id="rId3518" Type="http://schemas.openxmlformats.org/officeDocument/2006/relationships/hyperlink" Target="http://ufcstats.com/fight-details/c7df07266a9597d9" TargetMode="External"/><Relationship Id="rId439" Type="http://schemas.openxmlformats.org/officeDocument/2006/relationships/hyperlink" Target="http://ufcstats.com/fight-details/e7423a91a253b416" TargetMode="External"/><Relationship Id="rId1069" Type="http://schemas.openxmlformats.org/officeDocument/2006/relationships/hyperlink" Target="http://ufcstats.com/fight-details/2704d31de2c2f43b" TargetMode="External"/><Relationship Id="rId1483" Type="http://schemas.openxmlformats.org/officeDocument/2006/relationships/hyperlink" Target="http://ufcstats.com/fight-details/ea006bae605e2a6b" TargetMode="External"/><Relationship Id="rId2881" Type="http://schemas.openxmlformats.org/officeDocument/2006/relationships/hyperlink" Target="http://ufcstats.com/fight-details/b40bed83fc062380" TargetMode="External"/><Relationship Id="rId3932" Type="http://schemas.openxmlformats.org/officeDocument/2006/relationships/hyperlink" Target="http://ufcstats.com/fight-details/0096879f5708526b" TargetMode="External"/><Relationship Id="rId506" Type="http://schemas.openxmlformats.org/officeDocument/2006/relationships/hyperlink" Target="http://ufcstats.com/fight-details/99fd8396cbe1df03" TargetMode="External"/><Relationship Id="rId853" Type="http://schemas.openxmlformats.org/officeDocument/2006/relationships/hyperlink" Target="http://ufcstats.com/fight-details/d42410f6f1039ab5" TargetMode="External"/><Relationship Id="rId1136" Type="http://schemas.openxmlformats.org/officeDocument/2006/relationships/hyperlink" Target="http://ufcstats.com/fight-details/420f7e6530dbc727" TargetMode="External"/><Relationship Id="rId2534" Type="http://schemas.openxmlformats.org/officeDocument/2006/relationships/hyperlink" Target="http://ufcstats.com/fight-details/9f7c28381b6913c8" TargetMode="External"/><Relationship Id="rId920" Type="http://schemas.openxmlformats.org/officeDocument/2006/relationships/hyperlink" Target="http://ufcstats.com/fight-details/0ccd16201ac41ef8" TargetMode="External"/><Relationship Id="rId1550" Type="http://schemas.openxmlformats.org/officeDocument/2006/relationships/hyperlink" Target="http://ufcstats.com/fight-details/8cd7ca0e7b861b3d" TargetMode="External"/><Relationship Id="rId2601" Type="http://schemas.openxmlformats.org/officeDocument/2006/relationships/hyperlink" Target="http://ufcstats.com/fight-details/6c60e58f8e9e7a4c" TargetMode="External"/><Relationship Id="rId1203" Type="http://schemas.openxmlformats.org/officeDocument/2006/relationships/hyperlink" Target="http://ufcstats.com/fight-details/b43dfe6743160a66" TargetMode="External"/><Relationship Id="rId4359" Type="http://schemas.openxmlformats.org/officeDocument/2006/relationships/hyperlink" Target="http://ufcstats.com/fight-details/95ead23dc0c73285" TargetMode="External"/><Relationship Id="rId3375" Type="http://schemas.openxmlformats.org/officeDocument/2006/relationships/hyperlink" Target="http://ufcstats.com/fight-details/51808d929c84b8ae" TargetMode="External"/><Relationship Id="rId4426" Type="http://schemas.openxmlformats.org/officeDocument/2006/relationships/hyperlink" Target="http://ufcstats.com/fight-details/e4549c57faca7a64" TargetMode="External"/><Relationship Id="rId296" Type="http://schemas.openxmlformats.org/officeDocument/2006/relationships/hyperlink" Target="http://ufcstats.com/fight-details/a4c7d59d340794c0" TargetMode="External"/><Relationship Id="rId2391" Type="http://schemas.openxmlformats.org/officeDocument/2006/relationships/hyperlink" Target="http://ufcstats.com/fight-details/23e5acd1549b538a" TargetMode="External"/><Relationship Id="rId3028" Type="http://schemas.openxmlformats.org/officeDocument/2006/relationships/hyperlink" Target="http://ufcstats.com/fight-details/4896b36f1333d25c" TargetMode="External"/><Relationship Id="rId3442" Type="http://schemas.openxmlformats.org/officeDocument/2006/relationships/hyperlink" Target="http://ufcstats.com/fight-details/4a46b63c19cfa932" TargetMode="External"/><Relationship Id="rId363" Type="http://schemas.openxmlformats.org/officeDocument/2006/relationships/hyperlink" Target="http://ufcstats.com/fight-details/ad63c30e22e63344" TargetMode="External"/><Relationship Id="rId2044" Type="http://schemas.openxmlformats.org/officeDocument/2006/relationships/hyperlink" Target="http://ufcstats.com/fight-details/dc45c8d70e256749" TargetMode="External"/><Relationship Id="rId430" Type="http://schemas.openxmlformats.org/officeDocument/2006/relationships/hyperlink" Target="http://ufcstats.com/fight-details/821bef3a3394dd96" TargetMode="External"/><Relationship Id="rId1060" Type="http://schemas.openxmlformats.org/officeDocument/2006/relationships/hyperlink" Target="http://ufcstats.com/fight-details/82b2b97b85c7225c" TargetMode="External"/><Relationship Id="rId2111" Type="http://schemas.openxmlformats.org/officeDocument/2006/relationships/hyperlink" Target="http://ufcstats.com/fight-details/6fe21a4cb2d839fd" TargetMode="External"/><Relationship Id="rId1877" Type="http://schemas.openxmlformats.org/officeDocument/2006/relationships/hyperlink" Target="http://ufcstats.com/fight-details/29f40d82bd128c65" TargetMode="External"/><Relationship Id="rId2928" Type="http://schemas.openxmlformats.org/officeDocument/2006/relationships/hyperlink" Target="http://ufcstats.com/fight-details/c2ddadfa1a1056be" TargetMode="External"/><Relationship Id="rId4283" Type="http://schemas.openxmlformats.org/officeDocument/2006/relationships/hyperlink" Target="http://ufcstats.com/fight-details/8a7b0cd5ad9ca4fe" TargetMode="External"/><Relationship Id="rId1944" Type="http://schemas.openxmlformats.org/officeDocument/2006/relationships/hyperlink" Target="http://ufcstats.com/fight-details/7786b5fafee61c36" TargetMode="External"/><Relationship Id="rId4350" Type="http://schemas.openxmlformats.org/officeDocument/2006/relationships/hyperlink" Target="http://ufcstats.com/fight-details/24411c5356903d11" TargetMode="External"/><Relationship Id="rId4003" Type="http://schemas.openxmlformats.org/officeDocument/2006/relationships/hyperlink" Target="http://ufcstats.com/fight-details/cb56e868deaddac4" TargetMode="External"/><Relationship Id="rId3769" Type="http://schemas.openxmlformats.org/officeDocument/2006/relationships/hyperlink" Target="http://ufcstats.com/fight-details/d2591df4fa9cc44e" TargetMode="External"/><Relationship Id="rId2785" Type="http://schemas.openxmlformats.org/officeDocument/2006/relationships/hyperlink" Target="http://ufcstats.com/fight-details/6d04fbef6b8e4551" TargetMode="External"/><Relationship Id="rId3836" Type="http://schemas.openxmlformats.org/officeDocument/2006/relationships/hyperlink" Target="http://ufcstats.com/fight-details/711ec0545552455b" TargetMode="External"/><Relationship Id="rId757" Type="http://schemas.openxmlformats.org/officeDocument/2006/relationships/hyperlink" Target="http://ufcstats.com/fight-details/1eb0491642f276ed" TargetMode="External"/><Relationship Id="rId1387" Type="http://schemas.openxmlformats.org/officeDocument/2006/relationships/hyperlink" Target="http://ufcstats.com/fight-details/972e17c1b98fca06" TargetMode="External"/><Relationship Id="rId2438" Type="http://schemas.openxmlformats.org/officeDocument/2006/relationships/hyperlink" Target="http://ufcstats.com/fight-details/001441f70c293931" TargetMode="External"/><Relationship Id="rId2852" Type="http://schemas.openxmlformats.org/officeDocument/2006/relationships/hyperlink" Target="http://ufcstats.com/fight-details/d4420be78065de03" TargetMode="External"/><Relationship Id="rId3903" Type="http://schemas.openxmlformats.org/officeDocument/2006/relationships/hyperlink" Target="http://ufcstats.com/fight-details/934718256f4d082c" TargetMode="External"/><Relationship Id="rId93" Type="http://schemas.openxmlformats.org/officeDocument/2006/relationships/hyperlink" Target="http://ufcstats.com/fight-details/b9539d5e379b3edc" TargetMode="External"/><Relationship Id="rId824" Type="http://schemas.openxmlformats.org/officeDocument/2006/relationships/hyperlink" Target="http://ufcstats.com/fight-details/b1be8b41b1a4fd85" TargetMode="External"/><Relationship Id="rId1454" Type="http://schemas.openxmlformats.org/officeDocument/2006/relationships/hyperlink" Target="http://ufcstats.com/fight-details/5838305c25a54ea1" TargetMode="External"/><Relationship Id="rId2505" Type="http://schemas.openxmlformats.org/officeDocument/2006/relationships/hyperlink" Target="http://ufcstats.com/fight-details/9025e3c6b6d71253" TargetMode="External"/><Relationship Id="rId1107" Type="http://schemas.openxmlformats.org/officeDocument/2006/relationships/hyperlink" Target="http://ufcstats.com/fight-details/febea68b205f6273" TargetMode="External"/><Relationship Id="rId1521" Type="http://schemas.openxmlformats.org/officeDocument/2006/relationships/hyperlink" Target="http://ufcstats.com/fight-details/3dcb1a7b081afbe1" TargetMode="External"/><Relationship Id="rId3279" Type="http://schemas.openxmlformats.org/officeDocument/2006/relationships/hyperlink" Target="http://ufcstats.com/fight-details/ccb5e29cd0347110" TargetMode="External"/><Relationship Id="rId3693" Type="http://schemas.openxmlformats.org/officeDocument/2006/relationships/hyperlink" Target="http://ufcstats.com/fight-details/1521f94cafdfd783" TargetMode="External"/><Relationship Id="rId2295" Type="http://schemas.openxmlformats.org/officeDocument/2006/relationships/hyperlink" Target="http://ufcstats.com/fight-details/3f8b4aeb3baf4724" TargetMode="External"/><Relationship Id="rId3346" Type="http://schemas.openxmlformats.org/officeDocument/2006/relationships/hyperlink" Target="http://ufcstats.com/fight-details/d66a8591af39ca7b" TargetMode="External"/><Relationship Id="rId267" Type="http://schemas.openxmlformats.org/officeDocument/2006/relationships/hyperlink" Target="http://ufcstats.com/fight-details/5f444eac11e55161" TargetMode="External"/><Relationship Id="rId3760" Type="http://schemas.openxmlformats.org/officeDocument/2006/relationships/hyperlink" Target="http://ufcstats.com/fight-details/23bc29f1b6baacad" TargetMode="External"/><Relationship Id="rId681" Type="http://schemas.openxmlformats.org/officeDocument/2006/relationships/hyperlink" Target="http://ufcstats.com/fight-details/6ea23c2c30f85a89" TargetMode="External"/><Relationship Id="rId2362" Type="http://schemas.openxmlformats.org/officeDocument/2006/relationships/hyperlink" Target="http://ufcstats.com/fight-details/8794b5f9a591daf6" TargetMode="External"/><Relationship Id="rId3413" Type="http://schemas.openxmlformats.org/officeDocument/2006/relationships/hyperlink" Target="http://ufcstats.com/fight-details/b8c967c742d3c107" TargetMode="External"/><Relationship Id="rId334" Type="http://schemas.openxmlformats.org/officeDocument/2006/relationships/hyperlink" Target="http://ufcstats.com/fight-details/bc276e0f07e30a54" TargetMode="External"/><Relationship Id="rId2015" Type="http://schemas.openxmlformats.org/officeDocument/2006/relationships/hyperlink" Target="http://ufcstats.com/fight-details/755d84d5f4aa4dbf" TargetMode="External"/><Relationship Id="rId401" Type="http://schemas.openxmlformats.org/officeDocument/2006/relationships/hyperlink" Target="http://ufcstats.com/fight-details/efbab76bedbfb65d" TargetMode="External"/><Relationship Id="rId1031" Type="http://schemas.openxmlformats.org/officeDocument/2006/relationships/hyperlink" Target="http://ufcstats.com/fight-details/36830f6eb3c847f5" TargetMode="External"/><Relationship Id="rId4187" Type="http://schemas.openxmlformats.org/officeDocument/2006/relationships/hyperlink" Target="http://ufcstats.com/fight-details/2b894d87ad9aae05" TargetMode="External"/><Relationship Id="rId4254" Type="http://schemas.openxmlformats.org/officeDocument/2006/relationships/hyperlink" Target="http://ufcstats.com/fight-details/33007109c9ca1ede" TargetMode="External"/><Relationship Id="rId1848" Type="http://schemas.openxmlformats.org/officeDocument/2006/relationships/hyperlink" Target="http://ufcstats.com/fight-details/766b4f5e77ab0860" TargetMode="External"/><Relationship Id="rId3270" Type="http://schemas.openxmlformats.org/officeDocument/2006/relationships/hyperlink" Target="http://ufcstats.com/fight-details/56809feb4fe7ea61" TargetMode="External"/><Relationship Id="rId4321" Type="http://schemas.openxmlformats.org/officeDocument/2006/relationships/hyperlink" Target="http://ufcstats.com/fight-details/4d9d371b8db6fb91" TargetMode="External"/><Relationship Id="rId191" Type="http://schemas.openxmlformats.org/officeDocument/2006/relationships/hyperlink" Target="http://ufcstats.com/fight-details/6dd0874dec826397" TargetMode="External"/><Relationship Id="rId1915" Type="http://schemas.openxmlformats.org/officeDocument/2006/relationships/hyperlink" Target="http://ufcstats.com/fight-details/7aebf01b5afc0109" TargetMode="External"/><Relationship Id="rId2689" Type="http://schemas.openxmlformats.org/officeDocument/2006/relationships/hyperlink" Target="http://ufcstats.com/fight-details/e35d878ba90d9769" TargetMode="External"/><Relationship Id="rId2756" Type="http://schemas.openxmlformats.org/officeDocument/2006/relationships/hyperlink" Target="http://ufcstats.com/fight-details/eda397c27787afa4" TargetMode="External"/><Relationship Id="rId3807" Type="http://schemas.openxmlformats.org/officeDocument/2006/relationships/hyperlink" Target="http://ufcstats.com/fight-details/9231cef371b89a46" TargetMode="External"/><Relationship Id="rId728" Type="http://schemas.openxmlformats.org/officeDocument/2006/relationships/hyperlink" Target="http://ufcstats.com/fight-details/903feee04bc91c59" TargetMode="External"/><Relationship Id="rId1358" Type="http://schemas.openxmlformats.org/officeDocument/2006/relationships/hyperlink" Target="http://ufcstats.com/fight-details/78afed76d0e9a639" TargetMode="External"/><Relationship Id="rId1772" Type="http://schemas.openxmlformats.org/officeDocument/2006/relationships/hyperlink" Target="http://ufcstats.com/fight-details/cd8cdb539deaa47f" TargetMode="External"/><Relationship Id="rId2409" Type="http://schemas.openxmlformats.org/officeDocument/2006/relationships/hyperlink" Target="http://ufcstats.com/fight-details/fc2585e234e49dee" TargetMode="External"/><Relationship Id="rId64" Type="http://schemas.openxmlformats.org/officeDocument/2006/relationships/hyperlink" Target="http://ufcstats.com/fight-details/e9754f597ec50f6f" TargetMode="External"/><Relationship Id="rId1425" Type="http://schemas.openxmlformats.org/officeDocument/2006/relationships/hyperlink" Target="http://ufcstats.com/fight-details/856468ba24a37fcc" TargetMode="External"/><Relationship Id="rId2823" Type="http://schemas.openxmlformats.org/officeDocument/2006/relationships/hyperlink" Target="http://ufcstats.com/fight-details/0a46cb2887890502" TargetMode="External"/><Relationship Id="rId2199" Type="http://schemas.openxmlformats.org/officeDocument/2006/relationships/hyperlink" Target="http://ufcstats.com/fight-details/e2f4cd4a9a579488" TargetMode="External"/><Relationship Id="rId3597" Type="http://schemas.openxmlformats.org/officeDocument/2006/relationships/hyperlink" Target="http://ufcstats.com/fight-details/0c5640433ba44a1b" TargetMode="External"/><Relationship Id="rId3664" Type="http://schemas.openxmlformats.org/officeDocument/2006/relationships/hyperlink" Target="http://ufcstats.com/fight-details/b3c7a5a97978d156" TargetMode="External"/><Relationship Id="rId585" Type="http://schemas.openxmlformats.org/officeDocument/2006/relationships/hyperlink" Target="http://ufcstats.com/fight-details/1a7cd191f0cf160c" TargetMode="External"/><Relationship Id="rId2266" Type="http://schemas.openxmlformats.org/officeDocument/2006/relationships/hyperlink" Target="http://ufcstats.com/fight-details/567cefcaba821205" TargetMode="External"/><Relationship Id="rId2680" Type="http://schemas.openxmlformats.org/officeDocument/2006/relationships/hyperlink" Target="http://ufcstats.com/fight-details/d29750cee389a0b9" TargetMode="External"/><Relationship Id="rId3317" Type="http://schemas.openxmlformats.org/officeDocument/2006/relationships/hyperlink" Target="http://ufcstats.com/fight-details/e624d85a0d718578" TargetMode="External"/><Relationship Id="rId3731" Type="http://schemas.openxmlformats.org/officeDocument/2006/relationships/hyperlink" Target="http://ufcstats.com/fight-details/4b997af9fb321123" TargetMode="External"/><Relationship Id="rId238" Type="http://schemas.openxmlformats.org/officeDocument/2006/relationships/hyperlink" Target="http://ufcstats.com/fight-details/d16f7ab4e28171ea" TargetMode="External"/><Relationship Id="rId652" Type="http://schemas.openxmlformats.org/officeDocument/2006/relationships/hyperlink" Target="http://ufcstats.com/fight-details/d27ac1bc677b89cf" TargetMode="External"/><Relationship Id="rId1282" Type="http://schemas.openxmlformats.org/officeDocument/2006/relationships/hyperlink" Target="http://ufcstats.com/fight-details/89b96bc5f3e824c5" TargetMode="External"/><Relationship Id="rId2333" Type="http://schemas.openxmlformats.org/officeDocument/2006/relationships/hyperlink" Target="http://ufcstats.com/fight-details/18d6df67968bf06b" TargetMode="External"/><Relationship Id="rId305" Type="http://schemas.openxmlformats.org/officeDocument/2006/relationships/hyperlink" Target="http://ufcstats.com/fight-details/579f3280456ad450" TargetMode="External"/><Relationship Id="rId2400" Type="http://schemas.openxmlformats.org/officeDocument/2006/relationships/hyperlink" Target="http://ufcstats.com/fight-details/e1bb0b615c02d715" TargetMode="External"/><Relationship Id="rId1002" Type="http://schemas.openxmlformats.org/officeDocument/2006/relationships/hyperlink" Target="http://ufcstats.com/fight-details/4785bf265d05d85f" TargetMode="External"/><Relationship Id="rId4158" Type="http://schemas.openxmlformats.org/officeDocument/2006/relationships/hyperlink" Target="http://ufcstats.com/fight-details/7606d2f8d8b0e889" TargetMode="External"/><Relationship Id="rId3174" Type="http://schemas.openxmlformats.org/officeDocument/2006/relationships/hyperlink" Target="http://ufcstats.com/fight-details/85b5d59f8eea976a" TargetMode="External"/><Relationship Id="rId1819" Type="http://schemas.openxmlformats.org/officeDocument/2006/relationships/hyperlink" Target="http://ufcstats.com/fight-details/6b92396d42918366" TargetMode="External"/><Relationship Id="rId4225" Type="http://schemas.openxmlformats.org/officeDocument/2006/relationships/hyperlink" Target="http://ufcstats.com/fight-details/c3425412e4f2f486" TargetMode="External"/><Relationship Id="rId2190" Type="http://schemas.openxmlformats.org/officeDocument/2006/relationships/hyperlink" Target="http://ufcstats.com/fight-details/73eff675e2aae30c" TargetMode="External"/><Relationship Id="rId3241" Type="http://schemas.openxmlformats.org/officeDocument/2006/relationships/hyperlink" Target="http://ufcstats.com/fight-details/78e38f1ad43c3479" TargetMode="External"/><Relationship Id="rId162" Type="http://schemas.openxmlformats.org/officeDocument/2006/relationships/hyperlink" Target="http://ufcstats.com/fight-details/8f1b727757a60c07" TargetMode="External"/><Relationship Id="rId979" Type="http://schemas.openxmlformats.org/officeDocument/2006/relationships/hyperlink" Target="http://ufcstats.com/fight-details/ecbc282542a395c2" TargetMode="External"/><Relationship Id="rId4082" Type="http://schemas.openxmlformats.org/officeDocument/2006/relationships/hyperlink" Target="http://ufcstats.com/fight-details/1800ffbb34ac7ed8" TargetMode="External"/><Relationship Id="rId1676" Type="http://schemas.openxmlformats.org/officeDocument/2006/relationships/hyperlink" Target="http://ufcstats.com/fight-details/37c484012ef24a5b" TargetMode="External"/><Relationship Id="rId2727" Type="http://schemas.openxmlformats.org/officeDocument/2006/relationships/hyperlink" Target="http://ufcstats.com/fight-details/9fa3623172adb4cd" TargetMode="External"/><Relationship Id="rId1329" Type="http://schemas.openxmlformats.org/officeDocument/2006/relationships/hyperlink" Target="http://ufcstats.com/fight-details/a7e8416f0d57c8e0" TargetMode="External"/><Relationship Id="rId1743" Type="http://schemas.openxmlformats.org/officeDocument/2006/relationships/hyperlink" Target="http://ufcstats.com/fight-details/981ed463bf5d91a8" TargetMode="External"/><Relationship Id="rId35" Type="http://schemas.openxmlformats.org/officeDocument/2006/relationships/hyperlink" Target="http://ufcstats.com/fight-details/c5259566abc552b1" TargetMode="External"/><Relationship Id="rId1810" Type="http://schemas.openxmlformats.org/officeDocument/2006/relationships/hyperlink" Target="http://ufcstats.com/fight-details/5c281439d20184f1" TargetMode="External"/><Relationship Id="rId3568" Type="http://schemas.openxmlformats.org/officeDocument/2006/relationships/hyperlink" Target="http://ufcstats.com/fight-details/8151659b2bc16f0e" TargetMode="External"/><Relationship Id="rId3982" Type="http://schemas.openxmlformats.org/officeDocument/2006/relationships/hyperlink" Target="http://ufcstats.com/fight-details/4fe799b4fa1afb76" TargetMode="External"/><Relationship Id="rId489" Type="http://schemas.openxmlformats.org/officeDocument/2006/relationships/hyperlink" Target="http://ufcstats.com/fight-details/2f15a2ed6cd4711f" TargetMode="External"/><Relationship Id="rId2584" Type="http://schemas.openxmlformats.org/officeDocument/2006/relationships/hyperlink" Target="http://ufcstats.com/fight-details/560a971c6ab8b854" TargetMode="External"/><Relationship Id="rId3635" Type="http://schemas.openxmlformats.org/officeDocument/2006/relationships/hyperlink" Target="http://ufcstats.com/fight-details/de12349f334c964e" TargetMode="External"/><Relationship Id="rId556" Type="http://schemas.openxmlformats.org/officeDocument/2006/relationships/hyperlink" Target="http://ufcstats.com/fight-details/674f3fa16e717ff1" TargetMode="External"/><Relationship Id="rId1186" Type="http://schemas.openxmlformats.org/officeDocument/2006/relationships/hyperlink" Target="http://ufcstats.com/fight-details/d95eeba3de7ecac5" TargetMode="External"/><Relationship Id="rId2237" Type="http://schemas.openxmlformats.org/officeDocument/2006/relationships/hyperlink" Target="http://ufcstats.com/fight-details/16628e25a043043a" TargetMode="External"/><Relationship Id="rId209" Type="http://schemas.openxmlformats.org/officeDocument/2006/relationships/hyperlink" Target="http://ufcstats.com/fight-details/ad9ecef413a5b48f" TargetMode="External"/><Relationship Id="rId416" Type="http://schemas.openxmlformats.org/officeDocument/2006/relationships/hyperlink" Target="http://ufcstats.com/fight-details/8f40ac90544d0003" TargetMode="External"/><Relationship Id="rId970" Type="http://schemas.openxmlformats.org/officeDocument/2006/relationships/hyperlink" Target="http://ufcstats.com/fight-details/d9501c6985c1b38d" TargetMode="External"/><Relationship Id="rId1046" Type="http://schemas.openxmlformats.org/officeDocument/2006/relationships/hyperlink" Target="http://ufcstats.com/fight-details/8a0fc4624578a7e4" TargetMode="External"/><Relationship Id="rId1253" Type="http://schemas.openxmlformats.org/officeDocument/2006/relationships/hyperlink" Target="http://ufcstats.com/fight-details/5a2b86570110191b" TargetMode="External"/><Relationship Id="rId2651" Type="http://schemas.openxmlformats.org/officeDocument/2006/relationships/hyperlink" Target="http://ufcstats.com/fight-details/f81f8cfe30e0a1e9" TargetMode="External"/><Relationship Id="rId3702" Type="http://schemas.openxmlformats.org/officeDocument/2006/relationships/hyperlink" Target="http://ufcstats.com/fight-details/ee9173615ef4cfae" TargetMode="External"/><Relationship Id="rId623" Type="http://schemas.openxmlformats.org/officeDocument/2006/relationships/hyperlink" Target="http://ufcstats.com/fight-details/7c2a02b5ea169b54" TargetMode="External"/><Relationship Id="rId830" Type="http://schemas.openxmlformats.org/officeDocument/2006/relationships/hyperlink" Target="http://ufcstats.com/fight-details/f5a6acc99bc5c634" TargetMode="External"/><Relationship Id="rId1460" Type="http://schemas.openxmlformats.org/officeDocument/2006/relationships/hyperlink" Target="http://ufcstats.com/fight-details/7d0874323bd1f768" TargetMode="External"/><Relationship Id="rId2304" Type="http://schemas.openxmlformats.org/officeDocument/2006/relationships/hyperlink" Target="http://ufcstats.com/fight-details/cfb189e326553f0a" TargetMode="External"/><Relationship Id="rId2511" Type="http://schemas.openxmlformats.org/officeDocument/2006/relationships/hyperlink" Target="http://ufcstats.com/fight-details/784a57385d0e87ff" TargetMode="External"/><Relationship Id="rId1113" Type="http://schemas.openxmlformats.org/officeDocument/2006/relationships/hyperlink" Target="http://ufcstats.com/fight-details/ad0bac98558900af" TargetMode="External"/><Relationship Id="rId1320" Type="http://schemas.openxmlformats.org/officeDocument/2006/relationships/hyperlink" Target="http://ufcstats.com/fight-details/1e3d3545b6dd13a7" TargetMode="External"/><Relationship Id="rId4269" Type="http://schemas.openxmlformats.org/officeDocument/2006/relationships/hyperlink" Target="http://ufcstats.com/fight-details/9e52a67410f2c879" TargetMode="External"/><Relationship Id="rId3078" Type="http://schemas.openxmlformats.org/officeDocument/2006/relationships/hyperlink" Target="http://ufcstats.com/fight-details/b1f2ec122beda7a5" TargetMode="External"/><Relationship Id="rId3285" Type="http://schemas.openxmlformats.org/officeDocument/2006/relationships/hyperlink" Target="http://ufcstats.com/fight-details/4dac5258f22be059" TargetMode="External"/><Relationship Id="rId3492" Type="http://schemas.openxmlformats.org/officeDocument/2006/relationships/hyperlink" Target="http://ufcstats.com/fight-details/47f42aa7cf851a29" TargetMode="External"/><Relationship Id="rId4129" Type="http://schemas.openxmlformats.org/officeDocument/2006/relationships/hyperlink" Target="http://ufcstats.com/fight-details/80cf37627a129145" TargetMode="External"/><Relationship Id="rId4336" Type="http://schemas.openxmlformats.org/officeDocument/2006/relationships/hyperlink" Target="http://ufcstats.com/fight-details/c94c3e4bbed24421" TargetMode="External"/><Relationship Id="rId2094" Type="http://schemas.openxmlformats.org/officeDocument/2006/relationships/hyperlink" Target="http://ufcstats.com/fight-details/047d6739aa1d5c1e" TargetMode="External"/><Relationship Id="rId3145" Type="http://schemas.openxmlformats.org/officeDocument/2006/relationships/hyperlink" Target="http://ufcstats.com/fight-details/4960379abe6ed525" TargetMode="External"/><Relationship Id="rId3352" Type="http://schemas.openxmlformats.org/officeDocument/2006/relationships/hyperlink" Target="http://ufcstats.com/fight-details/28deed0ab55ca350" TargetMode="External"/><Relationship Id="rId4403" Type="http://schemas.openxmlformats.org/officeDocument/2006/relationships/hyperlink" Target="http://ufcstats.com/fight-details/bc7228d30ff5be46" TargetMode="External"/><Relationship Id="rId273" Type="http://schemas.openxmlformats.org/officeDocument/2006/relationships/hyperlink" Target="http://ufcstats.com/fight-details/9192053a3884aadf" TargetMode="External"/><Relationship Id="rId480" Type="http://schemas.openxmlformats.org/officeDocument/2006/relationships/hyperlink" Target="http://ufcstats.com/fight-details/ef80a6eea892c296" TargetMode="External"/><Relationship Id="rId2161" Type="http://schemas.openxmlformats.org/officeDocument/2006/relationships/hyperlink" Target="http://ufcstats.com/fight-details/d0dc419dc7acb7e2" TargetMode="External"/><Relationship Id="rId3005" Type="http://schemas.openxmlformats.org/officeDocument/2006/relationships/hyperlink" Target="http://ufcstats.com/fight-details/ee796ecb4ee8680b" TargetMode="External"/><Relationship Id="rId3212" Type="http://schemas.openxmlformats.org/officeDocument/2006/relationships/hyperlink" Target="http://ufcstats.com/fight-details/5d4fb748ad246269" TargetMode="External"/><Relationship Id="rId133" Type="http://schemas.openxmlformats.org/officeDocument/2006/relationships/hyperlink" Target="http://ufcstats.com/fight-details/93d5452726f5f364" TargetMode="External"/><Relationship Id="rId340" Type="http://schemas.openxmlformats.org/officeDocument/2006/relationships/hyperlink" Target="http://ufcstats.com/fight-details/c5c5f678558a0ba2" TargetMode="External"/><Relationship Id="rId2021" Type="http://schemas.openxmlformats.org/officeDocument/2006/relationships/hyperlink" Target="http://ufcstats.com/fight-details/82d48296fd06c27f" TargetMode="External"/><Relationship Id="rId200" Type="http://schemas.openxmlformats.org/officeDocument/2006/relationships/hyperlink" Target="http://ufcstats.com/fight-details/c11b2cbe2460db0c" TargetMode="External"/><Relationship Id="rId2978" Type="http://schemas.openxmlformats.org/officeDocument/2006/relationships/hyperlink" Target="http://ufcstats.com/fight-details/dc49373c52eedaa3" TargetMode="External"/><Relationship Id="rId4193" Type="http://schemas.openxmlformats.org/officeDocument/2006/relationships/hyperlink" Target="http://ufcstats.com/fight-details/b3caae587e956f54" TargetMode="External"/><Relationship Id="rId1787" Type="http://schemas.openxmlformats.org/officeDocument/2006/relationships/hyperlink" Target="http://ufcstats.com/fight-details/25cd989ac5569629" TargetMode="External"/><Relationship Id="rId1994" Type="http://schemas.openxmlformats.org/officeDocument/2006/relationships/hyperlink" Target="http://ufcstats.com/fight-details/92c1d9a6d313cb0c" TargetMode="External"/><Relationship Id="rId2838" Type="http://schemas.openxmlformats.org/officeDocument/2006/relationships/hyperlink" Target="http://ufcstats.com/fight-details/e59aabdfba9d6c45" TargetMode="External"/><Relationship Id="rId79" Type="http://schemas.openxmlformats.org/officeDocument/2006/relationships/hyperlink" Target="http://ufcstats.com/fight-details/246d06693b5ca1e8" TargetMode="External"/><Relationship Id="rId1647" Type="http://schemas.openxmlformats.org/officeDocument/2006/relationships/hyperlink" Target="http://ufcstats.com/fight-details/78e554aa129711ba" TargetMode="External"/><Relationship Id="rId1854" Type="http://schemas.openxmlformats.org/officeDocument/2006/relationships/hyperlink" Target="http://ufcstats.com/fight-details/6ef12db5b099ec81" TargetMode="External"/><Relationship Id="rId2905" Type="http://schemas.openxmlformats.org/officeDocument/2006/relationships/hyperlink" Target="http://ufcstats.com/fight-details/ce151e053721fe69" TargetMode="External"/><Relationship Id="rId4053" Type="http://schemas.openxmlformats.org/officeDocument/2006/relationships/hyperlink" Target="http://ufcstats.com/fight-details/66eee2320e900a8a" TargetMode="External"/><Relationship Id="rId4260" Type="http://schemas.openxmlformats.org/officeDocument/2006/relationships/hyperlink" Target="http://ufcstats.com/fight-details/ff2e4b411f695017" TargetMode="External"/><Relationship Id="rId1507" Type="http://schemas.openxmlformats.org/officeDocument/2006/relationships/hyperlink" Target="http://ufcstats.com/fight-details/810c9da07970c4a6" TargetMode="External"/><Relationship Id="rId1714" Type="http://schemas.openxmlformats.org/officeDocument/2006/relationships/hyperlink" Target="http://ufcstats.com/fight-details/e5a88d0e816fd0f1" TargetMode="External"/><Relationship Id="rId4120" Type="http://schemas.openxmlformats.org/officeDocument/2006/relationships/hyperlink" Target="http://ufcstats.com/fight-details/e3573545220ca4ea" TargetMode="External"/><Relationship Id="rId1921" Type="http://schemas.openxmlformats.org/officeDocument/2006/relationships/hyperlink" Target="http://ufcstats.com/fight-details/357a34207d70da69" TargetMode="External"/><Relationship Id="rId3679" Type="http://schemas.openxmlformats.org/officeDocument/2006/relationships/hyperlink" Target="http://ufcstats.com/fight-details/3165b03ddc6d3b6e" TargetMode="External"/><Relationship Id="rId2488" Type="http://schemas.openxmlformats.org/officeDocument/2006/relationships/hyperlink" Target="http://ufcstats.com/fight-details/9cfad21ef1911728" TargetMode="External"/><Relationship Id="rId3886" Type="http://schemas.openxmlformats.org/officeDocument/2006/relationships/hyperlink" Target="http://ufcstats.com/fight-details/0a667143584a2d96" TargetMode="External"/><Relationship Id="rId1297" Type="http://schemas.openxmlformats.org/officeDocument/2006/relationships/hyperlink" Target="http://ufcstats.com/fight-details/6708f3a32861038a" TargetMode="External"/><Relationship Id="rId2695" Type="http://schemas.openxmlformats.org/officeDocument/2006/relationships/hyperlink" Target="http://ufcstats.com/fight-details/fcb225f454ebf1a1" TargetMode="External"/><Relationship Id="rId3539" Type="http://schemas.openxmlformats.org/officeDocument/2006/relationships/hyperlink" Target="http://ufcstats.com/fight-details/03c2707563915d7d" TargetMode="External"/><Relationship Id="rId3746" Type="http://schemas.openxmlformats.org/officeDocument/2006/relationships/hyperlink" Target="http://ufcstats.com/fight-details/c4a7f7d8eb8fe484" TargetMode="External"/><Relationship Id="rId3953" Type="http://schemas.openxmlformats.org/officeDocument/2006/relationships/hyperlink" Target="http://ufcstats.com/fight-details/3cf4582b48302bb6" TargetMode="External"/><Relationship Id="rId667" Type="http://schemas.openxmlformats.org/officeDocument/2006/relationships/hyperlink" Target="http://ufcstats.com/fight-details/32b0e450b11b32fe" TargetMode="External"/><Relationship Id="rId874" Type="http://schemas.openxmlformats.org/officeDocument/2006/relationships/hyperlink" Target="http://ufcstats.com/fight-details/976abc27a4e5e26a" TargetMode="External"/><Relationship Id="rId2348" Type="http://schemas.openxmlformats.org/officeDocument/2006/relationships/hyperlink" Target="http://ufcstats.com/fight-details/ecc56a86a1eead9d" TargetMode="External"/><Relationship Id="rId2555" Type="http://schemas.openxmlformats.org/officeDocument/2006/relationships/hyperlink" Target="http://ufcstats.com/fight-details/760b90b0805e0fbf" TargetMode="External"/><Relationship Id="rId2762" Type="http://schemas.openxmlformats.org/officeDocument/2006/relationships/hyperlink" Target="http://ufcstats.com/fight-details/a3e8ef1ce72a7d02" TargetMode="External"/><Relationship Id="rId3606" Type="http://schemas.openxmlformats.org/officeDocument/2006/relationships/hyperlink" Target="http://ufcstats.com/fight-details/3905e5dc489811d6" TargetMode="External"/><Relationship Id="rId3813" Type="http://schemas.openxmlformats.org/officeDocument/2006/relationships/hyperlink" Target="http://ufcstats.com/fight-details/74e86c7782cafe27" TargetMode="External"/><Relationship Id="rId527" Type="http://schemas.openxmlformats.org/officeDocument/2006/relationships/hyperlink" Target="http://ufcstats.com/fight-details/acc7392d48cc09a0" TargetMode="External"/><Relationship Id="rId734" Type="http://schemas.openxmlformats.org/officeDocument/2006/relationships/hyperlink" Target="http://ufcstats.com/fight-details/3d95b4f94ccffa96" TargetMode="External"/><Relationship Id="rId941" Type="http://schemas.openxmlformats.org/officeDocument/2006/relationships/hyperlink" Target="http://ufcstats.com/fight-details/a1294453a28beda3" TargetMode="External"/><Relationship Id="rId1157" Type="http://schemas.openxmlformats.org/officeDocument/2006/relationships/hyperlink" Target="http://ufcstats.com/fight-details/1785c7fb722d3007" TargetMode="External"/><Relationship Id="rId1364" Type="http://schemas.openxmlformats.org/officeDocument/2006/relationships/hyperlink" Target="http://ufcstats.com/fight-details/34fd6ac116645ae6" TargetMode="External"/><Relationship Id="rId1571" Type="http://schemas.openxmlformats.org/officeDocument/2006/relationships/hyperlink" Target="http://ufcstats.com/fight-details/744627aec853874e" TargetMode="External"/><Relationship Id="rId2208" Type="http://schemas.openxmlformats.org/officeDocument/2006/relationships/hyperlink" Target="http://ufcstats.com/fight-details/79fb77a0b0294aec" TargetMode="External"/><Relationship Id="rId2415" Type="http://schemas.openxmlformats.org/officeDocument/2006/relationships/hyperlink" Target="http://ufcstats.com/fight-details/2c21abbc28e3876a" TargetMode="External"/><Relationship Id="rId2622" Type="http://schemas.openxmlformats.org/officeDocument/2006/relationships/hyperlink" Target="http://ufcstats.com/fight-details/78dc032441394331" TargetMode="External"/><Relationship Id="rId70" Type="http://schemas.openxmlformats.org/officeDocument/2006/relationships/hyperlink" Target="http://ufcstats.com/fight-details/9861b6d04e6ed43c" TargetMode="External"/><Relationship Id="rId801" Type="http://schemas.openxmlformats.org/officeDocument/2006/relationships/hyperlink" Target="http://ufcstats.com/fight-details/2f82e8079ba354f4" TargetMode="External"/><Relationship Id="rId1017" Type="http://schemas.openxmlformats.org/officeDocument/2006/relationships/hyperlink" Target="http://ufcstats.com/fight-details/57e784028ef2c17d" TargetMode="External"/><Relationship Id="rId1224" Type="http://schemas.openxmlformats.org/officeDocument/2006/relationships/hyperlink" Target="http://ufcstats.com/fight-details/0170db5fad04e4d0" TargetMode="External"/><Relationship Id="rId1431" Type="http://schemas.openxmlformats.org/officeDocument/2006/relationships/hyperlink" Target="http://ufcstats.com/fight-details/f187c7ec92f43828" TargetMode="External"/><Relationship Id="rId3189" Type="http://schemas.openxmlformats.org/officeDocument/2006/relationships/hyperlink" Target="http://ufcstats.com/fight-details/9d4b2767f6630fc9" TargetMode="External"/><Relationship Id="rId3396" Type="http://schemas.openxmlformats.org/officeDocument/2006/relationships/hyperlink" Target="http://ufcstats.com/fight-details/0d7dc1ed5eb995e4" TargetMode="External"/><Relationship Id="rId4447" Type="http://schemas.openxmlformats.org/officeDocument/2006/relationships/hyperlink" Target="http://ufcstats.com/fight-details/4f2501e804c84abe" TargetMode="External"/><Relationship Id="rId3049" Type="http://schemas.openxmlformats.org/officeDocument/2006/relationships/hyperlink" Target="http://ufcstats.com/fight-details/6921344f8e706d0f" TargetMode="External"/><Relationship Id="rId3256" Type="http://schemas.openxmlformats.org/officeDocument/2006/relationships/hyperlink" Target="http://ufcstats.com/fight-details/2c5d329bdf182468" TargetMode="External"/><Relationship Id="rId3463" Type="http://schemas.openxmlformats.org/officeDocument/2006/relationships/hyperlink" Target="http://ufcstats.com/fight-details/f281a6775bccb8df" TargetMode="External"/><Relationship Id="rId4307" Type="http://schemas.openxmlformats.org/officeDocument/2006/relationships/hyperlink" Target="http://ufcstats.com/fight-details/b70e72f23446520a" TargetMode="External"/><Relationship Id="rId177" Type="http://schemas.openxmlformats.org/officeDocument/2006/relationships/hyperlink" Target="http://ufcstats.com/fight-details/4da4c5ef6a4ffc5b" TargetMode="External"/><Relationship Id="rId384" Type="http://schemas.openxmlformats.org/officeDocument/2006/relationships/hyperlink" Target="http://ufcstats.com/fight-details/2f9a8807807b80d6" TargetMode="External"/><Relationship Id="rId591" Type="http://schemas.openxmlformats.org/officeDocument/2006/relationships/hyperlink" Target="http://ufcstats.com/fight-details/436a1ce6b0c6b4bb" TargetMode="External"/><Relationship Id="rId2065" Type="http://schemas.openxmlformats.org/officeDocument/2006/relationships/hyperlink" Target="http://ufcstats.com/fight-details/7ed98f8d1ffae082" TargetMode="External"/><Relationship Id="rId2272" Type="http://schemas.openxmlformats.org/officeDocument/2006/relationships/hyperlink" Target="http://ufcstats.com/fight-details/e86a77b69d50a834" TargetMode="External"/><Relationship Id="rId3116" Type="http://schemas.openxmlformats.org/officeDocument/2006/relationships/hyperlink" Target="http://ufcstats.com/fight-details/3fa8ee3fdc04fe36" TargetMode="External"/><Relationship Id="rId3670" Type="http://schemas.openxmlformats.org/officeDocument/2006/relationships/hyperlink" Target="http://ufcstats.com/fight-details/55019da3a4bd5d54" TargetMode="External"/><Relationship Id="rId244" Type="http://schemas.openxmlformats.org/officeDocument/2006/relationships/hyperlink" Target="http://ufcstats.com/fight-details/a8067e65eb737a09" TargetMode="External"/><Relationship Id="rId1081" Type="http://schemas.openxmlformats.org/officeDocument/2006/relationships/hyperlink" Target="http://ufcstats.com/fight-details/ecc23234e820458d" TargetMode="External"/><Relationship Id="rId3323" Type="http://schemas.openxmlformats.org/officeDocument/2006/relationships/hyperlink" Target="http://ufcstats.com/fight-details/6b0da0b1cda7799f" TargetMode="External"/><Relationship Id="rId3530" Type="http://schemas.openxmlformats.org/officeDocument/2006/relationships/hyperlink" Target="http://ufcstats.com/fight-details/82d057278298846f" TargetMode="External"/><Relationship Id="rId451" Type="http://schemas.openxmlformats.org/officeDocument/2006/relationships/hyperlink" Target="http://ufcstats.com/fight-details/3be121d4f5460893" TargetMode="External"/><Relationship Id="rId2132" Type="http://schemas.openxmlformats.org/officeDocument/2006/relationships/hyperlink" Target="http://ufcstats.com/fight-details/c5d48ca7c22f857e" TargetMode="External"/><Relationship Id="rId104" Type="http://schemas.openxmlformats.org/officeDocument/2006/relationships/hyperlink" Target="http://ufcstats.com/fight-details/a73e33dfce8fcfd8" TargetMode="External"/><Relationship Id="rId311" Type="http://schemas.openxmlformats.org/officeDocument/2006/relationships/hyperlink" Target="http://ufcstats.com/fight-details/727ecd251325b6a8" TargetMode="External"/><Relationship Id="rId1898" Type="http://schemas.openxmlformats.org/officeDocument/2006/relationships/hyperlink" Target="http://ufcstats.com/fight-details/0976778a6e6cf8a8" TargetMode="External"/><Relationship Id="rId2949" Type="http://schemas.openxmlformats.org/officeDocument/2006/relationships/hyperlink" Target="http://ufcstats.com/fight-details/7fd810af30144119" TargetMode="External"/><Relationship Id="rId4097" Type="http://schemas.openxmlformats.org/officeDocument/2006/relationships/hyperlink" Target="http://ufcstats.com/fight-details/a2f4acc81f7886a2" TargetMode="External"/><Relationship Id="rId1758" Type="http://schemas.openxmlformats.org/officeDocument/2006/relationships/hyperlink" Target="http://ufcstats.com/fight-details/93969a7368dc2e14" TargetMode="External"/><Relationship Id="rId2809" Type="http://schemas.openxmlformats.org/officeDocument/2006/relationships/hyperlink" Target="http://ufcstats.com/fight-details/5305049e4215d263" TargetMode="External"/><Relationship Id="rId4164" Type="http://schemas.openxmlformats.org/officeDocument/2006/relationships/hyperlink" Target="http://ufcstats.com/fight-details/d1a93a55c8063ff3" TargetMode="External"/><Relationship Id="rId4371" Type="http://schemas.openxmlformats.org/officeDocument/2006/relationships/hyperlink" Target="http://ufcstats.com/fight-details/cb9654746447b934" TargetMode="External"/><Relationship Id="rId1965" Type="http://schemas.openxmlformats.org/officeDocument/2006/relationships/hyperlink" Target="http://ufcstats.com/fight-details/47f8812a335b6ce9" TargetMode="External"/><Relationship Id="rId3180" Type="http://schemas.openxmlformats.org/officeDocument/2006/relationships/hyperlink" Target="http://ufcstats.com/fight-details/1901d27ea35ae733" TargetMode="External"/><Relationship Id="rId4024" Type="http://schemas.openxmlformats.org/officeDocument/2006/relationships/hyperlink" Target="http://ufcstats.com/fight-details/bcec26b425194e40" TargetMode="External"/><Relationship Id="rId4231" Type="http://schemas.openxmlformats.org/officeDocument/2006/relationships/hyperlink" Target="http://ufcstats.com/fight-details/d5598322f81db6c9" TargetMode="External"/><Relationship Id="rId1618" Type="http://schemas.openxmlformats.org/officeDocument/2006/relationships/hyperlink" Target="http://ufcstats.com/fight-details/04a788abbbd1f256" TargetMode="External"/><Relationship Id="rId1825" Type="http://schemas.openxmlformats.org/officeDocument/2006/relationships/hyperlink" Target="http://ufcstats.com/fight-details/0fcf42b68f2f0fa3" TargetMode="External"/><Relationship Id="rId3040" Type="http://schemas.openxmlformats.org/officeDocument/2006/relationships/hyperlink" Target="http://ufcstats.com/fight-details/0462bcc27498f7c4" TargetMode="External"/><Relationship Id="rId3997" Type="http://schemas.openxmlformats.org/officeDocument/2006/relationships/hyperlink" Target="http://ufcstats.com/fight-details/b1e048825b5bbe1c" TargetMode="External"/><Relationship Id="rId2599" Type="http://schemas.openxmlformats.org/officeDocument/2006/relationships/hyperlink" Target="http://ufcstats.com/fight-details/925a36a4af600291" TargetMode="External"/><Relationship Id="rId3857" Type="http://schemas.openxmlformats.org/officeDocument/2006/relationships/hyperlink" Target="http://ufcstats.com/fight-details/a7315147a7022a93" TargetMode="External"/><Relationship Id="rId778" Type="http://schemas.openxmlformats.org/officeDocument/2006/relationships/hyperlink" Target="http://ufcstats.com/fight-details/824859c7580eb35b" TargetMode="External"/><Relationship Id="rId985" Type="http://schemas.openxmlformats.org/officeDocument/2006/relationships/hyperlink" Target="http://ufcstats.com/fight-details/aa08ebe1a69c76ca" TargetMode="External"/><Relationship Id="rId2459" Type="http://schemas.openxmlformats.org/officeDocument/2006/relationships/hyperlink" Target="http://ufcstats.com/fight-details/613a288e8819fead" TargetMode="External"/><Relationship Id="rId2666" Type="http://schemas.openxmlformats.org/officeDocument/2006/relationships/hyperlink" Target="http://ufcstats.com/fight-details/f71d46f804307bd2" TargetMode="External"/><Relationship Id="rId2873" Type="http://schemas.openxmlformats.org/officeDocument/2006/relationships/hyperlink" Target="http://ufcstats.com/fight-details/c2fc4c1e0c769655" TargetMode="External"/><Relationship Id="rId3717" Type="http://schemas.openxmlformats.org/officeDocument/2006/relationships/hyperlink" Target="http://ufcstats.com/fight-details/214fa13c3f230259" TargetMode="External"/><Relationship Id="rId3924" Type="http://schemas.openxmlformats.org/officeDocument/2006/relationships/hyperlink" Target="http://ufcstats.com/fight-details/c1e5859053263811" TargetMode="External"/><Relationship Id="rId638" Type="http://schemas.openxmlformats.org/officeDocument/2006/relationships/hyperlink" Target="http://ufcstats.com/fight-details/c7cf2194fe5c751f" TargetMode="External"/><Relationship Id="rId845" Type="http://schemas.openxmlformats.org/officeDocument/2006/relationships/hyperlink" Target="http://ufcstats.com/fight-details/0494ebcee93e717b" TargetMode="External"/><Relationship Id="rId1268" Type="http://schemas.openxmlformats.org/officeDocument/2006/relationships/hyperlink" Target="http://ufcstats.com/fight-details/689116759885e4a5" TargetMode="External"/><Relationship Id="rId1475" Type="http://schemas.openxmlformats.org/officeDocument/2006/relationships/hyperlink" Target="http://ufcstats.com/fight-details/fffdc57255274be1" TargetMode="External"/><Relationship Id="rId1682" Type="http://schemas.openxmlformats.org/officeDocument/2006/relationships/hyperlink" Target="http://ufcstats.com/fight-details/ae5c7517d9f2516c" TargetMode="External"/><Relationship Id="rId2319" Type="http://schemas.openxmlformats.org/officeDocument/2006/relationships/hyperlink" Target="http://ufcstats.com/fight-details/891470d896b1de5a" TargetMode="External"/><Relationship Id="rId2526" Type="http://schemas.openxmlformats.org/officeDocument/2006/relationships/hyperlink" Target="http://ufcstats.com/fight-details/dc48627a5f2daba9" TargetMode="External"/><Relationship Id="rId2733" Type="http://schemas.openxmlformats.org/officeDocument/2006/relationships/hyperlink" Target="http://ufcstats.com/fight-details/1ffe6e8df6dbefd2" TargetMode="External"/><Relationship Id="rId705" Type="http://schemas.openxmlformats.org/officeDocument/2006/relationships/hyperlink" Target="http://ufcstats.com/fight-details/49f7186e1e3cf6c8" TargetMode="External"/><Relationship Id="rId1128" Type="http://schemas.openxmlformats.org/officeDocument/2006/relationships/hyperlink" Target="http://ufcstats.com/fight-details/28c33e9353dac666" TargetMode="External"/><Relationship Id="rId1335" Type="http://schemas.openxmlformats.org/officeDocument/2006/relationships/hyperlink" Target="http://ufcstats.com/fight-details/cd67f6ddb2920193" TargetMode="External"/><Relationship Id="rId1542" Type="http://schemas.openxmlformats.org/officeDocument/2006/relationships/hyperlink" Target="http://ufcstats.com/fight-details/2267d967d1daf08a" TargetMode="External"/><Relationship Id="rId2940" Type="http://schemas.openxmlformats.org/officeDocument/2006/relationships/hyperlink" Target="http://ufcstats.com/fight-details/72d703db67371e1d" TargetMode="External"/><Relationship Id="rId912" Type="http://schemas.openxmlformats.org/officeDocument/2006/relationships/hyperlink" Target="http://ufcstats.com/fight-details/940701effe1d2b6c" TargetMode="External"/><Relationship Id="rId2800" Type="http://schemas.openxmlformats.org/officeDocument/2006/relationships/hyperlink" Target="http://ufcstats.com/fight-details/358f816aff469270" TargetMode="External"/><Relationship Id="rId41" Type="http://schemas.openxmlformats.org/officeDocument/2006/relationships/hyperlink" Target="http://ufcstats.com/fight-details/c73b81e7c1c1cccc" TargetMode="External"/><Relationship Id="rId1402" Type="http://schemas.openxmlformats.org/officeDocument/2006/relationships/hyperlink" Target="http://ufcstats.com/fight-details/e4d831dc318e4e98" TargetMode="External"/><Relationship Id="rId288" Type="http://schemas.openxmlformats.org/officeDocument/2006/relationships/hyperlink" Target="http://ufcstats.com/fight-details/034cbbec91f67852" TargetMode="External"/><Relationship Id="rId3367" Type="http://schemas.openxmlformats.org/officeDocument/2006/relationships/hyperlink" Target="http://ufcstats.com/fight-details/feaffeb1af7e82ef" TargetMode="External"/><Relationship Id="rId3574" Type="http://schemas.openxmlformats.org/officeDocument/2006/relationships/hyperlink" Target="http://ufcstats.com/fight-details/453283e947919ff7" TargetMode="External"/><Relationship Id="rId3781" Type="http://schemas.openxmlformats.org/officeDocument/2006/relationships/hyperlink" Target="http://ufcstats.com/fight-details/3a42dd84680f444b" TargetMode="External"/><Relationship Id="rId4418" Type="http://schemas.openxmlformats.org/officeDocument/2006/relationships/hyperlink" Target="http://ufcstats.com/fight-details/3a3ac7b3987f6799" TargetMode="External"/><Relationship Id="rId495" Type="http://schemas.openxmlformats.org/officeDocument/2006/relationships/hyperlink" Target="http://ufcstats.com/fight-details/989b8d362742f40b" TargetMode="External"/><Relationship Id="rId2176" Type="http://schemas.openxmlformats.org/officeDocument/2006/relationships/hyperlink" Target="http://ufcstats.com/fight-details/c97e99ca5422f03b" TargetMode="External"/><Relationship Id="rId2383" Type="http://schemas.openxmlformats.org/officeDocument/2006/relationships/hyperlink" Target="http://ufcstats.com/fight-details/b55605791a4d72b9" TargetMode="External"/><Relationship Id="rId2590" Type="http://schemas.openxmlformats.org/officeDocument/2006/relationships/hyperlink" Target="http://ufcstats.com/fight-details/bbc76ff9e1b1b142" TargetMode="External"/><Relationship Id="rId3227" Type="http://schemas.openxmlformats.org/officeDocument/2006/relationships/hyperlink" Target="http://ufcstats.com/fight-details/e068f14acd47ed69" TargetMode="External"/><Relationship Id="rId3434" Type="http://schemas.openxmlformats.org/officeDocument/2006/relationships/hyperlink" Target="http://ufcstats.com/fight-details/30f6cf4253b13b76" TargetMode="External"/><Relationship Id="rId3641" Type="http://schemas.openxmlformats.org/officeDocument/2006/relationships/hyperlink" Target="http://ufcstats.com/fight-details/e3826e06d68ed4af" TargetMode="External"/><Relationship Id="rId148" Type="http://schemas.openxmlformats.org/officeDocument/2006/relationships/hyperlink" Target="http://ufcstats.com/fight-details/0e3af9b5e1b3ae80" TargetMode="External"/><Relationship Id="rId355" Type="http://schemas.openxmlformats.org/officeDocument/2006/relationships/hyperlink" Target="http://ufcstats.com/fight-details/5d6fb4acfe5cc8a1" TargetMode="External"/><Relationship Id="rId562" Type="http://schemas.openxmlformats.org/officeDocument/2006/relationships/hyperlink" Target="http://ufcstats.com/fight-details/8028d5de087755dc" TargetMode="External"/><Relationship Id="rId1192" Type="http://schemas.openxmlformats.org/officeDocument/2006/relationships/hyperlink" Target="http://ufcstats.com/fight-details/7e4b7a70838e5ba4" TargetMode="External"/><Relationship Id="rId2036" Type="http://schemas.openxmlformats.org/officeDocument/2006/relationships/hyperlink" Target="http://ufcstats.com/fight-details/054794810817c1cc" TargetMode="External"/><Relationship Id="rId2243" Type="http://schemas.openxmlformats.org/officeDocument/2006/relationships/hyperlink" Target="http://ufcstats.com/fight-details/acc57a9c114b694a" TargetMode="External"/><Relationship Id="rId2450" Type="http://schemas.openxmlformats.org/officeDocument/2006/relationships/hyperlink" Target="http://ufcstats.com/fight-details/418b6f692abe9e35" TargetMode="External"/><Relationship Id="rId3501" Type="http://schemas.openxmlformats.org/officeDocument/2006/relationships/hyperlink" Target="http://ufcstats.com/fight-details/d0ebb0551377a1c1" TargetMode="External"/><Relationship Id="rId215" Type="http://schemas.openxmlformats.org/officeDocument/2006/relationships/hyperlink" Target="http://ufcstats.com/fight-details/0408a452fb5c3e14" TargetMode="External"/><Relationship Id="rId422" Type="http://schemas.openxmlformats.org/officeDocument/2006/relationships/hyperlink" Target="http://ufcstats.com/fight-details/4b155647201d549e" TargetMode="External"/><Relationship Id="rId1052" Type="http://schemas.openxmlformats.org/officeDocument/2006/relationships/hyperlink" Target="http://ufcstats.com/fight-details/ca63933f8c898fa2" TargetMode="External"/><Relationship Id="rId2103" Type="http://schemas.openxmlformats.org/officeDocument/2006/relationships/hyperlink" Target="http://ufcstats.com/fight-details/e8f2902be7b350ad" TargetMode="External"/><Relationship Id="rId2310" Type="http://schemas.openxmlformats.org/officeDocument/2006/relationships/hyperlink" Target="http://ufcstats.com/fight-details/d9ca00b3c62a874d" TargetMode="External"/><Relationship Id="rId4068" Type="http://schemas.openxmlformats.org/officeDocument/2006/relationships/hyperlink" Target="http://ufcstats.com/fight-details/f2fb049980631302" TargetMode="External"/><Relationship Id="rId4275" Type="http://schemas.openxmlformats.org/officeDocument/2006/relationships/hyperlink" Target="http://ufcstats.com/fight-details/1fe58cdab57d233b" TargetMode="External"/><Relationship Id="rId1869" Type="http://schemas.openxmlformats.org/officeDocument/2006/relationships/hyperlink" Target="http://ufcstats.com/fight-details/923e151bd990961b" TargetMode="External"/><Relationship Id="rId3084" Type="http://schemas.openxmlformats.org/officeDocument/2006/relationships/hyperlink" Target="http://ufcstats.com/fight-details/530fb0d1a26fc57a" TargetMode="External"/><Relationship Id="rId3291" Type="http://schemas.openxmlformats.org/officeDocument/2006/relationships/hyperlink" Target="http://ufcstats.com/fight-details/6a902b97ac98c283" TargetMode="External"/><Relationship Id="rId4135" Type="http://schemas.openxmlformats.org/officeDocument/2006/relationships/hyperlink" Target="http://ufcstats.com/fight-details/1a50d5c7e1e5c058" TargetMode="External"/><Relationship Id="rId1729" Type="http://schemas.openxmlformats.org/officeDocument/2006/relationships/hyperlink" Target="http://ufcstats.com/fight-details/1a484c452623181e" TargetMode="External"/><Relationship Id="rId1936" Type="http://schemas.openxmlformats.org/officeDocument/2006/relationships/hyperlink" Target="http://ufcstats.com/fight-details/0d33d43bee65d98f" TargetMode="External"/><Relationship Id="rId4342" Type="http://schemas.openxmlformats.org/officeDocument/2006/relationships/hyperlink" Target="http://ufcstats.com/fight-details/c0c587cb52de929b" TargetMode="External"/><Relationship Id="rId3151" Type="http://schemas.openxmlformats.org/officeDocument/2006/relationships/hyperlink" Target="http://ufcstats.com/fight-details/9d80bd1f92d23dfa" TargetMode="External"/><Relationship Id="rId4202" Type="http://schemas.openxmlformats.org/officeDocument/2006/relationships/hyperlink" Target="http://ufcstats.com/fight-details/13d8d5cd83e5b57e" TargetMode="External"/><Relationship Id="rId3011" Type="http://schemas.openxmlformats.org/officeDocument/2006/relationships/hyperlink" Target="http://ufcstats.com/fight-details/0f9be7ac405772f8" TargetMode="External"/><Relationship Id="rId3968" Type="http://schemas.openxmlformats.org/officeDocument/2006/relationships/hyperlink" Target="http://ufcstats.com/fight-details/6abf4f61a1e11d34" TargetMode="External"/><Relationship Id="rId5" Type="http://schemas.openxmlformats.org/officeDocument/2006/relationships/hyperlink" Target="http://ufcstats.com/fight-details/4bb77b1d8efc53a9" TargetMode="External"/><Relationship Id="rId889" Type="http://schemas.openxmlformats.org/officeDocument/2006/relationships/hyperlink" Target="http://ufcstats.com/fight-details/1e75ee0da189857b" TargetMode="External"/><Relationship Id="rId2777" Type="http://schemas.openxmlformats.org/officeDocument/2006/relationships/hyperlink" Target="http://ufcstats.com/fight-details/8172d8d996335d0a" TargetMode="External"/><Relationship Id="rId749" Type="http://schemas.openxmlformats.org/officeDocument/2006/relationships/hyperlink" Target="http://ufcstats.com/fight-details/e4795ab9bdd6fb38" TargetMode="External"/><Relationship Id="rId1379" Type="http://schemas.openxmlformats.org/officeDocument/2006/relationships/hyperlink" Target="http://ufcstats.com/fight-details/eff6ec2b2f1fb27b" TargetMode="External"/><Relationship Id="rId1586" Type="http://schemas.openxmlformats.org/officeDocument/2006/relationships/hyperlink" Target="http://ufcstats.com/fight-details/5cf56c22cbc24758" TargetMode="External"/><Relationship Id="rId2984" Type="http://schemas.openxmlformats.org/officeDocument/2006/relationships/hyperlink" Target="http://ufcstats.com/fight-details/bdaca0a96d44438a" TargetMode="External"/><Relationship Id="rId3828" Type="http://schemas.openxmlformats.org/officeDocument/2006/relationships/hyperlink" Target="http://ufcstats.com/fight-details/98e3b4d05ecc36a2" TargetMode="External"/><Relationship Id="rId609" Type="http://schemas.openxmlformats.org/officeDocument/2006/relationships/hyperlink" Target="http://ufcstats.com/fight-details/acc9a109b00a99e1" TargetMode="External"/><Relationship Id="rId956" Type="http://schemas.openxmlformats.org/officeDocument/2006/relationships/hyperlink" Target="http://ufcstats.com/fight-details/4f6f7f1ad8954bb6" TargetMode="External"/><Relationship Id="rId1239" Type="http://schemas.openxmlformats.org/officeDocument/2006/relationships/hyperlink" Target="http://ufcstats.com/fight-details/f40ac11da3bd7f8e" TargetMode="External"/><Relationship Id="rId1793" Type="http://schemas.openxmlformats.org/officeDocument/2006/relationships/hyperlink" Target="http://ufcstats.com/fight-details/1671723154d8e324" TargetMode="External"/><Relationship Id="rId2637" Type="http://schemas.openxmlformats.org/officeDocument/2006/relationships/hyperlink" Target="http://ufcstats.com/fight-details/cfd47fddbb705f26" TargetMode="External"/><Relationship Id="rId2844" Type="http://schemas.openxmlformats.org/officeDocument/2006/relationships/hyperlink" Target="http://ufcstats.com/fight-details/ca0f0a35a1fcb453" TargetMode="External"/><Relationship Id="rId85" Type="http://schemas.openxmlformats.org/officeDocument/2006/relationships/hyperlink" Target="http://ufcstats.com/fight-details/fd4d30036a3f3efb" TargetMode="External"/><Relationship Id="rId816" Type="http://schemas.openxmlformats.org/officeDocument/2006/relationships/hyperlink" Target="http://ufcstats.com/fight-details/3b21a9f48bac4a44" TargetMode="External"/><Relationship Id="rId1446" Type="http://schemas.openxmlformats.org/officeDocument/2006/relationships/hyperlink" Target="http://ufcstats.com/fight-details/0133019a4f1055ee" TargetMode="External"/><Relationship Id="rId1653" Type="http://schemas.openxmlformats.org/officeDocument/2006/relationships/hyperlink" Target="http://ufcstats.com/fight-details/e7ad1c3a763c7cae" TargetMode="External"/><Relationship Id="rId1860" Type="http://schemas.openxmlformats.org/officeDocument/2006/relationships/hyperlink" Target="http://ufcstats.com/fight-details/d22c19fd92426567" TargetMode="External"/><Relationship Id="rId2704" Type="http://schemas.openxmlformats.org/officeDocument/2006/relationships/hyperlink" Target="http://ufcstats.com/fight-details/44e3a7b4f4c7d95d" TargetMode="External"/><Relationship Id="rId2911" Type="http://schemas.openxmlformats.org/officeDocument/2006/relationships/hyperlink" Target="http://ufcstats.com/fight-details/cbdfb3c648d7bada" TargetMode="External"/><Relationship Id="rId1306" Type="http://schemas.openxmlformats.org/officeDocument/2006/relationships/hyperlink" Target="http://ufcstats.com/fight-details/c4d1c4b82cf34afb" TargetMode="External"/><Relationship Id="rId1513" Type="http://schemas.openxmlformats.org/officeDocument/2006/relationships/hyperlink" Target="http://ufcstats.com/fight-details/24341a8cf1152c5c" TargetMode="External"/><Relationship Id="rId1720" Type="http://schemas.openxmlformats.org/officeDocument/2006/relationships/hyperlink" Target="http://ufcstats.com/fight-details/413a4c217ee0193f" TargetMode="External"/><Relationship Id="rId12" Type="http://schemas.openxmlformats.org/officeDocument/2006/relationships/hyperlink" Target="http://ufcstats.com/fight-details/b4e2037f180c1e0e" TargetMode="External"/><Relationship Id="rId3478" Type="http://schemas.openxmlformats.org/officeDocument/2006/relationships/hyperlink" Target="http://ufcstats.com/fight-details/059dcd0b3b8e0a3f" TargetMode="External"/><Relationship Id="rId3685" Type="http://schemas.openxmlformats.org/officeDocument/2006/relationships/hyperlink" Target="http://ufcstats.com/fight-details/4df1d3183929d021" TargetMode="External"/><Relationship Id="rId3892" Type="http://schemas.openxmlformats.org/officeDocument/2006/relationships/hyperlink" Target="http://ufcstats.com/fight-details/738e0ccad2c9224b" TargetMode="External"/><Relationship Id="rId399" Type="http://schemas.openxmlformats.org/officeDocument/2006/relationships/hyperlink" Target="http://ufcstats.com/fight-details/2c58a97f2fe6c985" TargetMode="External"/><Relationship Id="rId2287" Type="http://schemas.openxmlformats.org/officeDocument/2006/relationships/hyperlink" Target="http://ufcstats.com/fight-details/b5b5156c713c5d47" TargetMode="External"/><Relationship Id="rId2494" Type="http://schemas.openxmlformats.org/officeDocument/2006/relationships/hyperlink" Target="http://ufcstats.com/fight-details/f9536ea60551b840" TargetMode="External"/><Relationship Id="rId3338" Type="http://schemas.openxmlformats.org/officeDocument/2006/relationships/hyperlink" Target="http://ufcstats.com/fight-details/87daaa6db4f6940c" TargetMode="External"/><Relationship Id="rId3545" Type="http://schemas.openxmlformats.org/officeDocument/2006/relationships/hyperlink" Target="http://ufcstats.com/fight-details/397dd9a8694ef413" TargetMode="External"/><Relationship Id="rId3752" Type="http://schemas.openxmlformats.org/officeDocument/2006/relationships/hyperlink" Target="http://ufcstats.com/fight-details/1c85f793ea4f9caa" TargetMode="External"/><Relationship Id="rId259" Type="http://schemas.openxmlformats.org/officeDocument/2006/relationships/hyperlink" Target="http://ufcstats.com/fight-details/9cbdbbc414d6dd83" TargetMode="External"/><Relationship Id="rId466" Type="http://schemas.openxmlformats.org/officeDocument/2006/relationships/hyperlink" Target="http://ufcstats.com/fight-details/924f982f0d9d2142" TargetMode="External"/><Relationship Id="rId673" Type="http://schemas.openxmlformats.org/officeDocument/2006/relationships/hyperlink" Target="http://ufcstats.com/fight-details/c6ca435e24c5f4e4" TargetMode="External"/><Relationship Id="rId880" Type="http://schemas.openxmlformats.org/officeDocument/2006/relationships/hyperlink" Target="http://ufcstats.com/fight-details/09a7f0979a58e6ea" TargetMode="External"/><Relationship Id="rId1096" Type="http://schemas.openxmlformats.org/officeDocument/2006/relationships/hyperlink" Target="http://ufcstats.com/fight-details/0f2611c3ec4661dd" TargetMode="External"/><Relationship Id="rId2147" Type="http://schemas.openxmlformats.org/officeDocument/2006/relationships/hyperlink" Target="http://ufcstats.com/fight-details/1299f04f429bcc0e" TargetMode="External"/><Relationship Id="rId2354" Type="http://schemas.openxmlformats.org/officeDocument/2006/relationships/hyperlink" Target="http://ufcstats.com/fight-details/bd1fc4ff619f4e61" TargetMode="External"/><Relationship Id="rId2561" Type="http://schemas.openxmlformats.org/officeDocument/2006/relationships/hyperlink" Target="http://ufcstats.com/fight-details/794b63b4c1e1e789" TargetMode="External"/><Relationship Id="rId3405" Type="http://schemas.openxmlformats.org/officeDocument/2006/relationships/hyperlink" Target="http://ufcstats.com/fight-details/e686df21c24c6c03" TargetMode="External"/><Relationship Id="rId119" Type="http://schemas.openxmlformats.org/officeDocument/2006/relationships/hyperlink" Target="http://ufcstats.com/fight-details/b70313eae7c24b27" TargetMode="External"/><Relationship Id="rId326" Type="http://schemas.openxmlformats.org/officeDocument/2006/relationships/hyperlink" Target="http://ufcstats.com/fight-details/70aa6b8f863e6861" TargetMode="External"/><Relationship Id="rId533" Type="http://schemas.openxmlformats.org/officeDocument/2006/relationships/hyperlink" Target="http://ufcstats.com/fight-details/adb78db5ba8ccc0f" TargetMode="External"/><Relationship Id="rId1163" Type="http://schemas.openxmlformats.org/officeDocument/2006/relationships/hyperlink" Target="http://ufcstats.com/fight-details/8d5ea3bf3be7cb91" TargetMode="External"/><Relationship Id="rId1370" Type="http://schemas.openxmlformats.org/officeDocument/2006/relationships/hyperlink" Target="http://ufcstats.com/fight-details/d0fb381cacbb0446" TargetMode="External"/><Relationship Id="rId2007" Type="http://schemas.openxmlformats.org/officeDocument/2006/relationships/hyperlink" Target="http://ufcstats.com/fight-details/15311d4b33d93004" TargetMode="External"/><Relationship Id="rId2214" Type="http://schemas.openxmlformats.org/officeDocument/2006/relationships/hyperlink" Target="http://ufcstats.com/fight-details/4843f369dc8b5de5" TargetMode="External"/><Relationship Id="rId3612" Type="http://schemas.openxmlformats.org/officeDocument/2006/relationships/hyperlink" Target="http://ufcstats.com/fight-details/6caf9ebf42ddae2e" TargetMode="External"/><Relationship Id="rId740" Type="http://schemas.openxmlformats.org/officeDocument/2006/relationships/hyperlink" Target="http://ufcstats.com/fight-details/7188621a628e718d" TargetMode="External"/><Relationship Id="rId1023" Type="http://schemas.openxmlformats.org/officeDocument/2006/relationships/hyperlink" Target="http://ufcstats.com/fight-details/48d21357134ca51a" TargetMode="External"/><Relationship Id="rId2421" Type="http://schemas.openxmlformats.org/officeDocument/2006/relationships/hyperlink" Target="http://ufcstats.com/fight-details/b530bb13aac1e48b" TargetMode="External"/><Relationship Id="rId4179" Type="http://schemas.openxmlformats.org/officeDocument/2006/relationships/hyperlink" Target="http://ufcstats.com/fight-details/d9f5d05b07bae09e" TargetMode="External"/><Relationship Id="rId600" Type="http://schemas.openxmlformats.org/officeDocument/2006/relationships/hyperlink" Target="http://ufcstats.com/fight-details/0c6e3c1f03cd4061" TargetMode="External"/><Relationship Id="rId1230" Type="http://schemas.openxmlformats.org/officeDocument/2006/relationships/hyperlink" Target="http://ufcstats.com/fight-details/a1569926652ebc36" TargetMode="External"/><Relationship Id="rId4386" Type="http://schemas.openxmlformats.org/officeDocument/2006/relationships/hyperlink" Target="http://ufcstats.com/fight-details/0bf8bb9b4ef329f9" TargetMode="External"/><Relationship Id="rId3195" Type="http://schemas.openxmlformats.org/officeDocument/2006/relationships/hyperlink" Target="http://ufcstats.com/fight-details/bf719cf83cab229b" TargetMode="External"/><Relationship Id="rId4039" Type="http://schemas.openxmlformats.org/officeDocument/2006/relationships/hyperlink" Target="http://ufcstats.com/fight-details/25f3e4fa781c1c8a" TargetMode="External"/><Relationship Id="rId4246" Type="http://schemas.openxmlformats.org/officeDocument/2006/relationships/hyperlink" Target="http://ufcstats.com/fight-details/b6a6ba08898f3b6a" TargetMode="External"/><Relationship Id="rId4453" Type="http://schemas.openxmlformats.org/officeDocument/2006/relationships/hyperlink" Target="http://ufcstats.com/fight-details/814d481e79e9a525" TargetMode="External"/><Relationship Id="rId3055" Type="http://schemas.openxmlformats.org/officeDocument/2006/relationships/hyperlink" Target="http://ufcstats.com/fight-details/70290140b6a8e038" TargetMode="External"/><Relationship Id="rId3262" Type="http://schemas.openxmlformats.org/officeDocument/2006/relationships/hyperlink" Target="http://ufcstats.com/fight-details/ec5d705232983b87" TargetMode="External"/><Relationship Id="rId4106" Type="http://schemas.openxmlformats.org/officeDocument/2006/relationships/hyperlink" Target="http://ufcstats.com/fight-details/9fb0a4e18ddcd14c" TargetMode="External"/><Relationship Id="rId4313" Type="http://schemas.openxmlformats.org/officeDocument/2006/relationships/hyperlink" Target="http://ufcstats.com/fight-details/adee1fc200ed1a12" TargetMode="External"/><Relationship Id="rId183" Type="http://schemas.openxmlformats.org/officeDocument/2006/relationships/hyperlink" Target="http://ufcstats.com/fight-details/82342dc6be82778b" TargetMode="External"/><Relationship Id="rId390" Type="http://schemas.openxmlformats.org/officeDocument/2006/relationships/hyperlink" Target="http://ufcstats.com/fight-details/7ba54a10f28c9496" TargetMode="External"/><Relationship Id="rId1907" Type="http://schemas.openxmlformats.org/officeDocument/2006/relationships/hyperlink" Target="http://ufcstats.com/fight-details/7bd6969c4ed979f9" TargetMode="External"/><Relationship Id="rId2071" Type="http://schemas.openxmlformats.org/officeDocument/2006/relationships/hyperlink" Target="http://ufcstats.com/fight-details/031647c36d12788f" TargetMode="External"/><Relationship Id="rId3122" Type="http://schemas.openxmlformats.org/officeDocument/2006/relationships/hyperlink" Target="http://ufcstats.com/fight-details/6a5eb525331fa1fc" TargetMode="External"/><Relationship Id="rId250" Type="http://schemas.openxmlformats.org/officeDocument/2006/relationships/hyperlink" Target="http://ufcstats.com/fight-details/eb5d62bda1581c62" TargetMode="External"/><Relationship Id="rId110" Type="http://schemas.openxmlformats.org/officeDocument/2006/relationships/hyperlink" Target="http://ufcstats.com/fight-details/c58b3223b5caa18a" TargetMode="External"/><Relationship Id="rId2888" Type="http://schemas.openxmlformats.org/officeDocument/2006/relationships/hyperlink" Target="http://ufcstats.com/fight-details/014f7dc96c90c199" TargetMode="External"/><Relationship Id="rId3939" Type="http://schemas.openxmlformats.org/officeDocument/2006/relationships/hyperlink" Target="http://ufcstats.com/fight-details/cc4a23ed2cbc8aa4" TargetMode="External"/><Relationship Id="rId1697" Type="http://schemas.openxmlformats.org/officeDocument/2006/relationships/hyperlink" Target="http://ufcstats.com/fight-details/47e49e04e32be7e9" TargetMode="External"/><Relationship Id="rId2748" Type="http://schemas.openxmlformats.org/officeDocument/2006/relationships/hyperlink" Target="http://ufcstats.com/fight-details/9039762cb9f4abdb" TargetMode="External"/><Relationship Id="rId2955" Type="http://schemas.openxmlformats.org/officeDocument/2006/relationships/hyperlink" Target="http://ufcstats.com/fight-details/6ed495c177d69a3a" TargetMode="External"/><Relationship Id="rId927" Type="http://schemas.openxmlformats.org/officeDocument/2006/relationships/hyperlink" Target="http://ufcstats.com/fight-details/b21e4b6c4126c782" TargetMode="External"/><Relationship Id="rId1557" Type="http://schemas.openxmlformats.org/officeDocument/2006/relationships/hyperlink" Target="http://ufcstats.com/fight-details/702759500d47a059" TargetMode="External"/><Relationship Id="rId1764" Type="http://schemas.openxmlformats.org/officeDocument/2006/relationships/hyperlink" Target="http://ufcstats.com/fight-details/0f8b2f7299b5e114" TargetMode="External"/><Relationship Id="rId1971" Type="http://schemas.openxmlformats.org/officeDocument/2006/relationships/hyperlink" Target="http://ufcstats.com/fight-details/e396c509fb47b037" TargetMode="External"/><Relationship Id="rId2608" Type="http://schemas.openxmlformats.org/officeDocument/2006/relationships/hyperlink" Target="http://ufcstats.com/fight-details/226884e46a10865d" TargetMode="External"/><Relationship Id="rId2815" Type="http://schemas.openxmlformats.org/officeDocument/2006/relationships/hyperlink" Target="http://ufcstats.com/fight-details/0ad57af26ddc7930" TargetMode="External"/><Relationship Id="rId4170" Type="http://schemas.openxmlformats.org/officeDocument/2006/relationships/hyperlink" Target="http://ufcstats.com/fight-details/9115354413739aa8" TargetMode="External"/><Relationship Id="rId56" Type="http://schemas.openxmlformats.org/officeDocument/2006/relationships/hyperlink" Target="http://ufcstats.com/fight-details/7ac1c2f87b795742" TargetMode="External"/><Relationship Id="rId1417" Type="http://schemas.openxmlformats.org/officeDocument/2006/relationships/hyperlink" Target="http://ufcstats.com/fight-details/b977ffcc6428046f" TargetMode="External"/><Relationship Id="rId1624" Type="http://schemas.openxmlformats.org/officeDocument/2006/relationships/hyperlink" Target="http://ufcstats.com/fight-details/1ff4586752ee8a93" TargetMode="External"/><Relationship Id="rId1831" Type="http://schemas.openxmlformats.org/officeDocument/2006/relationships/hyperlink" Target="http://ufcstats.com/fight-details/a8718a3419a11e15" TargetMode="External"/><Relationship Id="rId4030" Type="http://schemas.openxmlformats.org/officeDocument/2006/relationships/hyperlink" Target="http://ufcstats.com/fight-details/20c0f50c11509301" TargetMode="External"/><Relationship Id="rId3589" Type="http://schemas.openxmlformats.org/officeDocument/2006/relationships/hyperlink" Target="http://ufcstats.com/fight-details/c63d8062c89c4c33" TargetMode="External"/><Relationship Id="rId3796" Type="http://schemas.openxmlformats.org/officeDocument/2006/relationships/hyperlink" Target="http://ufcstats.com/fight-details/c2f0a53cd67e1736" TargetMode="External"/><Relationship Id="rId2398" Type="http://schemas.openxmlformats.org/officeDocument/2006/relationships/hyperlink" Target="http://ufcstats.com/fight-details/be69cbf1f1671c8e" TargetMode="External"/><Relationship Id="rId3449" Type="http://schemas.openxmlformats.org/officeDocument/2006/relationships/hyperlink" Target="http://ufcstats.com/fight-details/93026e3763542c05" TargetMode="External"/><Relationship Id="rId577" Type="http://schemas.openxmlformats.org/officeDocument/2006/relationships/hyperlink" Target="http://ufcstats.com/fight-details/4702ef17c48bf1d1" TargetMode="External"/><Relationship Id="rId2258" Type="http://schemas.openxmlformats.org/officeDocument/2006/relationships/hyperlink" Target="http://ufcstats.com/fight-details/b309cdde35310875" TargetMode="External"/><Relationship Id="rId3656" Type="http://schemas.openxmlformats.org/officeDocument/2006/relationships/hyperlink" Target="http://ufcstats.com/fight-details/d54ebd2a3435a357" TargetMode="External"/><Relationship Id="rId3863" Type="http://schemas.openxmlformats.org/officeDocument/2006/relationships/hyperlink" Target="http://ufcstats.com/fight-details/2a7909acde26a240" TargetMode="External"/><Relationship Id="rId784" Type="http://schemas.openxmlformats.org/officeDocument/2006/relationships/hyperlink" Target="http://ufcstats.com/fight-details/a4817b7e46028b4a" TargetMode="External"/><Relationship Id="rId991" Type="http://schemas.openxmlformats.org/officeDocument/2006/relationships/hyperlink" Target="http://ufcstats.com/fight-details/69fa167ba5d0fd82" TargetMode="External"/><Relationship Id="rId1067" Type="http://schemas.openxmlformats.org/officeDocument/2006/relationships/hyperlink" Target="http://ufcstats.com/fight-details/b5a8323de18f7e95" TargetMode="External"/><Relationship Id="rId2465" Type="http://schemas.openxmlformats.org/officeDocument/2006/relationships/hyperlink" Target="http://ufcstats.com/fight-details/ea76a3af8c5ecc55" TargetMode="External"/><Relationship Id="rId2672" Type="http://schemas.openxmlformats.org/officeDocument/2006/relationships/hyperlink" Target="http://ufcstats.com/fight-details/86892d114b204bf3" TargetMode="External"/><Relationship Id="rId3309" Type="http://schemas.openxmlformats.org/officeDocument/2006/relationships/hyperlink" Target="http://ufcstats.com/fight-details/8245791a3d3403c6" TargetMode="External"/><Relationship Id="rId3516" Type="http://schemas.openxmlformats.org/officeDocument/2006/relationships/hyperlink" Target="http://ufcstats.com/fight-details/5948876f1d80c21a" TargetMode="External"/><Relationship Id="rId3723" Type="http://schemas.openxmlformats.org/officeDocument/2006/relationships/hyperlink" Target="http://ufcstats.com/fight-details/cbf1e76186a0c8b3" TargetMode="External"/><Relationship Id="rId3930" Type="http://schemas.openxmlformats.org/officeDocument/2006/relationships/hyperlink" Target="http://ufcstats.com/fight-details/b5365d22172e414b" TargetMode="External"/><Relationship Id="rId437" Type="http://schemas.openxmlformats.org/officeDocument/2006/relationships/hyperlink" Target="http://ufcstats.com/fight-details/3ab0d8b344d2ebea" TargetMode="External"/><Relationship Id="rId644" Type="http://schemas.openxmlformats.org/officeDocument/2006/relationships/hyperlink" Target="http://ufcstats.com/fight-details/93a1cd50374397c0" TargetMode="External"/><Relationship Id="rId851" Type="http://schemas.openxmlformats.org/officeDocument/2006/relationships/hyperlink" Target="http://ufcstats.com/fight-details/a27a355f52883f3e" TargetMode="External"/><Relationship Id="rId1274" Type="http://schemas.openxmlformats.org/officeDocument/2006/relationships/hyperlink" Target="http://ufcstats.com/fight-details/ff5a8078ea85bbc7" TargetMode="External"/><Relationship Id="rId1481" Type="http://schemas.openxmlformats.org/officeDocument/2006/relationships/hyperlink" Target="http://ufcstats.com/fight-details/f26657d5018ee428" TargetMode="External"/><Relationship Id="rId2118" Type="http://schemas.openxmlformats.org/officeDocument/2006/relationships/hyperlink" Target="http://ufcstats.com/fight-details/b2297232b9310ba5" TargetMode="External"/><Relationship Id="rId2325" Type="http://schemas.openxmlformats.org/officeDocument/2006/relationships/hyperlink" Target="http://ufcstats.com/fight-details/cb76509b5c2f2a90" TargetMode="External"/><Relationship Id="rId2532" Type="http://schemas.openxmlformats.org/officeDocument/2006/relationships/hyperlink" Target="http://ufcstats.com/fight-details/ba5005d1116fa45f" TargetMode="External"/><Relationship Id="rId504" Type="http://schemas.openxmlformats.org/officeDocument/2006/relationships/hyperlink" Target="http://ufcstats.com/fight-details/d6945828f5fa7492" TargetMode="External"/><Relationship Id="rId711" Type="http://schemas.openxmlformats.org/officeDocument/2006/relationships/hyperlink" Target="http://ufcstats.com/fight-details/78bb2b441917848c" TargetMode="External"/><Relationship Id="rId1134" Type="http://schemas.openxmlformats.org/officeDocument/2006/relationships/hyperlink" Target="http://ufcstats.com/fight-details/f4ea27d942a390a5" TargetMode="External"/><Relationship Id="rId1341" Type="http://schemas.openxmlformats.org/officeDocument/2006/relationships/hyperlink" Target="http://ufcstats.com/fight-details/a77950d6a0a451f4" TargetMode="External"/><Relationship Id="rId1201" Type="http://schemas.openxmlformats.org/officeDocument/2006/relationships/hyperlink" Target="http://ufcstats.com/fight-details/d44a814b106b94ff" TargetMode="External"/><Relationship Id="rId3099" Type="http://schemas.openxmlformats.org/officeDocument/2006/relationships/hyperlink" Target="http://ufcstats.com/fight-details/a7eaf7b101166d3e" TargetMode="External"/><Relationship Id="rId4357" Type="http://schemas.openxmlformats.org/officeDocument/2006/relationships/hyperlink" Target="http://ufcstats.com/fight-details/8bf419824ca91470" TargetMode="External"/><Relationship Id="rId3166" Type="http://schemas.openxmlformats.org/officeDocument/2006/relationships/hyperlink" Target="http://ufcstats.com/fight-details/4403857f545ede75" TargetMode="External"/><Relationship Id="rId3373" Type="http://schemas.openxmlformats.org/officeDocument/2006/relationships/hyperlink" Target="http://ufcstats.com/fight-details/23ba354e606df0ac" TargetMode="External"/><Relationship Id="rId3580" Type="http://schemas.openxmlformats.org/officeDocument/2006/relationships/hyperlink" Target="http://ufcstats.com/fight-details/47c140debc977214" TargetMode="External"/><Relationship Id="rId4217" Type="http://schemas.openxmlformats.org/officeDocument/2006/relationships/hyperlink" Target="http://ufcstats.com/fight-details/27bfb9205119f23b" TargetMode="External"/><Relationship Id="rId4424" Type="http://schemas.openxmlformats.org/officeDocument/2006/relationships/hyperlink" Target="http://ufcstats.com/fight-details/859ca56770ac7672" TargetMode="External"/><Relationship Id="rId294" Type="http://schemas.openxmlformats.org/officeDocument/2006/relationships/hyperlink" Target="http://ufcstats.com/fight-details/78f1457371e2ef6b" TargetMode="External"/><Relationship Id="rId2182" Type="http://schemas.openxmlformats.org/officeDocument/2006/relationships/hyperlink" Target="http://ufcstats.com/fight-details/b2b6cf87cde17136" TargetMode="External"/><Relationship Id="rId3026" Type="http://schemas.openxmlformats.org/officeDocument/2006/relationships/hyperlink" Target="http://ufcstats.com/fight-details/f2ca358ea9bec156" TargetMode="External"/><Relationship Id="rId3233" Type="http://schemas.openxmlformats.org/officeDocument/2006/relationships/hyperlink" Target="http://ufcstats.com/fight-details/3e9ddcd30fdc5d85" TargetMode="External"/><Relationship Id="rId154" Type="http://schemas.openxmlformats.org/officeDocument/2006/relationships/hyperlink" Target="http://ufcstats.com/fight-details/14176809bcdafd01" TargetMode="External"/><Relationship Id="rId361" Type="http://schemas.openxmlformats.org/officeDocument/2006/relationships/hyperlink" Target="http://ufcstats.com/fight-details/c634ed84212723ca" TargetMode="External"/><Relationship Id="rId2042" Type="http://schemas.openxmlformats.org/officeDocument/2006/relationships/hyperlink" Target="http://ufcstats.com/fight-details/d851cbbbdfd05a49" TargetMode="External"/><Relationship Id="rId3440" Type="http://schemas.openxmlformats.org/officeDocument/2006/relationships/hyperlink" Target="http://ufcstats.com/fight-details/69ecd4aa5a550f7b" TargetMode="External"/><Relationship Id="rId2999" Type="http://schemas.openxmlformats.org/officeDocument/2006/relationships/hyperlink" Target="http://ufcstats.com/fight-details/c4938baf92d2dc31" TargetMode="External"/><Relationship Id="rId3300" Type="http://schemas.openxmlformats.org/officeDocument/2006/relationships/hyperlink" Target="http://ufcstats.com/fight-details/8b3b38167060b1d7" TargetMode="External"/><Relationship Id="rId221" Type="http://schemas.openxmlformats.org/officeDocument/2006/relationships/hyperlink" Target="http://ufcstats.com/fight-details/040f227553de7838" TargetMode="External"/><Relationship Id="rId2859" Type="http://schemas.openxmlformats.org/officeDocument/2006/relationships/hyperlink" Target="http://ufcstats.com/fight-details/24438a644b975751" TargetMode="External"/><Relationship Id="rId1668" Type="http://schemas.openxmlformats.org/officeDocument/2006/relationships/hyperlink" Target="http://ufcstats.com/fight-details/0339f66f18a3e0bf" TargetMode="External"/><Relationship Id="rId1875" Type="http://schemas.openxmlformats.org/officeDocument/2006/relationships/hyperlink" Target="http://ufcstats.com/fight-details/96b59d89ecac66d0" TargetMode="External"/><Relationship Id="rId2719" Type="http://schemas.openxmlformats.org/officeDocument/2006/relationships/hyperlink" Target="http://ufcstats.com/fight-details/0e9091311ca565ce" TargetMode="External"/><Relationship Id="rId4074" Type="http://schemas.openxmlformats.org/officeDocument/2006/relationships/hyperlink" Target="http://ufcstats.com/fight-details/15def71ff1679e06" TargetMode="External"/><Relationship Id="rId4281" Type="http://schemas.openxmlformats.org/officeDocument/2006/relationships/hyperlink" Target="http://ufcstats.com/fight-details/dd7f3f91ea6067d4" TargetMode="External"/><Relationship Id="rId1528" Type="http://schemas.openxmlformats.org/officeDocument/2006/relationships/hyperlink" Target="http://ufcstats.com/fight-details/8eaa23d64c20b0f1" TargetMode="External"/><Relationship Id="rId2926" Type="http://schemas.openxmlformats.org/officeDocument/2006/relationships/hyperlink" Target="http://ufcstats.com/fight-details/16243b1470887cb6" TargetMode="External"/><Relationship Id="rId3090" Type="http://schemas.openxmlformats.org/officeDocument/2006/relationships/hyperlink" Target="http://ufcstats.com/fight-details/fef29aa73bd5b907" TargetMode="External"/><Relationship Id="rId4141" Type="http://schemas.openxmlformats.org/officeDocument/2006/relationships/hyperlink" Target="http://ufcstats.com/fight-details/dd552b389152636a" TargetMode="External"/><Relationship Id="rId1735" Type="http://schemas.openxmlformats.org/officeDocument/2006/relationships/hyperlink" Target="http://ufcstats.com/fight-details/e82f15afac3dac93" TargetMode="External"/><Relationship Id="rId1942" Type="http://schemas.openxmlformats.org/officeDocument/2006/relationships/hyperlink" Target="http://ufcstats.com/fight-details/5e13fbe15c887a33" TargetMode="External"/><Relationship Id="rId4001" Type="http://schemas.openxmlformats.org/officeDocument/2006/relationships/hyperlink" Target="http://ufcstats.com/fight-details/0b2c3c4306620d6d" TargetMode="External"/><Relationship Id="rId27" Type="http://schemas.openxmlformats.org/officeDocument/2006/relationships/hyperlink" Target="http://ufcstats.com/fight-details/326b843cb2b7fd94" TargetMode="External"/><Relationship Id="rId1802" Type="http://schemas.openxmlformats.org/officeDocument/2006/relationships/hyperlink" Target="http://ufcstats.com/fight-details/343749a2f7c5d78b" TargetMode="External"/><Relationship Id="rId3767" Type="http://schemas.openxmlformats.org/officeDocument/2006/relationships/hyperlink" Target="http://ufcstats.com/fight-details/24f156a78bd32026" TargetMode="External"/><Relationship Id="rId3974" Type="http://schemas.openxmlformats.org/officeDocument/2006/relationships/hyperlink" Target="http://ufcstats.com/fight-details/f087a10a6f2bcc99" TargetMode="External"/><Relationship Id="rId688" Type="http://schemas.openxmlformats.org/officeDocument/2006/relationships/hyperlink" Target="http://ufcstats.com/fight-details/462a95890423d3c6" TargetMode="External"/><Relationship Id="rId895" Type="http://schemas.openxmlformats.org/officeDocument/2006/relationships/hyperlink" Target="http://ufcstats.com/fight-details/bb7408d59b7279f7" TargetMode="External"/><Relationship Id="rId2369" Type="http://schemas.openxmlformats.org/officeDocument/2006/relationships/hyperlink" Target="http://ufcstats.com/fight-details/0261adcfc6e49150" TargetMode="External"/><Relationship Id="rId2576" Type="http://schemas.openxmlformats.org/officeDocument/2006/relationships/hyperlink" Target="http://ufcstats.com/fight-details/2e47823d38a5649b" TargetMode="External"/><Relationship Id="rId2783" Type="http://schemas.openxmlformats.org/officeDocument/2006/relationships/hyperlink" Target="http://ufcstats.com/fight-details/a3e4322f55454897" TargetMode="External"/><Relationship Id="rId2990" Type="http://schemas.openxmlformats.org/officeDocument/2006/relationships/hyperlink" Target="http://ufcstats.com/fight-details/7c883cf0b5eedc59" TargetMode="External"/><Relationship Id="rId3627" Type="http://schemas.openxmlformats.org/officeDocument/2006/relationships/hyperlink" Target="http://ufcstats.com/fight-details/dbed6292db8b0212" TargetMode="External"/><Relationship Id="rId3834" Type="http://schemas.openxmlformats.org/officeDocument/2006/relationships/hyperlink" Target="http://ufcstats.com/fight-details/188e6416157e5a1f" TargetMode="External"/><Relationship Id="rId548" Type="http://schemas.openxmlformats.org/officeDocument/2006/relationships/hyperlink" Target="http://ufcstats.com/fight-details/688908886d8ac900" TargetMode="External"/><Relationship Id="rId755" Type="http://schemas.openxmlformats.org/officeDocument/2006/relationships/hyperlink" Target="http://ufcstats.com/fight-details/0344687c9852b1d2" TargetMode="External"/><Relationship Id="rId962" Type="http://schemas.openxmlformats.org/officeDocument/2006/relationships/hyperlink" Target="http://ufcstats.com/fight-details/478221ad98336565" TargetMode="External"/><Relationship Id="rId1178" Type="http://schemas.openxmlformats.org/officeDocument/2006/relationships/hyperlink" Target="http://ufcstats.com/fight-details/16bd47ba50891833" TargetMode="External"/><Relationship Id="rId1385" Type="http://schemas.openxmlformats.org/officeDocument/2006/relationships/hyperlink" Target="http://ufcstats.com/fight-details/9e45cc594a5a2506" TargetMode="External"/><Relationship Id="rId1592" Type="http://schemas.openxmlformats.org/officeDocument/2006/relationships/hyperlink" Target="http://ufcstats.com/fight-details/df3cc5ec78d05a71" TargetMode="External"/><Relationship Id="rId2229" Type="http://schemas.openxmlformats.org/officeDocument/2006/relationships/hyperlink" Target="http://ufcstats.com/fight-details/75bc89630027c601" TargetMode="External"/><Relationship Id="rId2436" Type="http://schemas.openxmlformats.org/officeDocument/2006/relationships/hyperlink" Target="http://ufcstats.com/fight-details/7d4e49d8a6678157" TargetMode="External"/><Relationship Id="rId2643" Type="http://schemas.openxmlformats.org/officeDocument/2006/relationships/hyperlink" Target="http://ufcstats.com/fight-details/9e1ecdb9a8856a8c" TargetMode="External"/><Relationship Id="rId2850" Type="http://schemas.openxmlformats.org/officeDocument/2006/relationships/hyperlink" Target="http://ufcstats.com/fight-details/87a969d51de6e179" TargetMode="External"/><Relationship Id="rId91" Type="http://schemas.openxmlformats.org/officeDocument/2006/relationships/hyperlink" Target="http://ufcstats.com/fight-details/119559fd8124fee3" TargetMode="External"/><Relationship Id="rId408" Type="http://schemas.openxmlformats.org/officeDocument/2006/relationships/hyperlink" Target="http://ufcstats.com/fight-details/1bf7f647f309464e" TargetMode="External"/><Relationship Id="rId615" Type="http://schemas.openxmlformats.org/officeDocument/2006/relationships/hyperlink" Target="http://ufcstats.com/fight-details/4f6e7159e77d4215" TargetMode="External"/><Relationship Id="rId822" Type="http://schemas.openxmlformats.org/officeDocument/2006/relationships/hyperlink" Target="http://ufcstats.com/fight-details/ce3d94186567a684" TargetMode="External"/><Relationship Id="rId1038" Type="http://schemas.openxmlformats.org/officeDocument/2006/relationships/hyperlink" Target="http://ufcstats.com/fight-details/d7ae0993c7a378ee" TargetMode="External"/><Relationship Id="rId1245" Type="http://schemas.openxmlformats.org/officeDocument/2006/relationships/hyperlink" Target="http://ufcstats.com/fight-details/147e31abbe3927d0" TargetMode="External"/><Relationship Id="rId1452" Type="http://schemas.openxmlformats.org/officeDocument/2006/relationships/hyperlink" Target="http://ufcstats.com/fight-details/fce6522f42b48f18" TargetMode="External"/><Relationship Id="rId2503" Type="http://schemas.openxmlformats.org/officeDocument/2006/relationships/hyperlink" Target="http://ufcstats.com/fight-details/c26806c2d554e50c" TargetMode="External"/><Relationship Id="rId3901" Type="http://schemas.openxmlformats.org/officeDocument/2006/relationships/hyperlink" Target="http://ufcstats.com/fight-details/ee46c069ebe691ff" TargetMode="External"/><Relationship Id="rId1105" Type="http://schemas.openxmlformats.org/officeDocument/2006/relationships/hyperlink" Target="http://ufcstats.com/fight-details/c4da9ec26a924a7d" TargetMode="External"/><Relationship Id="rId1312" Type="http://schemas.openxmlformats.org/officeDocument/2006/relationships/hyperlink" Target="http://ufcstats.com/fight-details/137646de0ffd9c35" TargetMode="External"/><Relationship Id="rId2710" Type="http://schemas.openxmlformats.org/officeDocument/2006/relationships/hyperlink" Target="http://ufcstats.com/fight-details/f536ba47f006474a" TargetMode="External"/><Relationship Id="rId3277" Type="http://schemas.openxmlformats.org/officeDocument/2006/relationships/hyperlink" Target="http://ufcstats.com/fight-details/c02d44564cb006a9" TargetMode="External"/><Relationship Id="rId198" Type="http://schemas.openxmlformats.org/officeDocument/2006/relationships/hyperlink" Target="http://ufcstats.com/fight-details/bc84680df666c96d" TargetMode="External"/><Relationship Id="rId2086" Type="http://schemas.openxmlformats.org/officeDocument/2006/relationships/hyperlink" Target="http://ufcstats.com/fight-details/1fa8537d3992a09a" TargetMode="External"/><Relationship Id="rId3484" Type="http://schemas.openxmlformats.org/officeDocument/2006/relationships/hyperlink" Target="http://ufcstats.com/fight-details/61bedad39b15db7a" TargetMode="External"/><Relationship Id="rId3691" Type="http://schemas.openxmlformats.org/officeDocument/2006/relationships/hyperlink" Target="http://ufcstats.com/fight-details/97817609ed46baa0" TargetMode="External"/><Relationship Id="rId4328" Type="http://schemas.openxmlformats.org/officeDocument/2006/relationships/hyperlink" Target="http://ufcstats.com/fight-details/23b6ffc0223f8cce" TargetMode="External"/><Relationship Id="rId2293" Type="http://schemas.openxmlformats.org/officeDocument/2006/relationships/hyperlink" Target="http://ufcstats.com/fight-details/46860358da8b8d82" TargetMode="External"/><Relationship Id="rId3137" Type="http://schemas.openxmlformats.org/officeDocument/2006/relationships/hyperlink" Target="http://ufcstats.com/fight-details/3454f5c7203467aa" TargetMode="External"/><Relationship Id="rId3344" Type="http://schemas.openxmlformats.org/officeDocument/2006/relationships/hyperlink" Target="http://ufcstats.com/fight-details/b9abcce29378e5cc" TargetMode="External"/><Relationship Id="rId3551" Type="http://schemas.openxmlformats.org/officeDocument/2006/relationships/hyperlink" Target="http://ufcstats.com/fight-details/2615d94ab16380f9" TargetMode="External"/><Relationship Id="rId265" Type="http://schemas.openxmlformats.org/officeDocument/2006/relationships/hyperlink" Target="http://ufcstats.com/fight-details/1ce1a43ef68ffc7d" TargetMode="External"/><Relationship Id="rId472" Type="http://schemas.openxmlformats.org/officeDocument/2006/relationships/hyperlink" Target="http://ufcstats.com/fight-details/8da75fd76a9b8e1d" TargetMode="External"/><Relationship Id="rId2153" Type="http://schemas.openxmlformats.org/officeDocument/2006/relationships/hyperlink" Target="http://ufcstats.com/fight-details/f519753cc38362d0" TargetMode="External"/><Relationship Id="rId2360" Type="http://schemas.openxmlformats.org/officeDocument/2006/relationships/hyperlink" Target="http://ufcstats.com/fight-details/46c050a827ee83d6" TargetMode="External"/><Relationship Id="rId3204" Type="http://schemas.openxmlformats.org/officeDocument/2006/relationships/hyperlink" Target="http://ufcstats.com/fight-details/ced01368259428f5" TargetMode="External"/><Relationship Id="rId3411" Type="http://schemas.openxmlformats.org/officeDocument/2006/relationships/hyperlink" Target="http://ufcstats.com/fight-details/7303ae36077411d9" TargetMode="External"/><Relationship Id="rId125" Type="http://schemas.openxmlformats.org/officeDocument/2006/relationships/hyperlink" Target="http://ufcstats.com/fight-details/1cd8f5a107f64e39" TargetMode="External"/><Relationship Id="rId332" Type="http://schemas.openxmlformats.org/officeDocument/2006/relationships/hyperlink" Target="http://ufcstats.com/fight-details/8bcdcfb0f93f1409" TargetMode="External"/><Relationship Id="rId2013" Type="http://schemas.openxmlformats.org/officeDocument/2006/relationships/hyperlink" Target="http://ufcstats.com/fight-details/d44d735e5079bfb8" TargetMode="External"/><Relationship Id="rId2220" Type="http://schemas.openxmlformats.org/officeDocument/2006/relationships/hyperlink" Target="http://ufcstats.com/fight-details/d866afa89d62a4ae" TargetMode="External"/><Relationship Id="rId4185" Type="http://schemas.openxmlformats.org/officeDocument/2006/relationships/hyperlink" Target="http://ufcstats.com/fight-details/e8ef17c0babcfca5" TargetMode="External"/><Relationship Id="rId4392" Type="http://schemas.openxmlformats.org/officeDocument/2006/relationships/hyperlink" Target="http://ufcstats.com/fight-details/d8335b728604b222" TargetMode="External"/><Relationship Id="rId1779" Type="http://schemas.openxmlformats.org/officeDocument/2006/relationships/hyperlink" Target="http://ufcstats.com/fight-details/f8ad660497e49187" TargetMode="External"/><Relationship Id="rId1986" Type="http://schemas.openxmlformats.org/officeDocument/2006/relationships/hyperlink" Target="http://ufcstats.com/fight-details/cef255a992ba7af3" TargetMode="External"/><Relationship Id="rId4045" Type="http://schemas.openxmlformats.org/officeDocument/2006/relationships/hyperlink" Target="http://ufcstats.com/fight-details/60d9d50b763adc62" TargetMode="External"/><Relationship Id="rId4252" Type="http://schemas.openxmlformats.org/officeDocument/2006/relationships/hyperlink" Target="http://ufcstats.com/fight-details/1676c64a94be0557" TargetMode="External"/><Relationship Id="rId1639" Type="http://schemas.openxmlformats.org/officeDocument/2006/relationships/hyperlink" Target="http://ufcstats.com/fight-details/3c5442bb62ca1505" TargetMode="External"/><Relationship Id="rId1846" Type="http://schemas.openxmlformats.org/officeDocument/2006/relationships/hyperlink" Target="http://ufcstats.com/fight-details/9c79433a4686f3fc" TargetMode="External"/><Relationship Id="rId3061" Type="http://schemas.openxmlformats.org/officeDocument/2006/relationships/hyperlink" Target="http://ufcstats.com/fight-details/05c8aeb2806be99c" TargetMode="External"/><Relationship Id="rId1706" Type="http://schemas.openxmlformats.org/officeDocument/2006/relationships/hyperlink" Target="http://ufcstats.com/fight-details/2c54be25b09fce50" TargetMode="External"/><Relationship Id="rId1913" Type="http://schemas.openxmlformats.org/officeDocument/2006/relationships/hyperlink" Target="http://ufcstats.com/fight-details/3a9e0fed344fd07d" TargetMode="External"/><Relationship Id="rId4112" Type="http://schemas.openxmlformats.org/officeDocument/2006/relationships/hyperlink" Target="http://ufcstats.com/fight-details/e6d4fdad2b3422d1" TargetMode="External"/><Relationship Id="rId3878" Type="http://schemas.openxmlformats.org/officeDocument/2006/relationships/hyperlink" Target="http://ufcstats.com/fight-details/0a3df9b1918cfc2f" TargetMode="External"/><Relationship Id="rId799" Type="http://schemas.openxmlformats.org/officeDocument/2006/relationships/hyperlink" Target="http://ufcstats.com/fight-details/e175c1a0bff30187" TargetMode="External"/><Relationship Id="rId2687" Type="http://schemas.openxmlformats.org/officeDocument/2006/relationships/hyperlink" Target="http://ufcstats.com/fight-details/2c39797c6574ff29" TargetMode="External"/><Relationship Id="rId2894" Type="http://schemas.openxmlformats.org/officeDocument/2006/relationships/hyperlink" Target="http://ufcstats.com/fight-details/07b98dbf5d2c62a2" TargetMode="External"/><Relationship Id="rId3738" Type="http://schemas.openxmlformats.org/officeDocument/2006/relationships/hyperlink" Target="http://ufcstats.com/fight-details/39d188fa9b95d550" TargetMode="External"/><Relationship Id="rId659" Type="http://schemas.openxmlformats.org/officeDocument/2006/relationships/hyperlink" Target="http://ufcstats.com/fight-details/22fe6779c3fa649d" TargetMode="External"/><Relationship Id="rId866" Type="http://schemas.openxmlformats.org/officeDocument/2006/relationships/hyperlink" Target="http://ufcstats.com/fight-details/0810cdbeb9dd4d02" TargetMode="External"/><Relationship Id="rId1289" Type="http://schemas.openxmlformats.org/officeDocument/2006/relationships/hyperlink" Target="http://ufcstats.com/fight-details/d6357dab7ccdf2db" TargetMode="External"/><Relationship Id="rId1496" Type="http://schemas.openxmlformats.org/officeDocument/2006/relationships/hyperlink" Target="http://ufcstats.com/fight-details/2b3b6e96cea0f757" TargetMode="External"/><Relationship Id="rId2547" Type="http://schemas.openxmlformats.org/officeDocument/2006/relationships/hyperlink" Target="http://ufcstats.com/fight-details/834f67e96612cd6f" TargetMode="External"/><Relationship Id="rId3945" Type="http://schemas.openxmlformats.org/officeDocument/2006/relationships/hyperlink" Target="http://ufcstats.com/fight-details/bd6d144f5c0b6cab" TargetMode="External"/><Relationship Id="rId519" Type="http://schemas.openxmlformats.org/officeDocument/2006/relationships/hyperlink" Target="http://ufcstats.com/fight-details/69397bbebdfa41d9" TargetMode="External"/><Relationship Id="rId1149" Type="http://schemas.openxmlformats.org/officeDocument/2006/relationships/hyperlink" Target="http://ufcstats.com/fight-details/0823f97be9c3a62e" TargetMode="External"/><Relationship Id="rId1356" Type="http://schemas.openxmlformats.org/officeDocument/2006/relationships/hyperlink" Target="http://ufcstats.com/fight-details/b0367c907cc549c0" TargetMode="External"/><Relationship Id="rId2754" Type="http://schemas.openxmlformats.org/officeDocument/2006/relationships/hyperlink" Target="http://ufcstats.com/fight-details/38094db8e3539cba" TargetMode="External"/><Relationship Id="rId2961" Type="http://schemas.openxmlformats.org/officeDocument/2006/relationships/hyperlink" Target="http://ufcstats.com/fight-details/535b8e5494cbc580" TargetMode="External"/><Relationship Id="rId3805" Type="http://schemas.openxmlformats.org/officeDocument/2006/relationships/hyperlink" Target="http://ufcstats.com/fight-details/e86f7b7f3a047d2a" TargetMode="External"/><Relationship Id="rId726" Type="http://schemas.openxmlformats.org/officeDocument/2006/relationships/hyperlink" Target="http://ufcstats.com/fight-details/147d2ab0230af48d" TargetMode="External"/><Relationship Id="rId933" Type="http://schemas.openxmlformats.org/officeDocument/2006/relationships/hyperlink" Target="http://ufcstats.com/fight-details/79bfba62da6242a6" TargetMode="External"/><Relationship Id="rId1009" Type="http://schemas.openxmlformats.org/officeDocument/2006/relationships/hyperlink" Target="http://ufcstats.com/fight-details/c2cdeb207cce5ceb" TargetMode="External"/><Relationship Id="rId1563" Type="http://schemas.openxmlformats.org/officeDocument/2006/relationships/hyperlink" Target="http://ufcstats.com/fight-details/9b79c05aa978c066" TargetMode="External"/><Relationship Id="rId1770" Type="http://schemas.openxmlformats.org/officeDocument/2006/relationships/hyperlink" Target="http://ufcstats.com/fight-details/ae6fb7829db7ecc7" TargetMode="External"/><Relationship Id="rId2407" Type="http://schemas.openxmlformats.org/officeDocument/2006/relationships/hyperlink" Target="http://ufcstats.com/fight-details/e96d929f8207a3e0" TargetMode="External"/><Relationship Id="rId2614" Type="http://schemas.openxmlformats.org/officeDocument/2006/relationships/hyperlink" Target="http://ufcstats.com/fight-details/d8189169b2c8a2aa" TargetMode="External"/><Relationship Id="rId2821" Type="http://schemas.openxmlformats.org/officeDocument/2006/relationships/hyperlink" Target="http://ufcstats.com/fight-details/49f83168974fb60f" TargetMode="External"/><Relationship Id="rId62" Type="http://schemas.openxmlformats.org/officeDocument/2006/relationships/hyperlink" Target="http://ufcstats.com/fight-details/dfe14e13aa727a0c" TargetMode="External"/><Relationship Id="rId1216" Type="http://schemas.openxmlformats.org/officeDocument/2006/relationships/hyperlink" Target="http://ufcstats.com/fight-details/9e674a02db6c03c8" TargetMode="External"/><Relationship Id="rId1423" Type="http://schemas.openxmlformats.org/officeDocument/2006/relationships/hyperlink" Target="http://ufcstats.com/fight-details/fb98219ce569b384" TargetMode="External"/><Relationship Id="rId1630" Type="http://schemas.openxmlformats.org/officeDocument/2006/relationships/hyperlink" Target="http://ufcstats.com/fight-details/408fc024d3e91b0e" TargetMode="External"/><Relationship Id="rId3388" Type="http://schemas.openxmlformats.org/officeDocument/2006/relationships/hyperlink" Target="http://ufcstats.com/fight-details/9589b41c4637b057" TargetMode="External"/><Relationship Id="rId3595" Type="http://schemas.openxmlformats.org/officeDocument/2006/relationships/hyperlink" Target="http://ufcstats.com/fight-details/aeb0322f619213b1" TargetMode="External"/><Relationship Id="rId4439" Type="http://schemas.openxmlformats.org/officeDocument/2006/relationships/hyperlink" Target="http://ufcstats.com/fight-details/ec2358459ffbe7de" TargetMode="External"/><Relationship Id="rId2197" Type="http://schemas.openxmlformats.org/officeDocument/2006/relationships/hyperlink" Target="http://ufcstats.com/fight-details/8b4eeaa048361ba3" TargetMode="External"/><Relationship Id="rId3248" Type="http://schemas.openxmlformats.org/officeDocument/2006/relationships/hyperlink" Target="http://ufcstats.com/fight-details/d6389fa434e86916" TargetMode="External"/><Relationship Id="rId3455" Type="http://schemas.openxmlformats.org/officeDocument/2006/relationships/hyperlink" Target="http://ufcstats.com/fight-details/94d708a8a8fefdef" TargetMode="External"/><Relationship Id="rId3662" Type="http://schemas.openxmlformats.org/officeDocument/2006/relationships/hyperlink" Target="http://ufcstats.com/fight-details/c317f85a8266313e" TargetMode="External"/><Relationship Id="rId169" Type="http://schemas.openxmlformats.org/officeDocument/2006/relationships/hyperlink" Target="http://ufcstats.com/fight-details/93a081342561d0c3" TargetMode="External"/><Relationship Id="rId376" Type="http://schemas.openxmlformats.org/officeDocument/2006/relationships/hyperlink" Target="http://ufcstats.com/fight-details/37835a0f9bbb4d4e" TargetMode="External"/><Relationship Id="rId583" Type="http://schemas.openxmlformats.org/officeDocument/2006/relationships/hyperlink" Target="http://ufcstats.com/fight-details/0e6782b758451063" TargetMode="External"/><Relationship Id="rId790" Type="http://schemas.openxmlformats.org/officeDocument/2006/relationships/hyperlink" Target="http://ufcstats.com/fight-details/d15a87087b6f1452" TargetMode="External"/><Relationship Id="rId2057" Type="http://schemas.openxmlformats.org/officeDocument/2006/relationships/hyperlink" Target="http://ufcstats.com/fight-details/4f7ec66199bba232" TargetMode="External"/><Relationship Id="rId2264" Type="http://schemas.openxmlformats.org/officeDocument/2006/relationships/hyperlink" Target="http://ufcstats.com/fight-details/bb56f4e502512ad0" TargetMode="External"/><Relationship Id="rId2471" Type="http://schemas.openxmlformats.org/officeDocument/2006/relationships/hyperlink" Target="http://ufcstats.com/fight-details/8e02bdaac8ed50e5" TargetMode="External"/><Relationship Id="rId3108" Type="http://schemas.openxmlformats.org/officeDocument/2006/relationships/hyperlink" Target="http://ufcstats.com/fight-details/fe143cb868adfded" TargetMode="External"/><Relationship Id="rId3315" Type="http://schemas.openxmlformats.org/officeDocument/2006/relationships/hyperlink" Target="http://ufcstats.com/fight-details/5c0e5d850d8e661f" TargetMode="External"/><Relationship Id="rId3522" Type="http://schemas.openxmlformats.org/officeDocument/2006/relationships/hyperlink" Target="http://ufcstats.com/fight-details/00684df5ed23e6ca" TargetMode="External"/><Relationship Id="rId236" Type="http://schemas.openxmlformats.org/officeDocument/2006/relationships/hyperlink" Target="http://ufcstats.com/fight-details/5ae5eb729c6bb169" TargetMode="External"/><Relationship Id="rId443" Type="http://schemas.openxmlformats.org/officeDocument/2006/relationships/hyperlink" Target="http://ufcstats.com/fight-details/2ae243f518948794" TargetMode="External"/><Relationship Id="rId650" Type="http://schemas.openxmlformats.org/officeDocument/2006/relationships/hyperlink" Target="http://ufcstats.com/fight-details/86d6e09932c5b551" TargetMode="External"/><Relationship Id="rId1073" Type="http://schemas.openxmlformats.org/officeDocument/2006/relationships/hyperlink" Target="http://ufcstats.com/fight-details/4e451881e0e47b05" TargetMode="External"/><Relationship Id="rId1280" Type="http://schemas.openxmlformats.org/officeDocument/2006/relationships/hyperlink" Target="http://ufcstats.com/fight-details/119bc264e2bb9877" TargetMode="External"/><Relationship Id="rId2124" Type="http://schemas.openxmlformats.org/officeDocument/2006/relationships/hyperlink" Target="http://ufcstats.com/fight-details/55f727e00553035d" TargetMode="External"/><Relationship Id="rId2331" Type="http://schemas.openxmlformats.org/officeDocument/2006/relationships/hyperlink" Target="http://ufcstats.com/fight-details/958799d957945a3a" TargetMode="External"/><Relationship Id="rId303" Type="http://schemas.openxmlformats.org/officeDocument/2006/relationships/hyperlink" Target="http://ufcstats.com/fight-details/20be16a1db95156c" TargetMode="External"/><Relationship Id="rId1140" Type="http://schemas.openxmlformats.org/officeDocument/2006/relationships/hyperlink" Target="http://ufcstats.com/fight-details/b381dc272b32ce03" TargetMode="External"/><Relationship Id="rId4089" Type="http://schemas.openxmlformats.org/officeDocument/2006/relationships/hyperlink" Target="http://ufcstats.com/fight-details/dd51d1aed9536da6" TargetMode="External"/><Relationship Id="rId4296" Type="http://schemas.openxmlformats.org/officeDocument/2006/relationships/hyperlink" Target="http://ufcstats.com/fight-details/2d7f29ec900a8948" TargetMode="External"/><Relationship Id="rId510" Type="http://schemas.openxmlformats.org/officeDocument/2006/relationships/hyperlink" Target="http://ufcstats.com/fight-details/8a8fea2c10512434" TargetMode="External"/><Relationship Id="rId1000" Type="http://schemas.openxmlformats.org/officeDocument/2006/relationships/hyperlink" Target="http://ufcstats.com/fight-details/f22d193f3ab42bc5" TargetMode="External"/><Relationship Id="rId1957" Type="http://schemas.openxmlformats.org/officeDocument/2006/relationships/hyperlink" Target="http://ufcstats.com/fight-details/fd776d7b554a85d0" TargetMode="External"/><Relationship Id="rId4156" Type="http://schemas.openxmlformats.org/officeDocument/2006/relationships/hyperlink" Target="http://ufcstats.com/fight-details/6e0c1faaf40caf9a" TargetMode="External"/><Relationship Id="rId4363" Type="http://schemas.openxmlformats.org/officeDocument/2006/relationships/hyperlink" Target="http://ufcstats.com/fight-details/20b70a226f1c13fb" TargetMode="External"/><Relationship Id="rId1817" Type="http://schemas.openxmlformats.org/officeDocument/2006/relationships/hyperlink" Target="http://ufcstats.com/fight-details/106088694fa0c682" TargetMode="External"/><Relationship Id="rId3172" Type="http://schemas.openxmlformats.org/officeDocument/2006/relationships/hyperlink" Target="http://ufcstats.com/fight-details/07c00213ec388e07" TargetMode="External"/><Relationship Id="rId4016" Type="http://schemas.openxmlformats.org/officeDocument/2006/relationships/hyperlink" Target="http://ufcstats.com/fight-details/ccf3b6eda4c2a564" TargetMode="External"/><Relationship Id="rId4223" Type="http://schemas.openxmlformats.org/officeDocument/2006/relationships/hyperlink" Target="http://ufcstats.com/fight-details/bd5efa4b53dc1642" TargetMode="External"/><Relationship Id="rId4430" Type="http://schemas.openxmlformats.org/officeDocument/2006/relationships/hyperlink" Target="http://ufcstats.com/fight-details/ec381753e852cb63" TargetMode="External"/><Relationship Id="rId3032" Type="http://schemas.openxmlformats.org/officeDocument/2006/relationships/hyperlink" Target="http://ufcstats.com/fight-details/85511ab7fd9ed061" TargetMode="External"/><Relationship Id="rId160" Type="http://schemas.openxmlformats.org/officeDocument/2006/relationships/hyperlink" Target="http://ufcstats.com/fight-details/358468724d7d4322" TargetMode="External"/><Relationship Id="rId3989" Type="http://schemas.openxmlformats.org/officeDocument/2006/relationships/hyperlink" Target="http://ufcstats.com/fight-details/3677ce6c1ee06a83" TargetMode="External"/><Relationship Id="rId2798" Type="http://schemas.openxmlformats.org/officeDocument/2006/relationships/hyperlink" Target="http://ufcstats.com/fight-details/a08dffad240dc3d4" TargetMode="External"/><Relationship Id="rId3849" Type="http://schemas.openxmlformats.org/officeDocument/2006/relationships/hyperlink" Target="http://ufcstats.com/fight-details/88c6e7f71b79fd65" TargetMode="External"/><Relationship Id="rId977" Type="http://schemas.openxmlformats.org/officeDocument/2006/relationships/hyperlink" Target="http://ufcstats.com/fight-details/bce8ece2ff26b4d4" TargetMode="External"/><Relationship Id="rId2658" Type="http://schemas.openxmlformats.org/officeDocument/2006/relationships/hyperlink" Target="http://ufcstats.com/fight-details/4eb91cfc892a108e" TargetMode="External"/><Relationship Id="rId2865" Type="http://schemas.openxmlformats.org/officeDocument/2006/relationships/hyperlink" Target="http://ufcstats.com/fight-details/18a1617ee7356352" TargetMode="External"/><Relationship Id="rId3709" Type="http://schemas.openxmlformats.org/officeDocument/2006/relationships/hyperlink" Target="http://ufcstats.com/fight-details/f19d1c8ca5660240" TargetMode="External"/><Relationship Id="rId3916" Type="http://schemas.openxmlformats.org/officeDocument/2006/relationships/hyperlink" Target="http://ufcstats.com/fight-details/abd50fad1e7b030b" TargetMode="External"/><Relationship Id="rId4080" Type="http://schemas.openxmlformats.org/officeDocument/2006/relationships/hyperlink" Target="http://ufcstats.com/fight-details/760b5b16b4931a77" TargetMode="External"/><Relationship Id="rId837" Type="http://schemas.openxmlformats.org/officeDocument/2006/relationships/hyperlink" Target="http://ufcstats.com/fight-details/23ba0218f9f65e33" TargetMode="External"/><Relationship Id="rId1467" Type="http://schemas.openxmlformats.org/officeDocument/2006/relationships/hyperlink" Target="http://ufcstats.com/fight-details/e25875165648162b" TargetMode="External"/><Relationship Id="rId1674" Type="http://schemas.openxmlformats.org/officeDocument/2006/relationships/hyperlink" Target="http://ufcstats.com/fight-details/8aa16cc1ba99aac1" TargetMode="External"/><Relationship Id="rId1881" Type="http://schemas.openxmlformats.org/officeDocument/2006/relationships/hyperlink" Target="http://ufcstats.com/fight-details/00bbcd4a6d647fdf" TargetMode="External"/><Relationship Id="rId2518" Type="http://schemas.openxmlformats.org/officeDocument/2006/relationships/hyperlink" Target="http://ufcstats.com/fight-details/1d9f862a47540785" TargetMode="External"/><Relationship Id="rId2725" Type="http://schemas.openxmlformats.org/officeDocument/2006/relationships/hyperlink" Target="http://ufcstats.com/fight-details/1820fed0fbcf6294" TargetMode="External"/><Relationship Id="rId2932" Type="http://schemas.openxmlformats.org/officeDocument/2006/relationships/hyperlink" Target="http://ufcstats.com/fight-details/ca22bafab913aae7" TargetMode="External"/><Relationship Id="rId904" Type="http://schemas.openxmlformats.org/officeDocument/2006/relationships/hyperlink" Target="http://ufcstats.com/fight-details/6655a8da2655f2d0" TargetMode="External"/><Relationship Id="rId1327" Type="http://schemas.openxmlformats.org/officeDocument/2006/relationships/hyperlink" Target="http://ufcstats.com/fight-details/33116969380185a9" TargetMode="External"/><Relationship Id="rId1534" Type="http://schemas.openxmlformats.org/officeDocument/2006/relationships/hyperlink" Target="http://ufcstats.com/fight-details/755202fce24b8f83" TargetMode="External"/><Relationship Id="rId1741" Type="http://schemas.openxmlformats.org/officeDocument/2006/relationships/hyperlink" Target="http://ufcstats.com/fight-details/1687e2cd061b7aec" TargetMode="External"/><Relationship Id="rId33" Type="http://schemas.openxmlformats.org/officeDocument/2006/relationships/hyperlink" Target="http://ufcstats.com/fight-details/445d0d44091b902a" TargetMode="External"/><Relationship Id="rId1601" Type="http://schemas.openxmlformats.org/officeDocument/2006/relationships/hyperlink" Target="http://ufcstats.com/fight-details/3f837b469ba33c7c" TargetMode="External"/><Relationship Id="rId3499" Type="http://schemas.openxmlformats.org/officeDocument/2006/relationships/hyperlink" Target="http://ufcstats.com/fight-details/73f6b72b4889088f" TargetMode="External"/><Relationship Id="rId3359" Type="http://schemas.openxmlformats.org/officeDocument/2006/relationships/hyperlink" Target="http://ufcstats.com/fight-details/9c7b6a20f35fb708" TargetMode="External"/><Relationship Id="rId3566" Type="http://schemas.openxmlformats.org/officeDocument/2006/relationships/hyperlink" Target="http://ufcstats.com/fight-details/7458a37feabf8788" TargetMode="External"/><Relationship Id="rId487" Type="http://schemas.openxmlformats.org/officeDocument/2006/relationships/hyperlink" Target="http://ufcstats.com/fight-details/ff8f92cf8fb1b76c" TargetMode="External"/><Relationship Id="rId694" Type="http://schemas.openxmlformats.org/officeDocument/2006/relationships/hyperlink" Target="http://ufcstats.com/fight-details/c53cb796b4a4cdb8" TargetMode="External"/><Relationship Id="rId2168" Type="http://schemas.openxmlformats.org/officeDocument/2006/relationships/hyperlink" Target="http://ufcstats.com/fight-details/f0b151cc6c91b259" TargetMode="External"/><Relationship Id="rId2375" Type="http://schemas.openxmlformats.org/officeDocument/2006/relationships/hyperlink" Target="http://ufcstats.com/fight-details/ba8f219260e212f8" TargetMode="External"/><Relationship Id="rId3219" Type="http://schemas.openxmlformats.org/officeDocument/2006/relationships/hyperlink" Target="http://ufcstats.com/fight-details/c5dfce1eaa2dc169" TargetMode="External"/><Relationship Id="rId3773" Type="http://schemas.openxmlformats.org/officeDocument/2006/relationships/hyperlink" Target="http://ufcstats.com/fight-details/9f428684f3db247f" TargetMode="External"/><Relationship Id="rId3980" Type="http://schemas.openxmlformats.org/officeDocument/2006/relationships/hyperlink" Target="http://ufcstats.com/fight-details/8a85dffa80e6c7bd" TargetMode="External"/><Relationship Id="rId347" Type="http://schemas.openxmlformats.org/officeDocument/2006/relationships/hyperlink" Target="http://ufcstats.com/fight-details/94b48b98d0292720" TargetMode="External"/><Relationship Id="rId1184" Type="http://schemas.openxmlformats.org/officeDocument/2006/relationships/hyperlink" Target="http://ufcstats.com/fight-details/2418af6da44fd361" TargetMode="External"/><Relationship Id="rId2028" Type="http://schemas.openxmlformats.org/officeDocument/2006/relationships/hyperlink" Target="http://ufcstats.com/fight-details/f4fbb11055301e75" TargetMode="External"/><Relationship Id="rId2582" Type="http://schemas.openxmlformats.org/officeDocument/2006/relationships/hyperlink" Target="http://ufcstats.com/fight-details/7d474fbf31894108" TargetMode="External"/><Relationship Id="rId3426" Type="http://schemas.openxmlformats.org/officeDocument/2006/relationships/hyperlink" Target="http://ufcstats.com/fight-details/f4f5049e789b7716" TargetMode="External"/><Relationship Id="rId3633" Type="http://schemas.openxmlformats.org/officeDocument/2006/relationships/hyperlink" Target="http://ufcstats.com/fight-details/6fd7f6f1deaef4e8" TargetMode="External"/><Relationship Id="rId3840" Type="http://schemas.openxmlformats.org/officeDocument/2006/relationships/hyperlink" Target="http://ufcstats.com/fight-details/5b7b5b01f4dcbd9c" TargetMode="External"/><Relationship Id="rId554" Type="http://schemas.openxmlformats.org/officeDocument/2006/relationships/hyperlink" Target="http://ufcstats.com/fight-details/48a9d2a3967d13a4" TargetMode="External"/><Relationship Id="rId761" Type="http://schemas.openxmlformats.org/officeDocument/2006/relationships/hyperlink" Target="http://ufcstats.com/fight-details/b2c3f1783a0c8530" TargetMode="External"/><Relationship Id="rId1391" Type="http://schemas.openxmlformats.org/officeDocument/2006/relationships/hyperlink" Target="http://ufcstats.com/fight-details/da22d5a717ae9e35" TargetMode="External"/><Relationship Id="rId2235" Type="http://schemas.openxmlformats.org/officeDocument/2006/relationships/hyperlink" Target="http://ufcstats.com/fight-details/57d989702ae72dc1" TargetMode="External"/><Relationship Id="rId2442" Type="http://schemas.openxmlformats.org/officeDocument/2006/relationships/hyperlink" Target="http://ufcstats.com/fight-details/7abc4520f63f2c06" TargetMode="External"/><Relationship Id="rId3700" Type="http://schemas.openxmlformats.org/officeDocument/2006/relationships/hyperlink" Target="http://ufcstats.com/fight-details/c0568b225d5f0fe6" TargetMode="External"/><Relationship Id="rId207" Type="http://schemas.openxmlformats.org/officeDocument/2006/relationships/hyperlink" Target="http://ufcstats.com/fight-details/677e98ae5834ba70" TargetMode="External"/><Relationship Id="rId414" Type="http://schemas.openxmlformats.org/officeDocument/2006/relationships/hyperlink" Target="http://ufcstats.com/fight-details/b9a3b520e68f8142" TargetMode="External"/><Relationship Id="rId621" Type="http://schemas.openxmlformats.org/officeDocument/2006/relationships/hyperlink" Target="http://ufcstats.com/fight-details/84ebbad426d25713" TargetMode="External"/><Relationship Id="rId1044" Type="http://schemas.openxmlformats.org/officeDocument/2006/relationships/hyperlink" Target="http://ufcstats.com/fight-details/9abf0b60a44a82d1" TargetMode="External"/><Relationship Id="rId1251" Type="http://schemas.openxmlformats.org/officeDocument/2006/relationships/hyperlink" Target="http://ufcstats.com/fight-details/3cbd3565dd631cc4" TargetMode="External"/><Relationship Id="rId2302" Type="http://schemas.openxmlformats.org/officeDocument/2006/relationships/hyperlink" Target="http://ufcstats.com/fight-details/8295c37ad4b6187e" TargetMode="External"/><Relationship Id="rId1111" Type="http://schemas.openxmlformats.org/officeDocument/2006/relationships/hyperlink" Target="http://ufcstats.com/fight-details/291d91378a96d1e8" TargetMode="External"/><Relationship Id="rId4267" Type="http://schemas.openxmlformats.org/officeDocument/2006/relationships/hyperlink" Target="http://ufcstats.com/fight-details/f549164690d723bb" TargetMode="External"/><Relationship Id="rId3076" Type="http://schemas.openxmlformats.org/officeDocument/2006/relationships/hyperlink" Target="http://ufcstats.com/fight-details/e4931f3ab3bf4141" TargetMode="External"/><Relationship Id="rId3283" Type="http://schemas.openxmlformats.org/officeDocument/2006/relationships/hyperlink" Target="http://ufcstats.com/fight-details/7d0d2cecab358ba1" TargetMode="External"/><Relationship Id="rId3490" Type="http://schemas.openxmlformats.org/officeDocument/2006/relationships/hyperlink" Target="http://ufcstats.com/fight-details/28c70663b99560a8" TargetMode="External"/><Relationship Id="rId4127" Type="http://schemas.openxmlformats.org/officeDocument/2006/relationships/hyperlink" Target="http://ufcstats.com/fight-details/419d1e29668b57fb" TargetMode="External"/><Relationship Id="rId4334" Type="http://schemas.openxmlformats.org/officeDocument/2006/relationships/hyperlink" Target="http://ufcstats.com/fight-details/e80a8338d86e730b" TargetMode="External"/><Relationship Id="rId1928" Type="http://schemas.openxmlformats.org/officeDocument/2006/relationships/hyperlink" Target="http://ufcstats.com/fight-details/c46d51fb87a4f485" TargetMode="External"/><Relationship Id="rId2092" Type="http://schemas.openxmlformats.org/officeDocument/2006/relationships/hyperlink" Target="http://ufcstats.com/fight-details/53bb7c4a606d60c0" TargetMode="External"/><Relationship Id="rId3143" Type="http://schemas.openxmlformats.org/officeDocument/2006/relationships/hyperlink" Target="http://ufcstats.com/fight-details/252074c8554bf30d" TargetMode="External"/><Relationship Id="rId3350" Type="http://schemas.openxmlformats.org/officeDocument/2006/relationships/hyperlink" Target="http://ufcstats.com/fight-details/1317d7cd79495a0e" TargetMode="External"/><Relationship Id="rId271" Type="http://schemas.openxmlformats.org/officeDocument/2006/relationships/hyperlink" Target="http://ufcstats.com/fight-details/38d6c2538ce6ec4c" TargetMode="External"/><Relationship Id="rId3003" Type="http://schemas.openxmlformats.org/officeDocument/2006/relationships/hyperlink" Target="http://ufcstats.com/fight-details/15c9cb5f9320c555" TargetMode="External"/><Relationship Id="rId4401" Type="http://schemas.openxmlformats.org/officeDocument/2006/relationships/hyperlink" Target="http://ufcstats.com/fight-details/abfc03893551ae73" TargetMode="External"/><Relationship Id="rId131" Type="http://schemas.openxmlformats.org/officeDocument/2006/relationships/hyperlink" Target="http://ufcstats.com/fight-details/980927e7dcc131c0" TargetMode="External"/><Relationship Id="rId3210" Type="http://schemas.openxmlformats.org/officeDocument/2006/relationships/hyperlink" Target="http://ufcstats.com/fight-details/bf59d9f8bd9536f3" TargetMode="External"/><Relationship Id="rId2769" Type="http://schemas.openxmlformats.org/officeDocument/2006/relationships/hyperlink" Target="http://ufcstats.com/fight-details/e00da416750f75a9" TargetMode="External"/><Relationship Id="rId2976" Type="http://schemas.openxmlformats.org/officeDocument/2006/relationships/hyperlink" Target="http://ufcstats.com/fight-details/7990b6716a53b2cd" TargetMode="External"/><Relationship Id="rId948" Type="http://schemas.openxmlformats.org/officeDocument/2006/relationships/hyperlink" Target="http://ufcstats.com/fight-details/d43c007dab9c51b0" TargetMode="External"/><Relationship Id="rId1578" Type="http://schemas.openxmlformats.org/officeDocument/2006/relationships/hyperlink" Target="http://ufcstats.com/fight-details/2b8cae68963a40a9" TargetMode="External"/><Relationship Id="rId1785" Type="http://schemas.openxmlformats.org/officeDocument/2006/relationships/hyperlink" Target="http://ufcstats.com/fight-details/f2b407019b2a5c15" TargetMode="External"/><Relationship Id="rId1992" Type="http://schemas.openxmlformats.org/officeDocument/2006/relationships/hyperlink" Target="http://ufcstats.com/fight-details/efc64d8aae5628c9" TargetMode="External"/><Relationship Id="rId2629" Type="http://schemas.openxmlformats.org/officeDocument/2006/relationships/hyperlink" Target="http://ufcstats.com/fight-details/90eb22b9eb6ed2a8" TargetMode="External"/><Relationship Id="rId2836" Type="http://schemas.openxmlformats.org/officeDocument/2006/relationships/hyperlink" Target="http://ufcstats.com/fight-details/7658965c2a700b39" TargetMode="External"/><Relationship Id="rId4191" Type="http://schemas.openxmlformats.org/officeDocument/2006/relationships/hyperlink" Target="http://ufcstats.com/fight-details/d684d8b02ab53031" TargetMode="External"/><Relationship Id="rId77" Type="http://schemas.openxmlformats.org/officeDocument/2006/relationships/hyperlink" Target="http://ufcstats.com/fight-details/a8239866e1222eae" TargetMode="External"/><Relationship Id="rId808" Type="http://schemas.openxmlformats.org/officeDocument/2006/relationships/hyperlink" Target="http://ufcstats.com/fight-details/128ab9aa4802c73f" TargetMode="External"/><Relationship Id="rId1438" Type="http://schemas.openxmlformats.org/officeDocument/2006/relationships/hyperlink" Target="http://ufcstats.com/fight-details/f4d9138ba502b7ec" TargetMode="External"/><Relationship Id="rId1645" Type="http://schemas.openxmlformats.org/officeDocument/2006/relationships/hyperlink" Target="http://ufcstats.com/fight-details/5f19b0135414b454" TargetMode="External"/><Relationship Id="rId4051" Type="http://schemas.openxmlformats.org/officeDocument/2006/relationships/hyperlink" Target="http://ufcstats.com/fight-details/f9a4e625dffc30d4" TargetMode="External"/><Relationship Id="rId1852" Type="http://schemas.openxmlformats.org/officeDocument/2006/relationships/hyperlink" Target="http://ufcstats.com/fight-details/0af90a49f0ca1879" TargetMode="External"/><Relationship Id="rId2903" Type="http://schemas.openxmlformats.org/officeDocument/2006/relationships/hyperlink" Target="http://ufcstats.com/fight-details/43313a340ff0d2b5" TargetMode="External"/><Relationship Id="rId1505" Type="http://schemas.openxmlformats.org/officeDocument/2006/relationships/hyperlink" Target="http://ufcstats.com/fight-details/d7c7b312279104d2" TargetMode="External"/><Relationship Id="rId1712" Type="http://schemas.openxmlformats.org/officeDocument/2006/relationships/hyperlink" Target="http://ufcstats.com/fight-details/aeb3e4d9710207a4" TargetMode="External"/><Relationship Id="rId3677" Type="http://schemas.openxmlformats.org/officeDocument/2006/relationships/hyperlink" Target="http://ufcstats.com/fight-details/4096b302747d47b3" TargetMode="External"/><Relationship Id="rId3884" Type="http://schemas.openxmlformats.org/officeDocument/2006/relationships/hyperlink" Target="http://ufcstats.com/fight-details/1f5178fe56c5423f" TargetMode="External"/><Relationship Id="rId598" Type="http://schemas.openxmlformats.org/officeDocument/2006/relationships/hyperlink" Target="http://ufcstats.com/fight-details/7be3e513a31f6570" TargetMode="External"/><Relationship Id="rId2279" Type="http://schemas.openxmlformats.org/officeDocument/2006/relationships/hyperlink" Target="http://ufcstats.com/fight-details/e240d6f77747ec46" TargetMode="External"/><Relationship Id="rId2486" Type="http://schemas.openxmlformats.org/officeDocument/2006/relationships/hyperlink" Target="http://ufcstats.com/fight-details/dad034faf3d62cb9" TargetMode="External"/><Relationship Id="rId2693" Type="http://schemas.openxmlformats.org/officeDocument/2006/relationships/hyperlink" Target="http://ufcstats.com/fight-details/b65d0243d397802c" TargetMode="External"/><Relationship Id="rId3537" Type="http://schemas.openxmlformats.org/officeDocument/2006/relationships/hyperlink" Target="http://ufcstats.com/fight-details/ee31f081cf576273" TargetMode="External"/><Relationship Id="rId3744" Type="http://schemas.openxmlformats.org/officeDocument/2006/relationships/hyperlink" Target="http://ufcstats.com/fight-details/507080ccded73591" TargetMode="External"/><Relationship Id="rId3951" Type="http://schemas.openxmlformats.org/officeDocument/2006/relationships/hyperlink" Target="http://ufcstats.com/fight-details/a716172939767cab" TargetMode="External"/><Relationship Id="rId458" Type="http://schemas.openxmlformats.org/officeDocument/2006/relationships/hyperlink" Target="http://ufcstats.com/fight-details/c1aef0f60a5b62e3" TargetMode="External"/><Relationship Id="rId665" Type="http://schemas.openxmlformats.org/officeDocument/2006/relationships/hyperlink" Target="http://ufcstats.com/fight-details/6ba9f6a7a9361354" TargetMode="External"/><Relationship Id="rId872" Type="http://schemas.openxmlformats.org/officeDocument/2006/relationships/hyperlink" Target="http://ufcstats.com/fight-details/6671b567c4eb9982" TargetMode="External"/><Relationship Id="rId1088" Type="http://schemas.openxmlformats.org/officeDocument/2006/relationships/hyperlink" Target="http://ufcstats.com/fight-details/eb096b0196a7ff65" TargetMode="External"/><Relationship Id="rId1295" Type="http://schemas.openxmlformats.org/officeDocument/2006/relationships/hyperlink" Target="http://ufcstats.com/fight-details/ff6c8dab41efcc09" TargetMode="External"/><Relationship Id="rId2139" Type="http://schemas.openxmlformats.org/officeDocument/2006/relationships/hyperlink" Target="http://ufcstats.com/fight-details/144b0c1dd6c909f3" TargetMode="External"/><Relationship Id="rId2346" Type="http://schemas.openxmlformats.org/officeDocument/2006/relationships/hyperlink" Target="http://ufcstats.com/fight-details/dc7ba55ca764cfbe" TargetMode="External"/><Relationship Id="rId2553" Type="http://schemas.openxmlformats.org/officeDocument/2006/relationships/hyperlink" Target="http://ufcstats.com/fight-details/7d679c16024f6f38" TargetMode="External"/><Relationship Id="rId2760" Type="http://schemas.openxmlformats.org/officeDocument/2006/relationships/hyperlink" Target="http://ufcstats.com/fight-details/775c1f401815bbd8" TargetMode="External"/><Relationship Id="rId3604" Type="http://schemas.openxmlformats.org/officeDocument/2006/relationships/hyperlink" Target="http://ufcstats.com/fight-details/43b43c5d439b2f98" TargetMode="External"/><Relationship Id="rId3811" Type="http://schemas.openxmlformats.org/officeDocument/2006/relationships/hyperlink" Target="http://ufcstats.com/fight-details/8801fbb87bdedbe3" TargetMode="External"/><Relationship Id="rId318" Type="http://schemas.openxmlformats.org/officeDocument/2006/relationships/hyperlink" Target="http://ufcstats.com/fight-details/576b795e33ddd62d" TargetMode="External"/><Relationship Id="rId525" Type="http://schemas.openxmlformats.org/officeDocument/2006/relationships/hyperlink" Target="http://ufcstats.com/fight-details/9c22ddb8d8fc1838" TargetMode="External"/><Relationship Id="rId732" Type="http://schemas.openxmlformats.org/officeDocument/2006/relationships/hyperlink" Target="http://ufcstats.com/fight-details/94c7e64ce88c9b9e" TargetMode="External"/><Relationship Id="rId1155" Type="http://schemas.openxmlformats.org/officeDocument/2006/relationships/hyperlink" Target="http://ufcstats.com/fight-details/de4c4997f1429dd1" TargetMode="External"/><Relationship Id="rId1362" Type="http://schemas.openxmlformats.org/officeDocument/2006/relationships/hyperlink" Target="http://ufcstats.com/fight-details/4b0aa5c67e69ce74" TargetMode="External"/><Relationship Id="rId2206" Type="http://schemas.openxmlformats.org/officeDocument/2006/relationships/hyperlink" Target="http://ufcstats.com/fight-details/9e21a8dea9663e26" TargetMode="External"/><Relationship Id="rId2413" Type="http://schemas.openxmlformats.org/officeDocument/2006/relationships/hyperlink" Target="http://ufcstats.com/fight-details/12740c6b17779fe9" TargetMode="External"/><Relationship Id="rId2620" Type="http://schemas.openxmlformats.org/officeDocument/2006/relationships/hyperlink" Target="http://ufcstats.com/fight-details/00fbeda449926c13" TargetMode="External"/><Relationship Id="rId1015" Type="http://schemas.openxmlformats.org/officeDocument/2006/relationships/hyperlink" Target="http://ufcstats.com/fight-details/6163c18411aca830" TargetMode="External"/><Relationship Id="rId1222" Type="http://schemas.openxmlformats.org/officeDocument/2006/relationships/hyperlink" Target="http://ufcstats.com/fight-details/6b5c225814a924ed" TargetMode="External"/><Relationship Id="rId4378" Type="http://schemas.openxmlformats.org/officeDocument/2006/relationships/hyperlink" Target="http://ufcstats.com/fight-details/c5e71fbf22f669f7" TargetMode="External"/><Relationship Id="rId3187" Type="http://schemas.openxmlformats.org/officeDocument/2006/relationships/hyperlink" Target="http://ufcstats.com/fight-details/06c124a55f77a7a5" TargetMode="External"/><Relationship Id="rId3394" Type="http://schemas.openxmlformats.org/officeDocument/2006/relationships/hyperlink" Target="http://ufcstats.com/fight-details/418a7100e490e791" TargetMode="External"/><Relationship Id="rId4238" Type="http://schemas.openxmlformats.org/officeDocument/2006/relationships/hyperlink" Target="http://ufcstats.com/fight-details/c84a29f426f1aab7" TargetMode="External"/><Relationship Id="rId3047" Type="http://schemas.openxmlformats.org/officeDocument/2006/relationships/hyperlink" Target="http://ufcstats.com/fight-details/fccedc456048216b" TargetMode="External"/><Relationship Id="rId4445" Type="http://schemas.openxmlformats.org/officeDocument/2006/relationships/hyperlink" Target="http://ufcstats.com/fight-details/79f03eca3fe5cdb3" TargetMode="External"/><Relationship Id="rId175" Type="http://schemas.openxmlformats.org/officeDocument/2006/relationships/hyperlink" Target="http://ufcstats.com/fight-details/069e3e704cbf6337" TargetMode="External"/><Relationship Id="rId3254" Type="http://schemas.openxmlformats.org/officeDocument/2006/relationships/hyperlink" Target="http://ufcstats.com/fight-details/caef4f8801f39345" TargetMode="External"/><Relationship Id="rId3461" Type="http://schemas.openxmlformats.org/officeDocument/2006/relationships/hyperlink" Target="http://ufcstats.com/fight-details/465707233fa9cf7c" TargetMode="External"/><Relationship Id="rId4305" Type="http://schemas.openxmlformats.org/officeDocument/2006/relationships/hyperlink" Target="http://ufcstats.com/fight-details/f08ccad48500eb2b" TargetMode="External"/><Relationship Id="rId382" Type="http://schemas.openxmlformats.org/officeDocument/2006/relationships/hyperlink" Target="http://ufcstats.com/fight-details/8ce926b4d38a55a0" TargetMode="External"/><Relationship Id="rId2063" Type="http://schemas.openxmlformats.org/officeDocument/2006/relationships/hyperlink" Target="http://ufcstats.com/fight-details/25e1d17d072227c6" TargetMode="External"/><Relationship Id="rId2270" Type="http://schemas.openxmlformats.org/officeDocument/2006/relationships/hyperlink" Target="http://ufcstats.com/fight-details/03eecf1926d9c77c" TargetMode="External"/><Relationship Id="rId3114" Type="http://schemas.openxmlformats.org/officeDocument/2006/relationships/hyperlink" Target="http://ufcstats.com/fight-details/b80ef7cdc36ab48b" TargetMode="External"/><Relationship Id="rId3321" Type="http://schemas.openxmlformats.org/officeDocument/2006/relationships/hyperlink" Target="http://ufcstats.com/fight-details/8cf076524cad5a55" TargetMode="External"/><Relationship Id="rId242" Type="http://schemas.openxmlformats.org/officeDocument/2006/relationships/hyperlink" Target="http://ufcstats.com/fight-details/dfbb110855354039" TargetMode="External"/><Relationship Id="rId2130" Type="http://schemas.openxmlformats.org/officeDocument/2006/relationships/hyperlink" Target="http://ufcstats.com/fight-details/8b983e834df0c6c4" TargetMode="External"/><Relationship Id="rId102" Type="http://schemas.openxmlformats.org/officeDocument/2006/relationships/hyperlink" Target="http://ufcstats.com/fight-details/31cb98ce37fd87dd" TargetMode="External"/><Relationship Id="rId1689" Type="http://schemas.openxmlformats.org/officeDocument/2006/relationships/hyperlink" Target="http://ufcstats.com/fight-details/b3847772199e2639" TargetMode="External"/><Relationship Id="rId4095" Type="http://schemas.openxmlformats.org/officeDocument/2006/relationships/hyperlink" Target="http://ufcstats.com/fight-details/b695fc80bd538172" TargetMode="External"/><Relationship Id="rId1896" Type="http://schemas.openxmlformats.org/officeDocument/2006/relationships/hyperlink" Target="http://ufcstats.com/fight-details/41385f4e63682b5b" TargetMode="External"/><Relationship Id="rId2947" Type="http://schemas.openxmlformats.org/officeDocument/2006/relationships/hyperlink" Target="http://ufcstats.com/fight-details/6a7db3750822d7be" TargetMode="External"/><Relationship Id="rId4162" Type="http://schemas.openxmlformats.org/officeDocument/2006/relationships/hyperlink" Target="http://ufcstats.com/fight-details/93da91272d4a7ce3" TargetMode="External"/><Relationship Id="rId919" Type="http://schemas.openxmlformats.org/officeDocument/2006/relationships/hyperlink" Target="http://ufcstats.com/fight-details/db1be0ca226d3a2f" TargetMode="External"/><Relationship Id="rId1549" Type="http://schemas.openxmlformats.org/officeDocument/2006/relationships/hyperlink" Target="http://ufcstats.com/fight-details/34c39a5a5917e0ec" TargetMode="External"/><Relationship Id="rId1756" Type="http://schemas.openxmlformats.org/officeDocument/2006/relationships/hyperlink" Target="http://ufcstats.com/fight-details/04970dfa4d531e39" TargetMode="External"/><Relationship Id="rId1963" Type="http://schemas.openxmlformats.org/officeDocument/2006/relationships/hyperlink" Target="http://ufcstats.com/fight-details/681cd3cc6299d652" TargetMode="External"/><Relationship Id="rId2807" Type="http://schemas.openxmlformats.org/officeDocument/2006/relationships/hyperlink" Target="http://ufcstats.com/fight-details/6712440cd01dffdb" TargetMode="External"/><Relationship Id="rId4022" Type="http://schemas.openxmlformats.org/officeDocument/2006/relationships/hyperlink" Target="http://ufcstats.com/fight-details/751cf3d52fce1d1f" TargetMode="External"/><Relationship Id="rId48" Type="http://schemas.openxmlformats.org/officeDocument/2006/relationships/hyperlink" Target="http://ufcstats.com/fight-details/2d4743a82fc55642" TargetMode="External"/><Relationship Id="rId1409" Type="http://schemas.openxmlformats.org/officeDocument/2006/relationships/hyperlink" Target="http://ufcstats.com/fight-details/9dfac33cd3ae4afd" TargetMode="External"/><Relationship Id="rId1616" Type="http://schemas.openxmlformats.org/officeDocument/2006/relationships/hyperlink" Target="http://ufcstats.com/fight-details/9127a6430e46292c" TargetMode="External"/><Relationship Id="rId1823" Type="http://schemas.openxmlformats.org/officeDocument/2006/relationships/hyperlink" Target="http://ufcstats.com/fight-details/923d5041c3b6d763" TargetMode="External"/><Relationship Id="rId3788" Type="http://schemas.openxmlformats.org/officeDocument/2006/relationships/hyperlink" Target="http://ufcstats.com/fight-details/3c98739eb42f96bf" TargetMode="External"/><Relationship Id="rId3995" Type="http://schemas.openxmlformats.org/officeDocument/2006/relationships/hyperlink" Target="http://ufcstats.com/fight-details/81cbb709dedc914d" TargetMode="External"/><Relationship Id="rId2597" Type="http://schemas.openxmlformats.org/officeDocument/2006/relationships/hyperlink" Target="http://ufcstats.com/fight-details/20f316f96c9e4458" TargetMode="External"/><Relationship Id="rId3648" Type="http://schemas.openxmlformats.org/officeDocument/2006/relationships/hyperlink" Target="http://ufcstats.com/fight-details/b125025990755616" TargetMode="External"/><Relationship Id="rId3855" Type="http://schemas.openxmlformats.org/officeDocument/2006/relationships/hyperlink" Target="http://ufcstats.com/fight-details/34d38d77c1d3f00e" TargetMode="External"/><Relationship Id="rId569" Type="http://schemas.openxmlformats.org/officeDocument/2006/relationships/hyperlink" Target="http://ufcstats.com/fight-details/42afd8c4fc85f485" TargetMode="External"/><Relationship Id="rId776" Type="http://schemas.openxmlformats.org/officeDocument/2006/relationships/hyperlink" Target="http://ufcstats.com/fight-details/c1322d09e8b6efca" TargetMode="External"/><Relationship Id="rId983" Type="http://schemas.openxmlformats.org/officeDocument/2006/relationships/hyperlink" Target="http://ufcstats.com/fight-details/3b05a4ced6dd74f5" TargetMode="External"/><Relationship Id="rId1199" Type="http://schemas.openxmlformats.org/officeDocument/2006/relationships/hyperlink" Target="http://ufcstats.com/fight-details/80ac36a9dbc4b1a1" TargetMode="External"/><Relationship Id="rId2457" Type="http://schemas.openxmlformats.org/officeDocument/2006/relationships/hyperlink" Target="http://ufcstats.com/fight-details/de332779baa1b103" TargetMode="External"/><Relationship Id="rId2664" Type="http://schemas.openxmlformats.org/officeDocument/2006/relationships/hyperlink" Target="http://ufcstats.com/fight-details/3b03f8d3a55f3cb2" TargetMode="External"/><Relationship Id="rId3508" Type="http://schemas.openxmlformats.org/officeDocument/2006/relationships/hyperlink" Target="http://ufcstats.com/fight-details/eed6c9aff2234b7a" TargetMode="External"/><Relationship Id="rId429" Type="http://schemas.openxmlformats.org/officeDocument/2006/relationships/hyperlink" Target="http://ufcstats.com/fight-details/4804776154430aad" TargetMode="External"/><Relationship Id="rId636" Type="http://schemas.openxmlformats.org/officeDocument/2006/relationships/hyperlink" Target="http://ufcstats.com/fight-details/827aacd14f80e8f3" TargetMode="External"/><Relationship Id="rId1059" Type="http://schemas.openxmlformats.org/officeDocument/2006/relationships/hyperlink" Target="http://ufcstats.com/fight-details/410e65e4d1782bfc" TargetMode="External"/><Relationship Id="rId1266" Type="http://schemas.openxmlformats.org/officeDocument/2006/relationships/hyperlink" Target="http://ufcstats.com/fight-details/7b80dd233e200dd2" TargetMode="External"/><Relationship Id="rId1473" Type="http://schemas.openxmlformats.org/officeDocument/2006/relationships/hyperlink" Target="http://ufcstats.com/fight-details/3f7684492c9df05e" TargetMode="External"/><Relationship Id="rId2317" Type="http://schemas.openxmlformats.org/officeDocument/2006/relationships/hyperlink" Target="http://ufcstats.com/fight-details/59363451049c929d" TargetMode="External"/><Relationship Id="rId2871" Type="http://schemas.openxmlformats.org/officeDocument/2006/relationships/hyperlink" Target="http://ufcstats.com/fight-details/095a351dd6f09f7e" TargetMode="External"/><Relationship Id="rId3715" Type="http://schemas.openxmlformats.org/officeDocument/2006/relationships/hyperlink" Target="http://ufcstats.com/fight-details/26e6a2705a1e9e72" TargetMode="External"/><Relationship Id="rId3922" Type="http://schemas.openxmlformats.org/officeDocument/2006/relationships/hyperlink" Target="http://ufcstats.com/fight-details/c4eaeec8ac778b27" TargetMode="External"/><Relationship Id="rId843" Type="http://schemas.openxmlformats.org/officeDocument/2006/relationships/hyperlink" Target="http://ufcstats.com/fight-details/7503d5c892f238fb" TargetMode="External"/><Relationship Id="rId1126" Type="http://schemas.openxmlformats.org/officeDocument/2006/relationships/hyperlink" Target="http://ufcstats.com/fight-details/486fbba33876da4b" TargetMode="External"/><Relationship Id="rId1680" Type="http://schemas.openxmlformats.org/officeDocument/2006/relationships/hyperlink" Target="http://ufcstats.com/fight-details/4507354cd97f10e5" TargetMode="External"/><Relationship Id="rId2524" Type="http://schemas.openxmlformats.org/officeDocument/2006/relationships/hyperlink" Target="http://ufcstats.com/fight-details/415ea2520b7ba720" TargetMode="External"/><Relationship Id="rId2731" Type="http://schemas.openxmlformats.org/officeDocument/2006/relationships/hyperlink" Target="http://ufcstats.com/fight-details/97febb293c99e5a8" TargetMode="External"/><Relationship Id="rId703" Type="http://schemas.openxmlformats.org/officeDocument/2006/relationships/hyperlink" Target="http://ufcstats.com/fight-details/bac3ac8d7330d05d" TargetMode="External"/><Relationship Id="rId910" Type="http://schemas.openxmlformats.org/officeDocument/2006/relationships/hyperlink" Target="http://ufcstats.com/fight-details/5136dc566f46daf6" TargetMode="External"/><Relationship Id="rId1333" Type="http://schemas.openxmlformats.org/officeDocument/2006/relationships/hyperlink" Target="http://ufcstats.com/fight-details/bef2a2e68fb4dfa8" TargetMode="External"/><Relationship Id="rId1540" Type="http://schemas.openxmlformats.org/officeDocument/2006/relationships/hyperlink" Target="http://ufcstats.com/fight-details/eebb4dde70a67369" TargetMode="External"/><Relationship Id="rId1400" Type="http://schemas.openxmlformats.org/officeDocument/2006/relationships/hyperlink" Target="http://ufcstats.com/fight-details/a45596cda51a1816" TargetMode="External"/><Relationship Id="rId3298" Type="http://schemas.openxmlformats.org/officeDocument/2006/relationships/hyperlink" Target="http://ufcstats.com/fight-details/5ba543efdce072f5" TargetMode="External"/><Relationship Id="rId4349" Type="http://schemas.openxmlformats.org/officeDocument/2006/relationships/hyperlink" Target="http://ufcstats.com/fight-details/4c05732d411d6412" TargetMode="External"/><Relationship Id="rId3158" Type="http://schemas.openxmlformats.org/officeDocument/2006/relationships/hyperlink" Target="http://ufcstats.com/fight-details/a69afe4a88c0ca12" TargetMode="External"/><Relationship Id="rId3365" Type="http://schemas.openxmlformats.org/officeDocument/2006/relationships/hyperlink" Target="http://ufcstats.com/fight-details/f4bd11655adeb078" TargetMode="External"/><Relationship Id="rId3572" Type="http://schemas.openxmlformats.org/officeDocument/2006/relationships/hyperlink" Target="http://ufcstats.com/fight-details/6eb4b84c4b10854a" TargetMode="External"/><Relationship Id="rId4209" Type="http://schemas.openxmlformats.org/officeDocument/2006/relationships/hyperlink" Target="http://ufcstats.com/fight-details/5b5d7f7ae712c6d8" TargetMode="External"/><Relationship Id="rId4416" Type="http://schemas.openxmlformats.org/officeDocument/2006/relationships/hyperlink" Target="http://ufcstats.com/fight-details/32b030138bfd4f88" TargetMode="External"/><Relationship Id="rId286" Type="http://schemas.openxmlformats.org/officeDocument/2006/relationships/hyperlink" Target="http://ufcstats.com/fight-details/8167bd097a16062f" TargetMode="External"/><Relationship Id="rId493" Type="http://schemas.openxmlformats.org/officeDocument/2006/relationships/hyperlink" Target="http://ufcstats.com/fight-details/781b4b6951df64fe" TargetMode="External"/><Relationship Id="rId2174" Type="http://schemas.openxmlformats.org/officeDocument/2006/relationships/hyperlink" Target="http://ufcstats.com/fight-details/961246a6d621ef40" TargetMode="External"/><Relationship Id="rId2381" Type="http://schemas.openxmlformats.org/officeDocument/2006/relationships/hyperlink" Target="http://ufcstats.com/fight-details/1cbb930fb77a3781" TargetMode="External"/><Relationship Id="rId3018" Type="http://schemas.openxmlformats.org/officeDocument/2006/relationships/hyperlink" Target="http://ufcstats.com/fight-details/bec3154a11df3299" TargetMode="External"/><Relationship Id="rId3225" Type="http://schemas.openxmlformats.org/officeDocument/2006/relationships/hyperlink" Target="http://ufcstats.com/fight-details/7c13de66ce543d84" TargetMode="External"/><Relationship Id="rId3432" Type="http://schemas.openxmlformats.org/officeDocument/2006/relationships/hyperlink" Target="http://ufcstats.com/fight-details/473b9b56cdaedba3" TargetMode="External"/><Relationship Id="rId146" Type="http://schemas.openxmlformats.org/officeDocument/2006/relationships/hyperlink" Target="http://ufcstats.com/fight-details/b5f70d0c88f12645" TargetMode="External"/><Relationship Id="rId353" Type="http://schemas.openxmlformats.org/officeDocument/2006/relationships/hyperlink" Target="http://ufcstats.com/fight-details/55231cc4112334b4" TargetMode="External"/><Relationship Id="rId560" Type="http://schemas.openxmlformats.org/officeDocument/2006/relationships/hyperlink" Target="http://ufcstats.com/fight-details/27901ef9e82d5690" TargetMode="External"/><Relationship Id="rId1190" Type="http://schemas.openxmlformats.org/officeDocument/2006/relationships/hyperlink" Target="http://ufcstats.com/fight-details/2dfa31667cee74c3" TargetMode="External"/><Relationship Id="rId2034" Type="http://schemas.openxmlformats.org/officeDocument/2006/relationships/hyperlink" Target="http://ufcstats.com/fight-details/9f4d6d192ab4a027" TargetMode="External"/><Relationship Id="rId2241" Type="http://schemas.openxmlformats.org/officeDocument/2006/relationships/hyperlink" Target="http://ufcstats.com/fight-details/071d488ec8ccf254" TargetMode="External"/><Relationship Id="rId213" Type="http://schemas.openxmlformats.org/officeDocument/2006/relationships/hyperlink" Target="http://ufcstats.com/fight-details/b121f30d7fc9ea6c" TargetMode="External"/><Relationship Id="rId420" Type="http://schemas.openxmlformats.org/officeDocument/2006/relationships/hyperlink" Target="http://ufcstats.com/fight-details/a19d619f1b9bee7b" TargetMode="External"/><Relationship Id="rId1050" Type="http://schemas.openxmlformats.org/officeDocument/2006/relationships/hyperlink" Target="http://ufcstats.com/fight-details/947ea1122c04ba18" TargetMode="External"/><Relationship Id="rId2101" Type="http://schemas.openxmlformats.org/officeDocument/2006/relationships/hyperlink" Target="http://ufcstats.com/fight-details/6ae96d1de3bb0506" TargetMode="External"/><Relationship Id="rId4066" Type="http://schemas.openxmlformats.org/officeDocument/2006/relationships/hyperlink" Target="http://ufcstats.com/fight-details/c4ea3f6fae702459" TargetMode="External"/><Relationship Id="rId1867" Type="http://schemas.openxmlformats.org/officeDocument/2006/relationships/hyperlink" Target="http://ufcstats.com/fight-details/af8ea6db042674ef" TargetMode="External"/><Relationship Id="rId2918" Type="http://schemas.openxmlformats.org/officeDocument/2006/relationships/hyperlink" Target="http://ufcstats.com/fight-details/f4717203e762d780" TargetMode="External"/><Relationship Id="rId4273" Type="http://schemas.openxmlformats.org/officeDocument/2006/relationships/hyperlink" Target="http://ufcstats.com/fight-details/8dd086e2e70144fd" TargetMode="External"/><Relationship Id="rId1727" Type="http://schemas.openxmlformats.org/officeDocument/2006/relationships/hyperlink" Target="http://ufcstats.com/fight-details/783761d95060ffc4" TargetMode="External"/><Relationship Id="rId1934" Type="http://schemas.openxmlformats.org/officeDocument/2006/relationships/hyperlink" Target="http://ufcstats.com/fight-details/97b7638c592a95a9" TargetMode="External"/><Relationship Id="rId3082" Type="http://schemas.openxmlformats.org/officeDocument/2006/relationships/hyperlink" Target="http://ufcstats.com/fight-details/919fb76d2f3e5827" TargetMode="External"/><Relationship Id="rId4133" Type="http://schemas.openxmlformats.org/officeDocument/2006/relationships/hyperlink" Target="http://ufcstats.com/fight-details/ae38fb2a6b6a0cc1" TargetMode="External"/><Relationship Id="rId4340" Type="http://schemas.openxmlformats.org/officeDocument/2006/relationships/hyperlink" Target="http://ufcstats.com/fight-details/2fd43be584ef522b" TargetMode="External"/><Relationship Id="rId19" Type="http://schemas.openxmlformats.org/officeDocument/2006/relationships/hyperlink" Target="http://ufcstats.com/fight-details/be4890f4aaadec28" TargetMode="External"/><Relationship Id="rId3899" Type="http://schemas.openxmlformats.org/officeDocument/2006/relationships/hyperlink" Target="http://ufcstats.com/fight-details/9ebfd601c43b89b3" TargetMode="External"/><Relationship Id="rId4200" Type="http://schemas.openxmlformats.org/officeDocument/2006/relationships/hyperlink" Target="http://ufcstats.com/fight-details/a7492cbfb9b5d4a3" TargetMode="External"/><Relationship Id="rId3759" Type="http://schemas.openxmlformats.org/officeDocument/2006/relationships/hyperlink" Target="http://ufcstats.com/fight-details/435ba9b407b844ef" TargetMode="External"/><Relationship Id="rId3966" Type="http://schemas.openxmlformats.org/officeDocument/2006/relationships/hyperlink" Target="http://ufcstats.com/fight-details/fc4939b3c9071e66" TargetMode="External"/><Relationship Id="rId3" Type="http://schemas.openxmlformats.org/officeDocument/2006/relationships/hyperlink" Target="http://ufcstats.com/fight-details/0eb16f1307f66a11" TargetMode="External"/><Relationship Id="rId887" Type="http://schemas.openxmlformats.org/officeDocument/2006/relationships/hyperlink" Target="http://ufcstats.com/fight-details/4f722e80eadb6d2f" TargetMode="External"/><Relationship Id="rId2568" Type="http://schemas.openxmlformats.org/officeDocument/2006/relationships/hyperlink" Target="http://ufcstats.com/fight-details/c39da8538d9c0321" TargetMode="External"/><Relationship Id="rId2775" Type="http://schemas.openxmlformats.org/officeDocument/2006/relationships/hyperlink" Target="http://ufcstats.com/fight-details/5095f6290670009d" TargetMode="External"/><Relationship Id="rId2982" Type="http://schemas.openxmlformats.org/officeDocument/2006/relationships/hyperlink" Target="http://ufcstats.com/fight-details/d671f436fab2a252" TargetMode="External"/><Relationship Id="rId3619" Type="http://schemas.openxmlformats.org/officeDocument/2006/relationships/hyperlink" Target="http://ufcstats.com/fight-details/781f9a642e7a9278" TargetMode="External"/><Relationship Id="rId3826" Type="http://schemas.openxmlformats.org/officeDocument/2006/relationships/hyperlink" Target="http://ufcstats.com/fight-details/2464a75ee75dbf2f" TargetMode="External"/><Relationship Id="rId747" Type="http://schemas.openxmlformats.org/officeDocument/2006/relationships/hyperlink" Target="http://ufcstats.com/fight-details/4f60a7e7b848bc6d" TargetMode="External"/><Relationship Id="rId954" Type="http://schemas.openxmlformats.org/officeDocument/2006/relationships/hyperlink" Target="http://ufcstats.com/fight-details/23253ebb1d86d8b4" TargetMode="External"/><Relationship Id="rId1377" Type="http://schemas.openxmlformats.org/officeDocument/2006/relationships/hyperlink" Target="http://ufcstats.com/fight-details/83f7c3b91a402306" TargetMode="External"/><Relationship Id="rId1584" Type="http://schemas.openxmlformats.org/officeDocument/2006/relationships/hyperlink" Target="http://ufcstats.com/fight-details/194d73490eb731c6" TargetMode="External"/><Relationship Id="rId1791" Type="http://schemas.openxmlformats.org/officeDocument/2006/relationships/hyperlink" Target="http://ufcstats.com/fight-details/d170f6580e1c244f" TargetMode="External"/><Relationship Id="rId2428" Type="http://schemas.openxmlformats.org/officeDocument/2006/relationships/hyperlink" Target="http://ufcstats.com/fight-details/5be63144ac46f97e" TargetMode="External"/><Relationship Id="rId2635" Type="http://schemas.openxmlformats.org/officeDocument/2006/relationships/hyperlink" Target="http://ufcstats.com/fight-details/0a7517a16d2d9db6" TargetMode="External"/><Relationship Id="rId2842" Type="http://schemas.openxmlformats.org/officeDocument/2006/relationships/hyperlink" Target="http://ufcstats.com/fight-details/959de17703476f44" TargetMode="External"/><Relationship Id="rId83" Type="http://schemas.openxmlformats.org/officeDocument/2006/relationships/hyperlink" Target="http://ufcstats.com/fight-details/b78545b32a97ac44" TargetMode="External"/><Relationship Id="rId607" Type="http://schemas.openxmlformats.org/officeDocument/2006/relationships/hyperlink" Target="http://ufcstats.com/fight-details/0e6d624086f7952e" TargetMode="External"/><Relationship Id="rId814" Type="http://schemas.openxmlformats.org/officeDocument/2006/relationships/hyperlink" Target="http://ufcstats.com/fight-details/05e2832cd5ffb7a6" TargetMode="External"/><Relationship Id="rId1237" Type="http://schemas.openxmlformats.org/officeDocument/2006/relationships/hyperlink" Target="http://ufcstats.com/fight-details/98094a500529d442" TargetMode="External"/><Relationship Id="rId1444" Type="http://schemas.openxmlformats.org/officeDocument/2006/relationships/hyperlink" Target="http://ufcstats.com/fight-details/50f2539c73b98eec" TargetMode="External"/><Relationship Id="rId1651" Type="http://schemas.openxmlformats.org/officeDocument/2006/relationships/hyperlink" Target="http://ufcstats.com/fight-details/7f3bd3b913df61f4" TargetMode="External"/><Relationship Id="rId2702" Type="http://schemas.openxmlformats.org/officeDocument/2006/relationships/hyperlink" Target="http://ufcstats.com/fight-details/00dcad4611fc63fe" TargetMode="External"/><Relationship Id="rId1304" Type="http://schemas.openxmlformats.org/officeDocument/2006/relationships/hyperlink" Target="http://ufcstats.com/fight-details/3f71ac21472f994c" TargetMode="External"/><Relationship Id="rId1511" Type="http://schemas.openxmlformats.org/officeDocument/2006/relationships/hyperlink" Target="http://ufcstats.com/fight-details/cd96998e837b0da1" TargetMode="External"/><Relationship Id="rId3269" Type="http://schemas.openxmlformats.org/officeDocument/2006/relationships/hyperlink" Target="http://ufcstats.com/fight-details/eb76a5b76a68e4c4" TargetMode="External"/><Relationship Id="rId3476" Type="http://schemas.openxmlformats.org/officeDocument/2006/relationships/hyperlink" Target="http://ufcstats.com/fight-details/979269d4ab5784af" TargetMode="External"/><Relationship Id="rId3683" Type="http://schemas.openxmlformats.org/officeDocument/2006/relationships/hyperlink" Target="http://ufcstats.com/fight-details/2b038a467a89c73c" TargetMode="External"/><Relationship Id="rId10" Type="http://schemas.openxmlformats.org/officeDocument/2006/relationships/hyperlink" Target="http://ufcstats.com/fight-details/ed64e42263bf50bf" TargetMode="External"/><Relationship Id="rId397" Type="http://schemas.openxmlformats.org/officeDocument/2006/relationships/hyperlink" Target="http://ufcstats.com/fight-details/0d698108c5f5d1d6" TargetMode="External"/><Relationship Id="rId2078" Type="http://schemas.openxmlformats.org/officeDocument/2006/relationships/hyperlink" Target="http://ufcstats.com/fight-details/44ab00737c3fb890" TargetMode="External"/><Relationship Id="rId2285" Type="http://schemas.openxmlformats.org/officeDocument/2006/relationships/hyperlink" Target="http://ufcstats.com/fight-details/84d89d2f36d07dc0" TargetMode="External"/><Relationship Id="rId2492" Type="http://schemas.openxmlformats.org/officeDocument/2006/relationships/hyperlink" Target="http://ufcstats.com/fight-details/3d76ed7e224e9c99" TargetMode="External"/><Relationship Id="rId3129" Type="http://schemas.openxmlformats.org/officeDocument/2006/relationships/hyperlink" Target="http://ufcstats.com/fight-details/faf15b752fb8924c" TargetMode="External"/><Relationship Id="rId3336" Type="http://schemas.openxmlformats.org/officeDocument/2006/relationships/hyperlink" Target="http://ufcstats.com/fight-details/6f1892ed71d943d7" TargetMode="External"/><Relationship Id="rId3890" Type="http://schemas.openxmlformats.org/officeDocument/2006/relationships/hyperlink" Target="http://ufcstats.com/fight-details/b3096e8dd4e90718" TargetMode="External"/><Relationship Id="rId257" Type="http://schemas.openxmlformats.org/officeDocument/2006/relationships/hyperlink" Target="http://ufcstats.com/fight-details/43d7d4b67be48553" TargetMode="External"/><Relationship Id="rId464" Type="http://schemas.openxmlformats.org/officeDocument/2006/relationships/hyperlink" Target="http://ufcstats.com/fight-details/2a48d0a98c21e736" TargetMode="External"/><Relationship Id="rId1094" Type="http://schemas.openxmlformats.org/officeDocument/2006/relationships/hyperlink" Target="http://ufcstats.com/fight-details/49b47b5b5f15c7c0" TargetMode="External"/><Relationship Id="rId2145" Type="http://schemas.openxmlformats.org/officeDocument/2006/relationships/hyperlink" Target="http://ufcstats.com/fight-details/5b6451f3f83c719c" TargetMode="External"/><Relationship Id="rId3543" Type="http://schemas.openxmlformats.org/officeDocument/2006/relationships/hyperlink" Target="http://ufcstats.com/fight-details/5cee1d8f1e43d6f5" TargetMode="External"/><Relationship Id="rId3750" Type="http://schemas.openxmlformats.org/officeDocument/2006/relationships/hyperlink" Target="http://ufcstats.com/fight-details/3209bcfaf95de90b" TargetMode="External"/><Relationship Id="rId117" Type="http://schemas.openxmlformats.org/officeDocument/2006/relationships/hyperlink" Target="http://ufcstats.com/fight-details/313c36ce9bde6cf6" TargetMode="External"/><Relationship Id="rId671" Type="http://schemas.openxmlformats.org/officeDocument/2006/relationships/hyperlink" Target="http://ufcstats.com/fight-details/4f99b4a39925cb47" TargetMode="External"/><Relationship Id="rId2352" Type="http://schemas.openxmlformats.org/officeDocument/2006/relationships/hyperlink" Target="http://ufcstats.com/fight-details/3dd0951b8855137d" TargetMode="External"/><Relationship Id="rId3403" Type="http://schemas.openxmlformats.org/officeDocument/2006/relationships/hyperlink" Target="http://ufcstats.com/fight-details/d3c78cc516417797" TargetMode="External"/><Relationship Id="rId3610" Type="http://schemas.openxmlformats.org/officeDocument/2006/relationships/hyperlink" Target="http://ufcstats.com/fight-details/80e68a6453e15ab9" TargetMode="External"/><Relationship Id="rId324" Type="http://schemas.openxmlformats.org/officeDocument/2006/relationships/hyperlink" Target="http://ufcstats.com/fight-details/0d6d212fcdf47f2e" TargetMode="External"/><Relationship Id="rId531" Type="http://schemas.openxmlformats.org/officeDocument/2006/relationships/hyperlink" Target="http://ufcstats.com/fight-details/a941c4e25ddddfff" TargetMode="External"/><Relationship Id="rId1161" Type="http://schemas.openxmlformats.org/officeDocument/2006/relationships/hyperlink" Target="http://ufcstats.com/fight-details/85c5dd604d5b3634" TargetMode="External"/><Relationship Id="rId2005" Type="http://schemas.openxmlformats.org/officeDocument/2006/relationships/hyperlink" Target="http://ufcstats.com/fight-details/a1029686c3f1bead" TargetMode="External"/><Relationship Id="rId2212" Type="http://schemas.openxmlformats.org/officeDocument/2006/relationships/hyperlink" Target="http://ufcstats.com/fight-details/b9726184624ac076" TargetMode="External"/><Relationship Id="rId1021" Type="http://schemas.openxmlformats.org/officeDocument/2006/relationships/hyperlink" Target="http://ufcstats.com/fight-details/3210723fbb018fa7" TargetMode="External"/><Relationship Id="rId1978" Type="http://schemas.openxmlformats.org/officeDocument/2006/relationships/hyperlink" Target="http://ufcstats.com/fight-details/a8a4c9f98ff73839" TargetMode="External"/><Relationship Id="rId4177" Type="http://schemas.openxmlformats.org/officeDocument/2006/relationships/hyperlink" Target="http://ufcstats.com/fight-details/326c3eaa1e9e3dc4" TargetMode="External"/><Relationship Id="rId4384" Type="http://schemas.openxmlformats.org/officeDocument/2006/relationships/hyperlink" Target="http://ufcstats.com/fight-details/2d205cc1da2e7930" TargetMode="External"/><Relationship Id="rId3193" Type="http://schemas.openxmlformats.org/officeDocument/2006/relationships/hyperlink" Target="http://ufcstats.com/fight-details/9eef9b7967991296" TargetMode="External"/><Relationship Id="rId4037" Type="http://schemas.openxmlformats.org/officeDocument/2006/relationships/hyperlink" Target="http://ufcstats.com/fight-details/144443d4dbf43990" TargetMode="External"/><Relationship Id="rId4244" Type="http://schemas.openxmlformats.org/officeDocument/2006/relationships/hyperlink" Target="http://ufcstats.com/fight-details/7df5998eca143c04" TargetMode="External"/><Relationship Id="rId4451" Type="http://schemas.openxmlformats.org/officeDocument/2006/relationships/hyperlink" Target="http://ufcstats.com/fight-details/1b8d366ac0f110f3" TargetMode="External"/><Relationship Id="rId1838" Type="http://schemas.openxmlformats.org/officeDocument/2006/relationships/hyperlink" Target="http://ufcstats.com/fight-details/bb4755924dfafaea" TargetMode="External"/><Relationship Id="rId3053" Type="http://schemas.openxmlformats.org/officeDocument/2006/relationships/hyperlink" Target="http://ufcstats.com/fight-details/18edff5447989b3f" TargetMode="External"/><Relationship Id="rId3260" Type="http://schemas.openxmlformats.org/officeDocument/2006/relationships/hyperlink" Target="http://ufcstats.com/fight-details/d3ccf71e68480007" TargetMode="External"/><Relationship Id="rId4104" Type="http://schemas.openxmlformats.org/officeDocument/2006/relationships/hyperlink" Target="http://ufcstats.com/fight-details/cda0d9b5ce9b9c12" TargetMode="External"/><Relationship Id="rId4311" Type="http://schemas.openxmlformats.org/officeDocument/2006/relationships/hyperlink" Target="http://ufcstats.com/fight-details/d5577e3272ef3032" TargetMode="External"/><Relationship Id="rId181" Type="http://schemas.openxmlformats.org/officeDocument/2006/relationships/hyperlink" Target="http://ufcstats.com/fight-details/c76fd2ddcbc4713d" TargetMode="External"/><Relationship Id="rId1905" Type="http://schemas.openxmlformats.org/officeDocument/2006/relationships/hyperlink" Target="http://ufcstats.com/fight-details/d6d034e98ce85246" TargetMode="External"/><Relationship Id="rId3120" Type="http://schemas.openxmlformats.org/officeDocument/2006/relationships/hyperlink" Target="http://ufcstats.com/fight-details/30553d630491094a" TargetMode="External"/><Relationship Id="rId998" Type="http://schemas.openxmlformats.org/officeDocument/2006/relationships/hyperlink" Target="http://ufcstats.com/fight-details/25c4013fc187762a" TargetMode="External"/><Relationship Id="rId2679" Type="http://schemas.openxmlformats.org/officeDocument/2006/relationships/hyperlink" Target="http://ufcstats.com/fight-details/16e28dd989ee1dea" TargetMode="External"/><Relationship Id="rId2886" Type="http://schemas.openxmlformats.org/officeDocument/2006/relationships/hyperlink" Target="http://ufcstats.com/fight-details/b33d1e693e3c9958" TargetMode="External"/><Relationship Id="rId3937" Type="http://schemas.openxmlformats.org/officeDocument/2006/relationships/hyperlink" Target="http://ufcstats.com/fight-details/bf614956b28f231c" TargetMode="External"/><Relationship Id="rId858" Type="http://schemas.openxmlformats.org/officeDocument/2006/relationships/hyperlink" Target="http://ufcstats.com/fight-details/9479ba3cdcb1e513" TargetMode="External"/><Relationship Id="rId1488" Type="http://schemas.openxmlformats.org/officeDocument/2006/relationships/hyperlink" Target="http://ufcstats.com/fight-details/cd150cd28738a7c5" TargetMode="External"/><Relationship Id="rId1695" Type="http://schemas.openxmlformats.org/officeDocument/2006/relationships/hyperlink" Target="http://ufcstats.com/fight-details/b0cb6a1da8e0da81" TargetMode="External"/><Relationship Id="rId2539" Type="http://schemas.openxmlformats.org/officeDocument/2006/relationships/hyperlink" Target="http://ufcstats.com/fight-details/ace166f26c2ac2e8" TargetMode="External"/><Relationship Id="rId2746" Type="http://schemas.openxmlformats.org/officeDocument/2006/relationships/hyperlink" Target="http://ufcstats.com/fight-details/288f7fb936c1523c" TargetMode="External"/><Relationship Id="rId2953" Type="http://schemas.openxmlformats.org/officeDocument/2006/relationships/hyperlink" Target="http://ufcstats.com/fight-details/1de342e9309c5f0f" TargetMode="External"/><Relationship Id="rId718" Type="http://schemas.openxmlformats.org/officeDocument/2006/relationships/hyperlink" Target="http://ufcstats.com/fight-details/6d8ce1abde550bc6" TargetMode="External"/><Relationship Id="rId925" Type="http://schemas.openxmlformats.org/officeDocument/2006/relationships/hyperlink" Target="http://ufcstats.com/fight-details/7595aabe89020780" TargetMode="External"/><Relationship Id="rId1348" Type="http://schemas.openxmlformats.org/officeDocument/2006/relationships/hyperlink" Target="http://ufcstats.com/fight-details/eb53ec8983cb2a95" TargetMode="External"/><Relationship Id="rId1555" Type="http://schemas.openxmlformats.org/officeDocument/2006/relationships/hyperlink" Target="http://ufcstats.com/fight-details/2fd0c6d914b77205" TargetMode="External"/><Relationship Id="rId1762" Type="http://schemas.openxmlformats.org/officeDocument/2006/relationships/hyperlink" Target="http://ufcstats.com/fight-details/c19f394f3c237789" TargetMode="External"/><Relationship Id="rId2606" Type="http://schemas.openxmlformats.org/officeDocument/2006/relationships/hyperlink" Target="http://ufcstats.com/fight-details/6b956992204ec040" TargetMode="External"/><Relationship Id="rId1208" Type="http://schemas.openxmlformats.org/officeDocument/2006/relationships/hyperlink" Target="http://ufcstats.com/fight-details/c9144a294c73b06f" TargetMode="External"/><Relationship Id="rId1415" Type="http://schemas.openxmlformats.org/officeDocument/2006/relationships/hyperlink" Target="http://ufcstats.com/fight-details/640dbb5a89c0aad6" TargetMode="External"/><Relationship Id="rId2813" Type="http://schemas.openxmlformats.org/officeDocument/2006/relationships/hyperlink" Target="http://ufcstats.com/fight-details/ce33085fc5205bab" TargetMode="External"/><Relationship Id="rId54" Type="http://schemas.openxmlformats.org/officeDocument/2006/relationships/hyperlink" Target="http://ufcstats.com/fight-details/7c20284c4c2dc9d3" TargetMode="External"/><Relationship Id="rId1622" Type="http://schemas.openxmlformats.org/officeDocument/2006/relationships/hyperlink" Target="http://ufcstats.com/fight-details/5fb63c34935acce9" TargetMode="External"/><Relationship Id="rId2189" Type="http://schemas.openxmlformats.org/officeDocument/2006/relationships/hyperlink" Target="http://ufcstats.com/fight-details/f8dd1e75978a3957" TargetMode="External"/><Relationship Id="rId3587" Type="http://schemas.openxmlformats.org/officeDocument/2006/relationships/hyperlink" Target="http://ufcstats.com/fight-details/54a15700ab185420" TargetMode="External"/><Relationship Id="rId3794" Type="http://schemas.openxmlformats.org/officeDocument/2006/relationships/hyperlink" Target="http://ufcstats.com/fight-details/bda7992779a005fa" TargetMode="External"/><Relationship Id="rId2396" Type="http://schemas.openxmlformats.org/officeDocument/2006/relationships/hyperlink" Target="http://ufcstats.com/fight-details/a043e279434d5c8c" TargetMode="External"/><Relationship Id="rId3447" Type="http://schemas.openxmlformats.org/officeDocument/2006/relationships/hyperlink" Target="http://ufcstats.com/fight-details/420f4e4dc341eb57" TargetMode="External"/><Relationship Id="rId3654" Type="http://schemas.openxmlformats.org/officeDocument/2006/relationships/hyperlink" Target="http://ufcstats.com/fight-details/98dd88d83f57c17a" TargetMode="External"/><Relationship Id="rId3861" Type="http://schemas.openxmlformats.org/officeDocument/2006/relationships/hyperlink" Target="http://ufcstats.com/fight-details/97c80f69ac312030" TargetMode="External"/><Relationship Id="rId368" Type="http://schemas.openxmlformats.org/officeDocument/2006/relationships/hyperlink" Target="http://ufcstats.com/fight-details/a017d5806eaa6018" TargetMode="External"/><Relationship Id="rId575" Type="http://schemas.openxmlformats.org/officeDocument/2006/relationships/hyperlink" Target="http://ufcstats.com/fight-details/243e5e9b6678f303" TargetMode="External"/><Relationship Id="rId782" Type="http://schemas.openxmlformats.org/officeDocument/2006/relationships/hyperlink" Target="http://ufcstats.com/fight-details/147e984aa34e3028" TargetMode="External"/><Relationship Id="rId2049" Type="http://schemas.openxmlformats.org/officeDocument/2006/relationships/hyperlink" Target="http://ufcstats.com/fight-details/9140e6fdeaa7cd3f" TargetMode="External"/><Relationship Id="rId2256" Type="http://schemas.openxmlformats.org/officeDocument/2006/relationships/hyperlink" Target="http://ufcstats.com/fight-details/09c092dc766fa3f9" TargetMode="External"/><Relationship Id="rId2463" Type="http://schemas.openxmlformats.org/officeDocument/2006/relationships/hyperlink" Target="http://ufcstats.com/fight-details/4f20f3ada1489823" TargetMode="External"/><Relationship Id="rId2670" Type="http://schemas.openxmlformats.org/officeDocument/2006/relationships/hyperlink" Target="http://ufcstats.com/fight-details/9da4e06a403f0d27" TargetMode="External"/><Relationship Id="rId3307" Type="http://schemas.openxmlformats.org/officeDocument/2006/relationships/hyperlink" Target="http://ufcstats.com/fight-details/f09912e9d8eaa968" TargetMode="External"/><Relationship Id="rId3514" Type="http://schemas.openxmlformats.org/officeDocument/2006/relationships/hyperlink" Target="http://ufcstats.com/fight-details/58e72b1a38880ba9" TargetMode="External"/><Relationship Id="rId3721" Type="http://schemas.openxmlformats.org/officeDocument/2006/relationships/hyperlink" Target="http://ufcstats.com/fight-details/57d04160f5438654" TargetMode="External"/><Relationship Id="rId228" Type="http://schemas.openxmlformats.org/officeDocument/2006/relationships/hyperlink" Target="http://ufcstats.com/fight-details/f7ffa11d592f4092" TargetMode="External"/><Relationship Id="rId435" Type="http://schemas.openxmlformats.org/officeDocument/2006/relationships/hyperlink" Target="http://ufcstats.com/fight-details/ed6203e849a2bf28" TargetMode="External"/><Relationship Id="rId642" Type="http://schemas.openxmlformats.org/officeDocument/2006/relationships/hyperlink" Target="http://ufcstats.com/fight-details/6a7347d1da8a2b87" TargetMode="External"/><Relationship Id="rId1065" Type="http://schemas.openxmlformats.org/officeDocument/2006/relationships/hyperlink" Target="http://ufcstats.com/fight-details/1978b44503c3d9ff" TargetMode="External"/><Relationship Id="rId1272" Type="http://schemas.openxmlformats.org/officeDocument/2006/relationships/hyperlink" Target="http://ufcstats.com/fight-details/e98eb6de29c62c9c" TargetMode="External"/><Relationship Id="rId2116" Type="http://schemas.openxmlformats.org/officeDocument/2006/relationships/hyperlink" Target="http://ufcstats.com/fight-details/61070325bb440f58" TargetMode="External"/><Relationship Id="rId2323" Type="http://schemas.openxmlformats.org/officeDocument/2006/relationships/hyperlink" Target="http://ufcstats.com/fight-details/998296216e7171ed" TargetMode="External"/><Relationship Id="rId2530" Type="http://schemas.openxmlformats.org/officeDocument/2006/relationships/hyperlink" Target="http://ufcstats.com/fight-details/0be6540982a5b0cd" TargetMode="External"/><Relationship Id="rId502" Type="http://schemas.openxmlformats.org/officeDocument/2006/relationships/hyperlink" Target="http://ufcstats.com/fight-details/9b39e15b42422a08" TargetMode="External"/><Relationship Id="rId1132" Type="http://schemas.openxmlformats.org/officeDocument/2006/relationships/hyperlink" Target="http://ufcstats.com/fight-details/419d8143afbcd61c" TargetMode="External"/><Relationship Id="rId4288" Type="http://schemas.openxmlformats.org/officeDocument/2006/relationships/hyperlink" Target="http://ufcstats.com/fight-details/b76590c02f86e705" TargetMode="External"/><Relationship Id="rId3097" Type="http://schemas.openxmlformats.org/officeDocument/2006/relationships/hyperlink" Target="http://ufcstats.com/fight-details/14e53999507c76a7" TargetMode="External"/><Relationship Id="rId4148" Type="http://schemas.openxmlformats.org/officeDocument/2006/relationships/hyperlink" Target="http://ufcstats.com/fight-details/c28d40498150de90" TargetMode="External"/><Relationship Id="rId4355" Type="http://schemas.openxmlformats.org/officeDocument/2006/relationships/hyperlink" Target="http://ufcstats.com/fight-details/28f5f50617f2b686" TargetMode="External"/><Relationship Id="rId1949" Type="http://schemas.openxmlformats.org/officeDocument/2006/relationships/hyperlink" Target="http://ufcstats.com/fight-details/1362ccc16713d404" TargetMode="External"/><Relationship Id="rId3164" Type="http://schemas.openxmlformats.org/officeDocument/2006/relationships/hyperlink" Target="http://ufcstats.com/fight-details/829b3ee4145a1ae6" TargetMode="External"/><Relationship Id="rId4008" Type="http://schemas.openxmlformats.org/officeDocument/2006/relationships/hyperlink" Target="http://ufcstats.com/fight-details/904e0e46392dff93" TargetMode="External"/><Relationship Id="rId292" Type="http://schemas.openxmlformats.org/officeDocument/2006/relationships/hyperlink" Target="http://ufcstats.com/fight-details/d1d7400c131ed40e" TargetMode="External"/><Relationship Id="rId1809" Type="http://schemas.openxmlformats.org/officeDocument/2006/relationships/hyperlink" Target="http://ufcstats.com/fight-details/34524408fb4d6752" TargetMode="External"/><Relationship Id="rId3371" Type="http://schemas.openxmlformats.org/officeDocument/2006/relationships/hyperlink" Target="http://ufcstats.com/fight-details/003c84fc7c3fa028" TargetMode="External"/><Relationship Id="rId4215" Type="http://schemas.openxmlformats.org/officeDocument/2006/relationships/hyperlink" Target="http://ufcstats.com/fight-details/5632f2364016e879" TargetMode="External"/><Relationship Id="rId4422" Type="http://schemas.openxmlformats.org/officeDocument/2006/relationships/hyperlink" Target="http://ufcstats.com/fight-details/a932059e61f4c25e" TargetMode="External"/><Relationship Id="rId2180" Type="http://schemas.openxmlformats.org/officeDocument/2006/relationships/hyperlink" Target="http://ufcstats.com/fight-details/b90eded8d6b65e8f" TargetMode="External"/><Relationship Id="rId3024" Type="http://schemas.openxmlformats.org/officeDocument/2006/relationships/hyperlink" Target="http://ufcstats.com/fight-details/c258996570faeec9" TargetMode="External"/><Relationship Id="rId3231" Type="http://schemas.openxmlformats.org/officeDocument/2006/relationships/hyperlink" Target="http://ufcstats.com/fight-details/23e03d226eb7af80" TargetMode="External"/><Relationship Id="rId152" Type="http://schemas.openxmlformats.org/officeDocument/2006/relationships/hyperlink" Target="http://ufcstats.com/fight-details/b9ff9ebe19ae6358" TargetMode="External"/><Relationship Id="rId2040" Type="http://schemas.openxmlformats.org/officeDocument/2006/relationships/hyperlink" Target="http://ufcstats.com/fight-details/ecb24300bb3bef8c" TargetMode="External"/><Relationship Id="rId2997" Type="http://schemas.openxmlformats.org/officeDocument/2006/relationships/hyperlink" Target="http://ufcstats.com/fight-details/e3aad51099a23ba4" TargetMode="External"/><Relationship Id="rId969" Type="http://schemas.openxmlformats.org/officeDocument/2006/relationships/hyperlink" Target="http://ufcstats.com/fight-details/a652918360fe9a72" TargetMode="External"/><Relationship Id="rId1599" Type="http://schemas.openxmlformats.org/officeDocument/2006/relationships/hyperlink" Target="http://ufcstats.com/fight-details/792f139c2b9fd294" TargetMode="External"/><Relationship Id="rId1459" Type="http://schemas.openxmlformats.org/officeDocument/2006/relationships/hyperlink" Target="http://ufcstats.com/fight-details/b12bc15f384ecc42" TargetMode="External"/><Relationship Id="rId2857" Type="http://schemas.openxmlformats.org/officeDocument/2006/relationships/hyperlink" Target="http://ufcstats.com/fight-details/f1afa75c8d492550" TargetMode="External"/><Relationship Id="rId3908" Type="http://schemas.openxmlformats.org/officeDocument/2006/relationships/hyperlink" Target="http://ufcstats.com/fight-details/53efc226c8eaf768" TargetMode="External"/><Relationship Id="rId4072" Type="http://schemas.openxmlformats.org/officeDocument/2006/relationships/hyperlink" Target="http://ufcstats.com/fight-details/7930c605c6a6ec88" TargetMode="External"/><Relationship Id="rId98" Type="http://schemas.openxmlformats.org/officeDocument/2006/relationships/hyperlink" Target="http://ufcstats.com/fight-details/ccb7e2851319345d" TargetMode="External"/><Relationship Id="rId829" Type="http://schemas.openxmlformats.org/officeDocument/2006/relationships/hyperlink" Target="http://ufcstats.com/fight-details/c3939438ae7934df" TargetMode="External"/><Relationship Id="rId1666" Type="http://schemas.openxmlformats.org/officeDocument/2006/relationships/hyperlink" Target="http://ufcstats.com/fight-details/37008594c087470c" TargetMode="External"/><Relationship Id="rId1873" Type="http://schemas.openxmlformats.org/officeDocument/2006/relationships/hyperlink" Target="http://ufcstats.com/fight-details/69f67a4a690eb15d" TargetMode="External"/><Relationship Id="rId2717" Type="http://schemas.openxmlformats.org/officeDocument/2006/relationships/hyperlink" Target="http://ufcstats.com/fight-details/f0ca713121289d24" TargetMode="External"/><Relationship Id="rId2924" Type="http://schemas.openxmlformats.org/officeDocument/2006/relationships/hyperlink" Target="http://ufcstats.com/fight-details/a70c43cafabc73c3" TargetMode="External"/><Relationship Id="rId1319" Type="http://schemas.openxmlformats.org/officeDocument/2006/relationships/hyperlink" Target="http://ufcstats.com/fight-details/3d9aeef58dd0b51b" TargetMode="External"/><Relationship Id="rId1526" Type="http://schemas.openxmlformats.org/officeDocument/2006/relationships/hyperlink" Target="http://ufcstats.com/fight-details/d2484d74f819d813" TargetMode="External"/><Relationship Id="rId1733" Type="http://schemas.openxmlformats.org/officeDocument/2006/relationships/hyperlink" Target="http://ufcstats.com/fight-details/1290d7eb0fefd3f3" TargetMode="External"/><Relationship Id="rId1940" Type="http://schemas.openxmlformats.org/officeDocument/2006/relationships/hyperlink" Target="http://ufcstats.com/fight-details/87b61c1d72232a84" TargetMode="External"/><Relationship Id="rId25" Type="http://schemas.openxmlformats.org/officeDocument/2006/relationships/hyperlink" Target="http://ufcstats.com/fight-details/5c8d9d893d163d51" TargetMode="External"/><Relationship Id="rId1800" Type="http://schemas.openxmlformats.org/officeDocument/2006/relationships/hyperlink" Target="http://ufcstats.com/fight-details/b3e12698e65cf8d0" TargetMode="External"/><Relationship Id="rId3698" Type="http://schemas.openxmlformats.org/officeDocument/2006/relationships/hyperlink" Target="http://ufcstats.com/fight-details/407e1c6850e7022c" TargetMode="External"/><Relationship Id="rId3558" Type="http://schemas.openxmlformats.org/officeDocument/2006/relationships/hyperlink" Target="http://ufcstats.com/fight-details/af6d56860ba4d259" TargetMode="External"/><Relationship Id="rId3765" Type="http://schemas.openxmlformats.org/officeDocument/2006/relationships/hyperlink" Target="http://ufcstats.com/fight-details/8d9c71e110196262" TargetMode="External"/><Relationship Id="rId3972" Type="http://schemas.openxmlformats.org/officeDocument/2006/relationships/hyperlink" Target="http://ufcstats.com/fight-details/db3e26d02d790c97" TargetMode="External"/><Relationship Id="rId479" Type="http://schemas.openxmlformats.org/officeDocument/2006/relationships/hyperlink" Target="http://ufcstats.com/fight-details/ac9e19a4075f6557" TargetMode="External"/><Relationship Id="rId686" Type="http://schemas.openxmlformats.org/officeDocument/2006/relationships/hyperlink" Target="http://ufcstats.com/fight-details/9c3fb95a1558b38d" TargetMode="External"/><Relationship Id="rId893" Type="http://schemas.openxmlformats.org/officeDocument/2006/relationships/hyperlink" Target="http://ufcstats.com/fight-details/997ab1ea9fab5643" TargetMode="External"/><Relationship Id="rId2367" Type="http://schemas.openxmlformats.org/officeDocument/2006/relationships/hyperlink" Target="http://ufcstats.com/fight-details/2ec12d4bbc0752db" TargetMode="External"/><Relationship Id="rId2574" Type="http://schemas.openxmlformats.org/officeDocument/2006/relationships/hyperlink" Target="http://ufcstats.com/fight-details/5a09fd7cb3db9705" TargetMode="External"/><Relationship Id="rId2781" Type="http://schemas.openxmlformats.org/officeDocument/2006/relationships/hyperlink" Target="http://ufcstats.com/fight-details/3a94bf34e62ae5fd" TargetMode="External"/><Relationship Id="rId3418" Type="http://schemas.openxmlformats.org/officeDocument/2006/relationships/hyperlink" Target="http://ufcstats.com/fight-details/a69a155a25b84679" TargetMode="External"/><Relationship Id="rId3625" Type="http://schemas.openxmlformats.org/officeDocument/2006/relationships/hyperlink" Target="http://ufcstats.com/fight-details/093ebd3375591101" TargetMode="External"/><Relationship Id="rId339" Type="http://schemas.openxmlformats.org/officeDocument/2006/relationships/hyperlink" Target="http://ufcstats.com/fight-details/0ddf834a47533d15" TargetMode="External"/><Relationship Id="rId546" Type="http://schemas.openxmlformats.org/officeDocument/2006/relationships/hyperlink" Target="http://ufcstats.com/fight-details/be822403f364fff3" TargetMode="External"/><Relationship Id="rId753" Type="http://schemas.openxmlformats.org/officeDocument/2006/relationships/hyperlink" Target="http://ufcstats.com/fight-details/50935ae1627fc89b" TargetMode="External"/><Relationship Id="rId1176" Type="http://schemas.openxmlformats.org/officeDocument/2006/relationships/hyperlink" Target="http://ufcstats.com/fight-details/7fe1486a2c33bf91" TargetMode="External"/><Relationship Id="rId1383" Type="http://schemas.openxmlformats.org/officeDocument/2006/relationships/hyperlink" Target="http://ufcstats.com/fight-details/88b1d4f951070f83" TargetMode="External"/><Relationship Id="rId2227" Type="http://schemas.openxmlformats.org/officeDocument/2006/relationships/hyperlink" Target="http://ufcstats.com/fight-details/9576d9cba5cf5c4e" TargetMode="External"/><Relationship Id="rId2434" Type="http://schemas.openxmlformats.org/officeDocument/2006/relationships/hyperlink" Target="http://ufcstats.com/fight-details/5337461354f23b98" TargetMode="External"/><Relationship Id="rId3832" Type="http://schemas.openxmlformats.org/officeDocument/2006/relationships/hyperlink" Target="http://ufcstats.com/fight-details/b26ec098a5a57401" TargetMode="External"/><Relationship Id="rId406" Type="http://schemas.openxmlformats.org/officeDocument/2006/relationships/hyperlink" Target="http://ufcstats.com/fight-details/fdb9d29cf0edc16a" TargetMode="External"/><Relationship Id="rId960" Type="http://schemas.openxmlformats.org/officeDocument/2006/relationships/hyperlink" Target="http://ufcstats.com/fight-details/72f123ddb4cc9d1c" TargetMode="External"/><Relationship Id="rId1036" Type="http://schemas.openxmlformats.org/officeDocument/2006/relationships/hyperlink" Target="http://ufcstats.com/fight-details/c13b2493018fc98b" TargetMode="External"/><Relationship Id="rId1243" Type="http://schemas.openxmlformats.org/officeDocument/2006/relationships/hyperlink" Target="http://ufcstats.com/fight-details/a80579fe679d24e2" TargetMode="External"/><Relationship Id="rId1590" Type="http://schemas.openxmlformats.org/officeDocument/2006/relationships/hyperlink" Target="http://ufcstats.com/fight-details/c04274c8caa505dd" TargetMode="External"/><Relationship Id="rId2641" Type="http://schemas.openxmlformats.org/officeDocument/2006/relationships/hyperlink" Target="http://ufcstats.com/fight-details/dd88960598219eba" TargetMode="External"/><Relationship Id="rId4399" Type="http://schemas.openxmlformats.org/officeDocument/2006/relationships/hyperlink" Target="http://ufcstats.com/fight-details/b88b170a7fe40544" TargetMode="External"/><Relationship Id="rId613" Type="http://schemas.openxmlformats.org/officeDocument/2006/relationships/hyperlink" Target="http://ufcstats.com/fight-details/04e6198326be4857" TargetMode="External"/><Relationship Id="rId820" Type="http://schemas.openxmlformats.org/officeDocument/2006/relationships/hyperlink" Target="http://ufcstats.com/fight-details/8c220d4c96895a98" TargetMode="External"/><Relationship Id="rId1450" Type="http://schemas.openxmlformats.org/officeDocument/2006/relationships/hyperlink" Target="http://ufcstats.com/fight-details/3fe9e895b2a45049" TargetMode="External"/><Relationship Id="rId2501" Type="http://schemas.openxmlformats.org/officeDocument/2006/relationships/hyperlink" Target="http://ufcstats.com/fight-details/866b2c2e354aa27b" TargetMode="External"/><Relationship Id="rId1103" Type="http://schemas.openxmlformats.org/officeDocument/2006/relationships/hyperlink" Target="http://ufcstats.com/fight-details/11cb7d7d774d5e6a" TargetMode="External"/><Relationship Id="rId1310" Type="http://schemas.openxmlformats.org/officeDocument/2006/relationships/hyperlink" Target="http://ufcstats.com/fight-details/1720a97a2fa261f8" TargetMode="External"/><Relationship Id="rId4259" Type="http://schemas.openxmlformats.org/officeDocument/2006/relationships/hyperlink" Target="http://ufcstats.com/fight-details/bd064deb3494b41a" TargetMode="External"/><Relationship Id="rId3068" Type="http://schemas.openxmlformats.org/officeDocument/2006/relationships/hyperlink" Target="http://ufcstats.com/fight-details/eb6f80ccaf2a3dbc" TargetMode="External"/><Relationship Id="rId3275" Type="http://schemas.openxmlformats.org/officeDocument/2006/relationships/hyperlink" Target="http://ufcstats.com/fight-details/870672b1b443311e" TargetMode="External"/><Relationship Id="rId3482" Type="http://schemas.openxmlformats.org/officeDocument/2006/relationships/hyperlink" Target="http://ufcstats.com/fight-details/d03d0abf331df751" TargetMode="External"/><Relationship Id="rId4119" Type="http://schemas.openxmlformats.org/officeDocument/2006/relationships/hyperlink" Target="http://ufcstats.com/fight-details/7510b0c96f5707ea" TargetMode="External"/><Relationship Id="rId4326" Type="http://schemas.openxmlformats.org/officeDocument/2006/relationships/hyperlink" Target="http://ufcstats.com/fight-details/ea674e0285fb77f5" TargetMode="External"/><Relationship Id="rId196" Type="http://schemas.openxmlformats.org/officeDocument/2006/relationships/hyperlink" Target="http://ufcstats.com/fight-details/58286d3126cc5263" TargetMode="External"/><Relationship Id="rId2084" Type="http://schemas.openxmlformats.org/officeDocument/2006/relationships/hyperlink" Target="http://ufcstats.com/fight-details/2ea1f463620bcd3d" TargetMode="External"/><Relationship Id="rId2291" Type="http://schemas.openxmlformats.org/officeDocument/2006/relationships/hyperlink" Target="http://ufcstats.com/fight-details/b52dccbe69864d2a" TargetMode="External"/><Relationship Id="rId3135" Type="http://schemas.openxmlformats.org/officeDocument/2006/relationships/hyperlink" Target="http://ufcstats.com/fight-details/69c06be4f87ccdab" TargetMode="External"/><Relationship Id="rId3342" Type="http://schemas.openxmlformats.org/officeDocument/2006/relationships/hyperlink" Target="http://ufcstats.com/fight-details/8bede5047e97d602" TargetMode="External"/><Relationship Id="rId263" Type="http://schemas.openxmlformats.org/officeDocument/2006/relationships/hyperlink" Target="http://ufcstats.com/fight-details/09afa6ce4747a1a2" TargetMode="External"/><Relationship Id="rId470" Type="http://schemas.openxmlformats.org/officeDocument/2006/relationships/hyperlink" Target="http://ufcstats.com/fight-details/f98e954823bd6e02" TargetMode="External"/><Relationship Id="rId2151" Type="http://schemas.openxmlformats.org/officeDocument/2006/relationships/hyperlink" Target="http://ufcstats.com/fight-details/97e895b7c2cb9db4" TargetMode="External"/><Relationship Id="rId3202" Type="http://schemas.openxmlformats.org/officeDocument/2006/relationships/hyperlink" Target="http://ufcstats.com/fight-details/697efaf0d162e877" TargetMode="External"/><Relationship Id="rId123" Type="http://schemas.openxmlformats.org/officeDocument/2006/relationships/hyperlink" Target="http://ufcstats.com/fight-details/9687021e5c4d092a" TargetMode="External"/><Relationship Id="rId330" Type="http://schemas.openxmlformats.org/officeDocument/2006/relationships/hyperlink" Target="http://ufcstats.com/fight-details/72bb7605e340a8fe" TargetMode="External"/><Relationship Id="rId2011" Type="http://schemas.openxmlformats.org/officeDocument/2006/relationships/hyperlink" Target="http://ufcstats.com/fight-details/fd60e75303622e5e" TargetMode="External"/><Relationship Id="rId2968" Type="http://schemas.openxmlformats.org/officeDocument/2006/relationships/hyperlink" Target="http://ufcstats.com/fight-details/3ad3acca165a5d90" TargetMode="External"/><Relationship Id="rId4183" Type="http://schemas.openxmlformats.org/officeDocument/2006/relationships/hyperlink" Target="http://ufcstats.com/fight-details/c6fc43c351b08bda" TargetMode="External"/><Relationship Id="rId1777" Type="http://schemas.openxmlformats.org/officeDocument/2006/relationships/hyperlink" Target="http://ufcstats.com/fight-details/2be2c9ddfbee0cd4" TargetMode="External"/><Relationship Id="rId1984" Type="http://schemas.openxmlformats.org/officeDocument/2006/relationships/hyperlink" Target="http://ufcstats.com/fight-details/eca400aeeb2763d1" TargetMode="External"/><Relationship Id="rId2828" Type="http://schemas.openxmlformats.org/officeDocument/2006/relationships/hyperlink" Target="http://ufcstats.com/fight-details/3266f569a6246d90" TargetMode="External"/><Relationship Id="rId4390" Type="http://schemas.openxmlformats.org/officeDocument/2006/relationships/hyperlink" Target="http://ufcstats.com/fight-details/9e2bb8d5961b44d4" TargetMode="External"/><Relationship Id="rId69" Type="http://schemas.openxmlformats.org/officeDocument/2006/relationships/hyperlink" Target="http://ufcstats.com/fight-details/f1cbd73e7be64d28" TargetMode="External"/><Relationship Id="rId1637" Type="http://schemas.openxmlformats.org/officeDocument/2006/relationships/hyperlink" Target="http://ufcstats.com/fight-details/9ee818e10dcf3b45" TargetMode="External"/><Relationship Id="rId1844" Type="http://schemas.openxmlformats.org/officeDocument/2006/relationships/hyperlink" Target="http://ufcstats.com/fight-details/5098d052525da54f" TargetMode="External"/><Relationship Id="rId4043" Type="http://schemas.openxmlformats.org/officeDocument/2006/relationships/hyperlink" Target="http://ufcstats.com/fight-details/2c7c7648e847f2e5" TargetMode="External"/><Relationship Id="rId4250" Type="http://schemas.openxmlformats.org/officeDocument/2006/relationships/hyperlink" Target="http://ufcstats.com/fight-details/c81d1facf185467d" TargetMode="External"/><Relationship Id="rId1704" Type="http://schemas.openxmlformats.org/officeDocument/2006/relationships/hyperlink" Target="http://ufcstats.com/fight-details/6f22afbc5f8e0bd3" TargetMode="External"/><Relationship Id="rId4110" Type="http://schemas.openxmlformats.org/officeDocument/2006/relationships/hyperlink" Target="http://ufcstats.com/fight-details/c5f0c83e303d80bf" TargetMode="External"/><Relationship Id="rId1911" Type="http://schemas.openxmlformats.org/officeDocument/2006/relationships/hyperlink" Target="http://ufcstats.com/fight-details/36d9337a27b71ba9" TargetMode="External"/><Relationship Id="rId3669" Type="http://schemas.openxmlformats.org/officeDocument/2006/relationships/hyperlink" Target="http://ufcstats.com/fight-details/54c5284c1b792912" TargetMode="External"/><Relationship Id="rId797" Type="http://schemas.openxmlformats.org/officeDocument/2006/relationships/hyperlink" Target="http://ufcstats.com/fight-details/1cf69de0eea46877" TargetMode="External"/><Relationship Id="rId2478" Type="http://schemas.openxmlformats.org/officeDocument/2006/relationships/hyperlink" Target="http://ufcstats.com/fight-details/76602c3658d70273" TargetMode="External"/><Relationship Id="rId3876" Type="http://schemas.openxmlformats.org/officeDocument/2006/relationships/hyperlink" Target="http://ufcstats.com/fight-details/18e1b0df8da7010e" TargetMode="External"/><Relationship Id="rId1287" Type="http://schemas.openxmlformats.org/officeDocument/2006/relationships/hyperlink" Target="http://ufcstats.com/fight-details/8beab5f941dae8e0" TargetMode="External"/><Relationship Id="rId2685" Type="http://schemas.openxmlformats.org/officeDocument/2006/relationships/hyperlink" Target="http://ufcstats.com/fight-details/71854cfe738d6ee1" TargetMode="External"/><Relationship Id="rId2892" Type="http://schemas.openxmlformats.org/officeDocument/2006/relationships/hyperlink" Target="http://ufcstats.com/fight-details/ff4cef86bef2d0aa" TargetMode="External"/><Relationship Id="rId3529" Type="http://schemas.openxmlformats.org/officeDocument/2006/relationships/hyperlink" Target="http://ufcstats.com/fight-details/cd54325a9a538837" TargetMode="External"/><Relationship Id="rId3736" Type="http://schemas.openxmlformats.org/officeDocument/2006/relationships/hyperlink" Target="http://ufcstats.com/fight-details/efe985e626a0d8c0" TargetMode="External"/><Relationship Id="rId3943" Type="http://schemas.openxmlformats.org/officeDocument/2006/relationships/hyperlink" Target="http://ufcstats.com/fight-details/f9345fa82bf43847" TargetMode="External"/><Relationship Id="rId657" Type="http://schemas.openxmlformats.org/officeDocument/2006/relationships/hyperlink" Target="http://ufcstats.com/fight-details/e4d0be5ae320c4ae" TargetMode="External"/><Relationship Id="rId864" Type="http://schemas.openxmlformats.org/officeDocument/2006/relationships/hyperlink" Target="http://ufcstats.com/fight-details/e54fe354981fe3e7" TargetMode="External"/><Relationship Id="rId1494" Type="http://schemas.openxmlformats.org/officeDocument/2006/relationships/hyperlink" Target="http://ufcstats.com/fight-details/6f0f84075fa1a4b0" TargetMode="External"/><Relationship Id="rId2338" Type="http://schemas.openxmlformats.org/officeDocument/2006/relationships/hyperlink" Target="http://ufcstats.com/fight-details/6e73ebbd089aff5e" TargetMode="External"/><Relationship Id="rId2545" Type="http://schemas.openxmlformats.org/officeDocument/2006/relationships/hyperlink" Target="http://ufcstats.com/fight-details/7c40aa2cb6883a91" TargetMode="External"/><Relationship Id="rId2752" Type="http://schemas.openxmlformats.org/officeDocument/2006/relationships/hyperlink" Target="http://ufcstats.com/fight-details/4a172a5191cb8e60" TargetMode="External"/><Relationship Id="rId3803" Type="http://schemas.openxmlformats.org/officeDocument/2006/relationships/hyperlink" Target="http://ufcstats.com/fight-details/241a0833e1c76804" TargetMode="External"/><Relationship Id="rId517" Type="http://schemas.openxmlformats.org/officeDocument/2006/relationships/hyperlink" Target="http://ufcstats.com/fight-details/efd7efba85092c6f" TargetMode="External"/><Relationship Id="rId724" Type="http://schemas.openxmlformats.org/officeDocument/2006/relationships/hyperlink" Target="http://ufcstats.com/fight-details/1b0fa021b1158121" TargetMode="External"/><Relationship Id="rId931" Type="http://schemas.openxmlformats.org/officeDocument/2006/relationships/hyperlink" Target="http://ufcstats.com/fight-details/bcef35d6e0964f01" TargetMode="External"/><Relationship Id="rId1147" Type="http://schemas.openxmlformats.org/officeDocument/2006/relationships/hyperlink" Target="http://ufcstats.com/fight-details/bbde45b2c766bb67" TargetMode="External"/><Relationship Id="rId1354" Type="http://schemas.openxmlformats.org/officeDocument/2006/relationships/hyperlink" Target="http://ufcstats.com/fight-details/6f5f4b256f643ffb" TargetMode="External"/><Relationship Id="rId1561" Type="http://schemas.openxmlformats.org/officeDocument/2006/relationships/hyperlink" Target="http://ufcstats.com/fight-details/41b75c9222c33cdf" TargetMode="External"/><Relationship Id="rId2405" Type="http://schemas.openxmlformats.org/officeDocument/2006/relationships/hyperlink" Target="http://ufcstats.com/fight-details/98411542ca0e847d" TargetMode="External"/><Relationship Id="rId2612" Type="http://schemas.openxmlformats.org/officeDocument/2006/relationships/hyperlink" Target="http://ufcstats.com/fight-details/768c86e307295944" TargetMode="External"/><Relationship Id="rId60" Type="http://schemas.openxmlformats.org/officeDocument/2006/relationships/hyperlink" Target="http://ufcstats.com/fight-details/33fa6793a7f984ac" TargetMode="External"/><Relationship Id="rId1007" Type="http://schemas.openxmlformats.org/officeDocument/2006/relationships/hyperlink" Target="http://ufcstats.com/fight-details/93ddc6b233d1956a" TargetMode="External"/><Relationship Id="rId1214" Type="http://schemas.openxmlformats.org/officeDocument/2006/relationships/hyperlink" Target="http://ufcstats.com/fight-details/3b89556b3f177b7b" TargetMode="External"/><Relationship Id="rId1421" Type="http://schemas.openxmlformats.org/officeDocument/2006/relationships/hyperlink" Target="http://ufcstats.com/fight-details/a020b5b917c27bb8" TargetMode="External"/><Relationship Id="rId3179" Type="http://schemas.openxmlformats.org/officeDocument/2006/relationships/hyperlink" Target="http://ufcstats.com/fight-details/5934de85b9c53e7c" TargetMode="External"/><Relationship Id="rId3386" Type="http://schemas.openxmlformats.org/officeDocument/2006/relationships/hyperlink" Target="http://ufcstats.com/fight-details/77be83973766e104" TargetMode="External"/><Relationship Id="rId3593" Type="http://schemas.openxmlformats.org/officeDocument/2006/relationships/hyperlink" Target="http://ufcstats.com/fight-details/db2c805201a3116e" TargetMode="External"/><Relationship Id="rId4437" Type="http://schemas.openxmlformats.org/officeDocument/2006/relationships/hyperlink" Target="http://ufcstats.com/fight-details/b5274277ef6707c9" TargetMode="External"/><Relationship Id="rId2195" Type="http://schemas.openxmlformats.org/officeDocument/2006/relationships/hyperlink" Target="http://ufcstats.com/fight-details/d4ad90ac58429b64" TargetMode="External"/><Relationship Id="rId3039" Type="http://schemas.openxmlformats.org/officeDocument/2006/relationships/hyperlink" Target="http://ufcstats.com/fight-details/6c2097664ac1bf16" TargetMode="External"/><Relationship Id="rId3246" Type="http://schemas.openxmlformats.org/officeDocument/2006/relationships/hyperlink" Target="http://ufcstats.com/fight-details/21b361d723fcf3cd" TargetMode="External"/><Relationship Id="rId3453" Type="http://schemas.openxmlformats.org/officeDocument/2006/relationships/hyperlink" Target="http://ufcstats.com/fight-details/d2105d00baa3e15e" TargetMode="External"/><Relationship Id="rId167" Type="http://schemas.openxmlformats.org/officeDocument/2006/relationships/hyperlink" Target="http://ufcstats.com/fight-details/16a05f3c4a765f65" TargetMode="External"/><Relationship Id="rId374" Type="http://schemas.openxmlformats.org/officeDocument/2006/relationships/hyperlink" Target="http://ufcstats.com/fight-details/969aa613824c5dfe" TargetMode="External"/><Relationship Id="rId581" Type="http://schemas.openxmlformats.org/officeDocument/2006/relationships/hyperlink" Target="http://ufcstats.com/fight-details/7ca5604d99220e88" TargetMode="External"/><Relationship Id="rId2055" Type="http://schemas.openxmlformats.org/officeDocument/2006/relationships/hyperlink" Target="http://ufcstats.com/fight-details/83d59f5e52e0ac46" TargetMode="External"/><Relationship Id="rId2262" Type="http://schemas.openxmlformats.org/officeDocument/2006/relationships/hyperlink" Target="http://ufcstats.com/fight-details/9d6b46a3cf5ec494" TargetMode="External"/><Relationship Id="rId3106" Type="http://schemas.openxmlformats.org/officeDocument/2006/relationships/hyperlink" Target="http://ufcstats.com/fight-details/2556b7520536ce1d" TargetMode="External"/><Relationship Id="rId3660" Type="http://schemas.openxmlformats.org/officeDocument/2006/relationships/hyperlink" Target="http://ufcstats.com/fight-details/68ba4aca75b02496" TargetMode="External"/><Relationship Id="rId234" Type="http://schemas.openxmlformats.org/officeDocument/2006/relationships/hyperlink" Target="http://ufcstats.com/fight-details/f9ec8bedc15ece93" TargetMode="External"/><Relationship Id="rId3313" Type="http://schemas.openxmlformats.org/officeDocument/2006/relationships/hyperlink" Target="http://ufcstats.com/fight-details/87c8e086c29ae543" TargetMode="External"/><Relationship Id="rId3520" Type="http://schemas.openxmlformats.org/officeDocument/2006/relationships/hyperlink" Target="http://ufcstats.com/fight-details/14477908199435e1" TargetMode="External"/><Relationship Id="rId441" Type="http://schemas.openxmlformats.org/officeDocument/2006/relationships/hyperlink" Target="http://ufcstats.com/fight-details/a5a065cb6d33ba9e" TargetMode="External"/><Relationship Id="rId1071" Type="http://schemas.openxmlformats.org/officeDocument/2006/relationships/hyperlink" Target="http://ufcstats.com/fight-details/aaf45b095452be23" TargetMode="External"/><Relationship Id="rId2122" Type="http://schemas.openxmlformats.org/officeDocument/2006/relationships/hyperlink" Target="http://ufcstats.com/fight-details/eafda776967c6444" TargetMode="External"/><Relationship Id="rId301" Type="http://schemas.openxmlformats.org/officeDocument/2006/relationships/hyperlink" Target="http://ufcstats.com/fight-details/39fa341fb9161d6f" TargetMode="External"/><Relationship Id="rId1888" Type="http://schemas.openxmlformats.org/officeDocument/2006/relationships/hyperlink" Target="http://ufcstats.com/fight-details/02615499125b4b5d" TargetMode="External"/><Relationship Id="rId2939" Type="http://schemas.openxmlformats.org/officeDocument/2006/relationships/hyperlink" Target="http://ufcstats.com/fight-details/5164f1c4103616fd" TargetMode="External"/><Relationship Id="rId4087" Type="http://schemas.openxmlformats.org/officeDocument/2006/relationships/hyperlink" Target="http://ufcstats.com/fight-details/94560d1dc6248347" TargetMode="External"/><Relationship Id="rId4294" Type="http://schemas.openxmlformats.org/officeDocument/2006/relationships/hyperlink" Target="http://ufcstats.com/fight-details/060987bb3025a0a8" TargetMode="External"/><Relationship Id="rId1748" Type="http://schemas.openxmlformats.org/officeDocument/2006/relationships/hyperlink" Target="http://ufcstats.com/fight-details/db026ff6eee4d174" TargetMode="External"/><Relationship Id="rId4154" Type="http://schemas.openxmlformats.org/officeDocument/2006/relationships/hyperlink" Target="http://ufcstats.com/fight-details/f9830f1c23ac92d0" TargetMode="External"/><Relationship Id="rId4361" Type="http://schemas.openxmlformats.org/officeDocument/2006/relationships/hyperlink" Target="http://ufcstats.com/fight-details/0f641756e99605ad" TargetMode="External"/><Relationship Id="rId1955" Type="http://schemas.openxmlformats.org/officeDocument/2006/relationships/hyperlink" Target="http://ufcstats.com/fight-details/6275b448b6c35f1f" TargetMode="External"/><Relationship Id="rId3170" Type="http://schemas.openxmlformats.org/officeDocument/2006/relationships/hyperlink" Target="http://ufcstats.com/fight-details/6d8da45352344964" TargetMode="External"/><Relationship Id="rId4014" Type="http://schemas.openxmlformats.org/officeDocument/2006/relationships/hyperlink" Target="http://ufcstats.com/fight-details/dd0c8e9880c6fa24" TargetMode="External"/><Relationship Id="rId4221" Type="http://schemas.openxmlformats.org/officeDocument/2006/relationships/hyperlink" Target="http://ufcstats.com/fight-details/0405e4446e8f239a" TargetMode="External"/><Relationship Id="rId1608" Type="http://schemas.openxmlformats.org/officeDocument/2006/relationships/hyperlink" Target="http://ufcstats.com/fight-details/d5323490163dde0e" TargetMode="External"/><Relationship Id="rId1815" Type="http://schemas.openxmlformats.org/officeDocument/2006/relationships/hyperlink" Target="http://ufcstats.com/fight-details/e97b609eefc5fd61" TargetMode="External"/><Relationship Id="rId3030" Type="http://schemas.openxmlformats.org/officeDocument/2006/relationships/hyperlink" Target="http://ufcstats.com/fight-details/02822c35ffef5a50" TargetMode="External"/><Relationship Id="rId3987" Type="http://schemas.openxmlformats.org/officeDocument/2006/relationships/hyperlink" Target="http://ufcstats.com/fight-details/c4785ee94698e532" TargetMode="External"/><Relationship Id="rId2589" Type="http://schemas.openxmlformats.org/officeDocument/2006/relationships/hyperlink" Target="http://ufcstats.com/fight-details/5311298f79414125" TargetMode="External"/><Relationship Id="rId2796" Type="http://schemas.openxmlformats.org/officeDocument/2006/relationships/hyperlink" Target="http://ufcstats.com/fight-details/5bff1ece35abac7f" TargetMode="External"/><Relationship Id="rId3847" Type="http://schemas.openxmlformats.org/officeDocument/2006/relationships/hyperlink" Target="http://ufcstats.com/fight-details/2e94ee4b9f5fddea" TargetMode="External"/><Relationship Id="rId768" Type="http://schemas.openxmlformats.org/officeDocument/2006/relationships/hyperlink" Target="http://ufcstats.com/fight-details/6066dc40bb3ce8db" TargetMode="External"/><Relationship Id="rId975" Type="http://schemas.openxmlformats.org/officeDocument/2006/relationships/hyperlink" Target="http://ufcstats.com/fight-details/b2625001e0b89369" TargetMode="External"/><Relationship Id="rId1398" Type="http://schemas.openxmlformats.org/officeDocument/2006/relationships/hyperlink" Target="http://ufcstats.com/fight-details/4d5c3ddc740b89ca" TargetMode="External"/><Relationship Id="rId2449" Type="http://schemas.openxmlformats.org/officeDocument/2006/relationships/hyperlink" Target="http://ufcstats.com/fight-details/d2ef04d5f384c05a" TargetMode="External"/><Relationship Id="rId2656" Type="http://schemas.openxmlformats.org/officeDocument/2006/relationships/hyperlink" Target="http://ufcstats.com/fight-details/e458ace6a440b738" TargetMode="External"/><Relationship Id="rId2863" Type="http://schemas.openxmlformats.org/officeDocument/2006/relationships/hyperlink" Target="http://ufcstats.com/fight-details/16109688429c09de" TargetMode="External"/><Relationship Id="rId3707" Type="http://schemas.openxmlformats.org/officeDocument/2006/relationships/hyperlink" Target="http://ufcstats.com/fight-details/4327fe98e1b6f222" TargetMode="External"/><Relationship Id="rId3914" Type="http://schemas.openxmlformats.org/officeDocument/2006/relationships/hyperlink" Target="http://ufcstats.com/fight-details/edc87836fd998929" TargetMode="External"/><Relationship Id="rId628" Type="http://schemas.openxmlformats.org/officeDocument/2006/relationships/hyperlink" Target="http://ufcstats.com/fight-details/1ff89e2a9cc2f2d2" TargetMode="External"/><Relationship Id="rId835" Type="http://schemas.openxmlformats.org/officeDocument/2006/relationships/hyperlink" Target="http://ufcstats.com/fight-details/06f37329b223b451" TargetMode="External"/><Relationship Id="rId1258" Type="http://schemas.openxmlformats.org/officeDocument/2006/relationships/hyperlink" Target="http://ufcstats.com/fight-details/0716a38768a34789" TargetMode="External"/><Relationship Id="rId1465" Type="http://schemas.openxmlformats.org/officeDocument/2006/relationships/hyperlink" Target="http://ufcstats.com/fight-details/dae70ccdf9e7475e" TargetMode="External"/><Relationship Id="rId1672" Type="http://schemas.openxmlformats.org/officeDocument/2006/relationships/hyperlink" Target="http://ufcstats.com/fight-details/6a9ea8e420a52a21" TargetMode="External"/><Relationship Id="rId2309" Type="http://schemas.openxmlformats.org/officeDocument/2006/relationships/hyperlink" Target="http://ufcstats.com/fight-details/83fa3a382acc7bdc" TargetMode="External"/><Relationship Id="rId2516" Type="http://schemas.openxmlformats.org/officeDocument/2006/relationships/hyperlink" Target="http://ufcstats.com/fight-details/08cbd4c521831adf" TargetMode="External"/><Relationship Id="rId2723" Type="http://schemas.openxmlformats.org/officeDocument/2006/relationships/hyperlink" Target="http://ufcstats.com/fight-details/f9ab966e63968c15" TargetMode="External"/><Relationship Id="rId1118" Type="http://schemas.openxmlformats.org/officeDocument/2006/relationships/hyperlink" Target="http://ufcstats.com/fight-details/98035e427b476717" TargetMode="External"/><Relationship Id="rId1325" Type="http://schemas.openxmlformats.org/officeDocument/2006/relationships/hyperlink" Target="http://ufcstats.com/fight-details/4b1606ab1893c242" TargetMode="External"/><Relationship Id="rId1532" Type="http://schemas.openxmlformats.org/officeDocument/2006/relationships/hyperlink" Target="http://ufcstats.com/fight-details/caeeb398f73d213a" TargetMode="External"/><Relationship Id="rId2930" Type="http://schemas.openxmlformats.org/officeDocument/2006/relationships/hyperlink" Target="http://ufcstats.com/fight-details/ced241b99eab5f22" TargetMode="External"/><Relationship Id="rId902" Type="http://schemas.openxmlformats.org/officeDocument/2006/relationships/hyperlink" Target="http://ufcstats.com/fight-details/9882c1dac77c0367" TargetMode="External"/><Relationship Id="rId3497" Type="http://schemas.openxmlformats.org/officeDocument/2006/relationships/hyperlink" Target="http://ufcstats.com/fight-details/70af72a72b31fe4d" TargetMode="External"/><Relationship Id="rId31" Type="http://schemas.openxmlformats.org/officeDocument/2006/relationships/hyperlink" Target="http://ufcstats.com/fight-details/f0418c2c989a5cde" TargetMode="External"/><Relationship Id="rId2099" Type="http://schemas.openxmlformats.org/officeDocument/2006/relationships/hyperlink" Target="http://ufcstats.com/fight-details/a25633b1494f1360" TargetMode="External"/><Relationship Id="rId278" Type="http://schemas.openxmlformats.org/officeDocument/2006/relationships/hyperlink" Target="http://ufcstats.com/fight-details/8d9b460143ae19bc" TargetMode="External"/><Relationship Id="rId3357" Type="http://schemas.openxmlformats.org/officeDocument/2006/relationships/hyperlink" Target="http://ufcstats.com/fight-details/578987d534a0d205" TargetMode="External"/><Relationship Id="rId3564" Type="http://schemas.openxmlformats.org/officeDocument/2006/relationships/hyperlink" Target="http://ufcstats.com/fight-details/70f08a4771138817" TargetMode="External"/><Relationship Id="rId3771" Type="http://schemas.openxmlformats.org/officeDocument/2006/relationships/hyperlink" Target="http://ufcstats.com/fight-details/e18a8b333529cc09" TargetMode="External"/><Relationship Id="rId4408" Type="http://schemas.openxmlformats.org/officeDocument/2006/relationships/hyperlink" Target="http://ufcstats.com/fight-details/66873dde4077bd5d" TargetMode="External"/><Relationship Id="rId485" Type="http://schemas.openxmlformats.org/officeDocument/2006/relationships/hyperlink" Target="http://ufcstats.com/fight-details/7f9a331bc3100afd" TargetMode="External"/><Relationship Id="rId692" Type="http://schemas.openxmlformats.org/officeDocument/2006/relationships/hyperlink" Target="http://ufcstats.com/fight-details/c48af5eafb532d0a" TargetMode="External"/><Relationship Id="rId2166" Type="http://schemas.openxmlformats.org/officeDocument/2006/relationships/hyperlink" Target="http://ufcstats.com/fight-details/b22dbe21c21060b9" TargetMode="External"/><Relationship Id="rId2373" Type="http://schemas.openxmlformats.org/officeDocument/2006/relationships/hyperlink" Target="http://ufcstats.com/fight-details/b166f1582946fbbc" TargetMode="External"/><Relationship Id="rId2580" Type="http://schemas.openxmlformats.org/officeDocument/2006/relationships/hyperlink" Target="http://ufcstats.com/fight-details/01432891260084a4" TargetMode="External"/><Relationship Id="rId3217" Type="http://schemas.openxmlformats.org/officeDocument/2006/relationships/hyperlink" Target="http://ufcstats.com/fight-details/587d373f18f6c8c0" TargetMode="External"/><Relationship Id="rId3424" Type="http://schemas.openxmlformats.org/officeDocument/2006/relationships/hyperlink" Target="http://ufcstats.com/fight-details/b2c1f9bdd5d3073d" TargetMode="External"/><Relationship Id="rId3631" Type="http://schemas.openxmlformats.org/officeDocument/2006/relationships/hyperlink" Target="http://ufcstats.com/fight-details/c6dd17ab89437805" TargetMode="External"/><Relationship Id="rId138" Type="http://schemas.openxmlformats.org/officeDocument/2006/relationships/hyperlink" Target="http://ufcstats.com/fight-details/014f1da2083ca174" TargetMode="External"/><Relationship Id="rId345" Type="http://schemas.openxmlformats.org/officeDocument/2006/relationships/hyperlink" Target="http://ufcstats.com/fight-details/a0c82ba11a373008" TargetMode="External"/><Relationship Id="rId552" Type="http://schemas.openxmlformats.org/officeDocument/2006/relationships/hyperlink" Target="http://ufcstats.com/fight-details/e0e22d7bc5a293e8" TargetMode="External"/><Relationship Id="rId1182" Type="http://schemas.openxmlformats.org/officeDocument/2006/relationships/hyperlink" Target="http://ufcstats.com/fight-details/a2fe63d064567d14" TargetMode="External"/><Relationship Id="rId2026" Type="http://schemas.openxmlformats.org/officeDocument/2006/relationships/hyperlink" Target="http://ufcstats.com/fight-details/a6828a6dfb21d33c" TargetMode="External"/><Relationship Id="rId2233" Type="http://schemas.openxmlformats.org/officeDocument/2006/relationships/hyperlink" Target="http://ufcstats.com/fight-details/9fe98de1eac21f2e" TargetMode="External"/><Relationship Id="rId2440" Type="http://schemas.openxmlformats.org/officeDocument/2006/relationships/hyperlink" Target="http://ufcstats.com/fight-details/6eb382e2c51fc4f5" TargetMode="External"/><Relationship Id="rId205" Type="http://schemas.openxmlformats.org/officeDocument/2006/relationships/hyperlink" Target="http://ufcstats.com/fight-details/9674c37e3a2bc399" TargetMode="External"/><Relationship Id="rId412" Type="http://schemas.openxmlformats.org/officeDocument/2006/relationships/hyperlink" Target="http://ufcstats.com/fight-details/2ab395e21080b10a" TargetMode="External"/><Relationship Id="rId1042" Type="http://schemas.openxmlformats.org/officeDocument/2006/relationships/hyperlink" Target="http://ufcstats.com/fight-details/5a82757b553c40fc" TargetMode="External"/><Relationship Id="rId2300" Type="http://schemas.openxmlformats.org/officeDocument/2006/relationships/hyperlink" Target="http://ufcstats.com/fight-details/8fc238e84c4624a7" TargetMode="External"/><Relationship Id="rId4198" Type="http://schemas.openxmlformats.org/officeDocument/2006/relationships/hyperlink" Target="http://ufcstats.com/fight-details/3b8cac9910af1c61" TargetMode="External"/><Relationship Id="rId1999" Type="http://schemas.openxmlformats.org/officeDocument/2006/relationships/hyperlink" Target="http://ufcstats.com/fight-details/7bced112f3229b1b" TargetMode="External"/><Relationship Id="rId4058" Type="http://schemas.openxmlformats.org/officeDocument/2006/relationships/hyperlink" Target="http://ufcstats.com/fight-details/0ce63c2148e70b4c" TargetMode="External"/><Relationship Id="rId4265" Type="http://schemas.openxmlformats.org/officeDocument/2006/relationships/hyperlink" Target="http://ufcstats.com/fight-details/b1af3bd0f8266a90" TargetMode="External"/><Relationship Id="rId1859" Type="http://schemas.openxmlformats.org/officeDocument/2006/relationships/hyperlink" Target="http://ufcstats.com/fight-details/c3ca708aaf4262a7" TargetMode="External"/><Relationship Id="rId3074" Type="http://schemas.openxmlformats.org/officeDocument/2006/relationships/hyperlink" Target="http://ufcstats.com/fight-details/fae99a4089f8abb0" TargetMode="External"/><Relationship Id="rId4125" Type="http://schemas.openxmlformats.org/officeDocument/2006/relationships/hyperlink" Target="http://ufcstats.com/fight-details/37a6fc5e69a7932d" TargetMode="External"/><Relationship Id="rId1719" Type="http://schemas.openxmlformats.org/officeDocument/2006/relationships/hyperlink" Target="http://ufcstats.com/fight-details/a2af14e9dba37b03" TargetMode="External"/><Relationship Id="rId1926" Type="http://schemas.openxmlformats.org/officeDocument/2006/relationships/hyperlink" Target="http://ufcstats.com/fight-details/6cb9bc7c86ae43b9" TargetMode="External"/><Relationship Id="rId3281" Type="http://schemas.openxmlformats.org/officeDocument/2006/relationships/hyperlink" Target="http://ufcstats.com/fight-details/8f00da6ea8186ce2" TargetMode="External"/><Relationship Id="rId4332" Type="http://schemas.openxmlformats.org/officeDocument/2006/relationships/hyperlink" Target="http://ufcstats.com/fight-details/0f826e7bbb73b53f" TargetMode="External"/><Relationship Id="rId2090" Type="http://schemas.openxmlformats.org/officeDocument/2006/relationships/hyperlink" Target="http://ufcstats.com/fight-details/14cf0828d6e373ab" TargetMode="External"/><Relationship Id="rId3141" Type="http://schemas.openxmlformats.org/officeDocument/2006/relationships/hyperlink" Target="http://ufcstats.com/fight-details/dc38c78358e053c3" TargetMode="External"/><Relationship Id="rId3001" Type="http://schemas.openxmlformats.org/officeDocument/2006/relationships/hyperlink" Target="http://ufcstats.com/fight-details/25e6b11e1cf45b83" TargetMode="External"/><Relationship Id="rId3958" Type="http://schemas.openxmlformats.org/officeDocument/2006/relationships/hyperlink" Target="http://ufcstats.com/fight-details/626c82ed45fdcf59" TargetMode="External"/><Relationship Id="rId879" Type="http://schemas.openxmlformats.org/officeDocument/2006/relationships/hyperlink" Target="http://ufcstats.com/fight-details/02f5621f480ad1d4" TargetMode="External"/><Relationship Id="rId2767" Type="http://schemas.openxmlformats.org/officeDocument/2006/relationships/hyperlink" Target="http://ufcstats.com/fight-details/0308bcdd00cc72e2" TargetMode="External"/><Relationship Id="rId739" Type="http://schemas.openxmlformats.org/officeDocument/2006/relationships/hyperlink" Target="http://ufcstats.com/fight-details/e4db3b1669d498c3" TargetMode="External"/><Relationship Id="rId1369" Type="http://schemas.openxmlformats.org/officeDocument/2006/relationships/hyperlink" Target="http://ufcstats.com/fight-details/8495283a56311b4d" TargetMode="External"/><Relationship Id="rId1576" Type="http://schemas.openxmlformats.org/officeDocument/2006/relationships/hyperlink" Target="http://ufcstats.com/fight-details/a3820f1eb82f2ba6" TargetMode="External"/><Relationship Id="rId2974" Type="http://schemas.openxmlformats.org/officeDocument/2006/relationships/hyperlink" Target="http://ufcstats.com/fight-details/8a39075a9ffaa971" TargetMode="External"/><Relationship Id="rId3818" Type="http://schemas.openxmlformats.org/officeDocument/2006/relationships/hyperlink" Target="http://ufcstats.com/fight-details/0732e6b6eb0a607d" TargetMode="External"/><Relationship Id="rId946" Type="http://schemas.openxmlformats.org/officeDocument/2006/relationships/hyperlink" Target="http://ufcstats.com/fight-details/59d44b6888885500" TargetMode="External"/><Relationship Id="rId1229" Type="http://schemas.openxmlformats.org/officeDocument/2006/relationships/hyperlink" Target="http://ufcstats.com/fight-details/8d1559bbcea7e92a" TargetMode="External"/><Relationship Id="rId1783" Type="http://schemas.openxmlformats.org/officeDocument/2006/relationships/hyperlink" Target="http://ufcstats.com/fight-details/14e7bb7a9d49450d" TargetMode="External"/><Relationship Id="rId1990" Type="http://schemas.openxmlformats.org/officeDocument/2006/relationships/hyperlink" Target="http://ufcstats.com/fight-details/76b6058cddda9238" TargetMode="External"/><Relationship Id="rId2627" Type="http://schemas.openxmlformats.org/officeDocument/2006/relationships/hyperlink" Target="http://ufcstats.com/fight-details/76b61ff4c9760f79" TargetMode="External"/><Relationship Id="rId2834" Type="http://schemas.openxmlformats.org/officeDocument/2006/relationships/hyperlink" Target="http://ufcstats.com/fight-details/3cf5e0ebb5f8322c" TargetMode="External"/><Relationship Id="rId75" Type="http://schemas.openxmlformats.org/officeDocument/2006/relationships/hyperlink" Target="http://ufcstats.com/fight-details/e92fb5c609e20b49" TargetMode="External"/><Relationship Id="rId806" Type="http://schemas.openxmlformats.org/officeDocument/2006/relationships/hyperlink" Target="http://ufcstats.com/fight-details/0bcb04163f8d8ead" TargetMode="External"/><Relationship Id="rId1436" Type="http://schemas.openxmlformats.org/officeDocument/2006/relationships/hyperlink" Target="http://ufcstats.com/fight-details/652a73f4bf7f1932" TargetMode="External"/><Relationship Id="rId1643" Type="http://schemas.openxmlformats.org/officeDocument/2006/relationships/hyperlink" Target="http://ufcstats.com/fight-details/a22add1024153ddb" TargetMode="External"/><Relationship Id="rId1850" Type="http://schemas.openxmlformats.org/officeDocument/2006/relationships/hyperlink" Target="http://ufcstats.com/fight-details/c7e084949531a443" TargetMode="External"/><Relationship Id="rId2901" Type="http://schemas.openxmlformats.org/officeDocument/2006/relationships/hyperlink" Target="http://ufcstats.com/fight-details/3b701c0a0525341b" TargetMode="External"/><Relationship Id="rId1503" Type="http://schemas.openxmlformats.org/officeDocument/2006/relationships/hyperlink" Target="http://ufcstats.com/fight-details/cfc550960a7ec353" TargetMode="External"/><Relationship Id="rId1710" Type="http://schemas.openxmlformats.org/officeDocument/2006/relationships/hyperlink" Target="http://ufcstats.com/fight-details/34c649f3f43a919b" TargetMode="External"/><Relationship Id="rId3468" Type="http://schemas.openxmlformats.org/officeDocument/2006/relationships/hyperlink" Target="http://ufcstats.com/fight-details/5301d765d64f863e" TargetMode="External"/><Relationship Id="rId3675" Type="http://schemas.openxmlformats.org/officeDocument/2006/relationships/hyperlink" Target="http://ufcstats.com/fight-details/3de326b65aa6245d" TargetMode="External"/><Relationship Id="rId3882" Type="http://schemas.openxmlformats.org/officeDocument/2006/relationships/hyperlink" Target="http://ufcstats.com/fight-details/934b44ddcb3d95e6" TargetMode="External"/><Relationship Id="rId389" Type="http://schemas.openxmlformats.org/officeDocument/2006/relationships/hyperlink" Target="http://ufcstats.com/fight-details/573908b71b361312" TargetMode="External"/><Relationship Id="rId596" Type="http://schemas.openxmlformats.org/officeDocument/2006/relationships/hyperlink" Target="http://ufcstats.com/fight-details/46c67efd68a0b15d" TargetMode="External"/><Relationship Id="rId2277" Type="http://schemas.openxmlformats.org/officeDocument/2006/relationships/hyperlink" Target="http://ufcstats.com/fight-details/463fac0e48505b62" TargetMode="External"/><Relationship Id="rId2484" Type="http://schemas.openxmlformats.org/officeDocument/2006/relationships/hyperlink" Target="http://ufcstats.com/fight-details/c2bcdcc472228768" TargetMode="External"/><Relationship Id="rId2691" Type="http://schemas.openxmlformats.org/officeDocument/2006/relationships/hyperlink" Target="http://ufcstats.com/fight-details/b2039609019496d9" TargetMode="External"/><Relationship Id="rId3328" Type="http://schemas.openxmlformats.org/officeDocument/2006/relationships/hyperlink" Target="http://ufcstats.com/fight-details/a02764f92a84dd36" TargetMode="External"/><Relationship Id="rId3535" Type="http://schemas.openxmlformats.org/officeDocument/2006/relationships/hyperlink" Target="http://ufcstats.com/fight-details/7e7fba47f511f8ad" TargetMode="External"/><Relationship Id="rId3742" Type="http://schemas.openxmlformats.org/officeDocument/2006/relationships/hyperlink" Target="http://ufcstats.com/fight-details/d8c7497043e7e5bd" TargetMode="External"/><Relationship Id="rId249" Type="http://schemas.openxmlformats.org/officeDocument/2006/relationships/hyperlink" Target="http://ufcstats.com/fight-details/dbc72a4092a0b296" TargetMode="External"/><Relationship Id="rId456" Type="http://schemas.openxmlformats.org/officeDocument/2006/relationships/hyperlink" Target="http://ufcstats.com/fight-details/e1897ff433134cb8" TargetMode="External"/><Relationship Id="rId663" Type="http://schemas.openxmlformats.org/officeDocument/2006/relationships/hyperlink" Target="http://ufcstats.com/fight-details/86deadaab9905a03" TargetMode="External"/><Relationship Id="rId870" Type="http://schemas.openxmlformats.org/officeDocument/2006/relationships/hyperlink" Target="http://ufcstats.com/fight-details/519dcb290e6db845" TargetMode="External"/><Relationship Id="rId1086" Type="http://schemas.openxmlformats.org/officeDocument/2006/relationships/hyperlink" Target="http://ufcstats.com/fight-details/b07188063c49b755" TargetMode="External"/><Relationship Id="rId1293" Type="http://schemas.openxmlformats.org/officeDocument/2006/relationships/hyperlink" Target="http://ufcstats.com/fight-details/5b6bdaf89e493674" TargetMode="External"/><Relationship Id="rId2137" Type="http://schemas.openxmlformats.org/officeDocument/2006/relationships/hyperlink" Target="http://ufcstats.com/fight-details/fae3f395669b7285" TargetMode="External"/><Relationship Id="rId2344" Type="http://schemas.openxmlformats.org/officeDocument/2006/relationships/hyperlink" Target="http://ufcstats.com/fight-details/ad7bd4b3ee923498" TargetMode="External"/><Relationship Id="rId2551" Type="http://schemas.openxmlformats.org/officeDocument/2006/relationships/hyperlink" Target="http://ufcstats.com/fight-details/7dc3ada8f2135477" TargetMode="External"/><Relationship Id="rId109" Type="http://schemas.openxmlformats.org/officeDocument/2006/relationships/hyperlink" Target="http://ufcstats.com/fight-details/bba6cc8760da34ab" TargetMode="External"/><Relationship Id="rId316" Type="http://schemas.openxmlformats.org/officeDocument/2006/relationships/hyperlink" Target="http://ufcstats.com/fight-details/ac656cebef8cf0a4" TargetMode="External"/><Relationship Id="rId523" Type="http://schemas.openxmlformats.org/officeDocument/2006/relationships/hyperlink" Target="http://ufcstats.com/fight-details/7045f8c1d5f6abff" TargetMode="External"/><Relationship Id="rId1153" Type="http://schemas.openxmlformats.org/officeDocument/2006/relationships/hyperlink" Target="http://ufcstats.com/fight-details/09ab925c4cfe0cc5" TargetMode="External"/><Relationship Id="rId2204" Type="http://schemas.openxmlformats.org/officeDocument/2006/relationships/hyperlink" Target="http://ufcstats.com/fight-details/1e9f081a84e7ec18" TargetMode="External"/><Relationship Id="rId3602" Type="http://schemas.openxmlformats.org/officeDocument/2006/relationships/hyperlink" Target="http://ufcstats.com/fight-details/69aa797cef2e4782" TargetMode="External"/><Relationship Id="rId730" Type="http://schemas.openxmlformats.org/officeDocument/2006/relationships/hyperlink" Target="http://ufcstats.com/fight-details/8b10419db5bffe28" TargetMode="External"/><Relationship Id="rId1013" Type="http://schemas.openxmlformats.org/officeDocument/2006/relationships/hyperlink" Target="http://ufcstats.com/fight-details/181ceedcacc01d48" TargetMode="External"/><Relationship Id="rId1360" Type="http://schemas.openxmlformats.org/officeDocument/2006/relationships/hyperlink" Target="http://ufcstats.com/fight-details/0c3622569cd8062a" TargetMode="External"/><Relationship Id="rId2411" Type="http://schemas.openxmlformats.org/officeDocument/2006/relationships/hyperlink" Target="http://ufcstats.com/fight-details/da7d7b4f20cd2af5" TargetMode="External"/><Relationship Id="rId4169" Type="http://schemas.openxmlformats.org/officeDocument/2006/relationships/hyperlink" Target="http://ufcstats.com/fight-details/0c618cd41b88c558" TargetMode="External"/><Relationship Id="rId1220" Type="http://schemas.openxmlformats.org/officeDocument/2006/relationships/hyperlink" Target="http://ufcstats.com/fight-details/c1677875a80c2584" TargetMode="External"/><Relationship Id="rId4376" Type="http://schemas.openxmlformats.org/officeDocument/2006/relationships/hyperlink" Target="http://ufcstats.com/fight-details/c571ac76ca45c1cb" TargetMode="External"/><Relationship Id="rId3185" Type="http://schemas.openxmlformats.org/officeDocument/2006/relationships/hyperlink" Target="http://ufcstats.com/fight-details/431e7931d8be8b5d" TargetMode="External"/><Relationship Id="rId3392" Type="http://schemas.openxmlformats.org/officeDocument/2006/relationships/hyperlink" Target="http://ufcstats.com/fight-details/ef86720364837f68" TargetMode="External"/><Relationship Id="rId4029" Type="http://schemas.openxmlformats.org/officeDocument/2006/relationships/hyperlink" Target="http://ufcstats.com/fight-details/47a5d4bb68352055" TargetMode="External"/><Relationship Id="rId4236" Type="http://schemas.openxmlformats.org/officeDocument/2006/relationships/hyperlink" Target="http://ufcstats.com/fight-details/7f3763caa99a3486" TargetMode="External"/><Relationship Id="rId4443" Type="http://schemas.openxmlformats.org/officeDocument/2006/relationships/hyperlink" Target="http://ufcstats.com/fight-details/c3b9b97467f828d1" TargetMode="External"/><Relationship Id="rId3045" Type="http://schemas.openxmlformats.org/officeDocument/2006/relationships/hyperlink" Target="http://ufcstats.com/fight-details/e27504d07ebbc441" TargetMode="External"/><Relationship Id="rId3252" Type="http://schemas.openxmlformats.org/officeDocument/2006/relationships/hyperlink" Target="http://ufcstats.com/fight-details/050eb872a69c66bd" TargetMode="External"/><Relationship Id="rId4303" Type="http://schemas.openxmlformats.org/officeDocument/2006/relationships/hyperlink" Target="http://ufcstats.com/fight-details/a4446299c1f85d74" TargetMode="External"/><Relationship Id="rId173" Type="http://schemas.openxmlformats.org/officeDocument/2006/relationships/hyperlink" Target="http://ufcstats.com/fight-details/244aa8f002274344" TargetMode="External"/><Relationship Id="rId380" Type="http://schemas.openxmlformats.org/officeDocument/2006/relationships/hyperlink" Target="http://ufcstats.com/fight-details/c03b6b6ce5d03276" TargetMode="External"/><Relationship Id="rId2061" Type="http://schemas.openxmlformats.org/officeDocument/2006/relationships/hyperlink" Target="http://ufcstats.com/fight-details/84d4b658851b7e0e" TargetMode="External"/><Relationship Id="rId3112" Type="http://schemas.openxmlformats.org/officeDocument/2006/relationships/hyperlink" Target="http://ufcstats.com/fight-details/c483ac06b1e33c3b" TargetMode="External"/><Relationship Id="rId240" Type="http://schemas.openxmlformats.org/officeDocument/2006/relationships/hyperlink" Target="http://ufcstats.com/fight-details/2456c4550c26e5e8" TargetMode="External"/><Relationship Id="rId100" Type="http://schemas.openxmlformats.org/officeDocument/2006/relationships/hyperlink" Target="http://ufcstats.com/fight-details/a3696c847ef6c7f9" TargetMode="External"/><Relationship Id="rId2878" Type="http://schemas.openxmlformats.org/officeDocument/2006/relationships/hyperlink" Target="http://ufcstats.com/fight-details/05f6459d1f3ed13f" TargetMode="External"/><Relationship Id="rId3929" Type="http://schemas.openxmlformats.org/officeDocument/2006/relationships/hyperlink" Target="http://ufcstats.com/fight-details/2cd9e3796be57a79" TargetMode="External"/><Relationship Id="rId4093" Type="http://schemas.openxmlformats.org/officeDocument/2006/relationships/hyperlink" Target="http://ufcstats.com/fight-details/707cb14717df5960" TargetMode="External"/><Relationship Id="rId1687" Type="http://schemas.openxmlformats.org/officeDocument/2006/relationships/hyperlink" Target="http://ufcstats.com/fight-details/56f984ac83fb34cc" TargetMode="External"/><Relationship Id="rId1894" Type="http://schemas.openxmlformats.org/officeDocument/2006/relationships/hyperlink" Target="http://ufcstats.com/fight-details/9fc03704a10977b3" TargetMode="External"/><Relationship Id="rId2738" Type="http://schemas.openxmlformats.org/officeDocument/2006/relationships/hyperlink" Target="http://ufcstats.com/fight-details/f208b79b0d78045b" TargetMode="External"/><Relationship Id="rId2945" Type="http://schemas.openxmlformats.org/officeDocument/2006/relationships/hyperlink" Target="http://ufcstats.com/fight-details/f5dd0a24a7dba53c" TargetMode="External"/><Relationship Id="rId917" Type="http://schemas.openxmlformats.org/officeDocument/2006/relationships/hyperlink" Target="http://ufcstats.com/fight-details/bb7ce8a6ba7f7cc5" TargetMode="External"/><Relationship Id="rId1547" Type="http://schemas.openxmlformats.org/officeDocument/2006/relationships/hyperlink" Target="http://ufcstats.com/fight-details/3627f5133ce55902" TargetMode="External"/><Relationship Id="rId1754" Type="http://schemas.openxmlformats.org/officeDocument/2006/relationships/hyperlink" Target="http://ufcstats.com/fight-details/e5a9f75b1117d848" TargetMode="External"/><Relationship Id="rId1961" Type="http://schemas.openxmlformats.org/officeDocument/2006/relationships/hyperlink" Target="http://ufcstats.com/fight-details/2faf5b8d708f8e94" TargetMode="External"/><Relationship Id="rId2805" Type="http://schemas.openxmlformats.org/officeDocument/2006/relationships/hyperlink" Target="http://ufcstats.com/fight-details/385101e8ad828c39" TargetMode="External"/><Relationship Id="rId4160" Type="http://schemas.openxmlformats.org/officeDocument/2006/relationships/hyperlink" Target="http://ufcstats.com/fight-details/1ff3dff34d0b60b8" TargetMode="External"/><Relationship Id="rId46" Type="http://schemas.openxmlformats.org/officeDocument/2006/relationships/hyperlink" Target="http://ufcstats.com/fight-details/48f7e64b548806cd" TargetMode="External"/><Relationship Id="rId1407" Type="http://schemas.openxmlformats.org/officeDocument/2006/relationships/hyperlink" Target="http://ufcstats.com/fight-details/57961c6adebfb13d" TargetMode="External"/><Relationship Id="rId1614" Type="http://schemas.openxmlformats.org/officeDocument/2006/relationships/hyperlink" Target="http://ufcstats.com/fight-details/d06495deb1ff1750" TargetMode="External"/><Relationship Id="rId1821" Type="http://schemas.openxmlformats.org/officeDocument/2006/relationships/hyperlink" Target="http://ufcstats.com/fight-details/a8bc6e005077bb0b" TargetMode="External"/><Relationship Id="rId4020" Type="http://schemas.openxmlformats.org/officeDocument/2006/relationships/hyperlink" Target="http://ufcstats.com/fight-details/b7d238437d6644ce" TargetMode="External"/><Relationship Id="rId3579" Type="http://schemas.openxmlformats.org/officeDocument/2006/relationships/hyperlink" Target="http://ufcstats.com/fight-details/110e1d794443b736" TargetMode="External"/><Relationship Id="rId3786" Type="http://schemas.openxmlformats.org/officeDocument/2006/relationships/hyperlink" Target="http://ufcstats.com/fight-details/88e0de323a83f241" TargetMode="External"/><Relationship Id="rId2388" Type="http://schemas.openxmlformats.org/officeDocument/2006/relationships/hyperlink" Target="http://ufcstats.com/fight-details/6c2199524d762b11" TargetMode="External"/><Relationship Id="rId2595" Type="http://schemas.openxmlformats.org/officeDocument/2006/relationships/hyperlink" Target="http://ufcstats.com/fight-details/860050f211b44d10" TargetMode="External"/><Relationship Id="rId3439" Type="http://schemas.openxmlformats.org/officeDocument/2006/relationships/hyperlink" Target="http://ufcstats.com/fight-details/958f6e5b79ff8c33" TargetMode="External"/><Relationship Id="rId3993" Type="http://schemas.openxmlformats.org/officeDocument/2006/relationships/hyperlink" Target="http://ufcstats.com/fight-details/8a3e7085e8e5a6e9" TargetMode="External"/><Relationship Id="rId567" Type="http://schemas.openxmlformats.org/officeDocument/2006/relationships/hyperlink" Target="http://ufcstats.com/fight-details/435c93cb89016fd1" TargetMode="External"/><Relationship Id="rId1197" Type="http://schemas.openxmlformats.org/officeDocument/2006/relationships/hyperlink" Target="http://ufcstats.com/fight-details/ac0a1d87e9ff4085" TargetMode="External"/><Relationship Id="rId2248" Type="http://schemas.openxmlformats.org/officeDocument/2006/relationships/hyperlink" Target="http://ufcstats.com/fight-details/62f564662f33692d" TargetMode="External"/><Relationship Id="rId3646" Type="http://schemas.openxmlformats.org/officeDocument/2006/relationships/hyperlink" Target="http://ufcstats.com/fight-details/3a81276a9641c6a1" TargetMode="External"/><Relationship Id="rId3853" Type="http://schemas.openxmlformats.org/officeDocument/2006/relationships/hyperlink" Target="http://ufcstats.com/fight-details/16d31775a8dcb31d" TargetMode="External"/><Relationship Id="rId774" Type="http://schemas.openxmlformats.org/officeDocument/2006/relationships/hyperlink" Target="http://ufcstats.com/fight-details/7ab1cdfe3e540856" TargetMode="External"/><Relationship Id="rId981" Type="http://schemas.openxmlformats.org/officeDocument/2006/relationships/hyperlink" Target="http://ufcstats.com/fight-details/13f5be7a2ea5577e" TargetMode="External"/><Relationship Id="rId1057" Type="http://schemas.openxmlformats.org/officeDocument/2006/relationships/hyperlink" Target="http://ufcstats.com/fight-details/b3248692dfb954b2" TargetMode="External"/><Relationship Id="rId2455" Type="http://schemas.openxmlformats.org/officeDocument/2006/relationships/hyperlink" Target="http://ufcstats.com/fight-details/d3f26e0fbf694375" TargetMode="External"/><Relationship Id="rId2662" Type="http://schemas.openxmlformats.org/officeDocument/2006/relationships/hyperlink" Target="http://ufcstats.com/fight-details/c5479f20e4db357d" TargetMode="External"/><Relationship Id="rId3506" Type="http://schemas.openxmlformats.org/officeDocument/2006/relationships/hyperlink" Target="http://ufcstats.com/fight-details/20d8f6b4b7c8bae7" TargetMode="External"/><Relationship Id="rId3713" Type="http://schemas.openxmlformats.org/officeDocument/2006/relationships/hyperlink" Target="http://ufcstats.com/fight-details/4f672dd40867d8c6" TargetMode="External"/><Relationship Id="rId3920" Type="http://schemas.openxmlformats.org/officeDocument/2006/relationships/hyperlink" Target="http://ufcstats.com/fight-details/692ceb2ac5fa4427" TargetMode="External"/><Relationship Id="rId427" Type="http://schemas.openxmlformats.org/officeDocument/2006/relationships/hyperlink" Target="http://ufcstats.com/fight-details/5cf03fdfe557803f" TargetMode="External"/><Relationship Id="rId634" Type="http://schemas.openxmlformats.org/officeDocument/2006/relationships/hyperlink" Target="http://ufcstats.com/fight-details/d66164d2c770da68" TargetMode="External"/><Relationship Id="rId841" Type="http://schemas.openxmlformats.org/officeDocument/2006/relationships/hyperlink" Target="http://ufcstats.com/fight-details/91aa08e910fb4412" TargetMode="External"/><Relationship Id="rId1264" Type="http://schemas.openxmlformats.org/officeDocument/2006/relationships/hyperlink" Target="http://ufcstats.com/fight-details/3256d907f58af95e" TargetMode="External"/><Relationship Id="rId1471" Type="http://schemas.openxmlformats.org/officeDocument/2006/relationships/hyperlink" Target="http://ufcstats.com/fight-details/fe3ff5b1d9135add" TargetMode="External"/><Relationship Id="rId2108" Type="http://schemas.openxmlformats.org/officeDocument/2006/relationships/hyperlink" Target="http://ufcstats.com/fight-details/3b1453df439a5024" TargetMode="External"/><Relationship Id="rId2315" Type="http://schemas.openxmlformats.org/officeDocument/2006/relationships/hyperlink" Target="http://ufcstats.com/fight-details/dbbd17b6995f014b" TargetMode="External"/><Relationship Id="rId2522" Type="http://schemas.openxmlformats.org/officeDocument/2006/relationships/hyperlink" Target="http://ufcstats.com/fight-details/845907142e023077" TargetMode="External"/><Relationship Id="rId701" Type="http://schemas.openxmlformats.org/officeDocument/2006/relationships/hyperlink" Target="http://ufcstats.com/fight-details/8cc4c597aecbfef5" TargetMode="External"/><Relationship Id="rId1124" Type="http://schemas.openxmlformats.org/officeDocument/2006/relationships/hyperlink" Target="http://ufcstats.com/fight-details/26ac85fc4bee63a6" TargetMode="External"/><Relationship Id="rId1331" Type="http://schemas.openxmlformats.org/officeDocument/2006/relationships/hyperlink" Target="http://ufcstats.com/fight-details/9bd9a8127b55fbf7" TargetMode="External"/><Relationship Id="rId3089" Type="http://schemas.openxmlformats.org/officeDocument/2006/relationships/hyperlink" Target="http://ufcstats.com/fight-details/bb9020ac324fb706" TargetMode="External"/><Relationship Id="rId3296" Type="http://schemas.openxmlformats.org/officeDocument/2006/relationships/hyperlink" Target="http://ufcstats.com/fight-details/bcd1e1d71a172d53" TargetMode="External"/><Relationship Id="rId4347" Type="http://schemas.openxmlformats.org/officeDocument/2006/relationships/hyperlink" Target="http://ufcstats.com/fight-details/87b6c507a7684ec2" TargetMode="External"/><Relationship Id="rId3156" Type="http://schemas.openxmlformats.org/officeDocument/2006/relationships/hyperlink" Target="http://ufcstats.com/fight-details/05cceae674c81b86" TargetMode="External"/><Relationship Id="rId3363" Type="http://schemas.openxmlformats.org/officeDocument/2006/relationships/hyperlink" Target="http://ufcstats.com/fight-details/f2ce79565c0820dd" TargetMode="External"/><Relationship Id="rId4207" Type="http://schemas.openxmlformats.org/officeDocument/2006/relationships/hyperlink" Target="http://ufcstats.com/fight-details/780147f2ed2637d1" TargetMode="External"/><Relationship Id="rId4414" Type="http://schemas.openxmlformats.org/officeDocument/2006/relationships/hyperlink" Target="http://ufcstats.com/fight-details/3640defb8294bd37" TargetMode="External"/><Relationship Id="rId284" Type="http://schemas.openxmlformats.org/officeDocument/2006/relationships/hyperlink" Target="http://ufcstats.com/fight-details/dbf8a4b0870a47d1" TargetMode="External"/><Relationship Id="rId491" Type="http://schemas.openxmlformats.org/officeDocument/2006/relationships/hyperlink" Target="http://ufcstats.com/fight-details/fa6e8fa6c3f05e31" TargetMode="External"/><Relationship Id="rId2172" Type="http://schemas.openxmlformats.org/officeDocument/2006/relationships/hyperlink" Target="http://ufcstats.com/fight-details/374508c76108d7fe" TargetMode="External"/><Relationship Id="rId3016" Type="http://schemas.openxmlformats.org/officeDocument/2006/relationships/hyperlink" Target="http://ufcstats.com/fight-details/c4704eab5e2f51b8" TargetMode="External"/><Relationship Id="rId3223" Type="http://schemas.openxmlformats.org/officeDocument/2006/relationships/hyperlink" Target="http://ufcstats.com/fight-details/fd0fd9a2d6ef8c4f" TargetMode="External"/><Relationship Id="rId3570" Type="http://schemas.openxmlformats.org/officeDocument/2006/relationships/hyperlink" Target="http://ufcstats.com/fight-details/083a6edd8bb21bc8" TargetMode="External"/><Relationship Id="rId144" Type="http://schemas.openxmlformats.org/officeDocument/2006/relationships/hyperlink" Target="http://ufcstats.com/fight-details/dcf161082c849205" TargetMode="External"/><Relationship Id="rId3430" Type="http://schemas.openxmlformats.org/officeDocument/2006/relationships/hyperlink" Target="http://ufcstats.com/fight-details/8edb831924d69dd9" TargetMode="External"/><Relationship Id="rId351" Type="http://schemas.openxmlformats.org/officeDocument/2006/relationships/hyperlink" Target="http://ufcstats.com/fight-details/56d8cc470841f454" TargetMode="External"/><Relationship Id="rId2032" Type="http://schemas.openxmlformats.org/officeDocument/2006/relationships/hyperlink" Target="http://ufcstats.com/fight-details/6915d46b49999f60" TargetMode="External"/><Relationship Id="rId2989" Type="http://schemas.openxmlformats.org/officeDocument/2006/relationships/hyperlink" Target="http://ufcstats.com/fight-details/02731f017c838ad4" TargetMode="External"/><Relationship Id="rId211" Type="http://schemas.openxmlformats.org/officeDocument/2006/relationships/hyperlink" Target="http://ufcstats.com/fight-details/7f663d67422c1b24" TargetMode="External"/><Relationship Id="rId1798" Type="http://schemas.openxmlformats.org/officeDocument/2006/relationships/hyperlink" Target="http://ufcstats.com/fight-details/394802bb096b403e" TargetMode="External"/><Relationship Id="rId2849" Type="http://schemas.openxmlformats.org/officeDocument/2006/relationships/hyperlink" Target="http://ufcstats.com/fight-details/88256dd5a9aef1cc" TargetMode="External"/><Relationship Id="rId1658" Type="http://schemas.openxmlformats.org/officeDocument/2006/relationships/hyperlink" Target="http://ufcstats.com/fight-details/fe132ef2ab8ae9d2" TargetMode="External"/><Relationship Id="rId1865" Type="http://schemas.openxmlformats.org/officeDocument/2006/relationships/hyperlink" Target="http://ufcstats.com/fight-details/bda97d9a44a89d52" TargetMode="External"/><Relationship Id="rId2709" Type="http://schemas.openxmlformats.org/officeDocument/2006/relationships/hyperlink" Target="http://ufcstats.com/fight-details/175d9e1ac0725145" TargetMode="External"/><Relationship Id="rId4064" Type="http://schemas.openxmlformats.org/officeDocument/2006/relationships/hyperlink" Target="http://ufcstats.com/fight-details/25b8c932da5e91f4" TargetMode="External"/><Relationship Id="rId4271" Type="http://schemas.openxmlformats.org/officeDocument/2006/relationships/hyperlink" Target="http://ufcstats.com/fight-details/3fc8afbb23b9ac16" TargetMode="External"/><Relationship Id="rId1518" Type="http://schemas.openxmlformats.org/officeDocument/2006/relationships/hyperlink" Target="http://ufcstats.com/fight-details/819af4bbad55324d" TargetMode="External"/><Relationship Id="rId2916" Type="http://schemas.openxmlformats.org/officeDocument/2006/relationships/hyperlink" Target="http://ufcstats.com/fight-details/627c0a50cff30405" TargetMode="External"/><Relationship Id="rId3080" Type="http://schemas.openxmlformats.org/officeDocument/2006/relationships/hyperlink" Target="http://ufcstats.com/fight-details/ceaae1db8ccde29c" TargetMode="External"/><Relationship Id="rId4131" Type="http://schemas.openxmlformats.org/officeDocument/2006/relationships/hyperlink" Target="http://ufcstats.com/fight-details/1d892fec31dc7ad7" TargetMode="External"/><Relationship Id="rId1725" Type="http://schemas.openxmlformats.org/officeDocument/2006/relationships/hyperlink" Target="http://ufcstats.com/fight-details/99373dc33dfbf6e0" TargetMode="External"/><Relationship Id="rId1932" Type="http://schemas.openxmlformats.org/officeDocument/2006/relationships/hyperlink" Target="http://ufcstats.com/fight-details/2c101a0bcf334d31" TargetMode="External"/><Relationship Id="rId17" Type="http://schemas.openxmlformats.org/officeDocument/2006/relationships/hyperlink" Target="http://ufcstats.com/fight-details/9b9ef12603e820ec" TargetMode="External"/><Relationship Id="rId3897" Type="http://schemas.openxmlformats.org/officeDocument/2006/relationships/hyperlink" Target="http://ufcstats.com/fight-details/0bb419537705fb04" TargetMode="External"/><Relationship Id="rId2499" Type="http://schemas.openxmlformats.org/officeDocument/2006/relationships/hyperlink" Target="http://ufcstats.com/fight-details/4bf3010fdeea9d93" TargetMode="External"/><Relationship Id="rId3757" Type="http://schemas.openxmlformats.org/officeDocument/2006/relationships/hyperlink" Target="http://ufcstats.com/fight-details/1bc662949337a8c4" TargetMode="External"/><Relationship Id="rId3964" Type="http://schemas.openxmlformats.org/officeDocument/2006/relationships/hyperlink" Target="http://ufcstats.com/fight-details/7736eb6bd5c1ff4a" TargetMode="External"/><Relationship Id="rId1" Type="http://schemas.openxmlformats.org/officeDocument/2006/relationships/hyperlink" Target="http://ufcstats.com/fight-details/39dccca8e8083072" TargetMode="External"/><Relationship Id="rId678" Type="http://schemas.openxmlformats.org/officeDocument/2006/relationships/hyperlink" Target="http://ufcstats.com/fight-details/a6441acec6718f03" TargetMode="External"/><Relationship Id="rId885" Type="http://schemas.openxmlformats.org/officeDocument/2006/relationships/hyperlink" Target="http://ufcstats.com/fight-details/582806c33ce6dcf6" TargetMode="External"/><Relationship Id="rId2359" Type="http://schemas.openxmlformats.org/officeDocument/2006/relationships/hyperlink" Target="http://ufcstats.com/fight-details/9b1386a28b81bcd5" TargetMode="External"/><Relationship Id="rId2566" Type="http://schemas.openxmlformats.org/officeDocument/2006/relationships/hyperlink" Target="http://ufcstats.com/fight-details/f83c6bdd553b5851" TargetMode="External"/><Relationship Id="rId2773" Type="http://schemas.openxmlformats.org/officeDocument/2006/relationships/hyperlink" Target="http://ufcstats.com/fight-details/30523303e8d85c25" TargetMode="External"/><Relationship Id="rId2980" Type="http://schemas.openxmlformats.org/officeDocument/2006/relationships/hyperlink" Target="http://ufcstats.com/fight-details/813444e109995c97" TargetMode="External"/><Relationship Id="rId3617" Type="http://schemas.openxmlformats.org/officeDocument/2006/relationships/hyperlink" Target="http://ufcstats.com/fight-details/d0e5487f55c57ad2" TargetMode="External"/><Relationship Id="rId3824" Type="http://schemas.openxmlformats.org/officeDocument/2006/relationships/hyperlink" Target="http://ufcstats.com/fight-details/a65909d4083c2088" TargetMode="External"/><Relationship Id="rId538" Type="http://schemas.openxmlformats.org/officeDocument/2006/relationships/hyperlink" Target="http://ufcstats.com/fight-details/73a83b2595416f0a" TargetMode="External"/><Relationship Id="rId745" Type="http://schemas.openxmlformats.org/officeDocument/2006/relationships/hyperlink" Target="http://ufcstats.com/fight-details/4bf0be780f2d09be" TargetMode="External"/><Relationship Id="rId952" Type="http://schemas.openxmlformats.org/officeDocument/2006/relationships/hyperlink" Target="http://ufcstats.com/fight-details/c8609059d2d87724" TargetMode="External"/><Relationship Id="rId1168" Type="http://schemas.openxmlformats.org/officeDocument/2006/relationships/hyperlink" Target="http://ufcstats.com/fight-details/84f6de7c99779e5f" TargetMode="External"/><Relationship Id="rId1375" Type="http://schemas.openxmlformats.org/officeDocument/2006/relationships/hyperlink" Target="http://ufcstats.com/fight-details/7864fc46de247f58" TargetMode="External"/><Relationship Id="rId1582" Type="http://schemas.openxmlformats.org/officeDocument/2006/relationships/hyperlink" Target="http://ufcstats.com/fight-details/826fb989c0e6208e" TargetMode="External"/><Relationship Id="rId2219" Type="http://schemas.openxmlformats.org/officeDocument/2006/relationships/hyperlink" Target="http://ufcstats.com/fight-details/63dd38f0dcc2ee88" TargetMode="External"/><Relationship Id="rId2426" Type="http://schemas.openxmlformats.org/officeDocument/2006/relationships/hyperlink" Target="http://ufcstats.com/fight-details/bd7a8c6c74655afc" TargetMode="External"/><Relationship Id="rId2633" Type="http://schemas.openxmlformats.org/officeDocument/2006/relationships/hyperlink" Target="http://ufcstats.com/fight-details/15a422574c3b89e1" TargetMode="External"/><Relationship Id="rId81" Type="http://schemas.openxmlformats.org/officeDocument/2006/relationships/hyperlink" Target="http://ufcstats.com/fight-details/a74a8c1e0a49070d" TargetMode="External"/><Relationship Id="rId605" Type="http://schemas.openxmlformats.org/officeDocument/2006/relationships/hyperlink" Target="http://ufcstats.com/fight-details/9f09e77e46f15766" TargetMode="External"/><Relationship Id="rId812" Type="http://schemas.openxmlformats.org/officeDocument/2006/relationships/hyperlink" Target="http://ufcstats.com/fight-details/ad878cdd4fa36a3a" TargetMode="External"/><Relationship Id="rId1028" Type="http://schemas.openxmlformats.org/officeDocument/2006/relationships/hyperlink" Target="http://ufcstats.com/fight-details/0094d2ed98819f7a" TargetMode="External"/><Relationship Id="rId1235" Type="http://schemas.openxmlformats.org/officeDocument/2006/relationships/hyperlink" Target="http://ufcstats.com/fight-details/f8fce67abe0ab922" TargetMode="External"/><Relationship Id="rId1442" Type="http://schemas.openxmlformats.org/officeDocument/2006/relationships/hyperlink" Target="http://ufcstats.com/fight-details/c4e866d9dd606faa" TargetMode="External"/><Relationship Id="rId2840" Type="http://schemas.openxmlformats.org/officeDocument/2006/relationships/hyperlink" Target="http://ufcstats.com/fight-details/7094c05bf73eee81" TargetMode="External"/><Relationship Id="rId1302" Type="http://schemas.openxmlformats.org/officeDocument/2006/relationships/hyperlink" Target="http://ufcstats.com/fight-details/6fd9a013cea5a403" TargetMode="External"/><Relationship Id="rId2700" Type="http://schemas.openxmlformats.org/officeDocument/2006/relationships/hyperlink" Target="http://ufcstats.com/fight-details/766dc3c5592b4d0d" TargetMode="External"/><Relationship Id="rId4458" Type="http://schemas.openxmlformats.org/officeDocument/2006/relationships/hyperlink" Target="http://ufcstats.com/fight-details/5ddf45e816a50fac" TargetMode="External"/><Relationship Id="rId3267" Type="http://schemas.openxmlformats.org/officeDocument/2006/relationships/hyperlink" Target="http://ufcstats.com/fight-details/3adab28c5c6a9254" TargetMode="External"/><Relationship Id="rId188" Type="http://schemas.openxmlformats.org/officeDocument/2006/relationships/hyperlink" Target="http://ufcstats.com/fight-details/148c26038e80465b" TargetMode="External"/><Relationship Id="rId395" Type="http://schemas.openxmlformats.org/officeDocument/2006/relationships/hyperlink" Target="http://ufcstats.com/fight-details/4eff0432bd364a23" TargetMode="External"/><Relationship Id="rId2076" Type="http://schemas.openxmlformats.org/officeDocument/2006/relationships/hyperlink" Target="http://ufcstats.com/fight-details/31b283a5559ad44d" TargetMode="External"/><Relationship Id="rId3474" Type="http://schemas.openxmlformats.org/officeDocument/2006/relationships/hyperlink" Target="http://ufcstats.com/fight-details/ac2887a0855a3266" TargetMode="External"/><Relationship Id="rId3681" Type="http://schemas.openxmlformats.org/officeDocument/2006/relationships/hyperlink" Target="http://ufcstats.com/fight-details/68f7f992603192c6" TargetMode="External"/><Relationship Id="rId4318" Type="http://schemas.openxmlformats.org/officeDocument/2006/relationships/hyperlink" Target="http://ufcstats.com/fight-details/7fe2b6a9fc4748fa" TargetMode="External"/><Relationship Id="rId2283" Type="http://schemas.openxmlformats.org/officeDocument/2006/relationships/hyperlink" Target="http://ufcstats.com/fight-details/165d3a571fcc5e3c" TargetMode="External"/><Relationship Id="rId2490" Type="http://schemas.openxmlformats.org/officeDocument/2006/relationships/hyperlink" Target="http://ufcstats.com/fight-details/12d9b4a3931be5ec" TargetMode="External"/><Relationship Id="rId3127" Type="http://schemas.openxmlformats.org/officeDocument/2006/relationships/hyperlink" Target="http://ufcstats.com/fight-details/b66ac52bfb217761" TargetMode="External"/><Relationship Id="rId3334" Type="http://schemas.openxmlformats.org/officeDocument/2006/relationships/hyperlink" Target="http://ufcstats.com/fight-details/864cddd6e165ea2d" TargetMode="External"/><Relationship Id="rId3541" Type="http://schemas.openxmlformats.org/officeDocument/2006/relationships/hyperlink" Target="http://ufcstats.com/fight-details/aa91cb7567d6c48a" TargetMode="External"/><Relationship Id="rId255" Type="http://schemas.openxmlformats.org/officeDocument/2006/relationships/hyperlink" Target="http://ufcstats.com/fight-details/fa77134e0d90da3b" TargetMode="External"/><Relationship Id="rId462" Type="http://schemas.openxmlformats.org/officeDocument/2006/relationships/hyperlink" Target="http://ufcstats.com/fight-details/f3ccbfd7036f3cf3" TargetMode="External"/><Relationship Id="rId1092" Type="http://schemas.openxmlformats.org/officeDocument/2006/relationships/hyperlink" Target="http://ufcstats.com/fight-details/c65f4b4c0338d0c1" TargetMode="External"/><Relationship Id="rId2143" Type="http://schemas.openxmlformats.org/officeDocument/2006/relationships/hyperlink" Target="http://ufcstats.com/fight-details/b1dee00c3052e65e" TargetMode="External"/><Relationship Id="rId2350" Type="http://schemas.openxmlformats.org/officeDocument/2006/relationships/hyperlink" Target="http://ufcstats.com/fight-details/730f14ccff80f3b0" TargetMode="External"/><Relationship Id="rId3401" Type="http://schemas.openxmlformats.org/officeDocument/2006/relationships/hyperlink" Target="http://ufcstats.com/fight-details/11b8d7e801713abc" TargetMode="External"/><Relationship Id="rId115" Type="http://schemas.openxmlformats.org/officeDocument/2006/relationships/hyperlink" Target="http://ufcstats.com/fight-details/3542f9f30926f364" TargetMode="External"/><Relationship Id="rId322" Type="http://schemas.openxmlformats.org/officeDocument/2006/relationships/hyperlink" Target="http://ufcstats.com/fight-details/1d35e4c0941d1397" TargetMode="External"/><Relationship Id="rId2003" Type="http://schemas.openxmlformats.org/officeDocument/2006/relationships/hyperlink" Target="http://ufcstats.com/fight-details/b0d06858fb725654" TargetMode="External"/><Relationship Id="rId2210" Type="http://schemas.openxmlformats.org/officeDocument/2006/relationships/hyperlink" Target="http://ufcstats.com/fight-details/8803935990adafc1" TargetMode="External"/><Relationship Id="rId4175" Type="http://schemas.openxmlformats.org/officeDocument/2006/relationships/hyperlink" Target="http://ufcstats.com/fight-details/dcc3da324eb5f26c" TargetMode="External"/><Relationship Id="rId4382" Type="http://schemas.openxmlformats.org/officeDocument/2006/relationships/hyperlink" Target="http://ufcstats.com/fight-details/dbf786f9808c6a08" TargetMode="External"/><Relationship Id="rId1769" Type="http://schemas.openxmlformats.org/officeDocument/2006/relationships/hyperlink" Target="http://ufcstats.com/fight-details/4f6d3cdf2c77fb57" TargetMode="External"/><Relationship Id="rId1976" Type="http://schemas.openxmlformats.org/officeDocument/2006/relationships/hyperlink" Target="http://ufcstats.com/fight-details/531ce3d8011fa1f6" TargetMode="External"/><Relationship Id="rId3191" Type="http://schemas.openxmlformats.org/officeDocument/2006/relationships/hyperlink" Target="http://ufcstats.com/fight-details/a7fd9da657bbce8e" TargetMode="External"/><Relationship Id="rId4035" Type="http://schemas.openxmlformats.org/officeDocument/2006/relationships/hyperlink" Target="http://ufcstats.com/fight-details/faac24c1b3d6368a" TargetMode="External"/><Relationship Id="rId4242" Type="http://schemas.openxmlformats.org/officeDocument/2006/relationships/hyperlink" Target="http://ufcstats.com/fight-details/2aeb3ec2d8c05dc8" TargetMode="External"/><Relationship Id="rId1629" Type="http://schemas.openxmlformats.org/officeDocument/2006/relationships/hyperlink" Target="http://ufcstats.com/fight-details/6087c50c5f95a677" TargetMode="External"/><Relationship Id="rId1836" Type="http://schemas.openxmlformats.org/officeDocument/2006/relationships/hyperlink" Target="http://ufcstats.com/fight-details/09a29fb09fe07559" TargetMode="External"/><Relationship Id="rId1903" Type="http://schemas.openxmlformats.org/officeDocument/2006/relationships/hyperlink" Target="http://ufcstats.com/fight-details/b6ea8880cc7af439" TargetMode="External"/><Relationship Id="rId3051" Type="http://schemas.openxmlformats.org/officeDocument/2006/relationships/hyperlink" Target="http://ufcstats.com/fight-details/e9700d51ec2b940b" TargetMode="External"/><Relationship Id="rId4102" Type="http://schemas.openxmlformats.org/officeDocument/2006/relationships/hyperlink" Target="http://ufcstats.com/fight-details/752f19e9c201ea57" TargetMode="External"/><Relationship Id="rId3868" Type="http://schemas.openxmlformats.org/officeDocument/2006/relationships/hyperlink" Target="http://ufcstats.com/fight-details/54bbc7974df586a1" TargetMode="External"/><Relationship Id="rId789" Type="http://schemas.openxmlformats.org/officeDocument/2006/relationships/hyperlink" Target="http://ufcstats.com/fight-details/8410fb6d495a2cc2" TargetMode="External"/><Relationship Id="rId996" Type="http://schemas.openxmlformats.org/officeDocument/2006/relationships/hyperlink" Target="http://ufcstats.com/fight-details/33d52ac2d70b8415" TargetMode="External"/><Relationship Id="rId2677" Type="http://schemas.openxmlformats.org/officeDocument/2006/relationships/hyperlink" Target="http://ufcstats.com/fight-details/2d6182d1d398ed6a" TargetMode="External"/><Relationship Id="rId2884" Type="http://schemas.openxmlformats.org/officeDocument/2006/relationships/hyperlink" Target="http://ufcstats.com/fight-details/fea7dd5904ab4c91" TargetMode="External"/><Relationship Id="rId3728" Type="http://schemas.openxmlformats.org/officeDocument/2006/relationships/hyperlink" Target="http://ufcstats.com/fight-details/1af574c0814429ac" TargetMode="External"/><Relationship Id="rId649" Type="http://schemas.openxmlformats.org/officeDocument/2006/relationships/hyperlink" Target="http://ufcstats.com/fight-details/54e2490959f66dc2" TargetMode="External"/><Relationship Id="rId856" Type="http://schemas.openxmlformats.org/officeDocument/2006/relationships/hyperlink" Target="http://ufcstats.com/fight-details/2361b51aa72e5551" TargetMode="External"/><Relationship Id="rId1279" Type="http://schemas.openxmlformats.org/officeDocument/2006/relationships/hyperlink" Target="http://ufcstats.com/fight-details/36f10b949b935b8c" TargetMode="External"/><Relationship Id="rId1486" Type="http://schemas.openxmlformats.org/officeDocument/2006/relationships/hyperlink" Target="http://ufcstats.com/fight-details/969970fbe24945d0" TargetMode="External"/><Relationship Id="rId2537" Type="http://schemas.openxmlformats.org/officeDocument/2006/relationships/hyperlink" Target="http://ufcstats.com/fight-details/84d633d4a9fbf331" TargetMode="External"/><Relationship Id="rId3935" Type="http://schemas.openxmlformats.org/officeDocument/2006/relationships/hyperlink" Target="http://ufcstats.com/fight-details/bd887c173d3050bf" TargetMode="External"/><Relationship Id="rId509" Type="http://schemas.openxmlformats.org/officeDocument/2006/relationships/hyperlink" Target="http://ufcstats.com/fight-details/bcc9dca5136fc765" TargetMode="External"/><Relationship Id="rId1139" Type="http://schemas.openxmlformats.org/officeDocument/2006/relationships/hyperlink" Target="http://ufcstats.com/fight-details/16dbe70eb7007f17" TargetMode="External"/><Relationship Id="rId1346" Type="http://schemas.openxmlformats.org/officeDocument/2006/relationships/hyperlink" Target="http://ufcstats.com/fight-details/409bcfacb259999a" TargetMode="External"/><Relationship Id="rId1693" Type="http://schemas.openxmlformats.org/officeDocument/2006/relationships/hyperlink" Target="http://ufcstats.com/fight-details/cf13dd810b2bd061" TargetMode="External"/><Relationship Id="rId2744" Type="http://schemas.openxmlformats.org/officeDocument/2006/relationships/hyperlink" Target="http://ufcstats.com/fight-details/6fe8bce03a46350b" TargetMode="External"/><Relationship Id="rId2951" Type="http://schemas.openxmlformats.org/officeDocument/2006/relationships/hyperlink" Target="http://ufcstats.com/fight-details/01468f766dd7385c" TargetMode="External"/><Relationship Id="rId716" Type="http://schemas.openxmlformats.org/officeDocument/2006/relationships/hyperlink" Target="http://ufcstats.com/fight-details/67018331e90a9949" TargetMode="External"/><Relationship Id="rId923" Type="http://schemas.openxmlformats.org/officeDocument/2006/relationships/hyperlink" Target="http://ufcstats.com/fight-details/00b7497b02b3b2bb" TargetMode="External"/><Relationship Id="rId1553" Type="http://schemas.openxmlformats.org/officeDocument/2006/relationships/hyperlink" Target="http://ufcstats.com/fight-details/43fbc59edc7dfa9f" TargetMode="External"/><Relationship Id="rId1760" Type="http://schemas.openxmlformats.org/officeDocument/2006/relationships/hyperlink" Target="http://ufcstats.com/fight-details/22e5596f75d9d8e7" TargetMode="External"/><Relationship Id="rId2604" Type="http://schemas.openxmlformats.org/officeDocument/2006/relationships/hyperlink" Target="http://ufcstats.com/fight-details/3f38100fd8dae286" TargetMode="External"/><Relationship Id="rId2811" Type="http://schemas.openxmlformats.org/officeDocument/2006/relationships/hyperlink" Target="http://ufcstats.com/fight-details/3fc9fea36fc7ec37" TargetMode="External"/><Relationship Id="rId52" Type="http://schemas.openxmlformats.org/officeDocument/2006/relationships/hyperlink" Target="http://ufcstats.com/fight-details/95a0d706e1f4cfa2" TargetMode="External"/><Relationship Id="rId1206" Type="http://schemas.openxmlformats.org/officeDocument/2006/relationships/hyperlink" Target="http://ufcstats.com/fight-details/18dde81d45ac2232" TargetMode="External"/><Relationship Id="rId1413" Type="http://schemas.openxmlformats.org/officeDocument/2006/relationships/hyperlink" Target="http://ufcstats.com/fight-details/3b561a154aa2bbb2" TargetMode="External"/><Relationship Id="rId1620" Type="http://schemas.openxmlformats.org/officeDocument/2006/relationships/hyperlink" Target="http://ufcstats.com/fight-details/bc86601cf781a89c" TargetMode="External"/><Relationship Id="rId3378" Type="http://schemas.openxmlformats.org/officeDocument/2006/relationships/hyperlink" Target="http://ufcstats.com/fight-details/3f5a623cf360c494" TargetMode="External"/><Relationship Id="rId3585" Type="http://schemas.openxmlformats.org/officeDocument/2006/relationships/hyperlink" Target="http://ufcstats.com/fight-details/3636ca71c557c5e8" TargetMode="External"/><Relationship Id="rId3792" Type="http://schemas.openxmlformats.org/officeDocument/2006/relationships/hyperlink" Target="http://ufcstats.com/fight-details/60cc0ac9ace28324" TargetMode="External"/><Relationship Id="rId4429" Type="http://schemas.openxmlformats.org/officeDocument/2006/relationships/hyperlink" Target="http://ufcstats.com/fight-details/f2336b7545f5f442" TargetMode="External"/><Relationship Id="rId299" Type="http://schemas.openxmlformats.org/officeDocument/2006/relationships/hyperlink" Target="http://ufcstats.com/fight-details/241687ff5fe92331" TargetMode="External"/><Relationship Id="rId2187" Type="http://schemas.openxmlformats.org/officeDocument/2006/relationships/hyperlink" Target="http://ufcstats.com/fight-details/2bcb878e9d02b8f7" TargetMode="External"/><Relationship Id="rId2394" Type="http://schemas.openxmlformats.org/officeDocument/2006/relationships/hyperlink" Target="http://ufcstats.com/fight-details/6c67aa7063717a0c" TargetMode="External"/><Relationship Id="rId3238" Type="http://schemas.openxmlformats.org/officeDocument/2006/relationships/hyperlink" Target="http://ufcstats.com/fight-details/296cc69bcc3c1635" TargetMode="External"/><Relationship Id="rId3445" Type="http://schemas.openxmlformats.org/officeDocument/2006/relationships/hyperlink" Target="http://ufcstats.com/fight-details/3aace29fcc65ec51" TargetMode="External"/><Relationship Id="rId3652" Type="http://schemas.openxmlformats.org/officeDocument/2006/relationships/hyperlink" Target="http://ufcstats.com/fight-details/071a1cd551b7b4d5" TargetMode="External"/><Relationship Id="rId159" Type="http://schemas.openxmlformats.org/officeDocument/2006/relationships/hyperlink" Target="http://ufcstats.com/fight-details/24bcade0007c2246" TargetMode="External"/><Relationship Id="rId366" Type="http://schemas.openxmlformats.org/officeDocument/2006/relationships/hyperlink" Target="http://ufcstats.com/fight-details/dbcc5b5d568efa8b" TargetMode="External"/><Relationship Id="rId573" Type="http://schemas.openxmlformats.org/officeDocument/2006/relationships/hyperlink" Target="http://ufcstats.com/fight-details/777df8b5e28f42ff" TargetMode="External"/><Relationship Id="rId780" Type="http://schemas.openxmlformats.org/officeDocument/2006/relationships/hyperlink" Target="http://ufcstats.com/fight-details/6049301b4deea035" TargetMode="External"/><Relationship Id="rId2047" Type="http://schemas.openxmlformats.org/officeDocument/2006/relationships/hyperlink" Target="http://ufcstats.com/fight-details/eab100e978c730c5" TargetMode="External"/><Relationship Id="rId2254" Type="http://schemas.openxmlformats.org/officeDocument/2006/relationships/hyperlink" Target="http://ufcstats.com/fight-details/d69e3677060af4c7" TargetMode="External"/><Relationship Id="rId2461" Type="http://schemas.openxmlformats.org/officeDocument/2006/relationships/hyperlink" Target="http://ufcstats.com/fight-details/238832b58a66ae07" TargetMode="External"/><Relationship Id="rId3305" Type="http://schemas.openxmlformats.org/officeDocument/2006/relationships/hyperlink" Target="http://ufcstats.com/fight-details/d5ffdb5388ffabc6" TargetMode="External"/><Relationship Id="rId3512" Type="http://schemas.openxmlformats.org/officeDocument/2006/relationships/hyperlink" Target="http://ufcstats.com/fight-details/bd6909a463a1de2b" TargetMode="External"/><Relationship Id="rId226" Type="http://schemas.openxmlformats.org/officeDocument/2006/relationships/hyperlink" Target="http://ufcstats.com/fight-details/e7e244a0bf244e61" TargetMode="External"/><Relationship Id="rId433" Type="http://schemas.openxmlformats.org/officeDocument/2006/relationships/hyperlink" Target="http://ufcstats.com/fight-details/11558384f80f6506" TargetMode="External"/><Relationship Id="rId1063" Type="http://schemas.openxmlformats.org/officeDocument/2006/relationships/hyperlink" Target="http://ufcstats.com/fight-details/8081cb92f71401c6" TargetMode="External"/><Relationship Id="rId1270" Type="http://schemas.openxmlformats.org/officeDocument/2006/relationships/hyperlink" Target="http://ufcstats.com/fight-details/9a984ea967886979" TargetMode="External"/><Relationship Id="rId2114" Type="http://schemas.openxmlformats.org/officeDocument/2006/relationships/hyperlink" Target="http://ufcstats.com/fight-details/bed03663bc577f02" TargetMode="External"/><Relationship Id="rId640" Type="http://schemas.openxmlformats.org/officeDocument/2006/relationships/hyperlink" Target="http://ufcstats.com/fight-details/4ffbadfb86284af5" TargetMode="External"/><Relationship Id="rId2321" Type="http://schemas.openxmlformats.org/officeDocument/2006/relationships/hyperlink" Target="http://ufcstats.com/fight-details/a200b5dcbdd2506e" TargetMode="External"/><Relationship Id="rId4079" Type="http://schemas.openxmlformats.org/officeDocument/2006/relationships/hyperlink" Target="http://ufcstats.com/fight-details/151c2bd6dfefb4b5" TargetMode="External"/><Relationship Id="rId4286" Type="http://schemas.openxmlformats.org/officeDocument/2006/relationships/hyperlink" Target="http://ufcstats.com/fight-details/742dc4196d329db0" TargetMode="External"/><Relationship Id="rId500" Type="http://schemas.openxmlformats.org/officeDocument/2006/relationships/hyperlink" Target="http://ufcstats.com/fight-details/588a39cab19065bc" TargetMode="External"/><Relationship Id="rId1130" Type="http://schemas.openxmlformats.org/officeDocument/2006/relationships/hyperlink" Target="http://ufcstats.com/fight-details/3a25be6438e3f94a" TargetMode="External"/><Relationship Id="rId1947" Type="http://schemas.openxmlformats.org/officeDocument/2006/relationships/hyperlink" Target="http://ufcstats.com/fight-details/0ad5c6752e679de5" TargetMode="External"/><Relationship Id="rId3095" Type="http://schemas.openxmlformats.org/officeDocument/2006/relationships/hyperlink" Target="http://ufcstats.com/fight-details/01a4827b3596d111" TargetMode="External"/><Relationship Id="rId4146" Type="http://schemas.openxmlformats.org/officeDocument/2006/relationships/hyperlink" Target="http://ufcstats.com/fight-details/2b11aa4b90b1dd41" TargetMode="External"/><Relationship Id="rId4353" Type="http://schemas.openxmlformats.org/officeDocument/2006/relationships/hyperlink" Target="http://ufcstats.com/fight-details/c5990f9767b16c48" TargetMode="External"/><Relationship Id="rId1807" Type="http://schemas.openxmlformats.org/officeDocument/2006/relationships/hyperlink" Target="http://ufcstats.com/fight-details/2116affb9c8f193b" TargetMode="External"/><Relationship Id="rId3162" Type="http://schemas.openxmlformats.org/officeDocument/2006/relationships/hyperlink" Target="http://ufcstats.com/fight-details/66eddbe35056c06d" TargetMode="External"/><Relationship Id="rId4006" Type="http://schemas.openxmlformats.org/officeDocument/2006/relationships/hyperlink" Target="http://ufcstats.com/fight-details/5f900e4437e079b3" TargetMode="External"/><Relationship Id="rId4213" Type="http://schemas.openxmlformats.org/officeDocument/2006/relationships/hyperlink" Target="http://ufcstats.com/fight-details/2e200563dd7c4922" TargetMode="External"/><Relationship Id="rId4420" Type="http://schemas.openxmlformats.org/officeDocument/2006/relationships/hyperlink" Target="http://ufcstats.com/fight-details/54f9e3e1fad7a589" TargetMode="External"/><Relationship Id="rId290" Type="http://schemas.openxmlformats.org/officeDocument/2006/relationships/hyperlink" Target="http://ufcstats.com/fight-details/63b35df1276b3d64" TargetMode="External"/><Relationship Id="rId3022" Type="http://schemas.openxmlformats.org/officeDocument/2006/relationships/hyperlink" Target="http://ufcstats.com/fight-details/dc0ab34f1952cb48" TargetMode="External"/><Relationship Id="rId150" Type="http://schemas.openxmlformats.org/officeDocument/2006/relationships/hyperlink" Target="http://ufcstats.com/fight-details/737e2781e4a7db5c" TargetMode="External"/><Relationship Id="rId3979" Type="http://schemas.openxmlformats.org/officeDocument/2006/relationships/hyperlink" Target="http://ufcstats.com/fight-details/671f42536454e541" TargetMode="External"/><Relationship Id="rId2788" Type="http://schemas.openxmlformats.org/officeDocument/2006/relationships/hyperlink" Target="http://ufcstats.com/fight-details/e8f4e8ff49678b44" TargetMode="External"/><Relationship Id="rId2995" Type="http://schemas.openxmlformats.org/officeDocument/2006/relationships/hyperlink" Target="http://ufcstats.com/fight-details/c87d2569da8d4305" TargetMode="External"/><Relationship Id="rId3839" Type="http://schemas.openxmlformats.org/officeDocument/2006/relationships/hyperlink" Target="http://ufcstats.com/fight-details/6997693d552600dd" TargetMode="External"/><Relationship Id="rId967" Type="http://schemas.openxmlformats.org/officeDocument/2006/relationships/hyperlink" Target="http://ufcstats.com/fight-details/c6cc6ae23cbf8a27" TargetMode="External"/><Relationship Id="rId1597" Type="http://schemas.openxmlformats.org/officeDocument/2006/relationships/hyperlink" Target="http://ufcstats.com/fight-details/99808befeece3a8a" TargetMode="External"/><Relationship Id="rId2648" Type="http://schemas.openxmlformats.org/officeDocument/2006/relationships/hyperlink" Target="http://ufcstats.com/fight-details/2eb56023c4a54504" TargetMode="External"/><Relationship Id="rId2855" Type="http://schemas.openxmlformats.org/officeDocument/2006/relationships/hyperlink" Target="http://ufcstats.com/fight-details/0459297e86a14981" TargetMode="External"/><Relationship Id="rId3906" Type="http://schemas.openxmlformats.org/officeDocument/2006/relationships/hyperlink" Target="http://ufcstats.com/fight-details/bdc1561ed4c6e22f" TargetMode="External"/><Relationship Id="rId96" Type="http://schemas.openxmlformats.org/officeDocument/2006/relationships/hyperlink" Target="http://ufcstats.com/fight-details/354dc211166a3982" TargetMode="External"/><Relationship Id="rId827" Type="http://schemas.openxmlformats.org/officeDocument/2006/relationships/hyperlink" Target="http://ufcstats.com/fight-details/901dbd1e6463c4ba" TargetMode="External"/><Relationship Id="rId1457" Type="http://schemas.openxmlformats.org/officeDocument/2006/relationships/hyperlink" Target="http://ufcstats.com/fight-details/ccfe7b0d29c5440c" TargetMode="External"/><Relationship Id="rId1664" Type="http://schemas.openxmlformats.org/officeDocument/2006/relationships/hyperlink" Target="http://ufcstats.com/fight-details/17c598d7841daae0" TargetMode="External"/><Relationship Id="rId1871" Type="http://schemas.openxmlformats.org/officeDocument/2006/relationships/hyperlink" Target="http://ufcstats.com/fight-details/3901d9cdbb0949bc" TargetMode="External"/><Relationship Id="rId2508" Type="http://schemas.openxmlformats.org/officeDocument/2006/relationships/hyperlink" Target="http://ufcstats.com/fight-details/c74b03337a8441ed" TargetMode="External"/><Relationship Id="rId2715" Type="http://schemas.openxmlformats.org/officeDocument/2006/relationships/hyperlink" Target="http://ufcstats.com/fight-details/2723f4d275d3f619" TargetMode="External"/><Relationship Id="rId2922" Type="http://schemas.openxmlformats.org/officeDocument/2006/relationships/hyperlink" Target="http://ufcstats.com/fight-details/b823aa523c9618b5" TargetMode="External"/><Relationship Id="rId4070" Type="http://schemas.openxmlformats.org/officeDocument/2006/relationships/hyperlink" Target="http://ufcstats.com/fight-details/9b6135943a4c8fe7" TargetMode="External"/><Relationship Id="rId1317" Type="http://schemas.openxmlformats.org/officeDocument/2006/relationships/hyperlink" Target="http://ufcstats.com/fight-details/3637e661b6854b49" TargetMode="External"/><Relationship Id="rId1524" Type="http://schemas.openxmlformats.org/officeDocument/2006/relationships/hyperlink" Target="http://ufcstats.com/fight-details/0769ab47fcf0bf6b" TargetMode="External"/><Relationship Id="rId1731" Type="http://schemas.openxmlformats.org/officeDocument/2006/relationships/hyperlink" Target="http://ufcstats.com/fight-details/e4862c4f20117cb8" TargetMode="External"/><Relationship Id="rId23" Type="http://schemas.openxmlformats.org/officeDocument/2006/relationships/hyperlink" Target="http://ufcstats.com/fight-details/9e4dcac049327529" TargetMode="External"/><Relationship Id="rId3489" Type="http://schemas.openxmlformats.org/officeDocument/2006/relationships/hyperlink" Target="http://ufcstats.com/fight-details/0d077813b6164fe1" TargetMode="External"/><Relationship Id="rId3696" Type="http://schemas.openxmlformats.org/officeDocument/2006/relationships/hyperlink" Target="http://ufcstats.com/fight-details/a419e6df765aa755" TargetMode="External"/><Relationship Id="rId2298" Type="http://schemas.openxmlformats.org/officeDocument/2006/relationships/hyperlink" Target="http://ufcstats.com/fight-details/2c65d5d20cc893e4" TargetMode="External"/><Relationship Id="rId3349" Type="http://schemas.openxmlformats.org/officeDocument/2006/relationships/hyperlink" Target="http://ufcstats.com/fight-details/2ef54419defb2364" TargetMode="External"/><Relationship Id="rId3556" Type="http://schemas.openxmlformats.org/officeDocument/2006/relationships/hyperlink" Target="http://ufcstats.com/fight-details/6ec62f8822843edf" TargetMode="External"/><Relationship Id="rId477" Type="http://schemas.openxmlformats.org/officeDocument/2006/relationships/hyperlink" Target="http://ufcstats.com/fight-details/29de6ddc42a2e674" TargetMode="External"/><Relationship Id="rId684" Type="http://schemas.openxmlformats.org/officeDocument/2006/relationships/hyperlink" Target="http://ufcstats.com/fight-details/a4527094aa107b55" TargetMode="External"/><Relationship Id="rId2158" Type="http://schemas.openxmlformats.org/officeDocument/2006/relationships/hyperlink" Target="http://ufcstats.com/fight-details/b7653a82f4b07b1f" TargetMode="External"/><Relationship Id="rId2365" Type="http://schemas.openxmlformats.org/officeDocument/2006/relationships/hyperlink" Target="http://ufcstats.com/fight-details/0d5356c506111a57" TargetMode="External"/><Relationship Id="rId3209" Type="http://schemas.openxmlformats.org/officeDocument/2006/relationships/hyperlink" Target="http://ufcstats.com/fight-details/f09c3d8a26806761" TargetMode="External"/><Relationship Id="rId3763" Type="http://schemas.openxmlformats.org/officeDocument/2006/relationships/hyperlink" Target="http://ufcstats.com/fight-details/696ff200d98fa878" TargetMode="External"/><Relationship Id="rId3970" Type="http://schemas.openxmlformats.org/officeDocument/2006/relationships/hyperlink" Target="http://ufcstats.com/fight-details/01aa5949ac6851f3" TargetMode="External"/><Relationship Id="rId337" Type="http://schemas.openxmlformats.org/officeDocument/2006/relationships/hyperlink" Target="http://ufcstats.com/fight-details/1218cba28d4dce94" TargetMode="External"/><Relationship Id="rId891" Type="http://schemas.openxmlformats.org/officeDocument/2006/relationships/hyperlink" Target="http://ufcstats.com/fight-details/4d56bcd82438e632" TargetMode="External"/><Relationship Id="rId2018" Type="http://schemas.openxmlformats.org/officeDocument/2006/relationships/hyperlink" Target="http://ufcstats.com/fight-details/23c7c6ceee34585f" TargetMode="External"/><Relationship Id="rId2572" Type="http://schemas.openxmlformats.org/officeDocument/2006/relationships/hyperlink" Target="http://ufcstats.com/fight-details/4ea48bf2407b405d" TargetMode="External"/><Relationship Id="rId3416" Type="http://schemas.openxmlformats.org/officeDocument/2006/relationships/hyperlink" Target="http://ufcstats.com/fight-details/b53fd8bce62aa1c6" TargetMode="External"/><Relationship Id="rId3623" Type="http://schemas.openxmlformats.org/officeDocument/2006/relationships/hyperlink" Target="http://ufcstats.com/fight-details/8cdc9c13d75adb28" TargetMode="External"/><Relationship Id="rId3830" Type="http://schemas.openxmlformats.org/officeDocument/2006/relationships/hyperlink" Target="http://ufcstats.com/fight-details/377c8eb085bb8e00" TargetMode="External"/><Relationship Id="rId544" Type="http://schemas.openxmlformats.org/officeDocument/2006/relationships/hyperlink" Target="http://ufcstats.com/fight-details/58540b24ed77d31b" TargetMode="External"/><Relationship Id="rId751" Type="http://schemas.openxmlformats.org/officeDocument/2006/relationships/hyperlink" Target="http://ufcstats.com/fight-details/4fa26e1e88583ab5" TargetMode="External"/><Relationship Id="rId1174" Type="http://schemas.openxmlformats.org/officeDocument/2006/relationships/hyperlink" Target="http://ufcstats.com/fight-details/7969abc596485189" TargetMode="External"/><Relationship Id="rId1381" Type="http://schemas.openxmlformats.org/officeDocument/2006/relationships/hyperlink" Target="http://ufcstats.com/fight-details/1e525f9857019a2e" TargetMode="External"/><Relationship Id="rId2225" Type="http://schemas.openxmlformats.org/officeDocument/2006/relationships/hyperlink" Target="http://ufcstats.com/fight-details/a00b4e82f9d4f92c" TargetMode="External"/><Relationship Id="rId2432" Type="http://schemas.openxmlformats.org/officeDocument/2006/relationships/hyperlink" Target="http://ufcstats.com/fight-details/c7780ac294530c0d" TargetMode="External"/><Relationship Id="rId404" Type="http://schemas.openxmlformats.org/officeDocument/2006/relationships/hyperlink" Target="http://ufcstats.com/fight-details/fbedeb4e4b019b94" TargetMode="External"/><Relationship Id="rId611" Type="http://schemas.openxmlformats.org/officeDocument/2006/relationships/hyperlink" Target="http://ufcstats.com/fight-details/21f79cd40513d075" TargetMode="External"/><Relationship Id="rId1034" Type="http://schemas.openxmlformats.org/officeDocument/2006/relationships/hyperlink" Target="http://ufcstats.com/fight-details/e8d087f822be7b02" TargetMode="External"/><Relationship Id="rId1241" Type="http://schemas.openxmlformats.org/officeDocument/2006/relationships/hyperlink" Target="http://ufcstats.com/fight-details/2874ea5d2f783e23" TargetMode="External"/><Relationship Id="rId4397" Type="http://schemas.openxmlformats.org/officeDocument/2006/relationships/hyperlink" Target="http://ufcstats.com/fight-details/6fd67582d8adb1c7" TargetMode="External"/><Relationship Id="rId1101" Type="http://schemas.openxmlformats.org/officeDocument/2006/relationships/hyperlink" Target="http://ufcstats.com/fight-details/d97970009fbfca30" TargetMode="External"/><Relationship Id="rId4257" Type="http://schemas.openxmlformats.org/officeDocument/2006/relationships/hyperlink" Target="http://ufcstats.com/fight-details/c960184a583f1861" TargetMode="External"/><Relationship Id="rId3066" Type="http://schemas.openxmlformats.org/officeDocument/2006/relationships/hyperlink" Target="http://ufcstats.com/fight-details/06cd9812e2b9b747" TargetMode="External"/><Relationship Id="rId3273" Type="http://schemas.openxmlformats.org/officeDocument/2006/relationships/hyperlink" Target="http://ufcstats.com/fight-details/0548a24a9bf8d7a0" TargetMode="External"/><Relationship Id="rId3480" Type="http://schemas.openxmlformats.org/officeDocument/2006/relationships/hyperlink" Target="http://ufcstats.com/fight-details/ed707998b13d0101" TargetMode="External"/><Relationship Id="rId4117" Type="http://schemas.openxmlformats.org/officeDocument/2006/relationships/hyperlink" Target="http://ufcstats.com/fight-details/102fb91414fd24ab" TargetMode="External"/><Relationship Id="rId4324" Type="http://schemas.openxmlformats.org/officeDocument/2006/relationships/hyperlink" Target="http://ufcstats.com/fight-details/9f10afab94cafc45" TargetMode="External"/><Relationship Id="rId194" Type="http://schemas.openxmlformats.org/officeDocument/2006/relationships/hyperlink" Target="http://ufcstats.com/fight-details/efe055854f19a1d7" TargetMode="External"/><Relationship Id="rId1918" Type="http://schemas.openxmlformats.org/officeDocument/2006/relationships/hyperlink" Target="http://ufcstats.com/fight-details/1109a8f2adc81ce0" TargetMode="External"/><Relationship Id="rId2082" Type="http://schemas.openxmlformats.org/officeDocument/2006/relationships/hyperlink" Target="http://ufcstats.com/fight-details/a212e4c197983ad1" TargetMode="External"/><Relationship Id="rId3133" Type="http://schemas.openxmlformats.org/officeDocument/2006/relationships/hyperlink" Target="http://ufcstats.com/fight-details/60c62fb7bd17a8b3" TargetMode="External"/><Relationship Id="rId261" Type="http://schemas.openxmlformats.org/officeDocument/2006/relationships/hyperlink" Target="http://ufcstats.com/fight-details/58584ccd0f63e3f3" TargetMode="External"/><Relationship Id="rId3340" Type="http://schemas.openxmlformats.org/officeDocument/2006/relationships/hyperlink" Target="http://ufcstats.com/fight-details/f2d9814936a6eb35" TargetMode="External"/><Relationship Id="rId2899" Type="http://schemas.openxmlformats.org/officeDocument/2006/relationships/hyperlink" Target="http://ufcstats.com/fight-details/0673d8ab0add7a05" TargetMode="External"/><Relationship Id="rId3200" Type="http://schemas.openxmlformats.org/officeDocument/2006/relationships/hyperlink" Target="http://ufcstats.com/fight-details/8fb0092430448368" TargetMode="External"/><Relationship Id="rId121" Type="http://schemas.openxmlformats.org/officeDocument/2006/relationships/hyperlink" Target="http://ufcstats.com/fight-details/19e742ccaa09cf08" TargetMode="External"/><Relationship Id="rId2759" Type="http://schemas.openxmlformats.org/officeDocument/2006/relationships/hyperlink" Target="http://ufcstats.com/fight-details/d22de60b7a3d908c" TargetMode="External"/><Relationship Id="rId2966" Type="http://schemas.openxmlformats.org/officeDocument/2006/relationships/hyperlink" Target="http://ufcstats.com/fight-details/0c2e3988793b418c" TargetMode="External"/><Relationship Id="rId938" Type="http://schemas.openxmlformats.org/officeDocument/2006/relationships/hyperlink" Target="http://ufcstats.com/fight-details/3729ff914eaede07" TargetMode="External"/><Relationship Id="rId1568" Type="http://schemas.openxmlformats.org/officeDocument/2006/relationships/hyperlink" Target="http://ufcstats.com/fight-details/98b7dd0ddc52cffb" TargetMode="External"/><Relationship Id="rId1775" Type="http://schemas.openxmlformats.org/officeDocument/2006/relationships/hyperlink" Target="http://ufcstats.com/fight-details/c33257dd0605c7de" TargetMode="External"/><Relationship Id="rId2619" Type="http://schemas.openxmlformats.org/officeDocument/2006/relationships/hyperlink" Target="http://ufcstats.com/fight-details/7f8340dfe4220c3e" TargetMode="External"/><Relationship Id="rId2826" Type="http://schemas.openxmlformats.org/officeDocument/2006/relationships/hyperlink" Target="http://ufcstats.com/fight-details/858feabaf429a963" TargetMode="External"/><Relationship Id="rId4181" Type="http://schemas.openxmlformats.org/officeDocument/2006/relationships/hyperlink" Target="http://ufcstats.com/fight-details/59b2bbb251968ca9" TargetMode="External"/><Relationship Id="rId67" Type="http://schemas.openxmlformats.org/officeDocument/2006/relationships/hyperlink" Target="http://ufcstats.com/fight-details/17e8ab0065e9085f" TargetMode="External"/><Relationship Id="rId1428" Type="http://schemas.openxmlformats.org/officeDocument/2006/relationships/hyperlink" Target="http://ufcstats.com/fight-details/9ba051e0f5674108" TargetMode="External"/><Relationship Id="rId1635" Type="http://schemas.openxmlformats.org/officeDocument/2006/relationships/hyperlink" Target="http://ufcstats.com/fight-details/6ada4f4286e4261d" TargetMode="External"/><Relationship Id="rId1982" Type="http://schemas.openxmlformats.org/officeDocument/2006/relationships/hyperlink" Target="http://ufcstats.com/fight-details/4dc5a41f357a7d85" TargetMode="External"/><Relationship Id="rId4041" Type="http://schemas.openxmlformats.org/officeDocument/2006/relationships/hyperlink" Target="http://ufcstats.com/fight-details/4965d8eab468b839" TargetMode="External"/><Relationship Id="rId1842" Type="http://schemas.openxmlformats.org/officeDocument/2006/relationships/hyperlink" Target="http://ufcstats.com/fight-details/92b98afec5eb4e05" TargetMode="External"/><Relationship Id="rId1702" Type="http://schemas.openxmlformats.org/officeDocument/2006/relationships/hyperlink" Target="http://ufcstats.com/fight-details/e078d18fa9ed100d" TargetMode="External"/><Relationship Id="rId3667" Type="http://schemas.openxmlformats.org/officeDocument/2006/relationships/hyperlink" Target="http://ufcstats.com/fight-details/19eed5d9781b47ac" TargetMode="External"/><Relationship Id="rId3874" Type="http://schemas.openxmlformats.org/officeDocument/2006/relationships/hyperlink" Target="http://ufcstats.com/fight-details/79161bde28636128" TargetMode="External"/><Relationship Id="rId588" Type="http://schemas.openxmlformats.org/officeDocument/2006/relationships/hyperlink" Target="http://ufcstats.com/fight-details/a5d76e93a5052e3f" TargetMode="External"/><Relationship Id="rId795" Type="http://schemas.openxmlformats.org/officeDocument/2006/relationships/hyperlink" Target="http://ufcstats.com/fight-details/632c2d4ed12f2bdf" TargetMode="External"/><Relationship Id="rId2269" Type="http://schemas.openxmlformats.org/officeDocument/2006/relationships/hyperlink" Target="http://ufcstats.com/fight-details/d5955b81c26230ff" TargetMode="External"/><Relationship Id="rId2476" Type="http://schemas.openxmlformats.org/officeDocument/2006/relationships/hyperlink" Target="http://ufcstats.com/fight-details/5724a9cf463c8390" TargetMode="External"/><Relationship Id="rId2683" Type="http://schemas.openxmlformats.org/officeDocument/2006/relationships/hyperlink" Target="http://ufcstats.com/fight-details/0b26d635106aea1c" TargetMode="External"/><Relationship Id="rId2890" Type="http://schemas.openxmlformats.org/officeDocument/2006/relationships/hyperlink" Target="http://ufcstats.com/fight-details/401f5f4714132d50" TargetMode="External"/><Relationship Id="rId3527" Type="http://schemas.openxmlformats.org/officeDocument/2006/relationships/hyperlink" Target="http://ufcstats.com/fight-details/e909e34cdee01831" TargetMode="External"/><Relationship Id="rId3734" Type="http://schemas.openxmlformats.org/officeDocument/2006/relationships/hyperlink" Target="http://ufcstats.com/fight-details/987cdcbc809e210d" TargetMode="External"/><Relationship Id="rId3941" Type="http://schemas.openxmlformats.org/officeDocument/2006/relationships/hyperlink" Target="http://ufcstats.com/fight-details/9c256e94c6b584b6" TargetMode="External"/><Relationship Id="rId448" Type="http://schemas.openxmlformats.org/officeDocument/2006/relationships/hyperlink" Target="http://ufcstats.com/fight-details/bf8f747e57d6d1c7" TargetMode="External"/><Relationship Id="rId655" Type="http://schemas.openxmlformats.org/officeDocument/2006/relationships/hyperlink" Target="http://ufcstats.com/fight-details/181c3312f14de5a8" TargetMode="External"/><Relationship Id="rId862" Type="http://schemas.openxmlformats.org/officeDocument/2006/relationships/hyperlink" Target="http://ufcstats.com/fight-details/3760216f68f448b7" TargetMode="External"/><Relationship Id="rId1078" Type="http://schemas.openxmlformats.org/officeDocument/2006/relationships/hyperlink" Target="http://ufcstats.com/fight-details/0e8d5c16eb9cb1cf" TargetMode="External"/><Relationship Id="rId1285" Type="http://schemas.openxmlformats.org/officeDocument/2006/relationships/hyperlink" Target="http://ufcstats.com/fight-details/8dbfbd8f8bd0f00b" TargetMode="External"/><Relationship Id="rId1492" Type="http://schemas.openxmlformats.org/officeDocument/2006/relationships/hyperlink" Target="http://ufcstats.com/fight-details/bbc8e8a69e9bd106" TargetMode="External"/><Relationship Id="rId2129" Type="http://schemas.openxmlformats.org/officeDocument/2006/relationships/hyperlink" Target="http://ufcstats.com/fight-details/7979888b1fb5eb39" TargetMode="External"/><Relationship Id="rId2336" Type="http://schemas.openxmlformats.org/officeDocument/2006/relationships/hyperlink" Target="http://ufcstats.com/fight-details/911b73db91738da6" TargetMode="External"/><Relationship Id="rId2543" Type="http://schemas.openxmlformats.org/officeDocument/2006/relationships/hyperlink" Target="http://ufcstats.com/fight-details/78c3ca588e55bf31" TargetMode="External"/><Relationship Id="rId2750" Type="http://schemas.openxmlformats.org/officeDocument/2006/relationships/hyperlink" Target="http://ufcstats.com/fight-details/7c4eb0b4845eb0ed" TargetMode="External"/><Relationship Id="rId3801" Type="http://schemas.openxmlformats.org/officeDocument/2006/relationships/hyperlink" Target="http://ufcstats.com/fight-details/b279559f15ecf29b" TargetMode="External"/><Relationship Id="rId308" Type="http://schemas.openxmlformats.org/officeDocument/2006/relationships/hyperlink" Target="http://ufcstats.com/fight-details/c096342c57a6f2c4" TargetMode="External"/><Relationship Id="rId515" Type="http://schemas.openxmlformats.org/officeDocument/2006/relationships/hyperlink" Target="http://ufcstats.com/fight-details/b2857e799319f931" TargetMode="External"/><Relationship Id="rId722" Type="http://schemas.openxmlformats.org/officeDocument/2006/relationships/hyperlink" Target="http://ufcstats.com/fight-details/ea66be2688f542be" TargetMode="External"/><Relationship Id="rId1145" Type="http://schemas.openxmlformats.org/officeDocument/2006/relationships/hyperlink" Target="http://ufcstats.com/fight-details/96740aa476055413" TargetMode="External"/><Relationship Id="rId1352" Type="http://schemas.openxmlformats.org/officeDocument/2006/relationships/hyperlink" Target="http://ufcstats.com/fight-details/98301c092f00cb01" TargetMode="External"/><Relationship Id="rId2403" Type="http://schemas.openxmlformats.org/officeDocument/2006/relationships/hyperlink" Target="http://ufcstats.com/fight-details/d39010c3511fb972" TargetMode="External"/><Relationship Id="rId1005" Type="http://schemas.openxmlformats.org/officeDocument/2006/relationships/hyperlink" Target="http://ufcstats.com/fight-details/39f746cee66e8771" TargetMode="External"/><Relationship Id="rId1212" Type="http://schemas.openxmlformats.org/officeDocument/2006/relationships/hyperlink" Target="http://ufcstats.com/fight-details/a26ca06cce403ce2" TargetMode="External"/><Relationship Id="rId2610" Type="http://schemas.openxmlformats.org/officeDocument/2006/relationships/hyperlink" Target="http://ufcstats.com/fight-details/0489b42ac0ab6d4b" TargetMode="External"/><Relationship Id="rId4368" Type="http://schemas.openxmlformats.org/officeDocument/2006/relationships/hyperlink" Target="http://ufcstats.com/fight-details/71e123d40fff9edb" TargetMode="External"/><Relationship Id="rId3177" Type="http://schemas.openxmlformats.org/officeDocument/2006/relationships/hyperlink" Target="http://ufcstats.com/fight-details/9fc85aef42733a16" TargetMode="External"/><Relationship Id="rId4228" Type="http://schemas.openxmlformats.org/officeDocument/2006/relationships/hyperlink" Target="http://ufcstats.com/fight-details/ead2ca0d2afb46be" TargetMode="External"/><Relationship Id="rId3037" Type="http://schemas.openxmlformats.org/officeDocument/2006/relationships/hyperlink" Target="http://ufcstats.com/fight-details/f63961f9d14bc33d" TargetMode="External"/><Relationship Id="rId3384" Type="http://schemas.openxmlformats.org/officeDocument/2006/relationships/hyperlink" Target="http://ufcstats.com/fight-details/67f559403a6ec7cb" TargetMode="External"/><Relationship Id="rId3591" Type="http://schemas.openxmlformats.org/officeDocument/2006/relationships/hyperlink" Target="http://ufcstats.com/fight-details/2ad291d61792fd7d" TargetMode="External"/><Relationship Id="rId4435" Type="http://schemas.openxmlformats.org/officeDocument/2006/relationships/hyperlink" Target="http://ufcstats.com/fight-details/51a12878b151d67b" TargetMode="External"/><Relationship Id="rId2193" Type="http://schemas.openxmlformats.org/officeDocument/2006/relationships/hyperlink" Target="http://ufcstats.com/fight-details/37c732554828dcc3" TargetMode="External"/><Relationship Id="rId3244" Type="http://schemas.openxmlformats.org/officeDocument/2006/relationships/hyperlink" Target="http://ufcstats.com/fight-details/1ca4274019680d23" TargetMode="External"/><Relationship Id="rId3451" Type="http://schemas.openxmlformats.org/officeDocument/2006/relationships/hyperlink" Target="http://ufcstats.com/fight-details/be0af5916c8e8e99" TargetMode="External"/><Relationship Id="rId165" Type="http://schemas.openxmlformats.org/officeDocument/2006/relationships/hyperlink" Target="http://ufcstats.com/fight-details/e6b2d6d33968c66c" TargetMode="External"/><Relationship Id="rId372" Type="http://schemas.openxmlformats.org/officeDocument/2006/relationships/hyperlink" Target="http://ufcstats.com/fight-details/9a2d3ebab827d333" TargetMode="External"/><Relationship Id="rId2053" Type="http://schemas.openxmlformats.org/officeDocument/2006/relationships/hyperlink" Target="http://ufcstats.com/fight-details/1c91deb42b991d18" TargetMode="External"/><Relationship Id="rId2260" Type="http://schemas.openxmlformats.org/officeDocument/2006/relationships/hyperlink" Target="http://ufcstats.com/fight-details/a5075f4eaee6036f" TargetMode="External"/><Relationship Id="rId3104" Type="http://schemas.openxmlformats.org/officeDocument/2006/relationships/hyperlink" Target="http://ufcstats.com/fight-details/318460613b6018e9" TargetMode="External"/><Relationship Id="rId3311" Type="http://schemas.openxmlformats.org/officeDocument/2006/relationships/hyperlink" Target="http://ufcstats.com/fight-details/96bbb6c573dac27a" TargetMode="External"/><Relationship Id="rId232" Type="http://schemas.openxmlformats.org/officeDocument/2006/relationships/hyperlink" Target="http://ufcstats.com/fight-details/8c8c2499d89da07c" TargetMode="External"/><Relationship Id="rId2120" Type="http://schemas.openxmlformats.org/officeDocument/2006/relationships/hyperlink" Target="http://ufcstats.com/fight-details/1f49b59e4058568f" TargetMode="External"/><Relationship Id="rId1679" Type="http://schemas.openxmlformats.org/officeDocument/2006/relationships/hyperlink" Target="http://ufcstats.com/fight-details/44cfd4330eb6e2bf" TargetMode="External"/><Relationship Id="rId4085" Type="http://schemas.openxmlformats.org/officeDocument/2006/relationships/hyperlink" Target="http://ufcstats.com/fight-details/64bee58391921b4b" TargetMode="External"/><Relationship Id="rId4292" Type="http://schemas.openxmlformats.org/officeDocument/2006/relationships/hyperlink" Target="http://ufcstats.com/fight-details/1adee75d6c671cc8" TargetMode="External"/><Relationship Id="rId1886" Type="http://schemas.openxmlformats.org/officeDocument/2006/relationships/hyperlink" Target="http://ufcstats.com/fight-details/90a83875e1d11238" TargetMode="External"/><Relationship Id="rId2937" Type="http://schemas.openxmlformats.org/officeDocument/2006/relationships/hyperlink" Target="http://ufcstats.com/fight-details/986f0b480389ad25" TargetMode="External"/><Relationship Id="rId4152" Type="http://schemas.openxmlformats.org/officeDocument/2006/relationships/hyperlink" Target="http://ufcstats.com/fight-details/4d0029ad31bdd85a" TargetMode="External"/><Relationship Id="rId909" Type="http://schemas.openxmlformats.org/officeDocument/2006/relationships/hyperlink" Target="http://ufcstats.com/fight-details/1c29c53ff032c5c1" TargetMode="External"/><Relationship Id="rId1539" Type="http://schemas.openxmlformats.org/officeDocument/2006/relationships/hyperlink" Target="http://ufcstats.com/fight-details/1d8a86d37c7ef3d3" TargetMode="External"/><Relationship Id="rId1746" Type="http://schemas.openxmlformats.org/officeDocument/2006/relationships/hyperlink" Target="http://ufcstats.com/fight-details/ad26bf55ff201f4f" TargetMode="External"/><Relationship Id="rId1953" Type="http://schemas.openxmlformats.org/officeDocument/2006/relationships/hyperlink" Target="http://ufcstats.com/fight-details/c43805df4f45b6e2" TargetMode="External"/><Relationship Id="rId38" Type="http://schemas.openxmlformats.org/officeDocument/2006/relationships/hyperlink" Target="http://ufcstats.com/fight-details/38abefbf24624a35" TargetMode="External"/><Relationship Id="rId1606" Type="http://schemas.openxmlformats.org/officeDocument/2006/relationships/hyperlink" Target="http://ufcstats.com/fight-details/47b1cd4e3e2595f8" TargetMode="External"/><Relationship Id="rId1813" Type="http://schemas.openxmlformats.org/officeDocument/2006/relationships/hyperlink" Target="http://ufcstats.com/fight-details/697e38075fd41819" TargetMode="External"/><Relationship Id="rId4012" Type="http://schemas.openxmlformats.org/officeDocument/2006/relationships/hyperlink" Target="http://ufcstats.com/fight-details/f8bb0aed83bd8638" TargetMode="External"/><Relationship Id="rId3778" Type="http://schemas.openxmlformats.org/officeDocument/2006/relationships/hyperlink" Target="http://ufcstats.com/fight-details/72330020a732c635" TargetMode="External"/><Relationship Id="rId3985" Type="http://schemas.openxmlformats.org/officeDocument/2006/relationships/hyperlink" Target="http://ufcstats.com/fight-details/ce62a50e97d497f9" TargetMode="External"/><Relationship Id="rId699" Type="http://schemas.openxmlformats.org/officeDocument/2006/relationships/hyperlink" Target="http://ufcstats.com/fight-details/3812b265afd78186" TargetMode="External"/><Relationship Id="rId2587" Type="http://schemas.openxmlformats.org/officeDocument/2006/relationships/hyperlink" Target="http://ufcstats.com/fight-details/7b909acede0a26eb" TargetMode="External"/><Relationship Id="rId2794" Type="http://schemas.openxmlformats.org/officeDocument/2006/relationships/hyperlink" Target="http://ufcstats.com/fight-details/80c4f70b7f7a1945" TargetMode="External"/><Relationship Id="rId3638" Type="http://schemas.openxmlformats.org/officeDocument/2006/relationships/hyperlink" Target="http://ufcstats.com/fight-details/5b731da9e4be4391" TargetMode="External"/><Relationship Id="rId3845" Type="http://schemas.openxmlformats.org/officeDocument/2006/relationships/hyperlink" Target="http://ufcstats.com/fight-details/e434035be5453be0" TargetMode="External"/><Relationship Id="rId559" Type="http://schemas.openxmlformats.org/officeDocument/2006/relationships/hyperlink" Target="http://ufcstats.com/fight-details/52565f62fb3822db" TargetMode="External"/><Relationship Id="rId766" Type="http://schemas.openxmlformats.org/officeDocument/2006/relationships/hyperlink" Target="http://ufcstats.com/fight-details/3bd5dbc1598c409d" TargetMode="External"/><Relationship Id="rId1189" Type="http://schemas.openxmlformats.org/officeDocument/2006/relationships/hyperlink" Target="http://ufcstats.com/fight-details/5d3e046b6bcd49f5" TargetMode="External"/><Relationship Id="rId1396" Type="http://schemas.openxmlformats.org/officeDocument/2006/relationships/hyperlink" Target="http://ufcstats.com/fight-details/3b83ec99accfd271" TargetMode="External"/><Relationship Id="rId2447" Type="http://schemas.openxmlformats.org/officeDocument/2006/relationships/hyperlink" Target="http://ufcstats.com/fight-details/e54c16d867875738" TargetMode="External"/><Relationship Id="rId419" Type="http://schemas.openxmlformats.org/officeDocument/2006/relationships/hyperlink" Target="http://ufcstats.com/fight-details/8c109a0c53ed9618" TargetMode="External"/><Relationship Id="rId626" Type="http://schemas.openxmlformats.org/officeDocument/2006/relationships/hyperlink" Target="http://ufcstats.com/fight-details/537a5aa4c248830e" TargetMode="External"/><Relationship Id="rId973" Type="http://schemas.openxmlformats.org/officeDocument/2006/relationships/hyperlink" Target="http://ufcstats.com/fight-details/7484298ad57099be" TargetMode="External"/><Relationship Id="rId1049" Type="http://schemas.openxmlformats.org/officeDocument/2006/relationships/hyperlink" Target="http://ufcstats.com/fight-details/e5ac7343b6d45188" TargetMode="External"/><Relationship Id="rId1256" Type="http://schemas.openxmlformats.org/officeDocument/2006/relationships/hyperlink" Target="http://ufcstats.com/fight-details/e8fd128286788a6d" TargetMode="External"/><Relationship Id="rId2307" Type="http://schemas.openxmlformats.org/officeDocument/2006/relationships/hyperlink" Target="http://ufcstats.com/fight-details/f00ac5af033f44b4" TargetMode="External"/><Relationship Id="rId2654" Type="http://schemas.openxmlformats.org/officeDocument/2006/relationships/hyperlink" Target="http://ufcstats.com/fight-details/ad59540382d5b7f6" TargetMode="External"/><Relationship Id="rId2861" Type="http://schemas.openxmlformats.org/officeDocument/2006/relationships/hyperlink" Target="http://ufcstats.com/fight-details/c29e2c49e1e417c8" TargetMode="External"/><Relationship Id="rId3705" Type="http://schemas.openxmlformats.org/officeDocument/2006/relationships/hyperlink" Target="http://ufcstats.com/fight-details/410aca28fda60f76" TargetMode="External"/><Relationship Id="rId3912" Type="http://schemas.openxmlformats.org/officeDocument/2006/relationships/hyperlink" Target="http://ufcstats.com/fight-details/0005e00b07cee542" TargetMode="External"/><Relationship Id="rId833" Type="http://schemas.openxmlformats.org/officeDocument/2006/relationships/hyperlink" Target="http://ufcstats.com/fight-details/b436dda934059631" TargetMode="External"/><Relationship Id="rId1116" Type="http://schemas.openxmlformats.org/officeDocument/2006/relationships/hyperlink" Target="http://ufcstats.com/fight-details/d37ed975c2b70fd2" TargetMode="External"/><Relationship Id="rId1463" Type="http://schemas.openxmlformats.org/officeDocument/2006/relationships/hyperlink" Target="http://ufcstats.com/fight-details/4efbd869aa0211d2" TargetMode="External"/><Relationship Id="rId1670" Type="http://schemas.openxmlformats.org/officeDocument/2006/relationships/hyperlink" Target="http://ufcstats.com/fight-details/7e1ae27779ac6ba5" TargetMode="External"/><Relationship Id="rId2514" Type="http://schemas.openxmlformats.org/officeDocument/2006/relationships/hyperlink" Target="http://ufcstats.com/fight-details/7d4c160dab6eae73" TargetMode="External"/><Relationship Id="rId2721" Type="http://schemas.openxmlformats.org/officeDocument/2006/relationships/hyperlink" Target="http://ufcstats.com/fight-details/6c2f05c47f494e15" TargetMode="External"/><Relationship Id="rId900" Type="http://schemas.openxmlformats.org/officeDocument/2006/relationships/hyperlink" Target="http://ufcstats.com/fight-details/5f617d6c19d3a281" TargetMode="External"/><Relationship Id="rId1323" Type="http://schemas.openxmlformats.org/officeDocument/2006/relationships/hyperlink" Target="http://ufcstats.com/fight-details/0bc354fbb6e99ab6" TargetMode="External"/><Relationship Id="rId1530" Type="http://schemas.openxmlformats.org/officeDocument/2006/relationships/hyperlink" Target="http://ufcstats.com/fight-details/f786136e55007e17" TargetMode="External"/><Relationship Id="rId3288" Type="http://schemas.openxmlformats.org/officeDocument/2006/relationships/hyperlink" Target="http://ufcstats.com/fight-details/1c84dafe38694c05" TargetMode="External"/><Relationship Id="rId3495" Type="http://schemas.openxmlformats.org/officeDocument/2006/relationships/hyperlink" Target="http://ufcstats.com/fight-details/7cf7960c6ccb5fa1" TargetMode="External"/><Relationship Id="rId4339" Type="http://schemas.openxmlformats.org/officeDocument/2006/relationships/hyperlink" Target="http://ufcstats.com/fight-details/bd4a648bebaefab3" TargetMode="External"/><Relationship Id="rId2097" Type="http://schemas.openxmlformats.org/officeDocument/2006/relationships/hyperlink" Target="http://ufcstats.com/fight-details/4f16ef3e707447a0" TargetMode="External"/><Relationship Id="rId3148" Type="http://schemas.openxmlformats.org/officeDocument/2006/relationships/hyperlink" Target="http://ufcstats.com/fight-details/b395c89e19a3fec4" TargetMode="External"/><Relationship Id="rId3355" Type="http://schemas.openxmlformats.org/officeDocument/2006/relationships/hyperlink" Target="http://ufcstats.com/fight-details/c5b8a996eff18540" TargetMode="External"/><Relationship Id="rId3562" Type="http://schemas.openxmlformats.org/officeDocument/2006/relationships/hyperlink" Target="http://ufcstats.com/fight-details/583f2c3cd0e2385b" TargetMode="External"/><Relationship Id="rId4406" Type="http://schemas.openxmlformats.org/officeDocument/2006/relationships/hyperlink" Target="http://ufcstats.com/fight-details/a9184def876faec6" TargetMode="External"/><Relationship Id="rId276" Type="http://schemas.openxmlformats.org/officeDocument/2006/relationships/hyperlink" Target="http://ufcstats.com/fight-details/4e566bd7094b49da" TargetMode="External"/><Relationship Id="rId483" Type="http://schemas.openxmlformats.org/officeDocument/2006/relationships/hyperlink" Target="http://ufcstats.com/fight-details/838bb84a5a976a9c" TargetMode="External"/><Relationship Id="rId690" Type="http://schemas.openxmlformats.org/officeDocument/2006/relationships/hyperlink" Target="http://ufcstats.com/fight-details/96d33e46267d4eaf" TargetMode="External"/><Relationship Id="rId2164" Type="http://schemas.openxmlformats.org/officeDocument/2006/relationships/hyperlink" Target="http://ufcstats.com/fight-details/4942323a5d5a6594" TargetMode="External"/><Relationship Id="rId2371" Type="http://schemas.openxmlformats.org/officeDocument/2006/relationships/hyperlink" Target="http://ufcstats.com/fight-details/8f6dda53ea3b09c7" TargetMode="External"/><Relationship Id="rId3008" Type="http://schemas.openxmlformats.org/officeDocument/2006/relationships/hyperlink" Target="http://ufcstats.com/fight-details/4e77cc2c8d604241" TargetMode="External"/><Relationship Id="rId3215" Type="http://schemas.openxmlformats.org/officeDocument/2006/relationships/hyperlink" Target="http://ufcstats.com/fight-details/3f92025b29e06bfd" TargetMode="External"/><Relationship Id="rId3422" Type="http://schemas.openxmlformats.org/officeDocument/2006/relationships/hyperlink" Target="http://ufcstats.com/fight-details/1ed9dbbe604654b9" TargetMode="External"/><Relationship Id="rId136" Type="http://schemas.openxmlformats.org/officeDocument/2006/relationships/hyperlink" Target="http://ufcstats.com/fight-details/5980ab31e4718a83" TargetMode="External"/><Relationship Id="rId343" Type="http://schemas.openxmlformats.org/officeDocument/2006/relationships/hyperlink" Target="http://ufcstats.com/fight-details/08426f06239d903c" TargetMode="External"/><Relationship Id="rId550" Type="http://schemas.openxmlformats.org/officeDocument/2006/relationships/hyperlink" Target="http://ufcstats.com/fight-details/4dd3035430a5ed43" TargetMode="External"/><Relationship Id="rId1180" Type="http://schemas.openxmlformats.org/officeDocument/2006/relationships/hyperlink" Target="http://ufcstats.com/fight-details/fd29123ff92789e4" TargetMode="External"/><Relationship Id="rId2024" Type="http://schemas.openxmlformats.org/officeDocument/2006/relationships/hyperlink" Target="http://ufcstats.com/fight-details/8d634c9240f161dd" TargetMode="External"/><Relationship Id="rId2231" Type="http://schemas.openxmlformats.org/officeDocument/2006/relationships/hyperlink" Target="http://ufcstats.com/fight-details/d6f6ac29008509db" TargetMode="External"/><Relationship Id="rId203" Type="http://schemas.openxmlformats.org/officeDocument/2006/relationships/hyperlink" Target="http://ufcstats.com/fight-details/7c23770c639dcd22" TargetMode="External"/><Relationship Id="rId1040" Type="http://schemas.openxmlformats.org/officeDocument/2006/relationships/hyperlink" Target="http://ufcstats.com/fight-details/4b45f190122a1ce1" TargetMode="External"/><Relationship Id="rId4196" Type="http://schemas.openxmlformats.org/officeDocument/2006/relationships/hyperlink" Target="http://ufcstats.com/fight-details/cce232c1b1b2e4a0" TargetMode="External"/><Relationship Id="rId410" Type="http://schemas.openxmlformats.org/officeDocument/2006/relationships/hyperlink" Target="http://ufcstats.com/fight-details/b9b0da84b243213f" TargetMode="External"/><Relationship Id="rId1997" Type="http://schemas.openxmlformats.org/officeDocument/2006/relationships/hyperlink" Target="http://ufcstats.com/fight-details/330506571d2778b1" TargetMode="External"/><Relationship Id="rId4056" Type="http://schemas.openxmlformats.org/officeDocument/2006/relationships/hyperlink" Target="http://ufcstats.com/fight-details/e7bb37681652c2c2" TargetMode="External"/><Relationship Id="rId1857" Type="http://schemas.openxmlformats.org/officeDocument/2006/relationships/hyperlink" Target="http://ufcstats.com/fight-details/0730c4e6fb247fa1" TargetMode="External"/><Relationship Id="rId2908" Type="http://schemas.openxmlformats.org/officeDocument/2006/relationships/hyperlink" Target="http://ufcstats.com/fight-details/a0163cdde4ec785d" TargetMode="External"/><Relationship Id="rId4263" Type="http://schemas.openxmlformats.org/officeDocument/2006/relationships/hyperlink" Target="http://ufcstats.com/fight-details/a5cf273faa3982b7" TargetMode="External"/><Relationship Id="rId1717" Type="http://schemas.openxmlformats.org/officeDocument/2006/relationships/hyperlink" Target="http://ufcstats.com/fight-details/948da1b7ebbb06b3" TargetMode="External"/><Relationship Id="rId1924" Type="http://schemas.openxmlformats.org/officeDocument/2006/relationships/hyperlink" Target="http://ufcstats.com/fight-details/3ce7f58911773a56" TargetMode="External"/><Relationship Id="rId3072" Type="http://schemas.openxmlformats.org/officeDocument/2006/relationships/hyperlink" Target="http://ufcstats.com/fight-details/dde7d29cc443e263" TargetMode="External"/><Relationship Id="rId4123" Type="http://schemas.openxmlformats.org/officeDocument/2006/relationships/hyperlink" Target="http://ufcstats.com/fight-details/f4a2806f77ac1cdc" TargetMode="External"/><Relationship Id="rId4330" Type="http://schemas.openxmlformats.org/officeDocument/2006/relationships/hyperlink" Target="http://ufcstats.com/fight-details/7006a98fe9944571" TargetMode="External"/><Relationship Id="rId3889" Type="http://schemas.openxmlformats.org/officeDocument/2006/relationships/hyperlink" Target="http://ufcstats.com/fight-details/691c0d2f30e4de5a" TargetMode="External"/><Relationship Id="rId2698" Type="http://schemas.openxmlformats.org/officeDocument/2006/relationships/hyperlink" Target="http://ufcstats.com/fight-details/d373de3e072f7e57" TargetMode="External"/><Relationship Id="rId3749" Type="http://schemas.openxmlformats.org/officeDocument/2006/relationships/hyperlink" Target="http://ufcstats.com/fight-details/019b4d006800504b" TargetMode="External"/><Relationship Id="rId3956" Type="http://schemas.openxmlformats.org/officeDocument/2006/relationships/hyperlink" Target="http://ufcstats.com/fight-details/c3a4187fc821bfff" TargetMode="External"/><Relationship Id="rId877" Type="http://schemas.openxmlformats.org/officeDocument/2006/relationships/hyperlink" Target="http://ufcstats.com/fight-details/43b416cf0c75dbd7" TargetMode="External"/><Relationship Id="rId2558" Type="http://schemas.openxmlformats.org/officeDocument/2006/relationships/hyperlink" Target="http://ufcstats.com/fight-details/7ad85c84025c0db0" TargetMode="External"/><Relationship Id="rId2765" Type="http://schemas.openxmlformats.org/officeDocument/2006/relationships/hyperlink" Target="http://ufcstats.com/fight-details/62aab95c866a9c5b" TargetMode="External"/><Relationship Id="rId2972" Type="http://schemas.openxmlformats.org/officeDocument/2006/relationships/hyperlink" Target="http://ufcstats.com/fight-details/8182dbc752c71137" TargetMode="External"/><Relationship Id="rId3609" Type="http://schemas.openxmlformats.org/officeDocument/2006/relationships/hyperlink" Target="http://ufcstats.com/fight-details/d18b33bdd37f4683" TargetMode="External"/><Relationship Id="rId3816" Type="http://schemas.openxmlformats.org/officeDocument/2006/relationships/hyperlink" Target="http://ufcstats.com/fight-details/4011cdf1f182804c" TargetMode="External"/><Relationship Id="rId737" Type="http://schemas.openxmlformats.org/officeDocument/2006/relationships/hyperlink" Target="http://ufcstats.com/fight-details/1645ed92dcdc5c03" TargetMode="External"/><Relationship Id="rId944" Type="http://schemas.openxmlformats.org/officeDocument/2006/relationships/hyperlink" Target="http://ufcstats.com/fight-details/164f56eb25d6a9b4" TargetMode="External"/><Relationship Id="rId1367" Type="http://schemas.openxmlformats.org/officeDocument/2006/relationships/hyperlink" Target="http://ufcstats.com/fight-details/e4559c3cce6edec1" TargetMode="External"/><Relationship Id="rId1574" Type="http://schemas.openxmlformats.org/officeDocument/2006/relationships/hyperlink" Target="http://ufcstats.com/fight-details/4478ee77a647ae9d" TargetMode="External"/><Relationship Id="rId1781" Type="http://schemas.openxmlformats.org/officeDocument/2006/relationships/hyperlink" Target="http://ufcstats.com/fight-details/ad81be01a461c936" TargetMode="External"/><Relationship Id="rId2418" Type="http://schemas.openxmlformats.org/officeDocument/2006/relationships/hyperlink" Target="http://ufcstats.com/fight-details/b2d05ae88f820421" TargetMode="External"/><Relationship Id="rId2625" Type="http://schemas.openxmlformats.org/officeDocument/2006/relationships/hyperlink" Target="http://ufcstats.com/fight-details/26fbf026beb8e9f8" TargetMode="External"/><Relationship Id="rId2832" Type="http://schemas.openxmlformats.org/officeDocument/2006/relationships/hyperlink" Target="http://ufcstats.com/fight-details/323fb015ca2444e3" TargetMode="External"/><Relationship Id="rId73" Type="http://schemas.openxmlformats.org/officeDocument/2006/relationships/hyperlink" Target="http://ufcstats.com/fight-details/a7d397cd0f2ac93a" TargetMode="External"/><Relationship Id="rId804" Type="http://schemas.openxmlformats.org/officeDocument/2006/relationships/hyperlink" Target="http://ufcstats.com/fight-details/1378fc2be3819b2b" TargetMode="External"/><Relationship Id="rId1227" Type="http://schemas.openxmlformats.org/officeDocument/2006/relationships/hyperlink" Target="http://ufcstats.com/fight-details/26582aa0b79d2f20" TargetMode="External"/><Relationship Id="rId1434" Type="http://schemas.openxmlformats.org/officeDocument/2006/relationships/hyperlink" Target="http://ufcstats.com/fight-details/2e9ad55f2e2f7c56" TargetMode="External"/><Relationship Id="rId1641" Type="http://schemas.openxmlformats.org/officeDocument/2006/relationships/hyperlink" Target="http://ufcstats.com/fight-details/e0e19f79019d63d2" TargetMode="External"/><Relationship Id="rId1501" Type="http://schemas.openxmlformats.org/officeDocument/2006/relationships/hyperlink" Target="http://ufcstats.com/fight-details/b09f8cd4cbd7ba56" TargetMode="External"/><Relationship Id="rId3399" Type="http://schemas.openxmlformats.org/officeDocument/2006/relationships/hyperlink" Target="http://ufcstats.com/fight-details/f767243bb48ab9d7" TargetMode="External"/><Relationship Id="rId3259" Type="http://schemas.openxmlformats.org/officeDocument/2006/relationships/hyperlink" Target="http://ufcstats.com/fight-details/982f4f96b6d0f346" TargetMode="External"/><Relationship Id="rId3466" Type="http://schemas.openxmlformats.org/officeDocument/2006/relationships/hyperlink" Target="http://ufcstats.com/fight-details/979538ff8ae1ccd5" TargetMode="External"/><Relationship Id="rId387" Type="http://schemas.openxmlformats.org/officeDocument/2006/relationships/hyperlink" Target="http://ufcstats.com/fight-details/52f0398eb74c139d" TargetMode="External"/><Relationship Id="rId594" Type="http://schemas.openxmlformats.org/officeDocument/2006/relationships/hyperlink" Target="http://ufcstats.com/fight-details/8362b372adb2f302" TargetMode="External"/><Relationship Id="rId2068" Type="http://schemas.openxmlformats.org/officeDocument/2006/relationships/hyperlink" Target="http://ufcstats.com/fight-details/3f8c6e31ebbe54bc" TargetMode="External"/><Relationship Id="rId2275" Type="http://schemas.openxmlformats.org/officeDocument/2006/relationships/hyperlink" Target="http://ufcstats.com/fight-details/3636e085c098dbda" TargetMode="External"/><Relationship Id="rId3119" Type="http://schemas.openxmlformats.org/officeDocument/2006/relationships/hyperlink" Target="http://ufcstats.com/fight-details/851645c373f50e16" TargetMode="External"/><Relationship Id="rId3326" Type="http://schemas.openxmlformats.org/officeDocument/2006/relationships/hyperlink" Target="http://ufcstats.com/fight-details/2b13651b97f57b6c" TargetMode="External"/><Relationship Id="rId3673" Type="http://schemas.openxmlformats.org/officeDocument/2006/relationships/hyperlink" Target="http://ufcstats.com/fight-details/1cc9816d18aa29d0" TargetMode="External"/><Relationship Id="rId3880" Type="http://schemas.openxmlformats.org/officeDocument/2006/relationships/hyperlink" Target="http://ufcstats.com/fight-details/c2b842fae4e9f1dc" TargetMode="External"/><Relationship Id="rId247" Type="http://schemas.openxmlformats.org/officeDocument/2006/relationships/hyperlink" Target="http://ufcstats.com/fight-details/75b1533cc3cafae9" TargetMode="External"/><Relationship Id="rId1084" Type="http://schemas.openxmlformats.org/officeDocument/2006/relationships/hyperlink" Target="http://ufcstats.com/fight-details/1881b1e85cceee13" TargetMode="External"/><Relationship Id="rId2482" Type="http://schemas.openxmlformats.org/officeDocument/2006/relationships/hyperlink" Target="http://ufcstats.com/fight-details/8cdcdfb76d1670dd" TargetMode="External"/><Relationship Id="rId3533" Type="http://schemas.openxmlformats.org/officeDocument/2006/relationships/hyperlink" Target="http://ufcstats.com/fight-details/77185ff8b4dade6a" TargetMode="External"/><Relationship Id="rId3740" Type="http://schemas.openxmlformats.org/officeDocument/2006/relationships/hyperlink" Target="http://ufcstats.com/fight-details/1c51f405e5c46572" TargetMode="External"/><Relationship Id="rId107" Type="http://schemas.openxmlformats.org/officeDocument/2006/relationships/hyperlink" Target="http://ufcstats.com/fight-details/2ac3ce1f62b3c4b9" TargetMode="External"/><Relationship Id="rId454" Type="http://schemas.openxmlformats.org/officeDocument/2006/relationships/hyperlink" Target="http://ufcstats.com/fight-details/61bf6748cf85eb84" TargetMode="External"/><Relationship Id="rId661" Type="http://schemas.openxmlformats.org/officeDocument/2006/relationships/hyperlink" Target="http://ufcstats.com/fight-details/3a8e4b830750e9d4" TargetMode="External"/><Relationship Id="rId1291" Type="http://schemas.openxmlformats.org/officeDocument/2006/relationships/hyperlink" Target="http://ufcstats.com/fight-details/8741e6a3a5a22a7f" TargetMode="External"/><Relationship Id="rId2135" Type="http://schemas.openxmlformats.org/officeDocument/2006/relationships/hyperlink" Target="http://ufcstats.com/fight-details/6f2a4a2f769eb9e3" TargetMode="External"/><Relationship Id="rId2342" Type="http://schemas.openxmlformats.org/officeDocument/2006/relationships/hyperlink" Target="http://ufcstats.com/fight-details/c335f44e4f3515ea" TargetMode="External"/><Relationship Id="rId3600" Type="http://schemas.openxmlformats.org/officeDocument/2006/relationships/hyperlink" Target="http://ufcstats.com/fight-details/245009a9e1a0f60b" TargetMode="External"/><Relationship Id="rId314" Type="http://schemas.openxmlformats.org/officeDocument/2006/relationships/hyperlink" Target="http://ufcstats.com/fight-details/24ff385ca78c80d3" TargetMode="External"/><Relationship Id="rId521" Type="http://schemas.openxmlformats.org/officeDocument/2006/relationships/hyperlink" Target="http://ufcstats.com/fight-details/3a4d2a933a3c7291" TargetMode="External"/><Relationship Id="rId1151" Type="http://schemas.openxmlformats.org/officeDocument/2006/relationships/hyperlink" Target="http://ufcstats.com/fight-details/06d6cde7479711ee" TargetMode="External"/><Relationship Id="rId2202" Type="http://schemas.openxmlformats.org/officeDocument/2006/relationships/hyperlink" Target="http://ufcstats.com/fight-details/6c4b3cca92fcb9c7" TargetMode="External"/><Relationship Id="rId1011" Type="http://schemas.openxmlformats.org/officeDocument/2006/relationships/hyperlink" Target="http://ufcstats.com/fight-details/7e20b0536fbbd560" TargetMode="External"/><Relationship Id="rId1968" Type="http://schemas.openxmlformats.org/officeDocument/2006/relationships/hyperlink" Target="http://ufcstats.com/fight-details/ecbece0cbd60029e" TargetMode="External"/><Relationship Id="rId4167" Type="http://schemas.openxmlformats.org/officeDocument/2006/relationships/hyperlink" Target="http://ufcstats.com/fight-details/bb15c0a2911043bd" TargetMode="External"/><Relationship Id="rId4374" Type="http://schemas.openxmlformats.org/officeDocument/2006/relationships/hyperlink" Target="http://ufcstats.com/fight-details/c9c79de21823d941" TargetMode="External"/><Relationship Id="rId3183" Type="http://schemas.openxmlformats.org/officeDocument/2006/relationships/hyperlink" Target="http://ufcstats.com/fight-details/d99b2abf50e9a03e" TargetMode="External"/><Relationship Id="rId3390" Type="http://schemas.openxmlformats.org/officeDocument/2006/relationships/hyperlink" Target="http://ufcstats.com/fight-details/026c4a26106cc158" TargetMode="External"/><Relationship Id="rId4027" Type="http://schemas.openxmlformats.org/officeDocument/2006/relationships/hyperlink" Target="http://ufcstats.com/fight-details/dffc65202afb881d" TargetMode="External"/><Relationship Id="rId4234" Type="http://schemas.openxmlformats.org/officeDocument/2006/relationships/hyperlink" Target="http://ufcstats.com/fight-details/314aea77cd24210f" TargetMode="External"/><Relationship Id="rId4441" Type="http://schemas.openxmlformats.org/officeDocument/2006/relationships/hyperlink" Target="http://ufcstats.com/fight-details/e57bfadb506e4f51" TargetMode="External"/><Relationship Id="rId1828" Type="http://schemas.openxmlformats.org/officeDocument/2006/relationships/hyperlink" Target="http://ufcstats.com/fight-details/a5e240bcd7731725" TargetMode="External"/><Relationship Id="rId3043" Type="http://schemas.openxmlformats.org/officeDocument/2006/relationships/hyperlink" Target="http://ufcstats.com/fight-details/8238f9d2fd961757" TargetMode="External"/><Relationship Id="rId3250" Type="http://schemas.openxmlformats.org/officeDocument/2006/relationships/hyperlink" Target="http://ufcstats.com/fight-details/8d975de5d033ccde" TargetMode="External"/><Relationship Id="rId171" Type="http://schemas.openxmlformats.org/officeDocument/2006/relationships/hyperlink" Target="http://ufcstats.com/fight-details/0717bc30025f3656" TargetMode="External"/><Relationship Id="rId4301" Type="http://schemas.openxmlformats.org/officeDocument/2006/relationships/hyperlink" Target="http://ufcstats.com/fight-details/6e9cf53cd87e1b7e" TargetMode="External"/><Relationship Id="rId3110" Type="http://schemas.openxmlformats.org/officeDocument/2006/relationships/hyperlink" Target="http://ufcstats.com/fight-details/04f32bb0c0d3a8cc" TargetMode="External"/><Relationship Id="rId988" Type="http://schemas.openxmlformats.org/officeDocument/2006/relationships/hyperlink" Target="http://ufcstats.com/fight-details/1308213458d8596b" TargetMode="External"/><Relationship Id="rId2669" Type="http://schemas.openxmlformats.org/officeDocument/2006/relationships/hyperlink" Target="http://ufcstats.com/fight-details/fdfc700e56575d67" TargetMode="External"/><Relationship Id="rId2876" Type="http://schemas.openxmlformats.org/officeDocument/2006/relationships/hyperlink" Target="http://ufcstats.com/fight-details/f37d18b5c35145bf" TargetMode="External"/><Relationship Id="rId3927" Type="http://schemas.openxmlformats.org/officeDocument/2006/relationships/hyperlink" Target="http://ufcstats.com/fight-details/d49d2c810583a56a" TargetMode="External"/><Relationship Id="rId848" Type="http://schemas.openxmlformats.org/officeDocument/2006/relationships/hyperlink" Target="http://ufcstats.com/fight-details/6b47093b62155478" TargetMode="External"/><Relationship Id="rId1478" Type="http://schemas.openxmlformats.org/officeDocument/2006/relationships/hyperlink" Target="http://ufcstats.com/fight-details/ab14dbff9d2ae41a" TargetMode="External"/><Relationship Id="rId1685" Type="http://schemas.openxmlformats.org/officeDocument/2006/relationships/hyperlink" Target="http://ufcstats.com/fight-details/f5b49f4c5a27e53b" TargetMode="External"/><Relationship Id="rId1892" Type="http://schemas.openxmlformats.org/officeDocument/2006/relationships/hyperlink" Target="http://ufcstats.com/fight-details/3162ae3ccbf785ac" TargetMode="External"/><Relationship Id="rId2529" Type="http://schemas.openxmlformats.org/officeDocument/2006/relationships/hyperlink" Target="http://ufcstats.com/fight-details/05ceb8b2f93993a6" TargetMode="External"/><Relationship Id="rId2736" Type="http://schemas.openxmlformats.org/officeDocument/2006/relationships/hyperlink" Target="http://ufcstats.com/fight-details/c1bfbf5447f21f37" TargetMode="External"/><Relationship Id="rId4091" Type="http://schemas.openxmlformats.org/officeDocument/2006/relationships/hyperlink" Target="http://ufcstats.com/fight-details/fa98e2b8dceca9bb" TargetMode="External"/><Relationship Id="rId708" Type="http://schemas.openxmlformats.org/officeDocument/2006/relationships/hyperlink" Target="http://ufcstats.com/fight-details/4e6bbc5832e55f64" TargetMode="External"/><Relationship Id="rId915" Type="http://schemas.openxmlformats.org/officeDocument/2006/relationships/hyperlink" Target="http://ufcstats.com/fight-details/29c7cb102ddd7ec4" TargetMode="External"/><Relationship Id="rId1338" Type="http://schemas.openxmlformats.org/officeDocument/2006/relationships/hyperlink" Target="http://ufcstats.com/fight-details/603354ffe9cc0755" TargetMode="External"/><Relationship Id="rId1545" Type="http://schemas.openxmlformats.org/officeDocument/2006/relationships/hyperlink" Target="http://ufcstats.com/fight-details/47fc0736929125bd" TargetMode="External"/><Relationship Id="rId2943" Type="http://schemas.openxmlformats.org/officeDocument/2006/relationships/hyperlink" Target="http://ufcstats.com/fight-details/c8fdd3f7178fbfa4" TargetMode="External"/><Relationship Id="rId1405" Type="http://schemas.openxmlformats.org/officeDocument/2006/relationships/hyperlink" Target="http://ufcstats.com/fight-details/fc0927c657c51622" TargetMode="External"/><Relationship Id="rId1752" Type="http://schemas.openxmlformats.org/officeDocument/2006/relationships/hyperlink" Target="http://ufcstats.com/fight-details/19d1ae54681bc722" TargetMode="External"/><Relationship Id="rId2803" Type="http://schemas.openxmlformats.org/officeDocument/2006/relationships/hyperlink" Target="http://ufcstats.com/fight-details/0864112e968630ea" TargetMode="External"/><Relationship Id="rId44" Type="http://schemas.openxmlformats.org/officeDocument/2006/relationships/hyperlink" Target="http://ufcstats.com/fight-details/5519d7fe2cee8353" TargetMode="External"/><Relationship Id="rId1612" Type="http://schemas.openxmlformats.org/officeDocument/2006/relationships/hyperlink" Target="http://ufcstats.com/fight-details/58b19ba734fe93a3" TargetMode="External"/><Relationship Id="rId498" Type="http://schemas.openxmlformats.org/officeDocument/2006/relationships/hyperlink" Target="http://ufcstats.com/fight-details/7ada9af99946d456" TargetMode="External"/><Relationship Id="rId2179" Type="http://schemas.openxmlformats.org/officeDocument/2006/relationships/hyperlink" Target="http://ufcstats.com/fight-details/c0e8095c91c39b06" TargetMode="External"/><Relationship Id="rId3577" Type="http://schemas.openxmlformats.org/officeDocument/2006/relationships/hyperlink" Target="http://ufcstats.com/fight-details/6b4c2cc27855506a" TargetMode="External"/><Relationship Id="rId3784" Type="http://schemas.openxmlformats.org/officeDocument/2006/relationships/hyperlink" Target="http://ufcstats.com/fight-details/bf647be41de365e4" TargetMode="External"/><Relationship Id="rId3991" Type="http://schemas.openxmlformats.org/officeDocument/2006/relationships/hyperlink" Target="http://ufcstats.com/fight-details/ea29714dcfb07ce2" TargetMode="External"/><Relationship Id="rId2386" Type="http://schemas.openxmlformats.org/officeDocument/2006/relationships/hyperlink" Target="http://ufcstats.com/fight-details/92fd2127f46b0cb7" TargetMode="External"/><Relationship Id="rId2593" Type="http://schemas.openxmlformats.org/officeDocument/2006/relationships/hyperlink" Target="http://ufcstats.com/fight-details/2d36e2c10ee349fe" TargetMode="External"/><Relationship Id="rId3437" Type="http://schemas.openxmlformats.org/officeDocument/2006/relationships/hyperlink" Target="http://ufcstats.com/fight-details/2c0a58ef0324e18b" TargetMode="External"/><Relationship Id="rId3644" Type="http://schemas.openxmlformats.org/officeDocument/2006/relationships/hyperlink" Target="http://ufcstats.com/fight-details/357a5bc5de4f545d" TargetMode="External"/><Relationship Id="rId3851" Type="http://schemas.openxmlformats.org/officeDocument/2006/relationships/hyperlink" Target="http://ufcstats.com/fight-details/673ed36fa5c12d5f" TargetMode="External"/><Relationship Id="rId358" Type="http://schemas.openxmlformats.org/officeDocument/2006/relationships/hyperlink" Target="http://ufcstats.com/fight-details/ea63f56779100678" TargetMode="External"/><Relationship Id="rId565" Type="http://schemas.openxmlformats.org/officeDocument/2006/relationships/hyperlink" Target="http://ufcstats.com/fight-details/c4174e22cb22622c" TargetMode="External"/><Relationship Id="rId772" Type="http://schemas.openxmlformats.org/officeDocument/2006/relationships/hyperlink" Target="http://ufcstats.com/fight-details/34a39beb93225e2e" TargetMode="External"/><Relationship Id="rId1195" Type="http://schemas.openxmlformats.org/officeDocument/2006/relationships/hyperlink" Target="http://ufcstats.com/fight-details/8b61a3acdfb007d9" TargetMode="External"/><Relationship Id="rId2039" Type="http://schemas.openxmlformats.org/officeDocument/2006/relationships/hyperlink" Target="http://ufcstats.com/fight-details/e5872dfa5b93fcbb" TargetMode="External"/><Relationship Id="rId2246" Type="http://schemas.openxmlformats.org/officeDocument/2006/relationships/hyperlink" Target="http://ufcstats.com/fight-details/678db400f85ae15c" TargetMode="External"/><Relationship Id="rId2453" Type="http://schemas.openxmlformats.org/officeDocument/2006/relationships/hyperlink" Target="http://ufcstats.com/fight-details/87f58feac6b50367" TargetMode="External"/><Relationship Id="rId2660" Type="http://schemas.openxmlformats.org/officeDocument/2006/relationships/hyperlink" Target="http://ufcstats.com/fight-details/3bde8910fabf0dd3" TargetMode="External"/><Relationship Id="rId3504" Type="http://schemas.openxmlformats.org/officeDocument/2006/relationships/hyperlink" Target="http://ufcstats.com/fight-details/44502b8c5546fb12" TargetMode="External"/><Relationship Id="rId3711" Type="http://schemas.openxmlformats.org/officeDocument/2006/relationships/hyperlink" Target="http://ufcstats.com/fight-details/a10e2d5416972b9c" TargetMode="External"/><Relationship Id="rId218" Type="http://schemas.openxmlformats.org/officeDocument/2006/relationships/hyperlink" Target="http://ufcstats.com/fight-details/f24144fbe9e32c10" TargetMode="External"/><Relationship Id="rId425" Type="http://schemas.openxmlformats.org/officeDocument/2006/relationships/hyperlink" Target="http://ufcstats.com/fight-details/af9927b5589e708b" TargetMode="External"/><Relationship Id="rId632" Type="http://schemas.openxmlformats.org/officeDocument/2006/relationships/hyperlink" Target="http://ufcstats.com/fight-details/df16b9c2fc9722e9" TargetMode="External"/><Relationship Id="rId1055" Type="http://schemas.openxmlformats.org/officeDocument/2006/relationships/hyperlink" Target="http://ufcstats.com/fight-details/44abbf6b947be6de" TargetMode="External"/><Relationship Id="rId1262" Type="http://schemas.openxmlformats.org/officeDocument/2006/relationships/hyperlink" Target="http://ufcstats.com/fight-details/593f3b051aa82b0f" TargetMode="External"/><Relationship Id="rId2106" Type="http://schemas.openxmlformats.org/officeDocument/2006/relationships/hyperlink" Target="http://ufcstats.com/fight-details/04a1c5b7993fe4d5" TargetMode="External"/><Relationship Id="rId2313" Type="http://schemas.openxmlformats.org/officeDocument/2006/relationships/hyperlink" Target="http://ufcstats.com/fight-details/a2ebb5f86eb64f22" TargetMode="External"/><Relationship Id="rId2520" Type="http://schemas.openxmlformats.org/officeDocument/2006/relationships/hyperlink" Target="http://ufcstats.com/fight-details/0f85a1d9ce42d13e" TargetMode="External"/><Relationship Id="rId1122" Type="http://schemas.openxmlformats.org/officeDocument/2006/relationships/hyperlink" Target="http://ufcstats.com/fight-details/c43e99000f3c77b5" TargetMode="External"/><Relationship Id="rId4278" Type="http://schemas.openxmlformats.org/officeDocument/2006/relationships/hyperlink" Target="http://ufcstats.com/fight-details/96c51bc6316a4b47" TargetMode="External"/><Relationship Id="rId3087" Type="http://schemas.openxmlformats.org/officeDocument/2006/relationships/hyperlink" Target="http://ufcstats.com/fight-details/eab7b76e177e1903" TargetMode="External"/><Relationship Id="rId3294" Type="http://schemas.openxmlformats.org/officeDocument/2006/relationships/hyperlink" Target="http://ufcstats.com/fight-details/394b0347b0438622" TargetMode="External"/><Relationship Id="rId4138" Type="http://schemas.openxmlformats.org/officeDocument/2006/relationships/hyperlink" Target="http://ufcstats.com/fight-details/bfd672cac0726a9a" TargetMode="External"/><Relationship Id="rId4345" Type="http://schemas.openxmlformats.org/officeDocument/2006/relationships/hyperlink" Target="http://ufcstats.com/fight-details/ebe38ba75cbf2320" TargetMode="External"/><Relationship Id="rId1939" Type="http://schemas.openxmlformats.org/officeDocument/2006/relationships/hyperlink" Target="http://ufcstats.com/fight-details/c1e039419a671b9e" TargetMode="External"/><Relationship Id="rId3154" Type="http://schemas.openxmlformats.org/officeDocument/2006/relationships/hyperlink" Target="http://ufcstats.com/fight-details/4127b45c3d546eef" TargetMode="External"/><Relationship Id="rId3361" Type="http://schemas.openxmlformats.org/officeDocument/2006/relationships/hyperlink" Target="http://ufcstats.com/fight-details/dadaee9624256e07" TargetMode="External"/><Relationship Id="rId4205" Type="http://schemas.openxmlformats.org/officeDocument/2006/relationships/hyperlink" Target="http://ufcstats.com/fight-details/a0362d60d2e1db0d" TargetMode="External"/><Relationship Id="rId4412" Type="http://schemas.openxmlformats.org/officeDocument/2006/relationships/hyperlink" Target="http://ufcstats.com/fight-details/4047c2e259529179" TargetMode="External"/><Relationship Id="rId282" Type="http://schemas.openxmlformats.org/officeDocument/2006/relationships/hyperlink" Target="http://ufcstats.com/fight-details/ca6d4239726931f9" TargetMode="External"/><Relationship Id="rId2170" Type="http://schemas.openxmlformats.org/officeDocument/2006/relationships/hyperlink" Target="http://ufcstats.com/fight-details/5ae114b3fdef6d2f" TargetMode="External"/><Relationship Id="rId3014" Type="http://schemas.openxmlformats.org/officeDocument/2006/relationships/hyperlink" Target="http://ufcstats.com/fight-details/18f1b88d8977c216" TargetMode="External"/><Relationship Id="rId3221" Type="http://schemas.openxmlformats.org/officeDocument/2006/relationships/hyperlink" Target="http://ufcstats.com/fight-details/ce7cd2ec773bea7f" TargetMode="External"/><Relationship Id="rId8" Type="http://schemas.openxmlformats.org/officeDocument/2006/relationships/hyperlink" Target="http://ufcstats.com/fight-details/b87863a2de433824" TargetMode="External"/><Relationship Id="rId142" Type="http://schemas.openxmlformats.org/officeDocument/2006/relationships/hyperlink" Target="http://ufcstats.com/fight-details/7340b4cbdbac5863" TargetMode="External"/><Relationship Id="rId2030" Type="http://schemas.openxmlformats.org/officeDocument/2006/relationships/hyperlink" Target="http://ufcstats.com/fight-details/031e6624f96aceb8" TargetMode="External"/><Relationship Id="rId2987" Type="http://schemas.openxmlformats.org/officeDocument/2006/relationships/hyperlink" Target="http://ufcstats.com/fight-details/495e64df4c4ce7a7" TargetMode="External"/><Relationship Id="rId959" Type="http://schemas.openxmlformats.org/officeDocument/2006/relationships/hyperlink" Target="http://ufcstats.com/fight-details/76fd6919d828d5c2" TargetMode="External"/><Relationship Id="rId1589" Type="http://schemas.openxmlformats.org/officeDocument/2006/relationships/hyperlink" Target="http://ufcstats.com/fight-details/8ec7d82619bfb564" TargetMode="External"/><Relationship Id="rId1449" Type="http://schemas.openxmlformats.org/officeDocument/2006/relationships/hyperlink" Target="http://ufcstats.com/fight-details/b2ca310c9d0037d3" TargetMode="External"/><Relationship Id="rId1796" Type="http://schemas.openxmlformats.org/officeDocument/2006/relationships/hyperlink" Target="http://ufcstats.com/fight-details/5e794b8ef52c88cb" TargetMode="External"/><Relationship Id="rId2847" Type="http://schemas.openxmlformats.org/officeDocument/2006/relationships/hyperlink" Target="http://ufcstats.com/fight-details/75a978e0ecce2536" TargetMode="External"/><Relationship Id="rId4062" Type="http://schemas.openxmlformats.org/officeDocument/2006/relationships/hyperlink" Target="http://ufcstats.com/fight-details/8cb4e3f056a84b0d" TargetMode="External"/><Relationship Id="rId88" Type="http://schemas.openxmlformats.org/officeDocument/2006/relationships/hyperlink" Target="http://ufcstats.com/fight-details/84f60cb00b8d4187" TargetMode="External"/><Relationship Id="rId819" Type="http://schemas.openxmlformats.org/officeDocument/2006/relationships/hyperlink" Target="http://ufcstats.com/fight-details/18292c8eb20ae045" TargetMode="External"/><Relationship Id="rId1656" Type="http://schemas.openxmlformats.org/officeDocument/2006/relationships/hyperlink" Target="http://ufcstats.com/fight-details/1cd0ce0e2312ad52" TargetMode="External"/><Relationship Id="rId1863" Type="http://schemas.openxmlformats.org/officeDocument/2006/relationships/hyperlink" Target="http://ufcstats.com/fight-details/6a315ef5bf22af29" TargetMode="External"/><Relationship Id="rId2707" Type="http://schemas.openxmlformats.org/officeDocument/2006/relationships/hyperlink" Target="http://ufcstats.com/fight-details/ccbbf1ccd4513551" TargetMode="External"/><Relationship Id="rId2914" Type="http://schemas.openxmlformats.org/officeDocument/2006/relationships/hyperlink" Target="http://ufcstats.com/fight-details/fcfd2e6eed519cb9" TargetMode="External"/><Relationship Id="rId1309" Type="http://schemas.openxmlformats.org/officeDocument/2006/relationships/hyperlink" Target="http://ufcstats.com/fight-details/f0cf92b063735164" TargetMode="External"/><Relationship Id="rId1516" Type="http://schemas.openxmlformats.org/officeDocument/2006/relationships/hyperlink" Target="http://ufcstats.com/fight-details/74256b4e8d0b1de6" TargetMode="External"/><Relationship Id="rId1723" Type="http://schemas.openxmlformats.org/officeDocument/2006/relationships/hyperlink" Target="http://ufcstats.com/fight-details/2d1ac675e6c1e6ea" TargetMode="External"/><Relationship Id="rId1930" Type="http://schemas.openxmlformats.org/officeDocument/2006/relationships/hyperlink" Target="http://ufcstats.com/fight-details/6f836a82a0530884" TargetMode="External"/><Relationship Id="rId15" Type="http://schemas.openxmlformats.org/officeDocument/2006/relationships/hyperlink" Target="http://ufcstats.com/fight-details/5c3c4bcc6c746ca0" TargetMode="External"/><Relationship Id="rId3688" Type="http://schemas.openxmlformats.org/officeDocument/2006/relationships/hyperlink" Target="http://ufcstats.com/fight-details/d6e1205babf27a9d" TargetMode="External"/><Relationship Id="rId3895" Type="http://schemas.openxmlformats.org/officeDocument/2006/relationships/hyperlink" Target="http://ufcstats.com/fight-details/f313eae425b7c539" TargetMode="External"/><Relationship Id="rId2497" Type="http://schemas.openxmlformats.org/officeDocument/2006/relationships/hyperlink" Target="http://ufcstats.com/fight-details/c06d7bb29bc24d00" TargetMode="External"/><Relationship Id="rId3548" Type="http://schemas.openxmlformats.org/officeDocument/2006/relationships/hyperlink" Target="http://ufcstats.com/fight-details/665e9a25c5d8c17f" TargetMode="External"/><Relationship Id="rId3755" Type="http://schemas.openxmlformats.org/officeDocument/2006/relationships/hyperlink" Target="http://ufcstats.com/fight-details/32813f5f46f045e8" TargetMode="External"/><Relationship Id="rId469" Type="http://schemas.openxmlformats.org/officeDocument/2006/relationships/hyperlink" Target="http://ufcstats.com/fight-details/5f31f3e32669f5b9" TargetMode="External"/><Relationship Id="rId676" Type="http://schemas.openxmlformats.org/officeDocument/2006/relationships/hyperlink" Target="http://ufcstats.com/fight-details/f039c93516e48253" TargetMode="External"/><Relationship Id="rId883" Type="http://schemas.openxmlformats.org/officeDocument/2006/relationships/hyperlink" Target="http://ufcstats.com/fight-details/fa7cde1e2d3ae338" TargetMode="External"/><Relationship Id="rId1099" Type="http://schemas.openxmlformats.org/officeDocument/2006/relationships/hyperlink" Target="http://ufcstats.com/fight-details/cc2809e10315a6b5" TargetMode="External"/><Relationship Id="rId2357" Type="http://schemas.openxmlformats.org/officeDocument/2006/relationships/hyperlink" Target="http://ufcstats.com/fight-details/3d9398386c84109b" TargetMode="External"/><Relationship Id="rId2564" Type="http://schemas.openxmlformats.org/officeDocument/2006/relationships/hyperlink" Target="http://ufcstats.com/fight-details/f8df4cb5f22656c0" TargetMode="External"/><Relationship Id="rId3408" Type="http://schemas.openxmlformats.org/officeDocument/2006/relationships/hyperlink" Target="http://ufcstats.com/fight-details/88f36fa2945ccac5" TargetMode="External"/><Relationship Id="rId3615" Type="http://schemas.openxmlformats.org/officeDocument/2006/relationships/hyperlink" Target="http://ufcstats.com/fight-details/90a5ddd6738605d9" TargetMode="External"/><Relationship Id="rId3962" Type="http://schemas.openxmlformats.org/officeDocument/2006/relationships/hyperlink" Target="http://ufcstats.com/fight-details/0eac7075bf3d7ab7" TargetMode="External"/><Relationship Id="rId329" Type="http://schemas.openxmlformats.org/officeDocument/2006/relationships/hyperlink" Target="http://ufcstats.com/fight-details/cade0268dec56f3d" TargetMode="External"/><Relationship Id="rId536" Type="http://schemas.openxmlformats.org/officeDocument/2006/relationships/hyperlink" Target="http://ufcstats.com/fight-details/208c5dc52ccfd47a" TargetMode="External"/><Relationship Id="rId1166" Type="http://schemas.openxmlformats.org/officeDocument/2006/relationships/hyperlink" Target="http://ufcstats.com/fight-details/024beecfd3f0ed7a" TargetMode="External"/><Relationship Id="rId1373" Type="http://schemas.openxmlformats.org/officeDocument/2006/relationships/hyperlink" Target="http://ufcstats.com/fight-details/fcfaa28ed6888088" TargetMode="External"/><Relationship Id="rId2217" Type="http://schemas.openxmlformats.org/officeDocument/2006/relationships/hyperlink" Target="http://ufcstats.com/fight-details/966bf043577f8b6a" TargetMode="External"/><Relationship Id="rId2771" Type="http://schemas.openxmlformats.org/officeDocument/2006/relationships/hyperlink" Target="http://ufcstats.com/fight-details/28e3d939eb043664" TargetMode="External"/><Relationship Id="rId3822" Type="http://schemas.openxmlformats.org/officeDocument/2006/relationships/hyperlink" Target="http://ufcstats.com/fight-details/a072be4f806d360f" TargetMode="External"/><Relationship Id="rId743" Type="http://schemas.openxmlformats.org/officeDocument/2006/relationships/hyperlink" Target="http://ufcstats.com/fight-details/4b35edc671de861f" TargetMode="External"/><Relationship Id="rId950" Type="http://schemas.openxmlformats.org/officeDocument/2006/relationships/hyperlink" Target="http://ufcstats.com/fight-details/094790e50afae55e" TargetMode="External"/><Relationship Id="rId1026" Type="http://schemas.openxmlformats.org/officeDocument/2006/relationships/hyperlink" Target="http://ufcstats.com/fight-details/e11e290d816c119b" TargetMode="External"/><Relationship Id="rId1580" Type="http://schemas.openxmlformats.org/officeDocument/2006/relationships/hyperlink" Target="http://ufcstats.com/fight-details/f820c6292e19d854" TargetMode="External"/><Relationship Id="rId2424" Type="http://schemas.openxmlformats.org/officeDocument/2006/relationships/hyperlink" Target="http://ufcstats.com/fight-details/b76c0b0ed2926737" TargetMode="External"/><Relationship Id="rId2631" Type="http://schemas.openxmlformats.org/officeDocument/2006/relationships/hyperlink" Target="http://ufcstats.com/fight-details/51108eabae8391ca" TargetMode="External"/><Relationship Id="rId4389" Type="http://schemas.openxmlformats.org/officeDocument/2006/relationships/hyperlink" Target="http://ufcstats.com/fight-details/17f69a241aa952fd" TargetMode="External"/><Relationship Id="rId603" Type="http://schemas.openxmlformats.org/officeDocument/2006/relationships/hyperlink" Target="http://ufcstats.com/fight-details/28af78600d6580f1" TargetMode="External"/><Relationship Id="rId810" Type="http://schemas.openxmlformats.org/officeDocument/2006/relationships/hyperlink" Target="http://ufcstats.com/fight-details/86dff1593d8b9a1f" TargetMode="External"/><Relationship Id="rId1233" Type="http://schemas.openxmlformats.org/officeDocument/2006/relationships/hyperlink" Target="http://ufcstats.com/fight-details/4ec249e549309b16" TargetMode="External"/><Relationship Id="rId1440" Type="http://schemas.openxmlformats.org/officeDocument/2006/relationships/hyperlink" Target="http://ufcstats.com/fight-details/2c0cddd12deb7450" TargetMode="External"/><Relationship Id="rId1300" Type="http://schemas.openxmlformats.org/officeDocument/2006/relationships/hyperlink" Target="http://ufcstats.com/fight-details/f4df74046a1c4364" TargetMode="External"/><Relationship Id="rId3198" Type="http://schemas.openxmlformats.org/officeDocument/2006/relationships/hyperlink" Target="http://ufcstats.com/fight-details/648396cc751c730d" TargetMode="External"/><Relationship Id="rId4249" Type="http://schemas.openxmlformats.org/officeDocument/2006/relationships/hyperlink" Target="http://ufcstats.com/fight-details/11318a7807cee8ca" TargetMode="External"/><Relationship Id="rId4456" Type="http://schemas.openxmlformats.org/officeDocument/2006/relationships/hyperlink" Target="http://ufcstats.com/fight-details/687d973d71e068dc" TargetMode="External"/><Relationship Id="rId3058" Type="http://schemas.openxmlformats.org/officeDocument/2006/relationships/hyperlink" Target="http://ufcstats.com/fight-details/5a1ce88ec1f75160" TargetMode="External"/><Relationship Id="rId3265" Type="http://schemas.openxmlformats.org/officeDocument/2006/relationships/hyperlink" Target="http://ufcstats.com/fight-details/9ddaa62cc806958d" TargetMode="External"/><Relationship Id="rId3472" Type="http://schemas.openxmlformats.org/officeDocument/2006/relationships/hyperlink" Target="http://ufcstats.com/fight-details/fd80d6d9f4e54387" TargetMode="External"/><Relationship Id="rId4109" Type="http://schemas.openxmlformats.org/officeDocument/2006/relationships/hyperlink" Target="http://ufcstats.com/fight-details/28f7ba820350e3a3" TargetMode="External"/><Relationship Id="rId4316" Type="http://schemas.openxmlformats.org/officeDocument/2006/relationships/hyperlink" Target="http://ufcstats.com/fight-details/0b2ae6c368369d1b" TargetMode="External"/><Relationship Id="rId186" Type="http://schemas.openxmlformats.org/officeDocument/2006/relationships/hyperlink" Target="http://ufcstats.com/fight-details/43af04881587abbc" TargetMode="External"/><Relationship Id="rId393" Type="http://schemas.openxmlformats.org/officeDocument/2006/relationships/hyperlink" Target="http://ufcstats.com/fight-details/cb720b01fd6f9785" TargetMode="External"/><Relationship Id="rId2074" Type="http://schemas.openxmlformats.org/officeDocument/2006/relationships/hyperlink" Target="http://ufcstats.com/fight-details/721d870849de4a57" TargetMode="External"/><Relationship Id="rId2281" Type="http://schemas.openxmlformats.org/officeDocument/2006/relationships/hyperlink" Target="http://ufcstats.com/fight-details/2c7b788effdc1b4c" TargetMode="External"/><Relationship Id="rId3125" Type="http://schemas.openxmlformats.org/officeDocument/2006/relationships/hyperlink" Target="http://ufcstats.com/fight-details/f70c817388602681" TargetMode="External"/><Relationship Id="rId3332" Type="http://schemas.openxmlformats.org/officeDocument/2006/relationships/hyperlink" Target="http://ufcstats.com/fight-details/73dbbdfcf7f989c0" TargetMode="External"/><Relationship Id="rId253" Type="http://schemas.openxmlformats.org/officeDocument/2006/relationships/hyperlink" Target="http://ufcstats.com/fight-details/8b5c760f34daafe0" TargetMode="External"/><Relationship Id="rId460" Type="http://schemas.openxmlformats.org/officeDocument/2006/relationships/hyperlink" Target="http://ufcstats.com/fight-details/63670e1b8f164d4a" TargetMode="External"/><Relationship Id="rId1090" Type="http://schemas.openxmlformats.org/officeDocument/2006/relationships/hyperlink" Target="http://ufcstats.com/fight-details/4738cd4cd8d33eeb" TargetMode="External"/><Relationship Id="rId2141" Type="http://schemas.openxmlformats.org/officeDocument/2006/relationships/hyperlink" Target="http://ufcstats.com/fight-details/c5c1deb1607f69b4" TargetMode="External"/><Relationship Id="rId113" Type="http://schemas.openxmlformats.org/officeDocument/2006/relationships/hyperlink" Target="http://ufcstats.com/fight-details/a457331c27bce6d5" TargetMode="External"/><Relationship Id="rId320" Type="http://schemas.openxmlformats.org/officeDocument/2006/relationships/hyperlink" Target="http://ufcstats.com/fight-details/a43dcd04788d95c7" TargetMode="External"/><Relationship Id="rId2001" Type="http://schemas.openxmlformats.org/officeDocument/2006/relationships/hyperlink" Target="http://ufcstats.com/fight-details/0cf7a4593fd44e59" TargetMode="External"/><Relationship Id="rId2958" Type="http://schemas.openxmlformats.org/officeDocument/2006/relationships/hyperlink" Target="http://ufcstats.com/fight-details/13d2b7aef67cb6ea" TargetMode="External"/><Relationship Id="rId1767" Type="http://schemas.openxmlformats.org/officeDocument/2006/relationships/hyperlink" Target="http://ufcstats.com/fight-details/cd55220a7b1378c4" TargetMode="External"/><Relationship Id="rId1974" Type="http://schemas.openxmlformats.org/officeDocument/2006/relationships/hyperlink" Target="http://ufcstats.com/fight-details/0aae15358d8606b9" TargetMode="External"/><Relationship Id="rId2818" Type="http://schemas.openxmlformats.org/officeDocument/2006/relationships/hyperlink" Target="http://ufcstats.com/fight-details/bc767f1eb6176dfb" TargetMode="External"/><Relationship Id="rId4173" Type="http://schemas.openxmlformats.org/officeDocument/2006/relationships/hyperlink" Target="http://ufcstats.com/fight-details/c442899c21d58779" TargetMode="External"/><Relationship Id="rId4380" Type="http://schemas.openxmlformats.org/officeDocument/2006/relationships/hyperlink" Target="http://ufcstats.com/fight-details/b4622ca7cf0e8506" TargetMode="External"/><Relationship Id="rId59" Type="http://schemas.openxmlformats.org/officeDocument/2006/relationships/hyperlink" Target="http://ufcstats.com/fight-details/3100a4e29da974ad" TargetMode="External"/><Relationship Id="rId1627" Type="http://schemas.openxmlformats.org/officeDocument/2006/relationships/hyperlink" Target="http://ufcstats.com/fight-details/94c0819fde11364d" TargetMode="External"/><Relationship Id="rId1834" Type="http://schemas.openxmlformats.org/officeDocument/2006/relationships/hyperlink" Target="http://ufcstats.com/fight-details/2fa88b72973478b6" TargetMode="External"/><Relationship Id="rId4033" Type="http://schemas.openxmlformats.org/officeDocument/2006/relationships/hyperlink" Target="http://ufcstats.com/fight-details/8e5ce3308c0e2046" TargetMode="External"/><Relationship Id="rId4240" Type="http://schemas.openxmlformats.org/officeDocument/2006/relationships/hyperlink" Target="http://ufcstats.com/fight-details/99dc6d45cbdfa322" TargetMode="External"/><Relationship Id="rId3799" Type="http://schemas.openxmlformats.org/officeDocument/2006/relationships/hyperlink" Target="http://ufcstats.com/fight-details/47dfd70b5780d68a" TargetMode="External"/><Relationship Id="rId4100" Type="http://schemas.openxmlformats.org/officeDocument/2006/relationships/hyperlink" Target="http://ufcstats.com/fight-details/77c6a6f33289b872" TargetMode="External"/><Relationship Id="rId1901" Type="http://schemas.openxmlformats.org/officeDocument/2006/relationships/hyperlink" Target="http://ufcstats.com/fight-details/edf46d6962be7e8d" TargetMode="External"/><Relationship Id="rId3659" Type="http://schemas.openxmlformats.org/officeDocument/2006/relationships/hyperlink" Target="http://ufcstats.com/fight-details/a26db2cee9eab1f9" TargetMode="External"/><Relationship Id="rId3866" Type="http://schemas.openxmlformats.org/officeDocument/2006/relationships/hyperlink" Target="http://ufcstats.com/fight-details/cf0e0f95524f187a" TargetMode="External"/><Relationship Id="rId787" Type="http://schemas.openxmlformats.org/officeDocument/2006/relationships/hyperlink" Target="http://ufcstats.com/fight-details/b29ed164b3014a42" TargetMode="External"/><Relationship Id="rId994" Type="http://schemas.openxmlformats.org/officeDocument/2006/relationships/hyperlink" Target="http://ufcstats.com/fight-details/9cb4196446f3ce79" TargetMode="External"/><Relationship Id="rId2468" Type="http://schemas.openxmlformats.org/officeDocument/2006/relationships/hyperlink" Target="http://ufcstats.com/fight-details/824fb74f5fc34218" TargetMode="External"/><Relationship Id="rId2675" Type="http://schemas.openxmlformats.org/officeDocument/2006/relationships/hyperlink" Target="http://ufcstats.com/fight-details/823e9449bd47e408" TargetMode="External"/><Relationship Id="rId2882" Type="http://schemas.openxmlformats.org/officeDocument/2006/relationships/hyperlink" Target="http://ufcstats.com/fight-details/3638ee66c7d34fe0" TargetMode="External"/><Relationship Id="rId3519" Type="http://schemas.openxmlformats.org/officeDocument/2006/relationships/hyperlink" Target="http://ufcstats.com/fight-details/3dd22a9a0ea68cc6" TargetMode="External"/><Relationship Id="rId3726" Type="http://schemas.openxmlformats.org/officeDocument/2006/relationships/hyperlink" Target="http://ufcstats.com/fight-details/4335683beee93652" TargetMode="External"/><Relationship Id="rId3933" Type="http://schemas.openxmlformats.org/officeDocument/2006/relationships/hyperlink" Target="http://ufcstats.com/fight-details/f0b83b05f3dd9580" TargetMode="External"/><Relationship Id="rId647" Type="http://schemas.openxmlformats.org/officeDocument/2006/relationships/hyperlink" Target="http://ufcstats.com/fight-details/82243207b4dfce87" TargetMode="External"/><Relationship Id="rId854" Type="http://schemas.openxmlformats.org/officeDocument/2006/relationships/hyperlink" Target="http://ufcstats.com/fight-details/dffad417175400ba" TargetMode="External"/><Relationship Id="rId1277" Type="http://schemas.openxmlformats.org/officeDocument/2006/relationships/hyperlink" Target="http://ufcstats.com/fight-details/df9847839c73a678" TargetMode="External"/><Relationship Id="rId1484" Type="http://schemas.openxmlformats.org/officeDocument/2006/relationships/hyperlink" Target="http://ufcstats.com/fight-details/dc24c4759651c6ad" TargetMode="External"/><Relationship Id="rId1691" Type="http://schemas.openxmlformats.org/officeDocument/2006/relationships/hyperlink" Target="http://ufcstats.com/fight-details/b0c2442c5a7c509a" TargetMode="External"/><Relationship Id="rId2328" Type="http://schemas.openxmlformats.org/officeDocument/2006/relationships/hyperlink" Target="http://ufcstats.com/fight-details/12683e06369d1a83" TargetMode="External"/><Relationship Id="rId2535" Type="http://schemas.openxmlformats.org/officeDocument/2006/relationships/hyperlink" Target="http://ufcstats.com/fight-details/2f382615155e32b9" TargetMode="External"/><Relationship Id="rId2742" Type="http://schemas.openxmlformats.org/officeDocument/2006/relationships/hyperlink" Target="http://ufcstats.com/fight-details/6acd1c591170f597" TargetMode="External"/><Relationship Id="rId507" Type="http://schemas.openxmlformats.org/officeDocument/2006/relationships/hyperlink" Target="http://ufcstats.com/fight-details/88a63555728c2025" TargetMode="External"/><Relationship Id="rId714" Type="http://schemas.openxmlformats.org/officeDocument/2006/relationships/hyperlink" Target="http://ufcstats.com/fight-details/11c851a73ffb55ba" TargetMode="External"/><Relationship Id="rId921" Type="http://schemas.openxmlformats.org/officeDocument/2006/relationships/hyperlink" Target="http://ufcstats.com/fight-details/9968d308e97c6531" TargetMode="External"/><Relationship Id="rId1137" Type="http://schemas.openxmlformats.org/officeDocument/2006/relationships/hyperlink" Target="http://ufcstats.com/fight-details/8868957c1735bcf0" TargetMode="External"/><Relationship Id="rId1344" Type="http://schemas.openxmlformats.org/officeDocument/2006/relationships/hyperlink" Target="http://ufcstats.com/fight-details/b0552b065ca7f401" TargetMode="External"/><Relationship Id="rId1551" Type="http://schemas.openxmlformats.org/officeDocument/2006/relationships/hyperlink" Target="http://ufcstats.com/fight-details/00b801e7e1679f2f" TargetMode="External"/><Relationship Id="rId2602" Type="http://schemas.openxmlformats.org/officeDocument/2006/relationships/hyperlink" Target="http://ufcstats.com/fight-details/57775c8af89007c7" TargetMode="External"/><Relationship Id="rId50" Type="http://schemas.openxmlformats.org/officeDocument/2006/relationships/hyperlink" Target="http://ufcstats.com/fight-details/b60bbec8ec98941b" TargetMode="External"/><Relationship Id="rId1204" Type="http://schemas.openxmlformats.org/officeDocument/2006/relationships/hyperlink" Target="http://ufcstats.com/fight-details/7dcd5d8a44a284e5" TargetMode="External"/><Relationship Id="rId1411" Type="http://schemas.openxmlformats.org/officeDocument/2006/relationships/hyperlink" Target="http://ufcstats.com/fight-details/7a635063e5f1699b" TargetMode="External"/><Relationship Id="rId3169" Type="http://schemas.openxmlformats.org/officeDocument/2006/relationships/hyperlink" Target="http://ufcstats.com/fight-details/357cf8a9b6737625" TargetMode="External"/><Relationship Id="rId3376" Type="http://schemas.openxmlformats.org/officeDocument/2006/relationships/hyperlink" Target="http://ufcstats.com/fight-details/c77486266b05f934" TargetMode="External"/><Relationship Id="rId3583" Type="http://schemas.openxmlformats.org/officeDocument/2006/relationships/hyperlink" Target="http://ufcstats.com/fight-details/11aac355349ecc94" TargetMode="External"/><Relationship Id="rId4427" Type="http://schemas.openxmlformats.org/officeDocument/2006/relationships/hyperlink" Target="http://ufcstats.com/fight-details/f526892a27b50576" TargetMode="External"/><Relationship Id="rId297" Type="http://schemas.openxmlformats.org/officeDocument/2006/relationships/hyperlink" Target="http://ufcstats.com/fight-details/7200343d2e957cf3" TargetMode="External"/><Relationship Id="rId2185" Type="http://schemas.openxmlformats.org/officeDocument/2006/relationships/hyperlink" Target="http://ufcstats.com/fight-details/97c302628f231da3" TargetMode="External"/><Relationship Id="rId2392" Type="http://schemas.openxmlformats.org/officeDocument/2006/relationships/hyperlink" Target="http://ufcstats.com/fight-details/85e5498808346d6b" TargetMode="External"/><Relationship Id="rId3029" Type="http://schemas.openxmlformats.org/officeDocument/2006/relationships/hyperlink" Target="http://ufcstats.com/fight-details/cddd3d4febe097f8" TargetMode="External"/><Relationship Id="rId3236" Type="http://schemas.openxmlformats.org/officeDocument/2006/relationships/hyperlink" Target="http://ufcstats.com/fight-details/5ebe8d3849273776" TargetMode="External"/><Relationship Id="rId3790" Type="http://schemas.openxmlformats.org/officeDocument/2006/relationships/hyperlink" Target="http://ufcstats.com/fight-details/30b33d032605c885" TargetMode="External"/><Relationship Id="rId157" Type="http://schemas.openxmlformats.org/officeDocument/2006/relationships/hyperlink" Target="http://ufcstats.com/fight-details/fba7d6a42f137938" TargetMode="External"/><Relationship Id="rId364" Type="http://schemas.openxmlformats.org/officeDocument/2006/relationships/hyperlink" Target="http://ufcstats.com/fight-details/5bc31abb5842942a" TargetMode="External"/><Relationship Id="rId2045" Type="http://schemas.openxmlformats.org/officeDocument/2006/relationships/hyperlink" Target="http://ufcstats.com/fight-details/60c441c5838dfac2" TargetMode="External"/><Relationship Id="rId3443" Type="http://schemas.openxmlformats.org/officeDocument/2006/relationships/hyperlink" Target="http://ufcstats.com/fight-details/806ee07a1a7042b8" TargetMode="External"/><Relationship Id="rId3650" Type="http://schemas.openxmlformats.org/officeDocument/2006/relationships/hyperlink" Target="http://ufcstats.com/fight-details/d325a1483d78ae75" TargetMode="External"/><Relationship Id="rId571" Type="http://schemas.openxmlformats.org/officeDocument/2006/relationships/hyperlink" Target="http://ufcstats.com/fight-details/85168b8d99f7ce42" TargetMode="External"/><Relationship Id="rId2252" Type="http://schemas.openxmlformats.org/officeDocument/2006/relationships/hyperlink" Target="http://ufcstats.com/fight-details/e1bd72aba46f46a1" TargetMode="External"/><Relationship Id="rId3303" Type="http://schemas.openxmlformats.org/officeDocument/2006/relationships/hyperlink" Target="http://ufcstats.com/fight-details/50bf4bb2f8d9aba4" TargetMode="External"/><Relationship Id="rId3510" Type="http://schemas.openxmlformats.org/officeDocument/2006/relationships/hyperlink" Target="http://ufcstats.com/fight-details/4adef20ce69217be" TargetMode="External"/><Relationship Id="rId224" Type="http://schemas.openxmlformats.org/officeDocument/2006/relationships/hyperlink" Target="http://ufcstats.com/fight-details/c4fd59db24f978ec" TargetMode="External"/><Relationship Id="rId431" Type="http://schemas.openxmlformats.org/officeDocument/2006/relationships/hyperlink" Target="http://ufcstats.com/fight-details/7dc551f8153bd053" TargetMode="External"/><Relationship Id="rId1061" Type="http://schemas.openxmlformats.org/officeDocument/2006/relationships/hyperlink" Target="http://ufcstats.com/fight-details/c420c376cc1d149c" TargetMode="External"/><Relationship Id="rId2112" Type="http://schemas.openxmlformats.org/officeDocument/2006/relationships/hyperlink" Target="http://ufcstats.com/fight-details/676320a61f800f10" TargetMode="External"/><Relationship Id="rId1878" Type="http://schemas.openxmlformats.org/officeDocument/2006/relationships/hyperlink" Target="http://ufcstats.com/fight-details/714d6fc1eaca9624" TargetMode="External"/><Relationship Id="rId2929" Type="http://schemas.openxmlformats.org/officeDocument/2006/relationships/hyperlink" Target="http://ufcstats.com/fight-details/4b202bae6c87b98b" TargetMode="External"/><Relationship Id="rId4077" Type="http://schemas.openxmlformats.org/officeDocument/2006/relationships/hyperlink" Target="http://ufcstats.com/fight-details/2a1826612a7d739c" TargetMode="External"/><Relationship Id="rId4284" Type="http://schemas.openxmlformats.org/officeDocument/2006/relationships/hyperlink" Target="http://ufcstats.com/fight-details/27200d53ba9020b8" TargetMode="External"/><Relationship Id="rId1738" Type="http://schemas.openxmlformats.org/officeDocument/2006/relationships/hyperlink" Target="http://ufcstats.com/fight-details/0f3a91caeaa55094" TargetMode="External"/><Relationship Id="rId3093" Type="http://schemas.openxmlformats.org/officeDocument/2006/relationships/hyperlink" Target="http://ufcstats.com/fight-details/523815acf1bb2420" TargetMode="External"/><Relationship Id="rId4144" Type="http://schemas.openxmlformats.org/officeDocument/2006/relationships/hyperlink" Target="http://ufcstats.com/fight-details/5a878a6bebc973d7" TargetMode="External"/><Relationship Id="rId4351" Type="http://schemas.openxmlformats.org/officeDocument/2006/relationships/hyperlink" Target="http://ufcstats.com/fight-details/52943c821416dc38" TargetMode="External"/><Relationship Id="rId1945" Type="http://schemas.openxmlformats.org/officeDocument/2006/relationships/hyperlink" Target="http://ufcstats.com/fight-details/f7c9f7a6edca5299" TargetMode="External"/><Relationship Id="rId3160" Type="http://schemas.openxmlformats.org/officeDocument/2006/relationships/hyperlink" Target="http://ufcstats.com/fight-details/19722043e7eb4e39" TargetMode="External"/><Relationship Id="rId4004" Type="http://schemas.openxmlformats.org/officeDocument/2006/relationships/hyperlink" Target="http://ufcstats.com/fight-details/96fe84d051847591" TargetMode="External"/><Relationship Id="rId4211" Type="http://schemas.openxmlformats.org/officeDocument/2006/relationships/hyperlink" Target="http://ufcstats.com/fight-details/5e378c52f26935d6" TargetMode="External"/><Relationship Id="rId1805" Type="http://schemas.openxmlformats.org/officeDocument/2006/relationships/hyperlink" Target="http://ufcstats.com/fight-details/20063242f6e40d31" TargetMode="External"/><Relationship Id="rId3020" Type="http://schemas.openxmlformats.org/officeDocument/2006/relationships/hyperlink" Target="http://ufcstats.com/fight-details/4b12a4b48755cd6b" TargetMode="External"/><Relationship Id="rId3977" Type="http://schemas.openxmlformats.org/officeDocument/2006/relationships/hyperlink" Target="http://ufcstats.com/fight-details/330e67abac6e5ce7" TargetMode="External"/><Relationship Id="rId898" Type="http://schemas.openxmlformats.org/officeDocument/2006/relationships/hyperlink" Target="http://ufcstats.com/fight-details/c58aaabf2c5635d7" TargetMode="External"/><Relationship Id="rId2579" Type="http://schemas.openxmlformats.org/officeDocument/2006/relationships/hyperlink" Target="http://ufcstats.com/fight-details/32bd7ed48f5aea7e" TargetMode="External"/><Relationship Id="rId2786" Type="http://schemas.openxmlformats.org/officeDocument/2006/relationships/hyperlink" Target="http://ufcstats.com/fight-details/f32d918ee06cb83b" TargetMode="External"/><Relationship Id="rId2993" Type="http://schemas.openxmlformats.org/officeDocument/2006/relationships/hyperlink" Target="http://ufcstats.com/fight-details/5b51610a9c8c88ef" TargetMode="External"/><Relationship Id="rId3837" Type="http://schemas.openxmlformats.org/officeDocument/2006/relationships/hyperlink" Target="http://ufcstats.com/fight-details/609d994bfe440ec3" TargetMode="External"/><Relationship Id="rId758" Type="http://schemas.openxmlformats.org/officeDocument/2006/relationships/hyperlink" Target="http://ufcstats.com/fight-details/36388dce4a8cc18f" TargetMode="External"/><Relationship Id="rId965" Type="http://schemas.openxmlformats.org/officeDocument/2006/relationships/hyperlink" Target="http://ufcstats.com/fight-details/d85c76a61a820be9" TargetMode="External"/><Relationship Id="rId1388" Type="http://schemas.openxmlformats.org/officeDocument/2006/relationships/hyperlink" Target="http://ufcstats.com/fight-details/f2916c10b7ecfcee" TargetMode="External"/><Relationship Id="rId1595" Type="http://schemas.openxmlformats.org/officeDocument/2006/relationships/hyperlink" Target="http://ufcstats.com/fight-details/2c0496a5f39ab8a4" TargetMode="External"/><Relationship Id="rId2439" Type="http://schemas.openxmlformats.org/officeDocument/2006/relationships/hyperlink" Target="http://ufcstats.com/fight-details/23e548f618dd0e5f" TargetMode="External"/><Relationship Id="rId2646" Type="http://schemas.openxmlformats.org/officeDocument/2006/relationships/hyperlink" Target="http://ufcstats.com/fight-details/9a46f95c1c1e57f0" TargetMode="External"/><Relationship Id="rId2853" Type="http://schemas.openxmlformats.org/officeDocument/2006/relationships/hyperlink" Target="http://ufcstats.com/fight-details/93fb6c7e590487f9" TargetMode="External"/><Relationship Id="rId3904" Type="http://schemas.openxmlformats.org/officeDocument/2006/relationships/hyperlink" Target="http://ufcstats.com/fight-details/aa92030dfd8b5d40" TargetMode="External"/><Relationship Id="rId94" Type="http://schemas.openxmlformats.org/officeDocument/2006/relationships/hyperlink" Target="http://ufcstats.com/fight-details/ec490d4224d3bc78" TargetMode="External"/><Relationship Id="rId618" Type="http://schemas.openxmlformats.org/officeDocument/2006/relationships/hyperlink" Target="http://ufcstats.com/fight-details/abd45edc07a8d9e3" TargetMode="External"/><Relationship Id="rId825" Type="http://schemas.openxmlformats.org/officeDocument/2006/relationships/hyperlink" Target="http://ufcstats.com/fight-details/febbd4eb209b4579" TargetMode="External"/><Relationship Id="rId1248" Type="http://schemas.openxmlformats.org/officeDocument/2006/relationships/hyperlink" Target="http://ufcstats.com/fight-details/0fed8d8499eae01a" TargetMode="External"/><Relationship Id="rId1455" Type="http://schemas.openxmlformats.org/officeDocument/2006/relationships/hyperlink" Target="http://ufcstats.com/fight-details/d763ad79532b27ff" TargetMode="External"/><Relationship Id="rId1662" Type="http://schemas.openxmlformats.org/officeDocument/2006/relationships/hyperlink" Target="http://ufcstats.com/fight-details/ad61d042c43451a8" TargetMode="External"/><Relationship Id="rId2506" Type="http://schemas.openxmlformats.org/officeDocument/2006/relationships/hyperlink" Target="http://ufcstats.com/fight-details/318449b3f9346566" TargetMode="External"/><Relationship Id="rId1108" Type="http://schemas.openxmlformats.org/officeDocument/2006/relationships/hyperlink" Target="http://ufcstats.com/fight-details/7685701c382cd49a" TargetMode="External"/><Relationship Id="rId1315" Type="http://schemas.openxmlformats.org/officeDocument/2006/relationships/hyperlink" Target="http://ufcstats.com/fight-details/e30b9829e42aa4ca" TargetMode="External"/><Relationship Id="rId2713" Type="http://schemas.openxmlformats.org/officeDocument/2006/relationships/hyperlink" Target="http://ufcstats.com/fight-details/ddd63237f1b857a6" TargetMode="External"/><Relationship Id="rId2920" Type="http://schemas.openxmlformats.org/officeDocument/2006/relationships/hyperlink" Target="http://ufcstats.com/fight-details/e8206c7380441fbb" TargetMode="External"/><Relationship Id="rId1522" Type="http://schemas.openxmlformats.org/officeDocument/2006/relationships/hyperlink" Target="http://ufcstats.com/fight-details/5dcba156bd13e0c3" TargetMode="External"/><Relationship Id="rId21" Type="http://schemas.openxmlformats.org/officeDocument/2006/relationships/hyperlink" Target="http://ufcstats.com/fight-details/1fee9eca658d9808" TargetMode="External"/><Relationship Id="rId2089" Type="http://schemas.openxmlformats.org/officeDocument/2006/relationships/hyperlink" Target="http://ufcstats.com/fight-details/9cd172df74575fd4" TargetMode="External"/><Relationship Id="rId3487" Type="http://schemas.openxmlformats.org/officeDocument/2006/relationships/hyperlink" Target="http://ufcstats.com/fight-details/e139628170777bef" TargetMode="External"/><Relationship Id="rId3694" Type="http://schemas.openxmlformats.org/officeDocument/2006/relationships/hyperlink" Target="http://ufcstats.com/fight-details/e84fa12d87993ec5" TargetMode="External"/><Relationship Id="rId2296" Type="http://schemas.openxmlformats.org/officeDocument/2006/relationships/hyperlink" Target="http://ufcstats.com/fight-details/40e8bf8ce508c436" TargetMode="External"/><Relationship Id="rId3347" Type="http://schemas.openxmlformats.org/officeDocument/2006/relationships/hyperlink" Target="http://ufcstats.com/fight-details/533d0b5c0adfa15f" TargetMode="External"/><Relationship Id="rId3554" Type="http://schemas.openxmlformats.org/officeDocument/2006/relationships/hyperlink" Target="http://ufcstats.com/fight-details/0669231ebe3dd560" TargetMode="External"/><Relationship Id="rId3761" Type="http://schemas.openxmlformats.org/officeDocument/2006/relationships/hyperlink" Target="http://ufcstats.com/fight-details/c5ba56d51f6b0171" TargetMode="External"/><Relationship Id="rId268" Type="http://schemas.openxmlformats.org/officeDocument/2006/relationships/hyperlink" Target="http://ufcstats.com/fight-details/00f4b6184f6315d0" TargetMode="External"/><Relationship Id="rId475" Type="http://schemas.openxmlformats.org/officeDocument/2006/relationships/hyperlink" Target="http://ufcstats.com/fight-details/05061dd590c9eb34" TargetMode="External"/><Relationship Id="rId682" Type="http://schemas.openxmlformats.org/officeDocument/2006/relationships/hyperlink" Target="http://ufcstats.com/fight-details/80ce8f7d988d5e57" TargetMode="External"/><Relationship Id="rId2156" Type="http://schemas.openxmlformats.org/officeDocument/2006/relationships/hyperlink" Target="http://ufcstats.com/fight-details/3f3b8dcd16dd7383" TargetMode="External"/><Relationship Id="rId2363" Type="http://schemas.openxmlformats.org/officeDocument/2006/relationships/hyperlink" Target="http://ufcstats.com/fight-details/dfa8fd0b82b37fa1" TargetMode="External"/><Relationship Id="rId2570" Type="http://schemas.openxmlformats.org/officeDocument/2006/relationships/hyperlink" Target="http://ufcstats.com/fight-details/642a8cc1195c5198" TargetMode="External"/><Relationship Id="rId3207" Type="http://schemas.openxmlformats.org/officeDocument/2006/relationships/hyperlink" Target="http://ufcstats.com/fight-details/06d9fb9c995f1e4f" TargetMode="External"/><Relationship Id="rId3414" Type="http://schemas.openxmlformats.org/officeDocument/2006/relationships/hyperlink" Target="http://ufcstats.com/fight-details/9298175cb2ad7d41" TargetMode="External"/><Relationship Id="rId3621" Type="http://schemas.openxmlformats.org/officeDocument/2006/relationships/hyperlink" Target="http://ufcstats.com/fight-details/d7a7ba46c4f075d7" TargetMode="External"/><Relationship Id="rId128" Type="http://schemas.openxmlformats.org/officeDocument/2006/relationships/hyperlink" Target="http://ufcstats.com/fight-details/178756c3cb23b884" TargetMode="External"/><Relationship Id="rId335" Type="http://schemas.openxmlformats.org/officeDocument/2006/relationships/hyperlink" Target="http://ufcstats.com/fight-details/4339e30a856c1da8" TargetMode="External"/><Relationship Id="rId542" Type="http://schemas.openxmlformats.org/officeDocument/2006/relationships/hyperlink" Target="http://ufcstats.com/fight-details/5a00c73efbcf323e" TargetMode="External"/><Relationship Id="rId1172" Type="http://schemas.openxmlformats.org/officeDocument/2006/relationships/hyperlink" Target="http://ufcstats.com/fight-details/e8219ea7da46f67f" TargetMode="External"/><Relationship Id="rId2016" Type="http://schemas.openxmlformats.org/officeDocument/2006/relationships/hyperlink" Target="http://ufcstats.com/fight-details/76ece0ee2ef5d240" TargetMode="External"/><Relationship Id="rId2223" Type="http://schemas.openxmlformats.org/officeDocument/2006/relationships/hyperlink" Target="http://ufcstats.com/fight-details/4a116a55ffaa0d64" TargetMode="External"/><Relationship Id="rId2430" Type="http://schemas.openxmlformats.org/officeDocument/2006/relationships/hyperlink" Target="http://ufcstats.com/fight-details/6017351e164dbca3" TargetMode="External"/><Relationship Id="rId402" Type="http://schemas.openxmlformats.org/officeDocument/2006/relationships/hyperlink" Target="http://ufcstats.com/fight-details/91a5480f48bfaa71" TargetMode="External"/><Relationship Id="rId1032" Type="http://schemas.openxmlformats.org/officeDocument/2006/relationships/hyperlink" Target="http://ufcstats.com/fight-details/c8f946610906bffe" TargetMode="External"/><Relationship Id="rId4188" Type="http://schemas.openxmlformats.org/officeDocument/2006/relationships/hyperlink" Target="http://ufcstats.com/fight-details/38957d8eb185391c" TargetMode="External"/><Relationship Id="rId4395" Type="http://schemas.openxmlformats.org/officeDocument/2006/relationships/hyperlink" Target="http://ufcstats.com/fight-details/16369fa06392f6a0" TargetMode="External"/><Relationship Id="rId1989" Type="http://schemas.openxmlformats.org/officeDocument/2006/relationships/hyperlink" Target="http://ufcstats.com/fight-details/a37a6b6f9551a6e8" TargetMode="External"/><Relationship Id="rId4048" Type="http://schemas.openxmlformats.org/officeDocument/2006/relationships/hyperlink" Target="http://ufcstats.com/fight-details/26fbee4ed13ff35d" TargetMode="External"/><Relationship Id="rId4255" Type="http://schemas.openxmlformats.org/officeDocument/2006/relationships/hyperlink" Target="http://ufcstats.com/fight-details/5f44d6d9e6bbecff" TargetMode="External"/><Relationship Id="rId1849" Type="http://schemas.openxmlformats.org/officeDocument/2006/relationships/hyperlink" Target="http://ufcstats.com/fight-details/d1c519260c0ddf3a" TargetMode="External"/><Relationship Id="rId3064" Type="http://schemas.openxmlformats.org/officeDocument/2006/relationships/hyperlink" Target="http://ufcstats.com/fight-details/03aec9073946907f" TargetMode="External"/><Relationship Id="rId192" Type="http://schemas.openxmlformats.org/officeDocument/2006/relationships/hyperlink" Target="http://ufcstats.com/fight-details/4210f9b11debf1fc" TargetMode="External"/><Relationship Id="rId1709" Type="http://schemas.openxmlformats.org/officeDocument/2006/relationships/hyperlink" Target="http://ufcstats.com/fight-details/62389e8fb68f93a4" TargetMode="External"/><Relationship Id="rId1916" Type="http://schemas.openxmlformats.org/officeDocument/2006/relationships/hyperlink" Target="http://ufcstats.com/fight-details/bbade63ca780668f" TargetMode="External"/><Relationship Id="rId3271" Type="http://schemas.openxmlformats.org/officeDocument/2006/relationships/hyperlink" Target="http://ufcstats.com/fight-details/1be27d95bba03f17" TargetMode="External"/><Relationship Id="rId4115" Type="http://schemas.openxmlformats.org/officeDocument/2006/relationships/hyperlink" Target="http://ufcstats.com/fight-details/b948102c6205af63" TargetMode="External"/><Relationship Id="rId4322" Type="http://schemas.openxmlformats.org/officeDocument/2006/relationships/hyperlink" Target="http://ufcstats.com/fight-details/037c68d03c970609" TargetMode="External"/><Relationship Id="rId2080" Type="http://schemas.openxmlformats.org/officeDocument/2006/relationships/hyperlink" Target="http://ufcstats.com/fight-details/9af62d6e404c1002" TargetMode="External"/><Relationship Id="rId3131" Type="http://schemas.openxmlformats.org/officeDocument/2006/relationships/hyperlink" Target="http://ufcstats.com/fight-details/72c3e5eacde4f0e5" TargetMode="External"/><Relationship Id="rId2897" Type="http://schemas.openxmlformats.org/officeDocument/2006/relationships/hyperlink" Target="http://ufcstats.com/fight-details/ad3aa9520131ff2e" TargetMode="External"/><Relationship Id="rId3948" Type="http://schemas.openxmlformats.org/officeDocument/2006/relationships/hyperlink" Target="http://ufcstats.com/fight-details/73370221b3fa3676" TargetMode="External"/><Relationship Id="rId869" Type="http://schemas.openxmlformats.org/officeDocument/2006/relationships/hyperlink" Target="http://ufcstats.com/fight-details/49b2a6a93d529981" TargetMode="External"/><Relationship Id="rId1499" Type="http://schemas.openxmlformats.org/officeDocument/2006/relationships/hyperlink" Target="http://ufcstats.com/fight-details/7fd0f7b3866b2c75" TargetMode="External"/><Relationship Id="rId729" Type="http://schemas.openxmlformats.org/officeDocument/2006/relationships/hyperlink" Target="http://ufcstats.com/fight-details/06287b822837a616" TargetMode="External"/><Relationship Id="rId1359" Type="http://schemas.openxmlformats.org/officeDocument/2006/relationships/hyperlink" Target="http://ufcstats.com/fight-details/4a704dae3091adaf" TargetMode="External"/><Relationship Id="rId2757" Type="http://schemas.openxmlformats.org/officeDocument/2006/relationships/hyperlink" Target="http://ufcstats.com/fight-details/2105210529457ffd" TargetMode="External"/><Relationship Id="rId2964" Type="http://schemas.openxmlformats.org/officeDocument/2006/relationships/hyperlink" Target="http://ufcstats.com/fight-details/d6d141afdd31c3f1" TargetMode="External"/><Relationship Id="rId3808" Type="http://schemas.openxmlformats.org/officeDocument/2006/relationships/hyperlink" Target="http://ufcstats.com/fight-details/0f279b25ccbecc76" TargetMode="External"/><Relationship Id="rId936" Type="http://schemas.openxmlformats.org/officeDocument/2006/relationships/hyperlink" Target="http://ufcstats.com/fight-details/b4bbc1b7efa770f5" TargetMode="External"/><Relationship Id="rId1219" Type="http://schemas.openxmlformats.org/officeDocument/2006/relationships/hyperlink" Target="http://ufcstats.com/fight-details/0b47788da6de735e" TargetMode="External"/><Relationship Id="rId1566" Type="http://schemas.openxmlformats.org/officeDocument/2006/relationships/hyperlink" Target="http://ufcstats.com/fight-details/35f9beb94b4ef9e2" TargetMode="External"/><Relationship Id="rId1773" Type="http://schemas.openxmlformats.org/officeDocument/2006/relationships/hyperlink" Target="http://ufcstats.com/fight-details/d988760df61f027c" TargetMode="External"/><Relationship Id="rId1980" Type="http://schemas.openxmlformats.org/officeDocument/2006/relationships/hyperlink" Target="http://ufcstats.com/fight-details/57785c9be5b4526d" TargetMode="External"/><Relationship Id="rId2617" Type="http://schemas.openxmlformats.org/officeDocument/2006/relationships/hyperlink" Target="http://ufcstats.com/fight-details/bb6438338bb8aebf" TargetMode="External"/><Relationship Id="rId2824" Type="http://schemas.openxmlformats.org/officeDocument/2006/relationships/hyperlink" Target="http://ufcstats.com/fight-details/bd06f1c2d7e6c4a0" TargetMode="External"/><Relationship Id="rId65" Type="http://schemas.openxmlformats.org/officeDocument/2006/relationships/hyperlink" Target="http://ufcstats.com/fight-details/b3d88eaea611a4a8" TargetMode="External"/><Relationship Id="rId1426" Type="http://schemas.openxmlformats.org/officeDocument/2006/relationships/hyperlink" Target="http://ufcstats.com/fight-details/49e344834626c144" TargetMode="External"/><Relationship Id="rId1633" Type="http://schemas.openxmlformats.org/officeDocument/2006/relationships/hyperlink" Target="http://ufcstats.com/fight-details/a072481f307dc8aa" TargetMode="External"/><Relationship Id="rId1840" Type="http://schemas.openxmlformats.org/officeDocument/2006/relationships/hyperlink" Target="http://ufcstats.com/fight-details/5d1f24e034772338" TargetMode="External"/><Relationship Id="rId1700" Type="http://schemas.openxmlformats.org/officeDocument/2006/relationships/hyperlink" Target="http://ufcstats.com/fight-details/4944437e73071671" TargetMode="External"/><Relationship Id="rId3598" Type="http://schemas.openxmlformats.org/officeDocument/2006/relationships/hyperlink" Target="http://ufcstats.com/fight-details/733dcfec0cc9b439" TargetMode="External"/><Relationship Id="rId3458" Type="http://schemas.openxmlformats.org/officeDocument/2006/relationships/hyperlink" Target="http://ufcstats.com/fight-details/2f0bfdc3c325662d" TargetMode="External"/><Relationship Id="rId3665" Type="http://schemas.openxmlformats.org/officeDocument/2006/relationships/hyperlink" Target="http://ufcstats.com/fight-details/ef13ed466e0b42d8" TargetMode="External"/><Relationship Id="rId3872" Type="http://schemas.openxmlformats.org/officeDocument/2006/relationships/hyperlink" Target="http://ufcstats.com/fight-details/ef526567c4dcf371" TargetMode="External"/><Relationship Id="rId379" Type="http://schemas.openxmlformats.org/officeDocument/2006/relationships/hyperlink" Target="http://ufcstats.com/fight-details/6c79db79da9ae874" TargetMode="External"/><Relationship Id="rId586" Type="http://schemas.openxmlformats.org/officeDocument/2006/relationships/hyperlink" Target="http://ufcstats.com/fight-details/b638646fb297228d" TargetMode="External"/><Relationship Id="rId793" Type="http://schemas.openxmlformats.org/officeDocument/2006/relationships/hyperlink" Target="http://ufcstats.com/fight-details/1c5bed46920ab3e1" TargetMode="External"/><Relationship Id="rId2267" Type="http://schemas.openxmlformats.org/officeDocument/2006/relationships/hyperlink" Target="http://ufcstats.com/fight-details/870a98d6f943d9b7" TargetMode="External"/><Relationship Id="rId2474" Type="http://schemas.openxmlformats.org/officeDocument/2006/relationships/hyperlink" Target="http://ufcstats.com/fight-details/045c298c72fe196a" TargetMode="External"/><Relationship Id="rId2681" Type="http://schemas.openxmlformats.org/officeDocument/2006/relationships/hyperlink" Target="http://ufcstats.com/fight-details/3c8eb8ad5e98876f" TargetMode="External"/><Relationship Id="rId3318" Type="http://schemas.openxmlformats.org/officeDocument/2006/relationships/hyperlink" Target="http://ufcstats.com/fight-details/178c4926223dca0c" TargetMode="External"/><Relationship Id="rId3525" Type="http://schemas.openxmlformats.org/officeDocument/2006/relationships/hyperlink" Target="http://ufcstats.com/fight-details/84b04e8d6b251c54" TargetMode="External"/><Relationship Id="rId239" Type="http://schemas.openxmlformats.org/officeDocument/2006/relationships/hyperlink" Target="http://ufcstats.com/fight-details/c611e81778c0b1fc" TargetMode="External"/><Relationship Id="rId446" Type="http://schemas.openxmlformats.org/officeDocument/2006/relationships/hyperlink" Target="http://ufcstats.com/fight-details/063e7ce759c52f81" TargetMode="External"/><Relationship Id="rId653" Type="http://schemas.openxmlformats.org/officeDocument/2006/relationships/hyperlink" Target="http://ufcstats.com/fight-details/3d903bc35023f50a" TargetMode="External"/><Relationship Id="rId1076" Type="http://schemas.openxmlformats.org/officeDocument/2006/relationships/hyperlink" Target="http://ufcstats.com/fight-details/ba4485ce4e8e3fe1" TargetMode="External"/><Relationship Id="rId1283" Type="http://schemas.openxmlformats.org/officeDocument/2006/relationships/hyperlink" Target="http://ufcstats.com/fight-details/bd2e14ee959f9b77" TargetMode="External"/><Relationship Id="rId1490" Type="http://schemas.openxmlformats.org/officeDocument/2006/relationships/hyperlink" Target="http://ufcstats.com/fight-details/777c65184aa63894" TargetMode="External"/><Relationship Id="rId2127" Type="http://schemas.openxmlformats.org/officeDocument/2006/relationships/hyperlink" Target="http://ufcstats.com/fight-details/bbb67c2ac4453d64" TargetMode="External"/><Relationship Id="rId2334" Type="http://schemas.openxmlformats.org/officeDocument/2006/relationships/hyperlink" Target="http://ufcstats.com/fight-details/2cab927474cb6e62" TargetMode="External"/><Relationship Id="rId3732" Type="http://schemas.openxmlformats.org/officeDocument/2006/relationships/hyperlink" Target="http://ufcstats.com/fight-details/1be65a0d2c1383f6" TargetMode="External"/><Relationship Id="rId306" Type="http://schemas.openxmlformats.org/officeDocument/2006/relationships/hyperlink" Target="http://ufcstats.com/fight-details/c00a8682fb5b71bd" TargetMode="External"/><Relationship Id="rId860" Type="http://schemas.openxmlformats.org/officeDocument/2006/relationships/hyperlink" Target="http://ufcstats.com/fight-details/a554a72bb0377213" TargetMode="External"/><Relationship Id="rId1143" Type="http://schemas.openxmlformats.org/officeDocument/2006/relationships/hyperlink" Target="http://ufcstats.com/fight-details/8cc43d79b61efc25" TargetMode="External"/><Relationship Id="rId2541" Type="http://schemas.openxmlformats.org/officeDocument/2006/relationships/hyperlink" Target="http://ufcstats.com/fight-details/58d5e4afc2dd35d1" TargetMode="External"/><Relationship Id="rId4299" Type="http://schemas.openxmlformats.org/officeDocument/2006/relationships/hyperlink" Target="http://ufcstats.com/fight-details/2d42ef44ad2470e1" TargetMode="External"/><Relationship Id="rId513" Type="http://schemas.openxmlformats.org/officeDocument/2006/relationships/hyperlink" Target="http://ufcstats.com/fight-details/62acea88e628c3ca" TargetMode="External"/><Relationship Id="rId720" Type="http://schemas.openxmlformats.org/officeDocument/2006/relationships/hyperlink" Target="http://ufcstats.com/fight-details/6c5f7f98ec0b6f17" TargetMode="External"/><Relationship Id="rId1350" Type="http://schemas.openxmlformats.org/officeDocument/2006/relationships/hyperlink" Target="http://ufcstats.com/fight-details/a3935c950c40462b" TargetMode="External"/><Relationship Id="rId2401" Type="http://schemas.openxmlformats.org/officeDocument/2006/relationships/hyperlink" Target="http://ufcstats.com/fight-details/6e5a3d6b6ed84ac3" TargetMode="External"/><Relationship Id="rId4159" Type="http://schemas.openxmlformats.org/officeDocument/2006/relationships/hyperlink" Target="http://ufcstats.com/fight-details/dccea04cc3567955" TargetMode="External"/><Relationship Id="rId1003" Type="http://schemas.openxmlformats.org/officeDocument/2006/relationships/hyperlink" Target="http://ufcstats.com/fight-details/c456b1950208e0b2" TargetMode="External"/><Relationship Id="rId1210" Type="http://schemas.openxmlformats.org/officeDocument/2006/relationships/hyperlink" Target="http://ufcstats.com/fight-details/d918da575ee1bc35" TargetMode="External"/><Relationship Id="rId4366" Type="http://schemas.openxmlformats.org/officeDocument/2006/relationships/hyperlink" Target="http://ufcstats.com/fight-details/3b6dfd089301d16e" TargetMode="External"/><Relationship Id="rId3175" Type="http://schemas.openxmlformats.org/officeDocument/2006/relationships/hyperlink" Target="http://ufcstats.com/fight-details/d4e3baff532df842" TargetMode="External"/><Relationship Id="rId3382" Type="http://schemas.openxmlformats.org/officeDocument/2006/relationships/hyperlink" Target="http://ufcstats.com/fight-details/8a08b8043f83d245" TargetMode="External"/><Relationship Id="rId4019" Type="http://schemas.openxmlformats.org/officeDocument/2006/relationships/hyperlink" Target="http://ufcstats.com/fight-details/33658a3ca932d15d" TargetMode="External"/><Relationship Id="rId4226" Type="http://schemas.openxmlformats.org/officeDocument/2006/relationships/hyperlink" Target="http://ufcstats.com/fight-details/57d05d28e3fbee4f" TargetMode="External"/><Relationship Id="rId4433" Type="http://schemas.openxmlformats.org/officeDocument/2006/relationships/hyperlink" Target="http://ufcstats.com/fight-details/99bfad1679112591" TargetMode="External"/><Relationship Id="rId2191" Type="http://schemas.openxmlformats.org/officeDocument/2006/relationships/hyperlink" Target="http://ufcstats.com/fight-details/b9c82dfde8b66e37" TargetMode="External"/><Relationship Id="rId3035" Type="http://schemas.openxmlformats.org/officeDocument/2006/relationships/hyperlink" Target="http://ufcstats.com/fight-details/4dc5039b21013b3a" TargetMode="External"/><Relationship Id="rId3242" Type="http://schemas.openxmlformats.org/officeDocument/2006/relationships/hyperlink" Target="http://ufcstats.com/fight-details/6e3139f066149a81" TargetMode="External"/><Relationship Id="rId163" Type="http://schemas.openxmlformats.org/officeDocument/2006/relationships/hyperlink" Target="http://ufcstats.com/fight-details/fe0c844a671dd6d8" TargetMode="External"/><Relationship Id="rId370" Type="http://schemas.openxmlformats.org/officeDocument/2006/relationships/hyperlink" Target="http://ufcstats.com/fight-details/2b1ac5d8f98639bf" TargetMode="External"/><Relationship Id="rId2051" Type="http://schemas.openxmlformats.org/officeDocument/2006/relationships/hyperlink" Target="http://ufcstats.com/fight-details/22307b580e0c8d0d" TargetMode="External"/><Relationship Id="rId3102" Type="http://schemas.openxmlformats.org/officeDocument/2006/relationships/hyperlink" Target="http://ufcstats.com/fight-details/b46f2f007b622bce" TargetMode="External"/><Relationship Id="rId230" Type="http://schemas.openxmlformats.org/officeDocument/2006/relationships/hyperlink" Target="http://ufcstats.com/fight-details/ea967877dd4d6efb" TargetMode="External"/><Relationship Id="rId2868" Type="http://schemas.openxmlformats.org/officeDocument/2006/relationships/hyperlink" Target="http://ufcstats.com/fight-details/7a0813ec0fadc84e" TargetMode="External"/><Relationship Id="rId3919" Type="http://schemas.openxmlformats.org/officeDocument/2006/relationships/hyperlink" Target="http://ufcstats.com/fight-details/e2e524bb5392a3ea" TargetMode="External"/><Relationship Id="rId4083" Type="http://schemas.openxmlformats.org/officeDocument/2006/relationships/hyperlink" Target="http://ufcstats.com/fight-details/515ecc54219bcc4c" TargetMode="External"/><Relationship Id="rId1677" Type="http://schemas.openxmlformats.org/officeDocument/2006/relationships/hyperlink" Target="http://ufcstats.com/fight-details/a049c12f43914449" TargetMode="External"/><Relationship Id="rId1884" Type="http://schemas.openxmlformats.org/officeDocument/2006/relationships/hyperlink" Target="http://ufcstats.com/fight-details/6fe9729cee57c680" TargetMode="External"/><Relationship Id="rId2728" Type="http://schemas.openxmlformats.org/officeDocument/2006/relationships/hyperlink" Target="http://ufcstats.com/fight-details/a2620cbef573a837" TargetMode="External"/><Relationship Id="rId2935" Type="http://schemas.openxmlformats.org/officeDocument/2006/relationships/hyperlink" Target="http://ufcstats.com/fight-details/8c9ff13791378784" TargetMode="External"/><Relationship Id="rId4290" Type="http://schemas.openxmlformats.org/officeDocument/2006/relationships/hyperlink" Target="http://ufcstats.com/fight-details/0a3e48cdd97267f4" TargetMode="External"/><Relationship Id="rId907" Type="http://schemas.openxmlformats.org/officeDocument/2006/relationships/hyperlink" Target="http://ufcstats.com/fight-details/115fa6f5f3e51bbb" TargetMode="External"/><Relationship Id="rId1537" Type="http://schemas.openxmlformats.org/officeDocument/2006/relationships/hyperlink" Target="http://ufcstats.com/fight-details/8bc0c220f7dcefa7" TargetMode="External"/><Relationship Id="rId1744" Type="http://schemas.openxmlformats.org/officeDocument/2006/relationships/hyperlink" Target="http://ufcstats.com/fight-details/c770192a9f3261cd" TargetMode="External"/><Relationship Id="rId1951" Type="http://schemas.openxmlformats.org/officeDocument/2006/relationships/hyperlink" Target="http://ufcstats.com/fight-details/d6482fcb69b04904" TargetMode="External"/><Relationship Id="rId4150" Type="http://schemas.openxmlformats.org/officeDocument/2006/relationships/hyperlink" Target="http://ufcstats.com/fight-details/c4c379b8f99fea88" TargetMode="External"/><Relationship Id="rId36" Type="http://schemas.openxmlformats.org/officeDocument/2006/relationships/hyperlink" Target="http://ufcstats.com/fight-details/bcb697c4317f0997" TargetMode="External"/><Relationship Id="rId1604" Type="http://schemas.openxmlformats.org/officeDocument/2006/relationships/hyperlink" Target="http://ufcstats.com/fight-details/7a1abc0230af730c" TargetMode="External"/><Relationship Id="rId4010" Type="http://schemas.openxmlformats.org/officeDocument/2006/relationships/hyperlink" Target="http://ufcstats.com/fight-details/3d12c63c47828937" TargetMode="External"/><Relationship Id="rId1811" Type="http://schemas.openxmlformats.org/officeDocument/2006/relationships/hyperlink" Target="http://ufcstats.com/fight-details/d19e010f071a4b45" TargetMode="External"/><Relationship Id="rId3569" Type="http://schemas.openxmlformats.org/officeDocument/2006/relationships/hyperlink" Target="http://ufcstats.com/fight-details/f91709b071e8295a" TargetMode="External"/><Relationship Id="rId697" Type="http://schemas.openxmlformats.org/officeDocument/2006/relationships/hyperlink" Target="http://ufcstats.com/fight-details/818b55b087013e64" TargetMode="External"/><Relationship Id="rId2378" Type="http://schemas.openxmlformats.org/officeDocument/2006/relationships/hyperlink" Target="http://ufcstats.com/fight-details/ab4862ea4cbd0750" TargetMode="External"/><Relationship Id="rId3429" Type="http://schemas.openxmlformats.org/officeDocument/2006/relationships/hyperlink" Target="http://ufcstats.com/fight-details/1f9ac1648b8e501e" TargetMode="External"/><Relationship Id="rId3776" Type="http://schemas.openxmlformats.org/officeDocument/2006/relationships/hyperlink" Target="http://ufcstats.com/fight-details/1b52e24d09700dd9" TargetMode="External"/><Relationship Id="rId3983" Type="http://schemas.openxmlformats.org/officeDocument/2006/relationships/hyperlink" Target="http://ufcstats.com/fight-details/b8c21a311f3f7953" TargetMode="External"/><Relationship Id="rId1187" Type="http://schemas.openxmlformats.org/officeDocument/2006/relationships/hyperlink" Target="http://ufcstats.com/fight-details/b90a5b9061ec54a5" TargetMode="External"/><Relationship Id="rId2585" Type="http://schemas.openxmlformats.org/officeDocument/2006/relationships/hyperlink" Target="http://ufcstats.com/fight-details/9a9479663bedf8b4" TargetMode="External"/><Relationship Id="rId2792" Type="http://schemas.openxmlformats.org/officeDocument/2006/relationships/hyperlink" Target="http://ufcstats.com/fight-details/723a8a8c82cab1c8" TargetMode="External"/><Relationship Id="rId3636" Type="http://schemas.openxmlformats.org/officeDocument/2006/relationships/hyperlink" Target="http://ufcstats.com/fight-details/c3b733bf084c2cd0" TargetMode="External"/><Relationship Id="rId3843" Type="http://schemas.openxmlformats.org/officeDocument/2006/relationships/hyperlink" Target="http://ufcstats.com/fight-details/a0bc695b35f155f1" TargetMode="External"/><Relationship Id="rId557" Type="http://schemas.openxmlformats.org/officeDocument/2006/relationships/hyperlink" Target="http://ufcstats.com/fight-details/4d549f33c0711a7a" TargetMode="External"/><Relationship Id="rId764" Type="http://schemas.openxmlformats.org/officeDocument/2006/relationships/hyperlink" Target="http://ufcstats.com/fight-details/dcf052ef89a66397" TargetMode="External"/><Relationship Id="rId971" Type="http://schemas.openxmlformats.org/officeDocument/2006/relationships/hyperlink" Target="http://ufcstats.com/fight-details/1d166488129030d0" TargetMode="External"/><Relationship Id="rId1394" Type="http://schemas.openxmlformats.org/officeDocument/2006/relationships/hyperlink" Target="http://ufcstats.com/fight-details/4e71dbef18157288" TargetMode="External"/><Relationship Id="rId2238" Type="http://schemas.openxmlformats.org/officeDocument/2006/relationships/hyperlink" Target="http://ufcstats.com/fight-details/00742aea8da72a35" TargetMode="External"/><Relationship Id="rId2445" Type="http://schemas.openxmlformats.org/officeDocument/2006/relationships/hyperlink" Target="http://ufcstats.com/fight-details/0a85b3ad328205ff" TargetMode="External"/><Relationship Id="rId2652" Type="http://schemas.openxmlformats.org/officeDocument/2006/relationships/hyperlink" Target="http://ufcstats.com/fight-details/a255ed658a2ac9bb" TargetMode="External"/><Relationship Id="rId3703" Type="http://schemas.openxmlformats.org/officeDocument/2006/relationships/hyperlink" Target="http://ufcstats.com/fight-details/7ed9e8f3258446c7" TargetMode="External"/><Relationship Id="rId3910" Type="http://schemas.openxmlformats.org/officeDocument/2006/relationships/hyperlink" Target="http://ufcstats.com/fight-details/d447919ec1a9f34c" TargetMode="External"/><Relationship Id="rId417" Type="http://schemas.openxmlformats.org/officeDocument/2006/relationships/hyperlink" Target="http://ufcstats.com/fight-details/061081f46950fdb0" TargetMode="External"/><Relationship Id="rId624" Type="http://schemas.openxmlformats.org/officeDocument/2006/relationships/hyperlink" Target="http://ufcstats.com/fight-details/b4f88d65b47c2a39" TargetMode="External"/><Relationship Id="rId831" Type="http://schemas.openxmlformats.org/officeDocument/2006/relationships/hyperlink" Target="http://ufcstats.com/fight-details/9c1a2ac64c98d2f6" TargetMode="External"/><Relationship Id="rId1047" Type="http://schemas.openxmlformats.org/officeDocument/2006/relationships/hyperlink" Target="http://ufcstats.com/fight-details/222bb2c67a87d312" TargetMode="External"/><Relationship Id="rId1254" Type="http://schemas.openxmlformats.org/officeDocument/2006/relationships/hyperlink" Target="http://ufcstats.com/fight-details/eb277b5ea2a19124" TargetMode="External"/><Relationship Id="rId1461" Type="http://schemas.openxmlformats.org/officeDocument/2006/relationships/hyperlink" Target="http://ufcstats.com/fight-details/bb42336d6417914c" TargetMode="External"/><Relationship Id="rId2305" Type="http://schemas.openxmlformats.org/officeDocument/2006/relationships/hyperlink" Target="http://ufcstats.com/fight-details/b9de363e6b406853" TargetMode="External"/><Relationship Id="rId2512" Type="http://schemas.openxmlformats.org/officeDocument/2006/relationships/hyperlink" Target="http://ufcstats.com/fight-details/f1eca70738ca073e" TargetMode="External"/><Relationship Id="rId1114" Type="http://schemas.openxmlformats.org/officeDocument/2006/relationships/hyperlink" Target="http://ufcstats.com/fight-details/39c16381a9722735" TargetMode="External"/><Relationship Id="rId1321" Type="http://schemas.openxmlformats.org/officeDocument/2006/relationships/hyperlink" Target="http://ufcstats.com/fight-details/f065dc596a08a258" TargetMode="External"/><Relationship Id="rId3079" Type="http://schemas.openxmlformats.org/officeDocument/2006/relationships/hyperlink" Target="http://ufcstats.com/fight-details/4c12c9085200121f" TargetMode="External"/><Relationship Id="rId3286" Type="http://schemas.openxmlformats.org/officeDocument/2006/relationships/hyperlink" Target="http://ufcstats.com/fight-details/579b5770129b328a" TargetMode="External"/><Relationship Id="rId3493" Type="http://schemas.openxmlformats.org/officeDocument/2006/relationships/hyperlink" Target="http://ufcstats.com/fight-details/d9375ede2ec2f924" TargetMode="External"/><Relationship Id="rId4337" Type="http://schemas.openxmlformats.org/officeDocument/2006/relationships/hyperlink" Target="http://ufcstats.com/fight-details/bd59c07a106d331b" TargetMode="External"/><Relationship Id="rId2095" Type="http://schemas.openxmlformats.org/officeDocument/2006/relationships/hyperlink" Target="http://ufcstats.com/fight-details/ef2c7bfced561374" TargetMode="External"/><Relationship Id="rId3146" Type="http://schemas.openxmlformats.org/officeDocument/2006/relationships/hyperlink" Target="http://ufcstats.com/fight-details/79817ab0129c5598" TargetMode="External"/><Relationship Id="rId3353" Type="http://schemas.openxmlformats.org/officeDocument/2006/relationships/hyperlink" Target="http://ufcstats.com/fight-details/89266a872e1f92d9" TargetMode="External"/><Relationship Id="rId274" Type="http://schemas.openxmlformats.org/officeDocument/2006/relationships/hyperlink" Target="http://ufcstats.com/fight-details/aa7d691fc6385acb" TargetMode="External"/><Relationship Id="rId481" Type="http://schemas.openxmlformats.org/officeDocument/2006/relationships/hyperlink" Target="http://ufcstats.com/fight-details/4669c07f3cc9e35f" TargetMode="External"/><Relationship Id="rId2162" Type="http://schemas.openxmlformats.org/officeDocument/2006/relationships/hyperlink" Target="http://ufcstats.com/fight-details/99a7172fb7438244" TargetMode="External"/><Relationship Id="rId3006" Type="http://schemas.openxmlformats.org/officeDocument/2006/relationships/hyperlink" Target="http://ufcstats.com/fight-details/b3a304eadb9f7fb4" TargetMode="External"/><Relationship Id="rId3560" Type="http://schemas.openxmlformats.org/officeDocument/2006/relationships/hyperlink" Target="http://ufcstats.com/fight-details/7d4e11c2a9485320" TargetMode="External"/><Relationship Id="rId4404" Type="http://schemas.openxmlformats.org/officeDocument/2006/relationships/hyperlink" Target="http://ufcstats.com/fight-details/bd4d2522cb0d1a23" TargetMode="External"/><Relationship Id="rId134" Type="http://schemas.openxmlformats.org/officeDocument/2006/relationships/hyperlink" Target="http://ufcstats.com/fight-details/a83ebbf013905949" TargetMode="External"/><Relationship Id="rId3213" Type="http://schemas.openxmlformats.org/officeDocument/2006/relationships/hyperlink" Target="http://ufcstats.com/fight-details/8390441d93736719" TargetMode="External"/><Relationship Id="rId3420" Type="http://schemas.openxmlformats.org/officeDocument/2006/relationships/hyperlink" Target="http://ufcstats.com/fight-details/288b479c485c48b2" TargetMode="External"/><Relationship Id="rId341" Type="http://schemas.openxmlformats.org/officeDocument/2006/relationships/hyperlink" Target="http://ufcstats.com/fight-details/80551dceed42e7ab" TargetMode="External"/><Relationship Id="rId2022" Type="http://schemas.openxmlformats.org/officeDocument/2006/relationships/hyperlink" Target="http://ufcstats.com/fight-details/cfbaeb80b5ff7c00" TargetMode="External"/><Relationship Id="rId2979" Type="http://schemas.openxmlformats.org/officeDocument/2006/relationships/hyperlink" Target="http://ufcstats.com/fight-details/ce5ebaf8caf8c4a7" TargetMode="External"/><Relationship Id="rId201" Type="http://schemas.openxmlformats.org/officeDocument/2006/relationships/hyperlink" Target="http://ufcstats.com/fight-details/d4eb3614c7734781" TargetMode="External"/><Relationship Id="rId1788" Type="http://schemas.openxmlformats.org/officeDocument/2006/relationships/hyperlink" Target="http://ufcstats.com/fight-details/058c2724dec1add1" TargetMode="External"/><Relationship Id="rId1995" Type="http://schemas.openxmlformats.org/officeDocument/2006/relationships/hyperlink" Target="http://ufcstats.com/fight-details/30abc50a2e71c576" TargetMode="External"/><Relationship Id="rId2839" Type="http://schemas.openxmlformats.org/officeDocument/2006/relationships/hyperlink" Target="http://ufcstats.com/fight-details/4ec5d9bd1442e6c1" TargetMode="External"/><Relationship Id="rId4194" Type="http://schemas.openxmlformats.org/officeDocument/2006/relationships/hyperlink" Target="http://ufcstats.com/fight-details/90715135a543b6e3" TargetMode="External"/><Relationship Id="rId1648" Type="http://schemas.openxmlformats.org/officeDocument/2006/relationships/hyperlink" Target="http://ufcstats.com/fight-details/6afaf0ca45431a11" TargetMode="External"/><Relationship Id="rId4054" Type="http://schemas.openxmlformats.org/officeDocument/2006/relationships/hyperlink" Target="http://ufcstats.com/fight-details/b193e2317b21125c" TargetMode="External"/><Relationship Id="rId4261" Type="http://schemas.openxmlformats.org/officeDocument/2006/relationships/hyperlink" Target="http://ufcstats.com/fight-details/60bd4d2878c85f70" TargetMode="External"/><Relationship Id="rId1508" Type="http://schemas.openxmlformats.org/officeDocument/2006/relationships/hyperlink" Target="http://ufcstats.com/fight-details/397ace87deeb8697" TargetMode="External"/><Relationship Id="rId1855" Type="http://schemas.openxmlformats.org/officeDocument/2006/relationships/hyperlink" Target="http://ufcstats.com/fight-details/01f396a7372dc8ff" TargetMode="External"/><Relationship Id="rId2906" Type="http://schemas.openxmlformats.org/officeDocument/2006/relationships/hyperlink" Target="http://ufcstats.com/fight-details/58450502a93454c8" TargetMode="External"/><Relationship Id="rId3070" Type="http://schemas.openxmlformats.org/officeDocument/2006/relationships/hyperlink" Target="http://ufcstats.com/fight-details/8fcdfee81cc604e3" TargetMode="External"/><Relationship Id="rId4121" Type="http://schemas.openxmlformats.org/officeDocument/2006/relationships/hyperlink" Target="http://ufcstats.com/fight-details/c13474b85d3ced32" TargetMode="External"/><Relationship Id="rId1715" Type="http://schemas.openxmlformats.org/officeDocument/2006/relationships/hyperlink" Target="http://ufcstats.com/fight-details/51ce499611a5df68" TargetMode="External"/><Relationship Id="rId1922" Type="http://schemas.openxmlformats.org/officeDocument/2006/relationships/hyperlink" Target="http://ufcstats.com/fight-details/2c84f2cb1bb23ab8" TargetMode="External"/><Relationship Id="rId3887" Type="http://schemas.openxmlformats.org/officeDocument/2006/relationships/hyperlink" Target="http://ufcstats.com/fight-details/8dcfa933877e3a0b" TargetMode="External"/><Relationship Id="rId2489" Type="http://schemas.openxmlformats.org/officeDocument/2006/relationships/hyperlink" Target="http://ufcstats.com/fight-details/0987b3f785e26d1c" TargetMode="External"/><Relationship Id="rId2696" Type="http://schemas.openxmlformats.org/officeDocument/2006/relationships/hyperlink" Target="http://ufcstats.com/fight-details/b45d0e0d2bba01e9" TargetMode="External"/><Relationship Id="rId3747" Type="http://schemas.openxmlformats.org/officeDocument/2006/relationships/hyperlink" Target="http://ufcstats.com/fight-details/46cfd4aaa02ce202" TargetMode="External"/><Relationship Id="rId3954" Type="http://schemas.openxmlformats.org/officeDocument/2006/relationships/hyperlink" Target="http://ufcstats.com/fight-details/92eb0a297c7ea197" TargetMode="External"/><Relationship Id="rId668" Type="http://schemas.openxmlformats.org/officeDocument/2006/relationships/hyperlink" Target="http://ufcstats.com/fight-details/d4c314616eac8f8b" TargetMode="External"/><Relationship Id="rId875" Type="http://schemas.openxmlformats.org/officeDocument/2006/relationships/hyperlink" Target="http://ufcstats.com/fight-details/2d8db91f91f68069" TargetMode="External"/><Relationship Id="rId1298" Type="http://schemas.openxmlformats.org/officeDocument/2006/relationships/hyperlink" Target="http://ufcstats.com/fight-details/13e3e41e0c6f4e04" TargetMode="External"/><Relationship Id="rId2349" Type="http://schemas.openxmlformats.org/officeDocument/2006/relationships/hyperlink" Target="http://ufcstats.com/fight-details/8a1aa64eb1f17913" TargetMode="External"/><Relationship Id="rId2556" Type="http://schemas.openxmlformats.org/officeDocument/2006/relationships/hyperlink" Target="http://ufcstats.com/fight-details/d86e31793564cd31" TargetMode="External"/><Relationship Id="rId2763" Type="http://schemas.openxmlformats.org/officeDocument/2006/relationships/hyperlink" Target="http://ufcstats.com/fight-details/32ad75f6c8ca7e9f" TargetMode="External"/><Relationship Id="rId2970" Type="http://schemas.openxmlformats.org/officeDocument/2006/relationships/hyperlink" Target="http://ufcstats.com/fight-details/569e0ba18701c305" TargetMode="External"/><Relationship Id="rId3607" Type="http://schemas.openxmlformats.org/officeDocument/2006/relationships/hyperlink" Target="http://ufcstats.com/fight-details/a3dd2249d046cf9d" TargetMode="External"/><Relationship Id="rId3814" Type="http://schemas.openxmlformats.org/officeDocument/2006/relationships/hyperlink" Target="http://ufcstats.com/fight-details/3f810c3433dddb80" TargetMode="External"/><Relationship Id="rId528" Type="http://schemas.openxmlformats.org/officeDocument/2006/relationships/hyperlink" Target="http://ufcstats.com/fight-details/c26f27667c230391" TargetMode="External"/><Relationship Id="rId735" Type="http://schemas.openxmlformats.org/officeDocument/2006/relationships/hyperlink" Target="http://ufcstats.com/fight-details/bcf842992f9accdc" TargetMode="External"/><Relationship Id="rId942" Type="http://schemas.openxmlformats.org/officeDocument/2006/relationships/hyperlink" Target="http://ufcstats.com/fight-details/076c98ac0561521f" TargetMode="External"/><Relationship Id="rId1158" Type="http://schemas.openxmlformats.org/officeDocument/2006/relationships/hyperlink" Target="http://ufcstats.com/fight-details/6ccfbe3a7c5aa55e" TargetMode="External"/><Relationship Id="rId1365" Type="http://schemas.openxmlformats.org/officeDocument/2006/relationships/hyperlink" Target="http://ufcstats.com/fight-details/8375f311e8c6c079" TargetMode="External"/><Relationship Id="rId1572" Type="http://schemas.openxmlformats.org/officeDocument/2006/relationships/hyperlink" Target="http://ufcstats.com/fight-details/ec8d93ae99a7799d" TargetMode="External"/><Relationship Id="rId2209" Type="http://schemas.openxmlformats.org/officeDocument/2006/relationships/hyperlink" Target="http://ufcstats.com/fight-details/11c0ef97497303ef" TargetMode="External"/><Relationship Id="rId2416" Type="http://schemas.openxmlformats.org/officeDocument/2006/relationships/hyperlink" Target="http://ufcstats.com/fight-details/933cf2674503c63d" TargetMode="External"/><Relationship Id="rId2623" Type="http://schemas.openxmlformats.org/officeDocument/2006/relationships/hyperlink" Target="http://ufcstats.com/fight-details/a850ba762f3c5334" TargetMode="External"/><Relationship Id="rId1018" Type="http://schemas.openxmlformats.org/officeDocument/2006/relationships/hyperlink" Target="http://ufcstats.com/fight-details/fd3e8f61d8fda839" TargetMode="External"/><Relationship Id="rId1225" Type="http://schemas.openxmlformats.org/officeDocument/2006/relationships/hyperlink" Target="http://ufcstats.com/fight-details/a71e4206f87ae74c" TargetMode="External"/><Relationship Id="rId1432" Type="http://schemas.openxmlformats.org/officeDocument/2006/relationships/hyperlink" Target="http://ufcstats.com/fight-details/92049ba4483fc840" TargetMode="External"/><Relationship Id="rId2830" Type="http://schemas.openxmlformats.org/officeDocument/2006/relationships/hyperlink" Target="http://ufcstats.com/fight-details/9e5bbbacf1d92cb4" TargetMode="External"/><Relationship Id="rId71" Type="http://schemas.openxmlformats.org/officeDocument/2006/relationships/hyperlink" Target="http://ufcstats.com/fight-details/ebb758b49e82d0ed" TargetMode="External"/><Relationship Id="rId802" Type="http://schemas.openxmlformats.org/officeDocument/2006/relationships/hyperlink" Target="http://ufcstats.com/fight-details/2664805fde34fb1b" TargetMode="External"/><Relationship Id="rId3397" Type="http://schemas.openxmlformats.org/officeDocument/2006/relationships/hyperlink" Target="http://ufcstats.com/fight-details/194d3950076b2f83" TargetMode="External"/><Relationship Id="rId4448" Type="http://schemas.openxmlformats.org/officeDocument/2006/relationships/hyperlink" Target="http://ufcstats.com/fight-details/8bfa9df5341c95c0" TargetMode="External"/><Relationship Id="rId178" Type="http://schemas.openxmlformats.org/officeDocument/2006/relationships/hyperlink" Target="http://ufcstats.com/fight-details/41feee2c08af2235" TargetMode="External"/><Relationship Id="rId3257" Type="http://schemas.openxmlformats.org/officeDocument/2006/relationships/hyperlink" Target="http://ufcstats.com/fight-details/7af604e5aa43bb3b" TargetMode="External"/><Relationship Id="rId3464" Type="http://schemas.openxmlformats.org/officeDocument/2006/relationships/hyperlink" Target="http://ufcstats.com/fight-details/4ff0075d932d5b14" TargetMode="External"/><Relationship Id="rId3671" Type="http://schemas.openxmlformats.org/officeDocument/2006/relationships/hyperlink" Target="http://ufcstats.com/fight-details/a6c29d2cb319d923" TargetMode="External"/><Relationship Id="rId4308" Type="http://schemas.openxmlformats.org/officeDocument/2006/relationships/hyperlink" Target="http://ufcstats.com/fight-details/f5a038c18f7a44fc" TargetMode="External"/><Relationship Id="rId385" Type="http://schemas.openxmlformats.org/officeDocument/2006/relationships/hyperlink" Target="http://ufcstats.com/fight-details/19348172178f42ed" TargetMode="External"/><Relationship Id="rId592" Type="http://schemas.openxmlformats.org/officeDocument/2006/relationships/hyperlink" Target="http://ufcstats.com/fight-details/9541cf21e031354c" TargetMode="External"/><Relationship Id="rId2066" Type="http://schemas.openxmlformats.org/officeDocument/2006/relationships/hyperlink" Target="http://ufcstats.com/fight-details/c92308bbd6107b11" TargetMode="External"/><Relationship Id="rId2273" Type="http://schemas.openxmlformats.org/officeDocument/2006/relationships/hyperlink" Target="http://ufcstats.com/fight-details/0f88658e787815c8" TargetMode="External"/><Relationship Id="rId2480" Type="http://schemas.openxmlformats.org/officeDocument/2006/relationships/hyperlink" Target="http://ufcstats.com/fight-details/2e1435c160bfe8b2" TargetMode="External"/><Relationship Id="rId3117" Type="http://schemas.openxmlformats.org/officeDocument/2006/relationships/hyperlink" Target="http://ufcstats.com/fight-details/31b3ae9352d9389b" TargetMode="External"/><Relationship Id="rId3324" Type="http://schemas.openxmlformats.org/officeDocument/2006/relationships/hyperlink" Target="http://ufcstats.com/fight-details/3d35eb2d46bf74de" TargetMode="External"/><Relationship Id="rId3531" Type="http://schemas.openxmlformats.org/officeDocument/2006/relationships/hyperlink" Target="http://ufcstats.com/fight-details/04c9ebe419195f8b" TargetMode="External"/><Relationship Id="rId245" Type="http://schemas.openxmlformats.org/officeDocument/2006/relationships/hyperlink" Target="http://ufcstats.com/fight-details/249b75a787dccfe6" TargetMode="External"/><Relationship Id="rId452" Type="http://schemas.openxmlformats.org/officeDocument/2006/relationships/hyperlink" Target="http://ufcstats.com/fight-details/e5461559114e30ff" TargetMode="External"/><Relationship Id="rId1082" Type="http://schemas.openxmlformats.org/officeDocument/2006/relationships/hyperlink" Target="http://ufcstats.com/fight-details/b41e3be867afd6fa" TargetMode="External"/><Relationship Id="rId2133" Type="http://schemas.openxmlformats.org/officeDocument/2006/relationships/hyperlink" Target="http://ufcstats.com/fight-details/c5a8e0098d1024ce" TargetMode="External"/><Relationship Id="rId2340" Type="http://schemas.openxmlformats.org/officeDocument/2006/relationships/hyperlink" Target="http://ufcstats.com/fight-details/8b296724a6844865" TargetMode="External"/><Relationship Id="rId105" Type="http://schemas.openxmlformats.org/officeDocument/2006/relationships/hyperlink" Target="http://ufcstats.com/fight-details/be73f75b52b06f14" TargetMode="External"/><Relationship Id="rId312" Type="http://schemas.openxmlformats.org/officeDocument/2006/relationships/hyperlink" Target="http://ufcstats.com/fight-details/fbce8f52689bce87" TargetMode="External"/><Relationship Id="rId2200" Type="http://schemas.openxmlformats.org/officeDocument/2006/relationships/hyperlink" Target="http://ufcstats.com/fight-details/eee7f546c126ee8b" TargetMode="External"/><Relationship Id="rId4098" Type="http://schemas.openxmlformats.org/officeDocument/2006/relationships/hyperlink" Target="http://ufcstats.com/fight-details/1db00b3e736c22bf" TargetMode="External"/><Relationship Id="rId1899" Type="http://schemas.openxmlformats.org/officeDocument/2006/relationships/hyperlink" Target="http://ufcstats.com/fight-details/01f7c28804746979" TargetMode="External"/><Relationship Id="rId4165" Type="http://schemas.openxmlformats.org/officeDocument/2006/relationships/hyperlink" Target="http://ufcstats.com/fight-details/eb10feae98ea7d36" TargetMode="External"/><Relationship Id="rId4372" Type="http://schemas.openxmlformats.org/officeDocument/2006/relationships/hyperlink" Target="http://ufcstats.com/fight-details/149d6b90f33634a4" TargetMode="External"/><Relationship Id="rId1759" Type="http://schemas.openxmlformats.org/officeDocument/2006/relationships/hyperlink" Target="http://ufcstats.com/fight-details/690ab86bdd94149b" TargetMode="External"/><Relationship Id="rId1966" Type="http://schemas.openxmlformats.org/officeDocument/2006/relationships/hyperlink" Target="http://ufcstats.com/fight-details/de7cb625bdec0f91" TargetMode="External"/><Relationship Id="rId3181" Type="http://schemas.openxmlformats.org/officeDocument/2006/relationships/hyperlink" Target="http://ufcstats.com/fight-details/1d8e2e8e3bd28cad" TargetMode="External"/><Relationship Id="rId4025" Type="http://schemas.openxmlformats.org/officeDocument/2006/relationships/hyperlink" Target="http://ufcstats.com/fight-details/4eaf54ad3c82b6fa" TargetMode="External"/><Relationship Id="rId1619" Type="http://schemas.openxmlformats.org/officeDocument/2006/relationships/hyperlink" Target="http://ufcstats.com/fight-details/3a4e2dffcdd1c838" TargetMode="External"/><Relationship Id="rId1826" Type="http://schemas.openxmlformats.org/officeDocument/2006/relationships/hyperlink" Target="http://ufcstats.com/fight-details/aa6a9aeeb45577d4" TargetMode="External"/><Relationship Id="rId4232" Type="http://schemas.openxmlformats.org/officeDocument/2006/relationships/hyperlink" Target="http://ufcstats.com/fight-details/e4c4c54a10e06973" TargetMode="External"/><Relationship Id="rId3041" Type="http://schemas.openxmlformats.org/officeDocument/2006/relationships/hyperlink" Target="http://ufcstats.com/fight-details/e786542667fdecf0" TargetMode="External"/><Relationship Id="rId3998" Type="http://schemas.openxmlformats.org/officeDocument/2006/relationships/hyperlink" Target="http://ufcstats.com/fight-details/7c3ad06a520b8716" TargetMode="External"/><Relationship Id="rId3858" Type="http://schemas.openxmlformats.org/officeDocument/2006/relationships/hyperlink" Target="http://ufcstats.com/fight-details/a4814d682954e8ab" TargetMode="External"/><Relationship Id="rId779" Type="http://schemas.openxmlformats.org/officeDocument/2006/relationships/hyperlink" Target="http://ufcstats.com/fight-details/c3ef3cb03edde8bb" TargetMode="External"/><Relationship Id="rId986" Type="http://schemas.openxmlformats.org/officeDocument/2006/relationships/hyperlink" Target="http://ufcstats.com/fight-details/71499934c065fecb" TargetMode="External"/><Relationship Id="rId2667" Type="http://schemas.openxmlformats.org/officeDocument/2006/relationships/hyperlink" Target="http://ufcstats.com/fight-details/c9e19742c4146bff" TargetMode="External"/><Relationship Id="rId3718" Type="http://schemas.openxmlformats.org/officeDocument/2006/relationships/hyperlink" Target="http://ufcstats.com/fight-details/47a157222b2c9092" TargetMode="External"/><Relationship Id="rId639" Type="http://schemas.openxmlformats.org/officeDocument/2006/relationships/hyperlink" Target="http://ufcstats.com/fight-details/1f2f27b36e79da74" TargetMode="External"/><Relationship Id="rId1269" Type="http://schemas.openxmlformats.org/officeDocument/2006/relationships/hyperlink" Target="http://ufcstats.com/fight-details/412735f3e0b66ea6" TargetMode="External"/><Relationship Id="rId1476" Type="http://schemas.openxmlformats.org/officeDocument/2006/relationships/hyperlink" Target="http://ufcstats.com/fight-details/ce0748519d5ea5c6" TargetMode="External"/><Relationship Id="rId2874" Type="http://schemas.openxmlformats.org/officeDocument/2006/relationships/hyperlink" Target="http://ufcstats.com/fight-details/d40f865aa6be9cd0" TargetMode="External"/><Relationship Id="rId3925" Type="http://schemas.openxmlformats.org/officeDocument/2006/relationships/hyperlink" Target="http://ufcstats.com/fight-details/3011439ecaf74180" TargetMode="External"/><Relationship Id="rId846" Type="http://schemas.openxmlformats.org/officeDocument/2006/relationships/hyperlink" Target="http://ufcstats.com/fight-details/ea43a5fe4ff9a3c4" TargetMode="External"/><Relationship Id="rId1129" Type="http://schemas.openxmlformats.org/officeDocument/2006/relationships/hyperlink" Target="http://ufcstats.com/fight-details/d6c02b4bb64ff795" TargetMode="External"/><Relationship Id="rId1683" Type="http://schemas.openxmlformats.org/officeDocument/2006/relationships/hyperlink" Target="http://ufcstats.com/fight-details/2e0493171c4ee80f" TargetMode="External"/><Relationship Id="rId1890" Type="http://schemas.openxmlformats.org/officeDocument/2006/relationships/hyperlink" Target="http://ufcstats.com/fight-details/9fe62ea683decc55" TargetMode="External"/><Relationship Id="rId2527" Type="http://schemas.openxmlformats.org/officeDocument/2006/relationships/hyperlink" Target="http://ufcstats.com/fight-details/96eaf07b34538b8b" TargetMode="External"/><Relationship Id="rId2734" Type="http://schemas.openxmlformats.org/officeDocument/2006/relationships/hyperlink" Target="http://ufcstats.com/fight-details/7a26c9407ef64e10" TargetMode="External"/><Relationship Id="rId2941" Type="http://schemas.openxmlformats.org/officeDocument/2006/relationships/hyperlink" Target="http://ufcstats.com/fight-details/41eb39f532e148d9" TargetMode="External"/><Relationship Id="rId706" Type="http://schemas.openxmlformats.org/officeDocument/2006/relationships/hyperlink" Target="http://ufcstats.com/fight-details/818456a713fdabe6" TargetMode="External"/><Relationship Id="rId913" Type="http://schemas.openxmlformats.org/officeDocument/2006/relationships/hyperlink" Target="http://ufcstats.com/fight-details/10b31e991c2d0d4e" TargetMode="External"/><Relationship Id="rId1336" Type="http://schemas.openxmlformats.org/officeDocument/2006/relationships/hyperlink" Target="http://ufcstats.com/fight-details/0da43c3ec0e11650" TargetMode="External"/><Relationship Id="rId1543" Type="http://schemas.openxmlformats.org/officeDocument/2006/relationships/hyperlink" Target="http://ufcstats.com/fight-details/15b1c7ddc4415fdd" TargetMode="External"/><Relationship Id="rId1750" Type="http://schemas.openxmlformats.org/officeDocument/2006/relationships/hyperlink" Target="http://ufcstats.com/fight-details/5e2ce5aa3a92c2df" TargetMode="External"/><Relationship Id="rId2801" Type="http://schemas.openxmlformats.org/officeDocument/2006/relationships/hyperlink" Target="http://ufcstats.com/fight-details/e4e1d12441b90866" TargetMode="External"/><Relationship Id="rId42" Type="http://schemas.openxmlformats.org/officeDocument/2006/relationships/hyperlink" Target="http://ufcstats.com/fight-details/12a64dfb8147566b" TargetMode="External"/><Relationship Id="rId1403" Type="http://schemas.openxmlformats.org/officeDocument/2006/relationships/hyperlink" Target="http://ufcstats.com/fight-details/4712708adb1507aa" TargetMode="External"/><Relationship Id="rId1610" Type="http://schemas.openxmlformats.org/officeDocument/2006/relationships/hyperlink" Target="http://ufcstats.com/fight-details/42b28adbed6966b7" TargetMode="External"/><Relationship Id="rId3368" Type="http://schemas.openxmlformats.org/officeDocument/2006/relationships/hyperlink" Target="http://ufcstats.com/fight-details/f6a03399c7a721cd" TargetMode="External"/><Relationship Id="rId3575" Type="http://schemas.openxmlformats.org/officeDocument/2006/relationships/hyperlink" Target="http://ufcstats.com/fight-details/ec067e9c9efd7aa1" TargetMode="External"/><Relationship Id="rId3782" Type="http://schemas.openxmlformats.org/officeDocument/2006/relationships/hyperlink" Target="http://ufcstats.com/fight-details/4fcbee643660d679" TargetMode="External"/><Relationship Id="rId4419" Type="http://schemas.openxmlformats.org/officeDocument/2006/relationships/hyperlink" Target="http://ufcstats.com/fight-details/17616514e8fdacb9" TargetMode="External"/><Relationship Id="rId289" Type="http://schemas.openxmlformats.org/officeDocument/2006/relationships/hyperlink" Target="http://ufcstats.com/fight-details/8955ea3c7c332e6c" TargetMode="External"/><Relationship Id="rId496" Type="http://schemas.openxmlformats.org/officeDocument/2006/relationships/hyperlink" Target="http://ufcstats.com/fight-details/11f65de5348e4bc4" TargetMode="External"/><Relationship Id="rId2177" Type="http://schemas.openxmlformats.org/officeDocument/2006/relationships/hyperlink" Target="http://ufcstats.com/fight-details/0b8fdeeb626b4396" TargetMode="External"/><Relationship Id="rId2384" Type="http://schemas.openxmlformats.org/officeDocument/2006/relationships/hyperlink" Target="http://ufcstats.com/fight-details/920b6f739a36e721" TargetMode="External"/><Relationship Id="rId2591" Type="http://schemas.openxmlformats.org/officeDocument/2006/relationships/hyperlink" Target="http://ufcstats.com/fight-details/5e9c027fb24efc2b" TargetMode="External"/><Relationship Id="rId3228" Type="http://schemas.openxmlformats.org/officeDocument/2006/relationships/hyperlink" Target="http://ufcstats.com/fight-details/59097097bc09cdef" TargetMode="External"/><Relationship Id="rId3435" Type="http://schemas.openxmlformats.org/officeDocument/2006/relationships/hyperlink" Target="http://ufcstats.com/fight-details/761a215d51a0442e" TargetMode="External"/><Relationship Id="rId3642" Type="http://schemas.openxmlformats.org/officeDocument/2006/relationships/hyperlink" Target="http://ufcstats.com/fight-details/73700c8c5107f719" TargetMode="External"/><Relationship Id="rId149" Type="http://schemas.openxmlformats.org/officeDocument/2006/relationships/hyperlink" Target="http://ufcstats.com/fight-details/51218519be104794" TargetMode="External"/><Relationship Id="rId356" Type="http://schemas.openxmlformats.org/officeDocument/2006/relationships/hyperlink" Target="http://ufcstats.com/fight-details/7e6f12a95c14f9de" TargetMode="External"/><Relationship Id="rId563" Type="http://schemas.openxmlformats.org/officeDocument/2006/relationships/hyperlink" Target="http://ufcstats.com/fight-details/d764ef3e078c96c8" TargetMode="External"/><Relationship Id="rId770" Type="http://schemas.openxmlformats.org/officeDocument/2006/relationships/hyperlink" Target="http://ufcstats.com/fight-details/3b321550c8b4aae6" TargetMode="External"/><Relationship Id="rId1193" Type="http://schemas.openxmlformats.org/officeDocument/2006/relationships/hyperlink" Target="http://ufcstats.com/fight-details/60162c95d921d1ae" TargetMode="External"/><Relationship Id="rId2037" Type="http://schemas.openxmlformats.org/officeDocument/2006/relationships/hyperlink" Target="http://ufcstats.com/fight-details/26173f6491300eaa" TargetMode="External"/><Relationship Id="rId2244" Type="http://schemas.openxmlformats.org/officeDocument/2006/relationships/hyperlink" Target="http://ufcstats.com/fight-details/5d5abb5dade718de" TargetMode="External"/><Relationship Id="rId2451" Type="http://schemas.openxmlformats.org/officeDocument/2006/relationships/hyperlink" Target="http://ufcstats.com/fight-details/aa71cf96ba4e5a36" TargetMode="External"/><Relationship Id="rId216" Type="http://schemas.openxmlformats.org/officeDocument/2006/relationships/hyperlink" Target="http://ufcstats.com/fight-details/187681b2843174b5" TargetMode="External"/><Relationship Id="rId423" Type="http://schemas.openxmlformats.org/officeDocument/2006/relationships/hyperlink" Target="http://ufcstats.com/fight-details/f3c42ce9fad55eb7" TargetMode="External"/><Relationship Id="rId1053" Type="http://schemas.openxmlformats.org/officeDocument/2006/relationships/hyperlink" Target="http://ufcstats.com/fight-details/6f6fec9c78244174" TargetMode="External"/><Relationship Id="rId1260" Type="http://schemas.openxmlformats.org/officeDocument/2006/relationships/hyperlink" Target="http://ufcstats.com/fight-details/a6743d41b0b95271" TargetMode="External"/><Relationship Id="rId2104" Type="http://schemas.openxmlformats.org/officeDocument/2006/relationships/hyperlink" Target="http://ufcstats.com/fight-details/ee1c1e9037fee21e" TargetMode="External"/><Relationship Id="rId3502" Type="http://schemas.openxmlformats.org/officeDocument/2006/relationships/hyperlink" Target="http://ufcstats.com/fight-details/ed499508be1e5532" TargetMode="External"/><Relationship Id="rId630" Type="http://schemas.openxmlformats.org/officeDocument/2006/relationships/hyperlink" Target="http://ufcstats.com/fight-details/73d541adc2909dc8" TargetMode="External"/><Relationship Id="rId2311" Type="http://schemas.openxmlformats.org/officeDocument/2006/relationships/hyperlink" Target="http://ufcstats.com/fight-details/9d204f44a9988b93" TargetMode="External"/><Relationship Id="rId4069" Type="http://schemas.openxmlformats.org/officeDocument/2006/relationships/hyperlink" Target="http://ufcstats.com/fight-details/08ef2ed7393efd24" TargetMode="External"/><Relationship Id="rId1120" Type="http://schemas.openxmlformats.org/officeDocument/2006/relationships/hyperlink" Target="http://ufcstats.com/fight-details/fa5244817650f401" TargetMode="External"/><Relationship Id="rId4276" Type="http://schemas.openxmlformats.org/officeDocument/2006/relationships/hyperlink" Target="http://ufcstats.com/fight-details/61d9eff5fa4c8578" TargetMode="External"/><Relationship Id="rId1937" Type="http://schemas.openxmlformats.org/officeDocument/2006/relationships/hyperlink" Target="http://ufcstats.com/fight-details/64bc223daa594bcc" TargetMode="External"/><Relationship Id="rId3085" Type="http://schemas.openxmlformats.org/officeDocument/2006/relationships/hyperlink" Target="http://ufcstats.com/fight-details/fd49f89b9d97566b" TargetMode="External"/><Relationship Id="rId3292" Type="http://schemas.openxmlformats.org/officeDocument/2006/relationships/hyperlink" Target="http://ufcstats.com/fight-details/e4d946470fd150fe" TargetMode="External"/><Relationship Id="rId4136" Type="http://schemas.openxmlformats.org/officeDocument/2006/relationships/hyperlink" Target="http://ufcstats.com/fight-details/a485281be8e9d2e2" TargetMode="External"/><Relationship Id="rId4343" Type="http://schemas.openxmlformats.org/officeDocument/2006/relationships/hyperlink" Target="http://ufcstats.com/fight-details/4a2e7e2c8cfdaf5f" TargetMode="External"/><Relationship Id="rId3152" Type="http://schemas.openxmlformats.org/officeDocument/2006/relationships/hyperlink" Target="http://ufcstats.com/fight-details/48a2a476d3b59866" TargetMode="External"/><Relationship Id="rId4203" Type="http://schemas.openxmlformats.org/officeDocument/2006/relationships/hyperlink" Target="http://ufcstats.com/fight-details/603afedc31d95999" TargetMode="External"/><Relationship Id="rId4410" Type="http://schemas.openxmlformats.org/officeDocument/2006/relationships/hyperlink" Target="http://ufcstats.com/fight-details/16358c536d739017" TargetMode="External"/><Relationship Id="rId280" Type="http://schemas.openxmlformats.org/officeDocument/2006/relationships/hyperlink" Target="http://ufcstats.com/fight-details/36f0c6d7126e09ee" TargetMode="External"/><Relationship Id="rId3012" Type="http://schemas.openxmlformats.org/officeDocument/2006/relationships/hyperlink" Target="http://ufcstats.com/fight-details/94b1596c6ff9a25d" TargetMode="External"/><Relationship Id="rId140" Type="http://schemas.openxmlformats.org/officeDocument/2006/relationships/hyperlink" Target="http://ufcstats.com/fight-details/dfb856d4c80bbf04" TargetMode="External"/><Relationship Id="rId3969" Type="http://schemas.openxmlformats.org/officeDocument/2006/relationships/hyperlink" Target="http://ufcstats.com/fight-details/81b7a6aa147bd912" TargetMode="External"/><Relationship Id="rId6" Type="http://schemas.openxmlformats.org/officeDocument/2006/relationships/hyperlink" Target="http://ufcstats.com/fight-details/ce0fda34122f3d48" TargetMode="External"/><Relationship Id="rId2778" Type="http://schemas.openxmlformats.org/officeDocument/2006/relationships/hyperlink" Target="http://ufcstats.com/fight-details/8b1dc96a00a8e881" TargetMode="External"/><Relationship Id="rId2985" Type="http://schemas.openxmlformats.org/officeDocument/2006/relationships/hyperlink" Target="http://ufcstats.com/fight-details/78410b48feaba213" TargetMode="External"/><Relationship Id="rId3829" Type="http://schemas.openxmlformats.org/officeDocument/2006/relationships/hyperlink" Target="http://ufcstats.com/fight-details/e9ffcf05270a320a" TargetMode="External"/><Relationship Id="rId957" Type="http://schemas.openxmlformats.org/officeDocument/2006/relationships/hyperlink" Target="http://ufcstats.com/fight-details/eba6055d217d5b99" TargetMode="External"/><Relationship Id="rId1587" Type="http://schemas.openxmlformats.org/officeDocument/2006/relationships/hyperlink" Target="http://ufcstats.com/fight-details/76d6789779d3721c" TargetMode="External"/><Relationship Id="rId1794" Type="http://schemas.openxmlformats.org/officeDocument/2006/relationships/hyperlink" Target="http://ufcstats.com/fight-details/8d4a475e48722fea" TargetMode="External"/><Relationship Id="rId2638" Type="http://schemas.openxmlformats.org/officeDocument/2006/relationships/hyperlink" Target="http://ufcstats.com/fight-details/821a1c6f5d7fab14" TargetMode="External"/><Relationship Id="rId2845" Type="http://schemas.openxmlformats.org/officeDocument/2006/relationships/hyperlink" Target="http://ufcstats.com/fight-details/a346180c8b109469" TargetMode="External"/><Relationship Id="rId86" Type="http://schemas.openxmlformats.org/officeDocument/2006/relationships/hyperlink" Target="http://ufcstats.com/fight-details/621e6f0929a3dbfc" TargetMode="External"/><Relationship Id="rId817" Type="http://schemas.openxmlformats.org/officeDocument/2006/relationships/hyperlink" Target="http://ufcstats.com/fight-details/2a5484a6d5e7a2da" TargetMode="External"/><Relationship Id="rId1447" Type="http://schemas.openxmlformats.org/officeDocument/2006/relationships/hyperlink" Target="http://ufcstats.com/fight-details/8baa6b8850262595" TargetMode="External"/><Relationship Id="rId1654" Type="http://schemas.openxmlformats.org/officeDocument/2006/relationships/hyperlink" Target="http://ufcstats.com/fight-details/c365a488a8de3c89" TargetMode="External"/><Relationship Id="rId1861" Type="http://schemas.openxmlformats.org/officeDocument/2006/relationships/hyperlink" Target="http://ufcstats.com/fight-details/880f2bb0a639a5a0" TargetMode="External"/><Relationship Id="rId2705" Type="http://schemas.openxmlformats.org/officeDocument/2006/relationships/hyperlink" Target="http://ufcstats.com/fight-details/1caec47dc08613a7" TargetMode="External"/><Relationship Id="rId2912" Type="http://schemas.openxmlformats.org/officeDocument/2006/relationships/hyperlink" Target="http://ufcstats.com/fight-details/e9f00c16810e0e61" TargetMode="External"/><Relationship Id="rId4060" Type="http://schemas.openxmlformats.org/officeDocument/2006/relationships/hyperlink" Target="http://ufcstats.com/fight-details/2cb9ba68fc855f33" TargetMode="External"/><Relationship Id="rId1307" Type="http://schemas.openxmlformats.org/officeDocument/2006/relationships/hyperlink" Target="http://ufcstats.com/fight-details/32a7da2f34ae3803" TargetMode="External"/><Relationship Id="rId1514" Type="http://schemas.openxmlformats.org/officeDocument/2006/relationships/hyperlink" Target="http://ufcstats.com/fight-details/57b986d06bde71c2" TargetMode="External"/><Relationship Id="rId1721" Type="http://schemas.openxmlformats.org/officeDocument/2006/relationships/hyperlink" Target="http://ufcstats.com/fight-details/dae2484418631ff5" TargetMode="External"/><Relationship Id="rId13" Type="http://schemas.openxmlformats.org/officeDocument/2006/relationships/hyperlink" Target="http://ufcstats.com/fight-details/c4e4954beb59eca6" TargetMode="External"/><Relationship Id="rId3479" Type="http://schemas.openxmlformats.org/officeDocument/2006/relationships/hyperlink" Target="http://ufcstats.com/fight-details/e346f2b7af63e804" TargetMode="External"/><Relationship Id="rId3686" Type="http://schemas.openxmlformats.org/officeDocument/2006/relationships/hyperlink" Target="http://ufcstats.com/fight-details/ed9f8f702585ed44" TargetMode="External"/><Relationship Id="rId2288" Type="http://schemas.openxmlformats.org/officeDocument/2006/relationships/hyperlink" Target="http://ufcstats.com/fight-details/8a044e5400b4318f" TargetMode="External"/><Relationship Id="rId2495" Type="http://schemas.openxmlformats.org/officeDocument/2006/relationships/hyperlink" Target="http://ufcstats.com/fight-details/5afbc04a153d7efd" TargetMode="External"/><Relationship Id="rId3339" Type="http://schemas.openxmlformats.org/officeDocument/2006/relationships/hyperlink" Target="http://ufcstats.com/fight-details/33d2a1dbb8a7fef5" TargetMode="External"/><Relationship Id="rId3893" Type="http://schemas.openxmlformats.org/officeDocument/2006/relationships/hyperlink" Target="http://ufcstats.com/fight-details/e5fbb99bc3907516" TargetMode="External"/><Relationship Id="rId467" Type="http://schemas.openxmlformats.org/officeDocument/2006/relationships/hyperlink" Target="http://ufcstats.com/fight-details/14e689e60419d469" TargetMode="External"/><Relationship Id="rId1097" Type="http://schemas.openxmlformats.org/officeDocument/2006/relationships/hyperlink" Target="http://ufcstats.com/fight-details/0990ac7065412e76" TargetMode="External"/><Relationship Id="rId2148" Type="http://schemas.openxmlformats.org/officeDocument/2006/relationships/hyperlink" Target="http://ufcstats.com/fight-details/6387fdb44c61ccdb" TargetMode="External"/><Relationship Id="rId3546" Type="http://schemas.openxmlformats.org/officeDocument/2006/relationships/hyperlink" Target="http://ufcstats.com/fight-details/dd34dd337e637767" TargetMode="External"/><Relationship Id="rId3753" Type="http://schemas.openxmlformats.org/officeDocument/2006/relationships/hyperlink" Target="http://ufcstats.com/fight-details/1ca41d3b11d88b36" TargetMode="External"/><Relationship Id="rId3960" Type="http://schemas.openxmlformats.org/officeDocument/2006/relationships/hyperlink" Target="http://ufcstats.com/fight-details/81b16b26774be5d1" TargetMode="External"/><Relationship Id="rId674" Type="http://schemas.openxmlformats.org/officeDocument/2006/relationships/hyperlink" Target="http://ufcstats.com/fight-details/81f2f2d4b0302590" TargetMode="External"/><Relationship Id="rId881" Type="http://schemas.openxmlformats.org/officeDocument/2006/relationships/hyperlink" Target="http://ufcstats.com/fight-details/3ce634d03af7e14c" TargetMode="External"/><Relationship Id="rId2355" Type="http://schemas.openxmlformats.org/officeDocument/2006/relationships/hyperlink" Target="http://ufcstats.com/fight-details/77c78d0a71b10692" TargetMode="External"/><Relationship Id="rId2562" Type="http://schemas.openxmlformats.org/officeDocument/2006/relationships/hyperlink" Target="http://ufcstats.com/fight-details/e3ca9462ad0d7685" TargetMode="External"/><Relationship Id="rId3406" Type="http://schemas.openxmlformats.org/officeDocument/2006/relationships/hyperlink" Target="http://ufcstats.com/fight-details/7a5baef71925258c" TargetMode="External"/><Relationship Id="rId3613" Type="http://schemas.openxmlformats.org/officeDocument/2006/relationships/hyperlink" Target="http://ufcstats.com/fight-details/14a40f30e0cb22c9" TargetMode="External"/><Relationship Id="rId3820" Type="http://schemas.openxmlformats.org/officeDocument/2006/relationships/hyperlink" Target="http://ufcstats.com/fight-details/622cc4ef46913020" TargetMode="External"/><Relationship Id="rId327" Type="http://schemas.openxmlformats.org/officeDocument/2006/relationships/hyperlink" Target="http://ufcstats.com/fight-details/03de7404decde12f" TargetMode="External"/><Relationship Id="rId534" Type="http://schemas.openxmlformats.org/officeDocument/2006/relationships/hyperlink" Target="http://ufcstats.com/fight-details/2ac9b3ccb43422d8" TargetMode="External"/><Relationship Id="rId741" Type="http://schemas.openxmlformats.org/officeDocument/2006/relationships/hyperlink" Target="http://ufcstats.com/fight-details/ebb94e00d6431e7a" TargetMode="External"/><Relationship Id="rId1164" Type="http://schemas.openxmlformats.org/officeDocument/2006/relationships/hyperlink" Target="http://ufcstats.com/fight-details/398f4857f9692204" TargetMode="External"/><Relationship Id="rId1371" Type="http://schemas.openxmlformats.org/officeDocument/2006/relationships/hyperlink" Target="http://ufcstats.com/fight-details/d480d01418ae0143" TargetMode="External"/><Relationship Id="rId2008" Type="http://schemas.openxmlformats.org/officeDocument/2006/relationships/hyperlink" Target="http://ufcstats.com/fight-details/f6afaf2a39fa441c" TargetMode="External"/><Relationship Id="rId2215" Type="http://schemas.openxmlformats.org/officeDocument/2006/relationships/hyperlink" Target="http://ufcstats.com/fight-details/5344e76e26503716" TargetMode="External"/><Relationship Id="rId2422" Type="http://schemas.openxmlformats.org/officeDocument/2006/relationships/hyperlink" Target="http://ufcstats.com/fight-details/e82d734674ce4d46" TargetMode="External"/><Relationship Id="rId601" Type="http://schemas.openxmlformats.org/officeDocument/2006/relationships/hyperlink" Target="http://ufcstats.com/fight-details/b9e037a45f8850fb" TargetMode="External"/><Relationship Id="rId1024" Type="http://schemas.openxmlformats.org/officeDocument/2006/relationships/hyperlink" Target="http://ufcstats.com/fight-details/d5176b45df32f67e" TargetMode="External"/><Relationship Id="rId1231" Type="http://schemas.openxmlformats.org/officeDocument/2006/relationships/hyperlink" Target="http://ufcstats.com/fight-details/fac560495e61d34c" TargetMode="External"/><Relationship Id="rId4387" Type="http://schemas.openxmlformats.org/officeDocument/2006/relationships/hyperlink" Target="http://ufcstats.com/fight-details/cd08b68f0bafafbf" TargetMode="External"/><Relationship Id="rId3196" Type="http://schemas.openxmlformats.org/officeDocument/2006/relationships/hyperlink" Target="http://ufcstats.com/fight-details/855338a9a68e4c9f" TargetMode="External"/><Relationship Id="rId4247" Type="http://schemas.openxmlformats.org/officeDocument/2006/relationships/hyperlink" Target="http://ufcstats.com/fight-details/5ee83e03aaff5fa1" TargetMode="External"/><Relationship Id="rId4454" Type="http://schemas.openxmlformats.org/officeDocument/2006/relationships/hyperlink" Target="http://ufcstats.com/fight-details/d1c4c06780cbd36e" TargetMode="External"/><Relationship Id="rId3056" Type="http://schemas.openxmlformats.org/officeDocument/2006/relationships/hyperlink" Target="http://ufcstats.com/fight-details/977a758d869f9e7a" TargetMode="External"/><Relationship Id="rId3263" Type="http://schemas.openxmlformats.org/officeDocument/2006/relationships/hyperlink" Target="http://ufcstats.com/fight-details/0b9cd718d7e329e8" TargetMode="External"/><Relationship Id="rId3470" Type="http://schemas.openxmlformats.org/officeDocument/2006/relationships/hyperlink" Target="http://ufcstats.com/fight-details/b2eccc1b75633d3d" TargetMode="External"/><Relationship Id="rId4107" Type="http://schemas.openxmlformats.org/officeDocument/2006/relationships/hyperlink" Target="http://ufcstats.com/fight-details/6222cdc86b12d251" TargetMode="External"/><Relationship Id="rId4314" Type="http://schemas.openxmlformats.org/officeDocument/2006/relationships/hyperlink" Target="http://ufcstats.com/fight-details/d2f6b87189908088" TargetMode="External"/><Relationship Id="rId184" Type="http://schemas.openxmlformats.org/officeDocument/2006/relationships/hyperlink" Target="http://ufcstats.com/fight-details/c8a9d3917d77ede2" TargetMode="External"/><Relationship Id="rId391" Type="http://schemas.openxmlformats.org/officeDocument/2006/relationships/hyperlink" Target="http://ufcstats.com/fight-details/24a9fc95a3112f51" TargetMode="External"/><Relationship Id="rId1908" Type="http://schemas.openxmlformats.org/officeDocument/2006/relationships/hyperlink" Target="http://ufcstats.com/fight-details/a103b30f6898de7e" TargetMode="External"/><Relationship Id="rId2072" Type="http://schemas.openxmlformats.org/officeDocument/2006/relationships/hyperlink" Target="http://ufcstats.com/fight-details/017c090e9e8d2957" TargetMode="External"/><Relationship Id="rId3123" Type="http://schemas.openxmlformats.org/officeDocument/2006/relationships/hyperlink" Target="http://ufcstats.com/fight-details/be94e5b7a35ce5f2" TargetMode="External"/><Relationship Id="rId251" Type="http://schemas.openxmlformats.org/officeDocument/2006/relationships/hyperlink" Target="http://ufcstats.com/fight-details/024a04f78b37b7d9" TargetMode="External"/><Relationship Id="rId3330" Type="http://schemas.openxmlformats.org/officeDocument/2006/relationships/hyperlink" Target="http://ufcstats.com/fight-details/4eb5f99202f5fe97" TargetMode="External"/><Relationship Id="rId2889" Type="http://schemas.openxmlformats.org/officeDocument/2006/relationships/hyperlink" Target="http://ufcstats.com/fight-details/01c9acf719298187" TargetMode="External"/><Relationship Id="rId111" Type="http://schemas.openxmlformats.org/officeDocument/2006/relationships/hyperlink" Target="http://ufcstats.com/fight-details/fb3f5a65da9f2ac7" TargetMode="External"/><Relationship Id="rId1698" Type="http://schemas.openxmlformats.org/officeDocument/2006/relationships/hyperlink" Target="http://ufcstats.com/fight-details/5abcf9f282983acc" TargetMode="External"/><Relationship Id="rId2749" Type="http://schemas.openxmlformats.org/officeDocument/2006/relationships/hyperlink" Target="http://ufcstats.com/fight-details/f4cdc944e27c2cd2" TargetMode="External"/><Relationship Id="rId2956" Type="http://schemas.openxmlformats.org/officeDocument/2006/relationships/hyperlink" Target="http://ufcstats.com/fight-details/e966de63c8e6b1d5" TargetMode="External"/><Relationship Id="rId928" Type="http://schemas.openxmlformats.org/officeDocument/2006/relationships/hyperlink" Target="http://ufcstats.com/fight-details/36656dfa32341671" TargetMode="External"/><Relationship Id="rId1558" Type="http://schemas.openxmlformats.org/officeDocument/2006/relationships/hyperlink" Target="http://ufcstats.com/fight-details/9e75fbe17a35f272" TargetMode="External"/><Relationship Id="rId1765" Type="http://schemas.openxmlformats.org/officeDocument/2006/relationships/hyperlink" Target="http://ufcstats.com/fight-details/0e969ae805006d1f" TargetMode="External"/><Relationship Id="rId2609" Type="http://schemas.openxmlformats.org/officeDocument/2006/relationships/hyperlink" Target="http://ufcstats.com/fight-details/c16bda7548181613" TargetMode="External"/><Relationship Id="rId4171" Type="http://schemas.openxmlformats.org/officeDocument/2006/relationships/hyperlink" Target="http://ufcstats.com/fight-details/f329bd89e375d6df" TargetMode="External"/><Relationship Id="rId57" Type="http://schemas.openxmlformats.org/officeDocument/2006/relationships/hyperlink" Target="http://ufcstats.com/fight-details/d2198a7ae05b24c1" TargetMode="External"/><Relationship Id="rId1418" Type="http://schemas.openxmlformats.org/officeDocument/2006/relationships/hyperlink" Target="http://ufcstats.com/fight-details/40d9b5b47acf260b" TargetMode="External"/><Relationship Id="rId1972" Type="http://schemas.openxmlformats.org/officeDocument/2006/relationships/hyperlink" Target="http://ufcstats.com/fight-details/ac8628d945a78b03" TargetMode="External"/><Relationship Id="rId2816" Type="http://schemas.openxmlformats.org/officeDocument/2006/relationships/hyperlink" Target="http://ufcstats.com/fight-details/6d47170d069df8bb" TargetMode="External"/><Relationship Id="rId4031" Type="http://schemas.openxmlformats.org/officeDocument/2006/relationships/hyperlink" Target="http://ufcstats.com/fight-details/dd9cbf6d6284de26" TargetMode="External"/><Relationship Id="rId1625" Type="http://schemas.openxmlformats.org/officeDocument/2006/relationships/hyperlink" Target="http://ufcstats.com/fight-details/5fdf6611815efdfb" TargetMode="External"/><Relationship Id="rId1832" Type="http://schemas.openxmlformats.org/officeDocument/2006/relationships/hyperlink" Target="http://ufcstats.com/fight-details/74dae3d87a99cf5d" TargetMode="External"/><Relationship Id="rId3797" Type="http://schemas.openxmlformats.org/officeDocument/2006/relationships/hyperlink" Target="http://ufcstats.com/fight-details/85e1b21ea88fe7e3" TargetMode="External"/><Relationship Id="rId2399" Type="http://schemas.openxmlformats.org/officeDocument/2006/relationships/hyperlink" Target="http://ufcstats.com/fight-details/cf5e8f98159c3971" TargetMode="External"/><Relationship Id="rId3657" Type="http://schemas.openxmlformats.org/officeDocument/2006/relationships/hyperlink" Target="http://ufcstats.com/fight-details/5a79d4b9a8f8352f" TargetMode="External"/><Relationship Id="rId3864" Type="http://schemas.openxmlformats.org/officeDocument/2006/relationships/hyperlink" Target="http://ufcstats.com/fight-details/849cc2c331e9b24f" TargetMode="External"/><Relationship Id="rId578" Type="http://schemas.openxmlformats.org/officeDocument/2006/relationships/hyperlink" Target="http://ufcstats.com/fight-details/6e559181bfbc77e1" TargetMode="External"/><Relationship Id="rId785" Type="http://schemas.openxmlformats.org/officeDocument/2006/relationships/hyperlink" Target="http://ufcstats.com/fight-details/5a440bdee19efaab" TargetMode="External"/><Relationship Id="rId992" Type="http://schemas.openxmlformats.org/officeDocument/2006/relationships/hyperlink" Target="http://ufcstats.com/fight-details/3a8af8ee23444b72" TargetMode="External"/><Relationship Id="rId2259" Type="http://schemas.openxmlformats.org/officeDocument/2006/relationships/hyperlink" Target="http://ufcstats.com/fight-details/40707ddc9fdea500" TargetMode="External"/><Relationship Id="rId2466" Type="http://schemas.openxmlformats.org/officeDocument/2006/relationships/hyperlink" Target="http://ufcstats.com/fight-details/fd2c018aade60a14" TargetMode="External"/><Relationship Id="rId2673" Type="http://schemas.openxmlformats.org/officeDocument/2006/relationships/hyperlink" Target="http://ufcstats.com/fight-details/6ec0a046de95fe16" TargetMode="External"/><Relationship Id="rId2880" Type="http://schemas.openxmlformats.org/officeDocument/2006/relationships/hyperlink" Target="http://ufcstats.com/fight-details/e7938bac3ec8b442" TargetMode="External"/><Relationship Id="rId3517" Type="http://schemas.openxmlformats.org/officeDocument/2006/relationships/hyperlink" Target="http://ufcstats.com/fight-details/e3ecb94228c2739f" TargetMode="External"/><Relationship Id="rId3724" Type="http://schemas.openxmlformats.org/officeDocument/2006/relationships/hyperlink" Target="http://ufcstats.com/fight-details/ab6cd718c5459eeb" TargetMode="External"/><Relationship Id="rId3931" Type="http://schemas.openxmlformats.org/officeDocument/2006/relationships/hyperlink" Target="http://ufcstats.com/fight-details/e4bbec619aa04dea" TargetMode="External"/><Relationship Id="rId438" Type="http://schemas.openxmlformats.org/officeDocument/2006/relationships/hyperlink" Target="http://ufcstats.com/fight-details/e3f31cdd33b4ca92" TargetMode="External"/><Relationship Id="rId645" Type="http://schemas.openxmlformats.org/officeDocument/2006/relationships/hyperlink" Target="http://ufcstats.com/fight-details/2220b73ece1730c3" TargetMode="External"/><Relationship Id="rId852" Type="http://schemas.openxmlformats.org/officeDocument/2006/relationships/hyperlink" Target="http://ufcstats.com/fight-details/6f350d91fb07a819" TargetMode="External"/><Relationship Id="rId1068" Type="http://schemas.openxmlformats.org/officeDocument/2006/relationships/hyperlink" Target="http://ufcstats.com/fight-details/ae5d14a9fc1ad19c" TargetMode="External"/><Relationship Id="rId1275" Type="http://schemas.openxmlformats.org/officeDocument/2006/relationships/hyperlink" Target="http://ufcstats.com/fight-details/cd6452a463ec8a28" TargetMode="External"/><Relationship Id="rId1482" Type="http://schemas.openxmlformats.org/officeDocument/2006/relationships/hyperlink" Target="http://ufcstats.com/fight-details/044d210d7b1eb519" TargetMode="External"/><Relationship Id="rId2119" Type="http://schemas.openxmlformats.org/officeDocument/2006/relationships/hyperlink" Target="http://ufcstats.com/fight-details/a0909aab15ba53c5" TargetMode="External"/><Relationship Id="rId2326" Type="http://schemas.openxmlformats.org/officeDocument/2006/relationships/hyperlink" Target="http://ufcstats.com/fight-details/0845e0f9e8d61b0f" TargetMode="External"/><Relationship Id="rId2533" Type="http://schemas.openxmlformats.org/officeDocument/2006/relationships/hyperlink" Target="http://ufcstats.com/fight-details/1afc4f372a125c74" TargetMode="External"/><Relationship Id="rId2740" Type="http://schemas.openxmlformats.org/officeDocument/2006/relationships/hyperlink" Target="http://ufcstats.com/fight-details/014a3acf91ada8af" TargetMode="External"/><Relationship Id="rId505" Type="http://schemas.openxmlformats.org/officeDocument/2006/relationships/hyperlink" Target="http://ufcstats.com/fight-details/301f230c90c4bd7d" TargetMode="External"/><Relationship Id="rId712" Type="http://schemas.openxmlformats.org/officeDocument/2006/relationships/hyperlink" Target="http://ufcstats.com/fight-details/e202f273220aa533" TargetMode="External"/><Relationship Id="rId1135" Type="http://schemas.openxmlformats.org/officeDocument/2006/relationships/hyperlink" Target="http://ufcstats.com/fight-details/02732ebb104793d2" TargetMode="External"/><Relationship Id="rId1342" Type="http://schemas.openxmlformats.org/officeDocument/2006/relationships/hyperlink" Target="http://ufcstats.com/fight-details/cf4c2b601c2228aa" TargetMode="External"/><Relationship Id="rId1202" Type="http://schemas.openxmlformats.org/officeDocument/2006/relationships/hyperlink" Target="http://ufcstats.com/fight-details/961f434fe238f40e" TargetMode="External"/><Relationship Id="rId2600" Type="http://schemas.openxmlformats.org/officeDocument/2006/relationships/hyperlink" Target="http://ufcstats.com/fight-details/9f3326195672c2b9" TargetMode="External"/><Relationship Id="rId4358" Type="http://schemas.openxmlformats.org/officeDocument/2006/relationships/hyperlink" Target="http://ufcstats.com/fight-details/595557b808febe27" TargetMode="External"/><Relationship Id="rId3167" Type="http://schemas.openxmlformats.org/officeDocument/2006/relationships/hyperlink" Target="http://ufcstats.com/fight-details/6ab9d2d334f613c8" TargetMode="External"/><Relationship Id="rId295" Type="http://schemas.openxmlformats.org/officeDocument/2006/relationships/hyperlink" Target="http://ufcstats.com/fight-details/3c6659f1b09760ba" TargetMode="External"/><Relationship Id="rId3374" Type="http://schemas.openxmlformats.org/officeDocument/2006/relationships/hyperlink" Target="http://ufcstats.com/fight-details/23fd92555246d61e" TargetMode="External"/><Relationship Id="rId3581" Type="http://schemas.openxmlformats.org/officeDocument/2006/relationships/hyperlink" Target="http://ufcstats.com/fight-details/aa7b1fca60a21f3a" TargetMode="External"/><Relationship Id="rId4218" Type="http://schemas.openxmlformats.org/officeDocument/2006/relationships/hyperlink" Target="http://ufcstats.com/fight-details/f2520dd5457ab293" TargetMode="External"/><Relationship Id="rId4425" Type="http://schemas.openxmlformats.org/officeDocument/2006/relationships/hyperlink" Target="http://ufcstats.com/fight-details/7bfb92f7ea59dbbd" TargetMode="External"/><Relationship Id="rId2183" Type="http://schemas.openxmlformats.org/officeDocument/2006/relationships/hyperlink" Target="http://ufcstats.com/fight-details/a7c04dc830923313" TargetMode="External"/><Relationship Id="rId2390" Type="http://schemas.openxmlformats.org/officeDocument/2006/relationships/hyperlink" Target="http://ufcstats.com/fight-details/c835ccffa472970e" TargetMode="External"/><Relationship Id="rId3027" Type="http://schemas.openxmlformats.org/officeDocument/2006/relationships/hyperlink" Target="http://ufcstats.com/fight-details/3f419fce8ba8aa0e" TargetMode="External"/><Relationship Id="rId3234" Type="http://schemas.openxmlformats.org/officeDocument/2006/relationships/hyperlink" Target="http://ufcstats.com/fight-details/df0d4130944776d9" TargetMode="External"/><Relationship Id="rId3441" Type="http://schemas.openxmlformats.org/officeDocument/2006/relationships/hyperlink" Target="http://ufcstats.com/fight-details/787d94246afe18a3" TargetMode="External"/><Relationship Id="rId155" Type="http://schemas.openxmlformats.org/officeDocument/2006/relationships/hyperlink" Target="http://ufcstats.com/fight-details/09b91014bd88f815" TargetMode="External"/><Relationship Id="rId362" Type="http://schemas.openxmlformats.org/officeDocument/2006/relationships/hyperlink" Target="http://ufcstats.com/fight-details/0aa335dbc4cb3473" TargetMode="External"/><Relationship Id="rId2043" Type="http://schemas.openxmlformats.org/officeDocument/2006/relationships/hyperlink" Target="http://ufcstats.com/fight-details/918103d82ecbed75" TargetMode="External"/><Relationship Id="rId2250" Type="http://schemas.openxmlformats.org/officeDocument/2006/relationships/hyperlink" Target="http://ufcstats.com/fight-details/07f234a488661125" TargetMode="External"/><Relationship Id="rId3301" Type="http://schemas.openxmlformats.org/officeDocument/2006/relationships/hyperlink" Target="http://ufcstats.com/fight-details/657b7da9c89352fe" TargetMode="External"/><Relationship Id="rId222" Type="http://schemas.openxmlformats.org/officeDocument/2006/relationships/hyperlink" Target="http://ufcstats.com/fight-details/c959b92fb36220a3" TargetMode="External"/><Relationship Id="rId2110" Type="http://schemas.openxmlformats.org/officeDocument/2006/relationships/hyperlink" Target="http://ufcstats.com/fight-details/9a1a57b0abcd4599" TargetMode="External"/><Relationship Id="rId4075" Type="http://schemas.openxmlformats.org/officeDocument/2006/relationships/hyperlink" Target="http://ufcstats.com/fight-details/088b47d890b389e9" TargetMode="External"/><Relationship Id="rId4282" Type="http://schemas.openxmlformats.org/officeDocument/2006/relationships/hyperlink" Target="http://ufcstats.com/fight-details/18c67631b76c18e5" TargetMode="External"/><Relationship Id="rId1669" Type="http://schemas.openxmlformats.org/officeDocument/2006/relationships/hyperlink" Target="http://ufcstats.com/fight-details/e2e23aee91e27847" TargetMode="External"/><Relationship Id="rId1876" Type="http://schemas.openxmlformats.org/officeDocument/2006/relationships/hyperlink" Target="http://ufcstats.com/fight-details/a3d75cc363a6544b" TargetMode="External"/><Relationship Id="rId2927" Type="http://schemas.openxmlformats.org/officeDocument/2006/relationships/hyperlink" Target="http://ufcstats.com/fight-details/9cb78122a23e6a7d" TargetMode="External"/><Relationship Id="rId3091" Type="http://schemas.openxmlformats.org/officeDocument/2006/relationships/hyperlink" Target="http://ufcstats.com/fight-details/1d7015553debd1c8" TargetMode="External"/><Relationship Id="rId4142" Type="http://schemas.openxmlformats.org/officeDocument/2006/relationships/hyperlink" Target="http://ufcstats.com/fight-details/33719a2d9c69ed17" TargetMode="External"/><Relationship Id="rId1529" Type="http://schemas.openxmlformats.org/officeDocument/2006/relationships/hyperlink" Target="http://ufcstats.com/fight-details/3bcbb0e039f4f5d8" TargetMode="External"/><Relationship Id="rId1736" Type="http://schemas.openxmlformats.org/officeDocument/2006/relationships/hyperlink" Target="http://ufcstats.com/fight-details/05f1e8ff81dbe05b" TargetMode="External"/><Relationship Id="rId1943" Type="http://schemas.openxmlformats.org/officeDocument/2006/relationships/hyperlink" Target="http://ufcstats.com/fight-details/2e11087e1a4f066b" TargetMode="External"/><Relationship Id="rId28" Type="http://schemas.openxmlformats.org/officeDocument/2006/relationships/hyperlink" Target="http://ufcstats.com/fight-details/f93f794247af708a" TargetMode="External"/><Relationship Id="rId1803" Type="http://schemas.openxmlformats.org/officeDocument/2006/relationships/hyperlink" Target="http://ufcstats.com/fight-details/cb010b41cd20a1ed" TargetMode="External"/><Relationship Id="rId4002" Type="http://schemas.openxmlformats.org/officeDocument/2006/relationships/hyperlink" Target="http://ufcstats.com/fight-details/e8adfbbe0053c321" TargetMode="External"/><Relationship Id="rId3768" Type="http://schemas.openxmlformats.org/officeDocument/2006/relationships/hyperlink" Target="http://ufcstats.com/fight-details/17daeb7e36e60cdf" TargetMode="External"/><Relationship Id="rId3975" Type="http://schemas.openxmlformats.org/officeDocument/2006/relationships/hyperlink" Target="http://ufcstats.com/fight-details/240e9389cca3bd18" TargetMode="External"/><Relationship Id="rId689" Type="http://schemas.openxmlformats.org/officeDocument/2006/relationships/hyperlink" Target="http://ufcstats.com/fight-details/aef94727eb3897df" TargetMode="External"/><Relationship Id="rId896" Type="http://schemas.openxmlformats.org/officeDocument/2006/relationships/hyperlink" Target="http://ufcstats.com/fight-details/9763e27bf80abe42" TargetMode="External"/><Relationship Id="rId2577" Type="http://schemas.openxmlformats.org/officeDocument/2006/relationships/hyperlink" Target="http://ufcstats.com/fight-details/77992b8727382373" TargetMode="External"/><Relationship Id="rId2784" Type="http://schemas.openxmlformats.org/officeDocument/2006/relationships/hyperlink" Target="http://ufcstats.com/fight-details/160c17b8fcb0e2a1" TargetMode="External"/><Relationship Id="rId3628" Type="http://schemas.openxmlformats.org/officeDocument/2006/relationships/hyperlink" Target="http://ufcstats.com/fight-details/7d583e4002622848" TargetMode="External"/><Relationship Id="rId549" Type="http://schemas.openxmlformats.org/officeDocument/2006/relationships/hyperlink" Target="http://ufcstats.com/fight-details/bef4df43d6052a02" TargetMode="External"/><Relationship Id="rId756" Type="http://schemas.openxmlformats.org/officeDocument/2006/relationships/hyperlink" Target="http://ufcstats.com/fight-details/537c77f3b75a75ae" TargetMode="External"/><Relationship Id="rId1179" Type="http://schemas.openxmlformats.org/officeDocument/2006/relationships/hyperlink" Target="http://ufcstats.com/fight-details/c5ce4f39269c842c" TargetMode="External"/><Relationship Id="rId1386" Type="http://schemas.openxmlformats.org/officeDocument/2006/relationships/hyperlink" Target="http://ufcstats.com/fight-details/e939acbd9894c686" TargetMode="External"/><Relationship Id="rId1593" Type="http://schemas.openxmlformats.org/officeDocument/2006/relationships/hyperlink" Target="http://ufcstats.com/fight-details/dbfd7616dec2b6d5" TargetMode="External"/><Relationship Id="rId2437" Type="http://schemas.openxmlformats.org/officeDocument/2006/relationships/hyperlink" Target="http://ufcstats.com/fight-details/4caa0dcdaa253612" TargetMode="External"/><Relationship Id="rId2991" Type="http://schemas.openxmlformats.org/officeDocument/2006/relationships/hyperlink" Target="http://ufcstats.com/fight-details/9201312dd860fa5a" TargetMode="External"/><Relationship Id="rId3835" Type="http://schemas.openxmlformats.org/officeDocument/2006/relationships/hyperlink" Target="http://ufcstats.com/fight-details/f1c3abce15ef053e" TargetMode="External"/><Relationship Id="rId409" Type="http://schemas.openxmlformats.org/officeDocument/2006/relationships/hyperlink" Target="http://ufcstats.com/fight-details/0c27552ea7bc8c8a" TargetMode="External"/><Relationship Id="rId963" Type="http://schemas.openxmlformats.org/officeDocument/2006/relationships/hyperlink" Target="http://ufcstats.com/fight-details/8b7bc2af1e15b668" TargetMode="External"/><Relationship Id="rId1039" Type="http://schemas.openxmlformats.org/officeDocument/2006/relationships/hyperlink" Target="http://ufcstats.com/fight-details/8ea12c7360fa0f6b" TargetMode="External"/><Relationship Id="rId1246" Type="http://schemas.openxmlformats.org/officeDocument/2006/relationships/hyperlink" Target="http://ufcstats.com/fight-details/b67229e7675eed24" TargetMode="External"/><Relationship Id="rId2644" Type="http://schemas.openxmlformats.org/officeDocument/2006/relationships/hyperlink" Target="http://ufcstats.com/fight-details/bac178dea57bd545" TargetMode="External"/><Relationship Id="rId2851" Type="http://schemas.openxmlformats.org/officeDocument/2006/relationships/hyperlink" Target="http://ufcstats.com/fight-details/1e7caef3f6dfde10" TargetMode="External"/><Relationship Id="rId3902" Type="http://schemas.openxmlformats.org/officeDocument/2006/relationships/hyperlink" Target="http://ufcstats.com/fight-details/96c93167c982c467" TargetMode="External"/><Relationship Id="rId92" Type="http://schemas.openxmlformats.org/officeDocument/2006/relationships/hyperlink" Target="http://ufcstats.com/fight-details/2cb34fc074f7a9ae" TargetMode="External"/><Relationship Id="rId616" Type="http://schemas.openxmlformats.org/officeDocument/2006/relationships/hyperlink" Target="http://ufcstats.com/fight-details/97e522591ac7eb29" TargetMode="External"/><Relationship Id="rId823" Type="http://schemas.openxmlformats.org/officeDocument/2006/relationships/hyperlink" Target="http://ufcstats.com/fight-details/83c81018bb3aeebf" TargetMode="External"/><Relationship Id="rId1453" Type="http://schemas.openxmlformats.org/officeDocument/2006/relationships/hyperlink" Target="http://ufcstats.com/fight-details/037d2f426c916ffc" TargetMode="External"/><Relationship Id="rId1660" Type="http://schemas.openxmlformats.org/officeDocument/2006/relationships/hyperlink" Target="http://ufcstats.com/fight-details/0549b655619774c5" TargetMode="External"/><Relationship Id="rId2504" Type="http://schemas.openxmlformats.org/officeDocument/2006/relationships/hyperlink" Target="http://ufcstats.com/fight-details/503a9ac5679c9cf7" TargetMode="External"/><Relationship Id="rId2711" Type="http://schemas.openxmlformats.org/officeDocument/2006/relationships/hyperlink" Target="http://ufcstats.com/fight-details/8522bc62e8d942ab" TargetMode="External"/><Relationship Id="rId1106" Type="http://schemas.openxmlformats.org/officeDocument/2006/relationships/hyperlink" Target="http://ufcstats.com/fight-details/74d4e37b97866514" TargetMode="External"/><Relationship Id="rId1313" Type="http://schemas.openxmlformats.org/officeDocument/2006/relationships/hyperlink" Target="http://ufcstats.com/fight-details/312946f6b72ebd51" TargetMode="External"/><Relationship Id="rId1520" Type="http://schemas.openxmlformats.org/officeDocument/2006/relationships/hyperlink" Target="http://ufcstats.com/fight-details/53ee6c3591483193" TargetMode="External"/><Relationship Id="rId3278" Type="http://schemas.openxmlformats.org/officeDocument/2006/relationships/hyperlink" Target="http://ufcstats.com/fight-details/71ea7d7985dad804" TargetMode="External"/><Relationship Id="rId3485" Type="http://schemas.openxmlformats.org/officeDocument/2006/relationships/hyperlink" Target="http://ufcstats.com/fight-details/c7375d5db21cbaae" TargetMode="External"/><Relationship Id="rId3692" Type="http://schemas.openxmlformats.org/officeDocument/2006/relationships/hyperlink" Target="http://ufcstats.com/fight-details/55480808b1fa1f9c" TargetMode="External"/><Relationship Id="rId4329" Type="http://schemas.openxmlformats.org/officeDocument/2006/relationships/hyperlink" Target="http://ufcstats.com/fight-details/5db3e2fdd18129a4" TargetMode="External"/><Relationship Id="rId199" Type="http://schemas.openxmlformats.org/officeDocument/2006/relationships/hyperlink" Target="http://ufcstats.com/fight-details/1ed266bed8005bbe" TargetMode="External"/><Relationship Id="rId2087" Type="http://schemas.openxmlformats.org/officeDocument/2006/relationships/hyperlink" Target="http://ufcstats.com/fight-details/69279781a89c893e" TargetMode="External"/><Relationship Id="rId2294" Type="http://schemas.openxmlformats.org/officeDocument/2006/relationships/hyperlink" Target="http://ufcstats.com/fight-details/b319a24919106555" TargetMode="External"/><Relationship Id="rId3138" Type="http://schemas.openxmlformats.org/officeDocument/2006/relationships/hyperlink" Target="http://ufcstats.com/fight-details/135760b07e1fb79b" TargetMode="External"/><Relationship Id="rId3345" Type="http://schemas.openxmlformats.org/officeDocument/2006/relationships/hyperlink" Target="http://ufcstats.com/fight-details/9fc6aba53508dc48" TargetMode="External"/><Relationship Id="rId3552" Type="http://schemas.openxmlformats.org/officeDocument/2006/relationships/hyperlink" Target="http://ufcstats.com/fight-details/b0f4c7788782e26e" TargetMode="External"/><Relationship Id="rId266" Type="http://schemas.openxmlformats.org/officeDocument/2006/relationships/hyperlink" Target="http://ufcstats.com/fight-details/cd258394e8d58d04" TargetMode="External"/><Relationship Id="rId473" Type="http://schemas.openxmlformats.org/officeDocument/2006/relationships/hyperlink" Target="http://ufcstats.com/fight-details/de2069fea664c4b7" TargetMode="External"/><Relationship Id="rId680" Type="http://schemas.openxmlformats.org/officeDocument/2006/relationships/hyperlink" Target="http://ufcstats.com/fight-details/5868c154789648f0" TargetMode="External"/><Relationship Id="rId2154" Type="http://schemas.openxmlformats.org/officeDocument/2006/relationships/hyperlink" Target="http://ufcstats.com/fight-details/083a0283b7bc503b" TargetMode="External"/><Relationship Id="rId2361" Type="http://schemas.openxmlformats.org/officeDocument/2006/relationships/hyperlink" Target="http://ufcstats.com/fight-details/31c4518a1e71c050" TargetMode="External"/><Relationship Id="rId3205" Type="http://schemas.openxmlformats.org/officeDocument/2006/relationships/hyperlink" Target="http://ufcstats.com/fight-details/a122968e96068800" TargetMode="External"/><Relationship Id="rId3412" Type="http://schemas.openxmlformats.org/officeDocument/2006/relationships/hyperlink" Target="http://ufcstats.com/fight-details/b1f7bc82f7dce1b9" TargetMode="External"/><Relationship Id="rId126" Type="http://schemas.openxmlformats.org/officeDocument/2006/relationships/hyperlink" Target="http://ufcstats.com/fight-details/7151ae256e6c181b" TargetMode="External"/><Relationship Id="rId333" Type="http://schemas.openxmlformats.org/officeDocument/2006/relationships/hyperlink" Target="http://ufcstats.com/fight-details/1af23e7aa71a1d17" TargetMode="External"/><Relationship Id="rId540" Type="http://schemas.openxmlformats.org/officeDocument/2006/relationships/hyperlink" Target="http://ufcstats.com/fight-details/d72f9b3ac742a9e3" TargetMode="External"/><Relationship Id="rId1170" Type="http://schemas.openxmlformats.org/officeDocument/2006/relationships/hyperlink" Target="http://ufcstats.com/fight-details/fe0f1b418e6d3ecb" TargetMode="External"/><Relationship Id="rId2014" Type="http://schemas.openxmlformats.org/officeDocument/2006/relationships/hyperlink" Target="http://ufcstats.com/fight-details/b3c23fb2d71bba51" TargetMode="External"/><Relationship Id="rId2221" Type="http://schemas.openxmlformats.org/officeDocument/2006/relationships/hyperlink" Target="http://ufcstats.com/fight-details/975840814b233bcd" TargetMode="External"/><Relationship Id="rId1030" Type="http://schemas.openxmlformats.org/officeDocument/2006/relationships/hyperlink" Target="http://ufcstats.com/fight-details/5e1370a92ce8abb0" TargetMode="External"/><Relationship Id="rId4186" Type="http://schemas.openxmlformats.org/officeDocument/2006/relationships/hyperlink" Target="http://ufcstats.com/fight-details/10f5bb70feb1df53" TargetMode="External"/><Relationship Id="rId400" Type="http://schemas.openxmlformats.org/officeDocument/2006/relationships/hyperlink" Target="http://ufcstats.com/fight-details/858696528ab7035a" TargetMode="External"/><Relationship Id="rId1987" Type="http://schemas.openxmlformats.org/officeDocument/2006/relationships/hyperlink" Target="http://ufcstats.com/fight-details/ee2354d638c078fd" TargetMode="External"/><Relationship Id="rId4393" Type="http://schemas.openxmlformats.org/officeDocument/2006/relationships/hyperlink" Target="http://ufcstats.com/fight-details/5de3a1bbcf705b58" TargetMode="External"/><Relationship Id="rId1847" Type="http://schemas.openxmlformats.org/officeDocument/2006/relationships/hyperlink" Target="http://ufcstats.com/fight-details/b6e086dd8093355d" TargetMode="External"/><Relationship Id="rId4046" Type="http://schemas.openxmlformats.org/officeDocument/2006/relationships/hyperlink" Target="http://ufcstats.com/fight-details/a45d4327bc82bc28" TargetMode="External"/><Relationship Id="rId4253" Type="http://schemas.openxmlformats.org/officeDocument/2006/relationships/hyperlink" Target="http://ufcstats.com/fight-details/dfc62aa72446e4a8" TargetMode="External"/><Relationship Id="rId4460" Type="http://schemas.openxmlformats.org/officeDocument/2006/relationships/hyperlink" Target="http://ufcstats.com/fight-details/52311c2cd0c84d67" TargetMode="External"/><Relationship Id="rId1707" Type="http://schemas.openxmlformats.org/officeDocument/2006/relationships/hyperlink" Target="http://ufcstats.com/fight-details/4c7390e4d169f6ff" TargetMode="External"/><Relationship Id="rId3062" Type="http://schemas.openxmlformats.org/officeDocument/2006/relationships/hyperlink" Target="http://ufcstats.com/fight-details/87126427cfcaee52" TargetMode="External"/><Relationship Id="rId4113" Type="http://schemas.openxmlformats.org/officeDocument/2006/relationships/hyperlink" Target="http://ufcstats.com/fight-details/faf19712bd7ea41e" TargetMode="External"/><Relationship Id="rId4320" Type="http://schemas.openxmlformats.org/officeDocument/2006/relationships/hyperlink" Target="http://ufcstats.com/fight-details/d80b0bea0e260b95" TargetMode="External"/><Relationship Id="rId190" Type="http://schemas.openxmlformats.org/officeDocument/2006/relationships/hyperlink" Target="http://ufcstats.com/fight-details/e6fdf9e67f84a0e0" TargetMode="External"/><Relationship Id="rId1914" Type="http://schemas.openxmlformats.org/officeDocument/2006/relationships/hyperlink" Target="http://ufcstats.com/fight-details/a33ecd2c88154890" TargetMode="External"/><Relationship Id="rId3879" Type="http://schemas.openxmlformats.org/officeDocument/2006/relationships/hyperlink" Target="http://ufcstats.com/fight-details/c163ed45c21c8548" TargetMode="External"/><Relationship Id="rId2688" Type="http://schemas.openxmlformats.org/officeDocument/2006/relationships/hyperlink" Target="http://ufcstats.com/fight-details/d38cd293a0c3fdfd" TargetMode="External"/><Relationship Id="rId2895" Type="http://schemas.openxmlformats.org/officeDocument/2006/relationships/hyperlink" Target="http://ufcstats.com/fight-details/c037cdc1de53de8e" TargetMode="External"/><Relationship Id="rId3739" Type="http://schemas.openxmlformats.org/officeDocument/2006/relationships/hyperlink" Target="http://ufcstats.com/fight-details/00a94d5fc7ce55cf" TargetMode="External"/><Relationship Id="rId3946" Type="http://schemas.openxmlformats.org/officeDocument/2006/relationships/hyperlink" Target="http://ufcstats.com/fight-details/e36a5d4d53b97d4e" TargetMode="External"/><Relationship Id="rId867" Type="http://schemas.openxmlformats.org/officeDocument/2006/relationships/hyperlink" Target="http://ufcstats.com/fight-details/300f1489174a3ece" TargetMode="External"/><Relationship Id="rId1497" Type="http://schemas.openxmlformats.org/officeDocument/2006/relationships/hyperlink" Target="http://ufcstats.com/fight-details/c79b862be039d9f0" TargetMode="External"/><Relationship Id="rId2548" Type="http://schemas.openxmlformats.org/officeDocument/2006/relationships/hyperlink" Target="http://ufcstats.com/fight-details/ece3a7a9e930ef9d" TargetMode="External"/><Relationship Id="rId2755" Type="http://schemas.openxmlformats.org/officeDocument/2006/relationships/hyperlink" Target="http://ufcstats.com/fight-details/d07dd6239afe1cb0" TargetMode="External"/><Relationship Id="rId2962" Type="http://schemas.openxmlformats.org/officeDocument/2006/relationships/hyperlink" Target="http://ufcstats.com/fight-details/ecec1b0dd64ca2ae" TargetMode="External"/><Relationship Id="rId3806" Type="http://schemas.openxmlformats.org/officeDocument/2006/relationships/hyperlink" Target="http://ufcstats.com/fight-details/22fc6b3f4e48cfa3" TargetMode="External"/><Relationship Id="rId727" Type="http://schemas.openxmlformats.org/officeDocument/2006/relationships/hyperlink" Target="http://ufcstats.com/fight-details/0a444f30cae13d8f" TargetMode="External"/><Relationship Id="rId934" Type="http://schemas.openxmlformats.org/officeDocument/2006/relationships/hyperlink" Target="http://ufcstats.com/fight-details/447462bc8e540f10" TargetMode="External"/><Relationship Id="rId1357" Type="http://schemas.openxmlformats.org/officeDocument/2006/relationships/hyperlink" Target="http://ufcstats.com/fight-details/ac37849f627a79c4" TargetMode="External"/><Relationship Id="rId1564" Type="http://schemas.openxmlformats.org/officeDocument/2006/relationships/hyperlink" Target="http://ufcstats.com/fight-details/ec03739c836fadc8" TargetMode="External"/><Relationship Id="rId1771" Type="http://schemas.openxmlformats.org/officeDocument/2006/relationships/hyperlink" Target="http://ufcstats.com/fight-details/37a7dc68f3a0e65d" TargetMode="External"/><Relationship Id="rId2408" Type="http://schemas.openxmlformats.org/officeDocument/2006/relationships/hyperlink" Target="http://ufcstats.com/fight-details/72105dd82d964e7a" TargetMode="External"/><Relationship Id="rId2615" Type="http://schemas.openxmlformats.org/officeDocument/2006/relationships/hyperlink" Target="http://ufcstats.com/fight-details/a7c38d4d66abf923" TargetMode="External"/><Relationship Id="rId2822" Type="http://schemas.openxmlformats.org/officeDocument/2006/relationships/hyperlink" Target="http://ufcstats.com/fight-details/1c7ea3928c7d0ad8" TargetMode="External"/><Relationship Id="rId63" Type="http://schemas.openxmlformats.org/officeDocument/2006/relationships/hyperlink" Target="http://ufcstats.com/fight-details/8793208907eca67f" TargetMode="External"/><Relationship Id="rId1217" Type="http://schemas.openxmlformats.org/officeDocument/2006/relationships/hyperlink" Target="http://ufcstats.com/fight-details/ab105e5a56b5ee90" TargetMode="External"/><Relationship Id="rId1424" Type="http://schemas.openxmlformats.org/officeDocument/2006/relationships/hyperlink" Target="http://ufcstats.com/fight-details/444f0a732695dc81" TargetMode="External"/><Relationship Id="rId1631" Type="http://schemas.openxmlformats.org/officeDocument/2006/relationships/hyperlink" Target="http://ufcstats.com/fight-details/cd6b799ec79c489a" TargetMode="External"/><Relationship Id="rId3389" Type="http://schemas.openxmlformats.org/officeDocument/2006/relationships/hyperlink" Target="http://ufcstats.com/fight-details/484c48d3723e72cd" TargetMode="External"/><Relationship Id="rId3596" Type="http://schemas.openxmlformats.org/officeDocument/2006/relationships/hyperlink" Target="http://ufcstats.com/fight-details/8f7a73d05387b159" TargetMode="External"/><Relationship Id="rId2198" Type="http://schemas.openxmlformats.org/officeDocument/2006/relationships/hyperlink" Target="http://ufcstats.com/fight-details/856fab879c68ded7" TargetMode="External"/><Relationship Id="rId3249" Type="http://schemas.openxmlformats.org/officeDocument/2006/relationships/hyperlink" Target="http://ufcstats.com/fight-details/3e020d62796a7ce3" TargetMode="External"/><Relationship Id="rId3456" Type="http://schemas.openxmlformats.org/officeDocument/2006/relationships/hyperlink" Target="http://ufcstats.com/fight-details/44c6d87116bb3a10" TargetMode="External"/><Relationship Id="rId377" Type="http://schemas.openxmlformats.org/officeDocument/2006/relationships/hyperlink" Target="http://ufcstats.com/fight-details/80f65ee9b6f8d63b" TargetMode="External"/><Relationship Id="rId584" Type="http://schemas.openxmlformats.org/officeDocument/2006/relationships/hyperlink" Target="http://ufcstats.com/fight-details/e1930496b33fa636" TargetMode="External"/><Relationship Id="rId2058" Type="http://schemas.openxmlformats.org/officeDocument/2006/relationships/hyperlink" Target="http://ufcstats.com/fight-details/acf658afda38d8af" TargetMode="External"/><Relationship Id="rId2265" Type="http://schemas.openxmlformats.org/officeDocument/2006/relationships/hyperlink" Target="http://ufcstats.com/fight-details/f930743af6564795" TargetMode="External"/><Relationship Id="rId3109" Type="http://schemas.openxmlformats.org/officeDocument/2006/relationships/hyperlink" Target="http://ufcstats.com/fight-details/ff389a4326fc9255" TargetMode="External"/><Relationship Id="rId3663" Type="http://schemas.openxmlformats.org/officeDocument/2006/relationships/hyperlink" Target="http://ufcstats.com/fight-details/e492dc60d8e44866" TargetMode="External"/><Relationship Id="rId3870" Type="http://schemas.openxmlformats.org/officeDocument/2006/relationships/hyperlink" Target="http://ufcstats.com/fight-details/8b9e9f283e76b429" TargetMode="External"/><Relationship Id="rId237" Type="http://schemas.openxmlformats.org/officeDocument/2006/relationships/hyperlink" Target="http://ufcstats.com/fight-details/3109d1151f149aaf" TargetMode="External"/><Relationship Id="rId791" Type="http://schemas.openxmlformats.org/officeDocument/2006/relationships/hyperlink" Target="http://ufcstats.com/fight-details/3ac61bcb406e1a0c" TargetMode="External"/><Relationship Id="rId1074" Type="http://schemas.openxmlformats.org/officeDocument/2006/relationships/hyperlink" Target="http://ufcstats.com/fight-details/dbb5d682a2d7f584" TargetMode="External"/><Relationship Id="rId2472" Type="http://schemas.openxmlformats.org/officeDocument/2006/relationships/hyperlink" Target="http://ufcstats.com/fight-details/c64c2ca5d4d2c7b8" TargetMode="External"/><Relationship Id="rId3316" Type="http://schemas.openxmlformats.org/officeDocument/2006/relationships/hyperlink" Target="http://ufcstats.com/fight-details/23b943e9ce495f0b" TargetMode="External"/><Relationship Id="rId3523" Type="http://schemas.openxmlformats.org/officeDocument/2006/relationships/hyperlink" Target="http://ufcstats.com/fight-details/ad5ef8d8678ff97f" TargetMode="External"/><Relationship Id="rId3730" Type="http://schemas.openxmlformats.org/officeDocument/2006/relationships/hyperlink" Target="http://ufcstats.com/fight-details/37fda56a435a9b24" TargetMode="External"/><Relationship Id="rId444" Type="http://schemas.openxmlformats.org/officeDocument/2006/relationships/hyperlink" Target="http://ufcstats.com/fight-details/c816a969cb001168" TargetMode="External"/><Relationship Id="rId651" Type="http://schemas.openxmlformats.org/officeDocument/2006/relationships/hyperlink" Target="http://ufcstats.com/fight-details/eb4e9ec015533ab4" TargetMode="External"/><Relationship Id="rId1281" Type="http://schemas.openxmlformats.org/officeDocument/2006/relationships/hyperlink" Target="http://ufcstats.com/fight-details/49ede01b061cfae3" TargetMode="External"/><Relationship Id="rId2125" Type="http://schemas.openxmlformats.org/officeDocument/2006/relationships/hyperlink" Target="http://ufcstats.com/fight-details/7ac4b9823b1e139b" TargetMode="External"/><Relationship Id="rId2332" Type="http://schemas.openxmlformats.org/officeDocument/2006/relationships/hyperlink" Target="http://ufcstats.com/fight-details/23a604f460289271" TargetMode="External"/><Relationship Id="rId304" Type="http://schemas.openxmlformats.org/officeDocument/2006/relationships/hyperlink" Target="http://ufcstats.com/fight-details/a9d8ddb49dbe414b" TargetMode="External"/><Relationship Id="rId511" Type="http://schemas.openxmlformats.org/officeDocument/2006/relationships/hyperlink" Target="http://ufcstats.com/fight-details/3f76035e52e8819b" TargetMode="External"/><Relationship Id="rId1141" Type="http://schemas.openxmlformats.org/officeDocument/2006/relationships/hyperlink" Target="http://ufcstats.com/fight-details/6068385c48de6801" TargetMode="External"/><Relationship Id="rId4297" Type="http://schemas.openxmlformats.org/officeDocument/2006/relationships/hyperlink" Target="http://ufcstats.com/fight-details/8ebd6e9d41a51e31" TargetMode="External"/><Relationship Id="rId1001" Type="http://schemas.openxmlformats.org/officeDocument/2006/relationships/hyperlink" Target="http://ufcstats.com/fight-details/4ba97e13df33388b" TargetMode="External"/><Relationship Id="rId4157" Type="http://schemas.openxmlformats.org/officeDocument/2006/relationships/hyperlink" Target="http://ufcstats.com/fight-details/4f3cd94861c6a876" TargetMode="External"/><Relationship Id="rId4364" Type="http://schemas.openxmlformats.org/officeDocument/2006/relationships/hyperlink" Target="http://ufcstats.com/fight-details/0bf405dabb25251a" TargetMode="External"/><Relationship Id="rId1958" Type="http://schemas.openxmlformats.org/officeDocument/2006/relationships/hyperlink" Target="http://ufcstats.com/fight-details/80cb3cf9134b677c" TargetMode="External"/><Relationship Id="rId3173" Type="http://schemas.openxmlformats.org/officeDocument/2006/relationships/hyperlink" Target="http://ufcstats.com/fight-details/2f0cbf0502173a79" TargetMode="External"/><Relationship Id="rId3380" Type="http://schemas.openxmlformats.org/officeDocument/2006/relationships/hyperlink" Target="http://ufcstats.com/fight-details/9e1853861f58191f" TargetMode="External"/><Relationship Id="rId4017" Type="http://schemas.openxmlformats.org/officeDocument/2006/relationships/hyperlink" Target="http://ufcstats.com/fight-details/4661e9ca9354021e" TargetMode="External"/><Relationship Id="rId4224" Type="http://schemas.openxmlformats.org/officeDocument/2006/relationships/hyperlink" Target="http://ufcstats.com/fight-details/f20e742e6b0c0b3b" TargetMode="External"/><Relationship Id="rId4431" Type="http://schemas.openxmlformats.org/officeDocument/2006/relationships/hyperlink" Target="http://ufcstats.com/fight-details/52bc6927e80aca5d" TargetMode="External"/><Relationship Id="rId1818" Type="http://schemas.openxmlformats.org/officeDocument/2006/relationships/hyperlink" Target="http://ufcstats.com/fight-details/50e675146cda6e7c" TargetMode="External"/><Relationship Id="rId3033" Type="http://schemas.openxmlformats.org/officeDocument/2006/relationships/hyperlink" Target="http://ufcstats.com/fight-details/20dda78057d17a5a" TargetMode="External"/><Relationship Id="rId3240" Type="http://schemas.openxmlformats.org/officeDocument/2006/relationships/hyperlink" Target="http://ufcstats.com/fight-details/1b1d1900b4051344" TargetMode="External"/><Relationship Id="rId161" Type="http://schemas.openxmlformats.org/officeDocument/2006/relationships/hyperlink" Target="http://ufcstats.com/fight-details/8f5d5dd10a167cc0" TargetMode="External"/><Relationship Id="rId2799" Type="http://schemas.openxmlformats.org/officeDocument/2006/relationships/hyperlink" Target="http://ufcstats.com/fight-details/f682118709b4143e" TargetMode="External"/><Relationship Id="rId3100" Type="http://schemas.openxmlformats.org/officeDocument/2006/relationships/hyperlink" Target="http://ufcstats.com/fight-details/ca8f73d038c4d6e7" TargetMode="External"/><Relationship Id="rId978" Type="http://schemas.openxmlformats.org/officeDocument/2006/relationships/hyperlink" Target="http://ufcstats.com/fight-details/43682a646b9b956f" TargetMode="External"/><Relationship Id="rId2659" Type="http://schemas.openxmlformats.org/officeDocument/2006/relationships/hyperlink" Target="http://ufcstats.com/fight-details/bf41783b9446891e" TargetMode="External"/><Relationship Id="rId2866" Type="http://schemas.openxmlformats.org/officeDocument/2006/relationships/hyperlink" Target="http://ufcstats.com/fight-details/8104fe27bdc46914" TargetMode="External"/><Relationship Id="rId3917" Type="http://schemas.openxmlformats.org/officeDocument/2006/relationships/hyperlink" Target="http://ufcstats.com/fight-details/8adc6266a7c2fd40" TargetMode="External"/><Relationship Id="rId838" Type="http://schemas.openxmlformats.org/officeDocument/2006/relationships/hyperlink" Target="http://ufcstats.com/fight-details/abb6e2169ba580d2" TargetMode="External"/><Relationship Id="rId1468" Type="http://schemas.openxmlformats.org/officeDocument/2006/relationships/hyperlink" Target="http://ufcstats.com/fight-details/bf334cb4e63f3430" TargetMode="External"/><Relationship Id="rId1675" Type="http://schemas.openxmlformats.org/officeDocument/2006/relationships/hyperlink" Target="http://ufcstats.com/fight-details/860be3cc82895177" TargetMode="External"/><Relationship Id="rId1882" Type="http://schemas.openxmlformats.org/officeDocument/2006/relationships/hyperlink" Target="http://ufcstats.com/fight-details/640d52630f4f8a61" TargetMode="External"/><Relationship Id="rId2519" Type="http://schemas.openxmlformats.org/officeDocument/2006/relationships/hyperlink" Target="http://ufcstats.com/fight-details/323dc938d93a849b" TargetMode="External"/><Relationship Id="rId2726" Type="http://schemas.openxmlformats.org/officeDocument/2006/relationships/hyperlink" Target="http://ufcstats.com/fight-details/498766b46b8b4a7f" TargetMode="External"/><Relationship Id="rId4081" Type="http://schemas.openxmlformats.org/officeDocument/2006/relationships/hyperlink" Target="http://ufcstats.com/fight-details/35d0ef51fede263c" TargetMode="External"/><Relationship Id="rId1328" Type="http://schemas.openxmlformats.org/officeDocument/2006/relationships/hyperlink" Target="http://ufcstats.com/fight-details/4f42acd810ed5173" TargetMode="External"/><Relationship Id="rId1535" Type="http://schemas.openxmlformats.org/officeDocument/2006/relationships/hyperlink" Target="http://ufcstats.com/fight-details/06641a8c62e45661" TargetMode="External"/><Relationship Id="rId2933" Type="http://schemas.openxmlformats.org/officeDocument/2006/relationships/hyperlink" Target="http://ufcstats.com/fight-details/983fab4080743ed0" TargetMode="External"/><Relationship Id="rId905" Type="http://schemas.openxmlformats.org/officeDocument/2006/relationships/hyperlink" Target="http://ufcstats.com/fight-details/66ba984cc547e31a" TargetMode="External"/><Relationship Id="rId1742" Type="http://schemas.openxmlformats.org/officeDocument/2006/relationships/hyperlink" Target="http://ufcstats.com/fight-details/a5d2f0fed3ce2899" TargetMode="External"/><Relationship Id="rId34" Type="http://schemas.openxmlformats.org/officeDocument/2006/relationships/hyperlink" Target="http://ufcstats.com/fight-details/4c489b3c9d14cbc9" TargetMode="External"/><Relationship Id="rId1602" Type="http://schemas.openxmlformats.org/officeDocument/2006/relationships/hyperlink" Target="http://ufcstats.com/fight-details/dc6f69f923744948" TargetMode="External"/><Relationship Id="rId3567" Type="http://schemas.openxmlformats.org/officeDocument/2006/relationships/hyperlink" Target="http://ufcstats.com/fight-details/b6b5ec324449befd" TargetMode="External"/><Relationship Id="rId3774" Type="http://schemas.openxmlformats.org/officeDocument/2006/relationships/hyperlink" Target="http://ufcstats.com/fight-details/2dc48a745d6c662b" TargetMode="External"/><Relationship Id="rId3981" Type="http://schemas.openxmlformats.org/officeDocument/2006/relationships/hyperlink" Target="http://ufcstats.com/fight-details/e6ce8360ef43891c" TargetMode="External"/><Relationship Id="rId488" Type="http://schemas.openxmlformats.org/officeDocument/2006/relationships/hyperlink" Target="http://ufcstats.com/fight-details/ad59e2de1ab5c8d2" TargetMode="External"/><Relationship Id="rId695" Type="http://schemas.openxmlformats.org/officeDocument/2006/relationships/hyperlink" Target="http://ufcstats.com/fight-details/7b53967f282a0d0a" TargetMode="External"/><Relationship Id="rId2169" Type="http://schemas.openxmlformats.org/officeDocument/2006/relationships/hyperlink" Target="http://ufcstats.com/fight-details/dc4f7eaaa2c9d450" TargetMode="External"/><Relationship Id="rId2376" Type="http://schemas.openxmlformats.org/officeDocument/2006/relationships/hyperlink" Target="http://ufcstats.com/fight-details/cce5b9dfe84630fa" TargetMode="External"/><Relationship Id="rId2583" Type="http://schemas.openxmlformats.org/officeDocument/2006/relationships/hyperlink" Target="http://ufcstats.com/fight-details/1a95cc401f68f4c8" TargetMode="External"/><Relationship Id="rId2790" Type="http://schemas.openxmlformats.org/officeDocument/2006/relationships/hyperlink" Target="http://ufcstats.com/fight-details/7679c5ee3514e119" TargetMode="External"/><Relationship Id="rId3427" Type="http://schemas.openxmlformats.org/officeDocument/2006/relationships/hyperlink" Target="http://ufcstats.com/fight-details/1db121859d2fcda8" TargetMode="External"/><Relationship Id="rId3634" Type="http://schemas.openxmlformats.org/officeDocument/2006/relationships/hyperlink" Target="http://ufcstats.com/fight-details/543de77637ad2a20" TargetMode="External"/><Relationship Id="rId3841" Type="http://schemas.openxmlformats.org/officeDocument/2006/relationships/hyperlink" Target="http://ufcstats.com/fight-details/1ba282da76ca82ad" TargetMode="External"/><Relationship Id="rId348" Type="http://schemas.openxmlformats.org/officeDocument/2006/relationships/hyperlink" Target="http://ufcstats.com/fight-details/9a678f346946b6a4" TargetMode="External"/><Relationship Id="rId555" Type="http://schemas.openxmlformats.org/officeDocument/2006/relationships/hyperlink" Target="http://ufcstats.com/fight-details/786296db3c4749f1" TargetMode="External"/><Relationship Id="rId762" Type="http://schemas.openxmlformats.org/officeDocument/2006/relationships/hyperlink" Target="http://ufcstats.com/fight-details/43e416795dbd10e9" TargetMode="External"/><Relationship Id="rId1185" Type="http://schemas.openxmlformats.org/officeDocument/2006/relationships/hyperlink" Target="http://ufcstats.com/fight-details/6486579eee778b4d" TargetMode="External"/><Relationship Id="rId1392" Type="http://schemas.openxmlformats.org/officeDocument/2006/relationships/hyperlink" Target="http://ufcstats.com/fight-details/2a2b00e9bfd089cc" TargetMode="External"/><Relationship Id="rId2029" Type="http://schemas.openxmlformats.org/officeDocument/2006/relationships/hyperlink" Target="http://ufcstats.com/fight-details/99dbe9669f31ed91" TargetMode="External"/><Relationship Id="rId2236" Type="http://schemas.openxmlformats.org/officeDocument/2006/relationships/hyperlink" Target="http://ufcstats.com/fight-details/692241119228cc82" TargetMode="External"/><Relationship Id="rId2443" Type="http://schemas.openxmlformats.org/officeDocument/2006/relationships/hyperlink" Target="http://ufcstats.com/fight-details/5ea39e0fc3b64e83" TargetMode="External"/><Relationship Id="rId2650" Type="http://schemas.openxmlformats.org/officeDocument/2006/relationships/hyperlink" Target="http://ufcstats.com/fight-details/b1da312483a974b3" TargetMode="External"/><Relationship Id="rId3701" Type="http://schemas.openxmlformats.org/officeDocument/2006/relationships/hyperlink" Target="http://ufcstats.com/fight-details/64756e0f4b305da8" TargetMode="External"/><Relationship Id="rId208" Type="http://schemas.openxmlformats.org/officeDocument/2006/relationships/hyperlink" Target="http://ufcstats.com/fight-details/dc169cc01d675125" TargetMode="External"/><Relationship Id="rId415" Type="http://schemas.openxmlformats.org/officeDocument/2006/relationships/hyperlink" Target="http://ufcstats.com/fight-details/509519d82e906c0f" TargetMode="External"/><Relationship Id="rId622" Type="http://schemas.openxmlformats.org/officeDocument/2006/relationships/hyperlink" Target="http://ufcstats.com/fight-details/8693027377658e61" TargetMode="External"/><Relationship Id="rId1045" Type="http://schemas.openxmlformats.org/officeDocument/2006/relationships/hyperlink" Target="http://ufcstats.com/fight-details/5704e73f91b9e7f7" TargetMode="External"/><Relationship Id="rId1252" Type="http://schemas.openxmlformats.org/officeDocument/2006/relationships/hyperlink" Target="http://ufcstats.com/fight-details/b96c8fef6c9f92db" TargetMode="External"/><Relationship Id="rId2303" Type="http://schemas.openxmlformats.org/officeDocument/2006/relationships/hyperlink" Target="http://ufcstats.com/fight-details/4e566db7d26df001" TargetMode="External"/><Relationship Id="rId2510" Type="http://schemas.openxmlformats.org/officeDocument/2006/relationships/hyperlink" Target="http://ufcstats.com/fight-details/7c8701bb78cb4de8" TargetMode="External"/><Relationship Id="rId1112" Type="http://schemas.openxmlformats.org/officeDocument/2006/relationships/hyperlink" Target="http://ufcstats.com/fight-details/0da0dc2c7eb29f58" TargetMode="External"/><Relationship Id="rId4268" Type="http://schemas.openxmlformats.org/officeDocument/2006/relationships/hyperlink" Target="http://ufcstats.com/fight-details/88455c967a7ef6fc" TargetMode="External"/><Relationship Id="rId3077" Type="http://schemas.openxmlformats.org/officeDocument/2006/relationships/hyperlink" Target="http://ufcstats.com/fight-details/9f96d11017f9c824" TargetMode="External"/><Relationship Id="rId3284" Type="http://schemas.openxmlformats.org/officeDocument/2006/relationships/hyperlink" Target="http://ufcstats.com/fight-details/46b9acec12a35d37" TargetMode="External"/><Relationship Id="rId4128" Type="http://schemas.openxmlformats.org/officeDocument/2006/relationships/hyperlink" Target="http://ufcstats.com/fight-details/55b53fdad307b708" TargetMode="External"/><Relationship Id="rId1929" Type="http://schemas.openxmlformats.org/officeDocument/2006/relationships/hyperlink" Target="http://ufcstats.com/fight-details/52e4f12eaeffd142" TargetMode="External"/><Relationship Id="rId2093" Type="http://schemas.openxmlformats.org/officeDocument/2006/relationships/hyperlink" Target="http://ufcstats.com/fight-details/f56c6646b54c0662" TargetMode="External"/><Relationship Id="rId3491" Type="http://schemas.openxmlformats.org/officeDocument/2006/relationships/hyperlink" Target="http://ufcstats.com/fight-details/cd117bfce747184f" TargetMode="External"/><Relationship Id="rId4335" Type="http://schemas.openxmlformats.org/officeDocument/2006/relationships/hyperlink" Target="http://ufcstats.com/fight-details/b7f6d05d3afbb266" TargetMode="External"/><Relationship Id="rId3144" Type="http://schemas.openxmlformats.org/officeDocument/2006/relationships/hyperlink" Target="http://ufcstats.com/fight-details/3278e45b30f7dd33" TargetMode="External"/><Relationship Id="rId3351" Type="http://schemas.openxmlformats.org/officeDocument/2006/relationships/hyperlink" Target="http://ufcstats.com/fight-details/c8dfcbee63266273" TargetMode="External"/><Relationship Id="rId4402" Type="http://schemas.openxmlformats.org/officeDocument/2006/relationships/hyperlink" Target="http://ufcstats.com/fight-details/ca2aa660bea0cb60" TargetMode="External"/><Relationship Id="rId272" Type="http://schemas.openxmlformats.org/officeDocument/2006/relationships/hyperlink" Target="http://ufcstats.com/fight-details/2c160a1d1fdbf0b0" TargetMode="External"/><Relationship Id="rId2160" Type="http://schemas.openxmlformats.org/officeDocument/2006/relationships/hyperlink" Target="http://ufcstats.com/fight-details/b810951e39a0af1b" TargetMode="External"/><Relationship Id="rId3004" Type="http://schemas.openxmlformats.org/officeDocument/2006/relationships/hyperlink" Target="http://ufcstats.com/fight-details/de32c5a78aaf89e9" TargetMode="External"/><Relationship Id="rId3211" Type="http://schemas.openxmlformats.org/officeDocument/2006/relationships/hyperlink" Target="http://ufcstats.com/fight-details/86d57e8ef2191316" TargetMode="External"/><Relationship Id="rId132" Type="http://schemas.openxmlformats.org/officeDocument/2006/relationships/hyperlink" Target="http://ufcstats.com/fight-details/3d75081ce43774ca" TargetMode="External"/><Relationship Id="rId2020" Type="http://schemas.openxmlformats.org/officeDocument/2006/relationships/hyperlink" Target="http://ufcstats.com/fight-details/58c5d506181812fa" TargetMode="External"/><Relationship Id="rId1579" Type="http://schemas.openxmlformats.org/officeDocument/2006/relationships/hyperlink" Target="http://ufcstats.com/fight-details/c63edd25d2201a46" TargetMode="External"/><Relationship Id="rId2977" Type="http://schemas.openxmlformats.org/officeDocument/2006/relationships/hyperlink" Target="http://ufcstats.com/fight-details/38b6ef176439c39b" TargetMode="External"/><Relationship Id="rId4192" Type="http://schemas.openxmlformats.org/officeDocument/2006/relationships/hyperlink" Target="http://ufcstats.com/fight-details/ed8fb10b596e6fa4" TargetMode="External"/><Relationship Id="rId949" Type="http://schemas.openxmlformats.org/officeDocument/2006/relationships/hyperlink" Target="http://ufcstats.com/fight-details/cdf048ec9b917cfa" TargetMode="External"/><Relationship Id="rId1786" Type="http://schemas.openxmlformats.org/officeDocument/2006/relationships/hyperlink" Target="http://ufcstats.com/fight-details/e1100fc357e61fba" TargetMode="External"/><Relationship Id="rId1993" Type="http://schemas.openxmlformats.org/officeDocument/2006/relationships/hyperlink" Target="http://ufcstats.com/fight-details/144cd3f62591a5fb" TargetMode="External"/><Relationship Id="rId2837" Type="http://schemas.openxmlformats.org/officeDocument/2006/relationships/hyperlink" Target="http://ufcstats.com/fight-details/52db9c816eb99800" TargetMode="External"/><Relationship Id="rId4052" Type="http://schemas.openxmlformats.org/officeDocument/2006/relationships/hyperlink" Target="http://ufcstats.com/fight-details/fc2a30bfb760bdf8" TargetMode="External"/><Relationship Id="rId78" Type="http://schemas.openxmlformats.org/officeDocument/2006/relationships/hyperlink" Target="http://ufcstats.com/fight-details/477c3b9de012e4b3" TargetMode="External"/><Relationship Id="rId809" Type="http://schemas.openxmlformats.org/officeDocument/2006/relationships/hyperlink" Target="http://ufcstats.com/fight-details/f0fe73e650b746f2" TargetMode="External"/><Relationship Id="rId1439" Type="http://schemas.openxmlformats.org/officeDocument/2006/relationships/hyperlink" Target="http://ufcstats.com/fight-details/1a66e67add5d55ef" TargetMode="External"/><Relationship Id="rId1646" Type="http://schemas.openxmlformats.org/officeDocument/2006/relationships/hyperlink" Target="http://ufcstats.com/fight-details/01619207a811ef01" TargetMode="External"/><Relationship Id="rId1853" Type="http://schemas.openxmlformats.org/officeDocument/2006/relationships/hyperlink" Target="http://ufcstats.com/fight-details/45500515780758f0" TargetMode="External"/><Relationship Id="rId2904" Type="http://schemas.openxmlformats.org/officeDocument/2006/relationships/hyperlink" Target="http://ufcstats.com/fight-details/039c645e8f3ac00f" TargetMode="External"/><Relationship Id="rId1506" Type="http://schemas.openxmlformats.org/officeDocument/2006/relationships/hyperlink" Target="http://ufcstats.com/fight-details/762de3b0b32ba937" TargetMode="External"/><Relationship Id="rId1713" Type="http://schemas.openxmlformats.org/officeDocument/2006/relationships/hyperlink" Target="http://ufcstats.com/fight-details/0d1d7cfb2a48d5ec" TargetMode="External"/><Relationship Id="rId1920" Type="http://schemas.openxmlformats.org/officeDocument/2006/relationships/hyperlink" Target="http://ufcstats.com/fight-details/bed2710e06dabe6a" TargetMode="External"/><Relationship Id="rId3678" Type="http://schemas.openxmlformats.org/officeDocument/2006/relationships/hyperlink" Target="http://ufcstats.com/fight-details/815fd4ebdc288e83" TargetMode="External"/><Relationship Id="rId3885" Type="http://schemas.openxmlformats.org/officeDocument/2006/relationships/hyperlink" Target="http://ufcstats.com/fight-details/fb34734f84d0a14d" TargetMode="External"/><Relationship Id="rId599" Type="http://schemas.openxmlformats.org/officeDocument/2006/relationships/hyperlink" Target="http://ufcstats.com/fight-details/069ab7e7b8b5d262" TargetMode="External"/><Relationship Id="rId2487" Type="http://schemas.openxmlformats.org/officeDocument/2006/relationships/hyperlink" Target="http://ufcstats.com/fight-details/4341ebb5a56e6943" TargetMode="External"/><Relationship Id="rId2694" Type="http://schemas.openxmlformats.org/officeDocument/2006/relationships/hyperlink" Target="http://ufcstats.com/fight-details/3daf1c5fb854e626" TargetMode="External"/><Relationship Id="rId3538" Type="http://schemas.openxmlformats.org/officeDocument/2006/relationships/hyperlink" Target="http://ufcstats.com/fight-details/edac9fd482177a64" TargetMode="External"/><Relationship Id="rId3745" Type="http://schemas.openxmlformats.org/officeDocument/2006/relationships/hyperlink" Target="http://ufcstats.com/fight-details/5b062be91c65fb73" TargetMode="External"/><Relationship Id="rId459" Type="http://schemas.openxmlformats.org/officeDocument/2006/relationships/hyperlink" Target="http://ufcstats.com/fight-details/df370b97ea49e6b4" TargetMode="External"/><Relationship Id="rId666" Type="http://schemas.openxmlformats.org/officeDocument/2006/relationships/hyperlink" Target="http://ufcstats.com/fight-details/76b9a338597fc604" TargetMode="External"/><Relationship Id="rId873" Type="http://schemas.openxmlformats.org/officeDocument/2006/relationships/hyperlink" Target="http://ufcstats.com/fight-details/022bdd58cc6e571d" TargetMode="External"/><Relationship Id="rId1089" Type="http://schemas.openxmlformats.org/officeDocument/2006/relationships/hyperlink" Target="http://ufcstats.com/fight-details/469fba0129c95278" TargetMode="External"/><Relationship Id="rId1296" Type="http://schemas.openxmlformats.org/officeDocument/2006/relationships/hyperlink" Target="http://ufcstats.com/fight-details/93026443e5140415" TargetMode="External"/><Relationship Id="rId2347" Type="http://schemas.openxmlformats.org/officeDocument/2006/relationships/hyperlink" Target="http://ufcstats.com/fight-details/534c07488396e124" TargetMode="External"/><Relationship Id="rId2554" Type="http://schemas.openxmlformats.org/officeDocument/2006/relationships/hyperlink" Target="http://ufcstats.com/fight-details/5b2835ac76f05993" TargetMode="External"/><Relationship Id="rId3952" Type="http://schemas.openxmlformats.org/officeDocument/2006/relationships/hyperlink" Target="http://ufcstats.com/fight-details/6b532f492e98d22f" TargetMode="External"/><Relationship Id="rId319" Type="http://schemas.openxmlformats.org/officeDocument/2006/relationships/hyperlink" Target="http://ufcstats.com/fight-details/43c391b251337c9b" TargetMode="External"/><Relationship Id="rId526" Type="http://schemas.openxmlformats.org/officeDocument/2006/relationships/hyperlink" Target="http://ufcstats.com/fight-details/32375b4435fea5e6" TargetMode="External"/><Relationship Id="rId1156" Type="http://schemas.openxmlformats.org/officeDocument/2006/relationships/hyperlink" Target="http://ufcstats.com/fight-details/5a5a65d8df176506" TargetMode="External"/><Relationship Id="rId1363" Type="http://schemas.openxmlformats.org/officeDocument/2006/relationships/hyperlink" Target="http://ufcstats.com/fight-details/5f6b8e48e7d3b66f" TargetMode="External"/><Relationship Id="rId2207" Type="http://schemas.openxmlformats.org/officeDocument/2006/relationships/hyperlink" Target="http://ufcstats.com/fight-details/390694c179f05c7f" TargetMode="External"/><Relationship Id="rId2761" Type="http://schemas.openxmlformats.org/officeDocument/2006/relationships/hyperlink" Target="http://ufcstats.com/fight-details/9900550cc697eef2" TargetMode="External"/><Relationship Id="rId3605" Type="http://schemas.openxmlformats.org/officeDocument/2006/relationships/hyperlink" Target="http://ufcstats.com/fight-details/b91756d955e14d2e" TargetMode="External"/><Relationship Id="rId3812" Type="http://schemas.openxmlformats.org/officeDocument/2006/relationships/hyperlink" Target="http://ufcstats.com/fight-details/25da6035f591c245" TargetMode="External"/><Relationship Id="rId733" Type="http://schemas.openxmlformats.org/officeDocument/2006/relationships/hyperlink" Target="http://ufcstats.com/fight-details/f597d2e69ab7c270" TargetMode="External"/><Relationship Id="rId940" Type="http://schemas.openxmlformats.org/officeDocument/2006/relationships/hyperlink" Target="http://ufcstats.com/fight-details/173d576e6247a88a" TargetMode="External"/><Relationship Id="rId1016" Type="http://schemas.openxmlformats.org/officeDocument/2006/relationships/hyperlink" Target="http://ufcstats.com/fight-details/01f262b68a6a2223" TargetMode="External"/><Relationship Id="rId1570" Type="http://schemas.openxmlformats.org/officeDocument/2006/relationships/hyperlink" Target="http://ufcstats.com/fight-details/ee278a5a25744cac" TargetMode="External"/><Relationship Id="rId2414" Type="http://schemas.openxmlformats.org/officeDocument/2006/relationships/hyperlink" Target="http://ufcstats.com/fight-details/673a156925dfb31d" TargetMode="External"/><Relationship Id="rId2621" Type="http://schemas.openxmlformats.org/officeDocument/2006/relationships/hyperlink" Target="http://ufcstats.com/fight-details/ffd8e8575a551875" TargetMode="External"/><Relationship Id="rId800" Type="http://schemas.openxmlformats.org/officeDocument/2006/relationships/hyperlink" Target="http://ufcstats.com/fight-details/aec1339028f3416c" TargetMode="External"/><Relationship Id="rId1223" Type="http://schemas.openxmlformats.org/officeDocument/2006/relationships/hyperlink" Target="http://ufcstats.com/fight-details/49749ee78bc54a48" TargetMode="External"/><Relationship Id="rId1430" Type="http://schemas.openxmlformats.org/officeDocument/2006/relationships/hyperlink" Target="http://ufcstats.com/fight-details/ae989e21c3839b49" TargetMode="External"/><Relationship Id="rId4379" Type="http://schemas.openxmlformats.org/officeDocument/2006/relationships/hyperlink" Target="http://ufcstats.com/fight-details/5475f5b6bad40989" TargetMode="External"/><Relationship Id="rId3188" Type="http://schemas.openxmlformats.org/officeDocument/2006/relationships/hyperlink" Target="http://ufcstats.com/fight-details/43a941e005a2d463" TargetMode="External"/><Relationship Id="rId3395" Type="http://schemas.openxmlformats.org/officeDocument/2006/relationships/hyperlink" Target="http://ufcstats.com/fight-details/424a20da52b4f956" TargetMode="External"/><Relationship Id="rId4239" Type="http://schemas.openxmlformats.org/officeDocument/2006/relationships/hyperlink" Target="http://ufcstats.com/fight-details/4915c8a588513c22" TargetMode="External"/><Relationship Id="rId4446" Type="http://schemas.openxmlformats.org/officeDocument/2006/relationships/hyperlink" Target="http://ufcstats.com/fight-details/c2f730cb33df5221" TargetMode="External"/><Relationship Id="rId3048" Type="http://schemas.openxmlformats.org/officeDocument/2006/relationships/hyperlink" Target="http://ufcstats.com/fight-details/b1eff235241e719b" TargetMode="External"/><Relationship Id="rId3255" Type="http://schemas.openxmlformats.org/officeDocument/2006/relationships/hyperlink" Target="http://ufcstats.com/fight-details/e8f499827178a321" TargetMode="External"/><Relationship Id="rId3462" Type="http://schemas.openxmlformats.org/officeDocument/2006/relationships/hyperlink" Target="http://ufcstats.com/fight-details/2a702055a79d95a7" TargetMode="External"/><Relationship Id="rId4306" Type="http://schemas.openxmlformats.org/officeDocument/2006/relationships/hyperlink" Target="http://ufcstats.com/fight-details/c300085cc08357b5" TargetMode="External"/><Relationship Id="rId176" Type="http://schemas.openxmlformats.org/officeDocument/2006/relationships/hyperlink" Target="http://ufcstats.com/fight-details/8e43d61ca6f2d904" TargetMode="External"/><Relationship Id="rId383" Type="http://schemas.openxmlformats.org/officeDocument/2006/relationships/hyperlink" Target="http://ufcstats.com/fight-details/cb2844bb15d22cc6" TargetMode="External"/><Relationship Id="rId590" Type="http://schemas.openxmlformats.org/officeDocument/2006/relationships/hyperlink" Target="http://ufcstats.com/fight-details/1b0d5e65fdfc62cf" TargetMode="External"/><Relationship Id="rId2064" Type="http://schemas.openxmlformats.org/officeDocument/2006/relationships/hyperlink" Target="http://ufcstats.com/fight-details/975159720cfd0103" TargetMode="External"/><Relationship Id="rId2271" Type="http://schemas.openxmlformats.org/officeDocument/2006/relationships/hyperlink" Target="http://ufcstats.com/fight-details/b7ff74563d034519" TargetMode="External"/><Relationship Id="rId3115" Type="http://schemas.openxmlformats.org/officeDocument/2006/relationships/hyperlink" Target="http://ufcstats.com/fight-details/f079cb2db8dbbf04" TargetMode="External"/><Relationship Id="rId3322" Type="http://schemas.openxmlformats.org/officeDocument/2006/relationships/hyperlink" Target="http://ufcstats.com/fight-details/357c5b86ec83b826" TargetMode="External"/><Relationship Id="rId243" Type="http://schemas.openxmlformats.org/officeDocument/2006/relationships/hyperlink" Target="http://ufcstats.com/fight-details/69b147aaaafeb47d" TargetMode="External"/><Relationship Id="rId450" Type="http://schemas.openxmlformats.org/officeDocument/2006/relationships/hyperlink" Target="http://ufcstats.com/fight-details/918c2efc59c1952e" TargetMode="External"/><Relationship Id="rId1080" Type="http://schemas.openxmlformats.org/officeDocument/2006/relationships/hyperlink" Target="http://ufcstats.com/fight-details/1a2d13834696c4ab" TargetMode="External"/><Relationship Id="rId2131" Type="http://schemas.openxmlformats.org/officeDocument/2006/relationships/hyperlink" Target="http://ufcstats.com/fight-details/a71febed166b7d42" TargetMode="External"/><Relationship Id="rId103" Type="http://schemas.openxmlformats.org/officeDocument/2006/relationships/hyperlink" Target="http://ufcstats.com/fight-details/96d4fe315722d1c1" TargetMode="External"/><Relationship Id="rId310" Type="http://schemas.openxmlformats.org/officeDocument/2006/relationships/hyperlink" Target="http://ufcstats.com/fight-details/3e0090669d51415f" TargetMode="External"/><Relationship Id="rId4096" Type="http://schemas.openxmlformats.org/officeDocument/2006/relationships/hyperlink" Target="http://ufcstats.com/fight-details/8d70694ceeb0dc9a" TargetMode="External"/><Relationship Id="rId1897" Type="http://schemas.openxmlformats.org/officeDocument/2006/relationships/hyperlink" Target="http://ufcstats.com/fight-details/8b8f9485214f9e48" TargetMode="External"/><Relationship Id="rId2948" Type="http://schemas.openxmlformats.org/officeDocument/2006/relationships/hyperlink" Target="http://ufcstats.com/fight-details/ebb685a81f65ce1b" TargetMode="External"/><Relationship Id="rId1757" Type="http://schemas.openxmlformats.org/officeDocument/2006/relationships/hyperlink" Target="http://ufcstats.com/fight-details/95f37dc43e808ebf" TargetMode="External"/><Relationship Id="rId1964" Type="http://schemas.openxmlformats.org/officeDocument/2006/relationships/hyperlink" Target="http://ufcstats.com/fight-details/efdad54c8550e6e0" TargetMode="External"/><Relationship Id="rId2808" Type="http://schemas.openxmlformats.org/officeDocument/2006/relationships/hyperlink" Target="http://ufcstats.com/fight-details/476c31184332698e" TargetMode="External"/><Relationship Id="rId4163" Type="http://schemas.openxmlformats.org/officeDocument/2006/relationships/hyperlink" Target="http://ufcstats.com/fight-details/1b650c76387c0f4b" TargetMode="External"/><Relationship Id="rId4370" Type="http://schemas.openxmlformats.org/officeDocument/2006/relationships/hyperlink" Target="http://ufcstats.com/fight-details/e2b4130c7b1ff8bc" TargetMode="External"/><Relationship Id="rId49" Type="http://schemas.openxmlformats.org/officeDocument/2006/relationships/hyperlink" Target="http://ufcstats.com/fight-details/637f561cd731fb44" TargetMode="External"/><Relationship Id="rId1617" Type="http://schemas.openxmlformats.org/officeDocument/2006/relationships/hyperlink" Target="http://ufcstats.com/fight-details/cd5d9828b278181a" TargetMode="External"/><Relationship Id="rId1824" Type="http://schemas.openxmlformats.org/officeDocument/2006/relationships/hyperlink" Target="http://ufcstats.com/fight-details/934c967872f28b13" TargetMode="External"/><Relationship Id="rId4023" Type="http://schemas.openxmlformats.org/officeDocument/2006/relationships/hyperlink" Target="http://ufcstats.com/fight-details/cc4fcfede19bc196" TargetMode="External"/><Relationship Id="rId4230" Type="http://schemas.openxmlformats.org/officeDocument/2006/relationships/hyperlink" Target="http://ufcstats.com/fight-details/37cdf5bd5c975a5d" TargetMode="External"/><Relationship Id="rId3789" Type="http://schemas.openxmlformats.org/officeDocument/2006/relationships/hyperlink" Target="http://ufcstats.com/fight-details/bb0770ead53940f5" TargetMode="External"/><Relationship Id="rId2598" Type="http://schemas.openxmlformats.org/officeDocument/2006/relationships/hyperlink" Target="http://ufcstats.com/fight-details/2de6652160cc7b9f" TargetMode="External"/><Relationship Id="rId3996" Type="http://schemas.openxmlformats.org/officeDocument/2006/relationships/hyperlink" Target="http://ufcstats.com/fight-details/fad150a0288efbd7" TargetMode="External"/><Relationship Id="rId3649" Type="http://schemas.openxmlformats.org/officeDocument/2006/relationships/hyperlink" Target="http://ufcstats.com/fight-details/c5865afc31cb6c59" TargetMode="External"/><Relationship Id="rId3856" Type="http://schemas.openxmlformats.org/officeDocument/2006/relationships/hyperlink" Target="http://ufcstats.com/fight-details/dcfbbebc0aee6ded" TargetMode="External"/><Relationship Id="rId777" Type="http://schemas.openxmlformats.org/officeDocument/2006/relationships/hyperlink" Target="http://ufcstats.com/fight-details/0452dd001f4adb6e" TargetMode="External"/><Relationship Id="rId984" Type="http://schemas.openxmlformats.org/officeDocument/2006/relationships/hyperlink" Target="http://ufcstats.com/fight-details/ff64fc34065565d0" TargetMode="External"/><Relationship Id="rId2458" Type="http://schemas.openxmlformats.org/officeDocument/2006/relationships/hyperlink" Target="http://ufcstats.com/fight-details/e4620f3fa451a3a4" TargetMode="External"/><Relationship Id="rId2665" Type="http://schemas.openxmlformats.org/officeDocument/2006/relationships/hyperlink" Target="http://ufcstats.com/fight-details/20bbf7e139c73e8d" TargetMode="External"/><Relationship Id="rId2872" Type="http://schemas.openxmlformats.org/officeDocument/2006/relationships/hyperlink" Target="http://ufcstats.com/fight-details/70ab91b37be75408" TargetMode="External"/><Relationship Id="rId3509" Type="http://schemas.openxmlformats.org/officeDocument/2006/relationships/hyperlink" Target="http://ufcstats.com/fight-details/f3bebb48771a414a" TargetMode="External"/><Relationship Id="rId3716" Type="http://schemas.openxmlformats.org/officeDocument/2006/relationships/hyperlink" Target="http://ufcstats.com/fight-details/e76227f395b94e47" TargetMode="External"/><Relationship Id="rId3923" Type="http://schemas.openxmlformats.org/officeDocument/2006/relationships/hyperlink" Target="http://ufcstats.com/fight-details/92d39a17e34cf581" TargetMode="External"/><Relationship Id="rId637" Type="http://schemas.openxmlformats.org/officeDocument/2006/relationships/hyperlink" Target="http://ufcstats.com/fight-details/ae0afbff5ba07a34" TargetMode="External"/><Relationship Id="rId844" Type="http://schemas.openxmlformats.org/officeDocument/2006/relationships/hyperlink" Target="http://ufcstats.com/fight-details/bd0622b184ab4f28" TargetMode="External"/><Relationship Id="rId1267" Type="http://schemas.openxmlformats.org/officeDocument/2006/relationships/hyperlink" Target="http://ufcstats.com/fight-details/f99ee57f75b20b69" TargetMode="External"/><Relationship Id="rId1474" Type="http://schemas.openxmlformats.org/officeDocument/2006/relationships/hyperlink" Target="http://ufcstats.com/fight-details/f7fd4b82e827c9c4" TargetMode="External"/><Relationship Id="rId1681" Type="http://schemas.openxmlformats.org/officeDocument/2006/relationships/hyperlink" Target="http://ufcstats.com/fight-details/79be3a6d483ad64a" TargetMode="External"/><Relationship Id="rId2318" Type="http://schemas.openxmlformats.org/officeDocument/2006/relationships/hyperlink" Target="http://ufcstats.com/fight-details/c27e33ee8ef53866" TargetMode="External"/><Relationship Id="rId2525" Type="http://schemas.openxmlformats.org/officeDocument/2006/relationships/hyperlink" Target="http://ufcstats.com/fight-details/633fbb0894c002d2" TargetMode="External"/><Relationship Id="rId2732" Type="http://schemas.openxmlformats.org/officeDocument/2006/relationships/hyperlink" Target="http://ufcstats.com/fight-details/7ad6511fb5fb28a4" TargetMode="External"/><Relationship Id="rId704" Type="http://schemas.openxmlformats.org/officeDocument/2006/relationships/hyperlink" Target="http://ufcstats.com/fight-details/0a4247ba4ae1cca5" TargetMode="External"/><Relationship Id="rId911" Type="http://schemas.openxmlformats.org/officeDocument/2006/relationships/hyperlink" Target="http://ufcstats.com/fight-details/3b536afcc9098925" TargetMode="External"/><Relationship Id="rId1127" Type="http://schemas.openxmlformats.org/officeDocument/2006/relationships/hyperlink" Target="http://ufcstats.com/fight-details/9f56b3c053c44060" TargetMode="External"/><Relationship Id="rId1334" Type="http://schemas.openxmlformats.org/officeDocument/2006/relationships/hyperlink" Target="http://ufcstats.com/fight-details/bfb7d17161aec938" TargetMode="External"/><Relationship Id="rId1541" Type="http://schemas.openxmlformats.org/officeDocument/2006/relationships/hyperlink" Target="http://ufcstats.com/fight-details/1b4d0c9e3c59b33b" TargetMode="External"/><Relationship Id="rId40" Type="http://schemas.openxmlformats.org/officeDocument/2006/relationships/hyperlink" Target="http://ufcstats.com/fight-details/65223fa6055df489" TargetMode="External"/><Relationship Id="rId1401" Type="http://schemas.openxmlformats.org/officeDocument/2006/relationships/hyperlink" Target="http://ufcstats.com/fight-details/9d2f46b677246e41" TargetMode="External"/><Relationship Id="rId3299" Type="http://schemas.openxmlformats.org/officeDocument/2006/relationships/hyperlink" Target="http://ufcstats.com/fight-details/3738135e4c9d8273" TargetMode="External"/><Relationship Id="rId3159" Type="http://schemas.openxmlformats.org/officeDocument/2006/relationships/hyperlink" Target="http://ufcstats.com/fight-details/9d61012a6020516e" TargetMode="External"/><Relationship Id="rId3366" Type="http://schemas.openxmlformats.org/officeDocument/2006/relationships/hyperlink" Target="http://ufcstats.com/fight-details/d47fd8fc3886f86c" TargetMode="External"/><Relationship Id="rId3573" Type="http://schemas.openxmlformats.org/officeDocument/2006/relationships/hyperlink" Target="http://ufcstats.com/fight-details/27ff7028ec8c2161" TargetMode="External"/><Relationship Id="rId4417" Type="http://schemas.openxmlformats.org/officeDocument/2006/relationships/hyperlink" Target="http://ufcstats.com/fight-details/5bfaa389a67139fd" TargetMode="External"/><Relationship Id="rId287" Type="http://schemas.openxmlformats.org/officeDocument/2006/relationships/hyperlink" Target="http://ufcstats.com/fight-details/f8a8871d167fc929" TargetMode="External"/><Relationship Id="rId494" Type="http://schemas.openxmlformats.org/officeDocument/2006/relationships/hyperlink" Target="http://ufcstats.com/fight-details/63f6af6d5f7b82ad" TargetMode="External"/><Relationship Id="rId2175" Type="http://schemas.openxmlformats.org/officeDocument/2006/relationships/hyperlink" Target="http://ufcstats.com/fight-details/2d23ca9d8abc0c97" TargetMode="External"/><Relationship Id="rId2382" Type="http://schemas.openxmlformats.org/officeDocument/2006/relationships/hyperlink" Target="http://ufcstats.com/fight-details/711fcf95370fa90b" TargetMode="External"/><Relationship Id="rId3019" Type="http://schemas.openxmlformats.org/officeDocument/2006/relationships/hyperlink" Target="http://ufcstats.com/fight-details/9ed0c3acc436eb56" TargetMode="External"/><Relationship Id="rId3226" Type="http://schemas.openxmlformats.org/officeDocument/2006/relationships/hyperlink" Target="http://ufcstats.com/fight-details/7dc87736c304b3dd" TargetMode="External"/><Relationship Id="rId3780" Type="http://schemas.openxmlformats.org/officeDocument/2006/relationships/hyperlink" Target="http://ufcstats.com/fight-details/b210b99d9c1c9196" TargetMode="External"/><Relationship Id="rId147" Type="http://schemas.openxmlformats.org/officeDocument/2006/relationships/hyperlink" Target="http://ufcstats.com/fight-details/e36b8b88646f72f8" TargetMode="External"/><Relationship Id="rId354" Type="http://schemas.openxmlformats.org/officeDocument/2006/relationships/hyperlink" Target="http://ufcstats.com/fight-details/11a83369d49ad138" TargetMode="External"/><Relationship Id="rId1191" Type="http://schemas.openxmlformats.org/officeDocument/2006/relationships/hyperlink" Target="http://ufcstats.com/fight-details/4c7e55061dc3bf89" TargetMode="External"/><Relationship Id="rId2035" Type="http://schemas.openxmlformats.org/officeDocument/2006/relationships/hyperlink" Target="http://ufcstats.com/fight-details/06910bddb0745856" TargetMode="External"/><Relationship Id="rId3433" Type="http://schemas.openxmlformats.org/officeDocument/2006/relationships/hyperlink" Target="http://ufcstats.com/fight-details/677588ea237aa5c0" TargetMode="External"/><Relationship Id="rId3640" Type="http://schemas.openxmlformats.org/officeDocument/2006/relationships/hyperlink" Target="http://ufcstats.com/fight-details/17c53d93d549cb03" TargetMode="External"/><Relationship Id="rId561" Type="http://schemas.openxmlformats.org/officeDocument/2006/relationships/hyperlink" Target="http://ufcstats.com/fight-details/62eaf9f2436bef25" TargetMode="External"/><Relationship Id="rId2242" Type="http://schemas.openxmlformats.org/officeDocument/2006/relationships/hyperlink" Target="http://ufcstats.com/fight-details/d0602cdc04d2c159" TargetMode="External"/><Relationship Id="rId3500" Type="http://schemas.openxmlformats.org/officeDocument/2006/relationships/hyperlink" Target="http://ufcstats.com/fight-details/43ae6a9daa51ed93" TargetMode="External"/><Relationship Id="rId214" Type="http://schemas.openxmlformats.org/officeDocument/2006/relationships/hyperlink" Target="http://ufcstats.com/fight-details/a337e11f80a75b7d" TargetMode="External"/><Relationship Id="rId421" Type="http://schemas.openxmlformats.org/officeDocument/2006/relationships/hyperlink" Target="http://ufcstats.com/fight-details/50d5a170516de2ad" TargetMode="External"/><Relationship Id="rId1051" Type="http://schemas.openxmlformats.org/officeDocument/2006/relationships/hyperlink" Target="http://ufcstats.com/fight-details/913d8a35095591d5" TargetMode="External"/><Relationship Id="rId2102" Type="http://schemas.openxmlformats.org/officeDocument/2006/relationships/hyperlink" Target="http://ufcstats.com/fight-details/aeac1209f15157ed" TargetMode="External"/><Relationship Id="rId1868" Type="http://schemas.openxmlformats.org/officeDocument/2006/relationships/hyperlink" Target="http://ufcstats.com/fight-details/911e151d1907197d" TargetMode="External"/><Relationship Id="rId4067" Type="http://schemas.openxmlformats.org/officeDocument/2006/relationships/hyperlink" Target="http://ufcstats.com/fight-details/a003e8305d4dbdc8" TargetMode="External"/><Relationship Id="rId4274" Type="http://schemas.openxmlformats.org/officeDocument/2006/relationships/hyperlink" Target="http://ufcstats.com/fight-details/d84968d7e9fcb4f3" TargetMode="External"/><Relationship Id="rId2919" Type="http://schemas.openxmlformats.org/officeDocument/2006/relationships/hyperlink" Target="http://ufcstats.com/fight-details/997dcf5fd2eb0f2f" TargetMode="External"/><Relationship Id="rId3083" Type="http://schemas.openxmlformats.org/officeDocument/2006/relationships/hyperlink" Target="http://ufcstats.com/fight-details/ea8eaf881d38713e" TargetMode="External"/><Relationship Id="rId3290" Type="http://schemas.openxmlformats.org/officeDocument/2006/relationships/hyperlink" Target="http://ufcstats.com/fight-details/a09447d185a62251" TargetMode="External"/><Relationship Id="rId4134" Type="http://schemas.openxmlformats.org/officeDocument/2006/relationships/hyperlink" Target="http://ufcstats.com/fight-details/68c77a11b2d308dd" TargetMode="External"/><Relationship Id="rId4341" Type="http://schemas.openxmlformats.org/officeDocument/2006/relationships/hyperlink" Target="http://ufcstats.com/fight-details/af2ef75664656957" TargetMode="External"/><Relationship Id="rId1728" Type="http://schemas.openxmlformats.org/officeDocument/2006/relationships/hyperlink" Target="http://ufcstats.com/fight-details/c57a4810c932b296" TargetMode="External"/><Relationship Id="rId1935" Type="http://schemas.openxmlformats.org/officeDocument/2006/relationships/hyperlink" Target="http://ufcstats.com/fight-details/00720c46f864fe03" TargetMode="External"/><Relationship Id="rId3150" Type="http://schemas.openxmlformats.org/officeDocument/2006/relationships/hyperlink" Target="http://ufcstats.com/fight-details/c93eebe24aa0299d" TargetMode="External"/><Relationship Id="rId4201" Type="http://schemas.openxmlformats.org/officeDocument/2006/relationships/hyperlink" Target="http://ufcstats.com/fight-details/d33814971932422a" TargetMode="External"/><Relationship Id="rId3010" Type="http://schemas.openxmlformats.org/officeDocument/2006/relationships/hyperlink" Target="http://ufcstats.com/fight-details/f963d716384153ff" TargetMode="External"/><Relationship Id="rId3967" Type="http://schemas.openxmlformats.org/officeDocument/2006/relationships/hyperlink" Target="http://ufcstats.com/fight-details/138f719d370e8ba0" TargetMode="External"/><Relationship Id="rId4" Type="http://schemas.openxmlformats.org/officeDocument/2006/relationships/hyperlink" Target="http://ufcstats.com/fight-details/e05a18b6ce22fa1f" TargetMode="External"/><Relationship Id="rId888" Type="http://schemas.openxmlformats.org/officeDocument/2006/relationships/hyperlink" Target="http://ufcstats.com/fight-details/a5ea53104392fa9f" TargetMode="External"/><Relationship Id="rId2569" Type="http://schemas.openxmlformats.org/officeDocument/2006/relationships/hyperlink" Target="http://ufcstats.com/fight-details/b34c608bdfa655e8" TargetMode="External"/><Relationship Id="rId2776" Type="http://schemas.openxmlformats.org/officeDocument/2006/relationships/hyperlink" Target="http://ufcstats.com/fight-details/e64075c104471ff0" TargetMode="External"/><Relationship Id="rId2983" Type="http://schemas.openxmlformats.org/officeDocument/2006/relationships/hyperlink" Target="http://ufcstats.com/fight-details/ecab8b8b36727b8d" TargetMode="External"/><Relationship Id="rId3827" Type="http://schemas.openxmlformats.org/officeDocument/2006/relationships/hyperlink" Target="http://ufcstats.com/fight-details/706228ddb6076b3f" TargetMode="External"/><Relationship Id="rId748" Type="http://schemas.openxmlformats.org/officeDocument/2006/relationships/hyperlink" Target="http://ufcstats.com/fight-details/2e209dc450b7ebe3" TargetMode="External"/><Relationship Id="rId955" Type="http://schemas.openxmlformats.org/officeDocument/2006/relationships/hyperlink" Target="http://ufcstats.com/fight-details/c827f5212a34bf2e" TargetMode="External"/><Relationship Id="rId1378" Type="http://schemas.openxmlformats.org/officeDocument/2006/relationships/hyperlink" Target="http://ufcstats.com/fight-details/1013cdbb6c9a4a2e" TargetMode="External"/><Relationship Id="rId1585" Type="http://schemas.openxmlformats.org/officeDocument/2006/relationships/hyperlink" Target="http://ufcstats.com/fight-details/84f236d6c57d7cfb" TargetMode="External"/><Relationship Id="rId1792" Type="http://schemas.openxmlformats.org/officeDocument/2006/relationships/hyperlink" Target="http://ufcstats.com/fight-details/1ed550f094ca7745" TargetMode="External"/><Relationship Id="rId2429" Type="http://schemas.openxmlformats.org/officeDocument/2006/relationships/hyperlink" Target="http://ufcstats.com/fight-details/2279d909f6e3e552" TargetMode="External"/><Relationship Id="rId2636" Type="http://schemas.openxmlformats.org/officeDocument/2006/relationships/hyperlink" Target="http://ufcstats.com/fight-details/22e10b23784e5efc" TargetMode="External"/><Relationship Id="rId2843" Type="http://schemas.openxmlformats.org/officeDocument/2006/relationships/hyperlink" Target="http://ufcstats.com/fight-details/ebc7ec239faf7b0b" TargetMode="External"/><Relationship Id="rId84" Type="http://schemas.openxmlformats.org/officeDocument/2006/relationships/hyperlink" Target="http://ufcstats.com/fight-details/1b9a127f9dadaad9" TargetMode="External"/><Relationship Id="rId608" Type="http://schemas.openxmlformats.org/officeDocument/2006/relationships/hyperlink" Target="http://ufcstats.com/fight-details/398db40015b3c81c" TargetMode="External"/><Relationship Id="rId815" Type="http://schemas.openxmlformats.org/officeDocument/2006/relationships/hyperlink" Target="http://ufcstats.com/fight-details/e0e2c1fc1a178d89" TargetMode="External"/><Relationship Id="rId1238" Type="http://schemas.openxmlformats.org/officeDocument/2006/relationships/hyperlink" Target="http://ufcstats.com/fight-details/1e8c33b1917fe1b7" TargetMode="External"/><Relationship Id="rId1445" Type="http://schemas.openxmlformats.org/officeDocument/2006/relationships/hyperlink" Target="http://ufcstats.com/fight-details/36f38c2534ef646b" TargetMode="External"/><Relationship Id="rId1652" Type="http://schemas.openxmlformats.org/officeDocument/2006/relationships/hyperlink" Target="http://ufcstats.com/fight-details/4291b38643547fa7" TargetMode="External"/><Relationship Id="rId1305" Type="http://schemas.openxmlformats.org/officeDocument/2006/relationships/hyperlink" Target="http://ufcstats.com/fight-details/f2c82f027201ba21" TargetMode="External"/><Relationship Id="rId2703" Type="http://schemas.openxmlformats.org/officeDocument/2006/relationships/hyperlink" Target="http://ufcstats.com/fight-details/a16d8d0cc93372c4" TargetMode="External"/><Relationship Id="rId2910" Type="http://schemas.openxmlformats.org/officeDocument/2006/relationships/hyperlink" Target="http://ufcstats.com/fight-details/f0a9dfbb6f6ac852" TargetMode="External"/><Relationship Id="rId1512" Type="http://schemas.openxmlformats.org/officeDocument/2006/relationships/hyperlink" Target="http://ufcstats.com/fight-details/838fd9d2b14e0790" TargetMode="External"/><Relationship Id="rId11" Type="http://schemas.openxmlformats.org/officeDocument/2006/relationships/hyperlink" Target="http://ufcstats.com/fight-details/43d90683078fcee5" TargetMode="External"/><Relationship Id="rId398" Type="http://schemas.openxmlformats.org/officeDocument/2006/relationships/hyperlink" Target="http://ufcstats.com/fight-details/4e8b2357fea211e9" TargetMode="External"/><Relationship Id="rId2079" Type="http://schemas.openxmlformats.org/officeDocument/2006/relationships/hyperlink" Target="http://ufcstats.com/fight-details/6c9bf1d285cf5dd4" TargetMode="External"/><Relationship Id="rId3477" Type="http://schemas.openxmlformats.org/officeDocument/2006/relationships/hyperlink" Target="http://ufcstats.com/fight-details/591699203b264f6c" TargetMode="External"/><Relationship Id="rId3684" Type="http://schemas.openxmlformats.org/officeDocument/2006/relationships/hyperlink" Target="http://ufcstats.com/fight-details/aa232e53d285cc6d" TargetMode="External"/><Relationship Id="rId3891" Type="http://schemas.openxmlformats.org/officeDocument/2006/relationships/hyperlink" Target="http://ufcstats.com/fight-details/0bfb221a0944f8e0" TargetMode="External"/><Relationship Id="rId2286" Type="http://schemas.openxmlformats.org/officeDocument/2006/relationships/hyperlink" Target="http://ufcstats.com/fight-details/79884c0df84662b9" TargetMode="External"/><Relationship Id="rId2493" Type="http://schemas.openxmlformats.org/officeDocument/2006/relationships/hyperlink" Target="http://ufcstats.com/fight-details/94cecf4bd29793e1" TargetMode="External"/><Relationship Id="rId3337" Type="http://schemas.openxmlformats.org/officeDocument/2006/relationships/hyperlink" Target="http://ufcstats.com/fight-details/58e07add007685f8" TargetMode="External"/><Relationship Id="rId3544" Type="http://schemas.openxmlformats.org/officeDocument/2006/relationships/hyperlink" Target="http://ufcstats.com/fight-details/c6c975ca66a7f91a" TargetMode="External"/><Relationship Id="rId3751" Type="http://schemas.openxmlformats.org/officeDocument/2006/relationships/hyperlink" Target="http://ufcstats.com/fight-details/7e6f91cbf8e93210" TargetMode="External"/><Relationship Id="rId258" Type="http://schemas.openxmlformats.org/officeDocument/2006/relationships/hyperlink" Target="http://ufcstats.com/fight-details/971b3d35c302cf8f" TargetMode="External"/><Relationship Id="rId465" Type="http://schemas.openxmlformats.org/officeDocument/2006/relationships/hyperlink" Target="http://ufcstats.com/fight-details/d3a9aceeb7e23580" TargetMode="External"/><Relationship Id="rId672" Type="http://schemas.openxmlformats.org/officeDocument/2006/relationships/hyperlink" Target="http://ufcstats.com/fight-details/f2cd665eab69876a" TargetMode="External"/><Relationship Id="rId1095" Type="http://schemas.openxmlformats.org/officeDocument/2006/relationships/hyperlink" Target="http://ufcstats.com/fight-details/15aee8ad5d9e9d58" TargetMode="External"/><Relationship Id="rId2146" Type="http://schemas.openxmlformats.org/officeDocument/2006/relationships/hyperlink" Target="http://ufcstats.com/fight-details/d1aaef0d7f0c8e8b" TargetMode="External"/><Relationship Id="rId2353" Type="http://schemas.openxmlformats.org/officeDocument/2006/relationships/hyperlink" Target="http://ufcstats.com/fight-details/b1b20c686dfe3204" TargetMode="External"/><Relationship Id="rId2560" Type="http://schemas.openxmlformats.org/officeDocument/2006/relationships/hyperlink" Target="http://ufcstats.com/fight-details/362a5b3cd4a70330" TargetMode="External"/><Relationship Id="rId3404" Type="http://schemas.openxmlformats.org/officeDocument/2006/relationships/hyperlink" Target="http://ufcstats.com/fight-details/80572cac6ab57866" TargetMode="External"/><Relationship Id="rId3611" Type="http://schemas.openxmlformats.org/officeDocument/2006/relationships/hyperlink" Target="http://ufcstats.com/fight-details/1c6d3ef6beb9966e" TargetMode="External"/><Relationship Id="rId118" Type="http://schemas.openxmlformats.org/officeDocument/2006/relationships/hyperlink" Target="http://ufcstats.com/fight-details/53d0df57a917c6a0" TargetMode="External"/><Relationship Id="rId325" Type="http://schemas.openxmlformats.org/officeDocument/2006/relationships/hyperlink" Target="http://ufcstats.com/fight-details/d0b7a79d3e7f3362" TargetMode="External"/><Relationship Id="rId532" Type="http://schemas.openxmlformats.org/officeDocument/2006/relationships/hyperlink" Target="http://ufcstats.com/fight-details/533984c3ff4b4858" TargetMode="External"/><Relationship Id="rId1162" Type="http://schemas.openxmlformats.org/officeDocument/2006/relationships/hyperlink" Target="http://ufcstats.com/fight-details/873306ad79b62f5e" TargetMode="External"/><Relationship Id="rId2006" Type="http://schemas.openxmlformats.org/officeDocument/2006/relationships/hyperlink" Target="http://ufcstats.com/fight-details/9217ecc287ac482d" TargetMode="External"/><Relationship Id="rId2213" Type="http://schemas.openxmlformats.org/officeDocument/2006/relationships/hyperlink" Target="http://ufcstats.com/fight-details/fee873593f588437" TargetMode="External"/><Relationship Id="rId2420" Type="http://schemas.openxmlformats.org/officeDocument/2006/relationships/hyperlink" Target="http://ufcstats.com/fight-details/3b6c18a966a2cea4" TargetMode="External"/><Relationship Id="rId1022" Type="http://schemas.openxmlformats.org/officeDocument/2006/relationships/hyperlink" Target="http://ufcstats.com/fight-details/9399c772adc7bcab" TargetMode="External"/><Relationship Id="rId4178" Type="http://schemas.openxmlformats.org/officeDocument/2006/relationships/hyperlink" Target="http://ufcstats.com/fight-details/b55de7d791b9f62d" TargetMode="External"/><Relationship Id="rId4385" Type="http://schemas.openxmlformats.org/officeDocument/2006/relationships/hyperlink" Target="http://ufcstats.com/fight-details/50ef636148fa6fac" TargetMode="External"/><Relationship Id="rId1979" Type="http://schemas.openxmlformats.org/officeDocument/2006/relationships/hyperlink" Target="http://ufcstats.com/fight-details/3624f4ae9c1d703e" TargetMode="External"/><Relationship Id="rId3194" Type="http://schemas.openxmlformats.org/officeDocument/2006/relationships/hyperlink" Target="http://ufcstats.com/fight-details/5fcf65d4de66c970" TargetMode="External"/><Relationship Id="rId4038" Type="http://schemas.openxmlformats.org/officeDocument/2006/relationships/hyperlink" Target="http://ufcstats.com/fight-details/71afa8354da2491e" TargetMode="External"/><Relationship Id="rId4245" Type="http://schemas.openxmlformats.org/officeDocument/2006/relationships/hyperlink" Target="http://ufcstats.com/fight-details/85a130a4b655c8f5" TargetMode="External"/><Relationship Id="rId1839" Type="http://schemas.openxmlformats.org/officeDocument/2006/relationships/hyperlink" Target="http://ufcstats.com/fight-details/8cf6b22995c9efb8" TargetMode="External"/><Relationship Id="rId3054" Type="http://schemas.openxmlformats.org/officeDocument/2006/relationships/hyperlink" Target="http://ufcstats.com/fight-details/84c5035830ebb421" TargetMode="External"/><Relationship Id="rId4452" Type="http://schemas.openxmlformats.org/officeDocument/2006/relationships/hyperlink" Target="http://ufcstats.com/fight-details/95233ca23cdb02e6" TargetMode="External"/><Relationship Id="rId182" Type="http://schemas.openxmlformats.org/officeDocument/2006/relationships/hyperlink" Target="http://ufcstats.com/fight-details/6455d9c54d99b851" TargetMode="External"/><Relationship Id="rId1906" Type="http://schemas.openxmlformats.org/officeDocument/2006/relationships/hyperlink" Target="http://ufcstats.com/fight-details/0ac5fc42ba039211" TargetMode="External"/><Relationship Id="rId3261" Type="http://schemas.openxmlformats.org/officeDocument/2006/relationships/hyperlink" Target="http://ufcstats.com/fight-details/b78a222fb448aed4" TargetMode="External"/><Relationship Id="rId4105" Type="http://schemas.openxmlformats.org/officeDocument/2006/relationships/hyperlink" Target="http://ufcstats.com/fight-details/2242e7df6f320ea6" TargetMode="External"/><Relationship Id="rId4312" Type="http://schemas.openxmlformats.org/officeDocument/2006/relationships/hyperlink" Target="http://ufcstats.com/fight-details/e8093d77f566fe51" TargetMode="External"/><Relationship Id="rId2070" Type="http://schemas.openxmlformats.org/officeDocument/2006/relationships/hyperlink" Target="http://ufcstats.com/fight-details/65c1ca715dfdbe05" TargetMode="External"/><Relationship Id="rId3121" Type="http://schemas.openxmlformats.org/officeDocument/2006/relationships/hyperlink" Target="http://ufcstats.com/fight-details/c67e5fec8e1876f0" TargetMode="External"/><Relationship Id="rId999" Type="http://schemas.openxmlformats.org/officeDocument/2006/relationships/hyperlink" Target="http://ufcstats.com/fight-details/2d9d966e0e8df232" TargetMode="External"/><Relationship Id="rId2887" Type="http://schemas.openxmlformats.org/officeDocument/2006/relationships/hyperlink" Target="http://ufcstats.com/fight-details/42d09ca167ecae07" TargetMode="External"/><Relationship Id="rId859" Type="http://schemas.openxmlformats.org/officeDocument/2006/relationships/hyperlink" Target="http://ufcstats.com/fight-details/7f93b2f38497caec" TargetMode="External"/><Relationship Id="rId1489" Type="http://schemas.openxmlformats.org/officeDocument/2006/relationships/hyperlink" Target="http://ufcstats.com/fight-details/c3b6aa47e7532a7b" TargetMode="External"/><Relationship Id="rId1696" Type="http://schemas.openxmlformats.org/officeDocument/2006/relationships/hyperlink" Target="http://ufcstats.com/fight-details/0fa31c9f7495810b" TargetMode="External"/><Relationship Id="rId3938" Type="http://schemas.openxmlformats.org/officeDocument/2006/relationships/hyperlink" Target="http://ufcstats.com/fight-details/0ac25b4180406ca1" TargetMode="External"/><Relationship Id="rId1349" Type="http://schemas.openxmlformats.org/officeDocument/2006/relationships/hyperlink" Target="http://ufcstats.com/fight-details/e508ba268cb295c0" TargetMode="External"/><Relationship Id="rId2747" Type="http://schemas.openxmlformats.org/officeDocument/2006/relationships/hyperlink" Target="http://ufcstats.com/fight-details/0ace7e71f5d66bc9" TargetMode="External"/><Relationship Id="rId2954" Type="http://schemas.openxmlformats.org/officeDocument/2006/relationships/hyperlink" Target="http://ufcstats.com/fight-details/96b1430379c0694a" TargetMode="External"/><Relationship Id="rId719" Type="http://schemas.openxmlformats.org/officeDocument/2006/relationships/hyperlink" Target="http://ufcstats.com/fight-details/95edc0b6438f2592" TargetMode="External"/><Relationship Id="rId926" Type="http://schemas.openxmlformats.org/officeDocument/2006/relationships/hyperlink" Target="http://ufcstats.com/fight-details/0b4583d204797d19" TargetMode="External"/><Relationship Id="rId1556" Type="http://schemas.openxmlformats.org/officeDocument/2006/relationships/hyperlink" Target="http://ufcstats.com/fight-details/e4ed294e16e16d81" TargetMode="External"/><Relationship Id="rId1763" Type="http://schemas.openxmlformats.org/officeDocument/2006/relationships/hyperlink" Target="http://ufcstats.com/fight-details/e8c57c6259193466" TargetMode="External"/><Relationship Id="rId1970" Type="http://schemas.openxmlformats.org/officeDocument/2006/relationships/hyperlink" Target="http://ufcstats.com/fight-details/733e675fd7c0052a" TargetMode="External"/><Relationship Id="rId2607" Type="http://schemas.openxmlformats.org/officeDocument/2006/relationships/hyperlink" Target="http://ufcstats.com/fight-details/7c6ed5b3d830d0cb" TargetMode="External"/><Relationship Id="rId2814" Type="http://schemas.openxmlformats.org/officeDocument/2006/relationships/hyperlink" Target="http://ufcstats.com/fight-details/b4ec3e067604f90a" TargetMode="External"/><Relationship Id="rId55" Type="http://schemas.openxmlformats.org/officeDocument/2006/relationships/hyperlink" Target="http://ufcstats.com/fight-details/b46b27222e62aec1" TargetMode="External"/><Relationship Id="rId1209" Type="http://schemas.openxmlformats.org/officeDocument/2006/relationships/hyperlink" Target="http://ufcstats.com/fight-details/62e6eadbb2805760" TargetMode="External"/><Relationship Id="rId1416" Type="http://schemas.openxmlformats.org/officeDocument/2006/relationships/hyperlink" Target="http://ufcstats.com/fight-details/3112430100d2d0be" TargetMode="External"/><Relationship Id="rId1623" Type="http://schemas.openxmlformats.org/officeDocument/2006/relationships/hyperlink" Target="http://ufcstats.com/fight-details/e10481ee3fda7080" TargetMode="External"/><Relationship Id="rId1830" Type="http://schemas.openxmlformats.org/officeDocument/2006/relationships/hyperlink" Target="http://ufcstats.com/fight-details/d1bee15e60ee6721" TargetMode="External"/><Relationship Id="rId3588" Type="http://schemas.openxmlformats.org/officeDocument/2006/relationships/hyperlink" Target="http://ufcstats.com/fight-details/426ca5caeb857f1e" TargetMode="External"/><Relationship Id="rId3795" Type="http://schemas.openxmlformats.org/officeDocument/2006/relationships/hyperlink" Target="http://ufcstats.com/fight-details/18aff757c54687f1" TargetMode="External"/><Relationship Id="rId2397" Type="http://schemas.openxmlformats.org/officeDocument/2006/relationships/hyperlink" Target="http://ufcstats.com/fight-details/bfae2fb50efbdb0f" TargetMode="External"/><Relationship Id="rId3448" Type="http://schemas.openxmlformats.org/officeDocument/2006/relationships/hyperlink" Target="http://ufcstats.com/fight-details/a78ccbb549d36ddd" TargetMode="External"/><Relationship Id="rId3655" Type="http://schemas.openxmlformats.org/officeDocument/2006/relationships/hyperlink" Target="http://ufcstats.com/fight-details/2fb1abeb337e0ccc" TargetMode="External"/><Relationship Id="rId3862" Type="http://schemas.openxmlformats.org/officeDocument/2006/relationships/hyperlink" Target="http://ufcstats.com/fight-details/4cb249714ff56656" TargetMode="External"/><Relationship Id="rId369" Type="http://schemas.openxmlformats.org/officeDocument/2006/relationships/hyperlink" Target="http://ufcstats.com/fight-details/11cc331fa40ede63" TargetMode="External"/><Relationship Id="rId576" Type="http://schemas.openxmlformats.org/officeDocument/2006/relationships/hyperlink" Target="http://ufcstats.com/fight-details/093ca77f7f7219f6" TargetMode="External"/><Relationship Id="rId783" Type="http://schemas.openxmlformats.org/officeDocument/2006/relationships/hyperlink" Target="http://ufcstats.com/fight-details/50cae63d530ede7c" TargetMode="External"/><Relationship Id="rId990" Type="http://schemas.openxmlformats.org/officeDocument/2006/relationships/hyperlink" Target="http://ufcstats.com/fight-details/a2e1116a9fe84aa9" TargetMode="External"/><Relationship Id="rId2257" Type="http://schemas.openxmlformats.org/officeDocument/2006/relationships/hyperlink" Target="http://ufcstats.com/fight-details/bd97a96ac8203457" TargetMode="External"/><Relationship Id="rId2464" Type="http://schemas.openxmlformats.org/officeDocument/2006/relationships/hyperlink" Target="http://ufcstats.com/fight-details/32a8f38bd1d46e3e" TargetMode="External"/><Relationship Id="rId2671" Type="http://schemas.openxmlformats.org/officeDocument/2006/relationships/hyperlink" Target="http://ufcstats.com/fight-details/2142ff2a46d22741" TargetMode="External"/><Relationship Id="rId3308" Type="http://schemas.openxmlformats.org/officeDocument/2006/relationships/hyperlink" Target="http://ufcstats.com/fight-details/089a17e450cc98aa" TargetMode="External"/><Relationship Id="rId3515" Type="http://schemas.openxmlformats.org/officeDocument/2006/relationships/hyperlink" Target="http://ufcstats.com/fight-details/71dc4379c738450f" TargetMode="External"/><Relationship Id="rId229" Type="http://schemas.openxmlformats.org/officeDocument/2006/relationships/hyperlink" Target="http://ufcstats.com/fight-details/23fd9d50a99665fe" TargetMode="External"/><Relationship Id="rId436" Type="http://schemas.openxmlformats.org/officeDocument/2006/relationships/hyperlink" Target="http://ufcstats.com/fight-details/4abcf14faa7f92f2" TargetMode="External"/><Relationship Id="rId643" Type="http://schemas.openxmlformats.org/officeDocument/2006/relationships/hyperlink" Target="http://ufcstats.com/fight-details/71b81d8199a0fa19" TargetMode="External"/><Relationship Id="rId1066" Type="http://schemas.openxmlformats.org/officeDocument/2006/relationships/hyperlink" Target="http://ufcstats.com/fight-details/49876b12d440af40" TargetMode="External"/><Relationship Id="rId1273" Type="http://schemas.openxmlformats.org/officeDocument/2006/relationships/hyperlink" Target="http://ufcstats.com/fight-details/417049c7a3d65ccc" TargetMode="External"/><Relationship Id="rId1480" Type="http://schemas.openxmlformats.org/officeDocument/2006/relationships/hyperlink" Target="http://ufcstats.com/fight-details/5459c3bb88d031f9" TargetMode="External"/><Relationship Id="rId2117" Type="http://schemas.openxmlformats.org/officeDocument/2006/relationships/hyperlink" Target="http://ufcstats.com/fight-details/605c2ad801f594b3" TargetMode="External"/><Relationship Id="rId2324" Type="http://schemas.openxmlformats.org/officeDocument/2006/relationships/hyperlink" Target="http://ufcstats.com/fight-details/fdc97f9b88bdef7d" TargetMode="External"/><Relationship Id="rId3722" Type="http://schemas.openxmlformats.org/officeDocument/2006/relationships/hyperlink" Target="http://ufcstats.com/fight-details/ce246b336b6bd638" TargetMode="External"/><Relationship Id="rId850" Type="http://schemas.openxmlformats.org/officeDocument/2006/relationships/hyperlink" Target="http://ufcstats.com/fight-details/138cb102906573f2" TargetMode="External"/><Relationship Id="rId1133" Type="http://schemas.openxmlformats.org/officeDocument/2006/relationships/hyperlink" Target="http://ufcstats.com/fight-details/253e42894852b26a" TargetMode="External"/><Relationship Id="rId2531" Type="http://schemas.openxmlformats.org/officeDocument/2006/relationships/hyperlink" Target="http://ufcstats.com/fight-details/767ceb4a0cb43ade" TargetMode="External"/><Relationship Id="rId4289" Type="http://schemas.openxmlformats.org/officeDocument/2006/relationships/hyperlink" Target="http://ufcstats.com/fight-details/87105c63df95f929" TargetMode="External"/><Relationship Id="rId503" Type="http://schemas.openxmlformats.org/officeDocument/2006/relationships/hyperlink" Target="http://ufcstats.com/fight-details/992e84bf59837e21" TargetMode="External"/><Relationship Id="rId710" Type="http://schemas.openxmlformats.org/officeDocument/2006/relationships/hyperlink" Target="http://ufcstats.com/fight-details/c7bc8750e9503805" TargetMode="External"/><Relationship Id="rId1340" Type="http://schemas.openxmlformats.org/officeDocument/2006/relationships/hyperlink" Target="http://ufcstats.com/fight-details/4f07c6724682cd00" TargetMode="External"/><Relationship Id="rId3098" Type="http://schemas.openxmlformats.org/officeDocument/2006/relationships/hyperlink" Target="http://ufcstats.com/fight-details/7f16e7725245bb2d" TargetMode="External"/><Relationship Id="rId1200" Type="http://schemas.openxmlformats.org/officeDocument/2006/relationships/hyperlink" Target="http://ufcstats.com/fight-details/1c03c1bb62f3aed6" TargetMode="External"/><Relationship Id="rId4149" Type="http://schemas.openxmlformats.org/officeDocument/2006/relationships/hyperlink" Target="http://ufcstats.com/fight-details/494042bf96730bc0" TargetMode="External"/><Relationship Id="rId4356" Type="http://schemas.openxmlformats.org/officeDocument/2006/relationships/hyperlink" Target="http://ufcstats.com/fight-details/1a0bf11582ae518b" TargetMode="External"/><Relationship Id="rId3165" Type="http://schemas.openxmlformats.org/officeDocument/2006/relationships/hyperlink" Target="http://ufcstats.com/fight-details/0fd8214ac276728e" TargetMode="External"/><Relationship Id="rId3372" Type="http://schemas.openxmlformats.org/officeDocument/2006/relationships/hyperlink" Target="http://ufcstats.com/fight-details/3286d8406eff5c85" TargetMode="External"/><Relationship Id="rId4009" Type="http://schemas.openxmlformats.org/officeDocument/2006/relationships/hyperlink" Target="http://ufcstats.com/fight-details/00b1e95f6aea7027" TargetMode="External"/><Relationship Id="rId4216" Type="http://schemas.openxmlformats.org/officeDocument/2006/relationships/hyperlink" Target="http://ufcstats.com/fight-details/e16f42a666e163d8" TargetMode="External"/><Relationship Id="rId4423" Type="http://schemas.openxmlformats.org/officeDocument/2006/relationships/hyperlink" Target="http://ufcstats.com/fight-details/60e1b3ac3182f5b3" TargetMode="External"/><Relationship Id="rId293" Type="http://schemas.openxmlformats.org/officeDocument/2006/relationships/hyperlink" Target="http://ufcstats.com/fight-details/361e67af5f462aea" TargetMode="External"/><Relationship Id="rId2181" Type="http://schemas.openxmlformats.org/officeDocument/2006/relationships/hyperlink" Target="http://ufcstats.com/fight-details/951ccd0041bd1700" TargetMode="External"/><Relationship Id="rId3025" Type="http://schemas.openxmlformats.org/officeDocument/2006/relationships/hyperlink" Target="http://ufcstats.com/fight-details/0f24f3bc1b39ea45" TargetMode="External"/><Relationship Id="rId3232" Type="http://schemas.openxmlformats.org/officeDocument/2006/relationships/hyperlink" Target="http://ufcstats.com/fight-details/7a3947a0e7bc3558" TargetMode="External"/><Relationship Id="rId153" Type="http://schemas.openxmlformats.org/officeDocument/2006/relationships/hyperlink" Target="http://ufcstats.com/fight-details/953c89aa931082e4" TargetMode="External"/><Relationship Id="rId360" Type="http://schemas.openxmlformats.org/officeDocument/2006/relationships/hyperlink" Target="http://ufcstats.com/fight-details/b152646345037056" TargetMode="External"/><Relationship Id="rId2041" Type="http://schemas.openxmlformats.org/officeDocument/2006/relationships/hyperlink" Target="http://ufcstats.com/fight-details/7c76c752c7abf2e0" TargetMode="External"/><Relationship Id="rId220" Type="http://schemas.openxmlformats.org/officeDocument/2006/relationships/hyperlink" Target="http://ufcstats.com/fight-details/c1f74805a4ff9396" TargetMode="External"/><Relationship Id="rId2998" Type="http://schemas.openxmlformats.org/officeDocument/2006/relationships/hyperlink" Target="http://ufcstats.com/fight-details/9a8964b148cb5923" TargetMode="External"/><Relationship Id="rId2858" Type="http://schemas.openxmlformats.org/officeDocument/2006/relationships/hyperlink" Target="http://ufcstats.com/fight-details/0f73ee9121ec7539" TargetMode="External"/><Relationship Id="rId3909" Type="http://schemas.openxmlformats.org/officeDocument/2006/relationships/hyperlink" Target="http://ufcstats.com/fight-details/fd984e8a9e25c927" TargetMode="External"/><Relationship Id="rId4073" Type="http://schemas.openxmlformats.org/officeDocument/2006/relationships/hyperlink" Target="http://ufcstats.com/fight-details/0a9f22de8600c762" TargetMode="External"/><Relationship Id="rId99" Type="http://schemas.openxmlformats.org/officeDocument/2006/relationships/hyperlink" Target="http://ufcstats.com/fight-details/594435375d641f63" TargetMode="External"/><Relationship Id="rId1667" Type="http://schemas.openxmlformats.org/officeDocument/2006/relationships/hyperlink" Target="http://ufcstats.com/fight-details/649b2db3709b07fe" TargetMode="External"/><Relationship Id="rId1874" Type="http://schemas.openxmlformats.org/officeDocument/2006/relationships/hyperlink" Target="http://ufcstats.com/fight-details/1d8ee477e682a8fc" TargetMode="External"/><Relationship Id="rId2718" Type="http://schemas.openxmlformats.org/officeDocument/2006/relationships/hyperlink" Target="http://ufcstats.com/fight-details/247f9e56965a1c07" TargetMode="External"/><Relationship Id="rId2925" Type="http://schemas.openxmlformats.org/officeDocument/2006/relationships/hyperlink" Target="http://ufcstats.com/fight-details/66b8f3426f36fdf7" TargetMode="External"/><Relationship Id="rId4280" Type="http://schemas.openxmlformats.org/officeDocument/2006/relationships/hyperlink" Target="http://ufcstats.com/fight-details/d6b5a6ad27a730ae" TargetMode="External"/><Relationship Id="rId1527" Type="http://schemas.openxmlformats.org/officeDocument/2006/relationships/hyperlink" Target="http://ufcstats.com/fight-details/86046081e767437e" TargetMode="External"/><Relationship Id="rId1734" Type="http://schemas.openxmlformats.org/officeDocument/2006/relationships/hyperlink" Target="http://ufcstats.com/fight-details/1dfbdd569585812f" TargetMode="External"/><Relationship Id="rId1941" Type="http://schemas.openxmlformats.org/officeDocument/2006/relationships/hyperlink" Target="http://ufcstats.com/fight-details/e15b393a27c07043" TargetMode="External"/><Relationship Id="rId4140" Type="http://schemas.openxmlformats.org/officeDocument/2006/relationships/hyperlink" Target="http://ufcstats.com/fight-details/c0518d213b67e754" TargetMode="External"/><Relationship Id="rId26" Type="http://schemas.openxmlformats.org/officeDocument/2006/relationships/hyperlink" Target="http://ufcstats.com/fight-details/3094e82731ec55e7" TargetMode="External"/><Relationship Id="rId3699" Type="http://schemas.openxmlformats.org/officeDocument/2006/relationships/hyperlink" Target="http://ufcstats.com/fight-details/48e51d4e7172048e" TargetMode="External"/><Relationship Id="rId4000" Type="http://schemas.openxmlformats.org/officeDocument/2006/relationships/hyperlink" Target="http://ufcstats.com/fight-details/2ef09c8fe29251ac" TargetMode="External"/><Relationship Id="rId1801" Type="http://schemas.openxmlformats.org/officeDocument/2006/relationships/hyperlink" Target="http://ufcstats.com/fight-details/85099c6378ff87c5" TargetMode="External"/><Relationship Id="rId3559" Type="http://schemas.openxmlformats.org/officeDocument/2006/relationships/hyperlink" Target="http://ufcstats.com/fight-details/d0c01840c72429c6" TargetMode="External"/><Relationship Id="rId687" Type="http://schemas.openxmlformats.org/officeDocument/2006/relationships/hyperlink" Target="http://ufcstats.com/fight-details/707ba52845d399c9" TargetMode="External"/><Relationship Id="rId2368" Type="http://schemas.openxmlformats.org/officeDocument/2006/relationships/hyperlink" Target="http://ufcstats.com/fight-details/fedb6a1b15b05694" TargetMode="External"/><Relationship Id="rId3766" Type="http://schemas.openxmlformats.org/officeDocument/2006/relationships/hyperlink" Target="http://ufcstats.com/fight-details/7a8f218c07347c88" TargetMode="External"/><Relationship Id="rId3973" Type="http://schemas.openxmlformats.org/officeDocument/2006/relationships/hyperlink" Target="http://ufcstats.com/fight-details/5f4a107d930e4852" TargetMode="External"/><Relationship Id="rId894" Type="http://schemas.openxmlformats.org/officeDocument/2006/relationships/hyperlink" Target="http://ufcstats.com/fight-details/0d9e9127c62811f9" TargetMode="External"/><Relationship Id="rId1177" Type="http://schemas.openxmlformats.org/officeDocument/2006/relationships/hyperlink" Target="http://ufcstats.com/fight-details/35addc4646509286" TargetMode="External"/><Relationship Id="rId2575" Type="http://schemas.openxmlformats.org/officeDocument/2006/relationships/hyperlink" Target="http://ufcstats.com/fight-details/420dd305cd1d062f" TargetMode="External"/><Relationship Id="rId2782" Type="http://schemas.openxmlformats.org/officeDocument/2006/relationships/hyperlink" Target="http://ufcstats.com/fight-details/04e1ff7aeda2a018" TargetMode="External"/><Relationship Id="rId3419" Type="http://schemas.openxmlformats.org/officeDocument/2006/relationships/hyperlink" Target="http://ufcstats.com/fight-details/8984ab656cb1818d" TargetMode="External"/><Relationship Id="rId3626" Type="http://schemas.openxmlformats.org/officeDocument/2006/relationships/hyperlink" Target="http://ufcstats.com/fight-details/e186bd5e556f1b5e" TargetMode="External"/><Relationship Id="rId3833" Type="http://schemas.openxmlformats.org/officeDocument/2006/relationships/hyperlink" Target="http://ufcstats.com/fight-details/7a2c841693b54dd7" TargetMode="External"/><Relationship Id="rId547" Type="http://schemas.openxmlformats.org/officeDocument/2006/relationships/hyperlink" Target="http://ufcstats.com/fight-details/d7cbe2f23d75afd1" TargetMode="External"/><Relationship Id="rId754" Type="http://schemas.openxmlformats.org/officeDocument/2006/relationships/hyperlink" Target="http://ufcstats.com/fight-details/d101d2ed58a7cf84" TargetMode="External"/><Relationship Id="rId961" Type="http://schemas.openxmlformats.org/officeDocument/2006/relationships/hyperlink" Target="http://ufcstats.com/fight-details/6d9f6f7004c791d5" TargetMode="External"/><Relationship Id="rId1384" Type="http://schemas.openxmlformats.org/officeDocument/2006/relationships/hyperlink" Target="http://ufcstats.com/fight-details/2e12db181792090f" TargetMode="External"/><Relationship Id="rId1591" Type="http://schemas.openxmlformats.org/officeDocument/2006/relationships/hyperlink" Target="http://ufcstats.com/fight-details/7bc7af11050e861b" TargetMode="External"/><Relationship Id="rId2228" Type="http://schemas.openxmlformats.org/officeDocument/2006/relationships/hyperlink" Target="http://ufcstats.com/fight-details/7afe2a15ae7359e9" TargetMode="External"/><Relationship Id="rId2435" Type="http://schemas.openxmlformats.org/officeDocument/2006/relationships/hyperlink" Target="http://ufcstats.com/fight-details/1f922cfe6178e830" TargetMode="External"/><Relationship Id="rId2642" Type="http://schemas.openxmlformats.org/officeDocument/2006/relationships/hyperlink" Target="http://ufcstats.com/fight-details/57b111b54a2d2323" TargetMode="External"/><Relationship Id="rId3900" Type="http://schemas.openxmlformats.org/officeDocument/2006/relationships/hyperlink" Target="http://ufcstats.com/fight-details/6b6680338558bd46" TargetMode="External"/><Relationship Id="rId90" Type="http://schemas.openxmlformats.org/officeDocument/2006/relationships/hyperlink" Target="http://ufcstats.com/fight-details/d856812dc733690a" TargetMode="External"/><Relationship Id="rId407" Type="http://schemas.openxmlformats.org/officeDocument/2006/relationships/hyperlink" Target="http://ufcstats.com/fight-details/ac73c6888ee9322c" TargetMode="External"/><Relationship Id="rId614" Type="http://schemas.openxmlformats.org/officeDocument/2006/relationships/hyperlink" Target="http://ufcstats.com/fight-details/760e3f292b834637" TargetMode="External"/><Relationship Id="rId821" Type="http://schemas.openxmlformats.org/officeDocument/2006/relationships/hyperlink" Target="http://ufcstats.com/fight-details/34644c44229e41a1" TargetMode="External"/><Relationship Id="rId1037" Type="http://schemas.openxmlformats.org/officeDocument/2006/relationships/hyperlink" Target="http://ufcstats.com/fight-details/74f5cbecac011abb" TargetMode="External"/><Relationship Id="rId1244" Type="http://schemas.openxmlformats.org/officeDocument/2006/relationships/hyperlink" Target="http://ufcstats.com/fight-details/e0b98f3cf4a7cc3b" TargetMode="External"/><Relationship Id="rId1451" Type="http://schemas.openxmlformats.org/officeDocument/2006/relationships/hyperlink" Target="http://ufcstats.com/fight-details/491b7d974254596d" TargetMode="External"/><Relationship Id="rId2502" Type="http://schemas.openxmlformats.org/officeDocument/2006/relationships/hyperlink" Target="http://ufcstats.com/fight-details/c69c5830064fd591" TargetMode="External"/><Relationship Id="rId1104" Type="http://schemas.openxmlformats.org/officeDocument/2006/relationships/hyperlink" Target="http://ufcstats.com/fight-details/41cef92a01e7ff3c" TargetMode="External"/><Relationship Id="rId1311" Type="http://schemas.openxmlformats.org/officeDocument/2006/relationships/hyperlink" Target="http://ufcstats.com/fight-details/ba6093c9136f99e9" TargetMode="External"/><Relationship Id="rId3069" Type="http://schemas.openxmlformats.org/officeDocument/2006/relationships/hyperlink" Target="http://ufcstats.com/fight-details/3c3a9c1ec0604fc2" TargetMode="External"/><Relationship Id="rId3276" Type="http://schemas.openxmlformats.org/officeDocument/2006/relationships/hyperlink" Target="http://ufcstats.com/fight-details/8502f245aabd64ac" TargetMode="External"/><Relationship Id="rId3483" Type="http://schemas.openxmlformats.org/officeDocument/2006/relationships/hyperlink" Target="http://ufcstats.com/fight-details/b070b8c2c489d838" TargetMode="External"/><Relationship Id="rId3690" Type="http://schemas.openxmlformats.org/officeDocument/2006/relationships/hyperlink" Target="http://ufcstats.com/fight-details/85bec51d0bdf511f" TargetMode="External"/><Relationship Id="rId4327" Type="http://schemas.openxmlformats.org/officeDocument/2006/relationships/hyperlink" Target="http://ufcstats.com/fight-details/47628ab025f19796" TargetMode="External"/><Relationship Id="rId197" Type="http://schemas.openxmlformats.org/officeDocument/2006/relationships/hyperlink" Target="http://ufcstats.com/fight-details/a0ec4eac058e6050" TargetMode="External"/><Relationship Id="rId2085" Type="http://schemas.openxmlformats.org/officeDocument/2006/relationships/hyperlink" Target="http://ufcstats.com/fight-details/b69d3d55c84f5dd6" TargetMode="External"/><Relationship Id="rId2292" Type="http://schemas.openxmlformats.org/officeDocument/2006/relationships/hyperlink" Target="http://ufcstats.com/fight-details/cb7616f92a9a4e5b" TargetMode="External"/><Relationship Id="rId3136" Type="http://schemas.openxmlformats.org/officeDocument/2006/relationships/hyperlink" Target="http://ufcstats.com/fight-details/08af25ef4252b138" TargetMode="External"/><Relationship Id="rId3343" Type="http://schemas.openxmlformats.org/officeDocument/2006/relationships/hyperlink" Target="http://ufcstats.com/fight-details/767819f321431bed" TargetMode="External"/><Relationship Id="rId264" Type="http://schemas.openxmlformats.org/officeDocument/2006/relationships/hyperlink" Target="http://ufcstats.com/fight-details/cf020c71f1dbfa0b" TargetMode="External"/><Relationship Id="rId471" Type="http://schemas.openxmlformats.org/officeDocument/2006/relationships/hyperlink" Target="http://ufcstats.com/fight-details/f004d3d50b78af50" TargetMode="External"/><Relationship Id="rId2152" Type="http://schemas.openxmlformats.org/officeDocument/2006/relationships/hyperlink" Target="http://ufcstats.com/fight-details/8b52a32f3644f493" TargetMode="External"/><Relationship Id="rId3550" Type="http://schemas.openxmlformats.org/officeDocument/2006/relationships/hyperlink" Target="http://ufcstats.com/fight-details/4c1fd940e1619e68" TargetMode="External"/><Relationship Id="rId124" Type="http://schemas.openxmlformats.org/officeDocument/2006/relationships/hyperlink" Target="http://ufcstats.com/fight-details/abb8c6c0a057184e" TargetMode="External"/><Relationship Id="rId3203" Type="http://schemas.openxmlformats.org/officeDocument/2006/relationships/hyperlink" Target="http://ufcstats.com/fight-details/3352c65f3f6d9b2a" TargetMode="External"/><Relationship Id="rId3410" Type="http://schemas.openxmlformats.org/officeDocument/2006/relationships/hyperlink" Target="http://ufcstats.com/fight-details/e0e4ce7595b5c26a" TargetMode="External"/><Relationship Id="rId331" Type="http://schemas.openxmlformats.org/officeDocument/2006/relationships/hyperlink" Target="http://ufcstats.com/fight-details/18cdc16fc7ab7ce1" TargetMode="External"/><Relationship Id="rId2012" Type="http://schemas.openxmlformats.org/officeDocument/2006/relationships/hyperlink" Target="http://ufcstats.com/fight-details/999a0fad4c82148d" TargetMode="External"/><Relationship Id="rId2969" Type="http://schemas.openxmlformats.org/officeDocument/2006/relationships/hyperlink" Target="http://ufcstats.com/fight-details/02713b2d25f74d43" TargetMode="External"/><Relationship Id="rId1778" Type="http://schemas.openxmlformats.org/officeDocument/2006/relationships/hyperlink" Target="http://ufcstats.com/fight-details/531d9676d767da66" TargetMode="External"/><Relationship Id="rId1985" Type="http://schemas.openxmlformats.org/officeDocument/2006/relationships/hyperlink" Target="http://ufcstats.com/fight-details/bdbddbc00d07dc4b" TargetMode="External"/><Relationship Id="rId2829" Type="http://schemas.openxmlformats.org/officeDocument/2006/relationships/hyperlink" Target="http://ufcstats.com/fight-details/3ea7d69a1238f26a" TargetMode="External"/><Relationship Id="rId4184" Type="http://schemas.openxmlformats.org/officeDocument/2006/relationships/hyperlink" Target="http://ufcstats.com/fight-details/4e22e3cdb8757be1" TargetMode="External"/><Relationship Id="rId4391" Type="http://schemas.openxmlformats.org/officeDocument/2006/relationships/hyperlink" Target="http://ufcstats.com/fight-details/4305cb30533dac77" TargetMode="External"/><Relationship Id="rId1638" Type="http://schemas.openxmlformats.org/officeDocument/2006/relationships/hyperlink" Target="http://ufcstats.com/fight-details/438fbdd4cf27e324" TargetMode="External"/><Relationship Id="rId4044" Type="http://schemas.openxmlformats.org/officeDocument/2006/relationships/hyperlink" Target="http://ufcstats.com/fight-details/7e047b195135ef06" TargetMode="External"/><Relationship Id="rId4251" Type="http://schemas.openxmlformats.org/officeDocument/2006/relationships/hyperlink" Target="http://ufcstats.com/fight-details/c22de92b9d9030dc" TargetMode="External"/><Relationship Id="rId1845" Type="http://schemas.openxmlformats.org/officeDocument/2006/relationships/hyperlink" Target="http://ufcstats.com/fight-details/d1621b3da377f34b" TargetMode="External"/><Relationship Id="rId3060" Type="http://schemas.openxmlformats.org/officeDocument/2006/relationships/hyperlink" Target="http://ufcstats.com/fight-details/bf732e22055e8634" TargetMode="External"/><Relationship Id="rId4111" Type="http://schemas.openxmlformats.org/officeDocument/2006/relationships/hyperlink" Target="http://ufcstats.com/fight-details/0820a29a03d58282" TargetMode="External"/><Relationship Id="rId1705" Type="http://schemas.openxmlformats.org/officeDocument/2006/relationships/hyperlink" Target="http://ufcstats.com/fight-details/aebdb007f8d1348a" TargetMode="External"/><Relationship Id="rId1912" Type="http://schemas.openxmlformats.org/officeDocument/2006/relationships/hyperlink" Target="http://ufcstats.com/fight-details/3b7eb8e56052a2af" TargetMode="External"/><Relationship Id="rId3877" Type="http://schemas.openxmlformats.org/officeDocument/2006/relationships/hyperlink" Target="http://ufcstats.com/fight-details/c814ef3b3a26e2fe" TargetMode="External"/><Relationship Id="rId798" Type="http://schemas.openxmlformats.org/officeDocument/2006/relationships/hyperlink" Target="http://ufcstats.com/fight-details/d3f5854d16fc31f9" TargetMode="External"/><Relationship Id="rId2479" Type="http://schemas.openxmlformats.org/officeDocument/2006/relationships/hyperlink" Target="http://ufcstats.com/fight-details/ba766bd03090dab9" TargetMode="External"/><Relationship Id="rId2686" Type="http://schemas.openxmlformats.org/officeDocument/2006/relationships/hyperlink" Target="http://ufcstats.com/fight-details/3e1bd51261cb61df" TargetMode="External"/><Relationship Id="rId2893" Type="http://schemas.openxmlformats.org/officeDocument/2006/relationships/hyperlink" Target="http://ufcstats.com/fight-details/fefa96b6d939ffea" TargetMode="External"/><Relationship Id="rId3737" Type="http://schemas.openxmlformats.org/officeDocument/2006/relationships/hyperlink" Target="http://ufcstats.com/fight-details/b6082b551288aa5a" TargetMode="External"/><Relationship Id="rId3944" Type="http://schemas.openxmlformats.org/officeDocument/2006/relationships/hyperlink" Target="http://ufcstats.com/fight-details/a773883743242df9" TargetMode="External"/><Relationship Id="rId658" Type="http://schemas.openxmlformats.org/officeDocument/2006/relationships/hyperlink" Target="http://ufcstats.com/fight-details/db5802643b9fd7d4" TargetMode="External"/><Relationship Id="rId865" Type="http://schemas.openxmlformats.org/officeDocument/2006/relationships/hyperlink" Target="http://ufcstats.com/fight-details/6ecd93dbbaba7e10" TargetMode="External"/><Relationship Id="rId1288" Type="http://schemas.openxmlformats.org/officeDocument/2006/relationships/hyperlink" Target="http://ufcstats.com/fight-details/e9c6bac0d1a5ec0f" TargetMode="External"/><Relationship Id="rId1495" Type="http://schemas.openxmlformats.org/officeDocument/2006/relationships/hyperlink" Target="http://ufcstats.com/fight-details/c4f443509308dec6" TargetMode="External"/><Relationship Id="rId2339" Type="http://schemas.openxmlformats.org/officeDocument/2006/relationships/hyperlink" Target="http://ufcstats.com/fight-details/3d3e7dc7b4bf2bc4" TargetMode="External"/><Relationship Id="rId2546" Type="http://schemas.openxmlformats.org/officeDocument/2006/relationships/hyperlink" Target="http://ufcstats.com/fight-details/93f3e9b9f093ad57" TargetMode="External"/><Relationship Id="rId2753" Type="http://schemas.openxmlformats.org/officeDocument/2006/relationships/hyperlink" Target="http://ufcstats.com/fight-details/0320a6a967069571" TargetMode="External"/><Relationship Id="rId2960" Type="http://schemas.openxmlformats.org/officeDocument/2006/relationships/hyperlink" Target="http://ufcstats.com/fight-details/5965800d88e0677c" TargetMode="External"/><Relationship Id="rId3804" Type="http://schemas.openxmlformats.org/officeDocument/2006/relationships/hyperlink" Target="http://ufcstats.com/fight-details/0e9b7e682e0a79f1" TargetMode="External"/><Relationship Id="rId518" Type="http://schemas.openxmlformats.org/officeDocument/2006/relationships/hyperlink" Target="http://ufcstats.com/fight-details/d439374c1fc95581" TargetMode="External"/><Relationship Id="rId725" Type="http://schemas.openxmlformats.org/officeDocument/2006/relationships/hyperlink" Target="http://ufcstats.com/fight-details/c4ecf4b894ccbced" TargetMode="External"/><Relationship Id="rId932" Type="http://schemas.openxmlformats.org/officeDocument/2006/relationships/hyperlink" Target="http://ufcstats.com/fight-details/e3fb9146a7eaaa47" TargetMode="External"/><Relationship Id="rId1148" Type="http://schemas.openxmlformats.org/officeDocument/2006/relationships/hyperlink" Target="http://ufcstats.com/fight-details/c6b040021b4ceb0f" TargetMode="External"/><Relationship Id="rId1355" Type="http://schemas.openxmlformats.org/officeDocument/2006/relationships/hyperlink" Target="http://ufcstats.com/fight-details/9d72aaaf34e5b512" TargetMode="External"/><Relationship Id="rId1562" Type="http://schemas.openxmlformats.org/officeDocument/2006/relationships/hyperlink" Target="http://ufcstats.com/fight-details/8c2fb17981464d8c" TargetMode="External"/><Relationship Id="rId2406" Type="http://schemas.openxmlformats.org/officeDocument/2006/relationships/hyperlink" Target="http://ufcstats.com/fight-details/47e8726b301f3f32" TargetMode="External"/><Relationship Id="rId2613" Type="http://schemas.openxmlformats.org/officeDocument/2006/relationships/hyperlink" Target="http://ufcstats.com/fight-details/85f920746c58d0a6" TargetMode="External"/><Relationship Id="rId1008" Type="http://schemas.openxmlformats.org/officeDocument/2006/relationships/hyperlink" Target="http://ufcstats.com/fight-details/dae80502466c8726" TargetMode="External"/><Relationship Id="rId1215" Type="http://schemas.openxmlformats.org/officeDocument/2006/relationships/hyperlink" Target="http://ufcstats.com/fight-details/6b9f82291930bfec" TargetMode="External"/><Relationship Id="rId1422" Type="http://schemas.openxmlformats.org/officeDocument/2006/relationships/hyperlink" Target="http://ufcstats.com/fight-details/d83ae4a2e117b775" TargetMode="External"/><Relationship Id="rId2820" Type="http://schemas.openxmlformats.org/officeDocument/2006/relationships/hyperlink" Target="http://ufcstats.com/fight-details/09b8253a30360429" TargetMode="External"/><Relationship Id="rId61" Type="http://schemas.openxmlformats.org/officeDocument/2006/relationships/hyperlink" Target="http://ufcstats.com/fight-details/214b268e4a92f950" TargetMode="External"/><Relationship Id="rId3387" Type="http://schemas.openxmlformats.org/officeDocument/2006/relationships/hyperlink" Target="http://ufcstats.com/fight-details/e8190df7465ba2df" TargetMode="External"/><Relationship Id="rId2196" Type="http://schemas.openxmlformats.org/officeDocument/2006/relationships/hyperlink" Target="http://ufcstats.com/fight-details/7f7d2abc21f171ca" TargetMode="External"/><Relationship Id="rId3594" Type="http://schemas.openxmlformats.org/officeDocument/2006/relationships/hyperlink" Target="http://ufcstats.com/fight-details/330d86bfaa4155fe" TargetMode="External"/><Relationship Id="rId4438" Type="http://schemas.openxmlformats.org/officeDocument/2006/relationships/hyperlink" Target="http://ufcstats.com/fight-details/652a956adab8ad0e" TargetMode="External"/><Relationship Id="rId168" Type="http://schemas.openxmlformats.org/officeDocument/2006/relationships/hyperlink" Target="http://ufcstats.com/fight-details/8da5849a6e7307bf" TargetMode="External"/><Relationship Id="rId3247" Type="http://schemas.openxmlformats.org/officeDocument/2006/relationships/hyperlink" Target="http://ufcstats.com/fight-details/054f1423ba7c121e" TargetMode="External"/><Relationship Id="rId3454" Type="http://schemas.openxmlformats.org/officeDocument/2006/relationships/hyperlink" Target="http://ufcstats.com/fight-details/0d043ecaf5bbc3ae" TargetMode="External"/><Relationship Id="rId3661" Type="http://schemas.openxmlformats.org/officeDocument/2006/relationships/hyperlink" Target="http://ufcstats.com/fight-details/8636b67096df4b27" TargetMode="External"/><Relationship Id="rId375" Type="http://schemas.openxmlformats.org/officeDocument/2006/relationships/hyperlink" Target="http://ufcstats.com/fight-details/c7bc785e99d3ee2a" TargetMode="External"/><Relationship Id="rId582" Type="http://schemas.openxmlformats.org/officeDocument/2006/relationships/hyperlink" Target="http://ufcstats.com/fight-details/d95f21817a56eb05" TargetMode="External"/><Relationship Id="rId2056" Type="http://schemas.openxmlformats.org/officeDocument/2006/relationships/hyperlink" Target="http://ufcstats.com/fight-details/951968aa52a84928" TargetMode="External"/><Relationship Id="rId2263" Type="http://schemas.openxmlformats.org/officeDocument/2006/relationships/hyperlink" Target="http://ufcstats.com/fight-details/68095e551ff6bbfd" TargetMode="External"/><Relationship Id="rId2470" Type="http://schemas.openxmlformats.org/officeDocument/2006/relationships/hyperlink" Target="http://ufcstats.com/fight-details/62d53ad8f8769666" TargetMode="External"/><Relationship Id="rId3107" Type="http://schemas.openxmlformats.org/officeDocument/2006/relationships/hyperlink" Target="http://ufcstats.com/fight-details/fd76b75c28dc247a" TargetMode="External"/><Relationship Id="rId3314" Type="http://schemas.openxmlformats.org/officeDocument/2006/relationships/hyperlink" Target="http://ufcstats.com/fight-details/43dfb2c1e5fecac9" TargetMode="External"/><Relationship Id="rId3521" Type="http://schemas.openxmlformats.org/officeDocument/2006/relationships/hyperlink" Target="http://ufcstats.com/fight-details/8417a20d56fe6776" TargetMode="External"/><Relationship Id="rId235" Type="http://schemas.openxmlformats.org/officeDocument/2006/relationships/hyperlink" Target="http://ufcstats.com/fight-details/0ccd2593c88209e4" TargetMode="External"/><Relationship Id="rId442" Type="http://schemas.openxmlformats.org/officeDocument/2006/relationships/hyperlink" Target="http://ufcstats.com/fight-details/1f7566c90343a680" TargetMode="External"/><Relationship Id="rId1072" Type="http://schemas.openxmlformats.org/officeDocument/2006/relationships/hyperlink" Target="http://ufcstats.com/fight-details/ddbe6fd66d7f9e35" TargetMode="External"/><Relationship Id="rId2123" Type="http://schemas.openxmlformats.org/officeDocument/2006/relationships/hyperlink" Target="http://ufcstats.com/fight-details/cf18911df2052826" TargetMode="External"/><Relationship Id="rId2330" Type="http://schemas.openxmlformats.org/officeDocument/2006/relationships/hyperlink" Target="http://ufcstats.com/fight-details/8515f07911765f89" TargetMode="External"/><Relationship Id="rId302" Type="http://schemas.openxmlformats.org/officeDocument/2006/relationships/hyperlink" Target="http://ufcstats.com/fight-details/127be512f86618b2" TargetMode="External"/><Relationship Id="rId4088" Type="http://schemas.openxmlformats.org/officeDocument/2006/relationships/hyperlink" Target="http://ufcstats.com/fight-details/dfa2fda311df08cf" TargetMode="External"/><Relationship Id="rId4295" Type="http://schemas.openxmlformats.org/officeDocument/2006/relationships/hyperlink" Target="http://ufcstats.com/fight-details/af5b940f2c686524" TargetMode="External"/><Relationship Id="rId1889" Type="http://schemas.openxmlformats.org/officeDocument/2006/relationships/hyperlink" Target="http://ufcstats.com/fight-details/e5e75d831670b401" TargetMode="External"/><Relationship Id="rId4155" Type="http://schemas.openxmlformats.org/officeDocument/2006/relationships/hyperlink" Target="http://ufcstats.com/fight-details/1eccf793b54b84f8" TargetMode="External"/><Relationship Id="rId4362" Type="http://schemas.openxmlformats.org/officeDocument/2006/relationships/hyperlink" Target="http://ufcstats.com/fight-details/475a41d83edd47dd" TargetMode="External"/><Relationship Id="rId1749" Type="http://schemas.openxmlformats.org/officeDocument/2006/relationships/hyperlink" Target="http://ufcstats.com/fight-details/8a9c8f1d53d8c664" TargetMode="External"/><Relationship Id="rId1956" Type="http://schemas.openxmlformats.org/officeDocument/2006/relationships/hyperlink" Target="http://ufcstats.com/fight-details/23a75c0338d25abc" TargetMode="External"/><Relationship Id="rId3171" Type="http://schemas.openxmlformats.org/officeDocument/2006/relationships/hyperlink" Target="http://ufcstats.com/fight-details/fc29884851f9cebb" TargetMode="External"/><Relationship Id="rId4015" Type="http://schemas.openxmlformats.org/officeDocument/2006/relationships/hyperlink" Target="http://ufcstats.com/fight-details/2060e8172f820d80" TargetMode="External"/><Relationship Id="rId1609" Type="http://schemas.openxmlformats.org/officeDocument/2006/relationships/hyperlink" Target="http://ufcstats.com/fight-details/3bebd99d5f94bec7" TargetMode="External"/><Relationship Id="rId1816" Type="http://schemas.openxmlformats.org/officeDocument/2006/relationships/hyperlink" Target="http://ufcstats.com/fight-details/478bc7d1288e043e" TargetMode="External"/><Relationship Id="rId4222" Type="http://schemas.openxmlformats.org/officeDocument/2006/relationships/hyperlink" Target="http://ufcstats.com/fight-details/53abea410a0541c8" TargetMode="External"/><Relationship Id="rId3031" Type="http://schemas.openxmlformats.org/officeDocument/2006/relationships/hyperlink" Target="http://ufcstats.com/fight-details/4496c2fa6aaccba6" TargetMode="External"/><Relationship Id="rId3988" Type="http://schemas.openxmlformats.org/officeDocument/2006/relationships/hyperlink" Target="http://ufcstats.com/fight-details/6ca856d1950d8f7f" TargetMode="External"/><Relationship Id="rId2797" Type="http://schemas.openxmlformats.org/officeDocument/2006/relationships/hyperlink" Target="http://ufcstats.com/fight-details/d9a218ac3e148541" TargetMode="External"/><Relationship Id="rId3848" Type="http://schemas.openxmlformats.org/officeDocument/2006/relationships/hyperlink" Target="http://ufcstats.com/fight-details/c20e6697335c3b3d" TargetMode="External"/><Relationship Id="rId769" Type="http://schemas.openxmlformats.org/officeDocument/2006/relationships/hyperlink" Target="http://ufcstats.com/fight-details/5afd44d1e567d2e8" TargetMode="External"/><Relationship Id="rId976" Type="http://schemas.openxmlformats.org/officeDocument/2006/relationships/hyperlink" Target="http://ufcstats.com/fight-details/62b64802ea49e2fd" TargetMode="External"/><Relationship Id="rId1399" Type="http://schemas.openxmlformats.org/officeDocument/2006/relationships/hyperlink" Target="http://ufcstats.com/fight-details/9bc18b63b07bb328" TargetMode="External"/><Relationship Id="rId2657" Type="http://schemas.openxmlformats.org/officeDocument/2006/relationships/hyperlink" Target="http://ufcstats.com/fight-details/aaad7e29825b3264" TargetMode="External"/><Relationship Id="rId629" Type="http://schemas.openxmlformats.org/officeDocument/2006/relationships/hyperlink" Target="http://ufcstats.com/fight-details/a260238fdb9c47cf" TargetMode="External"/><Relationship Id="rId1259" Type="http://schemas.openxmlformats.org/officeDocument/2006/relationships/hyperlink" Target="http://ufcstats.com/fight-details/0165bd3c26f0c076" TargetMode="External"/><Relationship Id="rId1466" Type="http://schemas.openxmlformats.org/officeDocument/2006/relationships/hyperlink" Target="http://ufcstats.com/fight-details/066756ea40b134a7" TargetMode="External"/><Relationship Id="rId2864" Type="http://schemas.openxmlformats.org/officeDocument/2006/relationships/hyperlink" Target="http://ufcstats.com/fight-details/897d9e21c59d0633" TargetMode="External"/><Relationship Id="rId3708" Type="http://schemas.openxmlformats.org/officeDocument/2006/relationships/hyperlink" Target="http://ufcstats.com/fight-details/01924e35b149b28f" TargetMode="External"/><Relationship Id="rId3915" Type="http://schemas.openxmlformats.org/officeDocument/2006/relationships/hyperlink" Target="http://ufcstats.com/fight-details/97125cd6a94b6394" TargetMode="External"/><Relationship Id="rId836" Type="http://schemas.openxmlformats.org/officeDocument/2006/relationships/hyperlink" Target="http://ufcstats.com/fight-details/f882cf76a8bce308" TargetMode="External"/><Relationship Id="rId1119" Type="http://schemas.openxmlformats.org/officeDocument/2006/relationships/hyperlink" Target="http://ufcstats.com/fight-details/311156891c7bdf60" TargetMode="External"/><Relationship Id="rId1673" Type="http://schemas.openxmlformats.org/officeDocument/2006/relationships/hyperlink" Target="http://ufcstats.com/fight-details/868c83e734dbbceb" TargetMode="External"/><Relationship Id="rId1880" Type="http://schemas.openxmlformats.org/officeDocument/2006/relationships/hyperlink" Target="http://ufcstats.com/fight-details/0ccc86f7d0e84c3e" TargetMode="External"/><Relationship Id="rId2517" Type="http://schemas.openxmlformats.org/officeDocument/2006/relationships/hyperlink" Target="http://ufcstats.com/fight-details/d333a6c34ff16397" TargetMode="External"/><Relationship Id="rId2724" Type="http://schemas.openxmlformats.org/officeDocument/2006/relationships/hyperlink" Target="http://ufcstats.com/fight-details/e24c8aab497b4fe1" TargetMode="External"/><Relationship Id="rId2931" Type="http://schemas.openxmlformats.org/officeDocument/2006/relationships/hyperlink" Target="http://ufcstats.com/fight-details/f8ee14dbf966b9e6" TargetMode="External"/><Relationship Id="rId903" Type="http://schemas.openxmlformats.org/officeDocument/2006/relationships/hyperlink" Target="http://ufcstats.com/fight-details/344d60564cd136ff" TargetMode="External"/><Relationship Id="rId1326" Type="http://schemas.openxmlformats.org/officeDocument/2006/relationships/hyperlink" Target="http://ufcstats.com/fight-details/70feb2bfc12b97d4" TargetMode="External"/><Relationship Id="rId1533" Type="http://schemas.openxmlformats.org/officeDocument/2006/relationships/hyperlink" Target="http://ufcstats.com/fight-details/278b965694e563b2" TargetMode="External"/><Relationship Id="rId1740" Type="http://schemas.openxmlformats.org/officeDocument/2006/relationships/hyperlink" Target="http://ufcstats.com/fight-details/801b3f24c670f19a" TargetMode="External"/><Relationship Id="rId32" Type="http://schemas.openxmlformats.org/officeDocument/2006/relationships/hyperlink" Target="http://ufcstats.com/fight-details/9de23eb1471e592b" TargetMode="External"/><Relationship Id="rId1600" Type="http://schemas.openxmlformats.org/officeDocument/2006/relationships/hyperlink" Target="http://ufcstats.com/fight-details/8d5b88e0ff253617" TargetMode="External"/><Relationship Id="rId3498" Type="http://schemas.openxmlformats.org/officeDocument/2006/relationships/hyperlink" Target="http://ufcstats.com/fight-details/81fda78adcaedbc7" TargetMode="External"/><Relationship Id="rId3358" Type="http://schemas.openxmlformats.org/officeDocument/2006/relationships/hyperlink" Target="http://ufcstats.com/fight-details/7410ac7e4e5acb74" TargetMode="External"/><Relationship Id="rId3565" Type="http://schemas.openxmlformats.org/officeDocument/2006/relationships/hyperlink" Target="http://ufcstats.com/fight-details/6b325792b8fb1f46" TargetMode="External"/><Relationship Id="rId3772" Type="http://schemas.openxmlformats.org/officeDocument/2006/relationships/hyperlink" Target="http://ufcstats.com/fight-details/f17813d03fcd8e7a" TargetMode="External"/><Relationship Id="rId4409" Type="http://schemas.openxmlformats.org/officeDocument/2006/relationships/hyperlink" Target="http://ufcstats.com/fight-details/5081319e58f9759f" TargetMode="External"/><Relationship Id="rId279" Type="http://schemas.openxmlformats.org/officeDocument/2006/relationships/hyperlink" Target="http://ufcstats.com/fight-details/678d27af287476f8" TargetMode="External"/><Relationship Id="rId486" Type="http://schemas.openxmlformats.org/officeDocument/2006/relationships/hyperlink" Target="http://ufcstats.com/fight-details/2f4d42e0b9696f71" TargetMode="External"/><Relationship Id="rId693" Type="http://schemas.openxmlformats.org/officeDocument/2006/relationships/hyperlink" Target="http://ufcstats.com/fight-details/f047e3605f8852d8" TargetMode="External"/><Relationship Id="rId2167" Type="http://schemas.openxmlformats.org/officeDocument/2006/relationships/hyperlink" Target="http://ufcstats.com/fight-details/4e3611c9a9e20ff0" TargetMode="External"/><Relationship Id="rId2374" Type="http://schemas.openxmlformats.org/officeDocument/2006/relationships/hyperlink" Target="http://ufcstats.com/fight-details/537b3cef39d2d573" TargetMode="External"/><Relationship Id="rId2581" Type="http://schemas.openxmlformats.org/officeDocument/2006/relationships/hyperlink" Target="http://ufcstats.com/fight-details/17050a7b673dc49d" TargetMode="External"/><Relationship Id="rId3218" Type="http://schemas.openxmlformats.org/officeDocument/2006/relationships/hyperlink" Target="http://ufcstats.com/fight-details/e3881a6895be3e9e" TargetMode="External"/><Relationship Id="rId3425" Type="http://schemas.openxmlformats.org/officeDocument/2006/relationships/hyperlink" Target="http://ufcstats.com/fight-details/88ce808e4e604180" TargetMode="External"/><Relationship Id="rId3632" Type="http://schemas.openxmlformats.org/officeDocument/2006/relationships/hyperlink" Target="http://ufcstats.com/fight-details/87b0475688168a42" TargetMode="External"/><Relationship Id="rId139" Type="http://schemas.openxmlformats.org/officeDocument/2006/relationships/hyperlink" Target="http://ufcstats.com/fight-details/6ac3d588f9630f0a" TargetMode="External"/><Relationship Id="rId346" Type="http://schemas.openxmlformats.org/officeDocument/2006/relationships/hyperlink" Target="http://ufcstats.com/fight-details/43543a2c1c7a7135" TargetMode="External"/><Relationship Id="rId553" Type="http://schemas.openxmlformats.org/officeDocument/2006/relationships/hyperlink" Target="http://ufcstats.com/fight-details/41be95916aef568f" TargetMode="External"/><Relationship Id="rId760" Type="http://schemas.openxmlformats.org/officeDocument/2006/relationships/hyperlink" Target="http://ufcstats.com/fight-details/5b55a8e33199d71e" TargetMode="External"/><Relationship Id="rId1183" Type="http://schemas.openxmlformats.org/officeDocument/2006/relationships/hyperlink" Target="http://ufcstats.com/fight-details/8725dc88f2e0a6f3" TargetMode="External"/><Relationship Id="rId1390" Type="http://schemas.openxmlformats.org/officeDocument/2006/relationships/hyperlink" Target="http://ufcstats.com/fight-details/9d3a38cc18807e10" TargetMode="External"/><Relationship Id="rId2027" Type="http://schemas.openxmlformats.org/officeDocument/2006/relationships/hyperlink" Target="http://ufcstats.com/fight-details/3eac2d47ac252f4b" TargetMode="External"/><Relationship Id="rId2234" Type="http://schemas.openxmlformats.org/officeDocument/2006/relationships/hyperlink" Target="http://ufcstats.com/fight-details/1ed8776f978a0155" TargetMode="External"/><Relationship Id="rId2441" Type="http://schemas.openxmlformats.org/officeDocument/2006/relationships/hyperlink" Target="http://ufcstats.com/fight-details/1e176413438fabd5" TargetMode="External"/><Relationship Id="rId206" Type="http://schemas.openxmlformats.org/officeDocument/2006/relationships/hyperlink" Target="http://ufcstats.com/fight-details/8b97cd609c7152b7" TargetMode="External"/><Relationship Id="rId413" Type="http://schemas.openxmlformats.org/officeDocument/2006/relationships/hyperlink" Target="http://ufcstats.com/fight-details/79da0eacafb22f86" TargetMode="External"/><Relationship Id="rId1043" Type="http://schemas.openxmlformats.org/officeDocument/2006/relationships/hyperlink" Target="http://ufcstats.com/fight-details/ca7d61e167d7789c" TargetMode="External"/><Relationship Id="rId4199" Type="http://schemas.openxmlformats.org/officeDocument/2006/relationships/hyperlink" Target="http://ufcstats.com/fight-details/b2cdb4c34f37ad37" TargetMode="External"/><Relationship Id="rId620" Type="http://schemas.openxmlformats.org/officeDocument/2006/relationships/hyperlink" Target="http://ufcstats.com/fight-details/528c208293bdef13" TargetMode="External"/><Relationship Id="rId1250" Type="http://schemas.openxmlformats.org/officeDocument/2006/relationships/hyperlink" Target="http://ufcstats.com/fight-details/fb70b62915fdcec6" TargetMode="External"/><Relationship Id="rId2301" Type="http://schemas.openxmlformats.org/officeDocument/2006/relationships/hyperlink" Target="http://ufcstats.com/fight-details/b7ab4cd6ce7a71dd" TargetMode="External"/><Relationship Id="rId4059" Type="http://schemas.openxmlformats.org/officeDocument/2006/relationships/hyperlink" Target="http://ufcstats.com/fight-details/06c0c7dda5a5909d" TargetMode="External"/><Relationship Id="rId1110" Type="http://schemas.openxmlformats.org/officeDocument/2006/relationships/hyperlink" Target="http://ufcstats.com/fight-details/88c712be47805d63" TargetMode="External"/><Relationship Id="rId4266" Type="http://schemas.openxmlformats.org/officeDocument/2006/relationships/hyperlink" Target="http://ufcstats.com/fight-details/5eaff5c832430378" TargetMode="External"/><Relationship Id="rId1927" Type="http://schemas.openxmlformats.org/officeDocument/2006/relationships/hyperlink" Target="http://ufcstats.com/fight-details/823797bc6d532b52" TargetMode="External"/><Relationship Id="rId3075" Type="http://schemas.openxmlformats.org/officeDocument/2006/relationships/hyperlink" Target="http://ufcstats.com/fight-details/5b9f545890407976" TargetMode="External"/><Relationship Id="rId3282" Type="http://schemas.openxmlformats.org/officeDocument/2006/relationships/hyperlink" Target="http://ufcstats.com/fight-details/cea6760d7bfbe19b" TargetMode="External"/><Relationship Id="rId4126" Type="http://schemas.openxmlformats.org/officeDocument/2006/relationships/hyperlink" Target="http://ufcstats.com/fight-details/f0e0effb1b2de6ae" TargetMode="External"/><Relationship Id="rId4333" Type="http://schemas.openxmlformats.org/officeDocument/2006/relationships/hyperlink" Target="http://ufcstats.com/fight-details/e8d59c27b467d716" TargetMode="External"/><Relationship Id="rId2091" Type="http://schemas.openxmlformats.org/officeDocument/2006/relationships/hyperlink" Target="http://ufcstats.com/fight-details/3d7ea6012fd8f786" TargetMode="External"/><Relationship Id="rId3142" Type="http://schemas.openxmlformats.org/officeDocument/2006/relationships/hyperlink" Target="http://ufcstats.com/fight-details/279b4190d9ef1379" TargetMode="External"/><Relationship Id="rId4400" Type="http://schemas.openxmlformats.org/officeDocument/2006/relationships/hyperlink" Target="http://ufcstats.com/fight-details/6c25f8fd66f16d7e" TargetMode="External"/><Relationship Id="rId270" Type="http://schemas.openxmlformats.org/officeDocument/2006/relationships/hyperlink" Target="http://ufcstats.com/fight-details/b400c29fbeee0206" TargetMode="External"/><Relationship Id="rId3002" Type="http://schemas.openxmlformats.org/officeDocument/2006/relationships/hyperlink" Target="http://ufcstats.com/fight-details/9c884cbc3791bf60" TargetMode="External"/><Relationship Id="rId130" Type="http://schemas.openxmlformats.org/officeDocument/2006/relationships/hyperlink" Target="http://ufcstats.com/fight-details/bfacb44c24bfe0e9" TargetMode="External"/><Relationship Id="rId3959" Type="http://schemas.openxmlformats.org/officeDocument/2006/relationships/hyperlink" Target="http://ufcstats.com/fight-details/8cf4836e2b43c241" TargetMode="External"/><Relationship Id="rId2768" Type="http://schemas.openxmlformats.org/officeDocument/2006/relationships/hyperlink" Target="http://ufcstats.com/fight-details/eadb215519406e92" TargetMode="External"/><Relationship Id="rId2975" Type="http://schemas.openxmlformats.org/officeDocument/2006/relationships/hyperlink" Target="http://ufcstats.com/fight-details/363b72bf7f75091c" TargetMode="External"/><Relationship Id="rId3819" Type="http://schemas.openxmlformats.org/officeDocument/2006/relationships/hyperlink" Target="http://ufcstats.com/fight-details/8b2b2562884821a7" TargetMode="External"/><Relationship Id="rId947" Type="http://schemas.openxmlformats.org/officeDocument/2006/relationships/hyperlink" Target="http://ufcstats.com/fight-details/159646a9d2ae8ea5" TargetMode="External"/><Relationship Id="rId1577" Type="http://schemas.openxmlformats.org/officeDocument/2006/relationships/hyperlink" Target="http://ufcstats.com/fight-details/b70dfff154b135bf" TargetMode="External"/><Relationship Id="rId1784" Type="http://schemas.openxmlformats.org/officeDocument/2006/relationships/hyperlink" Target="http://ufcstats.com/fight-details/451d7d8c2a6bacb3" TargetMode="External"/><Relationship Id="rId1991" Type="http://schemas.openxmlformats.org/officeDocument/2006/relationships/hyperlink" Target="http://ufcstats.com/fight-details/ce7744d45a698aa6" TargetMode="External"/><Relationship Id="rId2628" Type="http://schemas.openxmlformats.org/officeDocument/2006/relationships/hyperlink" Target="http://ufcstats.com/fight-details/0fe4906754b2d0f9" TargetMode="External"/><Relationship Id="rId2835" Type="http://schemas.openxmlformats.org/officeDocument/2006/relationships/hyperlink" Target="http://ufcstats.com/fight-details/1e3c67921162561d" TargetMode="External"/><Relationship Id="rId4190" Type="http://schemas.openxmlformats.org/officeDocument/2006/relationships/hyperlink" Target="http://ufcstats.com/fight-details/74fef059e229d217" TargetMode="External"/><Relationship Id="rId76" Type="http://schemas.openxmlformats.org/officeDocument/2006/relationships/hyperlink" Target="http://ufcstats.com/fight-details/670e4754d8d3d172" TargetMode="External"/><Relationship Id="rId807" Type="http://schemas.openxmlformats.org/officeDocument/2006/relationships/hyperlink" Target="http://ufcstats.com/fight-details/538ca98010ed00ec" TargetMode="External"/><Relationship Id="rId1437" Type="http://schemas.openxmlformats.org/officeDocument/2006/relationships/hyperlink" Target="http://ufcstats.com/fight-details/470a3c1b89504258" TargetMode="External"/><Relationship Id="rId1644" Type="http://schemas.openxmlformats.org/officeDocument/2006/relationships/hyperlink" Target="http://ufcstats.com/fight-details/12563423bf15e75d" TargetMode="External"/><Relationship Id="rId1851" Type="http://schemas.openxmlformats.org/officeDocument/2006/relationships/hyperlink" Target="http://ufcstats.com/fight-details/d869eaea38426f06" TargetMode="External"/><Relationship Id="rId2902" Type="http://schemas.openxmlformats.org/officeDocument/2006/relationships/hyperlink" Target="http://ufcstats.com/fight-details/41622791b276ad9e" TargetMode="External"/><Relationship Id="rId4050" Type="http://schemas.openxmlformats.org/officeDocument/2006/relationships/hyperlink" Target="http://ufcstats.com/fight-details/0a0beb5aa9810de4" TargetMode="External"/><Relationship Id="rId1504" Type="http://schemas.openxmlformats.org/officeDocument/2006/relationships/hyperlink" Target="http://ufcstats.com/fight-details/42ad1437a1280294" TargetMode="External"/><Relationship Id="rId1711" Type="http://schemas.openxmlformats.org/officeDocument/2006/relationships/hyperlink" Target="http://ufcstats.com/fight-details/55bd050afe169b34" TargetMode="External"/><Relationship Id="rId3469" Type="http://schemas.openxmlformats.org/officeDocument/2006/relationships/hyperlink" Target="http://ufcstats.com/fight-details/43b9e58ebf4a75ea" TargetMode="External"/><Relationship Id="rId3676" Type="http://schemas.openxmlformats.org/officeDocument/2006/relationships/hyperlink" Target="http://ufcstats.com/fight-details/91afc389191d41fb" TargetMode="External"/><Relationship Id="rId597" Type="http://schemas.openxmlformats.org/officeDocument/2006/relationships/hyperlink" Target="http://ufcstats.com/fight-details/7ee8b91d7f80f8a7" TargetMode="External"/><Relationship Id="rId2278" Type="http://schemas.openxmlformats.org/officeDocument/2006/relationships/hyperlink" Target="http://ufcstats.com/fight-details/fa2e2a035b36b9d6" TargetMode="External"/><Relationship Id="rId2485" Type="http://schemas.openxmlformats.org/officeDocument/2006/relationships/hyperlink" Target="http://ufcstats.com/fight-details/319b96f615a0a154" TargetMode="External"/><Relationship Id="rId3329" Type="http://schemas.openxmlformats.org/officeDocument/2006/relationships/hyperlink" Target="http://ufcstats.com/fight-details/d80fd2ec736f7df2" TargetMode="External"/><Relationship Id="rId3883" Type="http://schemas.openxmlformats.org/officeDocument/2006/relationships/hyperlink" Target="http://ufcstats.com/fight-details/f993be991eea6016" TargetMode="External"/><Relationship Id="rId457" Type="http://schemas.openxmlformats.org/officeDocument/2006/relationships/hyperlink" Target="http://ufcstats.com/fight-details/804c350ce714770f" TargetMode="External"/><Relationship Id="rId1087" Type="http://schemas.openxmlformats.org/officeDocument/2006/relationships/hyperlink" Target="http://ufcstats.com/fight-details/bc1787883f9328be" TargetMode="External"/><Relationship Id="rId1294" Type="http://schemas.openxmlformats.org/officeDocument/2006/relationships/hyperlink" Target="http://ufcstats.com/fight-details/de93fda66d203c26" TargetMode="External"/><Relationship Id="rId2138" Type="http://schemas.openxmlformats.org/officeDocument/2006/relationships/hyperlink" Target="http://ufcstats.com/fight-details/0596fc5eba5c1fe0" TargetMode="External"/><Relationship Id="rId2692" Type="http://schemas.openxmlformats.org/officeDocument/2006/relationships/hyperlink" Target="http://ufcstats.com/fight-details/313801a4262f1ea5" TargetMode="External"/><Relationship Id="rId3536" Type="http://schemas.openxmlformats.org/officeDocument/2006/relationships/hyperlink" Target="http://ufcstats.com/fight-details/288c942b0ad152a6" TargetMode="External"/><Relationship Id="rId3743" Type="http://schemas.openxmlformats.org/officeDocument/2006/relationships/hyperlink" Target="http://ufcstats.com/fight-details/9dcf8ce308eaa050" TargetMode="External"/><Relationship Id="rId3950" Type="http://schemas.openxmlformats.org/officeDocument/2006/relationships/hyperlink" Target="http://ufcstats.com/fight-details/b58972ad7dcf65e6" TargetMode="External"/><Relationship Id="rId664" Type="http://schemas.openxmlformats.org/officeDocument/2006/relationships/hyperlink" Target="http://ufcstats.com/fight-details/e255fc129f225a55" TargetMode="External"/><Relationship Id="rId871" Type="http://schemas.openxmlformats.org/officeDocument/2006/relationships/hyperlink" Target="http://ufcstats.com/fight-details/4dd2bcd2b025204e" TargetMode="External"/><Relationship Id="rId2345" Type="http://schemas.openxmlformats.org/officeDocument/2006/relationships/hyperlink" Target="http://ufcstats.com/fight-details/02bdb7a5b2986571" TargetMode="External"/><Relationship Id="rId2552" Type="http://schemas.openxmlformats.org/officeDocument/2006/relationships/hyperlink" Target="http://ufcstats.com/fight-details/437c6e18f41287f1" TargetMode="External"/><Relationship Id="rId3603" Type="http://schemas.openxmlformats.org/officeDocument/2006/relationships/hyperlink" Target="http://ufcstats.com/fight-details/81de3929330076d2" TargetMode="External"/><Relationship Id="rId3810" Type="http://schemas.openxmlformats.org/officeDocument/2006/relationships/hyperlink" Target="http://ufcstats.com/fight-details/d401522de73b7bee" TargetMode="External"/><Relationship Id="rId317" Type="http://schemas.openxmlformats.org/officeDocument/2006/relationships/hyperlink" Target="http://ufcstats.com/fight-details/d3f44fedc561d2d5" TargetMode="External"/><Relationship Id="rId524" Type="http://schemas.openxmlformats.org/officeDocument/2006/relationships/hyperlink" Target="http://ufcstats.com/fight-details/765482eb58e8db48" TargetMode="External"/><Relationship Id="rId731" Type="http://schemas.openxmlformats.org/officeDocument/2006/relationships/hyperlink" Target="http://ufcstats.com/fight-details/6be073563a421bca" TargetMode="External"/><Relationship Id="rId1154" Type="http://schemas.openxmlformats.org/officeDocument/2006/relationships/hyperlink" Target="http://ufcstats.com/fight-details/376dddfa82debbf4" TargetMode="External"/><Relationship Id="rId1361" Type="http://schemas.openxmlformats.org/officeDocument/2006/relationships/hyperlink" Target="http://ufcstats.com/fight-details/35ebaf80f8730b14" TargetMode="External"/><Relationship Id="rId2205" Type="http://schemas.openxmlformats.org/officeDocument/2006/relationships/hyperlink" Target="http://ufcstats.com/fight-details/7f0175f71481b63d" TargetMode="External"/><Relationship Id="rId2412" Type="http://schemas.openxmlformats.org/officeDocument/2006/relationships/hyperlink" Target="http://ufcstats.com/fight-details/e40a5bd62ce710ac" TargetMode="External"/><Relationship Id="rId1014" Type="http://schemas.openxmlformats.org/officeDocument/2006/relationships/hyperlink" Target="http://ufcstats.com/fight-details/8d89f3b8798f444d" TargetMode="External"/><Relationship Id="rId1221" Type="http://schemas.openxmlformats.org/officeDocument/2006/relationships/hyperlink" Target="http://ufcstats.com/fight-details/cfca30d3ef3c86b9" TargetMode="External"/><Relationship Id="rId4377" Type="http://schemas.openxmlformats.org/officeDocument/2006/relationships/hyperlink" Target="http://ufcstats.com/fight-details/eb30c9c975e15436" TargetMode="External"/><Relationship Id="rId3186" Type="http://schemas.openxmlformats.org/officeDocument/2006/relationships/hyperlink" Target="http://ufcstats.com/fight-details/0cbeda449bc94af7" TargetMode="External"/><Relationship Id="rId3393" Type="http://schemas.openxmlformats.org/officeDocument/2006/relationships/hyperlink" Target="http://ufcstats.com/fight-details/d2b5ce5548b71668" TargetMode="External"/><Relationship Id="rId4237" Type="http://schemas.openxmlformats.org/officeDocument/2006/relationships/hyperlink" Target="http://ufcstats.com/fight-details/0ffbf3096a13b47e" TargetMode="External"/><Relationship Id="rId4444" Type="http://schemas.openxmlformats.org/officeDocument/2006/relationships/hyperlink" Target="http://ufcstats.com/fight-details/e52318719d839d2d" TargetMode="External"/><Relationship Id="rId3046" Type="http://schemas.openxmlformats.org/officeDocument/2006/relationships/hyperlink" Target="http://ufcstats.com/fight-details/19df0d0cb1269fa7" TargetMode="External"/><Relationship Id="rId3253" Type="http://schemas.openxmlformats.org/officeDocument/2006/relationships/hyperlink" Target="http://ufcstats.com/fight-details/454861874ecc52d7" TargetMode="External"/><Relationship Id="rId3460" Type="http://schemas.openxmlformats.org/officeDocument/2006/relationships/hyperlink" Target="http://ufcstats.com/fight-details/d48f938269b8ed0b" TargetMode="External"/><Relationship Id="rId4304" Type="http://schemas.openxmlformats.org/officeDocument/2006/relationships/hyperlink" Target="http://ufcstats.com/fight-details/97c76d44699f7c93" TargetMode="External"/><Relationship Id="rId174" Type="http://schemas.openxmlformats.org/officeDocument/2006/relationships/hyperlink" Target="http://ufcstats.com/fight-details/58e21d505c082a9e" TargetMode="External"/><Relationship Id="rId381" Type="http://schemas.openxmlformats.org/officeDocument/2006/relationships/hyperlink" Target="http://ufcstats.com/fight-details/5362ea7c63432cf9" TargetMode="External"/><Relationship Id="rId2062" Type="http://schemas.openxmlformats.org/officeDocument/2006/relationships/hyperlink" Target="http://ufcstats.com/fight-details/060dfbc982c6c4ef" TargetMode="External"/><Relationship Id="rId3113" Type="http://schemas.openxmlformats.org/officeDocument/2006/relationships/hyperlink" Target="http://ufcstats.com/fight-details/dfc8c5161ea0ccb5" TargetMode="External"/><Relationship Id="rId241" Type="http://schemas.openxmlformats.org/officeDocument/2006/relationships/hyperlink" Target="http://ufcstats.com/fight-details/9ef858837dfc65eb" TargetMode="External"/><Relationship Id="rId3320" Type="http://schemas.openxmlformats.org/officeDocument/2006/relationships/hyperlink" Target="http://ufcstats.com/fight-details/4b3af85b0df51d09" TargetMode="External"/><Relationship Id="rId2879" Type="http://schemas.openxmlformats.org/officeDocument/2006/relationships/hyperlink" Target="http://ufcstats.com/fight-details/92e006a93f983fb5" TargetMode="External"/><Relationship Id="rId101" Type="http://schemas.openxmlformats.org/officeDocument/2006/relationships/hyperlink" Target="http://ufcstats.com/fight-details/bee95769a221af9a" TargetMode="External"/><Relationship Id="rId1688" Type="http://schemas.openxmlformats.org/officeDocument/2006/relationships/hyperlink" Target="http://ufcstats.com/fight-details/138c8807fef52564" TargetMode="External"/><Relationship Id="rId1895" Type="http://schemas.openxmlformats.org/officeDocument/2006/relationships/hyperlink" Target="http://ufcstats.com/fight-details/2fed4f1d91767eb1" TargetMode="External"/><Relationship Id="rId2739" Type="http://schemas.openxmlformats.org/officeDocument/2006/relationships/hyperlink" Target="http://ufcstats.com/fight-details/68a93f8eb34f3251" TargetMode="External"/><Relationship Id="rId2946" Type="http://schemas.openxmlformats.org/officeDocument/2006/relationships/hyperlink" Target="http://ufcstats.com/fight-details/ed72edc2ce0f3c5f" TargetMode="External"/><Relationship Id="rId4094" Type="http://schemas.openxmlformats.org/officeDocument/2006/relationships/hyperlink" Target="http://ufcstats.com/fight-details/75e580d5ea37c519" TargetMode="External"/><Relationship Id="rId918" Type="http://schemas.openxmlformats.org/officeDocument/2006/relationships/hyperlink" Target="http://ufcstats.com/fight-details/216fddf542707629" TargetMode="External"/><Relationship Id="rId1548" Type="http://schemas.openxmlformats.org/officeDocument/2006/relationships/hyperlink" Target="http://ufcstats.com/fight-details/4de28817db9fc9d8" TargetMode="External"/><Relationship Id="rId1755" Type="http://schemas.openxmlformats.org/officeDocument/2006/relationships/hyperlink" Target="http://ufcstats.com/fight-details/eedcb6c5d163e581" TargetMode="External"/><Relationship Id="rId4161" Type="http://schemas.openxmlformats.org/officeDocument/2006/relationships/hyperlink" Target="http://ufcstats.com/fight-details/906283a2adcbc3e0" TargetMode="External"/><Relationship Id="rId1408" Type="http://schemas.openxmlformats.org/officeDocument/2006/relationships/hyperlink" Target="http://ufcstats.com/fight-details/2372578d3f554c65" TargetMode="External"/><Relationship Id="rId1962" Type="http://schemas.openxmlformats.org/officeDocument/2006/relationships/hyperlink" Target="http://ufcstats.com/fight-details/89db7aca37b87711" TargetMode="External"/><Relationship Id="rId2806" Type="http://schemas.openxmlformats.org/officeDocument/2006/relationships/hyperlink" Target="http://ufcstats.com/fight-details/6c1b38dd918793ff" TargetMode="External"/><Relationship Id="rId4021" Type="http://schemas.openxmlformats.org/officeDocument/2006/relationships/hyperlink" Target="http://ufcstats.com/fight-details/7b1882dc76786d77" TargetMode="External"/><Relationship Id="rId47" Type="http://schemas.openxmlformats.org/officeDocument/2006/relationships/hyperlink" Target="http://ufcstats.com/fight-details/228879162d8be605" TargetMode="External"/><Relationship Id="rId1615" Type="http://schemas.openxmlformats.org/officeDocument/2006/relationships/hyperlink" Target="http://ufcstats.com/fight-details/dcd0793ff1a43b68" TargetMode="External"/><Relationship Id="rId1822" Type="http://schemas.openxmlformats.org/officeDocument/2006/relationships/hyperlink" Target="http://ufcstats.com/fight-details/8539c4b795d33a92" TargetMode="External"/><Relationship Id="rId3787" Type="http://schemas.openxmlformats.org/officeDocument/2006/relationships/hyperlink" Target="http://ufcstats.com/fight-details/1efc813ccd7a5aba" TargetMode="External"/><Relationship Id="rId3994" Type="http://schemas.openxmlformats.org/officeDocument/2006/relationships/hyperlink" Target="http://ufcstats.com/fight-details/8986373b4a6e90b6" TargetMode="External"/><Relationship Id="rId2389" Type="http://schemas.openxmlformats.org/officeDocument/2006/relationships/hyperlink" Target="http://ufcstats.com/fight-details/3a8cc4cda195d758" TargetMode="External"/><Relationship Id="rId2596" Type="http://schemas.openxmlformats.org/officeDocument/2006/relationships/hyperlink" Target="http://ufcstats.com/fight-details/b8ca1acdf3dc2f58" TargetMode="External"/><Relationship Id="rId3647" Type="http://schemas.openxmlformats.org/officeDocument/2006/relationships/hyperlink" Target="http://ufcstats.com/fight-details/dd456668731bd52a" TargetMode="External"/><Relationship Id="rId3854" Type="http://schemas.openxmlformats.org/officeDocument/2006/relationships/hyperlink" Target="http://ufcstats.com/fight-details/2d42742aade53799" TargetMode="External"/><Relationship Id="rId568" Type="http://schemas.openxmlformats.org/officeDocument/2006/relationships/hyperlink" Target="http://ufcstats.com/fight-details/958f3b45c132c3b7" TargetMode="External"/><Relationship Id="rId775" Type="http://schemas.openxmlformats.org/officeDocument/2006/relationships/hyperlink" Target="http://ufcstats.com/fight-details/541e5c7a87712fc2" TargetMode="External"/><Relationship Id="rId982" Type="http://schemas.openxmlformats.org/officeDocument/2006/relationships/hyperlink" Target="http://ufcstats.com/fight-details/5cad3ab6553e9ec9" TargetMode="External"/><Relationship Id="rId1198" Type="http://schemas.openxmlformats.org/officeDocument/2006/relationships/hyperlink" Target="http://ufcstats.com/fight-details/3adecfc4727a8d73" TargetMode="External"/><Relationship Id="rId2249" Type="http://schemas.openxmlformats.org/officeDocument/2006/relationships/hyperlink" Target="http://ufcstats.com/fight-details/5edfc539cc58a28d" TargetMode="External"/><Relationship Id="rId2456" Type="http://schemas.openxmlformats.org/officeDocument/2006/relationships/hyperlink" Target="http://ufcstats.com/fight-details/85036b967403cdab" TargetMode="External"/><Relationship Id="rId2663" Type="http://schemas.openxmlformats.org/officeDocument/2006/relationships/hyperlink" Target="http://ufcstats.com/fight-details/5e3779f7c1c39679" TargetMode="External"/><Relationship Id="rId2870" Type="http://schemas.openxmlformats.org/officeDocument/2006/relationships/hyperlink" Target="http://ufcstats.com/fight-details/77acb96700e89c92" TargetMode="External"/><Relationship Id="rId3507" Type="http://schemas.openxmlformats.org/officeDocument/2006/relationships/hyperlink" Target="http://ufcstats.com/fight-details/a409a5381f082e8f" TargetMode="External"/><Relationship Id="rId3714" Type="http://schemas.openxmlformats.org/officeDocument/2006/relationships/hyperlink" Target="http://ufcstats.com/fight-details/e1ec8774466db669" TargetMode="External"/><Relationship Id="rId3921" Type="http://schemas.openxmlformats.org/officeDocument/2006/relationships/hyperlink" Target="http://ufcstats.com/fight-details/3740c8033e31c90d" TargetMode="External"/><Relationship Id="rId428" Type="http://schemas.openxmlformats.org/officeDocument/2006/relationships/hyperlink" Target="http://ufcstats.com/fight-details/03bdbf2d18f3025d" TargetMode="External"/><Relationship Id="rId635" Type="http://schemas.openxmlformats.org/officeDocument/2006/relationships/hyperlink" Target="http://ufcstats.com/fight-details/84cde29aebf6c00c" TargetMode="External"/><Relationship Id="rId842" Type="http://schemas.openxmlformats.org/officeDocument/2006/relationships/hyperlink" Target="http://ufcstats.com/fight-details/bf2a9732af50c84c" TargetMode="External"/><Relationship Id="rId1058" Type="http://schemas.openxmlformats.org/officeDocument/2006/relationships/hyperlink" Target="http://ufcstats.com/fight-details/22f1133d02700bb2" TargetMode="External"/><Relationship Id="rId1265" Type="http://schemas.openxmlformats.org/officeDocument/2006/relationships/hyperlink" Target="http://ufcstats.com/fight-details/b776b08e2cc6aa0c" TargetMode="External"/><Relationship Id="rId1472" Type="http://schemas.openxmlformats.org/officeDocument/2006/relationships/hyperlink" Target="http://ufcstats.com/fight-details/88d3b6b833e31712" TargetMode="External"/><Relationship Id="rId2109" Type="http://schemas.openxmlformats.org/officeDocument/2006/relationships/hyperlink" Target="http://ufcstats.com/fight-details/a88a4c126d585320" TargetMode="External"/><Relationship Id="rId2316" Type="http://schemas.openxmlformats.org/officeDocument/2006/relationships/hyperlink" Target="http://ufcstats.com/fight-details/fce6ab43b7d09aa4" TargetMode="External"/><Relationship Id="rId2523" Type="http://schemas.openxmlformats.org/officeDocument/2006/relationships/hyperlink" Target="http://ufcstats.com/fight-details/dbb0ca0198ac514a" TargetMode="External"/><Relationship Id="rId2730" Type="http://schemas.openxmlformats.org/officeDocument/2006/relationships/hyperlink" Target="http://ufcstats.com/fight-details/a06a3bc70d7c4264" TargetMode="External"/><Relationship Id="rId702" Type="http://schemas.openxmlformats.org/officeDocument/2006/relationships/hyperlink" Target="http://ufcstats.com/fight-details/ddcfa590f4644240" TargetMode="External"/><Relationship Id="rId1125" Type="http://schemas.openxmlformats.org/officeDocument/2006/relationships/hyperlink" Target="http://ufcstats.com/fight-details/e2535e0753954514" TargetMode="External"/><Relationship Id="rId1332" Type="http://schemas.openxmlformats.org/officeDocument/2006/relationships/hyperlink" Target="http://ufcstats.com/fight-details/319b09306094259b" TargetMode="External"/><Relationship Id="rId3297" Type="http://schemas.openxmlformats.org/officeDocument/2006/relationships/hyperlink" Target="http://ufcstats.com/fight-details/3b06c512abfa0494" TargetMode="External"/><Relationship Id="rId4348" Type="http://schemas.openxmlformats.org/officeDocument/2006/relationships/hyperlink" Target="http://ufcstats.com/fight-details/5ae45d20a60dc109" TargetMode="External"/><Relationship Id="rId3157" Type="http://schemas.openxmlformats.org/officeDocument/2006/relationships/hyperlink" Target="http://ufcstats.com/fight-details/7233b2a56438d77a" TargetMode="External"/><Relationship Id="rId285" Type="http://schemas.openxmlformats.org/officeDocument/2006/relationships/hyperlink" Target="http://ufcstats.com/fight-details/ca7fd237c16cec84" TargetMode="External"/><Relationship Id="rId3364" Type="http://schemas.openxmlformats.org/officeDocument/2006/relationships/hyperlink" Target="http://ufcstats.com/fight-details/1019f2a9c012e949" TargetMode="External"/><Relationship Id="rId3571" Type="http://schemas.openxmlformats.org/officeDocument/2006/relationships/hyperlink" Target="http://ufcstats.com/fight-details/48ea8a30f7b88cfc" TargetMode="External"/><Relationship Id="rId4208" Type="http://schemas.openxmlformats.org/officeDocument/2006/relationships/hyperlink" Target="http://ufcstats.com/fight-details/2c73bf152247f25a" TargetMode="External"/><Relationship Id="rId4415" Type="http://schemas.openxmlformats.org/officeDocument/2006/relationships/hyperlink" Target="http://ufcstats.com/fight-details/24f2d2dd9fea5d79" TargetMode="External"/><Relationship Id="rId492" Type="http://schemas.openxmlformats.org/officeDocument/2006/relationships/hyperlink" Target="http://ufcstats.com/fight-details/76c5f66afe6ab192" TargetMode="External"/><Relationship Id="rId2173" Type="http://schemas.openxmlformats.org/officeDocument/2006/relationships/hyperlink" Target="http://ufcstats.com/fight-details/b82b243982fcb2ac" TargetMode="External"/><Relationship Id="rId2380" Type="http://schemas.openxmlformats.org/officeDocument/2006/relationships/hyperlink" Target="http://ufcstats.com/fight-details/3b209a2aee014ac2" TargetMode="External"/><Relationship Id="rId3017" Type="http://schemas.openxmlformats.org/officeDocument/2006/relationships/hyperlink" Target="http://ufcstats.com/fight-details/b302e12550278ffd" TargetMode="External"/><Relationship Id="rId3224" Type="http://schemas.openxmlformats.org/officeDocument/2006/relationships/hyperlink" Target="http://ufcstats.com/fight-details/7feadf01c5920285" TargetMode="External"/><Relationship Id="rId3431" Type="http://schemas.openxmlformats.org/officeDocument/2006/relationships/hyperlink" Target="http://ufcstats.com/fight-details/abf0f8234f6be37e" TargetMode="External"/><Relationship Id="rId145" Type="http://schemas.openxmlformats.org/officeDocument/2006/relationships/hyperlink" Target="http://ufcstats.com/fight-details/67db05bac9165722" TargetMode="External"/><Relationship Id="rId352" Type="http://schemas.openxmlformats.org/officeDocument/2006/relationships/hyperlink" Target="http://ufcstats.com/fight-details/29df50b2ea446361" TargetMode="External"/><Relationship Id="rId2033" Type="http://schemas.openxmlformats.org/officeDocument/2006/relationships/hyperlink" Target="http://ufcstats.com/fight-details/2735a2ea77ddc0b5" TargetMode="External"/><Relationship Id="rId2240" Type="http://schemas.openxmlformats.org/officeDocument/2006/relationships/hyperlink" Target="http://ufcstats.com/fight-details/e2abba69c3371618" TargetMode="External"/><Relationship Id="rId212" Type="http://schemas.openxmlformats.org/officeDocument/2006/relationships/hyperlink" Target="http://ufcstats.com/fight-details/2cdf841a057d9039" TargetMode="External"/><Relationship Id="rId1799" Type="http://schemas.openxmlformats.org/officeDocument/2006/relationships/hyperlink" Target="http://ufcstats.com/fight-details/f7cce33f6563dd72" TargetMode="External"/><Relationship Id="rId2100" Type="http://schemas.openxmlformats.org/officeDocument/2006/relationships/hyperlink" Target="http://ufcstats.com/fight-details/19fc916df1f0e6ff" TargetMode="External"/><Relationship Id="rId4065" Type="http://schemas.openxmlformats.org/officeDocument/2006/relationships/hyperlink" Target="http://ufcstats.com/fight-details/d65da3a3bc675449" TargetMode="External"/><Relationship Id="rId4272" Type="http://schemas.openxmlformats.org/officeDocument/2006/relationships/hyperlink" Target="http://ufcstats.com/fight-details/450534f9fb9b13cd" TargetMode="External"/><Relationship Id="rId1659" Type="http://schemas.openxmlformats.org/officeDocument/2006/relationships/hyperlink" Target="http://ufcstats.com/fight-details/1cca8ba792f1e1d9" TargetMode="External"/><Relationship Id="rId1866" Type="http://schemas.openxmlformats.org/officeDocument/2006/relationships/hyperlink" Target="http://ufcstats.com/fight-details/a27a9b7b8194e8fc" TargetMode="External"/><Relationship Id="rId2917" Type="http://schemas.openxmlformats.org/officeDocument/2006/relationships/hyperlink" Target="http://ufcstats.com/fight-details/481aef2d2802ec68" TargetMode="External"/><Relationship Id="rId3081" Type="http://schemas.openxmlformats.org/officeDocument/2006/relationships/hyperlink" Target="http://ufcstats.com/fight-details/5ab286735ccee803" TargetMode="External"/><Relationship Id="rId4132" Type="http://schemas.openxmlformats.org/officeDocument/2006/relationships/hyperlink" Target="http://ufcstats.com/fight-details/07cb64236ae7aaea" TargetMode="External"/><Relationship Id="rId1519" Type="http://schemas.openxmlformats.org/officeDocument/2006/relationships/hyperlink" Target="http://ufcstats.com/fight-details/83414cc83ec3f2ac" TargetMode="External"/><Relationship Id="rId1726" Type="http://schemas.openxmlformats.org/officeDocument/2006/relationships/hyperlink" Target="http://ufcstats.com/fight-details/b44531903be4729a" TargetMode="External"/><Relationship Id="rId1933" Type="http://schemas.openxmlformats.org/officeDocument/2006/relationships/hyperlink" Target="http://ufcstats.com/fight-details/f24c296256faeff2" TargetMode="External"/><Relationship Id="rId18" Type="http://schemas.openxmlformats.org/officeDocument/2006/relationships/hyperlink" Target="http://ufcstats.com/fight-details/6101249c2cdd1493" TargetMode="External"/><Relationship Id="rId3898" Type="http://schemas.openxmlformats.org/officeDocument/2006/relationships/hyperlink" Target="http://ufcstats.com/fight-details/d77ace7aadb2383e" TargetMode="External"/><Relationship Id="rId3758" Type="http://schemas.openxmlformats.org/officeDocument/2006/relationships/hyperlink" Target="http://ufcstats.com/fight-details/459bc7c0b47719c3" TargetMode="External"/><Relationship Id="rId3965" Type="http://schemas.openxmlformats.org/officeDocument/2006/relationships/hyperlink" Target="http://ufcstats.com/fight-details/fe370c518cf7873e" TargetMode="External"/><Relationship Id="rId679" Type="http://schemas.openxmlformats.org/officeDocument/2006/relationships/hyperlink" Target="http://ufcstats.com/fight-details/ed94cdc0f2b97e15" TargetMode="External"/><Relationship Id="rId886" Type="http://schemas.openxmlformats.org/officeDocument/2006/relationships/hyperlink" Target="http://ufcstats.com/fight-details/c88a7dbe7717d2da" TargetMode="External"/><Relationship Id="rId2567" Type="http://schemas.openxmlformats.org/officeDocument/2006/relationships/hyperlink" Target="http://ufcstats.com/fight-details/3e39829aedc9346f" TargetMode="External"/><Relationship Id="rId2774" Type="http://schemas.openxmlformats.org/officeDocument/2006/relationships/hyperlink" Target="http://ufcstats.com/fight-details/e30250daa73005a8" TargetMode="External"/><Relationship Id="rId3618" Type="http://schemas.openxmlformats.org/officeDocument/2006/relationships/hyperlink" Target="http://ufcstats.com/fight-details/6c9fdcb95393a49c" TargetMode="External"/><Relationship Id="rId2" Type="http://schemas.openxmlformats.org/officeDocument/2006/relationships/hyperlink" Target="http://ufcstats.com/fight-details/6cd542650d886c22" TargetMode="External"/><Relationship Id="rId539" Type="http://schemas.openxmlformats.org/officeDocument/2006/relationships/hyperlink" Target="http://ufcstats.com/fight-details/be2e28ba3bdeb400" TargetMode="External"/><Relationship Id="rId746" Type="http://schemas.openxmlformats.org/officeDocument/2006/relationships/hyperlink" Target="http://ufcstats.com/fight-details/019983faebec6d64" TargetMode="External"/><Relationship Id="rId1169" Type="http://schemas.openxmlformats.org/officeDocument/2006/relationships/hyperlink" Target="http://ufcstats.com/fight-details/bc1be168c064f028" TargetMode="External"/><Relationship Id="rId1376" Type="http://schemas.openxmlformats.org/officeDocument/2006/relationships/hyperlink" Target="http://ufcstats.com/fight-details/01983cba42704c49" TargetMode="External"/><Relationship Id="rId1583" Type="http://schemas.openxmlformats.org/officeDocument/2006/relationships/hyperlink" Target="http://ufcstats.com/fight-details/53d6e37063f9c404" TargetMode="External"/><Relationship Id="rId2427" Type="http://schemas.openxmlformats.org/officeDocument/2006/relationships/hyperlink" Target="http://ufcstats.com/fight-details/b8019af428c064ef" TargetMode="External"/><Relationship Id="rId2981" Type="http://schemas.openxmlformats.org/officeDocument/2006/relationships/hyperlink" Target="http://ufcstats.com/fight-details/14f2bb86fd888e91" TargetMode="External"/><Relationship Id="rId3825" Type="http://schemas.openxmlformats.org/officeDocument/2006/relationships/hyperlink" Target="http://ufcstats.com/fight-details/1f52e665587dc645" TargetMode="External"/><Relationship Id="rId953" Type="http://schemas.openxmlformats.org/officeDocument/2006/relationships/hyperlink" Target="http://ufcstats.com/fight-details/fa3f04be9344804b" TargetMode="External"/><Relationship Id="rId1029" Type="http://schemas.openxmlformats.org/officeDocument/2006/relationships/hyperlink" Target="http://ufcstats.com/fight-details/d573e571d8349b5d" TargetMode="External"/><Relationship Id="rId1236" Type="http://schemas.openxmlformats.org/officeDocument/2006/relationships/hyperlink" Target="http://ufcstats.com/fight-details/8fd14eb227688467" TargetMode="External"/><Relationship Id="rId1790" Type="http://schemas.openxmlformats.org/officeDocument/2006/relationships/hyperlink" Target="http://ufcstats.com/fight-details/eda1e8c285a0a788" TargetMode="External"/><Relationship Id="rId2634" Type="http://schemas.openxmlformats.org/officeDocument/2006/relationships/hyperlink" Target="http://ufcstats.com/fight-details/eb9097be07a3c26a" TargetMode="External"/><Relationship Id="rId2841" Type="http://schemas.openxmlformats.org/officeDocument/2006/relationships/hyperlink" Target="http://ufcstats.com/fight-details/c9e4aa12aaa7309e" TargetMode="External"/><Relationship Id="rId82" Type="http://schemas.openxmlformats.org/officeDocument/2006/relationships/hyperlink" Target="http://ufcstats.com/fight-details/df146b0592259e5d" TargetMode="External"/><Relationship Id="rId606" Type="http://schemas.openxmlformats.org/officeDocument/2006/relationships/hyperlink" Target="http://ufcstats.com/fight-details/be977e524ef56aa4" TargetMode="External"/><Relationship Id="rId813" Type="http://schemas.openxmlformats.org/officeDocument/2006/relationships/hyperlink" Target="http://ufcstats.com/fight-details/d3c0dfa57950aefd" TargetMode="External"/><Relationship Id="rId1443" Type="http://schemas.openxmlformats.org/officeDocument/2006/relationships/hyperlink" Target="http://ufcstats.com/fight-details/a2e34655a41ba45c" TargetMode="External"/><Relationship Id="rId1650" Type="http://schemas.openxmlformats.org/officeDocument/2006/relationships/hyperlink" Target="http://ufcstats.com/fight-details/3e5a3ecd2b123fc2" TargetMode="External"/><Relationship Id="rId2701" Type="http://schemas.openxmlformats.org/officeDocument/2006/relationships/hyperlink" Target="http://ufcstats.com/fight-details/d5149f02b1ee7dc6" TargetMode="External"/><Relationship Id="rId1303" Type="http://schemas.openxmlformats.org/officeDocument/2006/relationships/hyperlink" Target="http://ufcstats.com/fight-details/559c0c3d752f327a" TargetMode="External"/><Relationship Id="rId1510" Type="http://schemas.openxmlformats.org/officeDocument/2006/relationships/hyperlink" Target="http://ufcstats.com/fight-details/cb1e57b5f8c92922" TargetMode="External"/><Relationship Id="rId4459" Type="http://schemas.openxmlformats.org/officeDocument/2006/relationships/hyperlink" Target="http://ufcstats.com/fight-details/53ed3f8f653b37b2" TargetMode="External"/><Relationship Id="rId3268" Type="http://schemas.openxmlformats.org/officeDocument/2006/relationships/hyperlink" Target="http://ufcstats.com/fight-details/73ebbfb998edc1f1" TargetMode="External"/><Relationship Id="rId3475" Type="http://schemas.openxmlformats.org/officeDocument/2006/relationships/hyperlink" Target="http://ufcstats.com/fight-details/0c36a08b1bf60f45" TargetMode="External"/><Relationship Id="rId3682" Type="http://schemas.openxmlformats.org/officeDocument/2006/relationships/hyperlink" Target="http://ufcstats.com/fight-details/21992c366d3b4602" TargetMode="External"/><Relationship Id="rId4319" Type="http://schemas.openxmlformats.org/officeDocument/2006/relationships/hyperlink" Target="http://ufcstats.com/fight-details/c931097a857ed60c" TargetMode="External"/><Relationship Id="rId189" Type="http://schemas.openxmlformats.org/officeDocument/2006/relationships/hyperlink" Target="http://ufcstats.com/fight-details/db8887f2085f7971" TargetMode="External"/><Relationship Id="rId396" Type="http://schemas.openxmlformats.org/officeDocument/2006/relationships/hyperlink" Target="http://ufcstats.com/fight-details/57dec2b07b75dada" TargetMode="External"/><Relationship Id="rId2077" Type="http://schemas.openxmlformats.org/officeDocument/2006/relationships/hyperlink" Target="http://ufcstats.com/fight-details/ced0e31df74f27d6" TargetMode="External"/><Relationship Id="rId2284" Type="http://schemas.openxmlformats.org/officeDocument/2006/relationships/hyperlink" Target="http://ufcstats.com/fight-details/58b2fdad7af9be02" TargetMode="External"/><Relationship Id="rId2491" Type="http://schemas.openxmlformats.org/officeDocument/2006/relationships/hyperlink" Target="http://ufcstats.com/fight-details/e0b323dae5bf4c90" TargetMode="External"/><Relationship Id="rId3128" Type="http://schemas.openxmlformats.org/officeDocument/2006/relationships/hyperlink" Target="http://ufcstats.com/fight-details/cb16346d93746ebc" TargetMode="External"/><Relationship Id="rId3335" Type="http://schemas.openxmlformats.org/officeDocument/2006/relationships/hyperlink" Target="http://ufcstats.com/fight-details/949619e1b1de9e5f" TargetMode="External"/><Relationship Id="rId3542" Type="http://schemas.openxmlformats.org/officeDocument/2006/relationships/hyperlink" Target="http://ufcstats.com/fight-details/f115a91066a77ee7" TargetMode="External"/><Relationship Id="rId256" Type="http://schemas.openxmlformats.org/officeDocument/2006/relationships/hyperlink" Target="http://ufcstats.com/fight-details/1aaa1a9ceecd6063" TargetMode="External"/><Relationship Id="rId463" Type="http://schemas.openxmlformats.org/officeDocument/2006/relationships/hyperlink" Target="http://ufcstats.com/fight-details/57333b7bff20ece0" TargetMode="External"/><Relationship Id="rId670" Type="http://schemas.openxmlformats.org/officeDocument/2006/relationships/hyperlink" Target="http://ufcstats.com/fight-details/0f369d09416b9e34" TargetMode="External"/><Relationship Id="rId1093" Type="http://schemas.openxmlformats.org/officeDocument/2006/relationships/hyperlink" Target="http://ufcstats.com/fight-details/8f5482992dad74d2" TargetMode="External"/><Relationship Id="rId2144" Type="http://schemas.openxmlformats.org/officeDocument/2006/relationships/hyperlink" Target="http://ufcstats.com/fight-details/adb86e0206cba97d" TargetMode="External"/><Relationship Id="rId2351" Type="http://schemas.openxmlformats.org/officeDocument/2006/relationships/hyperlink" Target="http://ufcstats.com/fight-details/b47e4f0982938e5b" TargetMode="External"/><Relationship Id="rId3402" Type="http://schemas.openxmlformats.org/officeDocument/2006/relationships/hyperlink" Target="http://ufcstats.com/fight-details/a6fbd8964400dd89" TargetMode="External"/><Relationship Id="rId116" Type="http://schemas.openxmlformats.org/officeDocument/2006/relationships/hyperlink" Target="http://ufcstats.com/fight-details/430309e0f8a315d5" TargetMode="External"/><Relationship Id="rId323" Type="http://schemas.openxmlformats.org/officeDocument/2006/relationships/hyperlink" Target="http://ufcstats.com/fight-details/889207e3c622a5aa" TargetMode="External"/><Relationship Id="rId530" Type="http://schemas.openxmlformats.org/officeDocument/2006/relationships/hyperlink" Target="http://ufcstats.com/fight-details/fcc1191761e365f9" TargetMode="External"/><Relationship Id="rId1160" Type="http://schemas.openxmlformats.org/officeDocument/2006/relationships/hyperlink" Target="http://ufcstats.com/fight-details/eb7b0a6f06dbdb4f" TargetMode="External"/><Relationship Id="rId2004" Type="http://schemas.openxmlformats.org/officeDocument/2006/relationships/hyperlink" Target="http://ufcstats.com/fight-details/dd6dbe644f599795" TargetMode="External"/><Relationship Id="rId2211" Type="http://schemas.openxmlformats.org/officeDocument/2006/relationships/hyperlink" Target="http://ufcstats.com/fight-details/3945b08be8d62861" TargetMode="External"/><Relationship Id="rId4176" Type="http://schemas.openxmlformats.org/officeDocument/2006/relationships/hyperlink" Target="http://ufcstats.com/fight-details/7ddd21d48e3b34b9" TargetMode="External"/><Relationship Id="rId1020" Type="http://schemas.openxmlformats.org/officeDocument/2006/relationships/hyperlink" Target="http://ufcstats.com/fight-details/8f8a6c578308d014" TargetMode="External"/><Relationship Id="rId1977" Type="http://schemas.openxmlformats.org/officeDocument/2006/relationships/hyperlink" Target="http://ufcstats.com/fight-details/c4caa8a4f32a0eed" TargetMode="External"/><Relationship Id="rId4383" Type="http://schemas.openxmlformats.org/officeDocument/2006/relationships/hyperlink" Target="http://ufcstats.com/fight-details/11a5a852313d1f5b" TargetMode="External"/><Relationship Id="rId1837" Type="http://schemas.openxmlformats.org/officeDocument/2006/relationships/hyperlink" Target="http://ufcstats.com/fight-details/a9a770bac1261af9" TargetMode="External"/><Relationship Id="rId3192" Type="http://schemas.openxmlformats.org/officeDocument/2006/relationships/hyperlink" Target="http://ufcstats.com/fight-details/b5ea6535748edbce" TargetMode="External"/><Relationship Id="rId4036" Type="http://schemas.openxmlformats.org/officeDocument/2006/relationships/hyperlink" Target="http://ufcstats.com/fight-details/0221982930283140" TargetMode="External"/><Relationship Id="rId4243" Type="http://schemas.openxmlformats.org/officeDocument/2006/relationships/hyperlink" Target="http://ufcstats.com/fight-details/c3986c1a56a6e94d" TargetMode="External"/><Relationship Id="rId4450" Type="http://schemas.openxmlformats.org/officeDocument/2006/relationships/hyperlink" Target="http://ufcstats.com/fight-details/05d2534e0f2d5042" TargetMode="External"/><Relationship Id="rId3052" Type="http://schemas.openxmlformats.org/officeDocument/2006/relationships/hyperlink" Target="http://ufcstats.com/fight-details/93f1b09aa792405e" TargetMode="External"/><Relationship Id="rId4103" Type="http://schemas.openxmlformats.org/officeDocument/2006/relationships/hyperlink" Target="http://ufcstats.com/fight-details/c4253cb471013765" TargetMode="External"/><Relationship Id="rId4310" Type="http://schemas.openxmlformats.org/officeDocument/2006/relationships/hyperlink" Target="http://ufcstats.com/fight-details/354425c41008a01f" TargetMode="External"/><Relationship Id="rId180" Type="http://schemas.openxmlformats.org/officeDocument/2006/relationships/hyperlink" Target="http://ufcstats.com/fight-details/e1eeb61d0669ce45" TargetMode="External"/><Relationship Id="rId1904" Type="http://schemas.openxmlformats.org/officeDocument/2006/relationships/hyperlink" Target="http://ufcstats.com/fight-details/cdaf65287d9a0ecb" TargetMode="External"/><Relationship Id="rId3869" Type="http://schemas.openxmlformats.org/officeDocument/2006/relationships/hyperlink" Target="http://ufcstats.com/fight-details/08e48648e3504638" TargetMode="External"/><Relationship Id="rId997" Type="http://schemas.openxmlformats.org/officeDocument/2006/relationships/hyperlink" Target="http://ufcstats.com/fight-details/a3731057c8775716" TargetMode="External"/><Relationship Id="rId2678" Type="http://schemas.openxmlformats.org/officeDocument/2006/relationships/hyperlink" Target="http://ufcstats.com/fight-details/a5d24caed8afbeef" TargetMode="External"/><Relationship Id="rId2885" Type="http://schemas.openxmlformats.org/officeDocument/2006/relationships/hyperlink" Target="http://ufcstats.com/fight-details/4de25b19c4dedb14" TargetMode="External"/><Relationship Id="rId3729" Type="http://schemas.openxmlformats.org/officeDocument/2006/relationships/hyperlink" Target="http://ufcstats.com/fight-details/bf658320ccd69021" TargetMode="External"/><Relationship Id="rId3936" Type="http://schemas.openxmlformats.org/officeDocument/2006/relationships/hyperlink" Target="http://ufcstats.com/fight-details/7fce3efc5d2add6e" TargetMode="External"/><Relationship Id="rId857" Type="http://schemas.openxmlformats.org/officeDocument/2006/relationships/hyperlink" Target="http://ufcstats.com/fight-details/07468b6347ac5e3d" TargetMode="External"/><Relationship Id="rId1487" Type="http://schemas.openxmlformats.org/officeDocument/2006/relationships/hyperlink" Target="http://ufcstats.com/fight-details/5c5ed0416e881faf" TargetMode="External"/><Relationship Id="rId1694" Type="http://schemas.openxmlformats.org/officeDocument/2006/relationships/hyperlink" Target="http://ufcstats.com/fight-details/8f9b16f170dbdbb6" TargetMode="External"/><Relationship Id="rId2538" Type="http://schemas.openxmlformats.org/officeDocument/2006/relationships/hyperlink" Target="http://ufcstats.com/fight-details/04e2d50c24a88dbd" TargetMode="External"/><Relationship Id="rId2745" Type="http://schemas.openxmlformats.org/officeDocument/2006/relationships/hyperlink" Target="http://ufcstats.com/fight-details/ad772f626b5dd31d" TargetMode="External"/><Relationship Id="rId2952" Type="http://schemas.openxmlformats.org/officeDocument/2006/relationships/hyperlink" Target="http://ufcstats.com/fight-details/ac475de5a3d0d7e2" TargetMode="External"/><Relationship Id="rId717" Type="http://schemas.openxmlformats.org/officeDocument/2006/relationships/hyperlink" Target="http://ufcstats.com/fight-details/53febf2fb416f9de" TargetMode="External"/><Relationship Id="rId924" Type="http://schemas.openxmlformats.org/officeDocument/2006/relationships/hyperlink" Target="http://ufcstats.com/fight-details/1aedd959f1523a27" TargetMode="External"/><Relationship Id="rId1347" Type="http://schemas.openxmlformats.org/officeDocument/2006/relationships/hyperlink" Target="http://ufcstats.com/fight-details/02f4277726712796" TargetMode="External"/><Relationship Id="rId1554" Type="http://schemas.openxmlformats.org/officeDocument/2006/relationships/hyperlink" Target="http://ufcstats.com/fight-details/2461756d8acd56d2" TargetMode="External"/><Relationship Id="rId1761" Type="http://schemas.openxmlformats.org/officeDocument/2006/relationships/hyperlink" Target="http://ufcstats.com/fight-details/375c2ecb6fe54cc6" TargetMode="External"/><Relationship Id="rId2605" Type="http://schemas.openxmlformats.org/officeDocument/2006/relationships/hyperlink" Target="http://ufcstats.com/fight-details/50eed57ea1390e16" TargetMode="External"/><Relationship Id="rId2812" Type="http://schemas.openxmlformats.org/officeDocument/2006/relationships/hyperlink" Target="http://ufcstats.com/fight-details/5116f9398bfca446" TargetMode="External"/><Relationship Id="rId53" Type="http://schemas.openxmlformats.org/officeDocument/2006/relationships/hyperlink" Target="http://ufcstats.com/fight-details/6e093a1d4286dad6" TargetMode="External"/><Relationship Id="rId1207" Type="http://schemas.openxmlformats.org/officeDocument/2006/relationships/hyperlink" Target="http://ufcstats.com/fight-details/40781a64c4cea877" TargetMode="External"/><Relationship Id="rId1414" Type="http://schemas.openxmlformats.org/officeDocument/2006/relationships/hyperlink" Target="http://ufcstats.com/fight-details/cda06ff86cfe4f5f" TargetMode="External"/><Relationship Id="rId1621" Type="http://schemas.openxmlformats.org/officeDocument/2006/relationships/hyperlink" Target="http://ufcstats.com/fight-details/c597fd8bb66d54d8" TargetMode="External"/><Relationship Id="rId3379" Type="http://schemas.openxmlformats.org/officeDocument/2006/relationships/hyperlink" Target="http://ufcstats.com/fight-details/73a299d44d2ef5cd" TargetMode="External"/><Relationship Id="rId3586" Type="http://schemas.openxmlformats.org/officeDocument/2006/relationships/hyperlink" Target="http://ufcstats.com/fight-details/43496ff308e681a0" TargetMode="External"/><Relationship Id="rId3793" Type="http://schemas.openxmlformats.org/officeDocument/2006/relationships/hyperlink" Target="http://ufcstats.com/fight-details/39c4ae4624052f9f" TargetMode="External"/><Relationship Id="rId2188" Type="http://schemas.openxmlformats.org/officeDocument/2006/relationships/hyperlink" Target="http://ufcstats.com/fight-details/1f5f59924b59408b" TargetMode="External"/><Relationship Id="rId2395" Type="http://schemas.openxmlformats.org/officeDocument/2006/relationships/hyperlink" Target="http://ufcstats.com/fight-details/8badcb2134c1cdaf" TargetMode="External"/><Relationship Id="rId3239" Type="http://schemas.openxmlformats.org/officeDocument/2006/relationships/hyperlink" Target="http://ufcstats.com/fight-details/657fd7ab7bdf9f15" TargetMode="External"/><Relationship Id="rId3446" Type="http://schemas.openxmlformats.org/officeDocument/2006/relationships/hyperlink" Target="http://ufcstats.com/fight-details/8c2e4d3cc4b9e93a" TargetMode="External"/><Relationship Id="rId367" Type="http://schemas.openxmlformats.org/officeDocument/2006/relationships/hyperlink" Target="http://ufcstats.com/fight-details/cde2f88251b73305" TargetMode="External"/><Relationship Id="rId574" Type="http://schemas.openxmlformats.org/officeDocument/2006/relationships/hyperlink" Target="http://ufcstats.com/fight-details/72d6996a60856b5f" TargetMode="External"/><Relationship Id="rId2048" Type="http://schemas.openxmlformats.org/officeDocument/2006/relationships/hyperlink" Target="http://ufcstats.com/fight-details/f3e2038bfb9b5d9d" TargetMode="External"/><Relationship Id="rId2255" Type="http://schemas.openxmlformats.org/officeDocument/2006/relationships/hyperlink" Target="http://ufcstats.com/fight-details/a7f66f13f953352f" TargetMode="External"/><Relationship Id="rId3653" Type="http://schemas.openxmlformats.org/officeDocument/2006/relationships/hyperlink" Target="http://ufcstats.com/fight-details/56ae02578b1163ee" TargetMode="External"/><Relationship Id="rId3860" Type="http://schemas.openxmlformats.org/officeDocument/2006/relationships/hyperlink" Target="http://ufcstats.com/fight-details/97ad63e644757cf4" TargetMode="External"/><Relationship Id="rId227" Type="http://schemas.openxmlformats.org/officeDocument/2006/relationships/hyperlink" Target="http://ufcstats.com/fight-details/7c9830ee4835f757" TargetMode="External"/><Relationship Id="rId781" Type="http://schemas.openxmlformats.org/officeDocument/2006/relationships/hyperlink" Target="http://ufcstats.com/fight-details/9dfcf675cf2c1575" TargetMode="External"/><Relationship Id="rId2462" Type="http://schemas.openxmlformats.org/officeDocument/2006/relationships/hyperlink" Target="http://ufcstats.com/fight-details/ed32da52aff68944" TargetMode="External"/><Relationship Id="rId3306" Type="http://schemas.openxmlformats.org/officeDocument/2006/relationships/hyperlink" Target="http://ufcstats.com/fight-details/9c33c8d4a381ba70" TargetMode="External"/><Relationship Id="rId3513" Type="http://schemas.openxmlformats.org/officeDocument/2006/relationships/hyperlink" Target="http://ufcstats.com/fight-details/23c6a428df1569bc" TargetMode="External"/><Relationship Id="rId3720" Type="http://schemas.openxmlformats.org/officeDocument/2006/relationships/hyperlink" Target="http://ufcstats.com/fight-details/710c7f8c7dc2af46" TargetMode="External"/><Relationship Id="rId434" Type="http://schemas.openxmlformats.org/officeDocument/2006/relationships/hyperlink" Target="http://ufcstats.com/fight-details/e65ffb177a2c7669" TargetMode="External"/><Relationship Id="rId641" Type="http://schemas.openxmlformats.org/officeDocument/2006/relationships/hyperlink" Target="http://ufcstats.com/fight-details/3d790112d2e6d851" TargetMode="External"/><Relationship Id="rId1064" Type="http://schemas.openxmlformats.org/officeDocument/2006/relationships/hyperlink" Target="http://ufcstats.com/fight-details/20f19439e9b100b0" TargetMode="External"/><Relationship Id="rId1271" Type="http://schemas.openxmlformats.org/officeDocument/2006/relationships/hyperlink" Target="http://ufcstats.com/fight-details/1ceab8fa45996f51" TargetMode="External"/><Relationship Id="rId2115" Type="http://schemas.openxmlformats.org/officeDocument/2006/relationships/hyperlink" Target="http://ufcstats.com/fight-details/f9e07282f3444d09" TargetMode="External"/><Relationship Id="rId2322" Type="http://schemas.openxmlformats.org/officeDocument/2006/relationships/hyperlink" Target="http://ufcstats.com/fight-details/9bc042a700d9a531" TargetMode="External"/><Relationship Id="rId501" Type="http://schemas.openxmlformats.org/officeDocument/2006/relationships/hyperlink" Target="http://ufcstats.com/fight-details/0111e6a64b5184c6" TargetMode="External"/><Relationship Id="rId1131" Type="http://schemas.openxmlformats.org/officeDocument/2006/relationships/hyperlink" Target="http://ufcstats.com/fight-details/6257627ba49e42ab" TargetMode="External"/><Relationship Id="rId4287" Type="http://schemas.openxmlformats.org/officeDocument/2006/relationships/hyperlink" Target="http://ufcstats.com/fight-details/470391c4067bf49b" TargetMode="External"/><Relationship Id="rId3096" Type="http://schemas.openxmlformats.org/officeDocument/2006/relationships/hyperlink" Target="http://ufcstats.com/fight-details/3eea92e7f26fb05b" TargetMode="External"/><Relationship Id="rId4147" Type="http://schemas.openxmlformats.org/officeDocument/2006/relationships/hyperlink" Target="http://ufcstats.com/fight-details/711f00d287344c77" TargetMode="External"/><Relationship Id="rId4354" Type="http://schemas.openxmlformats.org/officeDocument/2006/relationships/hyperlink" Target="http://ufcstats.com/fight-details/2c0ece9f70a62408" TargetMode="External"/><Relationship Id="rId1948" Type="http://schemas.openxmlformats.org/officeDocument/2006/relationships/hyperlink" Target="http://ufcstats.com/fight-details/064404b0aaf6f95d" TargetMode="External"/><Relationship Id="rId3163" Type="http://schemas.openxmlformats.org/officeDocument/2006/relationships/hyperlink" Target="http://ufcstats.com/fight-details/845e38dfbfea6e53" TargetMode="External"/><Relationship Id="rId3370" Type="http://schemas.openxmlformats.org/officeDocument/2006/relationships/hyperlink" Target="http://ufcstats.com/fight-details/3d941525f5c623e3" TargetMode="External"/><Relationship Id="rId4007" Type="http://schemas.openxmlformats.org/officeDocument/2006/relationships/hyperlink" Target="http://ufcstats.com/fight-details/a40c70d5a1a1be01" TargetMode="External"/><Relationship Id="rId4214" Type="http://schemas.openxmlformats.org/officeDocument/2006/relationships/hyperlink" Target="http://ufcstats.com/fight-details/25d4376e00b16510" TargetMode="External"/><Relationship Id="rId4421" Type="http://schemas.openxmlformats.org/officeDocument/2006/relationships/hyperlink" Target="http://ufcstats.com/fight-details/5840527835a8ffb2" TargetMode="External"/><Relationship Id="rId291" Type="http://schemas.openxmlformats.org/officeDocument/2006/relationships/hyperlink" Target="http://ufcstats.com/fight-details/20cefe64f4b28be8" TargetMode="External"/><Relationship Id="rId1808" Type="http://schemas.openxmlformats.org/officeDocument/2006/relationships/hyperlink" Target="http://ufcstats.com/fight-details/91093a019d32af2e" TargetMode="External"/><Relationship Id="rId3023" Type="http://schemas.openxmlformats.org/officeDocument/2006/relationships/hyperlink" Target="http://ufcstats.com/fight-details/4e55251b7a0df0c2" TargetMode="External"/><Relationship Id="rId151" Type="http://schemas.openxmlformats.org/officeDocument/2006/relationships/hyperlink" Target="http://ufcstats.com/fight-details/75523d31940c9344" TargetMode="External"/><Relationship Id="rId3230" Type="http://schemas.openxmlformats.org/officeDocument/2006/relationships/hyperlink" Target="http://ufcstats.com/fight-details/94dcbc64641cbb6e" TargetMode="External"/><Relationship Id="rId2789" Type="http://schemas.openxmlformats.org/officeDocument/2006/relationships/hyperlink" Target="http://ufcstats.com/fight-details/fa3b28ff3585b4a0" TargetMode="External"/><Relationship Id="rId2996" Type="http://schemas.openxmlformats.org/officeDocument/2006/relationships/hyperlink" Target="http://ufcstats.com/fight-details/11e83902f5b8ff63" TargetMode="External"/><Relationship Id="rId968" Type="http://schemas.openxmlformats.org/officeDocument/2006/relationships/hyperlink" Target="http://ufcstats.com/fight-details/4a17876e99f6baf3" TargetMode="External"/><Relationship Id="rId1598" Type="http://schemas.openxmlformats.org/officeDocument/2006/relationships/hyperlink" Target="http://ufcstats.com/fight-details/c501576b8ec35758" TargetMode="External"/><Relationship Id="rId2649" Type="http://schemas.openxmlformats.org/officeDocument/2006/relationships/hyperlink" Target="http://ufcstats.com/fight-details/9b0de83b4e504bf6" TargetMode="External"/><Relationship Id="rId2856" Type="http://schemas.openxmlformats.org/officeDocument/2006/relationships/hyperlink" Target="http://ufcstats.com/fight-details/1cd5d5e271b646a3" TargetMode="External"/><Relationship Id="rId3907" Type="http://schemas.openxmlformats.org/officeDocument/2006/relationships/hyperlink" Target="http://ufcstats.com/fight-details/05065fa2bc3693b4" TargetMode="External"/><Relationship Id="rId97" Type="http://schemas.openxmlformats.org/officeDocument/2006/relationships/hyperlink" Target="http://ufcstats.com/fight-details/5a2fa552e70958d4" TargetMode="External"/><Relationship Id="rId828" Type="http://schemas.openxmlformats.org/officeDocument/2006/relationships/hyperlink" Target="http://ufcstats.com/fight-details/b8648b32caf36c5a" TargetMode="External"/><Relationship Id="rId1458" Type="http://schemas.openxmlformats.org/officeDocument/2006/relationships/hyperlink" Target="http://ufcstats.com/fight-details/f085f32bbb3220e1" TargetMode="External"/><Relationship Id="rId1665" Type="http://schemas.openxmlformats.org/officeDocument/2006/relationships/hyperlink" Target="http://ufcstats.com/fight-details/0bdea30d7a7322f7" TargetMode="External"/><Relationship Id="rId1872" Type="http://schemas.openxmlformats.org/officeDocument/2006/relationships/hyperlink" Target="http://ufcstats.com/fight-details/2ef16a5ff3710c92" TargetMode="External"/><Relationship Id="rId2509" Type="http://schemas.openxmlformats.org/officeDocument/2006/relationships/hyperlink" Target="http://ufcstats.com/fight-details/52abce3a11b43b1d" TargetMode="External"/><Relationship Id="rId2716" Type="http://schemas.openxmlformats.org/officeDocument/2006/relationships/hyperlink" Target="http://ufcstats.com/fight-details/11f715fa5e825e51" TargetMode="External"/><Relationship Id="rId4071" Type="http://schemas.openxmlformats.org/officeDocument/2006/relationships/hyperlink" Target="http://ufcstats.com/fight-details/764012f51c7dc223" TargetMode="External"/><Relationship Id="rId1318" Type="http://schemas.openxmlformats.org/officeDocument/2006/relationships/hyperlink" Target="http://ufcstats.com/fight-details/3cd1f2c31b4e325a" TargetMode="External"/><Relationship Id="rId1525" Type="http://schemas.openxmlformats.org/officeDocument/2006/relationships/hyperlink" Target="http://ufcstats.com/fight-details/4ffd88b2f00f4250" TargetMode="External"/><Relationship Id="rId2923" Type="http://schemas.openxmlformats.org/officeDocument/2006/relationships/hyperlink" Target="http://ufcstats.com/fight-details/2b9daf452ab40b9b" TargetMode="External"/><Relationship Id="rId1732" Type="http://schemas.openxmlformats.org/officeDocument/2006/relationships/hyperlink" Target="http://ufcstats.com/fight-details/f7865e5a6d009a87" TargetMode="External"/><Relationship Id="rId24" Type="http://schemas.openxmlformats.org/officeDocument/2006/relationships/hyperlink" Target="http://ufcstats.com/fight-details/3a38b0b566f3045d" TargetMode="External"/><Relationship Id="rId2299" Type="http://schemas.openxmlformats.org/officeDocument/2006/relationships/hyperlink" Target="http://ufcstats.com/fight-details/490724f8b3658f67" TargetMode="External"/><Relationship Id="rId3697" Type="http://schemas.openxmlformats.org/officeDocument/2006/relationships/hyperlink" Target="http://ufcstats.com/fight-details/ca531425f5c042db" TargetMode="External"/><Relationship Id="rId3557" Type="http://schemas.openxmlformats.org/officeDocument/2006/relationships/hyperlink" Target="http://ufcstats.com/fight-details/d5778494ce663d7f" TargetMode="External"/><Relationship Id="rId3764" Type="http://schemas.openxmlformats.org/officeDocument/2006/relationships/hyperlink" Target="http://ufcstats.com/fight-details/086c2a0cae0835c4" TargetMode="External"/><Relationship Id="rId3971" Type="http://schemas.openxmlformats.org/officeDocument/2006/relationships/hyperlink" Target="http://ufcstats.com/fight-details/fcf385ae75191b57" TargetMode="External"/><Relationship Id="rId478" Type="http://schemas.openxmlformats.org/officeDocument/2006/relationships/hyperlink" Target="http://ufcstats.com/fight-details/097bc98e15722998" TargetMode="External"/><Relationship Id="rId685" Type="http://schemas.openxmlformats.org/officeDocument/2006/relationships/hyperlink" Target="http://ufcstats.com/fight-details/d2dc6fb05ad78d80" TargetMode="External"/><Relationship Id="rId892" Type="http://schemas.openxmlformats.org/officeDocument/2006/relationships/hyperlink" Target="http://ufcstats.com/fight-details/a1a5d06b0e7ada62" TargetMode="External"/><Relationship Id="rId2159" Type="http://schemas.openxmlformats.org/officeDocument/2006/relationships/hyperlink" Target="http://ufcstats.com/fight-details/d0a8304574e65ec9" TargetMode="External"/><Relationship Id="rId2366" Type="http://schemas.openxmlformats.org/officeDocument/2006/relationships/hyperlink" Target="http://ufcstats.com/fight-details/295a0bf12a7373c0" TargetMode="External"/><Relationship Id="rId2573" Type="http://schemas.openxmlformats.org/officeDocument/2006/relationships/hyperlink" Target="http://ufcstats.com/fight-details/4b67a1875390e7ad" TargetMode="External"/><Relationship Id="rId2780" Type="http://schemas.openxmlformats.org/officeDocument/2006/relationships/hyperlink" Target="http://ufcstats.com/fight-details/e99f92b92e90b228" TargetMode="External"/><Relationship Id="rId3417" Type="http://schemas.openxmlformats.org/officeDocument/2006/relationships/hyperlink" Target="http://ufcstats.com/fight-details/b6464850da8f3099" TargetMode="External"/><Relationship Id="rId3624" Type="http://schemas.openxmlformats.org/officeDocument/2006/relationships/hyperlink" Target="http://ufcstats.com/fight-details/1d26ceb1c995655e" TargetMode="External"/><Relationship Id="rId3831" Type="http://schemas.openxmlformats.org/officeDocument/2006/relationships/hyperlink" Target="http://ufcstats.com/fight-details/5d000de6fa836f66" TargetMode="External"/><Relationship Id="rId338" Type="http://schemas.openxmlformats.org/officeDocument/2006/relationships/hyperlink" Target="http://ufcstats.com/fight-details/8e971c1ec4b981cc" TargetMode="External"/><Relationship Id="rId545" Type="http://schemas.openxmlformats.org/officeDocument/2006/relationships/hyperlink" Target="http://ufcstats.com/fight-details/daa38964824f1b9f" TargetMode="External"/><Relationship Id="rId752" Type="http://schemas.openxmlformats.org/officeDocument/2006/relationships/hyperlink" Target="http://ufcstats.com/fight-details/11b369120409d2aa" TargetMode="External"/><Relationship Id="rId1175" Type="http://schemas.openxmlformats.org/officeDocument/2006/relationships/hyperlink" Target="http://ufcstats.com/fight-details/55bf7f19a132e0fc" TargetMode="External"/><Relationship Id="rId1382" Type="http://schemas.openxmlformats.org/officeDocument/2006/relationships/hyperlink" Target="http://ufcstats.com/fight-details/6cfab1da57d260f4" TargetMode="External"/><Relationship Id="rId2019" Type="http://schemas.openxmlformats.org/officeDocument/2006/relationships/hyperlink" Target="http://ufcstats.com/fight-details/7d2051c6bae907cb" TargetMode="External"/><Relationship Id="rId2226" Type="http://schemas.openxmlformats.org/officeDocument/2006/relationships/hyperlink" Target="http://ufcstats.com/fight-details/b3bf1b6ad2d1a533" TargetMode="External"/><Relationship Id="rId2433" Type="http://schemas.openxmlformats.org/officeDocument/2006/relationships/hyperlink" Target="http://ufcstats.com/fight-details/480c4dbd2e792d86" TargetMode="External"/><Relationship Id="rId2640" Type="http://schemas.openxmlformats.org/officeDocument/2006/relationships/hyperlink" Target="http://ufcstats.com/fight-details/b3bd27affa038e9c" TargetMode="External"/><Relationship Id="rId405" Type="http://schemas.openxmlformats.org/officeDocument/2006/relationships/hyperlink" Target="http://ufcstats.com/fight-details/0b557aeb2169b59f" TargetMode="External"/><Relationship Id="rId612" Type="http://schemas.openxmlformats.org/officeDocument/2006/relationships/hyperlink" Target="http://ufcstats.com/fight-details/aacb47949a572f25" TargetMode="External"/><Relationship Id="rId1035" Type="http://schemas.openxmlformats.org/officeDocument/2006/relationships/hyperlink" Target="http://ufcstats.com/fight-details/785dd27b03946f95" TargetMode="External"/><Relationship Id="rId1242" Type="http://schemas.openxmlformats.org/officeDocument/2006/relationships/hyperlink" Target="http://ufcstats.com/fight-details/8ae79d7967681db8" TargetMode="External"/><Relationship Id="rId2500" Type="http://schemas.openxmlformats.org/officeDocument/2006/relationships/hyperlink" Target="http://ufcstats.com/fight-details/1535fb6549fa8bab" TargetMode="External"/><Relationship Id="rId4398" Type="http://schemas.openxmlformats.org/officeDocument/2006/relationships/hyperlink" Target="http://ufcstats.com/fight-details/2cec230248d7eb97" TargetMode="External"/><Relationship Id="rId1102" Type="http://schemas.openxmlformats.org/officeDocument/2006/relationships/hyperlink" Target="http://ufcstats.com/fight-details/e7b5a8c97106ca60" TargetMode="External"/><Relationship Id="rId4258" Type="http://schemas.openxmlformats.org/officeDocument/2006/relationships/hyperlink" Target="http://ufcstats.com/fight-details/0c9faf26efe2cdcc" TargetMode="External"/><Relationship Id="rId3067" Type="http://schemas.openxmlformats.org/officeDocument/2006/relationships/hyperlink" Target="http://ufcstats.com/fight-details/9444cfe0c7c0f6a7" TargetMode="External"/><Relationship Id="rId3274" Type="http://schemas.openxmlformats.org/officeDocument/2006/relationships/hyperlink" Target="http://ufcstats.com/fight-details/42922bab8a3e1828" TargetMode="External"/><Relationship Id="rId4118" Type="http://schemas.openxmlformats.org/officeDocument/2006/relationships/hyperlink" Target="http://ufcstats.com/fight-details/744cbe6e49d4f41c" TargetMode="External"/><Relationship Id="rId195" Type="http://schemas.openxmlformats.org/officeDocument/2006/relationships/hyperlink" Target="http://ufcstats.com/fight-details/e22a887ce4ab30eb" TargetMode="External"/><Relationship Id="rId1919" Type="http://schemas.openxmlformats.org/officeDocument/2006/relationships/hyperlink" Target="http://ufcstats.com/fight-details/6d48f75153e4ad6b" TargetMode="External"/><Relationship Id="rId3481" Type="http://schemas.openxmlformats.org/officeDocument/2006/relationships/hyperlink" Target="http://ufcstats.com/fight-details/6d4b6224f26572f9" TargetMode="External"/><Relationship Id="rId4325" Type="http://schemas.openxmlformats.org/officeDocument/2006/relationships/hyperlink" Target="http://ufcstats.com/fight-details/f77e3c681fe1b04e" TargetMode="External"/><Relationship Id="rId2083" Type="http://schemas.openxmlformats.org/officeDocument/2006/relationships/hyperlink" Target="http://ufcstats.com/fight-details/f96f719ad667dd96" TargetMode="External"/><Relationship Id="rId2290" Type="http://schemas.openxmlformats.org/officeDocument/2006/relationships/hyperlink" Target="http://ufcstats.com/fight-details/c62a90c19af6a0e2" TargetMode="External"/><Relationship Id="rId3134" Type="http://schemas.openxmlformats.org/officeDocument/2006/relationships/hyperlink" Target="http://ufcstats.com/fight-details/0aad210fbaa1db6c" TargetMode="External"/><Relationship Id="rId3341" Type="http://schemas.openxmlformats.org/officeDocument/2006/relationships/hyperlink" Target="http://ufcstats.com/fight-details/f00921c62315be96" TargetMode="External"/><Relationship Id="rId262" Type="http://schemas.openxmlformats.org/officeDocument/2006/relationships/hyperlink" Target="http://ufcstats.com/fight-details/b8a0047c927faa75" TargetMode="External"/><Relationship Id="rId2150" Type="http://schemas.openxmlformats.org/officeDocument/2006/relationships/hyperlink" Target="http://ufcstats.com/fight-details/65d777a16fce2be8" TargetMode="External"/><Relationship Id="rId3201" Type="http://schemas.openxmlformats.org/officeDocument/2006/relationships/hyperlink" Target="http://ufcstats.com/fight-details/08f7a60bd84a6b3c" TargetMode="External"/><Relationship Id="rId122" Type="http://schemas.openxmlformats.org/officeDocument/2006/relationships/hyperlink" Target="http://ufcstats.com/fight-details/44a55ba1de2b30e2" TargetMode="External"/><Relationship Id="rId2010" Type="http://schemas.openxmlformats.org/officeDocument/2006/relationships/hyperlink" Target="http://ufcstats.com/fight-details/3a8c0158d910546d" TargetMode="External"/><Relationship Id="rId1569" Type="http://schemas.openxmlformats.org/officeDocument/2006/relationships/hyperlink" Target="http://ufcstats.com/fight-details/c020ccbd7cdefb6e" TargetMode="External"/><Relationship Id="rId2967" Type="http://schemas.openxmlformats.org/officeDocument/2006/relationships/hyperlink" Target="http://ufcstats.com/fight-details/74b44635535cb290" TargetMode="External"/><Relationship Id="rId4182" Type="http://schemas.openxmlformats.org/officeDocument/2006/relationships/hyperlink" Target="http://ufcstats.com/fight-details/5737084215c45792" TargetMode="External"/><Relationship Id="rId939" Type="http://schemas.openxmlformats.org/officeDocument/2006/relationships/hyperlink" Target="http://ufcstats.com/fight-details/8c8337ce8437fe2e" TargetMode="External"/><Relationship Id="rId1776" Type="http://schemas.openxmlformats.org/officeDocument/2006/relationships/hyperlink" Target="http://ufcstats.com/fight-details/6532b71560ae39e0" TargetMode="External"/><Relationship Id="rId1983" Type="http://schemas.openxmlformats.org/officeDocument/2006/relationships/hyperlink" Target="http://ufcstats.com/fight-details/f18d44292036d5de" TargetMode="External"/><Relationship Id="rId2827" Type="http://schemas.openxmlformats.org/officeDocument/2006/relationships/hyperlink" Target="http://ufcstats.com/fight-details/20b5de395c0f1375" TargetMode="External"/><Relationship Id="rId4042" Type="http://schemas.openxmlformats.org/officeDocument/2006/relationships/hyperlink" Target="http://ufcstats.com/fight-details/1c85003f6ec59c9d" TargetMode="External"/><Relationship Id="rId68" Type="http://schemas.openxmlformats.org/officeDocument/2006/relationships/hyperlink" Target="http://ufcstats.com/fight-details/48ff3f1bcefbf965" TargetMode="External"/><Relationship Id="rId1429" Type="http://schemas.openxmlformats.org/officeDocument/2006/relationships/hyperlink" Target="http://ufcstats.com/fight-details/27a6a6d4e3f8be75" TargetMode="External"/><Relationship Id="rId1636" Type="http://schemas.openxmlformats.org/officeDocument/2006/relationships/hyperlink" Target="http://ufcstats.com/fight-details/14c505d7ad55883c" TargetMode="External"/><Relationship Id="rId1843" Type="http://schemas.openxmlformats.org/officeDocument/2006/relationships/hyperlink" Target="http://ufcstats.com/fight-details/a3b7cbdb6d2607f4" TargetMode="External"/><Relationship Id="rId1703" Type="http://schemas.openxmlformats.org/officeDocument/2006/relationships/hyperlink" Target="http://ufcstats.com/fight-details/c0982b3919cc74f0" TargetMode="External"/><Relationship Id="rId1910" Type="http://schemas.openxmlformats.org/officeDocument/2006/relationships/hyperlink" Target="http://ufcstats.com/fight-details/eac46cfead228e11" TargetMode="External"/><Relationship Id="rId3668" Type="http://schemas.openxmlformats.org/officeDocument/2006/relationships/hyperlink" Target="http://ufcstats.com/fight-details/a6b328733d610e2b" TargetMode="External"/><Relationship Id="rId3875" Type="http://schemas.openxmlformats.org/officeDocument/2006/relationships/hyperlink" Target="http://ufcstats.com/fight-details/36032308b7e86fd0" TargetMode="External"/><Relationship Id="rId589" Type="http://schemas.openxmlformats.org/officeDocument/2006/relationships/hyperlink" Target="http://ufcstats.com/fight-details/1b1fd32485861655" TargetMode="External"/><Relationship Id="rId796" Type="http://schemas.openxmlformats.org/officeDocument/2006/relationships/hyperlink" Target="http://ufcstats.com/fight-details/50dae6b76c9c6490" TargetMode="External"/><Relationship Id="rId2477" Type="http://schemas.openxmlformats.org/officeDocument/2006/relationships/hyperlink" Target="http://ufcstats.com/fight-details/d9a797f632686568" TargetMode="External"/><Relationship Id="rId2684" Type="http://schemas.openxmlformats.org/officeDocument/2006/relationships/hyperlink" Target="http://ufcstats.com/fight-details/770312f3ca8506b6" TargetMode="External"/><Relationship Id="rId3528" Type="http://schemas.openxmlformats.org/officeDocument/2006/relationships/hyperlink" Target="http://ufcstats.com/fight-details/f3169b755afcdc5b" TargetMode="External"/><Relationship Id="rId3735" Type="http://schemas.openxmlformats.org/officeDocument/2006/relationships/hyperlink" Target="http://ufcstats.com/fight-details/97dabff880f33202" TargetMode="External"/><Relationship Id="rId449" Type="http://schemas.openxmlformats.org/officeDocument/2006/relationships/hyperlink" Target="http://ufcstats.com/fight-details/fc16ccf0994c6e50" TargetMode="External"/><Relationship Id="rId656" Type="http://schemas.openxmlformats.org/officeDocument/2006/relationships/hyperlink" Target="http://ufcstats.com/fight-details/83955de599b2d874" TargetMode="External"/><Relationship Id="rId863" Type="http://schemas.openxmlformats.org/officeDocument/2006/relationships/hyperlink" Target="http://ufcstats.com/fight-details/5742025a09190829" TargetMode="External"/><Relationship Id="rId1079" Type="http://schemas.openxmlformats.org/officeDocument/2006/relationships/hyperlink" Target="http://ufcstats.com/fight-details/b3c74554c871fbf8" TargetMode="External"/><Relationship Id="rId1286" Type="http://schemas.openxmlformats.org/officeDocument/2006/relationships/hyperlink" Target="http://ufcstats.com/fight-details/5d11b618f24082dd" TargetMode="External"/><Relationship Id="rId1493" Type="http://schemas.openxmlformats.org/officeDocument/2006/relationships/hyperlink" Target="http://ufcstats.com/fight-details/f43f9861e73739c8" TargetMode="External"/><Relationship Id="rId2337" Type="http://schemas.openxmlformats.org/officeDocument/2006/relationships/hyperlink" Target="http://ufcstats.com/fight-details/a4e210bcdcc1bf5b" TargetMode="External"/><Relationship Id="rId2544" Type="http://schemas.openxmlformats.org/officeDocument/2006/relationships/hyperlink" Target="http://ufcstats.com/fight-details/11f7bac5037a184c" TargetMode="External"/><Relationship Id="rId2891" Type="http://schemas.openxmlformats.org/officeDocument/2006/relationships/hyperlink" Target="http://ufcstats.com/fight-details/7a57289563f9d974" TargetMode="External"/><Relationship Id="rId3942" Type="http://schemas.openxmlformats.org/officeDocument/2006/relationships/hyperlink" Target="http://ufcstats.com/fight-details/a274ed04c36d40d4" TargetMode="External"/><Relationship Id="rId309" Type="http://schemas.openxmlformats.org/officeDocument/2006/relationships/hyperlink" Target="http://ufcstats.com/fight-details/7fec3b1ec923ad24" TargetMode="External"/><Relationship Id="rId516" Type="http://schemas.openxmlformats.org/officeDocument/2006/relationships/hyperlink" Target="http://ufcstats.com/fight-details/01e8868086004dd8" TargetMode="External"/><Relationship Id="rId1146" Type="http://schemas.openxmlformats.org/officeDocument/2006/relationships/hyperlink" Target="http://ufcstats.com/fight-details/3f5f6c576046bf77" TargetMode="External"/><Relationship Id="rId2751" Type="http://schemas.openxmlformats.org/officeDocument/2006/relationships/hyperlink" Target="http://ufcstats.com/fight-details/f995ed679ef8bdf4" TargetMode="External"/><Relationship Id="rId3802" Type="http://schemas.openxmlformats.org/officeDocument/2006/relationships/hyperlink" Target="http://ufcstats.com/fight-details/bd246b9789f88e1c" TargetMode="External"/><Relationship Id="rId723" Type="http://schemas.openxmlformats.org/officeDocument/2006/relationships/hyperlink" Target="http://ufcstats.com/fight-details/50385add37239184" TargetMode="External"/><Relationship Id="rId930" Type="http://schemas.openxmlformats.org/officeDocument/2006/relationships/hyperlink" Target="http://ufcstats.com/fight-details/5d481ff494bf40da" TargetMode="External"/><Relationship Id="rId1006" Type="http://schemas.openxmlformats.org/officeDocument/2006/relationships/hyperlink" Target="http://ufcstats.com/fight-details/d1d3b6ab8a56e973" TargetMode="External"/><Relationship Id="rId1353" Type="http://schemas.openxmlformats.org/officeDocument/2006/relationships/hyperlink" Target="http://ufcstats.com/fight-details/4b790d75c4bc694c" TargetMode="External"/><Relationship Id="rId1560" Type="http://schemas.openxmlformats.org/officeDocument/2006/relationships/hyperlink" Target="http://ufcstats.com/fight-details/9ce56acac775d386" TargetMode="External"/><Relationship Id="rId2404" Type="http://schemas.openxmlformats.org/officeDocument/2006/relationships/hyperlink" Target="http://ufcstats.com/fight-details/c26a3f4c08333886" TargetMode="External"/><Relationship Id="rId2611" Type="http://schemas.openxmlformats.org/officeDocument/2006/relationships/hyperlink" Target="http://ufcstats.com/fight-details/e8517ed0b49abc37" TargetMode="External"/><Relationship Id="rId1213" Type="http://schemas.openxmlformats.org/officeDocument/2006/relationships/hyperlink" Target="http://ufcstats.com/fight-details/451df53c13185584" TargetMode="External"/><Relationship Id="rId1420" Type="http://schemas.openxmlformats.org/officeDocument/2006/relationships/hyperlink" Target="http://ufcstats.com/fight-details/c1356395d6b055d7" TargetMode="External"/><Relationship Id="rId4369" Type="http://schemas.openxmlformats.org/officeDocument/2006/relationships/hyperlink" Target="http://ufcstats.com/fight-details/ab475a3a4487d6d3" TargetMode="External"/><Relationship Id="rId3178" Type="http://schemas.openxmlformats.org/officeDocument/2006/relationships/hyperlink" Target="http://ufcstats.com/fight-details/f8b9b5ee3d4a8ac3" TargetMode="External"/><Relationship Id="rId3385" Type="http://schemas.openxmlformats.org/officeDocument/2006/relationships/hyperlink" Target="http://ufcstats.com/fight-details/294a9e9780afa789" TargetMode="External"/><Relationship Id="rId3592" Type="http://schemas.openxmlformats.org/officeDocument/2006/relationships/hyperlink" Target="http://ufcstats.com/fight-details/7c5fc3fc7be4a997" TargetMode="External"/><Relationship Id="rId4229" Type="http://schemas.openxmlformats.org/officeDocument/2006/relationships/hyperlink" Target="http://ufcstats.com/fight-details/1a502852b706f674" TargetMode="External"/><Relationship Id="rId4436" Type="http://schemas.openxmlformats.org/officeDocument/2006/relationships/hyperlink" Target="http://ufcstats.com/fight-details/f0ac3761d3fdda3e" TargetMode="External"/><Relationship Id="rId2194" Type="http://schemas.openxmlformats.org/officeDocument/2006/relationships/hyperlink" Target="http://ufcstats.com/fight-details/9d98e1c0d62213cf" TargetMode="External"/><Relationship Id="rId3038" Type="http://schemas.openxmlformats.org/officeDocument/2006/relationships/hyperlink" Target="http://ufcstats.com/fight-details/d042d18ad568190a" TargetMode="External"/><Relationship Id="rId3245" Type="http://schemas.openxmlformats.org/officeDocument/2006/relationships/hyperlink" Target="http://ufcstats.com/fight-details/edcf1d6a1bd8acc7" TargetMode="External"/><Relationship Id="rId3452" Type="http://schemas.openxmlformats.org/officeDocument/2006/relationships/hyperlink" Target="http://ufcstats.com/fight-details/5aa7ecc6507841bd" TargetMode="External"/><Relationship Id="rId166" Type="http://schemas.openxmlformats.org/officeDocument/2006/relationships/hyperlink" Target="http://ufcstats.com/fight-details/c936527df280b8b4" TargetMode="External"/><Relationship Id="rId373" Type="http://schemas.openxmlformats.org/officeDocument/2006/relationships/hyperlink" Target="http://ufcstats.com/fight-details/57ff0eb2351979c4" TargetMode="External"/><Relationship Id="rId580" Type="http://schemas.openxmlformats.org/officeDocument/2006/relationships/hyperlink" Target="http://ufcstats.com/fight-details/8aa07b6cc40f0cb2" TargetMode="External"/><Relationship Id="rId2054" Type="http://schemas.openxmlformats.org/officeDocument/2006/relationships/hyperlink" Target="http://ufcstats.com/fight-details/0697d5520b74a8df" TargetMode="External"/><Relationship Id="rId2261" Type="http://schemas.openxmlformats.org/officeDocument/2006/relationships/hyperlink" Target="http://ufcstats.com/fight-details/976d2cc3d08ca814" TargetMode="External"/><Relationship Id="rId3105" Type="http://schemas.openxmlformats.org/officeDocument/2006/relationships/hyperlink" Target="http://ufcstats.com/fight-details/812ff38f0ed409ca" TargetMode="External"/><Relationship Id="rId3312" Type="http://schemas.openxmlformats.org/officeDocument/2006/relationships/hyperlink" Target="http://ufcstats.com/fight-details/c9283da5f4d7aaf4" TargetMode="External"/><Relationship Id="rId233" Type="http://schemas.openxmlformats.org/officeDocument/2006/relationships/hyperlink" Target="http://ufcstats.com/fight-details/913d6763b570d060" TargetMode="External"/><Relationship Id="rId440" Type="http://schemas.openxmlformats.org/officeDocument/2006/relationships/hyperlink" Target="http://ufcstats.com/fight-details/5574c020655b435e" TargetMode="External"/><Relationship Id="rId1070" Type="http://schemas.openxmlformats.org/officeDocument/2006/relationships/hyperlink" Target="http://ufcstats.com/fight-details/2c81668d1459991f" TargetMode="External"/><Relationship Id="rId2121" Type="http://schemas.openxmlformats.org/officeDocument/2006/relationships/hyperlink" Target="http://ufcstats.com/fight-details/9a79a4b97a0f1e24" TargetMode="External"/><Relationship Id="rId300" Type="http://schemas.openxmlformats.org/officeDocument/2006/relationships/hyperlink" Target="http://ufcstats.com/fight-details/990c2378caec68d4" TargetMode="External"/><Relationship Id="rId4086" Type="http://schemas.openxmlformats.org/officeDocument/2006/relationships/hyperlink" Target="http://ufcstats.com/fight-details/51f955029dbf6978" TargetMode="External"/><Relationship Id="rId1887" Type="http://schemas.openxmlformats.org/officeDocument/2006/relationships/hyperlink" Target="http://ufcstats.com/fight-details/938c2c71b84e56ff" TargetMode="External"/><Relationship Id="rId2938" Type="http://schemas.openxmlformats.org/officeDocument/2006/relationships/hyperlink" Target="http://ufcstats.com/fight-details/5f1a828f8d4c3b01" TargetMode="External"/><Relationship Id="rId4293" Type="http://schemas.openxmlformats.org/officeDocument/2006/relationships/hyperlink" Target="http://ufcstats.com/fight-details/ea303a8e6e31f264" TargetMode="External"/><Relationship Id="rId1747" Type="http://schemas.openxmlformats.org/officeDocument/2006/relationships/hyperlink" Target="http://ufcstats.com/fight-details/f27e8d63f526d326" TargetMode="External"/><Relationship Id="rId1954" Type="http://schemas.openxmlformats.org/officeDocument/2006/relationships/hyperlink" Target="http://ufcstats.com/fight-details/d4e98b827e3d6918" TargetMode="External"/><Relationship Id="rId4153" Type="http://schemas.openxmlformats.org/officeDocument/2006/relationships/hyperlink" Target="http://ufcstats.com/fight-details/743a04674ab72ee0" TargetMode="External"/><Relationship Id="rId4360" Type="http://schemas.openxmlformats.org/officeDocument/2006/relationships/hyperlink" Target="http://ufcstats.com/fight-details/0eab2845f901f8b6" TargetMode="External"/><Relationship Id="rId39" Type="http://schemas.openxmlformats.org/officeDocument/2006/relationships/hyperlink" Target="http://ufcstats.com/fight-details/f4187c30c311eb93" TargetMode="External"/><Relationship Id="rId1607" Type="http://schemas.openxmlformats.org/officeDocument/2006/relationships/hyperlink" Target="http://ufcstats.com/fight-details/6a4ba72b084193b5" TargetMode="External"/><Relationship Id="rId1814" Type="http://schemas.openxmlformats.org/officeDocument/2006/relationships/hyperlink" Target="http://ufcstats.com/fight-details/ae803440d778a12b" TargetMode="External"/><Relationship Id="rId4013" Type="http://schemas.openxmlformats.org/officeDocument/2006/relationships/hyperlink" Target="http://ufcstats.com/fight-details/10a1947cb3feabc1" TargetMode="External"/><Relationship Id="rId4220" Type="http://schemas.openxmlformats.org/officeDocument/2006/relationships/hyperlink" Target="http://ufcstats.com/fight-details/4ea4d0a73a90bfb0" TargetMode="External"/><Relationship Id="rId3779" Type="http://schemas.openxmlformats.org/officeDocument/2006/relationships/hyperlink" Target="http://ufcstats.com/fight-details/4ace70bff9debdfb" TargetMode="External"/><Relationship Id="rId2588" Type="http://schemas.openxmlformats.org/officeDocument/2006/relationships/hyperlink" Target="http://ufcstats.com/fight-details/5d9b84493f1ed114" TargetMode="External"/><Relationship Id="rId3986" Type="http://schemas.openxmlformats.org/officeDocument/2006/relationships/hyperlink" Target="http://ufcstats.com/fight-details/f3ad8ad8d242678e" TargetMode="External"/><Relationship Id="rId1397" Type="http://schemas.openxmlformats.org/officeDocument/2006/relationships/hyperlink" Target="http://ufcstats.com/fight-details/f9d2137f380e66bf" TargetMode="External"/><Relationship Id="rId2795" Type="http://schemas.openxmlformats.org/officeDocument/2006/relationships/hyperlink" Target="http://ufcstats.com/fight-details/bb1ac382e0277b3f" TargetMode="External"/><Relationship Id="rId3639" Type="http://schemas.openxmlformats.org/officeDocument/2006/relationships/hyperlink" Target="http://ufcstats.com/fight-details/246fef4b19c3a7ed" TargetMode="External"/><Relationship Id="rId3846" Type="http://schemas.openxmlformats.org/officeDocument/2006/relationships/hyperlink" Target="http://ufcstats.com/fight-details/1c2d0db1c9eed052" TargetMode="External"/><Relationship Id="rId767" Type="http://schemas.openxmlformats.org/officeDocument/2006/relationships/hyperlink" Target="http://ufcstats.com/fight-details/02ace8fdd83c6480" TargetMode="External"/><Relationship Id="rId974" Type="http://schemas.openxmlformats.org/officeDocument/2006/relationships/hyperlink" Target="http://ufcstats.com/fight-details/59861c3d19eb46ef" TargetMode="External"/><Relationship Id="rId2448" Type="http://schemas.openxmlformats.org/officeDocument/2006/relationships/hyperlink" Target="http://ufcstats.com/fight-details/cd137988da724076" TargetMode="External"/><Relationship Id="rId2655" Type="http://schemas.openxmlformats.org/officeDocument/2006/relationships/hyperlink" Target="http://ufcstats.com/fight-details/a6cc776330194937" TargetMode="External"/><Relationship Id="rId2862" Type="http://schemas.openxmlformats.org/officeDocument/2006/relationships/hyperlink" Target="http://ufcstats.com/fight-details/f557405652165aa3" TargetMode="External"/><Relationship Id="rId3706" Type="http://schemas.openxmlformats.org/officeDocument/2006/relationships/hyperlink" Target="http://ufcstats.com/fight-details/67e1ec8ee2db3423" TargetMode="External"/><Relationship Id="rId3913" Type="http://schemas.openxmlformats.org/officeDocument/2006/relationships/hyperlink" Target="http://ufcstats.com/fight-details/9e90800495c1d607" TargetMode="External"/><Relationship Id="rId627" Type="http://schemas.openxmlformats.org/officeDocument/2006/relationships/hyperlink" Target="http://ufcstats.com/fight-details/f592f168f3b8b807" TargetMode="External"/><Relationship Id="rId834" Type="http://schemas.openxmlformats.org/officeDocument/2006/relationships/hyperlink" Target="http://ufcstats.com/fight-details/f5eae75fc240aaa6" TargetMode="External"/><Relationship Id="rId1257" Type="http://schemas.openxmlformats.org/officeDocument/2006/relationships/hyperlink" Target="http://ufcstats.com/fight-details/1b4d5dbf5f663a97" TargetMode="External"/><Relationship Id="rId1464" Type="http://schemas.openxmlformats.org/officeDocument/2006/relationships/hyperlink" Target="http://ufcstats.com/fight-details/8b9bdacca749ec90" TargetMode="External"/><Relationship Id="rId1671" Type="http://schemas.openxmlformats.org/officeDocument/2006/relationships/hyperlink" Target="http://ufcstats.com/fight-details/aa62b8f58fc09790" TargetMode="External"/><Relationship Id="rId2308" Type="http://schemas.openxmlformats.org/officeDocument/2006/relationships/hyperlink" Target="http://ufcstats.com/fight-details/d571486369996a39" TargetMode="External"/><Relationship Id="rId2515" Type="http://schemas.openxmlformats.org/officeDocument/2006/relationships/hyperlink" Target="http://ufcstats.com/fight-details/7d0ce28ce8a77eb1" TargetMode="External"/><Relationship Id="rId2722" Type="http://schemas.openxmlformats.org/officeDocument/2006/relationships/hyperlink" Target="http://ufcstats.com/fight-details/86afc59ec117c1ba" TargetMode="External"/><Relationship Id="rId901" Type="http://schemas.openxmlformats.org/officeDocument/2006/relationships/hyperlink" Target="http://ufcstats.com/fight-details/4d3cbc7608c8958e" TargetMode="External"/><Relationship Id="rId1117" Type="http://schemas.openxmlformats.org/officeDocument/2006/relationships/hyperlink" Target="http://ufcstats.com/fight-details/e3a45f48dbda99c3" TargetMode="External"/><Relationship Id="rId1324" Type="http://schemas.openxmlformats.org/officeDocument/2006/relationships/hyperlink" Target="http://ufcstats.com/fight-details/9532ebf4d9405e65" TargetMode="External"/><Relationship Id="rId1531" Type="http://schemas.openxmlformats.org/officeDocument/2006/relationships/hyperlink" Target="http://ufcstats.com/fight-details/1a81573425c585fb" TargetMode="External"/><Relationship Id="rId30" Type="http://schemas.openxmlformats.org/officeDocument/2006/relationships/hyperlink" Target="http://ufcstats.com/fight-details/b5ec939fd1edf048" TargetMode="External"/><Relationship Id="rId3289" Type="http://schemas.openxmlformats.org/officeDocument/2006/relationships/hyperlink" Target="http://ufcstats.com/fight-details/4d8d1701c43c5fea" TargetMode="External"/><Relationship Id="rId3496" Type="http://schemas.openxmlformats.org/officeDocument/2006/relationships/hyperlink" Target="http://ufcstats.com/fight-details/a02ffaf1fe462d28" TargetMode="External"/><Relationship Id="rId2098" Type="http://schemas.openxmlformats.org/officeDocument/2006/relationships/hyperlink" Target="http://ufcstats.com/fight-details/2817a6f9e09eb15f" TargetMode="External"/><Relationship Id="rId3149" Type="http://schemas.openxmlformats.org/officeDocument/2006/relationships/hyperlink" Target="http://ufcstats.com/fight-details/049ad6d87b42eba8" TargetMode="External"/><Relationship Id="rId3356" Type="http://schemas.openxmlformats.org/officeDocument/2006/relationships/hyperlink" Target="http://ufcstats.com/fight-details/1cb7138b107b93b5" TargetMode="External"/><Relationship Id="rId3563" Type="http://schemas.openxmlformats.org/officeDocument/2006/relationships/hyperlink" Target="http://ufcstats.com/fight-details/31acf87e89a4a401" TargetMode="External"/><Relationship Id="rId4407" Type="http://schemas.openxmlformats.org/officeDocument/2006/relationships/hyperlink" Target="http://ufcstats.com/fight-details/37ff18106c6e38fc" TargetMode="External"/><Relationship Id="rId277" Type="http://schemas.openxmlformats.org/officeDocument/2006/relationships/hyperlink" Target="http://ufcstats.com/fight-details/926977ec3ed0ebe1" TargetMode="External"/><Relationship Id="rId484" Type="http://schemas.openxmlformats.org/officeDocument/2006/relationships/hyperlink" Target="http://ufcstats.com/fight-details/ee9e4f8523a484a6" TargetMode="External"/><Relationship Id="rId2165" Type="http://schemas.openxmlformats.org/officeDocument/2006/relationships/hyperlink" Target="http://ufcstats.com/fight-details/991680cd8d0b7900" TargetMode="External"/><Relationship Id="rId3009" Type="http://schemas.openxmlformats.org/officeDocument/2006/relationships/hyperlink" Target="http://ufcstats.com/fight-details/cf4199c8517bc1fd" TargetMode="External"/><Relationship Id="rId3216" Type="http://schemas.openxmlformats.org/officeDocument/2006/relationships/hyperlink" Target="http://ufcstats.com/fight-details/2d0d13dfc6c37ba8" TargetMode="External"/><Relationship Id="rId3770" Type="http://schemas.openxmlformats.org/officeDocument/2006/relationships/hyperlink" Target="http://ufcstats.com/fight-details/03b9922d777e430c" TargetMode="External"/><Relationship Id="rId137" Type="http://schemas.openxmlformats.org/officeDocument/2006/relationships/hyperlink" Target="http://ufcstats.com/fight-details/c2ee423d1f0b4f6f" TargetMode="External"/><Relationship Id="rId344" Type="http://schemas.openxmlformats.org/officeDocument/2006/relationships/hyperlink" Target="http://ufcstats.com/fight-details/afc86d1076c4c3a9" TargetMode="External"/><Relationship Id="rId691" Type="http://schemas.openxmlformats.org/officeDocument/2006/relationships/hyperlink" Target="http://ufcstats.com/fight-details/37a8c442fb38db75" TargetMode="External"/><Relationship Id="rId2025" Type="http://schemas.openxmlformats.org/officeDocument/2006/relationships/hyperlink" Target="http://ufcstats.com/fight-details/e27c28928ed4390f" TargetMode="External"/><Relationship Id="rId2372" Type="http://schemas.openxmlformats.org/officeDocument/2006/relationships/hyperlink" Target="http://ufcstats.com/fight-details/bab65d16fa74fc5b" TargetMode="External"/><Relationship Id="rId3423" Type="http://schemas.openxmlformats.org/officeDocument/2006/relationships/hyperlink" Target="http://ufcstats.com/fight-details/a68672f66e12a3c2" TargetMode="External"/><Relationship Id="rId3630" Type="http://schemas.openxmlformats.org/officeDocument/2006/relationships/hyperlink" Target="http://ufcstats.com/fight-details/2bdf774dc8b17504" TargetMode="External"/><Relationship Id="rId551" Type="http://schemas.openxmlformats.org/officeDocument/2006/relationships/hyperlink" Target="http://ufcstats.com/fight-details/feaf740e3ae53b7c" TargetMode="External"/><Relationship Id="rId1181" Type="http://schemas.openxmlformats.org/officeDocument/2006/relationships/hyperlink" Target="http://ufcstats.com/fight-details/1fd5bf36c42ff1a2" TargetMode="External"/><Relationship Id="rId2232" Type="http://schemas.openxmlformats.org/officeDocument/2006/relationships/hyperlink" Target="http://ufcstats.com/fight-details/ba27835ff05df0c9" TargetMode="External"/><Relationship Id="rId204" Type="http://schemas.openxmlformats.org/officeDocument/2006/relationships/hyperlink" Target="http://ufcstats.com/fight-details/2fef7ac78df0cccc" TargetMode="External"/><Relationship Id="rId411" Type="http://schemas.openxmlformats.org/officeDocument/2006/relationships/hyperlink" Target="http://ufcstats.com/fight-details/1bf1a6fc9c9acc26" TargetMode="External"/><Relationship Id="rId1041" Type="http://schemas.openxmlformats.org/officeDocument/2006/relationships/hyperlink" Target="http://ufcstats.com/fight-details/3d3dde60e3d59c1c" TargetMode="External"/><Relationship Id="rId1998" Type="http://schemas.openxmlformats.org/officeDocument/2006/relationships/hyperlink" Target="http://ufcstats.com/fight-details/35d06627d91b840d" TargetMode="External"/><Relationship Id="rId4197" Type="http://schemas.openxmlformats.org/officeDocument/2006/relationships/hyperlink" Target="http://ufcstats.com/fight-details/0daf776bd222daad" TargetMode="External"/><Relationship Id="rId1858" Type="http://schemas.openxmlformats.org/officeDocument/2006/relationships/hyperlink" Target="http://ufcstats.com/fight-details/53c96668bf850809" TargetMode="External"/><Relationship Id="rId4057" Type="http://schemas.openxmlformats.org/officeDocument/2006/relationships/hyperlink" Target="http://ufcstats.com/fight-details/ceaf7ed5ade30d9f" TargetMode="External"/><Relationship Id="rId4264" Type="http://schemas.openxmlformats.org/officeDocument/2006/relationships/hyperlink" Target="http://ufcstats.com/fight-details/833d67f423315d18" TargetMode="External"/><Relationship Id="rId2909" Type="http://schemas.openxmlformats.org/officeDocument/2006/relationships/hyperlink" Target="http://ufcstats.com/fight-details/3e74caa9fff4a5eb" TargetMode="External"/><Relationship Id="rId3073" Type="http://schemas.openxmlformats.org/officeDocument/2006/relationships/hyperlink" Target="http://ufcstats.com/fight-details/7de9867b7cc2b1b1" TargetMode="External"/><Relationship Id="rId3280" Type="http://schemas.openxmlformats.org/officeDocument/2006/relationships/hyperlink" Target="http://ufcstats.com/fight-details/5f4e944ff1bdcd9c" TargetMode="External"/><Relationship Id="rId4124" Type="http://schemas.openxmlformats.org/officeDocument/2006/relationships/hyperlink" Target="http://ufcstats.com/fight-details/e7a915f39ecf6db0" TargetMode="External"/><Relationship Id="rId4331" Type="http://schemas.openxmlformats.org/officeDocument/2006/relationships/hyperlink" Target="http://ufcstats.com/fight-details/d71ad0033de24fff" TargetMode="External"/><Relationship Id="rId1718" Type="http://schemas.openxmlformats.org/officeDocument/2006/relationships/hyperlink" Target="http://ufcstats.com/fight-details/995e79b951da945b" TargetMode="External"/><Relationship Id="rId1925" Type="http://schemas.openxmlformats.org/officeDocument/2006/relationships/hyperlink" Target="http://ufcstats.com/fight-details/fe9ee00fa47dd7b3" TargetMode="External"/><Relationship Id="rId3140" Type="http://schemas.openxmlformats.org/officeDocument/2006/relationships/hyperlink" Target="http://ufcstats.com/fight-details/7ffd80b65b0ff942" TargetMode="External"/><Relationship Id="rId2699" Type="http://schemas.openxmlformats.org/officeDocument/2006/relationships/hyperlink" Target="http://ufcstats.com/fight-details/3e6babcbd7b9d364" TargetMode="External"/><Relationship Id="rId3000" Type="http://schemas.openxmlformats.org/officeDocument/2006/relationships/hyperlink" Target="http://ufcstats.com/fight-details/894c44c3d04aaf6f" TargetMode="External"/><Relationship Id="rId3957" Type="http://schemas.openxmlformats.org/officeDocument/2006/relationships/hyperlink" Target="http://ufcstats.com/fight-details/1b52b08f195581ad" TargetMode="External"/><Relationship Id="rId878" Type="http://schemas.openxmlformats.org/officeDocument/2006/relationships/hyperlink" Target="http://ufcstats.com/fight-details/51e684bfce8d94aa" TargetMode="External"/><Relationship Id="rId2559" Type="http://schemas.openxmlformats.org/officeDocument/2006/relationships/hyperlink" Target="http://ufcstats.com/fight-details/c8f619a71b714ec7" TargetMode="External"/><Relationship Id="rId2766" Type="http://schemas.openxmlformats.org/officeDocument/2006/relationships/hyperlink" Target="http://ufcstats.com/fight-details/664e56d8a98e2b49" TargetMode="External"/><Relationship Id="rId2973" Type="http://schemas.openxmlformats.org/officeDocument/2006/relationships/hyperlink" Target="http://ufcstats.com/fight-details/6adfe44b110c1510" TargetMode="External"/><Relationship Id="rId3817" Type="http://schemas.openxmlformats.org/officeDocument/2006/relationships/hyperlink" Target="http://ufcstats.com/fight-details/b03dd50785e761a0" TargetMode="External"/><Relationship Id="rId738" Type="http://schemas.openxmlformats.org/officeDocument/2006/relationships/hyperlink" Target="http://ufcstats.com/fight-details/88c2da7b33cca8d4" TargetMode="External"/><Relationship Id="rId945" Type="http://schemas.openxmlformats.org/officeDocument/2006/relationships/hyperlink" Target="http://ufcstats.com/fight-details/6e1bf1b163b3aeab" TargetMode="External"/><Relationship Id="rId1368" Type="http://schemas.openxmlformats.org/officeDocument/2006/relationships/hyperlink" Target="http://ufcstats.com/fight-details/15ce105716441c54" TargetMode="External"/><Relationship Id="rId1575" Type="http://schemas.openxmlformats.org/officeDocument/2006/relationships/hyperlink" Target="http://ufcstats.com/fight-details/55c257629ecea80f" TargetMode="External"/><Relationship Id="rId1782" Type="http://schemas.openxmlformats.org/officeDocument/2006/relationships/hyperlink" Target="http://ufcstats.com/fight-details/af5f287198f20eb4" TargetMode="External"/><Relationship Id="rId2419" Type="http://schemas.openxmlformats.org/officeDocument/2006/relationships/hyperlink" Target="http://ufcstats.com/fight-details/cb1f27818d46af0e" TargetMode="External"/><Relationship Id="rId2626" Type="http://schemas.openxmlformats.org/officeDocument/2006/relationships/hyperlink" Target="http://ufcstats.com/fight-details/92f569a6d9374b86" TargetMode="External"/><Relationship Id="rId2833" Type="http://schemas.openxmlformats.org/officeDocument/2006/relationships/hyperlink" Target="http://ufcstats.com/fight-details/2db0998b24c11ea0" TargetMode="External"/><Relationship Id="rId74" Type="http://schemas.openxmlformats.org/officeDocument/2006/relationships/hyperlink" Target="http://ufcstats.com/fight-details/9785420602b452f7" TargetMode="External"/><Relationship Id="rId805" Type="http://schemas.openxmlformats.org/officeDocument/2006/relationships/hyperlink" Target="http://ufcstats.com/fight-details/eed8c9955cad1e30" TargetMode="External"/><Relationship Id="rId1228" Type="http://schemas.openxmlformats.org/officeDocument/2006/relationships/hyperlink" Target="http://ufcstats.com/fight-details/319f3fad278368e6" TargetMode="External"/><Relationship Id="rId1435" Type="http://schemas.openxmlformats.org/officeDocument/2006/relationships/hyperlink" Target="http://ufcstats.com/fight-details/6971094300073d47" TargetMode="External"/><Relationship Id="rId1642" Type="http://schemas.openxmlformats.org/officeDocument/2006/relationships/hyperlink" Target="http://ufcstats.com/fight-details/afb0d61f22e85d90" TargetMode="External"/><Relationship Id="rId2900" Type="http://schemas.openxmlformats.org/officeDocument/2006/relationships/hyperlink" Target="http://ufcstats.com/fight-details/81af3b60203d92df" TargetMode="External"/><Relationship Id="rId1502" Type="http://schemas.openxmlformats.org/officeDocument/2006/relationships/hyperlink" Target="http://ufcstats.com/fight-details/a760d0f5de2e1aaa" TargetMode="External"/><Relationship Id="rId388" Type="http://schemas.openxmlformats.org/officeDocument/2006/relationships/hyperlink" Target="http://ufcstats.com/fight-details/3b5e1d6cbf9c8c9f" TargetMode="External"/><Relationship Id="rId2069" Type="http://schemas.openxmlformats.org/officeDocument/2006/relationships/hyperlink" Target="http://ufcstats.com/fight-details/a5acaa5f693529dd" TargetMode="External"/><Relationship Id="rId3467" Type="http://schemas.openxmlformats.org/officeDocument/2006/relationships/hyperlink" Target="http://ufcstats.com/fight-details/464133df9ca19865" TargetMode="External"/><Relationship Id="rId3674" Type="http://schemas.openxmlformats.org/officeDocument/2006/relationships/hyperlink" Target="http://ufcstats.com/fight-details/4b8c8ae61251ff83" TargetMode="External"/><Relationship Id="rId3881" Type="http://schemas.openxmlformats.org/officeDocument/2006/relationships/hyperlink" Target="http://ufcstats.com/fight-details/60be02c5566c8348" TargetMode="External"/><Relationship Id="rId595" Type="http://schemas.openxmlformats.org/officeDocument/2006/relationships/hyperlink" Target="http://ufcstats.com/fight-details/b4cc389bb4af3707" TargetMode="External"/><Relationship Id="rId2276" Type="http://schemas.openxmlformats.org/officeDocument/2006/relationships/hyperlink" Target="http://ufcstats.com/fight-details/5da7168ac2ff0e1d" TargetMode="External"/><Relationship Id="rId2483" Type="http://schemas.openxmlformats.org/officeDocument/2006/relationships/hyperlink" Target="http://ufcstats.com/fight-details/921a8db065cd8cc5" TargetMode="External"/><Relationship Id="rId2690" Type="http://schemas.openxmlformats.org/officeDocument/2006/relationships/hyperlink" Target="http://ufcstats.com/fight-details/0c703bf17c04fee4" TargetMode="External"/><Relationship Id="rId3327" Type="http://schemas.openxmlformats.org/officeDocument/2006/relationships/hyperlink" Target="http://ufcstats.com/fight-details/e22d5aab3d099c7c" TargetMode="External"/><Relationship Id="rId3534" Type="http://schemas.openxmlformats.org/officeDocument/2006/relationships/hyperlink" Target="http://ufcstats.com/fight-details/6ea77cb62aa2f276" TargetMode="External"/><Relationship Id="rId3741" Type="http://schemas.openxmlformats.org/officeDocument/2006/relationships/hyperlink" Target="http://ufcstats.com/fight-details/2a0d4dd0997bd712" TargetMode="External"/><Relationship Id="rId248" Type="http://schemas.openxmlformats.org/officeDocument/2006/relationships/hyperlink" Target="http://ufcstats.com/fight-details/fb7ebdda8658fa05" TargetMode="External"/><Relationship Id="rId455" Type="http://schemas.openxmlformats.org/officeDocument/2006/relationships/hyperlink" Target="http://ufcstats.com/fight-details/df661c70c40adf84" TargetMode="External"/><Relationship Id="rId662" Type="http://schemas.openxmlformats.org/officeDocument/2006/relationships/hyperlink" Target="http://ufcstats.com/fight-details/3e4b8bd71e8bceb2" TargetMode="External"/><Relationship Id="rId1085" Type="http://schemas.openxmlformats.org/officeDocument/2006/relationships/hyperlink" Target="http://ufcstats.com/fight-details/d9c0351cd21e40e0" TargetMode="External"/><Relationship Id="rId1292" Type="http://schemas.openxmlformats.org/officeDocument/2006/relationships/hyperlink" Target="http://ufcstats.com/fight-details/110f539523a4b571" TargetMode="External"/><Relationship Id="rId2136" Type="http://schemas.openxmlformats.org/officeDocument/2006/relationships/hyperlink" Target="http://ufcstats.com/fight-details/1afa8d6ae4d8a5b2" TargetMode="External"/><Relationship Id="rId2343" Type="http://schemas.openxmlformats.org/officeDocument/2006/relationships/hyperlink" Target="http://ufcstats.com/fight-details/dfa2f5c821a52c63" TargetMode="External"/><Relationship Id="rId2550" Type="http://schemas.openxmlformats.org/officeDocument/2006/relationships/hyperlink" Target="http://ufcstats.com/fight-details/a7cf716f5d73b558" TargetMode="External"/><Relationship Id="rId3601" Type="http://schemas.openxmlformats.org/officeDocument/2006/relationships/hyperlink" Target="http://ufcstats.com/fight-details/adac148ee6fa3bf7" TargetMode="External"/><Relationship Id="rId108" Type="http://schemas.openxmlformats.org/officeDocument/2006/relationships/hyperlink" Target="http://ufcstats.com/fight-details/d497d74a0df9e35e" TargetMode="External"/><Relationship Id="rId315" Type="http://schemas.openxmlformats.org/officeDocument/2006/relationships/hyperlink" Target="http://ufcstats.com/fight-details/73c97d5c314f1270" TargetMode="External"/><Relationship Id="rId522" Type="http://schemas.openxmlformats.org/officeDocument/2006/relationships/hyperlink" Target="http://ufcstats.com/fight-details/df8391ca39160d8c" TargetMode="External"/><Relationship Id="rId1152" Type="http://schemas.openxmlformats.org/officeDocument/2006/relationships/hyperlink" Target="http://ufcstats.com/fight-details/866729ea2ceddb25" TargetMode="External"/><Relationship Id="rId2203" Type="http://schemas.openxmlformats.org/officeDocument/2006/relationships/hyperlink" Target="http://ufcstats.com/fight-details/8d9bcbb48888a5a3" TargetMode="External"/><Relationship Id="rId2410" Type="http://schemas.openxmlformats.org/officeDocument/2006/relationships/hyperlink" Target="http://ufcstats.com/fight-details/f3e289f1423c0e6f" TargetMode="External"/><Relationship Id="rId1012" Type="http://schemas.openxmlformats.org/officeDocument/2006/relationships/hyperlink" Target="http://ufcstats.com/fight-details/8289033e03b4d9a3" TargetMode="External"/><Relationship Id="rId4168" Type="http://schemas.openxmlformats.org/officeDocument/2006/relationships/hyperlink" Target="http://ufcstats.com/fight-details/3aa49ed298e4c34f" TargetMode="External"/><Relationship Id="rId4375" Type="http://schemas.openxmlformats.org/officeDocument/2006/relationships/hyperlink" Target="http://ufcstats.com/fight-details/ef270d8cf29d071b" TargetMode="External"/><Relationship Id="rId1969" Type="http://schemas.openxmlformats.org/officeDocument/2006/relationships/hyperlink" Target="http://ufcstats.com/fight-details/5304956aada097e8" TargetMode="External"/><Relationship Id="rId3184" Type="http://schemas.openxmlformats.org/officeDocument/2006/relationships/hyperlink" Target="http://ufcstats.com/fight-details/480aca1906276700" TargetMode="External"/><Relationship Id="rId4028" Type="http://schemas.openxmlformats.org/officeDocument/2006/relationships/hyperlink" Target="http://ufcstats.com/fight-details/9cfb84817a43b63c" TargetMode="External"/><Relationship Id="rId4235" Type="http://schemas.openxmlformats.org/officeDocument/2006/relationships/hyperlink" Target="http://ufcstats.com/fight-details/58c73a9562adcfe5" TargetMode="External"/><Relationship Id="rId1829" Type="http://schemas.openxmlformats.org/officeDocument/2006/relationships/hyperlink" Target="http://ufcstats.com/fight-details/48292a027df02443" TargetMode="External"/><Relationship Id="rId3391" Type="http://schemas.openxmlformats.org/officeDocument/2006/relationships/hyperlink" Target="http://ufcstats.com/fight-details/53d6a7634c7fc036" TargetMode="External"/><Relationship Id="rId4442" Type="http://schemas.openxmlformats.org/officeDocument/2006/relationships/hyperlink" Target="http://ufcstats.com/fight-details/e460bf4db340ca9e" TargetMode="External"/><Relationship Id="rId3044" Type="http://schemas.openxmlformats.org/officeDocument/2006/relationships/hyperlink" Target="http://ufcstats.com/fight-details/16a0352f3e19b931" TargetMode="External"/><Relationship Id="rId3251" Type="http://schemas.openxmlformats.org/officeDocument/2006/relationships/hyperlink" Target="http://ufcstats.com/fight-details/bc6100e6dd239db7" TargetMode="External"/><Relationship Id="rId4302" Type="http://schemas.openxmlformats.org/officeDocument/2006/relationships/hyperlink" Target="http://ufcstats.com/fight-details/56403d0fd259c5d9" TargetMode="External"/><Relationship Id="rId172" Type="http://schemas.openxmlformats.org/officeDocument/2006/relationships/hyperlink" Target="http://ufcstats.com/fight-details/3744d4cdaa6b242b" TargetMode="External"/><Relationship Id="rId2060" Type="http://schemas.openxmlformats.org/officeDocument/2006/relationships/hyperlink" Target="http://ufcstats.com/fight-details/8accd04438b91262" TargetMode="External"/><Relationship Id="rId3111" Type="http://schemas.openxmlformats.org/officeDocument/2006/relationships/hyperlink" Target="http://ufcstats.com/fight-details/d361b51952944a26" TargetMode="External"/><Relationship Id="rId989" Type="http://schemas.openxmlformats.org/officeDocument/2006/relationships/hyperlink" Target="http://ufcstats.com/fight-details/51d3be5e8aee5cd9" TargetMode="External"/><Relationship Id="rId2877" Type="http://schemas.openxmlformats.org/officeDocument/2006/relationships/hyperlink" Target="http://ufcstats.com/fight-details/0b88d0c76f9cd7e4" TargetMode="External"/><Relationship Id="rId849" Type="http://schemas.openxmlformats.org/officeDocument/2006/relationships/hyperlink" Target="http://ufcstats.com/fight-details/25da52bc590ef664" TargetMode="External"/><Relationship Id="rId1479" Type="http://schemas.openxmlformats.org/officeDocument/2006/relationships/hyperlink" Target="http://ufcstats.com/fight-details/0bc7e4852f75a06d" TargetMode="External"/><Relationship Id="rId1686" Type="http://schemas.openxmlformats.org/officeDocument/2006/relationships/hyperlink" Target="http://ufcstats.com/fight-details/49694c2d00c581ed" TargetMode="External"/><Relationship Id="rId3928" Type="http://schemas.openxmlformats.org/officeDocument/2006/relationships/hyperlink" Target="http://ufcstats.com/fight-details/1685eecc7ef37fb5" TargetMode="External"/><Relationship Id="rId4092" Type="http://schemas.openxmlformats.org/officeDocument/2006/relationships/hyperlink" Target="http://ufcstats.com/fight-details/82eb6fa58ae52428" TargetMode="External"/><Relationship Id="rId1339" Type="http://schemas.openxmlformats.org/officeDocument/2006/relationships/hyperlink" Target="http://ufcstats.com/fight-details/7020840980f723b9" TargetMode="External"/><Relationship Id="rId1893" Type="http://schemas.openxmlformats.org/officeDocument/2006/relationships/hyperlink" Target="http://ufcstats.com/fight-details/df9aa51f6ccdfe02" TargetMode="External"/><Relationship Id="rId2737" Type="http://schemas.openxmlformats.org/officeDocument/2006/relationships/hyperlink" Target="http://ufcstats.com/fight-details/7ec24848cac6c5a1" TargetMode="External"/><Relationship Id="rId2944" Type="http://schemas.openxmlformats.org/officeDocument/2006/relationships/hyperlink" Target="http://ufcstats.com/fight-details/9d8473ae274ed625" TargetMode="External"/><Relationship Id="rId709" Type="http://schemas.openxmlformats.org/officeDocument/2006/relationships/hyperlink" Target="http://ufcstats.com/fight-details/85f85003fadf7a7b" TargetMode="External"/><Relationship Id="rId916" Type="http://schemas.openxmlformats.org/officeDocument/2006/relationships/hyperlink" Target="http://ufcstats.com/fight-details/5c70b175f08ca141" TargetMode="External"/><Relationship Id="rId1546" Type="http://schemas.openxmlformats.org/officeDocument/2006/relationships/hyperlink" Target="http://ufcstats.com/fight-details/ebe122e962d26fa4" TargetMode="External"/><Relationship Id="rId1753" Type="http://schemas.openxmlformats.org/officeDocument/2006/relationships/hyperlink" Target="http://ufcstats.com/fight-details/6db4d7827082d5b9" TargetMode="External"/><Relationship Id="rId1960" Type="http://schemas.openxmlformats.org/officeDocument/2006/relationships/hyperlink" Target="http://ufcstats.com/fight-details/8a121f9c48f3773c" TargetMode="External"/><Relationship Id="rId2804" Type="http://schemas.openxmlformats.org/officeDocument/2006/relationships/hyperlink" Target="http://ufcstats.com/fight-details/23ea24013d15c09c" TargetMode="External"/><Relationship Id="rId45" Type="http://schemas.openxmlformats.org/officeDocument/2006/relationships/hyperlink" Target="http://ufcstats.com/fight-details/e08479759c296bb1" TargetMode="External"/><Relationship Id="rId1406" Type="http://schemas.openxmlformats.org/officeDocument/2006/relationships/hyperlink" Target="http://ufcstats.com/fight-details/8f7328fe18806fb0" TargetMode="External"/><Relationship Id="rId1613" Type="http://schemas.openxmlformats.org/officeDocument/2006/relationships/hyperlink" Target="http://ufcstats.com/fight-details/4b5f9b7c31d1205d" TargetMode="External"/><Relationship Id="rId1820" Type="http://schemas.openxmlformats.org/officeDocument/2006/relationships/hyperlink" Target="http://ufcstats.com/fight-details/7cdda45e7d52bf40" TargetMode="External"/><Relationship Id="rId3578" Type="http://schemas.openxmlformats.org/officeDocument/2006/relationships/hyperlink" Target="http://ufcstats.com/fight-details/5b8d693bd1780102" TargetMode="External"/><Relationship Id="rId3785" Type="http://schemas.openxmlformats.org/officeDocument/2006/relationships/hyperlink" Target="http://ufcstats.com/fight-details/b509c337d181c567" TargetMode="External"/><Relationship Id="rId3992" Type="http://schemas.openxmlformats.org/officeDocument/2006/relationships/hyperlink" Target="http://ufcstats.com/fight-details/9433730f95d52fc8" TargetMode="External"/><Relationship Id="rId499" Type="http://schemas.openxmlformats.org/officeDocument/2006/relationships/hyperlink" Target="http://ufcstats.com/fight-details/20ba608a6e717f05" TargetMode="External"/><Relationship Id="rId2387" Type="http://schemas.openxmlformats.org/officeDocument/2006/relationships/hyperlink" Target="http://ufcstats.com/fight-details/454265014520a3f8" TargetMode="External"/><Relationship Id="rId2594" Type="http://schemas.openxmlformats.org/officeDocument/2006/relationships/hyperlink" Target="http://ufcstats.com/fight-details/1b204fc28bb023e6" TargetMode="External"/><Relationship Id="rId3438" Type="http://schemas.openxmlformats.org/officeDocument/2006/relationships/hyperlink" Target="http://ufcstats.com/fight-details/939cc30f07131724" TargetMode="External"/><Relationship Id="rId3645" Type="http://schemas.openxmlformats.org/officeDocument/2006/relationships/hyperlink" Target="http://ufcstats.com/fight-details/fb9095887dca34c7" TargetMode="External"/><Relationship Id="rId3852" Type="http://schemas.openxmlformats.org/officeDocument/2006/relationships/hyperlink" Target="http://ufcstats.com/fight-details/69167b996ce7a7e4" TargetMode="External"/><Relationship Id="rId359" Type="http://schemas.openxmlformats.org/officeDocument/2006/relationships/hyperlink" Target="http://ufcstats.com/fight-details/4dcd6ff5e32a3779" TargetMode="External"/><Relationship Id="rId566" Type="http://schemas.openxmlformats.org/officeDocument/2006/relationships/hyperlink" Target="http://ufcstats.com/fight-details/df33799f117000cb" TargetMode="External"/><Relationship Id="rId773" Type="http://schemas.openxmlformats.org/officeDocument/2006/relationships/hyperlink" Target="http://ufcstats.com/fight-details/cf3a93dd5460593c" TargetMode="External"/><Relationship Id="rId1196" Type="http://schemas.openxmlformats.org/officeDocument/2006/relationships/hyperlink" Target="http://ufcstats.com/fight-details/6f981a44898fb4ff" TargetMode="External"/><Relationship Id="rId2247" Type="http://schemas.openxmlformats.org/officeDocument/2006/relationships/hyperlink" Target="http://ufcstats.com/fight-details/98458778348ea5d7" TargetMode="External"/><Relationship Id="rId2454" Type="http://schemas.openxmlformats.org/officeDocument/2006/relationships/hyperlink" Target="http://ufcstats.com/fight-details/cc1993d02d28a3b9" TargetMode="External"/><Relationship Id="rId3505" Type="http://schemas.openxmlformats.org/officeDocument/2006/relationships/hyperlink" Target="http://ufcstats.com/fight-details/4cff9aeef3ac75c1" TargetMode="External"/><Relationship Id="rId219" Type="http://schemas.openxmlformats.org/officeDocument/2006/relationships/hyperlink" Target="http://ufcstats.com/fight-details/3cf1d67a20ae1c18" TargetMode="External"/><Relationship Id="rId426" Type="http://schemas.openxmlformats.org/officeDocument/2006/relationships/hyperlink" Target="http://ufcstats.com/fight-details/40687c9412e0c279" TargetMode="External"/><Relationship Id="rId633" Type="http://schemas.openxmlformats.org/officeDocument/2006/relationships/hyperlink" Target="http://ufcstats.com/fight-details/12d2b282561b5e5f" TargetMode="External"/><Relationship Id="rId980" Type="http://schemas.openxmlformats.org/officeDocument/2006/relationships/hyperlink" Target="http://ufcstats.com/fight-details/2ca4a039c07acd38" TargetMode="External"/><Relationship Id="rId1056" Type="http://schemas.openxmlformats.org/officeDocument/2006/relationships/hyperlink" Target="http://ufcstats.com/fight-details/2dbf9d8d6915711e" TargetMode="External"/><Relationship Id="rId1263" Type="http://schemas.openxmlformats.org/officeDocument/2006/relationships/hyperlink" Target="http://ufcstats.com/fight-details/f870cacadb058733" TargetMode="External"/><Relationship Id="rId2107" Type="http://schemas.openxmlformats.org/officeDocument/2006/relationships/hyperlink" Target="http://ufcstats.com/fight-details/ce4314886c57718b" TargetMode="External"/><Relationship Id="rId2314" Type="http://schemas.openxmlformats.org/officeDocument/2006/relationships/hyperlink" Target="http://ufcstats.com/fight-details/74c58b9d638c5eaa" TargetMode="External"/><Relationship Id="rId2661" Type="http://schemas.openxmlformats.org/officeDocument/2006/relationships/hyperlink" Target="http://ufcstats.com/fight-details/7aede55e4e47c698" TargetMode="External"/><Relationship Id="rId3712" Type="http://schemas.openxmlformats.org/officeDocument/2006/relationships/hyperlink" Target="http://ufcstats.com/fight-details/5edd1cd479f3919e" TargetMode="External"/><Relationship Id="rId840" Type="http://schemas.openxmlformats.org/officeDocument/2006/relationships/hyperlink" Target="http://ufcstats.com/fight-details/0fed97329b78b887" TargetMode="External"/><Relationship Id="rId1470" Type="http://schemas.openxmlformats.org/officeDocument/2006/relationships/hyperlink" Target="http://ufcstats.com/fight-details/d40eae4425092219" TargetMode="External"/><Relationship Id="rId2521" Type="http://schemas.openxmlformats.org/officeDocument/2006/relationships/hyperlink" Target="http://ufcstats.com/fight-details/d45d9c7d60f332da" TargetMode="External"/><Relationship Id="rId4279" Type="http://schemas.openxmlformats.org/officeDocument/2006/relationships/hyperlink" Target="http://ufcstats.com/fight-details/40ce202eaa78860c" TargetMode="External"/><Relationship Id="rId700" Type="http://schemas.openxmlformats.org/officeDocument/2006/relationships/hyperlink" Target="http://ufcstats.com/fight-details/721b23d896a44e2e" TargetMode="External"/><Relationship Id="rId1123" Type="http://schemas.openxmlformats.org/officeDocument/2006/relationships/hyperlink" Target="http://ufcstats.com/fight-details/278cd1803ccc004f" TargetMode="External"/><Relationship Id="rId1330" Type="http://schemas.openxmlformats.org/officeDocument/2006/relationships/hyperlink" Target="http://ufcstats.com/fight-details/8784ae31153178cd" TargetMode="External"/><Relationship Id="rId3088" Type="http://schemas.openxmlformats.org/officeDocument/2006/relationships/hyperlink" Target="http://ufcstats.com/fight-details/81f287d035190506" TargetMode="External"/><Relationship Id="rId3295" Type="http://schemas.openxmlformats.org/officeDocument/2006/relationships/hyperlink" Target="http://ufcstats.com/fight-details/313b85fe82b2ba80" TargetMode="External"/><Relationship Id="rId4139" Type="http://schemas.openxmlformats.org/officeDocument/2006/relationships/hyperlink" Target="http://ufcstats.com/fight-details/668d077ac9d7d3c9" TargetMode="External"/><Relationship Id="rId4346" Type="http://schemas.openxmlformats.org/officeDocument/2006/relationships/hyperlink" Target="http://ufcstats.com/fight-details/9555d8941df4a998" TargetMode="External"/><Relationship Id="rId3155" Type="http://schemas.openxmlformats.org/officeDocument/2006/relationships/hyperlink" Target="http://ufcstats.com/fight-details/34d2632fd26e7078" TargetMode="External"/><Relationship Id="rId3362" Type="http://schemas.openxmlformats.org/officeDocument/2006/relationships/hyperlink" Target="http://ufcstats.com/fight-details/676561d9690ce31d" TargetMode="External"/><Relationship Id="rId4206" Type="http://schemas.openxmlformats.org/officeDocument/2006/relationships/hyperlink" Target="http://ufcstats.com/fight-details/95349402616097cd" TargetMode="External"/><Relationship Id="rId4413" Type="http://schemas.openxmlformats.org/officeDocument/2006/relationships/hyperlink" Target="http://ufcstats.com/fight-details/7ec70261afdecda8" TargetMode="External"/><Relationship Id="rId283" Type="http://schemas.openxmlformats.org/officeDocument/2006/relationships/hyperlink" Target="http://ufcstats.com/fight-details/b9cd4910f0ecff45" TargetMode="External"/><Relationship Id="rId490" Type="http://schemas.openxmlformats.org/officeDocument/2006/relationships/hyperlink" Target="http://ufcstats.com/fight-details/0c74e600ded0de97" TargetMode="External"/><Relationship Id="rId2171" Type="http://schemas.openxmlformats.org/officeDocument/2006/relationships/hyperlink" Target="http://ufcstats.com/fight-details/665a35fcac41d277" TargetMode="External"/><Relationship Id="rId3015" Type="http://schemas.openxmlformats.org/officeDocument/2006/relationships/hyperlink" Target="http://ufcstats.com/fight-details/efc40ec41114d8fa" TargetMode="External"/><Relationship Id="rId3222" Type="http://schemas.openxmlformats.org/officeDocument/2006/relationships/hyperlink" Target="http://ufcstats.com/fight-details/4d607b6ddc77a34c" TargetMode="External"/><Relationship Id="rId143" Type="http://schemas.openxmlformats.org/officeDocument/2006/relationships/hyperlink" Target="http://ufcstats.com/fight-details/57939328c1214107" TargetMode="External"/><Relationship Id="rId350" Type="http://schemas.openxmlformats.org/officeDocument/2006/relationships/hyperlink" Target="http://ufcstats.com/fight-details/8167500af262bba5" TargetMode="External"/><Relationship Id="rId2031" Type="http://schemas.openxmlformats.org/officeDocument/2006/relationships/hyperlink" Target="http://ufcstats.com/fight-details/b7b867eb3c3cf163" TargetMode="External"/><Relationship Id="rId9" Type="http://schemas.openxmlformats.org/officeDocument/2006/relationships/hyperlink" Target="http://ufcstats.com/fight-details/96adba2273a13f46" TargetMode="External"/><Relationship Id="rId210" Type="http://schemas.openxmlformats.org/officeDocument/2006/relationships/hyperlink" Target="http://ufcstats.com/fight-details/66ad9f88f063d2ef" TargetMode="External"/><Relationship Id="rId2988" Type="http://schemas.openxmlformats.org/officeDocument/2006/relationships/hyperlink" Target="http://ufcstats.com/fight-details/35f80e003d16a439" TargetMode="External"/><Relationship Id="rId1797" Type="http://schemas.openxmlformats.org/officeDocument/2006/relationships/hyperlink" Target="http://ufcstats.com/fight-details/0dc2fc8d39e226a3" TargetMode="External"/><Relationship Id="rId2848" Type="http://schemas.openxmlformats.org/officeDocument/2006/relationships/hyperlink" Target="http://ufcstats.com/fight-details/759c55755d70f7ba" TargetMode="External"/><Relationship Id="rId89" Type="http://schemas.openxmlformats.org/officeDocument/2006/relationships/hyperlink" Target="http://ufcstats.com/fight-details/c98f62eb74e69bcb" TargetMode="External"/><Relationship Id="rId1657" Type="http://schemas.openxmlformats.org/officeDocument/2006/relationships/hyperlink" Target="http://ufcstats.com/fight-details/9cad47cdd6351e50" TargetMode="External"/><Relationship Id="rId1864" Type="http://schemas.openxmlformats.org/officeDocument/2006/relationships/hyperlink" Target="http://ufcstats.com/fight-details/61f80a1732d37288" TargetMode="External"/><Relationship Id="rId2708" Type="http://schemas.openxmlformats.org/officeDocument/2006/relationships/hyperlink" Target="http://ufcstats.com/fight-details/406f2aacd1d1faf9" TargetMode="External"/><Relationship Id="rId2915" Type="http://schemas.openxmlformats.org/officeDocument/2006/relationships/hyperlink" Target="http://ufcstats.com/fight-details/c1d86f1e6d41cd03" TargetMode="External"/><Relationship Id="rId4063" Type="http://schemas.openxmlformats.org/officeDocument/2006/relationships/hyperlink" Target="http://ufcstats.com/fight-details/8317208cfb030ed3" TargetMode="External"/><Relationship Id="rId4270" Type="http://schemas.openxmlformats.org/officeDocument/2006/relationships/hyperlink" Target="http://ufcstats.com/fight-details/33cc40fc1da409d3" TargetMode="External"/><Relationship Id="rId1517" Type="http://schemas.openxmlformats.org/officeDocument/2006/relationships/hyperlink" Target="http://ufcstats.com/fight-details/0019ec81fd706ade" TargetMode="External"/><Relationship Id="rId1724" Type="http://schemas.openxmlformats.org/officeDocument/2006/relationships/hyperlink" Target="http://ufcstats.com/fight-details/5d9a3bfdcd28abb8" TargetMode="External"/><Relationship Id="rId4130" Type="http://schemas.openxmlformats.org/officeDocument/2006/relationships/hyperlink" Target="http://ufcstats.com/fight-details/7c2b219fe208c565" TargetMode="External"/><Relationship Id="rId16" Type="http://schemas.openxmlformats.org/officeDocument/2006/relationships/hyperlink" Target="http://ufcstats.com/fight-details/8252a314c778b8e6" TargetMode="External"/><Relationship Id="rId1931" Type="http://schemas.openxmlformats.org/officeDocument/2006/relationships/hyperlink" Target="http://ufcstats.com/fight-details/f7ae397fefa57c70" TargetMode="External"/><Relationship Id="rId3689" Type="http://schemas.openxmlformats.org/officeDocument/2006/relationships/hyperlink" Target="http://ufcstats.com/fight-details/9c3f3bc7f7472e0c" TargetMode="External"/><Relationship Id="rId3896" Type="http://schemas.openxmlformats.org/officeDocument/2006/relationships/hyperlink" Target="http://ufcstats.com/fight-details/94ce682e4a3e556a" TargetMode="External"/><Relationship Id="rId2498" Type="http://schemas.openxmlformats.org/officeDocument/2006/relationships/hyperlink" Target="http://ufcstats.com/fight-details/61a20ff34b6948ba" TargetMode="External"/><Relationship Id="rId3549" Type="http://schemas.openxmlformats.org/officeDocument/2006/relationships/hyperlink" Target="http://ufcstats.com/fight-details/b3b5bd50fa34342c" TargetMode="External"/><Relationship Id="rId677" Type="http://schemas.openxmlformats.org/officeDocument/2006/relationships/hyperlink" Target="http://ufcstats.com/fight-details/08244974cf39ae38" TargetMode="External"/><Relationship Id="rId2358" Type="http://schemas.openxmlformats.org/officeDocument/2006/relationships/hyperlink" Target="http://ufcstats.com/fight-details/18824fa5c15c212f" TargetMode="External"/><Relationship Id="rId3756" Type="http://schemas.openxmlformats.org/officeDocument/2006/relationships/hyperlink" Target="http://ufcstats.com/fight-details/e6a0f19af995c432" TargetMode="External"/><Relationship Id="rId3963" Type="http://schemas.openxmlformats.org/officeDocument/2006/relationships/hyperlink" Target="http://ufcstats.com/fight-details/acfcf75f0215b7ab" TargetMode="External"/><Relationship Id="rId884" Type="http://schemas.openxmlformats.org/officeDocument/2006/relationships/hyperlink" Target="http://ufcstats.com/fight-details/3d35f25d9792a69a" TargetMode="External"/><Relationship Id="rId2565" Type="http://schemas.openxmlformats.org/officeDocument/2006/relationships/hyperlink" Target="http://ufcstats.com/fight-details/e640fd983577d349" TargetMode="External"/><Relationship Id="rId2772" Type="http://schemas.openxmlformats.org/officeDocument/2006/relationships/hyperlink" Target="http://ufcstats.com/fight-details/e0444752d18fda7f" TargetMode="External"/><Relationship Id="rId3409" Type="http://schemas.openxmlformats.org/officeDocument/2006/relationships/hyperlink" Target="http://ufcstats.com/fight-details/da7afd49fefe6a46" TargetMode="External"/><Relationship Id="rId3616" Type="http://schemas.openxmlformats.org/officeDocument/2006/relationships/hyperlink" Target="http://ufcstats.com/fight-details/61d6b591430b6e25" TargetMode="External"/><Relationship Id="rId3823" Type="http://schemas.openxmlformats.org/officeDocument/2006/relationships/hyperlink" Target="http://ufcstats.com/fight-details/017e0b7e864b0aa3" TargetMode="External"/><Relationship Id="rId537" Type="http://schemas.openxmlformats.org/officeDocument/2006/relationships/hyperlink" Target="http://ufcstats.com/fight-details/5357dab4d331eb18" TargetMode="External"/><Relationship Id="rId744" Type="http://schemas.openxmlformats.org/officeDocument/2006/relationships/hyperlink" Target="http://ufcstats.com/fight-details/5f0aa841c21f7d30" TargetMode="External"/><Relationship Id="rId951" Type="http://schemas.openxmlformats.org/officeDocument/2006/relationships/hyperlink" Target="http://ufcstats.com/fight-details/520f6379fefd8fda" TargetMode="External"/><Relationship Id="rId1167" Type="http://schemas.openxmlformats.org/officeDocument/2006/relationships/hyperlink" Target="http://ufcstats.com/fight-details/acec5f4c6fee1ae2" TargetMode="External"/><Relationship Id="rId1374" Type="http://schemas.openxmlformats.org/officeDocument/2006/relationships/hyperlink" Target="http://ufcstats.com/fight-details/1779cc4ae925df01" TargetMode="External"/><Relationship Id="rId1581" Type="http://schemas.openxmlformats.org/officeDocument/2006/relationships/hyperlink" Target="http://ufcstats.com/fight-details/36d90f1812f0d432" TargetMode="External"/><Relationship Id="rId2218" Type="http://schemas.openxmlformats.org/officeDocument/2006/relationships/hyperlink" Target="http://ufcstats.com/fight-details/935f559ab0521c27" TargetMode="External"/><Relationship Id="rId2425" Type="http://schemas.openxmlformats.org/officeDocument/2006/relationships/hyperlink" Target="http://ufcstats.com/fight-details/56c7c59c9bb3b610" TargetMode="External"/><Relationship Id="rId2632" Type="http://schemas.openxmlformats.org/officeDocument/2006/relationships/hyperlink" Target="http://ufcstats.com/fight-details/50e0bcba7551a25f" TargetMode="External"/><Relationship Id="rId80" Type="http://schemas.openxmlformats.org/officeDocument/2006/relationships/hyperlink" Target="http://ufcstats.com/fight-details/0197a61472fc351d" TargetMode="External"/><Relationship Id="rId604" Type="http://schemas.openxmlformats.org/officeDocument/2006/relationships/hyperlink" Target="http://ufcstats.com/fight-details/5c962ea13cb9b937" TargetMode="External"/><Relationship Id="rId811" Type="http://schemas.openxmlformats.org/officeDocument/2006/relationships/hyperlink" Target="http://ufcstats.com/fight-details/a09bfdaa83d99efb" TargetMode="External"/><Relationship Id="rId1027" Type="http://schemas.openxmlformats.org/officeDocument/2006/relationships/hyperlink" Target="http://ufcstats.com/fight-details/4f4806952ba2a72c" TargetMode="External"/><Relationship Id="rId1234" Type="http://schemas.openxmlformats.org/officeDocument/2006/relationships/hyperlink" Target="http://ufcstats.com/fight-details/5e8c710f9f27aff8" TargetMode="External"/><Relationship Id="rId1441" Type="http://schemas.openxmlformats.org/officeDocument/2006/relationships/hyperlink" Target="http://ufcstats.com/fight-details/6eaa4981d0335c8a" TargetMode="External"/><Relationship Id="rId1301" Type="http://schemas.openxmlformats.org/officeDocument/2006/relationships/hyperlink" Target="http://ufcstats.com/fight-details/47230f9b5d7ae037" TargetMode="External"/><Relationship Id="rId3199" Type="http://schemas.openxmlformats.org/officeDocument/2006/relationships/hyperlink" Target="http://ufcstats.com/fight-details/eb9f9f61507497a5" TargetMode="External"/><Relationship Id="rId4457" Type="http://schemas.openxmlformats.org/officeDocument/2006/relationships/hyperlink" Target="http://ufcstats.com/fight-details/d8fe965281e2e312" TargetMode="External"/><Relationship Id="rId3059" Type="http://schemas.openxmlformats.org/officeDocument/2006/relationships/hyperlink" Target="http://ufcstats.com/fight-details/db49619221b282af" TargetMode="External"/><Relationship Id="rId3266" Type="http://schemas.openxmlformats.org/officeDocument/2006/relationships/hyperlink" Target="http://ufcstats.com/fight-details/5f622d812b8f407f" TargetMode="External"/><Relationship Id="rId3473" Type="http://schemas.openxmlformats.org/officeDocument/2006/relationships/hyperlink" Target="http://ufcstats.com/fight-details/babfd62f1d4a43a8" TargetMode="External"/><Relationship Id="rId4317" Type="http://schemas.openxmlformats.org/officeDocument/2006/relationships/hyperlink" Target="http://ufcstats.com/fight-details/d441715577c5934c" TargetMode="External"/><Relationship Id="rId187" Type="http://schemas.openxmlformats.org/officeDocument/2006/relationships/hyperlink" Target="http://ufcstats.com/fight-details/b25eacaca1499e30" TargetMode="External"/><Relationship Id="rId394" Type="http://schemas.openxmlformats.org/officeDocument/2006/relationships/hyperlink" Target="http://ufcstats.com/fight-details/fd7421f421e802bd" TargetMode="External"/><Relationship Id="rId2075" Type="http://schemas.openxmlformats.org/officeDocument/2006/relationships/hyperlink" Target="http://ufcstats.com/fight-details/103a7d8c4f17714b" TargetMode="External"/><Relationship Id="rId2282" Type="http://schemas.openxmlformats.org/officeDocument/2006/relationships/hyperlink" Target="http://ufcstats.com/fight-details/6ff21ea2c75c48ed" TargetMode="External"/><Relationship Id="rId3126" Type="http://schemas.openxmlformats.org/officeDocument/2006/relationships/hyperlink" Target="http://ufcstats.com/fight-details/82177c0f91d9618a" TargetMode="External"/><Relationship Id="rId3680" Type="http://schemas.openxmlformats.org/officeDocument/2006/relationships/hyperlink" Target="http://ufcstats.com/fight-details/7fbf09533c59e43f" TargetMode="External"/><Relationship Id="rId254" Type="http://schemas.openxmlformats.org/officeDocument/2006/relationships/hyperlink" Target="http://ufcstats.com/fight-details/e24b65cd8721349a" TargetMode="External"/><Relationship Id="rId1091" Type="http://schemas.openxmlformats.org/officeDocument/2006/relationships/hyperlink" Target="http://ufcstats.com/fight-details/fa9ec0b8c4b3a84a" TargetMode="External"/><Relationship Id="rId3333" Type="http://schemas.openxmlformats.org/officeDocument/2006/relationships/hyperlink" Target="http://ufcstats.com/fight-details/463fc1fd1f17befb" TargetMode="External"/><Relationship Id="rId3540" Type="http://schemas.openxmlformats.org/officeDocument/2006/relationships/hyperlink" Target="http://ufcstats.com/fight-details/cfa0dbc7534f3545" TargetMode="External"/><Relationship Id="rId114" Type="http://schemas.openxmlformats.org/officeDocument/2006/relationships/hyperlink" Target="http://ufcstats.com/fight-details/029f5c36820fdc09" TargetMode="External"/><Relationship Id="rId461" Type="http://schemas.openxmlformats.org/officeDocument/2006/relationships/hyperlink" Target="http://ufcstats.com/fight-details/d3e23d7d207d3ccf" TargetMode="External"/><Relationship Id="rId2142" Type="http://schemas.openxmlformats.org/officeDocument/2006/relationships/hyperlink" Target="http://ufcstats.com/fight-details/f7114bf73eec4022" TargetMode="External"/><Relationship Id="rId3400" Type="http://schemas.openxmlformats.org/officeDocument/2006/relationships/hyperlink" Target="http://ufcstats.com/fight-details/c381ad2c0bf34dd9" TargetMode="External"/><Relationship Id="rId321" Type="http://schemas.openxmlformats.org/officeDocument/2006/relationships/hyperlink" Target="http://ufcstats.com/fight-details/771d8ce136a12a13" TargetMode="External"/><Relationship Id="rId2002" Type="http://schemas.openxmlformats.org/officeDocument/2006/relationships/hyperlink" Target="http://ufcstats.com/fight-details/189b9af881b96de6" TargetMode="External"/><Relationship Id="rId2959" Type="http://schemas.openxmlformats.org/officeDocument/2006/relationships/hyperlink" Target="http://ufcstats.com/fight-details/5086f9fb4fdc2f60" TargetMode="External"/><Relationship Id="rId1768" Type="http://schemas.openxmlformats.org/officeDocument/2006/relationships/hyperlink" Target="http://ufcstats.com/fight-details/e0f8e1e8cbdd63da" TargetMode="External"/><Relationship Id="rId2819" Type="http://schemas.openxmlformats.org/officeDocument/2006/relationships/hyperlink" Target="http://ufcstats.com/fight-details/6b581bb1bc9289ef" TargetMode="External"/><Relationship Id="rId4174" Type="http://schemas.openxmlformats.org/officeDocument/2006/relationships/hyperlink" Target="http://ufcstats.com/fight-details/326de7f7ec9e7035" TargetMode="External"/><Relationship Id="rId4381" Type="http://schemas.openxmlformats.org/officeDocument/2006/relationships/hyperlink" Target="http://ufcstats.com/fight-details/f466cd99d02644e9" TargetMode="External"/><Relationship Id="rId1628" Type="http://schemas.openxmlformats.org/officeDocument/2006/relationships/hyperlink" Target="http://ufcstats.com/fight-details/6195d3e7c412c8a2" TargetMode="External"/><Relationship Id="rId1975" Type="http://schemas.openxmlformats.org/officeDocument/2006/relationships/hyperlink" Target="http://ufcstats.com/fight-details/bfff5a3777841344" TargetMode="External"/><Relationship Id="rId3190" Type="http://schemas.openxmlformats.org/officeDocument/2006/relationships/hyperlink" Target="http://ufcstats.com/fight-details/2c13b938e0f8190b" TargetMode="External"/><Relationship Id="rId4034" Type="http://schemas.openxmlformats.org/officeDocument/2006/relationships/hyperlink" Target="http://ufcstats.com/fight-details/009feda296ae589c" TargetMode="External"/><Relationship Id="rId4241" Type="http://schemas.openxmlformats.org/officeDocument/2006/relationships/hyperlink" Target="http://ufcstats.com/fight-details/6e4acb2aaa2cee56" TargetMode="External"/><Relationship Id="rId1835" Type="http://schemas.openxmlformats.org/officeDocument/2006/relationships/hyperlink" Target="http://ufcstats.com/fight-details/21d6db22c6089308" TargetMode="External"/><Relationship Id="rId3050" Type="http://schemas.openxmlformats.org/officeDocument/2006/relationships/hyperlink" Target="http://ufcstats.com/fight-details/636fd144716a3084" TargetMode="External"/><Relationship Id="rId4101" Type="http://schemas.openxmlformats.org/officeDocument/2006/relationships/hyperlink" Target="http://ufcstats.com/fight-details/c2fd3d874f558408" TargetMode="External"/><Relationship Id="rId1902" Type="http://schemas.openxmlformats.org/officeDocument/2006/relationships/hyperlink" Target="http://ufcstats.com/fight-details/3c69bed42893da75" TargetMode="External"/><Relationship Id="rId3867" Type="http://schemas.openxmlformats.org/officeDocument/2006/relationships/hyperlink" Target="http://ufcstats.com/fight-details/ad62675e819e92fc" TargetMode="External"/><Relationship Id="rId788" Type="http://schemas.openxmlformats.org/officeDocument/2006/relationships/hyperlink" Target="http://ufcstats.com/fight-details/7d60cb78ea70fae0" TargetMode="External"/><Relationship Id="rId995" Type="http://schemas.openxmlformats.org/officeDocument/2006/relationships/hyperlink" Target="http://ufcstats.com/fight-details/4924d7a980f4cde2" TargetMode="External"/><Relationship Id="rId2469" Type="http://schemas.openxmlformats.org/officeDocument/2006/relationships/hyperlink" Target="http://ufcstats.com/fight-details/3c3da227fbe36a28" TargetMode="External"/><Relationship Id="rId2676" Type="http://schemas.openxmlformats.org/officeDocument/2006/relationships/hyperlink" Target="http://ufcstats.com/fight-details/ac6cb989ccc38f73" TargetMode="External"/><Relationship Id="rId2883" Type="http://schemas.openxmlformats.org/officeDocument/2006/relationships/hyperlink" Target="http://ufcstats.com/fight-details/1a191251620a84ca" TargetMode="External"/><Relationship Id="rId3727" Type="http://schemas.openxmlformats.org/officeDocument/2006/relationships/hyperlink" Target="http://ufcstats.com/fight-details/512af32553d9bd70" TargetMode="External"/><Relationship Id="rId3934" Type="http://schemas.openxmlformats.org/officeDocument/2006/relationships/hyperlink" Target="http://ufcstats.com/fight-details/8e1ae2ae6694b131" TargetMode="External"/><Relationship Id="rId648" Type="http://schemas.openxmlformats.org/officeDocument/2006/relationships/hyperlink" Target="http://ufcstats.com/fight-details/931fd51ab69fb443" TargetMode="External"/><Relationship Id="rId855" Type="http://schemas.openxmlformats.org/officeDocument/2006/relationships/hyperlink" Target="http://ufcstats.com/fight-details/636b01ee49925e49" TargetMode="External"/><Relationship Id="rId1278" Type="http://schemas.openxmlformats.org/officeDocument/2006/relationships/hyperlink" Target="http://ufcstats.com/fight-details/6f13fe34cb3ca906" TargetMode="External"/><Relationship Id="rId1485" Type="http://schemas.openxmlformats.org/officeDocument/2006/relationships/hyperlink" Target="http://ufcstats.com/fight-details/140e810f952714ea" TargetMode="External"/><Relationship Id="rId1692" Type="http://schemas.openxmlformats.org/officeDocument/2006/relationships/hyperlink" Target="http://ufcstats.com/fight-details/f3bb58f485dc2008" TargetMode="External"/><Relationship Id="rId2329" Type="http://schemas.openxmlformats.org/officeDocument/2006/relationships/hyperlink" Target="http://ufcstats.com/fight-details/ddb927b0dfcfac2a" TargetMode="External"/><Relationship Id="rId2536" Type="http://schemas.openxmlformats.org/officeDocument/2006/relationships/hyperlink" Target="http://ufcstats.com/fight-details/4a789cdd5aaf4439" TargetMode="External"/><Relationship Id="rId2743" Type="http://schemas.openxmlformats.org/officeDocument/2006/relationships/hyperlink" Target="http://ufcstats.com/fight-details/e8a5e53ffd33c0f9" TargetMode="External"/><Relationship Id="rId508" Type="http://schemas.openxmlformats.org/officeDocument/2006/relationships/hyperlink" Target="http://ufcstats.com/fight-details/e64d80dcc6853ea0" TargetMode="External"/><Relationship Id="rId715" Type="http://schemas.openxmlformats.org/officeDocument/2006/relationships/hyperlink" Target="http://ufcstats.com/fight-details/b71192c8fe23078c" TargetMode="External"/><Relationship Id="rId922" Type="http://schemas.openxmlformats.org/officeDocument/2006/relationships/hyperlink" Target="http://ufcstats.com/fight-details/04d37c1c206c0efd" TargetMode="External"/><Relationship Id="rId1138" Type="http://schemas.openxmlformats.org/officeDocument/2006/relationships/hyperlink" Target="http://ufcstats.com/fight-details/3a932a4cacacc939" TargetMode="External"/><Relationship Id="rId1345" Type="http://schemas.openxmlformats.org/officeDocument/2006/relationships/hyperlink" Target="http://ufcstats.com/fight-details/08b65f5009c34997" TargetMode="External"/><Relationship Id="rId1552" Type="http://schemas.openxmlformats.org/officeDocument/2006/relationships/hyperlink" Target="http://ufcstats.com/fight-details/6c1dba8a3ba4f42e" TargetMode="External"/><Relationship Id="rId2603" Type="http://schemas.openxmlformats.org/officeDocument/2006/relationships/hyperlink" Target="http://ufcstats.com/fight-details/99ac96bb67e5c5e4" TargetMode="External"/><Relationship Id="rId2950" Type="http://schemas.openxmlformats.org/officeDocument/2006/relationships/hyperlink" Target="http://ufcstats.com/fight-details/37ae5c09d6f03f33" TargetMode="External"/><Relationship Id="rId1205" Type="http://schemas.openxmlformats.org/officeDocument/2006/relationships/hyperlink" Target="http://ufcstats.com/fight-details/15aced6a6a61df90" TargetMode="External"/><Relationship Id="rId2810" Type="http://schemas.openxmlformats.org/officeDocument/2006/relationships/hyperlink" Target="http://ufcstats.com/fight-details/ebefe958473b3843" TargetMode="External"/><Relationship Id="rId51" Type="http://schemas.openxmlformats.org/officeDocument/2006/relationships/hyperlink" Target="http://ufcstats.com/fight-details/51010081d59b4687" TargetMode="External"/><Relationship Id="rId1412" Type="http://schemas.openxmlformats.org/officeDocument/2006/relationships/hyperlink" Target="http://ufcstats.com/fight-details/c68e57c19c82d500" TargetMode="External"/><Relationship Id="rId3377" Type="http://schemas.openxmlformats.org/officeDocument/2006/relationships/hyperlink" Target="http://ufcstats.com/fight-details/2cc1fe3570999428" TargetMode="External"/><Relationship Id="rId298" Type="http://schemas.openxmlformats.org/officeDocument/2006/relationships/hyperlink" Target="http://ufcstats.com/fight-details/8c01b7dccc4d0926" TargetMode="External"/><Relationship Id="rId3584" Type="http://schemas.openxmlformats.org/officeDocument/2006/relationships/hyperlink" Target="http://ufcstats.com/fight-details/aeb7ff8ce6e1beac" TargetMode="External"/><Relationship Id="rId3791" Type="http://schemas.openxmlformats.org/officeDocument/2006/relationships/hyperlink" Target="http://ufcstats.com/fight-details/315b6e91a0239148" TargetMode="External"/><Relationship Id="rId4428" Type="http://schemas.openxmlformats.org/officeDocument/2006/relationships/hyperlink" Target="http://ufcstats.com/fight-details/0f9679fda36f7f41" TargetMode="External"/><Relationship Id="rId158" Type="http://schemas.openxmlformats.org/officeDocument/2006/relationships/hyperlink" Target="http://ufcstats.com/fight-details/bc01ce748a5723df" TargetMode="External"/><Relationship Id="rId2186" Type="http://schemas.openxmlformats.org/officeDocument/2006/relationships/hyperlink" Target="http://ufcstats.com/fight-details/48f23cc8cc5ad9a9" TargetMode="External"/><Relationship Id="rId2393" Type="http://schemas.openxmlformats.org/officeDocument/2006/relationships/hyperlink" Target="http://ufcstats.com/fight-details/6a0217099efee13f" TargetMode="External"/><Relationship Id="rId3237" Type="http://schemas.openxmlformats.org/officeDocument/2006/relationships/hyperlink" Target="http://ufcstats.com/fight-details/344bfe9c1ff511bb" TargetMode="External"/><Relationship Id="rId3444" Type="http://schemas.openxmlformats.org/officeDocument/2006/relationships/hyperlink" Target="http://ufcstats.com/fight-details/e09d17f97d6fc6b8" TargetMode="External"/><Relationship Id="rId3651" Type="http://schemas.openxmlformats.org/officeDocument/2006/relationships/hyperlink" Target="http://ufcstats.com/fight-details/12a33d16e1d4e2d9" TargetMode="External"/><Relationship Id="rId365" Type="http://schemas.openxmlformats.org/officeDocument/2006/relationships/hyperlink" Target="http://ufcstats.com/fight-details/277233ca9ea25674" TargetMode="External"/><Relationship Id="rId572" Type="http://schemas.openxmlformats.org/officeDocument/2006/relationships/hyperlink" Target="http://ufcstats.com/fight-details/2ab47d509ee7dc6d" TargetMode="External"/><Relationship Id="rId2046" Type="http://schemas.openxmlformats.org/officeDocument/2006/relationships/hyperlink" Target="http://ufcstats.com/fight-details/9d2f7d29bb9c9034" TargetMode="External"/><Relationship Id="rId2253" Type="http://schemas.openxmlformats.org/officeDocument/2006/relationships/hyperlink" Target="http://ufcstats.com/fight-details/433e3fd8782b6e0e" TargetMode="External"/><Relationship Id="rId2460" Type="http://schemas.openxmlformats.org/officeDocument/2006/relationships/hyperlink" Target="http://ufcstats.com/fight-details/5d64044b985004e7" TargetMode="External"/><Relationship Id="rId3304" Type="http://schemas.openxmlformats.org/officeDocument/2006/relationships/hyperlink" Target="http://ufcstats.com/fight-details/efc6af0151f72b87" TargetMode="External"/><Relationship Id="rId3511" Type="http://schemas.openxmlformats.org/officeDocument/2006/relationships/hyperlink" Target="http://ufcstats.com/fight-details/67ed3ad521ef619c" TargetMode="External"/><Relationship Id="rId225" Type="http://schemas.openxmlformats.org/officeDocument/2006/relationships/hyperlink" Target="http://ufcstats.com/fight-details/83b32e9300fec365" TargetMode="External"/><Relationship Id="rId432" Type="http://schemas.openxmlformats.org/officeDocument/2006/relationships/hyperlink" Target="http://ufcstats.com/fight-details/74b8a36293758342" TargetMode="External"/><Relationship Id="rId1062" Type="http://schemas.openxmlformats.org/officeDocument/2006/relationships/hyperlink" Target="http://ufcstats.com/fight-details/84c68c4c387d2e32" TargetMode="External"/><Relationship Id="rId2113" Type="http://schemas.openxmlformats.org/officeDocument/2006/relationships/hyperlink" Target="http://ufcstats.com/fight-details/60de5efe5b439c8b" TargetMode="External"/><Relationship Id="rId2320" Type="http://schemas.openxmlformats.org/officeDocument/2006/relationships/hyperlink" Target="http://ufcstats.com/fight-details/5ac1725f775c6f00" TargetMode="External"/><Relationship Id="rId4078" Type="http://schemas.openxmlformats.org/officeDocument/2006/relationships/hyperlink" Target="http://ufcstats.com/fight-details/96919cf8d3e988ff" TargetMode="External"/><Relationship Id="rId4285" Type="http://schemas.openxmlformats.org/officeDocument/2006/relationships/hyperlink" Target="http://ufcstats.com/fight-details/34db1e0e2499e7ae" TargetMode="External"/><Relationship Id="rId1879" Type="http://schemas.openxmlformats.org/officeDocument/2006/relationships/hyperlink" Target="http://ufcstats.com/fight-details/4f9939af9a1d40a3" TargetMode="External"/><Relationship Id="rId3094" Type="http://schemas.openxmlformats.org/officeDocument/2006/relationships/hyperlink" Target="http://ufcstats.com/fight-details/b22eab3aa1522f40" TargetMode="External"/><Relationship Id="rId4145" Type="http://schemas.openxmlformats.org/officeDocument/2006/relationships/hyperlink" Target="http://ufcstats.com/fight-details/fe6da751f2a4859a" TargetMode="External"/><Relationship Id="rId1739" Type="http://schemas.openxmlformats.org/officeDocument/2006/relationships/hyperlink" Target="http://ufcstats.com/fight-details/00be3852000f8fe9" TargetMode="External"/><Relationship Id="rId1946" Type="http://schemas.openxmlformats.org/officeDocument/2006/relationships/hyperlink" Target="http://ufcstats.com/fight-details/3ce6f9eb59a1e149" TargetMode="External"/><Relationship Id="rId4005" Type="http://schemas.openxmlformats.org/officeDocument/2006/relationships/hyperlink" Target="http://ufcstats.com/fight-details/77f123712368bcbc" TargetMode="External"/><Relationship Id="rId4352" Type="http://schemas.openxmlformats.org/officeDocument/2006/relationships/hyperlink" Target="http://ufcstats.com/fight-details/afd53c8033f6ee82" TargetMode="External"/><Relationship Id="rId1806" Type="http://schemas.openxmlformats.org/officeDocument/2006/relationships/hyperlink" Target="http://ufcstats.com/fight-details/f10c2c84652ef573" TargetMode="External"/><Relationship Id="rId3161" Type="http://schemas.openxmlformats.org/officeDocument/2006/relationships/hyperlink" Target="http://ufcstats.com/fight-details/cf0a6466b762c668" TargetMode="External"/><Relationship Id="rId4212" Type="http://schemas.openxmlformats.org/officeDocument/2006/relationships/hyperlink" Target="http://ufcstats.com/fight-details/9321b3c90ea5ca6c" TargetMode="External"/><Relationship Id="rId3021" Type="http://schemas.openxmlformats.org/officeDocument/2006/relationships/hyperlink" Target="http://ufcstats.com/fight-details/21f7fc538ea646e8" TargetMode="External"/><Relationship Id="rId3978" Type="http://schemas.openxmlformats.org/officeDocument/2006/relationships/hyperlink" Target="http://ufcstats.com/fight-details/b0e16dd491bc4fea" TargetMode="External"/><Relationship Id="rId899" Type="http://schemas.openxmlformats.org/officeDocument/2006/relationships/hyperlink" Target="http://ufcstats.com/fight-details/f59cefe16905d62c" TargetMode="External"/><Relationship Id="rId2787" Type="http://schemas.openxmlformats.org/officeDocument/2006/relationships/hyperlink" Target="http://ufcstats.com/fight-details/5ad8aa57c8d69680" TargetMode="External"/><Relationship Id="rId3838" Type="http://schemas.openxmlformats.org/officeDocument/2006/relationships/hyperlink" Target="http://ufcstats.com/fight-details/5a6e894e4b6cc703" TargetMode="External"/><Relationship Id="rId759" Type="http://schemas.openxmlformats.org/officeDocument/2006/relationships/hyperlink" Target="http://ufcstats.com/fight-details/345b1bc51f0f5e86" TargetMode="External"/><Relationship Id="rId966" Type="http://schemas.openxmlformats.org/officeDocument/2006/relationships/hyperlink" Target="http://ufcstats.com/fight-details/476a6245b43f3119" TargetMode="External"/><Relationship Id="rId1389" Type="http://schemas.openxmlformats.org/officeDocument/2006/relationships/hyperlink" Target="http://ufcstats.com/fight-details/52f87252af59e23b" TargetMode="External"/><Relationship Id="rId1596" Type="http://schemas.openxmlformats.org/officeDocument/2006/relationships/hyperlink" Target="http://ufcstats.com/fight-details/8794031c523bf534" TargetMode="External"/><Relationship Id="rId2647" Type="http://schemas.openxmlformats.org/officeDocument/2006/relationships/hyperlink" Target="http://ufcstats.com/fight-details/3e16a71836e85212" TargetMode="External"/><Relationship Id="rId2994" Type="http://schemas.openxmlformats.org/officeDocument/2006/relationships/hyperlink" Target="http://ufcstats.com/fight-details/4a5e5232346993c7" TargetMode="External"/><Relationship Id="rId619" Type="http://schemas.openxmlformats.org/officeDocument/2006/relationships/hyperlink" Target="http://ufcstats.com/fight-details/901e62b7af57f559" TargetMode="External"/><Relationship Id="rId1249" Type="http://schemas.openxmlformats.org/officeDocument/2006/relationships/hyperlink" Target="http://ufcstats.com/fight-details/fdfe4e7cb2d0b665" TargetMode="External"/><Relationship Id="rId2854" Type="http://schemas.openxmlformats.org/officeDocument/2006/relationships/hyperlink" Target="http://ufcstats.com/fight-details/163fbb2185730846" TargetMode="External"/><Relationship Id="rId3905" Type="http://schemas.openxmlformats.org/officeDocument/2006/relationships/hyperlink" Target="http://ufcstats.com/fight-details/ba2f3b9a12400aa0" TargetMode="External"/><Relationship Id="rId95" Type="http://schemas.openxmlformats.org/officeDocument/2006/relationships/hyperlink" Target="http://ufcstats.com/fight-details/cd20dac4daa4f93a" TargetMode="External"/><Relationship Id="rId826" Type="http://schemas.openxmlformats.org/officeDocument/2006/relationships/hyperlink" Target="http://ufcstats.com/fight-details/25259e230be9cdc9" TargetMode="External"/><Relationship Id="rId1109" Type="http://schemas.openxmlformats.org/officeDocument/2006/relationships/hyperlink" Target="http://ufcstats.com/fight-details/ab847a4cf397d7d5" TargetMode="External"/><Relationship Id="rId1456" Type="http://schemas.openxmlformats.org/officeDocument/2006/relationships/hyperlink" Target="http://ufcstats.com/fight-details/1456a3f96ac7e35b" TargetMode="External"/><Relationship Id="rId1663" Type="http://schemas.openxmlformats.org/officeDocument/2006/relationships/hyperlink" Target="http://ufcstats.com/fight-details/26779cfb01372664" TargetMode="External"/><Relationship Id="rId1870" Type="http://schemas.openxmlformats.org/officeDocument/2006/relationships/hyperlink" Target="http://ufcstats.com/fight-details/5ff390f7bbf2bec8" TargetMode="External"/><Relationship Id="rId2507" Type="http://schemas.openxmlformats.org/officeDocument/2006/relationships/hyperlink" Target="http://ufcstats.com/fight-details/640f2ae3995b3b4f" TargetMode="External"/><Relationship Id="rId2714" Type="http://schemas.openxmlformats.org/officeDocument/2006/relationships/hyperlink" Target="http://ufcstats.com/fight-details/2efbcd870f1f7bc7" TargetMode="External"/><Relationship Id="rId2921" Type="http://schemas.openxmlformats.org/officeDocument/2006/relationships/hyperlink" Target="http://ufcstats.com/fight-details/2ef96a4eb306fbb4" TargetMode="External"/><Relationship Id="rId1316" Type="http://schemas.openxmlformats.org/officeDocument/2006/relationships/hyperlink" Target="http://ufcstats.com/fight-details/cefb47bcc04f540e" TargetMode="External"/><Relationship Id="rId1523" Type="http://schemas.openxmlformats.org/officeDocument/2006/relationships/hyperlink" Target="http://ufcstats.com/fight-details/09f67db0cfaee022" TargetMode="External"/><Relationship Id="rId1730" Type="http://schemas.openxmlformats.org/officeDocument/2006/relationships/hyperlink" Target="http://ufcstats.com/fight-details/e83046dd074ec0fa" TargetMode="External"/><Relationship Id="rId22" Type="http://schemas.openxmlformats.org/officeDocument/2006/relationships/hyperlink" Target="http://ufcstats.com/fight-details/f4363f1317b47213" TargetMode="External"/><Relationship Id="rId3488" Type="http://schemas.openxmlformats.org/officeDocument/2006/relationships/hyperlink" Target="http://ufcstats.com/fight-details/816662e622987a14" TargetMode="External"/><Relationship Id="rId3695" Type="http://schemas.openxmlformats.org/officeDocument/2006/relationships/hyperlink" Target="http://ufcstats.com/fight-details/7e695ad026b2ec66" TargetMode="External"/><Relationship Id="rId2297" Type="http://schemas.openxmlformats.org/officeDocument/2006/relationships/hyperlink" Target="http://ufcstats.com/fight-details/2671de30a1736f51" TargetMode="External"/><Relationship Id="rId3348" Type="http://schemas.openxmlformats.org/officeDocument/2006/relationships/hyperlink" Target="http://ufcstats.com/fight-details/3bd20b66b585d621" TargetMode="External"/><Relationship Id="rId3555" Type="http://schemas.openxmlformats.org/officeDocument/2006/relationships/hyperlink" Target="http://ufcstats.com/fight-details/573d3a6984cbcd29" TargetMode="External"/><Relationship Id="rId3762" Type="http://schemas.openxmlformats.org/officeDocument/2006/relationships/hyperlink" Target="http://ufcstats.com/fight-details/838a022ca5d99cc1" TargetMode="External"/><Relationship Id="rId269" Type="http://schemas.openxmlformats.org/officeDocument/2006/relationships/hyperlink" Target="http://ufcstats.com/fight-details/9b46a662b8fa1d8d" TargetMode="External"/><Relationship Id="rId476" Type="http://schemas.openxmlformats.org/officeDocument/2006/relationships/hyperlink" Target="http://ufcstats.com/fight-details/1e9a2b197ebff074" TargetMode="External"/><Relationship Id="rId683" Type="http://schemas.openxmlformats.org/officeDocument/2006/relationships/hyperlink" Target="http://ufcstats.com/fight-details/c3bb60dc82345a9f" TargetMode="External"/><Relationship Id="rId890" Type="http://schemas.openxmlformats.org/officeDocument/2006/relationships/hyperlink" Target="http://ufcstats.com/fight-details/2300ad7f87080ad7" TargetMode="External"/><Relationship Id="rId2157" Type="http://schemas.openxmlformats.org/officeDocument/2006/relationships/hyperlink" Target="http://ufcstats.com/fight-details/b29d4e0117776bb3" TargetMode="External"/><Relationship Id="rId2364" Type="http://schemas.openxmlformats.org/officeDocument/2006/relationships/hyperlink" Target="http://ufcstats.com/fight-details/bee780601ad13583" TargetMode="External"/><Relationship Id="rId2571" Type="http://schemas.openxmlformats.org/officeDocument/2006/relationships/hyperlink" Target="http://ufcstats.com/fight-details/3ce96bb0c69b39be" TargetMode="External"/><Relationship Id="rId3208" Type="http://schemas.openxmlformats.org/officeDocument/2006/relationships/hyperlink" Target="http://ufcstats.com/fight-details/07e39fd5f4f23270" TargetMode="External"/><Relationship Id="rId3415" Type="http://schemas.openxmlformats.org/officeDocument/2006/relationships/hyperlink" Target="http://ufcstats.com/fight-details/c7c7be3b0d65a7da" TargetMode="External"/><Relationship Id="rId129" Type="http://schemas.openxmlformats.org/officeDocument/2006/relationships/hyperlink" Target="http://ufcstats.com/fight-details/4fc128b1bdf088b1" TargetMode="External"/><Relationship Id="rId336" Type="http://schemas.openxmlformats.org/officeDocument/2006/relationships/hyperlink" Target="http://ufcstats.com/fight-details/aa430402314b4459" TargetMode="External"/><Relationship Id="rId543" Type="http://schemas.openxmlformats.org/officeDocument/2006/relationships/hyperlink" Target="http://ufcstats.com/fight-details/cab532b4544580bd" TargetMode="External"/><Relationship Id="rId1173" Type="http://schemas.openxmlformats.org/officeDocument/2006/relationships/hyperlink" Target="http://ufcstats.com/fight-details/a0cae57eae875820" TargetMode="External"/><Relationship Id="rId1380" Type="http://schemas.openxmlformats.org/officeDocument/2006/relationships/hyperlink" Target="http://ufcstats.com/fight-details/12e12307414dafc6" TargetMode="External"/><Relationship Id="rId2017" Type="http://schemas.openxmlformats.org/officeDocument/2006/relationships/hyperlink" Target="http://ufcstats.com/fight-details/12ceec9431fb0827" TargetMode="External"/><Relationship Id="rId2224" Type="http://schemas.openxmlformats.org/officeDocument/2006/relationships/hyperlink" Target="http://ufcstats.com/fight-details/9f8cf5ac0807d64e" TargetMode="External"/><Relationship Id="rId3622" Type="http://schemas.openxmlformats.org/officeDocument/2006/relationships/hyperlink" Target="http://ufcstats.com/fight-details/62fecd327391557e" TargetMode="External"/><Relationship Id="rId403" Type="http://schemas.openxmlformats.org/officeDocument/2006/relationships/hyperlink" Target="http://ufcstats.com/fight-details/b247a1900cfae052" TargetMode="External"/><Relationship Id="rId750" Type="http://schemas.openxmlformats.org/officeDocument/2006/relationships/hyperlink" Target="http://ufcstats.com/fight-details/9c4cbd0546d03f6b" TargetMode="External"/><Relationship Id="rId1033" Type="http://schemas.openxmlformats.org/officeDocument/2006/relationships/hyperlink" Target="http://ufcstats.com/fight-details/9275134accfb1adc" TargetMode="External"/><Relationship Id="rId2431" Type="http://schemas.openxmlformats.org/officeDocument/2006/relationships/hyperlink" Target="http://ufcstats.com/fight-details/029a12d36a4687e1" TargetMode="External"/><Relationship Id="rId4189" Type="http://schemas.openxmlformats.org/officeDocument/2006/relationships/hyperlink" Target="http://ufcstats.com/fight-details/1631f70535ae5dcc" TargetMode="External"/><Relationship Id="rId610" Type="http://schemas.openxmlformats.org/officeDocument/2006/relationships/hyperlink" Target="http://ufcstats.com/fight-details/f6fd50bf69bb59e6" TargetMode="External"/><Relationship Id="rId1240" Type="http://schemas.openxmlformats.org/officeDocument/2006/relationships/hyperlink" Target="http://ufcstats.com/fight-details/cb4dd24535ef2d94" TargetMode="External"/><Relationship Id="rId4049" Type="http://schemas.openxmlformats.org/officeDocument/2006/relationships/hyperlink" Target="http://ufcstats.com/fight-details/c4eb14c3de579842" TargetMode="External"/><Relationship Id="rId4396" Type="http://schemas.openxmlformats.org/officeDocument/2006/relationships/hyperlink" Target="http://ufcstats.com/fight-details/dff2685afd98ed9e" TargetMode="External"/><Relationship Id="rId1100" Type="http://schemas.openxmlformats.org/officeDocument/2006/relationships/hyperlink" Target="http://ufcstats.com/fight-details/c06eaf92bdfde8e6" TargetMode="External"/><Relationship Id="rId4256" Type="http://schemas.openxmlformats.org/officeDocument/2006/relationships/hyperlink" Target="http://ufcstats.com/fight-details/355a2f4090c0ca31" TargetMode="External"/><Relationship Id="rId1917" Type="http://schemas.openxmlformats.org/officeDocument/2006/relationships/hyperlink" Target="http://ufcstats.com/fight-details/e5279358b128c2ac" TargetMode="External"/><Relationship Id="rId3065" Type="http://schemas.openxmlformats.org/officeDocument/2006/relationships/hyperlink" Target="http://ufcstats.com/fight-details/9bfda7c26578aaac" TargetMode="External"/><Relationship Id="rId3272" Type="http://schemas.openxmlformats.org/officeDocument/2006/relationships/hyperlink" Target="http://ufcstats.com/fight-details/78d2c01dc963f204" TargetMode="External"/><Relationship Id="rId4116" Type="http://schemas.openxmlformats.org/officeDocument/2006/relationships/hyperlink" Target="http://ufcstats.com/fight-details/b8b692aa2aae3310" TargetMode="External"/><Relationship Id="rId4323" Type="http://schemas.openxmlformats.org/officeDocument/2006/relationships/hyperlink" Target="http://ufcstats.com/fight-details/5a096f2acb44c776" TargetMode="External"/><Relationship Id="rId193" Type="http://schemas.openxmlformats.org/officeDocument/2006/relationships/hyperlink" Target="http://ufcstats.com/fight-details/848e7af760788418" TargetMode="External"/><Relationship Id="rId2081" Type="http://schemas.openxmlformats.org/officeDocument/2006/relationships/hyperlink" Target="http://ufcstats.com/fight-details/e4b13f7f43018ec0" TargetMode="External"/><Relationship Id="rId3132" Type="http://schemas.openxmlformats.org/officeDocument/2006/relationships/hyperlink" Target="http://ufcstats.com/fight-details/36fcfd186a8d6df7" TargetMode="External"/><Relationship Id="rId260" Type="http://schemas.openxmlformats.org/officeDocument/2006/relationships/hyperlink" Target="http://ufcstats.com/fight-details/cad44cd2466fb68f" TargetMode="External"/><Relationship Id="rId120" Type="http://schemas.openxmlformats.org/officeDocument/2006/relationships/hyperlink" Target="http://ufcstats.com/fight-details/8cd583f6d10692bc" TargetMode="External"/><Relationship Id="rId2898" Type="http://schemas.openxmlformats.org/officeDocument/2006/relationships/hyperlink" Target="http://ufcstats.com/fight-details/7bb335510a749419" TargetMode="External"/><Relationship Id="rId3949" Type="http://schemas.openxmlformats.org/officeDocument/2006/relationships/hyperlink" Target="http://ufcstats.com/fight-details/b1ac165326d8f29e" TargetMode="External"/><Relationship Id="rId2758" Type="http://schemas.openxmlformats.org/officeDocument/2006/relationships/hyperlink" Target="http://ufcstats.com/fight-details/93c4b798134c71d4" TargetMode="External"/><Relationship Id="rId2965" Type="http://schemas.openxmlformats.org/officeDocument/2006/relationships/hyperlink" Target="http://ufcstats.com/fight-details/f87a3fa07f0009c9" TargetMode="External"/><Relationship Id="rId3809" Type="http://schemas.openxmlformats.org/officeDocument/2006/relationships/hyperlink" Target="http://ufcstats.com/fight-details/7e8fd03e070d0c25" TargetMode="External"/><Relationship Id="rId937" Type="http://schemas.openxmlformats.org/officeDocument/2006/relationships/hyperlink" Target="http://ufcstats.com/fight-details/c8bc7e668ffffc7c" TargetMode="External"/><Relationship Id="rId1567" Type="http://schemas.openxmlformats.org/officeDocument/2006/relationships/hyperlink" Target="http://ufcstats.com/fight-details/800a35b3a7e52308" TargetMode="External"/><Relationship Id="rId1774" Type="http://schemas.openxmlformats.org/officeDocument/2006/relationships/hyperlink" Target="http://ufcstats.com/fight-details/1669773acd404217" TargetMode="External"/><Relationship Id="rId1981" Type="http://schemas.openxmlformats.org/officeDocument/2006/relationships/hyperlink" Target="http://ufcstats.com/fight-details/5b71958ee063a6e8" TargetMode="External"/><Relationship Id="rId2618" Type="http://schemas.openxmlformats.org/officeDocument/2006/relationships/hyperlink" Target="http://ufcstats.com/fight-details/9252ad2304fd9a26" TargetMode="External"/><Relationship Id="rId2825" Type="http://schemas.openxmlformats.org/officeDocument/2006/relationships/hyperlink" Target="http://ufcstats.com/fight-details/c33cc8b85b9a202c" TargetMode="External"/><Relationship Id="rId4180" Type="http://schemas.openxmlformats.org/officeDocument/2006/relationships/hyperlink" Target="http://ufcstats.com/fight-details/fd1854062406d287" TargetMode="External"/><Relationship Id="rId66" Type="http://schemas.openxmlformats.org/officeDocument/2006/relationships/hyperlink" Target="http://ufcstats.com/fight-details/5c3b8819dbe98114" TargetMode="External"/><Relationship Id="rId1427" Type="http://schemas.openxmlformats.org/officeDocument/2006/relationships/hyperlink" Target="http://ufcstats.com/fight-details/4b7ec02b39fc6f70" TargetMode="External"/><Relationship Id="rId1634" Type="http://schemas.openxmlformats.org/officeDocument/2006/relationships/hyperlink" Target="http://ufcstats.com/fight-details/e0d92694d8a2d38b" TargetMode="External"/><Relationship Id="rId1841" Type="http://schemas.openxmlformats.org/officeDocument/2006/relationships/hyperlink" Target="http://ufcstats.com/fight-details/2b417eb1ffa56ac1" TargetMode="External"/><Relationship Id="rId4040" Type="http://schemas.openxmlformats.org/officeDocument/2006/relationships/hyperlink" Target="http://ufcstats.com/fight-details/e600b78e5a652dc0" TargetMode="External"/><Relationship Id="rId3599" Type="http://schemas.openxmlformats.org/officeDocument/2006/relationships/hyperlink" Target="http://ufcstats.com/fight-details/fd438db3e60f062a" TargetMode="External"/><Relationship Id="rId1701" Type="http://schemas.openxmlformats.org/officeDocument/2006/relationships/hyperlink" Target="http://ufcstats.com/fight-details/28be3fbe5c377380" TargetMode="External"/><Relationship Id="rId3459" Type="http://schemas.openxmlformats.org/officeDocument/2006/relationships/hyperlink" Target="http://ufcstats.com/fight-details/8fe1859721e95ce3" TargetMode="External"/><Relationship Id="rId3666" Type="http://schemas.openxmlformats.org/officeDocument/2006/relationships/hyperlink" Target="http://ufcstats.com/fight-details/499557c33e67deaf" TargetMode="External"/><Relationship Id="rId587" Type="http://schemas.openxmlformats.org/officeDocument/2006/relationships/hyperlink" Target="http://ufcstats.com/fight-details/da1b37edb8ccd3e6" TargetMode="External"/><Relationship Id="rId2268" Type="http://schemas.openxmlformats.org/officeDocument/2006/relationships/hyperlink" Target="http://ufcstats.com/fight-details/6d7eecf4acecda2a" TargetMode="External"/><Relationship Id="rId3319" Type="http://schemas.openxmlformats.org/officeDocument/2006/relationships/hyperlink" Target="http://ufcstats.com/fight-details/ac9a8b73e58f3d71" TargetMode="External"/><Relationship Id="rId3873" Type="http://schemas.openxmlformats.org/officeDocument/2006/relationships/hyperlink" Target="http://ufcstats.com/fight-details/d629aa5eb31a1e38" TargetMode="External"/><Relationship Id="rId447" Type="http://schemas.openxmlformats.org/officeDocument/2006/relationships/hyperlink" Target="http://ufcstats.com/fight-details/2230a5dbc0907859" TargetMode="External"/><Relationship Id="rId794" Type="http://schemas.openxmlformats.org/officeDocument/2006/relationships/hyperlink" Target="http://ufcstats.com/fight-details/79c22394d9c2144d" TargetMode="External"/><Relationship Id="rId1077" Type="http://schemas.openxmlformats.org/officeDocument/2006/relationships/hyperlink" Target="http://ufcstats.com/fight-details/7dbf23cb872edc9c" TargetMode="External"/><Relationship Id="rId2128" Type="http://schemas.openxmlformats.org/officeDocument/2006/relationships/hyperlink" Target="http://ufcstats.com/fight-details/8156479490877d08" TargetMode="External"/><Relationship Id="rId2475" Type="http://schemas.openxmlformats.org/officeDocument/2006/relationships/hyperlink" Target="http://ufcstats.com/fight-details/420a5e3b4010ebef" TargetMode="External"/><Relationship Id="rId2682" Type="http://schemas.openxmlformats.org/officeDocument/2006/relationships/hyperlink" Target="http://ufcstats.com/fight-details/78736e322574e500" TargetMode="External"/><Relationship Id="rId3526" Type="http://schemas.openxmlformats.org/officeDocument/2006/relationships/hyperlink" Target="http://ufcstats.com/fight-details/9a92d376fba2379d" TargetMode="External"/><Relationship Id="rId3733" Type="http://schemas.openxmlformats.org/officeDocument/2006/relationships/hyperlink" Target="http://ufcstats.com/fight-details/008d0158831dcbd4" TargetMode="External"/><Relationship Id="rId3940" Type="http://schemas.openxmlformats.org/officeDocument/2006/relationships/hyperlink" Target="http://ufcstats.com/fight-details/0e2c7ec02a095813" TargetMode="External"/><Relationship Id="rId654" Type="http://schemas.openxmlformats.org/officeDocument/2006/relationships/hyperlink" Target="http://ufcstats.com/fight-details/87d0b767742d3239" TargetMode="External"/><Relationship Id="rId861" Type="http://schemas.openxmlformats.org/officeDocument/2006/relationships/hyperlink" Target="http://ufcstats.com/fight-details/156f2425a937b22f" TargetMode="External"/><Relationship Id="rId1284" Type="http://schemas.openxmlformats.org/officeDocument/2006/relationships/hyperlink" Target="http://ufcstats.com/fight-details/3387f430abb7e39f" TargetMode="External"/><Relationship Id="rId1491" Type="http://schemas.openxmlformats.org/officeDocument/2006/relationships/hyperlink" Target="http://ufcstats.com/fight-details/1f0254eeb2025e4f" TargetMode="External"/><Relationship Id="rId2335" Type="http://schemas.openxmlformats.org/officeDocument/2006/relationships/hyperlink" Target="http://ufcstats.com/fight-details/5782666ca117fa5b" TargetMode="External"/><Relationship Id="rId2542" Type="http://schemas.openxmlformats.org/officeDocument/2006/relationships/hyperlink" Target="http://ufcstats.com/fight-details/1aba46988c9b58f9" TargetMode="External"/><Relationship Id="rId3800" Type="http://schemas.openxmlformats.org/officeDocument/2006/relationships/hyperlink" Target="http://ufcstats.com/fight-details/7ad09f889d2cdb6f" TargetMode="External"/><Relationship Id="rId307" Type="http://schemas.openxmlformats.org/officeDocument/2006/relationships/hyperlink" Target="http://ufcstats.com/fight-details/02b39d683f027517" TargetMode="External"/><Relationship Id="rId514" Type="http://schemas.openxmlformats.org/officeDocument/2006/relationships/hyperlink" Target="http://ufcstats.com/fight-details/4622ec182e7fed6b" TargetMode="External"/><Relationship Id="rId721" Type="http://schemas.openxmlformats.org/officeDocument/2006/relationships/hyperlink" Target="http://ufcstats.com/fight-details/a8d189f56de9b451" TargetMode="External"/><Relationship Id="rId1144" Type="http://schemas.openxmlformats.org/officeDocument/2006/relationships/hyperlink" Target="http://ufcstats.com/fight-details/1765fc442ea03873" TargetMode="External"/><Relationship Id="rId1351" Type="http://schemas.openxmlformats.org/officeDocument/2006/relationships/hyperlink" Target="http://ufcstats.com/fight-details/a99c3328e25c51c7" TargetMode="External"/><Relationship Id="rId2402" Type="http://schemas.openxmlformats.org/officeDocument/2006/relationships/hyperlink" Target="http://ufcstats.com/fight-details/4bf6b6904ec94421" TargetMode="External"/><Relationship Id="rId1004" Type="http://schemas.openxmlformats.org/officeDocument/2006/relationships/hyperlink" Target="http://ufcstats.com/fight-details/b66f4fa1b9b96b51" TargetMode="External"/><Relationship Id="rId1211" Type="http://schemas.openxmlformats.org/officeDocument/2006/relationships/hyperlink" Target="http://ufcstats.com/fight-details/a3723f0f672b0912" TargetMode="External"/><Relationship Id="rId4367" Type="http://schemas.openxmlformats.org/officeDocument/2006/relationships/hyperlink" Target="http://ufcstats.com/fight-details/109674a1ee00f55d" TargetMode="External"/><Relationship Id="rId3176" Type="http://schemas.openxmlformats.org/officeDocument/2006/relationships/hyperlink" Target="http://ufcstats.com/fight-details/1123fceef316106e" TargetMode="External"/><Relationship Id="rId3383" Type="http://schemas.openxmlformats.org/officeDocument/2006/relationships/hyperlink" Target="http://ufcstats.com/fight-details/dd0a3aedba5cee87" TargetMode="External"/><Relationship Id="rId3590" Type="http://schemas.openxmlformats.org/officeDocument/2006/relationships/hyperlink" Target="http://ufcstats.com/fight-details/d20dc2d68305fc31" TargetMode="External"/><Relationship Id="rId4227" Type="http://schemas.openxmlformats.org/officeDocument/2006/relationships/hyperlink" Target="http://ufcstats.com/fight-details/5315bd4542b21c4b" TargetMode="External"/><Relationship Id="rId4434" Type="http://schemas.openxmlformats.org/officeDocument/2006/relationships/hyperlink" Target="http://ufcstats.com/fight-details/d4ace70b3661ee6c" TargetMode="External"/><Relationship Id="rId2192" Type="http://schemas.openxmlformats.org/officeDocument/2006/relationships/hyperlink" Target="http://ufcstats.com/fight-details/9220acccebf14a46" TargetMode="External"/><Relationship Id="rId3036" Type="http://schemas.openxmlformats.org/officeDocument/2006/relationships/hyperlink" Target="http://ufcstats.com/fight-details/0f51869f98afa6c0" TargetMode="External"/><Relationship Id="rId3243" Type="http://schemas.openxmlformats.org/officeDocument/2006/relationships/hyperlink" Target="http://ufcstats.com/fight-details/3d07a533feca7458" TargetMode="External"/><Relationship Id="rId164" Type="http://schemas.openxmlformats.org/officeDocument/2006/relationships/hyperlink" Target="http://ufcstats.com/fight-details/17753b728e5404aa" TargetMode="External"/><Relationship Id="rId371" Type="http://schemas.openxmlformats.org/officeDocument/2006/relationships/hyperlink" Target="http://ufcstats.com/fight-details/5ab2a4fec735e0b2" TargetMode="External"/><Relationship Id="rId2052" Type="http://schemas.openxmlformats.org/officeDocument/2006/relationships/hyperlink" Target="http://ufcstats.com/fight-details/a7807ab56cb49cad" TargetMode="External"/><Relationship Id="rId3450" Type="http://schemas.openxmlformats.org/officeDocument/2006/relationships/hyperlink" Target="http://ufcstats.com/fight-details/6ccf478dca83757e" TargetMode="External"/><Relationship Id="rId3103" Type="http://schemas.openxmlformats.org/officeDocument/2006/relationships/hyperlink" Target="http://ufcstats.com/fight-details/eaa63c8fb9379426" TargetMode="External"/><Relationship Id="rId3310" Type="http://schemas.openxmlformats.org/officeDocument/2006/relationships/hyperlink" Target="http://ufcstats.com/fight-details/7070abfa26c079b8" TargetMode="External"/><Relationship Id="rId231" Type="http://schemas.openxmlformats.org/officeDocument/2006/relationships/hyperlink" Target="http://ufcstats.com/fight-details/c8ec30a470f08748" TargetMode="External"/><Relationship Id="rId2869" Type="http://schemas.openxmlformats.org/officeDocument/2006/relationships/hyperlink" Target="http://ufcstats.com/fight-details/ba7250ef080d1603" TargetMode="External"/><Relationship Id="rId1678" Type="http://schemas.openxmlformats.org/officeDocument/2006/relationships/hyperlink" Target="http://ufcstats.com/fight-details/c0329bd8d3b302c6" TargetMode="External"/><Relationship Id="rId1885" Type="http://schemas.openxmlformats.org/officeDocument/2006/relationships/hyperlink" Target="http://ufcstats.com/fight-details/83a0fff04494bfc4" TargetMode="External"/><Relationship Id="rId2729" Type="http://schemas.openxmlformats.org/officeDocument/2006/relationships/hyperlink" Target="http://ufcstats.com/fight-details/cf9035f2fc2e232f" TargetMode="External"/><Relationship Id="rId2936" Type="http://schemas.openxmlformats.org/officeDocument/2006/relationships/hyperlink" Target="http://ufcstats.com/fight-details/e857ca0bc3b9fdcd" TargetMode="External"/><Relationship Id="rId4084" Type="http://schemas.openxmlformats.org/officeDocument/2006/relationships/hyperlink" Target="http://ufcstats.com/fight-details/baf17e5e1fe1c744" TargetMode="External"/><Relationship Id="rId4291" Type="http://schemas.openxmlformats.org/officeDocument/2006/relationships/hyperlink" Target="http://ufcstats.com/fight-details/745bdd823161da89" TargetMode="External"/><Relationship Id="rId908" Type="http://schemas.openxmlformats.org/officeDocument/2006/relationships/hyperlink" Target="http://ufcstats.com/fight-details/ddb015ac5c067aa9" TargetMode="External"/><Relationship Id="rId1538" Type="http://schemas.openxmlformats.org/officeDocument/2006/relationships/hyperlink" Target="http://ufcstats.com/fight-details/d5929b7fbc801ce4" TargetMode="External"/><Relationship Id="rId4151" Type="http://schemas.openxmlformats.org/officeDocument/2006/relationships/hyperlink" Target="http://ufcstats.com/fight-details/8b79a80f775d9f03" TargetMode="External"/><Relationship Id="rId1745" Type="http://schemas.openxmlformats.org/officeDocument/2006/relationships/hyperlink" Target="http://ufcstats.com/fight-details/92c49cb075f612d7" TargetMode="External"/><Relationship Id="rId1952" Type="http://schemas.openxmlformats.org/officeDocument/2006/relationships/hyperlink" Target="http://ufcstats.com/fight-details/0449c55a8c24a59e" TargetMode="External"/><Relationship Id="rId4011" Type="http://schemas.openxmlformats.org/officeDocument/2006/relationships/hyperlink" Target="http://ufcstats.com/fight-details/6e65bec924996b5a" TargetMode="External"/><Relationship Id="rId37" Type="http://schemas.openxmlformats.org/officeDocument/2006/relationships/hyperlink" Target="http://ufcstats.com/fight-details/43af7c5772e8198f" TargetMode="External"/><Relationship Id="rId1605" Type="http://schemas.openxmlformats.org/officeDocument/2006/relationships/hyperlink" Target="http://ufcstats.com/fight-details/f4d8266a42a41dff" TargetMode="External"/><Relationship Id="rId1812" Type="http://schemas.openxmlformats.org/officeDocument/2006/relationships/hyperlink" Target="http://ufcstats.com/fight-details/5cab50839f4a0d94" TargetMode="External"/><Relationship Id="rId3777" Type="http://schemas.openxmlformats.org/officeDocument/2006/relationships/hyperlink" Target="http://ufcstats.com/fight-details/4838bf4ca76c1c6b" TargetMode="External"/><Relationship Id="rId3984" Type="http://schemas.openxmlformats.org/officeDocument/2006/relationships/hyperlink" Target="http://ufcstats.com/fight-details/85d9a516c3c6c205" TargetMode="External"/><Relationship Id="rId698" Type="http://schemas.openxmlformats.org/officeDocument/2006/relationships/hyperlink" Target="http://ufcstats.com/fight-details/6173056f0e080ca6" TargetMode="External"/><Relationship Id="rId2379" Type="http://schemas.openxmlformats.org/officeDocument/2006/relationships/hyperlink" Target="http://ufcstats.com/fight-details/81a18de517a3336a" TargetMode="External"/><Relationship Id="rId2586" Type="http://schemas.openxmlformats.org/officeDocument/2006/relationships/hyperlink" Target="http://ufcstats.com/fight-details/8b341eb556c97c23" TargetMode="External"/><Relationship Id="rId2793" Type="http://schemas.openxmlformats.org/officeDocument/2006/relationships/hyperlink" Target="http://ufcstats.com/fight-details/b5268a0c2df32a24" TargetMode="External"/><Relationship Id="rId3637" Type="http://schemas.openxmlformats.org/officeDocument/2006/relationships/hyperlink" Target="http://ufcstats.com/fight-details/1ccde17f48fb709e" TargetMode="External"/><Relationship Id="rId3844" Type="http://schemas.openxmlformats.org/officeDocument/2006/relationships/hyperlink" Target="http://ufcstats.com/fight-details/cae7de0873e03947" TargetMode="External"/><Relationship Id="rId558" Type="http://schemas.openxmlformats.org/officeDocument/2006/relationships/hyperlink" Target="http://ufcstats.com/fight-details/32990cbf8976d94b" TargetMode="External"/><Relationship Id="rId765" Type="http://schemas.openxmlformats.org/officeDocument/2006/relationships/hyperlink" Target="http://ufcstats.com/fight-details/c82f9bc365ff1074" TargetMode="External"/><Relationship Id="rId972" Type="http://schemas.openxmlformats.org/officeDocument/2006/relationships/hyperlink" Target="http://ufcstats.com/fight-details/98842f17dfe4b4ef" TargetMode="External"/><Relationship Id="rId1188" Type="http://schemas.openxmlformats.org/officeDocument/2006/relationships/hyperlink" Target="http://ufcstats.com/fight-details/92f27d13fc502d33" TargetMode="External"/><Relationship Id="rId1395" Type="http://schemas.openxmlformats.org/officeDocument/2006/relationships/hyperlink" Target="http://ufcstats.com/fight-details/90e46589a18064bc" TargetMode="External"/><Relationship Id="rId2239" Type="http://schemas.openxmlformats.org/officeDocument/2006/relationships/hyperlink" Target="http://ufcstats.com/fight-details/2310fbcb6fdf3b47" TargetMode="External"/><Relationship Id="rId2446" Type="http://schemas.openxmlformats.org/officeDocument/2006/relationships/hyperlink" Target="http://ufcstats.com/fight-details/7013a95ea4014606" TargetMode="External"/><Relationship Id="rId2653" Type="http://schemas.openxmlformats.org/officeDocument/2006/relationships/hyperlink" Target="http://ufcstats.com/fight-details/9fb9af6599d67b1d" TargetMode="External"/><Relationship Id="rId2860" Type="http://schemas.openxmlformats.org/officeDocument/2006/relationships/hyperlink" Target="http://ufcstats.com/fight-details/a71764d5da04e3bc" TargetMode="External"/><Relationship Id="rId3704" Type="http://schemas.openxmlformats.org/officeDocument/2006/relationships/hyperlink" Target="http://ufcstats.com/fight-details/962e74250884e4c1" TargetMode="External"/><Relationship Id="rId418" Type="http://schemas.openxmlformats.org/officeDocument/2006/relationships/hyperlink" Target="http://ufcstats.com/fight-details/30a2c7e5b90e6d74" TargetMode="External"/><Relationship Id="rId625" Type="http://schemas.openxmlformats.org/officeDocument/2006/relationships/hyperlink" Target="http://ufcstats.com/fight-details/6537a32e7af905b0" TargetMode="External"/><Relationship Id="rId832" Type="http://schemas.openxmlformats.org/officeDocument/2006/relationships/hyperlink" Target="http://ufcstats.com/fight-details/3bb7210200d90d90" TargetMode="External"/><Relationship Id="rId1048" Type="http://schemas.openxmlformats.org/officeDocument/2006/relationships/hyperlink" Target="http://ufcstats.com/fight-details/38901948cff43ff9" TargetMode="External"/><Relationship Id="rId1255" Type="http://schemas.openxmlformats.org/officeDocument/2006/relationships/hyperlink" Target="http://ufcstats.com/fight-details/81c22cfa22002ea4" TargetMode="External"/><Relationship Id="rId1462" Type="http://schemas.openxmlformats.org/officeDocument/2006/relationships/hyperlink" Target="http://ufcstats.com/fight-details/1b1792afe4457e83" TargetMode="External"/><Relationship Id="rId2306" Type="http://schemas.openxmlformats.org/officeDocument/2006/relationships/hyperlink" Target="http://ufcstats.com/fight-details/4c025d1fff9e9fce" TargetMode="External"/><Relationship Id="rId2513" Type="http://schemas.openxmlformats.org/officeDocument/2006/relationships/hyperlink" Target="http://ufcstats.com/fight-details/3caa22209cb559b7" TargetMode="External"/><Relationship Id="rId3911" Type="http://schemas.openxmlformats.org/officeDocument/2006/relationships/hyperlink" Target="http://ufcstats.com/fight-details/18f19b1422e8154b" TargetMode="External"/><Relationship Id="rId1115" Type="http://schemas.openxmlformats.org/officeDocument/2006/relationships/hyperlink" Target="http://ufcstats.com/fight-details/f8b32aeb9b628d89" TargetMode="External"/><Relationship Id="rId1322" Type="http://schemas.openxmlformats.org/officeDocument/2006/relationships/hyperlink" Target="http://ufcstats.com/fight-details/cd2ceb5530529c9f" TargetMode="External"/><Relationship Id="rId2720" Type="http://schemas.openxmlformats.org/officeDocument/2006/relationships/hyperlink" Target="http://ufcstats.com/fight-details/1496969c1497dc85" TargetMode="External"/><Relationship Id="rId3287" Type="http://schemas.openxmlformats.org/officeDocument/2006/relationships/hyperlink" Target="http://ufcstats.com/fight-details/66f7bb31d24b3b36" TargetMode="External"/><Relationship Id="rId4338" Type="http://schemas.openxmlformats.org/officeDocument/2006/relationships/hyperlink" Target="http://ufcstats.com/fight-details/1bd52b0c01018f4a" TargetMode="External"/><Relationship Id="rId2096" Type="http://schemas.openxmlformats.org/officeDocument/2006/relationships/hyperlink" Target="http://ufcstats.com/fight-details/3249bbbb7ce837ef" TargetMode="External"/><Relationship Id="rId3494" Type="http://schemas.openxmlformats.org/officeDocument/2006/relationships/hyperlink" Target="http://ufcstats.com/fight-details/75e21e2f5f3be42e" TargetMode="External"/><Relationship Id="rId3147" Type="http://schemas.openxmlformats.org/officeDocument/2006/relationships/hyperlink" Target="http://ufcstats.com/fight-details/fd92fe0c494d0959" TargetMode="External"/><Relationship Id="rId3354" Type="http://schemas.openxmlformats.org/officeDocument/2006/relationships/hyperlink" Target="http://ufcstats.com/fight-details/26d75187369ecf2c" TargetMode="External"/><Relationship Id="rId3561" Type="http://schemas.openxmlformats.org/officeDocument/2006/relationships/hyperlink" Target="http://ufcstats.com/fight-details/3cbbf947fd0d2144" TargetMode="External"/><Relationship Id="rId4405" Type="http://schemas.openxmlformats.org/officeDocument/2006/relationships/hyperlink" Target="http://ufcstats.com/fight-details/fd61e6146f3b2942" TargetMode="External"/><Relationship Id="rId275" Type="http://schemas.openxmlformats.org/officeDocument/2006/relationships/hyperlink" Target="http://ufcstats.com/fight-details/08c6b88ac22717ed" TargetMode="External"/><Relationship Id="rId482" Type="http://schemas.openxmlformats.org/officeDocument/2006/relationships/hyperlink" Target="http://ufcstats.com/fight-details/554163b1c8c05522" TargetMode="External"/><Relationship Id="rId2163" Type="http://schemas.openxmlformats.org/officeDocument/2006/relationships/hyperlink" Target="http://ufcstats.com/fight-details/4fa02674b920ff0a" TargetMode="External"/><Relationship Id="rId2370" Type="http://schemas.openxmlformats.org/officeDocument/2006/relationships/hyperlink" Target="http://ufcstats.com/fight-details/13635ba71963ad0c" TargetMode="External"/><Relationship Id="rId3007" Type="http://schemas.openxmlformats.org/officeDocument/2006/relationships/hyperlink" Target="http://ufcstats.com/fight-details/1f0d4572e0facbea" TargetMode="External"/><Relationship Id="rId3214" Type="http://schemas.openxmlformats.org/officeDocument/2006/relationships/hyperlink" Target="http://ufcstats.com/fight-details/f3c37e23ca30c87d" TargetMode="External"/><Relationship Id="rId3421" Type="http://schemas.openxmlformats.org/officeDocument/2006/relationships/hyperlink" Target="http://ufcstats.com/fight-details/33913e8e56c49a4c" TargetMode="External"/><Relationship Id="rId135" Type="http://schemas.openxmlformats.org/officeDocument/2006/relationships/hyperlink" Target="http://ufcstats.com/fight-details/26202a4bd36d3fd2" TargetMode="External"/><Relationship Id="rId342" Type="http://schemas.openxmlformats.org/officeDocument/2006/relationships/hyperlink" Target="http://ufcstats.com/fight-details/498e7b0800af226c" TargetMode="External"/><Relationship Id="rId2023" Type="http://schemas.openxmlformats.org/officeDocument/2006/relationships/hyperlink" Target="http://ufcstats.com/fight-details/c3b8d8e7d256c307" TargetMode="External"/><Relationship Id="rId2230" Type="http://schemas.openxmlformats.org/officeDocument/2006/relationships/hyperlink" Target="http://ufcstats.com/fight-details/9d7a798f0c20c04a" TargetMode="External"/><Relationship Id="rId202" Type="http://schemas.openxmlformats.org/officeDocument/2006/relationships/hyperlink" Target="http://ufcstats.com/fight-details/0b89c88d506da083" TargetMode="External"/><Relationship Id="rId4195" Type="http://schemas.openxmlformats.org/officeDocument/2006/relationships/hyperlink" Target="http://ufcstats.com/fight-details/47f9c14a7dca1ad7" TargetMode="External"/><Relationship Id="rId1789" Type="http://schemas.openxmlformats.org/officeDocument/2006/relationships/hyperlink" Target="http://ufcstats.com/fight-details/f41e83de703acf85" TargetMode="External"/><Relationship Id="rId1996" Type="http://schemas.openxmlformats.org/officeDocument/2006/relationships/hyperlink" Target="http://ufcstats.com/fight-details/69f39e5d959311b1" TargetMode="External"/><Relationship Id="rId4055" Type="http://schemas.openxmlformats.org/officeDocument/2006/relationships/hyperlink" Target="http://ufcstats.com/fight-details/be8bee783d22bee2" TargetMode="External"/><Relationship Id="rId4262" Type="http://schemas.openxmlformats.org/officeDocument/2006/relationships/hyperlink" Target="http://ufcstats.com/fight-details/ec0740be19b2ef90" TargetMode="External"/><Relationship Id="rId1649" Type="http://schemas.openxmlformats.org/officeDocument/2006/relationships/hyperlink" Target="http://ufcstats.com/fight-details/89f83750703d5fd3" TargetMode="External"/><Relationship Id="rId1856" Type="http://schemas.openxmlformats.org/officeDocument/2006/relationships/hyperlink" Target="http://ufcstats.com/fight-details/25548d526c3a7587" TargetMode="External"/><Relationship Id="rId2907" Type="http://schemas.openxmlformats.org/officeDocument/2006/relationships/hyperlink" Target="http://ufcstats.com/fight-details/f044802db5688bbe" TargetMode="External"/><Relationship Id="rId3071" Type="http://schemas.openxmlformats.org/officeDocument/2006/relationships/hyperlink" Target="http://ufcstats.com/fight-details/f5de8b2c81e91129" TargetMode="External"/><Relationship Id="rId1509" Type="http://schemas.openxmlformats.org/officeDocument/2006/relationships/hyperlink" Target="http://ufcstats.com/fight-details/e835e9a4564db497" TargetMode="External"/><Relationship Id="rId1716" Type="http://schemas.openxmlformats.org/officeDocument/2006/relationships/hyperlink" Target="http://ufcstats.com/fight-details/4560734220b96851" TargetMode="External"/><Relationship Id="rId1923" Type="http://schemas.openxmlformats.org/officeDocument/2006/relationships/hyperlink" Target="http://ufcstats.com/fight-details/ba33d0868b25483b" TargetMode="External"/><Relationship Id="rId4122" Type="http://schemas.openxmlformats.org/officeDocument/2006/relationships/hyperlink" Target="http://ufcstats.com/fight-details/a57969d4ba7d4a79" TargetMode="External"/><Relationship Id="rId3888" Type="http://schemas.openxmlformats.org/officeDocument/2006/relationships/hyperlink" Target="http://ufcstats.com/fight-details/21be9181725ab599" TargetMode="External"/><Relationship Id="rId2697" Type="http://schemas.openxmlformats.org/officeDocument/2006/relationships/hyperlink" Target="http://ufcstats.com/fight-details/2af50cc7f34f6fc2" TargetMode="External"/><Relationship Id="rId3748" Type="http://schemas.openxmlformats.org/officeDocument/2006/relationships/hyperlink" Target="http://ufcstats.com/fight-details/65c89e0c92e51bb8" TargetMode="External"/><Relationship Id="rId669" Type="http://schemas.openxmlformats.org/officeDocument/2006/relationships/hyperlink" Target="http://ufcstats.com/fight-details/819f51ef9d945a46" TargetMode="External"/><Relationship Id="rId876" Type="http://schemas.openxmlformats.org/officeDocument/2006/relationships/hyperlink" Target="http://ufcstats.com/fight-details/478a637045ad49fb" TargetMode="External"/><Relationship Id="rId1299" Type="http://schemas.openxmlformats.org/officeDocument/2006/relationships/hyperlink" Target="http://ufcstats.com/fight-details/188b63ec6ee1c1c9" TargetMode="External"/><Relationship Id="rId2557" Type="http://schemas.openxmlformats.org/officeDocument/2006/relationships/hyperlink" Target="http://ufcstats.com/fight-details/b8b9a8e504d51ba5" TargetMode="External"/><Relationship Id="rId3608" Type="http://schemas.openxmlformats.org/officeDocument/2006/relationships/hyperlink" Target="http://ufcstats.com/fight-details/a7adbceeff234b61" TargetMode="External"/><Relationship Id="rId3955" Type="http://schemas.openxmlformats.org/officeDocument/2006/relationships/hyperlink" Target="http://ufcstats.com/fight-details/ab79fe7b35ccc3dc" TargetMode="External"/><Relationship Id="rId529" Type="http://schemas.openxmlformats.org/officeDocument/2006/relationships/hyperlink" Target="http://ufcstats.com/fight-details/331ddc1141e934d1" TargetMode="External"/><Relationship Id="rId736" Type="http://schemas.openxmlformats.org/officeDocument/2006/relationships/hyperlink" Target="http://ufcstats.com/fight-details/9f114a219523bf7d" TargetMode="External"/><Relationship Id="rId1159" Type="http://schemas.openxmlformats.org/officeDocument/2006/relationships/hyperlink" Target="http://ufcstats.com/fight-details/b6723b9c6ff4d594" TargetMode="External"/><Relationship Id="rId1366" Type="http://schemas.openxmlformats.org/officeDocument/2006/relationships/hyperlink" Target="http://ufcstats.com/fight-details/8da2c348ba6001a0" TargetMode="External"/><Relationship Id="rId2417" Type="http://schemas.openxmlformats.org/officeDocument/2006/relationships/hyperlink" Target="http://ufcstats.com/fight-details/e02fca0d258283ce" TargetMode="External"/><Relationship Id="rId2764" Type="http://schemas.openxmlformats.org/officeDocument/2006/relationships/hyperlink" Target="http://ufcstats.com/fight-details/405c0b8d3960016d" TargetMode="External"/><Relationship Id="rId2971" Type="http://schemas.openxmlformats.org/officeDocument/2006/relationships/hyperlink" Target="http://ufcstats.com/fight-details/8da94b2c1c0443d4" TargetMode="External"/><Relationship Id="rId3815" Type="http://schemas.openxmlformats.org/officeDocument/2006/relationships/hyperlink" Target="http://ufcstats.com/fight-details/ac0a63ad13897564" TargetMode="External"/><Relationship Id="rId943" Type="http://schemas.openxmlformats.org/officeDocument/2006/relationships/hyperlink" Target="http://ufcstats.com/fight-details/c29b63d6cd2ba413" TargetMode="External"/><Relationship Id="rId1019" Type="http://schemas.openxmlformats.org/officeDocument/2006/relationships/hyperlink" Target="http://ufcstats.com/fight-details/51db35a3cf225bda" TargetMode="External"/><Relationship Id="rId1573" Type="http://schemas.openxmlformats.org/officeDocument/2006/relationships/hyperlink" Target="http://ufcstats.com/fight-details/6002c24f0b7f8cc7" TargetMode="External"/><Relationship Id="rId1780" Type="http://schemas.openxmlformats.org/officeDocument/2006/relationships/hyperlink" Target="http://ufcstats.com/fight-details/5237736e6b37c609" TargetMode="External"/><Relationship Id="rId2624" Type="http://schemas.openxmlformats.org/officeDocument/2006/relationships/hyperlink" Target="http://ufcstats.com/fight-details/68cf99b6551dc3b3" TargetMode="External"/><Relationship Id="rId2831" Type="http://schemas.openxmlformats.org/officeDocument/2006/relationships/hyperlink" Target="http://ufcstats.com/fight-details/ee57cbd0b68c689d" TargetMode="External"/><Relationship Id="rId72" Type="http://schemas.openxmlformats.org/officeDocument/2006/relationships/hyperlink" Target="http://ufcstats.com/fight-details/dcf5014e56649c2f" TargetMode="External"/><Relationship Id="rId803" Type="http://schemas.openxmlformats.org/officeDocument/2006/relationships/hyperlink" Target="http://ufcstats.com/fight-details/f521ecde1e96a1bd" TargetMode="External"/><Relationship Id="rId1226" Type="http://schemas.openxmlformats.org/officeDocument/2006/relationships/hyperlink" Target="http://ufcstats.com/fight-details/5a9804cad2335272" TargetMode="External"/><Relationship Id="rId1433" Type="http://schemas.openxmlformats.org/officeDocument/2006/relationships/hyperlink" Target="http://ufcstats.com/fight-details/1c43b38c1f4bdbe2" TargetMode="External"/><Relationship Id="rId1640" Type="http://schemas.openxmlformats.org/officeDocument/2006/relationships/hyperlink" Target="http://ufcstats.com/fight-details/30eaf1650bc359b3" TargetMode="External"/><Relationship Id="rId1500" Type="http://schemas.openxmlformats.org/officeDocument/2006/relationships/hyperlink" Target="http://ufcstats.com/fight-details/cd63b4144a45b611" TargetMode="External"/><Relationship Id="rId3398" Type="http://schemas.openxmlformats.org/officeDocument/2006/relationships/hyperlink" Target="http://ufcstats.com/fight-details/f23e2bed86b62462" TargetMode="External"/><Relationship Id="rId4449" Type="http://schemas.openxmlformats.org/officeDocument/2006/relationships/hyperlink" Target="http://ufcstats.com/fight-details/68c1b833ed8849a3" TargetMode="External"/><Relationship Id="rId3258" Type="http://schemas.openxmlformats.org/officeDocument/2006/relationships/hyperlink" Target="http://ufcstats.com/fight-details/43baf5b905686ebf" TargetMode="External"/><Relationship Id="rId3465" Type="http://schemas.openxmlformats.org/officeDocument/2006/relationships/hyperlink" Target="http://ufcstats.com/fight-details/2c01f4df404ff6ee" TargetMode="External"/><Relationship Id="rId3672" Type="http://schemas.openxmlformats.org/officeDocument/2006/relationships/hyperlink" Target="http://ufcstats.com/fight-details/0294253e4a5b4725" TargetMode="External"/><Relationship Id="rId4309" Type="http://schemas.openxmlformats.org/officeDocument/2006/relationships/hyperlink" Target="http://ufcstats.com/fight-details/ec149b086b0e7fac" TargetMode="External"/><Relationship Id="rId179" Type="http://schemas.openxmlformats.org/officeDocument/2006/relationships/hyperlink" Target="http://ufcstats.com/fight-details/d755a29a49c9ee09" TargetMode="External"/><Relationship Id="rId386" Type="http://schemas.openxmlformats.org/officeDocument/2006/relationships/hyperlink" Target="http://ufcstats.com/fight-details/a815119606930378" TargetMode="External"/><Relationship Id="rId593" Type="http://schemas.openxmlformats.org/officeDocument/2006/relationships/hyperlink" Target="http://ufcstats.com/fight-details/3c4305abc2e302d0" TargetMode="External"/><Relationship Id="rId2067" Type="http://schemas.openxmlformats.org/officeDocument/2006/relationships/hyperlink" Target="http://ufcstats.com/fight-details/2b01da1699f0305f" TargetMode="External"/><Relationship Id="rId2274" Type="http://schemas.openxmlformats.org/officeDocument/2006/relationships/hyperlink" Target="http://ufcstats.com/fight-details/0273dbd5dedbdbe0" TargetMode="External"/><Relationship Id="rId2481" Type="http://schemas.openxmlformats.org/officeDocument/2006/relationships/hyperlink" Target="http://ufcstats.com/fight-details/03e5127d4832750c" TargetMode="External"/><Relationship Id="rId3118" Type="http://schemas.openxmlformats.org/officeDocument/2006/relationships/hyperlink" Target="http://ufcstats.com/fight-details/d292243c6499b2fe" TargetMode="External"/><Relationship Id="rId3325" Type="http://schemas.openxmlformats.org/officeDocument/2006/relationships/hyperlink" Target="http://ufcstats.com/fight-details/1c4602efe5587902" TargetMode="External"/><Relationship Id="rId3532" Type="http://schemas.openxmlformats.org/officeDocument/2006/relationships/hyperlink" Target="http://ufcstats.com/fight-details/b7c7707ccea492c7" TargetMode="External"/><Relationship Id="rId246" Type="http://schemas.openxmlformats.org/officeDocument/2006/relationships/hyperlink" Target="http://ufcstats.com/fight-details/42ecb9a94bebc24d" TargetMode="External"/><Relationship Id="rId453" Type="http://schemas.openxmlformats.org/officeDocument/2006/relationships/hyperlink" Target="http://ufcstats.com/fight-details/4cf7792aef993be1" TargetMode="External"/><Relationship Id="rId660" Type="http://schemas.openxmlformats.org/officeDocument/2006/relationships/hyperlink" Target="http://ufcstats.com/fight-details/89dd4c256ca5d317" TargetMode="External"/><Relationship Id="rId1083" Type="http://schemas.openxmlformats.org/officeDocument/2006/relationships/hyperlink" Target="http://ufcstats.com/fight-details/ff467a5f06a91a0f" TargetMode="External"/><Relationship Id="rId1290" Type="http://schemas.openxmlformats.org/officeDocument/2006/relationships/hyperlink" Target="http://ufcstats.com/fight-details/3e90b7fd1e9f86bd" TargetMode="External"/><Relationship Id="rId2134" Type="http://schemas.openxmlformats.org/officeDocument/2006/relationships/hyperlink" Target="http://ufcstats.com/fight-details/00494c77d2a88f8c" TargetMode="External"/><Relationship Id="rId2341" Type="http://schemas.openxmlformats.org/officeDocument/2006/relationships/hyperlink" Target="http://ufcstats.com/fight-details/49bd9a2f1fbebd1f" TargetMode="External"/><Relationship Id="rId106" Type="http://schemas.openxmlformats.org/officeDocument/2006/relationships/hyperlink" Target="http://ufcstats.com/fight-details/6010f681e54ba2cd" TargetMode="External"/><Relationship Id="rId313" Type="http://schemas.openxmlformats.org/officeDocument/2006/relationships/hyperlink" Target="http://ufcstats.com/fight-details/312c742e614f8993" TargetMode="External"/><Relationship Id="rId1150" Type="http://schemas.openxmlformats.org/officeDocument/2006/relationships/hyperlink" Target="http://ufcstats.com/fight-details/795aa42785a46643" TargetMode="External"/><Relationship Id="rId4099" Type="http://schemas.openxmlformats.org/officeDocument/2006/relationships/hyperlink" Target="http://ufcstats.com/fight-details/bdeca00572419011" TargetMode="External"/><Relationship Id="rId520" Type="http://schemas.openxmlformats.org/officeDocument/2006/relationships/hyperlink" Target="http://ufcstats.com/fight-details/ca3963b76a38c408" TargetMode="External"/><Relationship Id="rId2201" Type="http://schemas.openxmlformats.org/officeDocument/2006/relationships/hyperlink" Target="http://ufcstats.com/fight-details/1aa4c2fa5ffaff00" TargetMode="External"/><Relationship Id="rId1010" Type="http://schemas.openxmlformats.org/officeDocument/2006/relationships/hyperlink" Target="http://ufcstats.com/fight-details/b4cfb34e8224fd77" TargetMode="External"/><Relationship Id="rId1967" Type="http://schemas.openxmlformats.org/officeDocument/2006/relationships/hyperlink" Target="http://ufcstats.com/fight-details/8baff440b82afd2b" TargetMode="External"/><Relationship Id="rId4166" Type="http://schemas.openxmlformats.org/officeDocument/2006/relationships/hyperlink" Target="http://ufcstats.com/fight-details/5885445f39dac389" TargetMode="External"/><Relationship Id="rId4373" Type="http://schemas.openxmlformats.org/officeDocument/2006/relationships/hyperlink" Target="http://ufcstats.com/fight-details/f61f5adf7e0a80c4" TargetMode="External"/><Relationship Id="rId4026" Type="http://schemas.openxmlformats.org/officeDocument/2006/relationships/hyperlink" Target="http://ufcstats.com/fight-details/8c7b5b21b3532027" TargetMode="External"/><Relationship Id="rId4440" Type="http://schemas.openxmlformats.org/officeDocument/2006/relationships/hyperlink" Target="http://ufcstats.com/fight-details/e1e31a8dfa9c27f6" TargetMode="External"/><Relationship Id="rId3042" Type="http://schemas.openxmlformats.org/officeDocument/2006/relationships/hyperlink" Target="http://ufcstats.com/fight-details/3bdacc82209b33f5" TargetMode="External"/><Relationship Id="rId3859" Type="http://schemas.openxmlformats.org/officeDocument/2006/relationships/hyperlink" Target="http://ufcstats.com/fight-details/8c34e1e0d842618d" TargetMode="External"/><Relationship Id="rId2875" Type="http://schemas.openxmlformats.org/officeDocument/2006/relationships/hyperlink" Target="http://ufcstats.com/fight-details/dc93921bd9342341" TargetMode="External"/><Relationship Id="rId3926" Type="http://schemas.openxmlformats.org/officeDocument/2006/relationships/hyperlink" Target="http://ufcstats.com/fight-details/f3f252b9810cff0d" TargetMode="External"/><Relationship Id="rId847" Type="http://schemas.openxmlformats.org/officeDocument/2006/relationships/hyperlink" Target="http://ufcstats.com/fight-details/f3efc6121c5323ff" TargetMode="External"/><Relationship Id="rId1477" Type="http://schemas.openxmlformats.org/officeDocument/2006/relationships/hyperlink" Target="http://ufcstats.com/fight-details/c57c8e22a3e8dde2" TargetMode="External"/><Relationship Id="rId1891" Type="http://schemas.openxmlformats.org/officeDocument/2006/relationships/hyperlink" Target="http://ufcstats.com/fight-details/dedb74ee9d84deab" TargetMode="External"/><Relationship Id="rId2528" Type="http://schemas.openxmlformats.org/officeDocument/2006/relationships/hyperlink" Target="http://ufcstats.com/fight-details/8a95f0e3f9111f0c" TargetMode="External"/><Relationship Id="rId2942" Type="http://schemas.openxmlformats.org/officeDocument/2006/relationships/hyperlink" Target="http://ufcstats.com/fight-details/9124740fe7816d70" TargetMode="External"/><Relationship Id="rId914" Type="http://schemas.openxmlformats.org/officeDocument/2006/relationships/hyperlink" Target="http://ufcstats.com/fight-details/f9ab603b763998f7" TargetMode="External"/><Relationship Id="rId1544" Type="http://schemas.openxmlformats.org/officeDocument/2006/relationships/hyperlink" Target="http://ufcstats.com/fight-details/17067cf55726c673" TargetMode="External"/><Relationship Id="rId1611" Type="http://schemas.openxmlformats.org/officeDocument/2006/relationships/hyperlink" Target="http://ufcstats.com/fight-details/88cc78d2d5d6bcaa" TargetMode="External"/><Relationship Id="rId3369" Type="http://schemas.openxmlformats.org/officeDocument/2006/relationships/hyperlink" Target="http://ufcstats.com/fight-details/93330422e1f2e0be" TargetMode="External"/><Relationship Id="rId2385" Type="http://schemas.openxmlformats.org/officeDocument/2006/relationships/hyperlink" Target="http://ufcstats.com/fight-details/a38648a1c190f9be" TargetMode="External"/><Relationship Id="rId3783" Type="http://schemas.openxmlformats.org/officeDocument/2006/relationships/hyperlink" Target="http://ufcstats.com/fight-details/28b6ee9c3eb8b753" TargetMode="External"/><Relationship Id="rId357" Type="http://schemas.openxmlformats.org/officeDocument/2006/relationships/hyperlink" Target="http://ufcstats.com/fight-details/70f01e9ff0b4e519" TargetMode="External"/><Relationship Id="rId2038" Type="http://schemas.openxmlformats.org/officeDocument/2006/relationships/hyperlink" Target="http://ufcstats.com/fight-details/0b21755eb0897396" TargetMode="External"/><Relationship Id="rId3436" Type="http://schemas.openxmlformats.org/officeDocument/2006/relationships/hyperlink" Target="http://ufcstats.com/fight-details/450760216f5643ca" TargetMode="External"/><Relationship Id="rId3850" Type="http://schemas.openxmlformats.org/officeDocument/2006/relationships/hyperlink" Target="http://ufcstats.com/fight-details/bb31c77bddd1317e" TargetMode="External"/><Relationship Id="rId771" Type="http://schemas.openxmlformats.org/officeDocument/2006/relationships/hyperlink" Target="http://ufcstats.com/fight-details/ce82f34bc14f7af0" TargetMode="External"/><Relationship Id="rId2452" Type="http://schemas.openxmlformats.org/officeDocument/2006/relationships/hyperlink" Target="http://ufcstats.com/fight-details/e71a155192ff2f6c" TargetMode="External"/><Relationship Id="rId3503" Type="http://schemas.openxmlformats.org/officeDocument/2006/relationships/hyperlink" Target="http://ufcstats.com/fight-details/30eb24f7904c2128" TargetMode="External"/><Relationship Id="rId424" Type="http://schemas.openxmlformats.org/officeDocument/2006/relationships/hyperlink" Target="http://ufcstats.com/fight-details/0328754c15ecd37c" TargetMode="External"/><Relationship Id="rId1054" Type="http://schemas.openxmlformats.org/officeDocument/2006/relationships/hyperlink" Target="http://ufcstats.com/fight-details/f87a7812733f7e8f" TargetMode="External"/><Relationship Id="rId2105" Type="http://schemas.openxmlformats.org/officeDocument/2006/relationships/hyperlink" Target="http://ufcstats.com/fight-details/59b384dcc3ab49b2" TargetMode="External"/><Relationship Id="rId1121" Type="http://schemas.openxmlformats.org/officeDocument/2006/relationships/hyperlink" Target="http://ufcstats.com/fight-details/f602cc168383432f" TargetMode="External"/><Relationship Id="rId4277" Type="http://schemas.openxmlformats.org/officeDocument/2006/relationships/hyperlink" Target="http://ufcstats.com/fight-details/903d2c361d005b70" TargetMode="External"/><Relationship Id="rId3293" Type="http://schemas.openxmlformats.org/officeDocument/2006/relationships/hyperlink" Target="http://ufcstats.com/fight-details/559031e51ced0b53" TargetMode="External"/><Relationship Id="rId4344" Type="http://schemas.openxmlformats.org/officeDocument/2006/relationships/hyperlink" Target="http://ufcstats.com/fight-details/451525a1abe30a91" TargetMode="External"/><Relationship Id="rId1938" Type="http://schemas.openxmlformats.org/officeDocument/2006/relationships/hyperlink" Target="http://ufcstats.com/fight-details/6b5fe10e6e7d160a" TargetMode="External"/><Relationship Id="rId3360" Type="http://schemas.openxmlformats.org/officeDocument/2006/relationships/hyperlink" Target="http://ufcstats.com/fight-details/18d84b333b28de36" TargetMode="External"/><Relationship Id="rId281" Type="http://schemas.openxmlformats.org/officeDocument/2006/relationships/hyperlink" Target="http://ufcstats.com/fight-details/467e08195b29e857" TargetMode="External"/><Relationship Id="rId3013" Type="http://schemas.openxmlformats.org/officeDocument/2006/relationships/hyperlink" Target="http://ufcstats.com/fight-details/4047e98132306cd5" TargetMode="External"/><Relationship Id="rId4411" Type="http://schemas.openxmlformats.org/officeDocument/2006/relationships/hyperlink" Target="http://ufcstats.com/fight-details/5a09a7a3f2792d1a" TargetMode="External"/><Relationship Id="rId2779" Type="http://schemas.openxmlformats.org/officeDocument/2006/relationships/hyperlink" Target="http://ufcstats.com/fight-details/d00d5ef4ae0ac01b" TargetMode="External"/><Relationship Id="rId1795" Type="http://schemas.openxmlformats.org/officeDocument/2006/relationships/hyperlink" Target="http://ufcstats.com/fight-details/0e809b7e37681783" TargetMode="External"/><Relationship Id="rId2846" Type="http://schemas.openxmlformats.org/officeDocument/2006/relationships/hyperlink" Target="http://ufcstats.com/fight-details/dff1dbb8fe1f31cb" TargetMode="External"/><Relationship Id="rId87" Type="http://schemas.openxmlformats.org/officeDocument/2006/relationships/hyperlink" Target="http://ufcstats.com/fight-details/e5cb9dfc1189d77d" TargetMode="External"/><Relationship Id="rId818" Type="http://schemas.openxmlformats.org/officeDocument/2006/relationships/hyperlink" Target="http://ufcstats.com/fight-details/0ac4f0c1b4d021f6" TargetMode="External"/><Relationship Id="rId1448" Type="http://schemas.openxmlformats.org/officeDocument/2006/relationships/hyperlink" Target="http://ufcstats.com/fight-details/5b0fcecc55bebd5c" TargetMode="External"/><Relationship Id="rId1862" Type="http://schemas.openxmlformats.org/officeDocument/2006/relationships/hyperlink" Target="http://ufcstats.com/fight-details/b6dad3a9bf911bfd" TargetMode="External"/><Relationship Id="rId2913" Type="http://schemas.openxmlformats.org/officeDocument/2006/relationships/hyperlink" Target="http://ufcstats.com/fight-details/afed0bac5ce5a2f3" TargetMode="External"/><Relationship Id="rId1515" Type="http://schemas.openxmlformats.org/officeDocument/2006/relationships/hyperlink" Target="http://ufcstats.com/fight-details/e91f289f1b9f9519" TargetMode="External"/><Relationship Id="rId3687" Type="http://schemas.openxmlformats.org/officeDocument/2006/relationships/hyperlink" Target="http://ufcstats.com/fight-details/607d22f0b3db4f1f" TargetMode="External"/><Relationship Id="rId2289" Type="http://schemas.openxmlformats.org/officeDocument/2006/relationships/hyperlink" Target="http://ufcstats.com/fight-details/5ff8463edf8155c0" TargetMode="External"/><Relationship Id="rId3754" Type="http://schemas.openxmlformats.org/officeDocument/2006/relationships/hyperlink" Target="http://ufcstats.com/fight-details/e9d5ffcacf7d8757" TargetMode="External"/><Relationship Id="rId675" Type="http://schemas.openxmlformats.org/officeDocument/2006/relationships/hyperlink" Target="http://ufcstats.com/fight-details/b1e66cea3a4d4709" TargetMode="External"/><Relationship Id="rId2356" Type="http://schemas.openxmlformats.org/officeDocument/2006/relationships/hyperlink" Target="http://ufcstats.com/fight-details/c83487136636e9bf" TargetMode="External"/><Relationship Id="rId2770" Type="http://schemas.openxmlformats.org/officeDocument/2006/relationships/hyperlink" Target="http://ufcstats.com/fight-details/7e2bc09d866b3bd7" TargetMode="External"/><Relationship Id="rId3407" Type="http://schemas.openxmlformats.org/officeDocument/2006/relationships/hyperlink" Target="http://ufcstats.com/fight-details/9dd9affa41eead4c" TargetMode="External"/><Relationship Id="rId3821" Type="http://schemas.openxmlformats.org/officeDocument/2006/relationships/hyperlink" Target="http://ufcstats.com/fight-details/0366e183296fea07" TargetMode="External"/><Relationship Id="rId328" Type="http://schemas.openxmlformats.org/officeDocument/2006/relationships/hyperlink" Target="http://ufcstats.com/fight-details/bd1e01de1f24962b" TargetMode="External"/><Relationship Id="rId742" Type="http://schemas.openxmlformats.org/officeDocument/2006/relationships/hyperlink" Target="http://ufcstats.com/fight-details/112e6a0ddce893e6" TargetMode="External"/><Relationship Id="rId1372" Type="http://schemas.openxmlformats.org/officeDocument/2006/relationships/hyperlink" Target="http://ufcstats.com/fight-details/cbdf29f36b343f6f" TargetMode="External"/><Relationship Id="rId2009" Type="http://schemas.openxmlformats.org/officeDocument/2006/relationships/hyperlink" Target="http://ufcstats.com/fight-details/388adad23aaa9d39" TargetMode="External"/><Relationship Id="rId2423" Type="http://schemas.openxmlformats.org/officeDocument/2006/relationships/hyperlink" Target="http://ufcstats.com/fight-details/5ad4c0eae7512878" TargetMode="External"/><Relationship Id="rId1025" Type="http://schemas.openxmlformats.org/officeDocument/2006/relationships/hyperlink" Target="http://ufcstats.com/fight-details/5e2f2f5d9a756de9" TargetMode="External"/><Relationship Id="rId3197" Type="http://schemas.openxmlformats.org/officeDocument/2006/relationships/hyperlink" Target="http://ufcstats.com/fight-details/2e0ae17a22a6f824" TargetMode="External"/><Relationship Id="rId4248" Type="http://schemas.openxmlformats.org/officeDocument/2006/relationships/hyperlink" Target="http://ufcstats.com/fight-details/adb411b0f418ce33" TargetMode="External"/><Relationship Id="rId185" Type="http://schemas.openxmlformats.org/officeDocument/2006/relationships/hyperlink" Target="http://ufcstats.com/fight-details/e57a78a422439774" TargetMode="External"/><Relationship Id="rId1909" Type="http://schemas.openxmlformats.org/officeDocument/2006/relationships/hyperlink" Target="http://ufcstats.com/fight-details/4e6218b6b892b017" TargetMode="External"/><Relationship Id="rId3264" Type="http://schemas.openxmlformats.org/officeDocument/2006/relationships/hyperlink" Target="http://ufcstats.com/fight-details/270edfb687c0d20c" TargetMode="External"/><Relationship Id="rId4315" Type="http://schemas.openxmlformats.org/officeDocument/2006/relationships/hyperlink" Target="http://ufcstats.com/fight-details/5d8a1daadda47ace" TargetMode="External"/><Relationship Id="rId2280" Type="http://schemas.openxmlformats.org/officeDocument/2006/relationships/hyperlink" Target="http://ufcstats.com/fight-details/f858f91453555291" TargetMode="External"/><Relationship Id="rId3331" Type="http://schemas.openxmlformats.org/officeDocument/2006/relationships/hyperlink" Target="http://ufcstats.com/fight-details/24ff0bb908095565" TargetMode="External"/><Relationship Id="rId252" Type="http://schemas.openxmlformats.org/officeDocument/2006/relationships/hyperlink" Target="http://ufcstats.com/fight-details/c0ca4c201d086ea8" TargetMode="External"/><Relationship Id="rId1699" Type="http://schemas.openxmlformats.org/officeDocument/2006/relationships/hyperlink" Target="http://ufcstats.com/fight-details/1ff520024da5b3b2" TargetMode="External"/><Relationship Id="rId2000" Type="http://schemas.openxmlformats.org/officeDocument/2006/relationships/hyperlink" Target="http://ufcstats.com/fight-details/fd47032108b85cf0" TargetMode="External"/><Relationship Id="rId4172" Type="http://schemas.openxmlformats.org/officeDocument/2006/relationships/hyperlink" Target="http://ufcstats.com/fight-details/505397f405e40206" TargetMode="External"/><Relationship Id="rId1766" Type="http://schemas.openxmlformats.org/officeDocument/2006/relationships/hyperlink" Target="http://ufcstats.com/fight-details/23eec2d9cb2d78cd" TargetMode="External"/><Relationship Id="rId2817" Type="http://schemas.openxmlformats.org/officeDocument/2006/relationships/hyperlink" Target="http://ufcstats.com/fight-details/7072a324a82c4297" TargetMode="External"/><Relationship Id="rId58" Type="http://schemas.openxmlformats.org/officeDocument/2006/relationships/hyperlink" Target="http://ufcstats.com/fight-details/d757f19f3d34934b" TargetMode="External"/><Relationship Id="rId1419" Type="http://schemas.openxmlformats.org/officeDocument/2006/relationships/hyperlink" Target="http://ufcstats.com/fight-details/75570ea2da94a4fb" TargetMode="External"/><Relationship Id="rId1833" Type="http://schemas.openxmlformats.org/officeDocument/2006/relationships/hyperlink" Target="http://ufcstats.com/fight-details/14dbcdbe8e7251bf" TargetMode="External"/><Relationship Id="rId1900" Type="http://schemas.openxmlformats.org/officeDocument/2006/relationships/hyperlink" Target="http://ufcstats.com/fight-details/a376f6d5806d0c90" TargetMode="External"/><Relationship Id="rId3658" Type="http://schemas.openxmlformats.org/officeDocument/2006/relationships/hyperlink" Target="http://ufcstats.com/fight-details/96404a3b32791c8d" TargetMode="External"/><Relationship Id="rId579" Type="http://schemas.openxmlformats.org/officeDocument/2006/relationships/hyperlink" Target="http://ufcstats.com/fight-details/570f3407722cc512" TargetMode="External"/><Relationship Id="rId993" Type="http://schemas.openxmlformats.org/officeDocument/2006/relationships/hyperlink" Target="http://ufcstats.com/fight-details/f6efb09c01e4cac6" TargetMode="External"/><Relationship Id="rId2674" Type="http://schemas.openxmlformats.org/officeDocument/2006/relationships/hyperlink" Target="http://ufcstats.com/fight-details/3d1f83264d87c529" TargetMode="External"/><Relationship Id="rId646" Type="http://schemas.openxmlformats.org/officeDocument/2006/relationships/hyperlink" Target="http://ufcstats.com/fight-details/6a0341234ecc4e87" TargetMode="External"/><Relationship Id="rId1276" Type="http://schemas.openxmlformats.org/officeDocument/2006/relationships/hyperlink" Target="http://ufcstats.com/fight-details/3223b7e196a07224" TargetMode="External"/><Relationship Id="rId2327" Type="http://schemas.openxmlformats.org/officeDocument/2006/relationships/hyperlink" Target="http://ufcstats.com/fight-details/0b98d84a2795f7f8" TargetMode="External"/><Relationship Id="rId3725" Type="http://schemas.openxmlformats.org/officeDocument/2006/relationships/hyperlink" Target="http://ufcstats.com/fight-details/3e875e1625bbdfbd" TargetMode="External"/><Relationship Id="rId1690" Type="http://schemas.openxmlformats.org/officeDocument/2006/relationships/hyperlink" Target="http://ufcstats.com/fight-details/3d46d635f9ae5e68" TargetMode="External"/><Relationship Id="rId2741" Type="http://schemas.openxmlformats.org/officeDocument/2006/relationships/hyperlink" Target="http://ufcstats.com/fight-details/5573d46130d6b967" TargetMode="External"/><Relationship Id="rId713" Type="http://schemas.openxmlformats.org/officeDocument/2006/relationships/hyperlink" Target="http://ufcstats.com/fight-details/e85e83ab4e60e768" TargetMode="External"/><Relationship Id="rId1343" Type="http://schemas.openxmlformats.org/officeDocument/2006/relationships/hyperlink" Target="http://ufcstats.com/fight-details/205ad947e8c94901" TargetMode="External"/><Relationship Id="rId1410" Type="http://schemas.openxmlformats.org/officeDocument/2006/relationships/hyperlink" Target="http://ufcstats.com/fight-details/cc477d322638ba30" TargetMode="External"/><Relationship Id="rId3168" Type="http://schemas.openxmlformats.org/officeDocument/2006/relationships/hyperlink" Target="http://ufcstats.com/fight-details/391d458db6dae33b" TargetMode="External"/><Relationship Id="rId3582" Type="http://schemas.openxmlformats.org/officeDocument/2006/relationships/hyperlink" Target="http://ufcstats.com/fight-details/6aea6d3e6944999c" TargetMode="External"/><Relationship Id="rId4219" Type="http://schemas.openxmlformats.org/officeDocument/2006/relationships/hyperlink" Target="http://ufcstats.com/fight-details/1f9a6f2120835615" TargetMode="External"/><Relationship Id="rId2184" Type="http://schemas.openxmlformats.org/officeDocument/2006/relationships/hyperlink" Target="http://ufcstats.com/fight-details/d4a309663a4da799" TargetMode="External"/><Relationship Id="rId3235" Type="http://schemas.openxmlformats.org/officeDocument/2006/relationships/hyperlink" Target="http://ufcstats.com/fight-details/eb0f7127f22457e9" TargetMode="External"/><Relationship Id="rId156" Type="http://schemas.openxmlformats.org/officeDocument/2006/relationships/hyperlink" Target="http://ufcstats.com/fight-details/2e001d8c2f6106fc" TargetMode="External"/><Relationship Id="rId570" Type="http://schemas.openxmlformats.org/officeDocument/2006/relationships/hyperlink" Target="http://ufcstats.com/fight-details/f2ac86cd3e863243" TargetMode="External"/><Relationship Id="rId2251" Type="http://schemas.openxmlformats.org/officeDocument/2006/relationships/hyperlink" Target="http://ufcstats.com/fight-details/13a8ddb1c3f55ed4" TargetMode="External"/><Relationship Id="rId3302" Type="http://schemas.openxmlformats.org/officeDocument/2006/relationships/hyperlink" Target="http://ufcstats.com/fight-details/405bded9cc7a7c15" TargetMode="External"/><Relationship Id="rId223" Type="http://schemas.openxmlformats.org/officeDocument/2006/relationships/hyperlink" Target="http://ufcstats.com/fight-details/4ce0a62cdad7bf32" TargetMode="External"/><Relationship Id="rId4076" Type="http://schemas.openxmlformats.org/officeDocument/2006/relationships/hyperlink" Target="http://ufcstats.com/fight-details/a41384da70013373" TargetMode="External"/><Relationship Id="rId1737" Type="http://schemas.openxmlformats.org/officeDocument/2006/relationships/hyperlink" Target="http://ufcstats.com/fight-details/81bb4d9b214adf4b" TargetMode="External"/><Relationship Id="rId3092" Type="http://schemas.openxmlformats.org/officeDocument/2006/relationships/hyperlink" Target="http://ufcstats.com/fight-details/59eea37af7efb06c" TargetMode="External"/><Relationship Id="rId4143" Type="http://schemas.openxmlformats.org/officeDocument/2006/relationships/hyperlink" Target="http://ufcstats.com/fight-details/e3acb789f7dcd34c" TargetMode="External"/><Relationship Id="rId29" Type="http://schemas.openxmlformats.org/officeDocument/2006/relationships/hyperlink" Target="http://ufcstats.com/fight-details/15aa55a91cf848cf" TargetMode="External"/><Relationship Id="rId4210" Type="http://schemas.openxmlformats.org/officeDocument/2006/relationships/hyperlink" Target="http://ufcstats.com/fight-details/d8945e21a63e2451" TargetMode="External"/><Relationship Id="rId1804" Type="http://schemas.openxmlformats.org/officeDocument/2006/relationships/hyperlink" Target="http://ufcstats.com/fight-details/7ce7075951c9aa31" TargetMode="External"/><Relationship Id="rId3976" Type="http://schemas.openxmlformats.org/officeDocument/2006/relationships/hyperlink" Target="http://ufcstats.com/fight-details/051124b25d576906" TargetMode="External"/><Relationship Id="rId897" Type="http://schemas.openxmlformats.org/officeDocument/2006/relationships/hyperlink" Target="http://ufcstats.com/fight-details/f3a60ca18747aeac" TargetMode="External"/><Relationship Id="rId2578" Type="http://schemas.openxmlformats.org/officeDocument/2006/relationships/hyperlink" Target="http://ufcstats.com/fight-details/a0a120c50d93f70a" TargetMode="External"/><Relationship Id="rId2992" Type="http://schemas.openxmlformats.org/officeDocument/2006/relationships/hyperlink" Target="http://ufcstats.com/fight-details/2ba11e0bf32829d6" TargetMode="External"/><Relationship Id="rId3629" Type="http://schemas.openxmlformats.org/officeDocument/2006/relationships/hyperlink" Target="http://ufcstats.com/fight-details/a69a6da9560ed62c" TargetMode="External"/><Relationship Id="rId964" Type="http://schemas.openxmlformats.org/officeDocument/2006/relationships/hyperlink" Target="http://ufcstats.com/fight-details/e322eae035f7c00f" TargetMode="External"/><Relationship Id="rId1594" Type="http://schemas.openxmlformats.org/officeDocument/2006/relationships/hyperlink" Target="http://ufcstats.com/fight-details/521a0e016878d174" TargetMode="External"/><Relationship Id="rId2645" Type="http://schemas.openxmlformats.org/officeDocument/2006/relationships/hyperlink" Target="http://ufcstats.com/fight-details/d5e927306f5d859b" TargetMode="External"/><Relationship Id="rId617" Type="http://schemas.openxmlformats.org/officeDocument/2006/relationships/hyperlink" Target="http://ufcstats.com/fight-details/70b8d357e89383bd" TargetMode="External"/><Relationship Id="rId1247" Type="http://schemas.openxmlformats.org/officeDocument/2006/relationships/hyperlink" Target="http://ufcstats.com/fight-details/ddb4376695f115b9" TargetMode="External"/><Relationship Id="rId1661" Type="http://schemas.openxmlformats.org/officeDocument/2006/relationships/hyperlink" Target="http://ufcstats.com/fight-details/424221c96ee13ceb" TargetMode="External"/><Relationship Id="rId2712" Type="http://schemas.openxmlformats.org/officeDocument/2006/relationships/hyperlink" Target="http://ufcstats.com/fight-details/f67aa0b16e16a9ea" TargetMode="External"/><Relationship Id="rId1314" Type="http://schemas.openxmlformats.org/officeDocument/2006/relationships/hyperlink" Target="http://ufcstats.com/fight-details/f0d4652f8edfbe6d" TargetMode="External"/><Relationship Id="rId3486" Type="http://schemas.openxmlformats.org/officeDocument/2006/relationships/hyperlink" Target="http://ufcstats.com/fight-details/e9eab0fa03eecd9b" TargetMode="External"/><Relationship Id="rId20" Type="http://schemas.openxmlformats.org/officeDocument/2006/relationships/hyperlink" Target="http://ufcstats.com/fight-details/962aab0abdd34173" TargetMode="External"/><Relationship Id="rId2088" Type="http://schemas.openxmlformats.org/officeDocument/2006/relationships/hyperlink" Target="http://ufcstats.com/fight-details/44c60f91b4f7b23d" TargetMode="External"/><Relationship Id="rId3139" Type="http://schemas.openxmlformats.org/officeDocument/2006/relationships/hyperlink" Target="http://ufcstats.com/fight-details/0b633295d9e017a3" TargetMode="External"/><Relationship Id="rId474" Type="http://schemas.openxmlformats.org/officeDocument/2006/relationships/hyperlink" Target="http://ufcstats.com/fight-details/bb881d4ee6dfbf86" TargetMode="External"/><Relationship Id="rId2155" Type="http://schemas.openxmlformats.org/officeDocument/2006/relationships/hyperlink" Target="http://ufcstats.com/fight-details/95d46f7a7e72f91c" TargetMode="External"/><Relationship Id="rId3553" Type="http://schemas.openxmlformats.org/officeDocument/2006/relationships/hyperlink" Target="http://ufcstats.com/fight-details/52bae6f01ea9f926" TargetMode="External"/><Relationship Id="rId127" Type="http://schemas.openxmlformats.org/officeDocument/2006/relationships/hyperlink" Target="http://ufcstats.com/fight-details/dc870fab1e0f15e1" TargetMode="External"/><Relationship Id="rId3206" Type="http://schemas.openxmlformats.org/officeDocument/2006/relationships/hyperlink" Target="http://ufcstats.com/fight-details/4c9bbd9758be1168" TargetMode="External"/><Relationship Id="rId3620" Type="http://schemas.openxmlformats.org/officeDocument/2006/relationships/hyperlink" Target="http://ufcstats.com/fight-details/342779192b116314" TargetMode="External"/><Relationship Id="rId541" Type="http://schemas.openxmlformats.org/officeDocument/2006/relationships/hyperlink" Target="http://ufcstats.com/fight-details/f4e262b04f4e94bd" TargetMode="External"/><Relationship Id="rId1171" Type="http://schemas.openxmlformats.org/officeDocument/2006/relationships/hyperlink" Target="http://ufcstats.com/fight-details/5a8f7afc5ea69537" TargetMode="External"/><Relationship Id="rId2222" Type="http://schemas.openxmlformats.org/officeDocument/2006/relationships/hyperlink" Target="http://ufcstats.com/fight-details/c64537874352793a" TargetMode="External"/><Relationship Id="rId1988" Type="http://schemas.openxmlformats.org/officeDocument/2006/relationships/hyperlink" Target="http://ufcstats.com/fight-details/682ff095649c9a5c" TargetMode="External"/><Relationship Id="rId4394" Type="http://schemas.openxmlformats.org/officeDocument/2006/relationships/hyperlink" Target="http://ufcstats.com/fight-details/e06f96f3484ad74a" TargetMode="External"/><Relationship Id="rId4047" Type="http://schemas.openxmlformats.org/officeDocument/2006/relationships/hyperlink" Target="http://ufcstats.com/fight-details/3ecccdab76baa59c" TargetMode="External"/><Relationship Id="rId3063" Type="http://schemas.openxmlformats.org/officeDocument/2006/relationships/hyperlink" Target="http://ufcstats.com/fight-details/d395828f5cb045a5" TargetMode="External"/><Relationship Id="rId4114" Type="http://schemas.openxmlformats.org/officeDocument/2006/relationships/hyperlink" Target="http://ufcstats.com/fight-details/904cf687d22bb486" TargetMode="External"/><Relationship Id="rId1708" Type="http://schemas.openxmlformats.org/officeDocument/2006/relationships/hyperlink" Target="http://ufcstats.com/fight-details/59695aae245cca73" TargetMode="External"/><Relationship Id="rId3130" Type="http://schemas.openxmlformats.org/officeDocument/2006/relationships/hyperlink" Target="http://ufcstats.com/fight-details/69bc7ca8ce831731" TargetMode="External"/><Relationship Id="rId2896" Type="http://schemas.openxmlformats.org/officeDocument/2006/relationships/hyperlink" Target="http://ufcstats.com/fight-details/65352221c0bfe52d" TargetMode="External"/><Relationship Id="rId3947" Type="http://schemas.openxmlformats.org/officeDocument/2006/relationships/hyperlink" Target="http://ufcstats.com/fight-details/2f414494f2b6f426" TargetMode="External"/><Relationship Id="rId868" Type="http://schemas.openxmlformats.org/officeDocument/2006/relationships/hyperlink" Target="http://ufcstats.com/fight-details/1114cd1515cf3b8f" TargetMode="External"/><Relationship Id="rId1498" Type="http://schemas.openxmlformats.org/officeDocument/2006/relationships/hyperlink" Target="http://ufcstats.com/fight-details/f73dfeb48b09e6a6" TargetMode="External"/><Relationship Id="rId2549" Type="http://schemas.openxmlformats.org/officeDocument/2006/relationships/hyperlink" Target="http://ufcstats.com/fight-details/dbca9f6bb7290c0d" TargetMode="External"/><Relationship Id="rId2963" Type="http://schemas.openxmlformats.org/officeDocument/2006/relationships/hyperlink" Target="http://ufcstats.com/fight-details/3cf3771274a4f8b1" TargetMode="External"/><Relationship Id="rId935" Type="http://schemas.openxmlformats.org/officeDocument/2006/relationships/hyperlink" Target="http://ufcstats.com/fight-details/ef4484943b1c68a9" TargetMode="External"/><Relationship Id="rId1565" Type="http://schemas.openxmlformats.org/officeDocument/2006/relationships/hyperlink" Target="http://ufcstats.com/fight-details/f990e8b2a08053db" TargetMode="External"/><Relationship Id="rId2616" Type="http://schemas.openxmlformats.org/officeDocument/2006/relationships/hyperlink" Target="http://ufcstats.com/fight-details/4911094a4ee26868" TargetMode="External"/><Relationship Id="rId1218" Type="http://schemas.openxmlformats.org/officeDocument/2006/relationships/hyperlink" Target="http://ufcstats.com/fight-details/c3af2b6ab1262fef" TargetMode="External"/><Relationship Id="rId1632" Type="http://schemas.openxmlformats.org/officeDocument/2006/relationships/hyperlink" Target="http://ufcstats.com/fight-details/f711b3ec6bc3c407" TargetMode="External"/><Relationship Id="rId3457" Type="http://schemas.openxmlformats.org/officeDocument/2006/relationships/hyperlink" Target="http://ufcstats.com/fight-details/15f48dd8cf8ae455" TargetMode="External"/><Relationship Id="rId3871" Type="http://schemas.openxmlformats.org/officeDocument/2006/relationships/hyperlink" Target="http://ufcstats.com/fight-details/fbbba3da4438cb04" TargetMode="External"/><Relationship Id="rId378" Type="http://schemas.openxmlformats.org/officeDocument/2006/relationships/hyperlink" Target="http://ufcstats.com/fight-details/110a49a43aafe044" TargetMode="External"/><Relationship Id="rId792" Type="http://schemas.openxmlformats.org/officeDocument/2006/relationships/hyperlink" Target="http://ufcstats.com/fight-details/2f9b9ef5f6833aa1" TargetMode="External"/><Relationship Id="rId2059" Type="http://schemas.openxmlformats.org/officeDocument/2006/relationships/hyperlink" Target="http://ufcstats.com/fight-details/849eb47d349f3fe4" TargetMode="External"/><Relationship Id="rId2473" Type="http://schemas.openxmlformats.org/officeDocument/2006/relationships/hyperlink" Target="http://ufcstats.com/fight-details/04f27a78e4ffce47" TargetMode="External"/><Relationship Id="rId3524" Type="http://schemas.openxmlformats.org/officeDocument/2006/relationships/hyperlink" Target="http://ufcstats.com/fight-details/b8b2cdf962cc65a0" TargetMode="External"/><Relationship Id="rId445" Type="http://schemas.openxmlformats.org/officeDocument/2006/relationships/hyperlink" Target="http://ufcstats.com/fight-details/a0ba726da4a50458" TargetMode="External"/><Relationship Id="rId1075" Type="http://schemas.openxmlformats.org/officeDocument/2006/relationships/hyperlink" Target="http://ufcstats.com/fight-details/36807d8a7ebc84a5" TargetMode="External"/><Relationship Id="rId2126" Type="http://schemas.openxmlformats.org/officeDocument/2006/relationships/hyperlink" Target="http://ufcstats.com/fight-details/ddd9e64d97b095f9" TargetMode="External"/><Relationship Id="rId2540" Type="http://schemas.openxmlformats.org/officeDocument/2006/relationships/hyperlink" Target="http://ufcstats.com/fight-details/dba710edbc3c29ff" TargetMode="External"/><Relationship Id="rId512" Type="http://schemas.openxmlformats.org/officeDocument/2006/relationships/hyperlink" Target="http://ufcstats.com/fight-details/464cc19d42446da9" TargetMode="External"/><Relationship Id="rId1142" Type="http://schemas.openxmlformats.org/officeDocument/2006/relationships/hyperlink" Target="http://ufcstats.com/fight-details/a679800d2e7c3be2" TargetMode="External"/><Relationship Id="rId4298" Type="http://schemas.openxmlformats.org/officeDocument/2006/relationships/hyperlink" Target="http://ufcstats.com/fight-details/d93b589bcec80ffe" TargetMode="External"/><Relationship Id="rId4365" Type="http://schemas.openxmlformats.org/officeDocument/2006/relationships/hyperlink" Target="http://ufcstats.com/fight-details/d45474993a750878" TargetMode="External"/><Relationship Id="rId1959" Type="http://schemas.openxmlformats.org/officeDocument/2006/relationships/hyperlink" Target="http://ufcstats.com/fight-details/5fceb95c29d929bc" TargetMode="External"/><Relationship Id="rId4018" Type="http://schemas.openxmlformats.org/officeDocument/2006/relationships/hyperlink" Target="http://ufcstats.com/fight-details/45de6d0b9cf5451c" TargetMode="External"/><Relationship Id="rId3381" Type="http://schemas.openxmlformats.org/officeDocument/2006/relationships/hyperlink" Target="http://ufcstats.com/fight-details/629c0eb319e01374" TargetMode="External"/><Relationship Id="rId4432" Type="http://schemas.openxmlformats.org/officeDocument/2006/relationships/hyperlink" Target="http://ufcstats.com/fight-details/0992795fd0fa06d0" TargetMode="External"/><Relationship Id="rId3034" Type="http://schemas.openxmlformats.org/officeDocument/2006/relationships/hyperlink" Target="http://ufcstats.com/fight-details/3c098e2946b4c824" TargetMode="External"/><Relationship Id="rId2050" Type="http://schemas.openxmlformats.org/officeDocument/2006/relationships/hyperlink" Target="http://ufcstats.com/fight-details/a3f89ad71e1caa81" TargetMode="External"/><Relationship Id="rId3101" Type="http://schemas.openxmlformats.org/officeDocument/2006/relationships/hyperlink" Target="http://ufcstats.com/fight-details/6cd44e1b2d093ea4" TargetMode="External"/><Relationship Id="rId839" Type="http://schemas.openxmlformats.org/officeDocument/2006/relationships/hyperlink" Target="http://ufcstats.com/fight-details/0d41a3fa5efef91b" TargetMode="External"/><Relationship Id="rId1469" Type="http://schemas.openxmlformats.org/officeDocument/2006/relationships/hyperlink" Target="http://ufcstats.com/fight-details/b6bd31215bd7ec1f" TargetMode="External"/><Relationship Id="rId2867" Type="http://schemas.openxmlformats.org/officeDocument/2006/relationships/hyperlink" Target="http://ufcstats.com/fight-details/4e9d76ed54f1f352" TargetMode="External"/><Relationship Id="rId3918" Type="http://schemas.openxmlformats.org/officeDocument/2006/relationships/hyperlink" Target="http://ufcstats.com/fight-details/b87ac039e3b13940" TargetMode="External"/><Relationship Id="rId1883" Type="http://schemas.openxmlformats.org/officeDocument/2006/relationships/hyperlink" Target="http://ufcstats.com/fight-details/9cdfcd164b48f55e" TargetMode="External"/><Relationship Id="rId2934" Type="http://schemas.openxmlformats.org/officeDocument/2006/relationships/hyperlink" Target="http://ufcstats.com/fight-details/85feac6924abb35b" TargetMode="External"/><Relationship Id="rId906" Type="http://schemas.openxmlformats.org/officeDocument/2006/relationships/hyperlink" Target="http://ufcstats.com/fight-details/5cd1869013741767" TargetMode="External"/><Relationship Id="rId1536" Type="http://schemas.openxmlformats.org/officeDocument/2006/relationships/hyperlink" Target="http://ufcstats.com/fight-details/8e7b2d62f834b417" TargetMode="External"/><Relationship Id="rId1950" Type="http://schemas.openxmlformats.org/officeDocument/2006/relationships/hyperlink" Target="http://ufcstats.com/fight-details/e8d3768f293a699b" TargetMode="External"/><Relationship Id="rId1603" Type="http://schemas.openxmlformats.org/officeDocument/2006/relationships/hyperlink" Target="http://ufcstats.com/fight-details/ca2672e68fedf4b7" TargetMode="External"/><Relationship Id="rId3775" Type="http://schemas.openxmlformats.org/officeDocument/2006/relationships/hyperlink" Target="http://ufcstats.com/fight-details/caf3ca7fc0195412" TargetMode="External"/><Relationship Id="rId696" Type="http://schemas.openxmlformats.org/officeDocument/2006/relationships/hyperlink" Target="http://ufcstats.com/fight-details/1b4374c9d7e5139c" TargetMode="External"/><Relationship Id="rId2377" Type="http://schemas.openxmlformats.org/officeDocument/2006/relationships/hyperlink" Target="http://ufcstats.com/fight-details/a637cd1012af870f" TargetMode="External"/><Relationship Id="rId2791" Type="http://schemas.openxmlformats.org/officeDocument/2006/relationships/hyperlink" Target="http://ufcstats.com/fight-details/d564e3a6c77d0c85" TargetMode="External"/><Relationship Id="rId3428" Type="http://schemas.openxmlformats.org/officeDocument/2006/relationships/hyperlink" Target="http://ufcstats.com/fight-details/f680e6ebe3bdfe3e" TargetMode="External"/><Relationship Id="rId349" Type="http://schemas.openxmlformats.org/officeDocument/2006/relationships/hyperlink" Target="http://ufcstats.com/fight-details/151c597d2e609a4e" TargetMode="External"/><Relationship Id="rId763" Type="http://schemas.openxmlformats.org/officeDocument/2006/relationships/hyperlink" Target="http://ufcstats.com/fight-details/d3255f2b8ef2b559" TargetMode="External"/><Relationship Id="rId1393" Type="http://schemas.openxmlformats.org/officeDocument/2006/relationships/hyperlink" Target="http://ufcstats.com/fight-details/53b480b44b0b51f1" TargetMode="External"/><Relationship Id="rId2444" Type="http://schemas.openxmlformats.org/officeDocument/2006/relationships/hyperlink" Target="http://ufcstats.com/fight-details/226c6a86f4f81122" TargetMode="External"/><Relationship Id="rId3842" Type="http://schemas.openxmlformats.org/officeDocument/2006/relationships/hyperlink" Target="http://ufcstats.com/fight-details/e3a5a7ede88a2555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://ufcstats.com/fight-details/dfc8c5161ea0ccb5" TargetMode="External"/><Relationship Id="rId21" Type="http://schemas.openxmlformats.org/officeDocument/2006/relationships/hyperlink" Target="http://ufcstats.com/fight-details/b302e12550278ffd" TargetMode="External"/><Relationship Id="rId42" Type="http://schemas.openxmlformats.org/officeDocument/2006/relationships/hyperlink" Target="http://ufcstats.com/fight-details/d042d18ad568190a" TargetMode="External"/><Relationship Id="rId63" Type="http://schemas.openxmlformats.org/officeDocument/2006/relationships/hyperlink" Target="http://ufcstats.com/fight-details/db49619221b282af" TargetMode="External"/><Relationship Id="rId84" Type="http://schemas.openxmlformats.org/officeDocument/2006/relationships/hyperlink" Target="http://ufcstats.com/fight-details/ceaae1db8ccde29c" TargetMode="External"/><Relationship Id="rId138" Type="http://schemas.openxmlformats.org/officeDocument/2006/relationships/hyperlink" Target="http://ufcstats.com/fight-details/0aad210fbaa1db6c" TargetMode="External"/><Relationship Id="rId159" Type="http://schemas.openxmlformats.org/officeDocument/2006/relationships/hyperlink" Target="http://ufcstats.com/fight-details/34d2632fd26e7078" TargetMode="External"/><Relationship Id="rId170" Type="http://schemas.openxmlformats.org/officeDocument/2006/relationships/hyperlink" Target="http://ufcstats.com/fight-details/4403857f545ede75" TargetMode="External"/><Relationship Id="rId191" Type="http://schemas.openxmlformats.org/officeDocument/2006/relationships/hyperlink" Target="http://ufcstats.com/fight-details/06c124a55f77a7a5" TargetMode="External"/><Relationship Id="rId107" Type="http://schemas.openxmlformats.org/officeDocument/2006/relationships/hyperlink" Target="http://ufcstats.com/fight-details/eaa63c8fb9379426" TargetMode="External"/><Relationship Id="rId11" Type="http://schemas.openxmlformats.org/officeDocument/2006/relationships/hyperlink" Target="http://ufcstats.com/fight-details/1f0d4572e0facbea" TargetMode="External"/><Relationship Id="rId32" Type="http://schemas.openxmlformats.org/officeDocument/2006/relationships/hyperlink" Target="http://ufcstats.com/fight-details/4896b36f1333d25c" TargetMode="External"/><Relationship Id="rId53" Type="http://schemas.openxmlformats.org/officeDocument/2006/relationships/hyperlink" Target="http://ufcstats.com/fight-details/6921344f8e706d0f" TargetMode="External"/><Relationship Id="rId74" Type="http://schemas.openxmlformats.org/officeDocument/2006/relationships/hyperlink" Target="http://ufcstats.com/fight-details/8fcdfee81cc604e3" TargetMode="External"/><Relationship Id="rId128" Type="http://schemas.openxmlformats.org/officeDocument/2006/relationships/hyperlink" Target="http://ufcstats.com/fight-details/ecb4534c0066c5f3" TargetMode="External"/><Relationship Id="rId149" Type="http://schemas.openxmlformats.org/officeDocument/2006/relationships/hyperlink" Target="http://ufcstats.com/fight-details/4960379abe6ed525" TargetMode="External"/><Relationship Id="rId5" Type="http://schemas.openxmlformats.org/officeDocument/2006/relationships/hyperlink" Target="http://ufcstats.com/fight-details/25e6b11e1cf45b83" TargetMode="External"/><Relationship Id="rId95" Type="http://schemas.openxmlformats.org/officeDocument/2006/relationships/hyperlink" Target="http://ufcstats.com/fight-details/1d7015553debd1c8" TargetMode="External"/><Relationship Id="rId160" Type="http://schemas.openxmlformats.org/officeDocument/2006/relationships/hyperlink" Target="http://ufcstats.com/fight-details/05cceae674c81b86" TargetMode="External"/><Relationship Id="rId181" Type="http://schemas.openxmlformats.org/officeDocument/2006/relationships/hyperlink" Target="http://ufcstats.com/fight-details/9fc85aef42733a16" TargetMode="External"/><Relationship Id="rId22" Type="http://schemas.openxmlformats.org/officeDocument/2006/relationships/hyperlink" Target="http://ufcstats.com/fight-details/bec3154a11df3299" TargetMode="External"/><Relationship Id="rId43" Type="http://schemas.openxmlformats.org/officeDocument/2006/relationships/hyperlink" Target="http://ufcstats.com/fight-details/6c2097664ac1bf16" TargetMode="External"/><Relationship Id="rId64" Type="http://schemas.openxmlformats.org/officeDocument/2006/relationships/hyperlink" Target="http://ufcstats.com/fight-details/bf732e22055e8634" TargetMode="External"/><Relationship Id="rId118" Type="http://schemas.openxmlformats.org/officeDocument/2006/relationships/hyperlink" Target="http://ufcstats.com/fight-details/b80ef7cdc36ab48b" TargetMode="External"/><Relationship Id="rId139" Type="http://schemas.openxmlformats.org/officeDocument/2006/relationships/hyperlink" Target="http://ufcstats.com/fight-details/69c06be4f87ccdab" TargetMode="External"/><Relationship Id="rId85" Type="http://schemas.openxmlformats.org/officeDocument/2006/relationships/hyperlink" Target="http://ufcstats.com/fight-details/5ab286735ccee803" TargetMode="External"/><Relationship Id="rId150" Type="http://schemas.openxmlformats.org/officeDocument/2006/relationships/hyperlink" Target="http://ufcstats.com/fight-details/79817ab0129c5598" TargetMode="External"/><Relationship Id="rId171" Type="http://schemas.openxmlformats.org/officeDocument/2006/relationships/hyperlink" Target="http://ufcstats.com/fight-details/6ab9d2d334f613c8" TargetMode="External"/><Relationship Id="rId192" Type="http://schemas.openxmlformats.org/officeDocument/2006/relationships/hyperlink" Target="http://ufcstats.com/fight-details/43a941e005a2d463" TargetMode="External"/><Relationship Id="rId12" Type="http://schemas.openxmlformats.org/officeDocument/2006/relationships/hyperlink" Target="http://ufcstats.com/fight-details/4e77cc2c8d604241" TargetMode="External"/><Relationship Id="rId33" Type="http://schemas.openxmlformats.org/officeDocument/2006/relationships/hyperlink" Target="http://ufcstats.com/fight-details/cddd3d4febe097f8" TargetMode="External"/><Relationship Id="rId108" Type="http://schemas.openxmlformats.org/officeDocument/2006/relationships/hyperlink" Target="http://ufcstats.com/fight-details/318460613b6018e9" TargetMode="External"/><Relationship Id="rId129" Type="http://schemas.openxmlformats.org/officeDocument/2006/relationships/hyperlink" Target="http://ufcstats.com/fight-details/f70c817388602681" TargetMode="External"/><Relationship Id="rId54" Type="http://schemas.openxmlformats.org/officeDocument/2006/relationships/hyperlink" Target="http://ufcstats.com/fight-details/636fd144716a3084" TargetMode="External"/><Relationship Id="rId75" Type="http://schemas.openxmlformats.org/officeDocument/2006/relationships/hyperlink" Target="http://ufcstats.com/fight-details/f5de8b2c81e91129" TargetMode="External"/><Relationship Id="rId96" Type="http://schemas.openxmlformats.org/officeDocument/2006/relationships/hyperlink" Target="http://ufcstats.com/fight-details/59eea37af7efb06c" TargetMode="External"/><Relationship Id="rId140" Type="http://schemas.openxmlformats.org/officeDocument/2006/relationships/hyperlink" Target="http://ufcstats.com/fight-details/08af25ef4252b138" TargetMode="External"/><Relationship Id="rId161" Type="http://schemas.openxmlformats.org/officeDocument/2006/relationships/hyperlink" Target="http://ufcstats.com/fight-details/7233b2a56438d77a" TargetMode="External"/><Relationship Id="rId182" Type="http://schemas.openxmlformats.org/officeDocument/2006/relationships/hyperlink" Target="http://ufcstats.com/fight-details/f8b9b5ee3d4a8ac3" TargetMode="External"/><Relationship Id="rId6" Type="http://schemas.openxmlformats.org/officeDocument/2006/relationships/hyperlink" Target="http://ufcstats.com/fight-details/9c884cbc3791bf60" TargetMode="External"/><Relationship Id="rId23" Type="http://schemas.openxmlformats.org/officeDocument/2006/relationships/hyperlink" Target="http://ufcstats.com/fight-details/9ed0c3acc436eb56" TargetMode="External"/><Relationship Id="rId119" Type="http://schemas.openxmlformats.org/officeDocument/2006/relationships/hyperlink" Target="http://ufcstats.com/fight-details/f079cb2db8dbbf04" TargetMode="External"/><Relationship Id="rId44" Type="http://schemas.openxmlformats.org/officeDocument/2006/relationships/hyperlink" Target="http://ufcstats.com/fight-details/0462bcc27498f7c4" TargetMode="External"/><Relationship Id="rId65" Type="http://schemas.openxmlformats.org/officeDocument/2006/relationships/hyperlink" Target="http://ufcstats.com/fight-details/05c8aeb2806be99c" TargetMode="External"/><Relationship Id="rId86" Type="http://schemas.openxmlformats.org/officeDocument/2006/relationships/hyperlink" Target="http://ufcstats.com/fight-details/919fb76d2f3e5827" TargetMode="External"/><Relationship Id="rId130" Type="http://schemas.openxmlformats.org/officeDocument/2006/relationships/hyperlink" Target="http://ufcstats.com/fight-details/82177c0f91d9618a" TargetMode="External"/><Relationship Id="rId151" Type="http://schemas.openxmlformats.org/officeDocument/2006/relationships/hyperlink" Target="http://ufcstats.com/fight-details/fd92fe0c494d0959" TargetMode="External"/><Relationship Id="rId172" Type="http://schemas.openxmlformats.org/officeDocument/2006/relationships/hyperlink" Target="http://ufcstats.com/fight-details/391d458db6dae33b" TargetMode="External"/><Relationship Id="rId13" Type="http://schemas.openxmlformats.org/officeDocument/2006/relationships/hyperlink" Target="http://ufcstats.com/fight-details/cf4199c8517bc1fd" TargetMode="External"/><Relationship Id="rId18" Type="http://schemas.openxmlformats.org/officeDocument/2006/relationships/hyperlink" Target="http://ufcstats.com/fight-details/18f1b88d8977c216" TargetMode="External"/><Relationship Id="rId39" Type="http://schemas.openxmlformats.org/officeDocument/2006/relationships/hyperlink" Target="http://ufcstats.com/fight-details/4dc5039b21013b3a" TargetMode="External"/><Relationship Id="rId109" Type="http://schemas.openxmlformats.org/officeDocument/2006/relationships/hyperlink" Target="http://ufcstats.com/fight-details/812ff38f0ed409ca" TargetMode="External"/><Relationship Id="rId34" Type="http://schemas.openxmlformats.org/officeDocument/2006/relationships/hyperlink" Target="http://ufcstats.com/fight-details/02822c35ffef5a50" TargetMode="External"/><Relationship Id="rId50" Type="http://schemas.openxmlformats.org/officeDocument/2006/relationships/hyperlink" Target="http://ufcstats.com/fight-details/19df0d0cb1269fa7" TargetMode="External"/><Relationship Id="rId55" Type="http://schemas.openxmlformats.org/officeDocument/2006/relationships/hyperlink" Target="http://ufcstats.com/fight-details/e9700d51ec2b940b" TargetMode="External"/><Relationship Id="rId76" Type="http://schemas.openxmlformats.org/officeDocument/2006/relationships/hyperlink" Target="http://ufcstats.com/fight-details/dde7d29cc443e263" TargetMode="External"/><Relationship Id="rId97" Type="http://schemas.openxmlformats.org/officeDocument/2006/relationships/hyperlink" Target="http://ufcstats.com/fight-details/523815acf1bb2420" TargetMode="External"/><Relationship Id="rId104" Type="http://schemas.openxmlformats.org/officeDocument/2006/relationships/hyperlink" Target="http://ufcstats.com/fight-details/ca8f73d038c4d6e7" TargetMode="External"/><Relationship Id="rId120" Type="http://schemas.openxmlformats.org/officeDocument/2006/relationships/hyperlink" Target="http://ufcstats.com/fight-details/3fa8ee3fdc04fe36" TargetMode="External"/><Relationship Id="rId125" Type="http://schemas.openxmlformats.org/officeDocument/2006/relationships/hyperlink" Target="http://ufcstats.com/fight-details/c67e5fec8e1876f0" TargetMode="External"/><Relationship Id="rId141" Type="http://schemas.openxmlformats.org/officeDocument/2006/relationships/hyperlink" Target="http://ufcstats.com/fight-details/3454f5c7203467aa" TargetMode="External"/><Relationship Id="rId146" Type="http://schemas.openxmlformats.org/officeDocument/2006/relationships/hyperlink" Target="http://ufcstats.com/fight-details/279b4190d9ef1379" TargetMode="External"/><Relationship Id="rId167" Type="http://schemas.openxmlformats.org/officeDocument/2006/relationships/hyperlink" Target="http://ufcstats.com/fight-details/845e38dfbfea6e53" TargetMode="External"/><Relationship Id="rId188" Type="http://schemas.openxmlformats.org/officeDocument/2006/relationships/hyperlink" Target="http://ufcstats.com/fight-details/480aca1906276700" TargetMode="External"/><Relationship Id="rId7" Type="http://schemas.openxmlformats.org/officeDocument/2006/relationships/hyperlink" Target="http://ufcstats.com/fight-details/15c9cb5f9320c555" TargetMode="External"/><Relationship Id="rId71" Type="http://schemas.openxmlformats.org/officeDocument/2006/relationships/hyperlink" Target="http://ufcstats.com/fight-details/9444cfe0c7c0f6a7" TargetMode="External"/><Relationship Id="rId92" Type="http://schemas.openxmlformats.org/officeDocument/2006/relationships/hyperlink" Target="http://ufcstats.com/fight-details/81f287d035190506" TargetMode="External"/><Relationship Id="rId162" Type="http://schemas.openxmlformats.org/officeDocument/2006/relationships/hyperlink" Target="http://ufcstats.com/fight-details/a69afe4a88c0ca12" TargetMode="External"/><Relationship Id="rId183" Type="http://schemas.openxmlformats.org/officeDocument/2006/relationships/hyperlink" Target="http://ufcstats.com/fight-details/5934de85b9c53e7c" TargetMode="External"/><Relationship Id="rId2" Type="http://schemas.openxmlformats.org/officeDocument/2006/relationships/hyperlink" Target="http://ufcstats.com/fight-details/9a8964b148cb5923" TargetMode="External"/><Relationship Id="rId29" Type="http://schemas.openxmlformats.org/officeDocument/2006/relationships/hyperlink" Target="http://ufcstats.com/fight-details/0f24f3bc1b39ea45" TargetMode="External"/><Relationship Id="rId24" Type="http://schemas.openxmlformats.org/officeDocument/2006/relationships/hyperlink" Target="http://ufcstats.com/fight-details/4b12a4b48755cd6b" TargetMode="External"/><Relationship Id="rId40" Type="http://schemas.openxmlformats.org/officeDocument/2006/relationships/hyperlink" Target="http://ufcstats.com/fight-details/0f51869f98afa6c0" TargetMode="External"/><Relationship Id="rId45" Type="http://schemas.openxmlformats.org/officeDocument/2006/relationships/hyperlink" Target="http://ufcstats.com/fight-details/e786542667fdecf0" TargetMode="External"/><Relationship Id="rId66" Type="http://schemas.openxmlformats.org/officeDocument/2006/relationships/hyperlink" Target="http://ufcstats.com/fight-details/87126427cfcaee52" TargetMode="External"/><Relationship Id="rId87" Type="http://schemas.openxmlformats.org/officeDocument/2006/relationships/hyperlink" Target="http://ufcstats.com/fight-details/ea8eaf881d38713e" TargetMode="External"/><Relationship Id="rId110" Type="http://schemas.openxmlformats.org/officeDocument/2006/relationships/hyperlink" Target="http://ufcstats.com/fight-details/2556b7520536ce1d" TargetMode="External"/><Relationship Id="rId115" Type="http://schemas.openxmlformats.org/officeDocument/2006/relationships/hyperlink" Target="http://ufcstats.com/fight-details/d361b51952944a26" TargetMode="External"/><Relationship Id="rId131" Type="http://schemas.openxmlformats.org/officeDocument/2006/relationships/hyperlink" Target="http://ufcstats.com/fight-details/b66ac52bfb217761" TargetMode="External"/><Relationship Id="rId136" Type="http://schemas.openxmlformats.org/officeDocument/2006/relationships/hyperlink" Target="http://ufcstats.com/fight-details/36fcfd186a8d6df7" TargetMode="External"/><Relationship Id="rId157" Type="http://schemas.openxmlformats.org/officeDocument/2006/relationships/hyperlink" Target="http://ufcstats.com/fight-details/2f1f16c86a8cc6e2" TargetMode="External"/><Relationship Id="rId178" Type="http://schemas.openxmlformats.org/officeDocument/2006/relationships/hyperlink" Target="http://ufcstats.com/fight-details/85b5d59f8eea976a" TargetMode="External"/><Relationship Id="rId61" Type="http://schemas.openxmlformats.org/officeDocument/2006/relationships/hyperlink" Target="http://ufcstats.com/fight-details/2208b9f471a201d9" TargetMode="External"/><Relationship Id="rId82" Type="http://schemas.openxmlformats.org/officeDocument/2006/relationships/hyperlink" Target="http://ufcstats.com/fight-details/b1f2ec122beda7a5" TargetMode="External"/><Relationship Id="rId152" Type="http://schemas.openxmlformats.org/officeDocument/2006/relationships/hyperlink" Target="http://ufcstats.com/fight-details/b395c89e19a3fec4" TargetMode="External"/><Relationship Id="rId173" Type="http://schemas.openxmlformats.org/officeDocument/2006/relationships/hyperlink" Target="http://ufcstats.com/fight-details/357cf8a9b6737625" TargetMode="External"/><Relationship Id="rId19" Type="http://schemas.openxmlformats.org/officeDocument/2006/relationships/hyperlink" Target="http://ufcstats.com/fight-details/efc40ec41114d8fa" TargetMode="External"/><Relationship Id="rId14" Type="http://schemas.openxmlformats.org/officeDocument/2006/relationships/hyperlink" Target="http://ufcstats.com/fight-details/f963d716384153ff" TargetMode="External"/><Relationship Id="rId30" Type="http://schemas.openxmlformats.org/officeDocument/2006/relationships/hyperlink" Target="http://ufcstats.com/fight-details/f2ca358ea9bec156" TargetMode="External"/><Relationship Id="rId35" Type="http://schemas.openxmlformats.org/officeDocument/2006/relationships/hyperlink" Target="http://ufcstats.com/fight-details/4496c2fa6aaccba6" TargetMode="External"/><Relationship Id="rId56" Type="http://schemas.openxmlformats.org/officeDocument/2006/relationships/hyperlink" Target="http://ufcstats.com/fight-details/93f1b09aa792405e" TargetMode="External"/><Relationship Id="rId77" Type="http://schemas.openxmlformats.org/officeDocument/2006/relationships/hyperlink" Target="http://ufcstats.com/fight-details/7de9867b7cc2b1b1" TargetMode="External"/><Relationship Id="rId100" Type="http://schemas.openxmlformats.org/officeDocument/2006/relationships/hyperlink" Target="http://ufcstats.com/fight-details/3eea92e7f26fb05b" TargetMode="External"/><Relationship Id="rId105" Type="http://schemas.openxmlformats.org/officeDocument/2006/relationships/hyperlink" Target="http://ufcstats.com/fight-details/6cd44e1b2d093ea4" TargetMode="External"/><Relationship Id="rId126" Type="http://schemas.openxmlformats.org/officeDocument/2006/relationships/hyperlink" Target="http://ufcstats.com/fight-details/6a5eb525331fa1fc" TargetMode="External"/><Relationship Id="rId147" Type="http://schemas.openxmlformats.org/officeDocument/2006/relationships/hyperlink" Target="http://ufcstats.com/fight-details/252074c8554bf30d" TargetMode="External"/><Relationship Id="rId168" Type="http://schemas.openxmlformats.org/officeDocument/2006/relationships/hyperlink" Target="http://ufcstats.com/fight-details/829b3ee4145a1ae6" TargetMode="External"/><Relationship Id="rId8" Type="http://schemas.openxmlformats.org/officeDocument/2006/relationships/hyperlink" Target="http://ufcstats.com/fight-details/de32c5a78aaf89e9" TargetMode="External"/><Relationship Id="rId51" Type="http://schemas.openxmlformats.org/officeDocument/2006/relationships/hyperlink" Target="http://ufcstats.com/fight-details/fccedc456048216b" TargetMode="External"/><Relationship Id="rId72" Type="http://schemas.openxmlformats.org/officeDocument/2006/relationships/hyperlink" Target="http://ufcstats.com/fight-details/eb6f80ccaf2a3dbc" TargetMode="External"/><Relationship Id="rId93" Type="http://schemas.openxmlformats.org/officeDocument/2006/relationships/hyperlink" Target="http://ufcstats.com/fight-details/bb9020ac324fb706" TargetMode="External"/><Relationship Id="rId98" Type="http://schemas.openxmlformats.org/officeDocument/2006/relationships/hyperlink" Target="http://ufcstats.com/fight-details/b22eab3aa1522f40" TargetMode="External"/><Relationship Id="rId121" Type="http://schemas.openxmlformats.org/officeDocument/2006/relationships/hyperlink" Target="http://ufcstats.com/fight-details/31b3ae9352d9389b" TargetMode="External"/><Relationship Id="rId142" Type="http://schemas.openxmlformats.org/officeDocument/2006/relationships/hyperlink" Target="http://ufcstats.com/fight-details/135760b07e1fb79b" TargetMode="External"/><Relationship Id="rId163" Type="http://schemas.openxmlformats.org/officeDocument/2006/relationships/hyperlink" Target="http://ufcstats.com/fight-details/9d61012a6020516e" TargetMode="External"/><Relationship Id="rId184" Type="http://schemas.openxmlformats.org/officeDocument/2006/relationships/hyperlink" Target="http://ufcstats.com/fight-details/1901d27ea35ae733" TargetMode="External"/><Relationship Id="rId189" Type="http://schemas.openxmlformats.org/officeDocument/2006/relationships/hyperlink" Target="http://ufcstats.com/fight-details/431e7931d8be8b5d" TargetMode="External"/><Relationship Id="rId3" Type="http://schemas.openxmlformats.org/officeDocument/2006/relationships/hyperlink" Target="http://ufcstats.com/fight-details/c4938baf92d2dc31" TargetMode="External"/><Relationship Id="rId25" Type="http://schemas.openxmlformats.org/officeDocument/2006/relationships/hyperlink" Target="http://ufcstats.com/fight-details/21f7fc538ea646e8" TargetMode="External"/><Relationship Id="rId46" Type="http://schemas.openxmlformats.org/officeDocument/2006/relationships/hyperlink" Target="http://ufcstats.com/fight-details/3bdacc82209b33f5" TargetMode="External"/><Relationship Id="rId67" Type="http://schemas.openxmlformats.org/officeDocument/2006/relationships/hyperlink" Target="http://ufcstats.com/fight-details/d395828f5cb045a5" TargetMode="External"/><Relationship Id="rId116" Type="http://schemas.openxmlformats.org/officeDocument/2006/relationships/hyperlink" Target="http://ufcstats.com/fight-details/c483ac06b1e33c3b" TargetMode="External"/><Relationship Id="rId137" Type="http://schemas.openxmlformats.org/officeDocument/2006/relationships/hyperlink" Target="http://ufcstats.com/fight-details/60c62fb7bd17a8b3" TargetMode="External"/><Relationship Id="rId158" Type="http://schemas.openxmlformats.org/officeDocument/2006/relationships/hyperlink" Target="http://ufcstats.com/fight-details/4127b45c3d546eef" TargetMode="External"/><Relationship Id="rId20" Type="http://schemas.openxmlformats.org/officeDocument/2006/relationships/hyperlink" Target="http://ufcstats.com/fight-details/c4704eab5e2f51b8" TargetMode="External"/><Relationship Id="rId41" Type="http://schemas.openxmlformats.org/officeDocument/2006/relationships/hyperlink" Target="http://ufcstats.com/fight-details/f63961f9d14bc33d" TargetMode="External"/><Relationship Id="rId62" Type="http://schemas.openxmlformats.org/officeDocument/2006/relationships/hyperlink" Target="http://ufcstats.com/fight-details/5a1ce88ec1f75160" TargetMode="External"/><Relationship Id="rId83" Type="http://schemas.openxmlformats.org/officeDocument/2006/relationships/hyperlink" Target="http://ufcstats.com/fight-details/4c12c9085200121f" TargetMode="External"/><Relationship Id="rId88" Type="http://schemas.openxmlformats.org/officeDocument/2006/relationships/hyperlink" Target="http://ufcstats.com/fight-details/530fb0d1a26fc57a" TargetMode="External"/><Relationship Id="rId111" Type="http://schemas.openxmlformats.org/officeDocument/2006/relationships/hyperlink" Target="http://ufcstats.com/fight-details/fd76b75c28dc247a" TargetMode="External"/><Relationship Id="rId132" Type="http://schemas.openxmlformats.org/officeDocument/2006/relationships/hyperlink" Target="http://ufcstats.com/fight-details/cb16346d93746ebc" TargetMode="External"/><Relationship Id="rId153" Type="http://schemas.openxmlformats.org/officeDocument/2006/relationships/hyperlink" Target="http://ufcstats.com/fight-details/049ad6d87b42eba8" TargetMode="External"/><Relationship Id="rId174" Type="http://schemas.openxmlformats.org/officeDocument/2006/relationships/hyperlink" Target="http://ufcstats.com/fight-details/6d8da45352344964" TargetMode="External"/><Relationship Id="rId179" Type="http://schemas.openxmlformats.org/officeDocument/2006/relationships/hyperlink" Target="http://ufcstats.com/fight-details/d4e3baff532df842" TargetMode="External"/><Relationship Id="rId190" Type="http://schemas.openxmlformats.org/officeDocument/2006/relationships/hyperlink" Target="http://ufcstats.com/fight-details/0cbeda449bc94af7" TargetMode="External"/><Relationship Id="rId15" Type="http://schemas.openxmlformats.org/officeDocument/2006/relationships/hyperlink" Target="http://ufcstats.com/fight-details/0f9be7ac405772f8" TargetMode="External"/><Relationship Id="rId36" Type="http://schemas.openxmlformats.org/officeDocument/2006/relationships/hyperlink" Target="http://ufcstats.com/fight-details/85511ab7fd9ed061" TargetMode="External"/><Relationship Id="rId57" Type="http://schemas.openxmlformats.org/officeDocument/2006/relationships/hyperlink" Target="http://ufcstats.com/fight-details/18edff5447989b3f" TargetMode="External"/><Relationship Id="rId106" Type="http://schemas.openxmlformats.org/officeDocument/2006/relationships/hyperlink" Target="http://ufcstats.com/fight-details/b46f2f007b622bce" TargetMode="External"/><Relationship Id="rId127" Type="http://schemas.openxmlformats.org/officeDocument/2006/relationships/hyperlink" Target="http://ufcstats.com/fight-details/be94e5b7a35ce5f2" TargetMode="External"/><Relationship Id="rId10" Type="http://schemas.openxmlformats.org/officeDocument/2006/relationships/hyperlink" Target="http://ufcstats.com/fight-details/b3a304eadb9f7fb4" TargetMode="External"/><Relationship Id="rId31" Type="http://schemas.openxmlformats.org/officeDocument/2006/relationships/hyperlink" Target="http://ufcstats.com/fight-details/3f419fce8ba8aa0e" TargetMode="External"/><Relationship Id="rId52" Type="http://schemas.openxmlformats.org/officeDocument/2006/relationships/hyperlink" Target="http://ufcstats.com/fight-details/b1eff235241e719b" TargetMode="External"/><Relationship Id="rId73" Type="http://schemas.openxmlformats.org/officeDocument/2006/relationships/hyperlink" Target="http://ufcstats.com/fight-details/3c3a9c1ec0604fc2" TargetMode="External"/><Relationship Id="rId78" Type="http://schemas.openxmlformats.org/officeDocument/2006/relationships/hyperlink" Target="http://ufcstats.com/fight-details/fae99a4089f8abb0" TargetMode="External"/><Relationship Id="rId94" Type="http://schemas.openxmlformats.org/officeDocument/2006/relationships/hyperlink" Target="http://ufcstats.com/fight-details/fef29aa73bd5b907" TargetMode="External"/><Relationship Id="rId99" Type="http://schemas.openxmlformats.org/officeDocument/2006/relationships/hyperlink" Target="http://ufcstats.com/fight-details/01a4827b3596d111" TargetMode="External"/><Relationship Id="rId101" Type="http://schemas.openxmlformats.org/officeDocument/2006/relationships/hyperlink" Target="http://ufcstats.com/fight-details/14e53999507c76a7" TargetMode="External"/><Relationship Id="rId122" Type="http://schemas.openxmlformats.org/officeDocument/2006/relationships/hyperlink" Target="http://ufcstats.com/fight-details/d292243c6499b2fe" TargetMode="External"/><Relationship Id="rId143" Type="http://schemas.openxmlformats.org/officeDocument/2006/relationships/hyperlink" Target="http://ufcstats.com/fight-details/0b633295d9e017a3" TargetMode="External"/><Relationship Id="rId148" Type="http://schemas.openxmlformats.org/officeDocument/2006/relationships/hyperlink" Target="http://ufcstats.com/fight-details/3278e45b30f7dd33" TargetMode="External"/><Relationship Id="rId164" Type="http://schemas.openxmlformats.org/officeDocument/2006/relationships/hyperlink" Target="http://ufcstats.com/fight-details/19722043e7eb4e39" TargetMode="External"/><Relationship Id="rId169" Type="http://schemas.openxmlformats.org/officeDocument/2006/relationships/hyperlink" Target="http://ufcstats.com/fight-details/0fd8214ac276728e" TargetMode="External"/><Relationship Id="rId185" Type="http://schemas.openxmlformats.org/officeDocument/2006/relationships/hyperlink" Target="http://ufcstats.com/fight-details/1d8e2e8e3bd28cad" TargetMode="External"/><Relationship Id="rId4" Type="http://schemas.openxmlformats.org/officeDocument/2006/relationships/hyperlink" Target="http://ufcstats.com/fight-details/894c44c3d04aaf6f" TargetMode="External"/><Relationship Id="rId9" Type="http://schemas.openxmlformats.org/officeDocument/2006/relationships/hyperlink" Target="http://ufcstats.com/fight-details/ee796ecb4ee8680b" TargetMode="External"/><Relationship Id="rId180" Type="http://schemas.openxmlformats.org/officeDocument/2006/relationships/hyperlink" Target="http://ufcstats.com/fight-details/1123fceef316106e" TargetMode="External"/><Relationship Id="rId26" Type="http://schemas.openxmlformats.org/officeDocument/2006/relationships/hyperlink" Target="http://ufcstats.com/fight-details/dc0ab34f1952cb48" TargetMode="External"/><Relationship Id="rId47" Type="http://schemas.openxmlformats.org/officeDocument/2006/relationships/hyperlink" Target="http://ufcstats.com/fight-details/8238f9d2fd961757" TargetMode="External"/><Relationship Id="rId68" Type="http://schemas.openxmlformats.org/officeDocument/2006/relationships/hyperlink" Target="http://ufcstats.com/fight-details/03aec9073946907f" TargetMode="External"/><Relationship Id="rId89" Type="http://schemas.openxmlformats.org/officeDocument/2006/relationships/hyperlink" Target="http://ufcstats.com/fight-details/fd49f89b9d97566b" TargetMode="External"/><Relationship Id="rId112" Type="http://schemas.openxmlformats.org/officeDocument/2006/relationships/hyperlink" Target="http://ufcstats.com/fight-details/fe143cb868adfded" TargetMode="External"/><Relationship Id="rId133" Type="http://schemas.openxmlformats.org/officeDocument/2006/relationships/hyperlink" Target="http://ufcstats.com/fight-details/faf15b752fb8924c" TargetMode="External"/><Relationship Id="rId154" Type="http://schemas.openxmlformats.org/officeDocument/2006/relationships/hyperlink" Target="http://ufcstats.com/fight-details/c93eebe24aa0299d" TargetMode="External"/><Relationship Id="rId175" Type="http://schemas.openxmlformats.org/officeDocument/2006/relationships/hyperlink" Target="http://ufcstats.com/fight-details/fc29884851f9cebb" TargetMode="External"/><Relationship Id="rId16" Type="http://schemas.openxmlformats.org/officeDocument/2006/relationships/hyperlink" Target="http://ufcstats.com/fight-details/94b1596c6ff9a25d" TargetMode="External"/><Relationship Id="rId37" Type="http://schemas.openxmlformats.org/officeDocument/2006/relationships/hyperlink" Target="http://ufcstats.com/fight-details/20dda78057d17a5a" TargetMode="External"/><Relationship Id="rId58" Type="http://schemas.openxmlformats.org/officeDocument/2006/relationships/hyperlink" Target="http://ufcstats.com/fight-details/84c5035830ebb421" TargetMode="External"/><Relationship Id="rId79" Type="http://schemas.openxmlformats.org/officeDocument/2006/relationships/hyperlink" Target="http://ufcstats.com/fight-details/5b9f545890407976" TargetMode="External"/><Relationship Id="rId102" Type="http://schemas.openxmlformats.org/officeDocument/2006/relationships/hyperlink" Target="http://ufcstats.com/fight-details/7f16e7725245bb2d" TargetMode="External"/><Relationship Id="rId123" Type="http://schemas.openxmlformats.org/officeDocument/2006/relationships/hyperlink" Target="http://ufcstats.com/fight-details/851645c373f50e16" TargetMode="External"/><Relationship Id="rId144" Type="http://schemas.openxmlformats.org/officeDocument/2006/relationships/hyperlink" Target="http://ufcstats.com/fight-details/7ffd80b65b0ff942" TargetMode="External"/><Relationship Id="rId90" Type="http://schemas.openxmlformats.org/officeDocument/2006/relationships/hyperlink" Target="http://ufcstats.com/fight-details/256894b49303537b" TargetMode="External"/><Relationship Id="rId165" Type="http://schemas.openxmlformats.org/officeDocument/2006/relationships/hyperlink" Target="http://ufcstats.com/fight-details/cf0a6466b762c668" TargetMode="External"/><Relationship Id="rId186" Type="http://schemas.openxmlformats.org/officeDocument/2006/relationships/hyperlink" Target="http://ufcstats.com/fight-details/cc73c73e6e3412d4" TargetMode="External"/><Relationship Id="rId27" Type="http://schemas.openxmlformats.org/officeDocument/2006/relationships/hyperlink" Target="http://ufcstats.com/fight-details/4e55251b7a0df0c2" TargetMode="External"/><Relationship Id="rId48" Type="http://schemas.openxmlformats.org/officeDocument/2006/relationships/hyperlink" Target="http://ufcstats.com/fight-details/16a0352f3e19b931" TargetMode="External"/><Relationship Id="rId69" Type="http://schemas.openxmlformats.org/officeDocument/2006/relationships/hyperlink" Target="http://ufcstats.com/fight-details/9bfda7c26578aaac" TargetMode="External"/><Relationship Id="rId113" Type="http://schemas.openxmlformats.org/officeDocument/2006/relationships/hyperlink" Target="http://ufcstats.com/fight-details/ff389a4326fc9255" TargetMode="External"/><Relationship Id="rId134" Type="http://schemas.openxmlformats.org/officeDocument/2006/relationships/hyperlink" Target="http://ufcstats.com/fight-details/69bc7ca8ce831731" TargetMode="External"/><Relationship Id="rId80" Type="http://schemas.openxmlformats.org/officeDocument/2006/relationships/hyperlink" Target="http://ufcstats.com/fight-details/e4931f3ab3bf4141" TargetMode="External"/><Relationship Id="rId155" Type="http://schemas.openxmlformats.org/officeDocument/2006/relationships/hyperlink" Target="http://ufcstats.com/fight-details/9d80bd1f92d23dfa" TargetMode="External"/><Relationship Id="rId176" Type="http://schemas.openxmlformats.org/officeDocument/2006/relationships/hyperlink" Target="http://ufcstats.com/fight-details/07c00213ec388e07" TargetMode="External"/><Relationship Id="rId17" Type="http://schemas.openxmlformats.org/officeDocument/2006/relationships/hyperlink" Target="http://ufcstats.com/fight-details/4047e98132306cd5" TargetMode="External"/><Relationship Id="rId38" Type="http://schemas.openxmlformats.org/officeDocument/2006/relationships/hyperlink" Target="http://ufcstats.com/fight-details/3c098e2946b4c824" TargetMode="External"/><Relationship Id="rId59" Type="http://schemas.openxmlformats.org/officeDocument/2006/relationships/hyperlink" Target="http://ufcstats.com/fight-details/70290140b6a8e038" TargetMode="External"/><Relationship Id="rId103" Type="http://schemas.openxmlformats.org/officeDocument/2006/relationships/hyperlink" Target="http://ufcstats.com/fight-details/a7eaf7b101166d3e" TargetMode="External"/><Relationship Id="rId124" Type="http://schemas.openxmlformats.org/officeDocument/2006/relationships/hyperlink" Target="http://ufcstats.com/fight-details/30553d630491094a" TargetMode="External"/><Relationship Id="rId70" Type="http://schemas.openxmlformats.org/officeDocument/2006/relationships/hyperlink" Target="http://ufcstats.com/fight-details/06cd9812e2b9b747" TargetMode="External"/><Relationship Id="rId91" Type="http://schemas.openxmlformats.org/officeDocument/2006/relationships/hyperlink" Target="http://ufcstats.com/fight-details/eab7b76e177e1903" TargetMode="External"/><Relationship Id="rId145" Type="http://schemas.openxmlformats.org/officeDocument/2006/relationships/hyperlink" Target="http://ufcstats.com/fight-details/dc38c78358e053c3" TargetMode="External"/><Relationship Id="rId166" Type="http://schemas.openxmlformats.org/officeDocument/2006/relationships/hyperlink" Target="http://ufcstats.com/fight-details/66eddbe35056c06d" TargetMode="External"/><Relationship Id="rId187" Type="http://schemas.openxmlformats.org/officeDocument/2006/relationships/hyperlink" Target="http://ufcstats.com/fight-details/d99b2abf50e9a03e" TargetMode="External"/><Relationship Id="rId1" Type="http://schemas.openxmlformats.org/officeDocument/2006/relationships/hyperlink" Target="http://ufcstats.com/fight-details/e3aad51099a23ba4" TargetMode="External"/><Relationship Id="rId28" Type="http://schemas.openxmlformats.org/officeDocument/2006/relationships/hyperlink" Target="http://ufcstats.com/fight-details/c258996570faeec9" TargetMode="External"/><Relationship Id="rId49" Type="http://schemas.openxmlformats.org/officeDocument/2006/relationships/hyperlink" Target="http://ufcstats.com/fight-details/e27504d07ebbc441" TargetMode="External"/><Relationship Id="rId114" Type="http://schemas.openxmlformats.org/officeDocument/2006/relationships/hyperlink" Target="http://ufcstats.com/fight-details/04f32bb0c0d3a8cc" TargetMode="External"/><Relationship Id="rId60" Type="http://schemas.openxmlformats.org/officeDocument/2006/relationships/hyperlink" Target="http://ufcstats.com/fight-details/977a758d869f9e7a" TargetMode="External"/><Relationship Id="rId81" Type="http://schemas.openxmlformats.org/officeDocument/2006/relationships/hyperlink" Target="http://ufcstats.com/fight-details/9f96d11017f9c824" TargetMode="External"/><Relationship Id="rId135" Type="http://schemas.openxmlformats.org/officeDocument/2006/relationships/hyperlink" Target="http://ufcstats.com/fight-details/72c3e5eacde4f0e5" TargetMode="External"/><Relationship Id="rId156" Type="http://schemas.openxmlformats.org/officeDocument/2006/relationships/hyperlink" Target="http://ufcstats.com/fight-details/48a2a476d3b59866" TargetMode="External"/><Relationship Id="rId177" Type="http://schemas.openxmlformats.org/officeDocument/2006/relationships/hyperlink" Target="http://ufcstats.com/fight-details/2f0cbf0502173a79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://ufcstats.com/fight-details/ac37849f627a79c4" TargetMode="External"/><Relationship Id="rId299" Type="http://schemas.openxmlformats.org/officeDocument/2006/relationships/hyperlink" Target="http://ufcstats.com/fight-details/15b1c7ddc4415fdd" TargetMode="External"/><Relationship Id="rId21" Type="http://schemas.openxmlformats.org/officeDocument/2006/relationships/hyperlink" Target="http://ufcstats.com/fight-details/394ae51820bedd4c" TargetMode="External"/><Relationship Id="rId63" Type="http://schemas.openxmlformats.org/officeDocument/2006/relationships/hyperlink" Target="http://ufcstats.com/fight-details/559c0c3d752f327a" TargetMode="External"/><Relationship Id="rId159" Type="http://schemas.openxmlformats.org/officeDocument/2006/relationships/hyperlink" Target="http://ufcstats.com/fight-details/9bc18b63b07bb328" TargetMode="External"/><Relationship Id="rId324" Type="http://schemas.openxmlformats.org/officeDocument/2006/relationships/hyperlink" Target="http://ufcstats.com/fight-details/e27504d07ebbc441" TargetMode="External"/><Relationship Id="rId170" Type="http://schemas.openxmlformats.org/officeDocument/2006/relationships/hyperlink" Target="http://ufcstats.com/fight-details/cc477d322638ba30" TargetMode="External"/><Relationship Id="rId226" Type="http://schemas.openxmlformats.org/officeDocument/2006/relationships/hyperlink" Target="http://ufcstats.com/fight-details/066756ea40b134a7" TargetMode="External"/><Relationship Id="rId268" Type="http://schemas.openxmlformats.org/officeDocument/2006/relationships/hyperlink" Target="http://ufcstats.com/fight-details/397ace87deeb8697" TargetMode="External"/><Relationship Id="rId32" Type="http://schemas.openxmlformats.org/officeDocument/2006/relationships/hyperlink" Target="http://ufcstats.com/fight-details/e98eb6de29c62c9c" TargetMode="External"/><Relationship Id="rId74" Type="http://schemas.openxmlformats.org/officeDocument/2006/relationships/hyperlink" Target="http://ufcstats.com/fight-details/f0d4652f8edfbe6d" TargetMode="External"/><Relationship Id="rId128" Type="http://schemas.openxmlformats.org/officeDocument/2006/relationships/hyperlink" Target="http://ufcstats.com/fight-details/15ce105716441c54" TargetMode="External"/><Relationship Id="rId5" Type="http://schemas.openxmlformats.org/officeDocument/2006/relationships/hyperlink" Target="http://ufcstats.com/fight-details/147e31abbe3927d0" TargetMode="External"/><Relationship Id="rId181" Type="http://schemas.openxmlformats.org/officeDocument/2006/relationships/hyperlink" Target="http://ufcstats.com/fight-details/a020b5b917c27bb8" TargetMode="External"/><Relationship Id="rId237" Type="http://schemas.openxmlformats.org/officeDocument/2006/relationships/hyperlink" Target="http://ufcstats.com/fight-details/c57c8e22a3e8dde2" TargetMode="External"/><Relationship Id="rId279" Type="http://schemas.openxmlformats.org/officeDocument/2006/relationships/hyperlink" Target="http://ufcstats.com/fight-details/09f67db0cfaee022" TargetMode="External"/><Relationship Id="rId43" Type="http://schemas.openxmlformats.org/officeDocument/2006/relationships/hyperlink" Target="http://ufcstats.com/fight-details/bd2e14ee959f9b77" TargetMode="External"/><Relationship Id="rId139" Type="http://schemas.openxmlformats.org/officeDocument/2006/relationships/hyperlink" Target="http://ufcstats.com/fight-details/eff6ec2b2f1fb27b" TargetMode="External"/><Relationship Id="rId290" Type="http://schemas.openxmlformats.org/officeDocument/2006/relationships/hyperlink" Target="http://ufcstats.com/fight-details/755202fce24b8f83" TargetMode="External"/><Relationship Id="rId304" Type="http://schemas.openxmlformats.org/officeDocument/2006/relationships/hyperlink" Target="http://ufcstats.com/fight-details/4de28817db9fc9d8" TargetMode="External"/><Relationship Id="rId85" Type="http://schemas.openxmlformats.org/officeDocument/2006/relationships/hyperlink" Target="http://ufcstats.com/fight-details/4b1606ab1893c242" TargetMode="External"/><Relationship Id="rId150" Type="http://schemas.openxmlformats.org/officeDocument/2006/relationships/hyperlink" Target="http://ufcstats.com/fight-details/9d3a38cc18807e10" TargetMode="External"/><Relationship Id="rId192" Type="http://schemas.openxmlformats.org/officeDocument/2006/relationships/hyperlink" Target="http://ufcstats.com/fight-details/92049ba4483fc840" TargetMode="External"/><Relationship Id="rId206" Type="http://schemas.openxmlformats.org/officeDocument/2006/relationships/hyperlink" Target="http://ufcstats.com/fight-details/0133019a4f1055ee" TargetMode="External"/><Relationship Id="rId248" Type="http://schemas.openxmlformats.org/officeDocument/2006/relationships/hyperlink" Target="http://ufcstats.com/fight-details/cd150cd28738a7c5" TargetMode="External"/><Relationship Id="rId12" Type="http://schemas.openxmlformats.org/officeDocument/2006/relationships/hyperlink" Target="http://ufcstats.com/fight-details/b96c8fef6c9f92db" TargetMode="External"/><Relationship Id="rId108" Type="http://schemas.openxmlformats.org/officeDocument/2006/relationships/hyperlink" Target="http://ufcstats.com/fight-details/eb53ec8983cb2a95" TargetMode="External"/><Relationship Id="rId315" Type="http://schemas.openxmlformats.org/officeDocument/2006/relationships/hyperlink" Target="http://ufcstats.com/fight-details/a3b972117a3998ee" TargetMode="External"/><Relationship Id="rId54" Type="http://schemas.openxmlformats.org/officeDocument/2006/relationships/hyperlink" Target="http://ufcstats.com/fight-details/de93fda66d203c26" TargetMode="External"/><Relationship Id="rId96" Type="http://schemas.openxmlformats.org/officeDocument/2006/relationships/hyperlink" Target="http://ufcstats.com/fight-details/0da43c3ec0e11650" TargetMode="External"/><Relationship Id="rId161" Type="http://schemas.openxmlformats.org/officeDocument/2006/relationships/hyperlink" Target="http://ufcstats.com/fight-details/9d2f46b677246e41" TargetMode="External"/><Relationship Id="rId217" Type="http://schemas.openxmlformats.org/officeDocument/2006/relationships/hyperlink" Target="http://ufcstats.com/fight-details/ccfe7b0d29c5440c" TargetMode="External"/><Relationship Id="rId259" Type="http://schemas.openxmlformats.org/officeDocument/2006/relationships/hyperlink" Target="http://ufcstats.com/fight-details/7fd0f7b3866b2c75" TargetMode="External"/><Relationship Id="rId23" Type="http://schemas.openxmlformats.org/officeDocument/2006/relationships/hyperlink" Target="http://ufcstats.com/fight-details/f870cacadb058733" TargetMode="External"/><Relationship Id="rId119" Type="http://schemas.openxmlformats.org/officeDocument/2006/relationships/hyperlink" Target="http://ufcstats.com/fight-details/4a704dae3091adaf" TargetMode="External"/><Relationship Id="rId270" Type="http://schemas.openxmlformats.org/officeDocument/2006/relationships/hyperlink" Target="http://ufcstats.com/fight-details/cb1e57b5f8c92922" TargetMode="External"/><Relationship Id="rId326" Type="http://schemas.openxmlformats.org/officeDocument/2006/relationships/hyperlink" Target="http://ufcstats.com/fight-details/fccedc456048216b" TargetMode="External"/><Relationship Id="rId65" Type="http://schemas.openxmlformats.org/officeDocument/2006/relationships/hyperlink" Target="http://ufcstats.com/fight-details/f2c82f027201ba21" TargetMode="External"/><Relationship Id="rId130" Type="http://schemas.openxmlformats.org/officeDocument/2006/relationships/hyperlink" Target="http://ufcstats.com/fight-details/d0fb381cacbb0446" TargetMode="External"/><Relationship Id="rId172" Type="http://schemas.openxmlformats.org/officeDocument/2006/relationships/hyperlink" Target="http://ufcstats.com/fight-details/c68e57c19c82d500" TargetMode="External"/><Relationship Id="rId228" Type="http://schemas.openxmlformats.org/officeDocument/2006/relationships/hyperlink" Target="http://ufcstats.com/fight-details/bf334cb4e63f3430" TargetMode="External"/><Relationship Id="rId281" Type="http://schemas.openxmlformats.org/officeDocument/2006/relationships/hyperlink" Target="http://ufcstats.com/fight-details/4ffd88b2f00f4250" TargetMode="External"/><Relationship Id="rId34" Type="http://schemas.openxmlformats.org/officeDocument/2006/relationships/hyperlink" Target="http://ufcstats.com/fight-details/ff5a8078ea85bbc7" TargetMode="External"/><Relationship Id="rId76" Type="http://schemas.openxmlformats.org/officeDocument/2006/relationships/hyperlink" Target="http://ufcstats.com/fight-details/cefb47bcc04f540e" TargetMode="External"/><Relationship Id="rId141" Type="http://schemas.openxmlformats.org/officeDocument/2006/relationships/hyperlink" Target="http://ufcstats.com/fight-details/1e525f9857019a2e" TargetMode="External"/><Relationship Id="rId7" Type="http://schemas.openxmlformats.org/officeDocument/2006/relationships/hyperlink" Target="http://ufcstats.com/fight-details/ddb4376695f115b9" TargetMode="External"/><Relationship Id="rId183" Type="http://schemas.openxmlformats.org/officeDocument/2006/relationships/hyperlink" Target="http://ufcstats.com/fight-details/fb98219ce569b384" TargetMode="External"/><Relationship Id="rId239" Type="http://schemas.openxmlformats.org/officeDocument/2006/relationships/hyperlink" Target="http://ufcstats.com/fight-details/0bc7e4852f75a06d" TargetMode="External"/><Relationship Id="rId250" Type="http://schemas.openxmlformats.org/officeDocument/2006/relationships/hyperlink" Target="http://ufcstats.com/fight-details/777c65184aa63894" TargetMode="External"/><Relationship Id="rId292" Type="http://schemas.openxmlformats.org/officeDocument/2006/relationships/hyperlink" Target="http://ufcstats.com/fight-details/8e7b2d62f834b417" TargetMode="External"/><Relationship Id="rId306" Type="http://schemas.openxmlformats.org/officeDocument/2006/relationships/hyperlink" Target="http://ufcstats.com/fight-details/8cd7ca0e7b861b3d" TargetMode="External"/><Relationship Id="rId24" Type="http://schemas.openxmlformats.org/officeDocument/2006/relationships/hyperlink" Target="http://ufcstats.com/fight-details/3256d907f58af95e" TargetMode="External"/><Relationship Id="rId45" Type="http://schemas.openxmlformats.org/officeDocument/2006/relationships/hyperlink" Target="http://ufcstats.com/fight-details/8dbfbd8f8bd0f00b" TargetMode="External"/><Relationship Id="rId66" Type="http://schemas.openxmlformats.org/officeDocument/2006/relationships/hyperlink" Target="http://ufcstats.com/fight-details/c4d1c4b82cf34afb" TargetMode="External"/><Relationship Id="rId87" Type="http://schemas.openxmlformats.org/officeDocument/2006/relationships/hyperlink" Target="http://ufcstats.com/fight-details/33116969380185a9" TargetMode="External"/><Relationship Id="rId110" Type="http://schemas.openxmlformats.org/officeDocument/2006/relationships/hyperlink" Target="http://ufcstats.com/fight-details/a3935c950c40462b" TargetMode="External"/><Relationship Id="rId131" Type="http://schemas.openxmlformats.org/officeDocument/2006/relationships/hyperlink" Target="http://ufcstats.com/fight-details/d480d01418ae0143" TargetMode="External"/><Relationship Id="rId327" Type="http://schemas.openxmlformats.org/officeDocument/2006/relationships/hyperlink" Target="http://ufcstats.com/fight-details/b1eff235241e719b" TargetMode="External"/><Relationship Id="rId152" Type="http://schemas.openxmlformats.org/officeDocument/2006/relationships/hyperlink" Target="http://ufcstats.com/fight-details/2a2b00e9bfd089cc" TargetMode="External"/><Relationship Id="rId173" Type="http://schemas.openxmlformats.org/officeDocument/2006/relationships/hyperlink" Target="http://ufcstats.com/fight-details/3b561a154aa2bbb2" TargetMode="External"/><Relationship Id="rId194" Type="http://schemas.openxmlformats.org/officeDocument/2006/relationships/hyperlink" Target="http://ufcstats.com/fight-details/2e9ad55f2e2f7c56" TargetMode="External"/><Relationship Id="rId208" Type="http://schemas.openxmlformats.org/officeDocument/2006/relationships/hyperlink" Target="http://ufcstats.com/fight-details/5b0fcecc55bebd5c" TargetMode="External"/><Relationship Id="rId229" Type="http://schemas.openxmlformats.org/officeDocument/2006/relationships/hyperlink" Target="http://ufcstats.com/fight-details/b6bd31215bd7ec1f" TargetMode="External"/><Relationship Id="rId240" Type="http://schemas.openxmlformats.org/officeDocument/2006/relationships/hyperlink" Target="http://ufcstats.com/fight-details/5459c3bb88d031f9" TargetMode="External"/><Relationship Id="rId261" Type="http://schemas.openxmlformats.org/officeDocument/2006/relationships/hyperlink" Target="http://ufcstats.com/fight-details/b09f8cd4cbd7ba56" TargetMode="External"/><Relationship Id="rId14" Type="http://schemas.openxmlformats.org/officeDocument/2006/relationships/hyperlink" Target="http://ufcstats.com/fight-details/eb277b5ea2a19124" TargetMode="External"/><Relationship Id="rId35" Type="http://schemas.openxmlformats.org/officeDocument/2006/relationships/hyperlink" Target="http://ufcstats.com/fight-details/cd6452a463ec8a28" TargetMode="External"/><Relationship Id="rId56" Type="http://schemas.openxmlformats.org/officeDocument/2006/relationships/hyperlink" Target="http://ufcstats.com/fight-details/93026443e5140415" TargetMode="External"/><Relationship Id="rId77" Type="http://schemas.openxmlformats.org/officeDocument/2006/relationships/hyperlink" Target="http://ufcstats.com/fight-details/3637e661b6854b49" TargetMode="External"/><Relationship Id="rId100" Type="http://schemas.openxmlformats.org/officeDocument/2006/relationships/hyperlink" Target="http://ufcstats.com/fight-details/4f07c6724682cd00" TargetMode="External"/><Relationship Id="rId282" Type="http://schemas.openxmlformats.org/officeDocument/2006/relationships/hyperlink" Target="http://ufcstats.com/fight-details/d2484d74f819d813" TargetMode="External"/><Relationship Id="rId317" Type="http://schemas.openxmlformats.org/officeDocument/2006/relationships/hyperlink" Target="http://ufcstats.com/fight-details/41b75c9222c33cdf" TargetMode="External"/><Relationship Id="rId8" Type="http://schemas.openxmlformats.org/officeDocument/2006/relationships/hyperlink" Target="http://ufcstats.com/fight-details/0fed8d8499eae01a" TargetMode="External"/><Relationship Id="rId98" Type="http://schemas.openxmlformats.org/officeDocument/2006/relationships/hyperlink" Target="http://ufcstats.com/fight-details/603354ffe9cc0755" TargetMode="External"/><Relationship Id="rId121" Type="http://schemas.openxmlformats.org/officeDocument/2006/relationships/hyperlink" Target="http://ufcstats.com/fight-details/35ebaf80f8730b14" TargetMode="External"/><Relationship Id="rId142" Type="http://schemas.openxmlformats.org/officeDocument/2006/relationships/hyperlink" Target="http://ufcstats.com/fight-details/6cfab1da57d260f4" TargetMode="External"/><Relationship Id="rId163" Type="http://schemas.openxmlformats.org/officeDocument/2006/relationships/hyperlink" Target="http://ufcstats.com/fight-details/4712708adb1507aa" TargetMode="External"/><Relationship Id="rId184" Type="http://schemas.openxmlformats.org/officeDocument/2006/relationships/hyperlink" Target="http://ufcstats.com/fight-details/444f0a732695dc81" TargetMode="External"/><Relationship Id="rId219" Type="http://schemas.openxmlformats.org/officeDocument/2006/relationships/hyperlink" Target="http://ufcstats.com/fight-details/b12bc15f384ecc42" TargetMode="External"/><Relationship Id="rId230" Type="http://schemas.openxmlformats.org/officeDocument/2006/relationships/hyperlink" Target="http://ufcstats.com/fight-details/d40eae4425092219" TargetMode="External"/><Relationship Id="rId251" Type="http://schemas.openxmlformats.org/officeDocument/2006/relationships/hyperlink" Target="http://ufcstats.com/fight-details/1f0254eeb2025e4f" TargetMode="External"/><Relationship Id="rId25" Type="http://schemas.openxmlformats.org/officeDocument/2006/relationships/hyperlink" Target="http://ufcstats.com/fight-details/b776b08e2cc6aa0c" TargetMode="External"/><Relationship Id="rId46" Type="http://schemas.openxmlformats.org/officeDocument/2006/relationships/hyperlink" Target="http://ufcstats.com/fight-details/5d11b618f24082dd" TargetMode="External"/><Relationship Id="rId67" Type="http://schemas.openxmlformats.org/officeDocument/2006/relationships/hyperlink" Target="http://ufcstats.com/fight-details/32a7da2f34ae3803" TargetMode="External"/><Relationship Id="rId272" Type="http://schemas.openxmlformats.org/officeDocument/2006/relationships/hyperlink" Target="http://ufcstats.com/fight-details/838fd9d2b14e0790" TargetMode="External"/><Relationship Id="rId293" Type="http://schemas.openxmlformats.org/officeDocument/2006/relationships/hyperlink" Target="http://ufcstats.com/fight-details/8bc0c220f7dcefa7" TargetMode="External"/><Relationship Id="rId307" Type="http://schemas.openxmlformats.org/officeDocument/2006/relationships/hyperlink" Target="http://ufcstats.com/fight-details/00b801e7e1679f2f" TargetMode="External"/><Relationship Id="rId328" Type="http://schemas.openxmlformats.org/officeDocument/2006/relationships/hyperlink" Target="http://ufcstats.com/fight-details/6921344f8e706d0f" TargetMode="External"/><Relationship Id="rId88" Type="http://schemas.openxmlformats.org/officeDocument/2006/relationships/hyperlink" Target="http://ufcstats.com/fight-details/4f42acd810ed5173" TargetMode="External"/><Relationship Id="rId111" Type="http://schemas.openxmlformats.org/officeDocument/2006/relationships/hyperlink" Target="http://ufcstats.com/fight-details/a99c3328e25c51c7" TargetMode="External"/><Relationship Id="rId132" Type="http://schemas.openxmlformats.org/officeDocument/2006/relationships/hyperlink" Target="http://ufcstats.com/fight-details/cbdf29f36b343f6f" TargetMode="External"/><Relationship Id="rId153" Type="http://schemas.openxmlformats.org/officeDocument/2006/relationships/hyperlink" Target="http://ufcstats.com/fight-details/53b480b44b0b51f1" TargetMode="External"/><Relationship Id="rId174" Type="http://schemas.openxmlformats.org/officeDocument/2006/relationships/hyperlink" Target="http://ufcstats.com/fight-details/cda06ff86cfe4f5f" TargetMode="External"/><Relationship Id="rId195" Type="http://schemas.openxmlformats.org/officeDocument/2006/relationships/hyperlink" Target="http://ufcstats.com/fight-details/6971094300073d47" TargetMode="External"/><Relationship Id="rId209" Type="http://schemas.openxmlformats.org/officeDocument/2006/relationships/hyperlink" Target="http://ufcstats.com/fight-details/b2ca310c9d0037d3" TargetMode="External"/><Relationship Id="rId220" Type="http://schemas.openxmlformats.org/officeDocument/2006/relationships/hyperlink" Target="http://ufcstats.com/fight-details/7d0874323bd1f768" TargetMode="External"/><Relationship Id="rId241" Type="http://schemas.openxmlformats.org/officeDocument/2006/relationships/hyperlink" Target="http://ufcstats.com/fight-details/f26657d5018ee428" TargetMode="External"/><Relationship Id="rId15" Type="http://schemas.openxmlformats.org/officeDocument/2006/relationships/hyperlink" Target="http://ufcstats.com/fight-details/81c22cfa22002ea4" TargetMode="External"/><Relationship Id="rId36" Type="http://schemas.openxmlformats.org/officeDocument/2006/relationships/hyperlink" Target="http://ufcstats.com/fight-details/3223b7e196a07224" TargetMode="External"/><Relationship Id="rId57" Type="http://schemas.openxmlformats.org/officeDocument/2006/relationships/hyperlink" Target="http://ufcstats.com/fight-details/6708f3a32861038a" TargetMode="External"/><Relationship Id="rId262" Type="http://schemas.openxmlformats.org/officeDocument/2006/relationships/hyperlink" Target="http://ufcstats.com/fight-details/a760d0f5de2e1aaa" TargetMode="External"/><Relationship Id="rId283" Type="http://schemas.openxmlformats.org/officeDocument/2006/relationships/hyperlink" Target="http://ufcstats.com/fight-details/86046081e767437e" TargetMode="External"/><Relationship Id="rId318" Type="http://schemas.openxmlformats.org/officeDocument/2006/relationships/hyperlink" Target="http://ufcstats.com/fight-details/8c2fb17981464d8c" TargetMode="External"/><Relationship Id="rId78" Type="http://schemas.openxmlformats.org/officeDocument/2006/relationships/hyperlink" Target="http://ufcstats.com/fight-details/3cd1f2c31b4e325a" TargetMode="External"/><Relationship Id="rId99" Type="http://schemas.openxmlformats.org/officeDocument/2006/relationships/hyperlink" Target="http://ufcstats.com/fight-details/7020840980f723b9" TargetMode="External"/><Relationship Id="rId101" Type="http://schemas.openxmlformats.org/officeDocument/2006/relationships/hyperlink" Target="http://ufcstats.com/fight-details/a77950d6a0a451f4" TargetMode="External"/><Relationship Id="rId122" Type="http://schemas.openxmlformats.org/officeDocument/2006/relationships/hyperlink" Target="http://ufcstats.com/fight-details/4b0aa5c67e69ce74" TargetMode="External"/><Relationship Id="rId143" Type="http://schemas.openxmlformats.org/officeDocument/2006/relationships/hyperlink" Target="http://ufcstats.com/fight-details/88b1d4f951070f83" TargetMode="External"/><Relationship Id="rId164" Type="http://schemas.openxmlformats.org/officeDocument/2006/relationships/hyperlink" Target="http://ufcstats.com/fight-details/9072bf6135cad3e0" TargetMode="External"/><Relationship Id="rId185" Type="http://schemas.openxmlformats.org/officeDocument/2006/relationships/hyperlink" Target="http://ufcstats.com/fight-details/856468ba24a37fcc" TargetMode="External"/><Relationship Id="rId9" Type="http://schemas.openxmlformats.org/officeDocument/2006/relationships/hyperlink" Target="http://ufcstats.com/fight-details/fdfe4e7cb2d0b665" TargetMode="External"/><Relationship Id="rId210" Type="http://schemas.openxmlformats.org/officeDocument/2006/relationships/hyperlink" Target="http://ufcstats.com/fight-details/3fe9e895b2a45049" TargetMode="External"/><Relationship Id="rId26" Type="http://schemas.openxmlformats.org/officeDocument/2006/relationships/hyperlink" Target="http://ufcstats.com/fight-details/7b80dd233e200dd2" TargetMode="External"/><Relationship Id="rId231" Type="http://schemas.openxmlformats.org/officeDocument/2006/relationships/hyperlink" Target="http://ufcstats.com/fight-details/fe3ff5b1d9135add" TargetMode="External"/><Relationship Id="rId252" Type="http://schemas.openxmlformats.org/officeDocument/2006/relationships/hyperlink" Target="http://ufcstats.com/fight-details/bbc8e8a69e9bd106" TargetMode="External"/><Relationship Id="rId273" Type="http://schemas.openxmlformats.org/officeDocument/2006/relationships/hyperlink" Target="http://ufcstats.com/fight-details/24341a8cf1152c5c" TargetMode="External"/><Relationship Id="rId294" Type="http://schemas.openxmlformats.org/officeDocument/2006/relationships/hyperlink" Target="http://ufcstats.com/fight-details/d5929b7fbc801ce4" TargetMode="External"/><Relationship Id="rId308" Type="http://schemas.openxmlformats.org/officeDocument/2006/relationships/hyperlink" Target="http://ufcstats.com/fight-details/6c1dba8a3ba4f42e" TargetMode="External"/><Relationship Id="rId329" Type="http://schemas.openxmlformats.org/officeDocument/2006/relationships/hyperlink" Target="http://ufcstats.com/fight-details/636fd144716a3084" TargetMode="External"/><Relationship Id="rId47" Type="http://schemas.openxmlformats.org/officeDocument/2006/relationships/hyperlink" Target="http://ufcstats.com/fight-details/8beab5f941dae8e0" TargetMode="External"/><Relationship Id="rId68" Type="http://schemas.openxmlformats.org/officeDocument/2006/relationships/hyperlink" Target="http://ufcstats.com/fight-details/f6472ca263a863d1" TargetMode="External"/><Relationship Id="rId89" Type="http://schemas.openxmlformats.org/officeDocument/2006/relationships/hyperlink" Target="http://ufcstats.com/fight-details/a7e8416f0d57c8e0" TargetMode="External"/><Relationship Id="rId112" Type="http://schemas.openxmlformats.org/officeDocument/2006/relationships/hyperlink" Target="http://ufcstats.com/fight-details/98301c092f00cb01" TargetMode="External"/><Relationship Id="rId133" Type="http://schemas.openxmlformats.org/officeDocument/2006/relationships/hyperlink" Target="http://ufcstats.com/fight-details/fcfaa28ed6888088" TargetMode="External"/><Relationship Id="rId154" Type="http://schemas.openxmlformats.org/officeDocument/2006/relationships/hyperlink" Target="http://ufcstats.com/fight-details/4e71dbef18157288" TargetMode="External"/><Relationship Id="rId175" Type="http://schemas.openxmlformats.org/officeDocument/2006/relationships/hyperlink" Target="http://ufcstats.com/fight-details/640dbb5a89c0aad6" TargetMode="External"/><Relationship Id="rId196" Type="http://schemas.openxmlformats.org/officeDocument/2006/relationships/hyperlink" Target="http://ufcstats.com/fight-details/652a73f4bf7f1932" TargetMode="External"/><Relationship Id="rId200" Type="http://schemas.openxmlformats.org/officeDocument/2006/relationships/hyperlink" Target="http://ufcstats.com/fight-details/2c0cddd12deb7450" TargetMode="External"/><Relationship Id="rId16" Type="http://schemas.openxmlformats.org/officeDocument/2006/relationships/hyperlink" Target="http://ufcstats.com/fight-details/e8fd128286788a6d" TargetMode="External"/><Relationship Id="rId221" Type="http://schemas.openxmlformats.org/officeDocument/2006/relationships/hyperlink" Target="http://ufcstats.com/fight-details/bb42336d6417914c" TargetMode="External"/><Relationship Id="rId242" Type="http://schemas.openxmlformats.org/officeDocument/2006/relationships/hyperlink" Target="http://ufcstats.com/fight-details/044d210d7b1eb519" TargetMode="External"/><Relationship Id="rId263" Type="http://schemas.openxmlformats.org/officeDocument/2006/relationships/hyperlink" Target="http://ufcstats.com/fight-details/cfc550960a7ec353" TargetMode="External"/><Relationship Id="rId284" Type="http://schemas.openxmlformats.org/officeDocument/2006/relationships/hyperlink" Target="http://ufcstats.com/fight-details/8eaa23d64c20b0f1" TargetMode="External"/><Relationship Id="rId319" Type="http://schemas.openxmlformats.org/officeDocument/2006/relationships/hyperlink" Target="http://ufcstats.com/fight-details/9b79c05aa978c066" TargetMode="External"/><Relationship Id="rId37" Type="http://schemas.openxmlformats.org/officeDocument/2006/relationships/hyperlink" Target="http://ufcstats.com/fight-details/df9847839c73a678" TargetMode="External"/><Relationship Id="rId58" Type="http://schemas.openxmlformats.org/officeDocument/2006/relationships/hyperlink" Target="http://ufcstats.com/fight-details/13e3e41e0c6f4e04" TargetMode="External"/><Relationship Id="rId79" Type="http://schemas.openxmlformats.org/officeDocument/2006/relationships/hyperlink" Target="http://ufcstats.com/fight-details/3d9aeef58dd0b51b" TargetMode="External"/><Relationship Id="rId102" Type="http://schemas.openxmlformats.org/officeDocument/2006/relationships/hyperlink" Target="http://ufcstats.com/fight-details/cf4c2b601c2228aa" TargetMode="External"/><Relationship Id="rId123" Type="http://schemas.openxmlformats.org/officeDocument/2006/relationships/hyperlink" Target="http://ufcstats.com/fight-details/5f6b8e48e7d3b66f" TargetMode="External"/><Relationship Id="rId144" Type="http://schemas.openxmlformats.org/officeDocument/2006/relationships/hyperlink" Target="http://ufcstats.com/fight-details/2e12db181792090f" TargetMode="External"/><Relationship Id="rId330" Type="http://schemas.openxmlformats.org/officeDocument/2006/relationships/hyperlink" Target="http://ufcstats.com/fight-details/e9700d51ec2b940b" TargetMode="External"/><Relationship Id="rId90" Type="http://schemas.openxmlformats.org/officeDocument/2006/relationships/hyperlink" Target="http://ufcstats.com/fight-details/8784ae31153178cd" TargetMode="External"/><Relationship Id="rId165" Type="http://schemas.openxmlformats.org/officeDocument/2006/relationships/hyperlink" Target="http://ufcstats.com/fight-details/fc0927c657c51622" TargetMode="External"/><Relationship Id="rId186" Type="http://schemas.openxmlformats.org/officeDocument/2006/relationships/hyperlink" Target="http://ufcstats.com/fight-details/49e344834626c144" TargetMode="External"/><Relationship Id="rId211" Type="http://schemas.openxmlformats.org/officeDocument/2006/relationships/hyperlink" Target="http://ufcstats.com/fight-details/491b7d974254596d" TargetMode="External"/><Relationship Id="rId232" Type="http://schemas.openxmlformats.org/officeDocument/2006/relationships/hyperlink" Target="http://ufcstats.com/fight-details/88d3b6b833e31712" TargetMode="External"/><Relationship Id="rId253" Type="http://schemas.openxmlformats.org/officeDocument/2006/relationships/hyperlink" Target="http://ufcstats.com/fight-details/f43f9861e73739c8" TargetMode="External"/><Relationship Id="rId274" Type="http://schemas.openxmlformats.org/officeDocument/2006/relationships/hyperlink" Target="http://ufcstats.com/fight-details/57b986d06bde71c2" TargetMode="External"/><Relationship Id="rId295" Type="http://schemas.openxmlformats.org/officeDocument/2006/relationships/hyperlink" Target="http://ufcstats.com/fight-details/1d8a86d37c7ef3d3" TargetMode="External"/><Relationship Id="rId309" Type="http://schemas.openxmlformats.org/officeDocument/2006/relationships/hyperlink" Target="http://ufcstats.com/fight-details/43fbc59edc7dfa9f" TargetMode="External"/><Relationship Id="rId27" Type="http://schemas.openxmlformats.org/officeDocument/2006/relationships/hyperlink" Target="http://ufcstats.com/fight-details/f99ee57f75b20b69" TargetMode="External"/><Relationship Id="rId48" Type="http://schemas.openxmlformats.org/officeDocument/2006/relationships/hyperlink" Target="http://ufcstats.com/fight-details/e9c6bac0d1a5ec0f" TargetMode="External"/><Relationship Id="rId69" Type="http://schemas.openxmlformats.org/officeDocument/2006/relationships/hyperlink" Target="http://ufcstats.com/fight-details/f0cf92b063735164" TargetMode="External"/><Relationship Id="rId113" Type="http://schemas.openxmlformats.org/officeDocument/2006/relationships/hyperlink" Target="http://ufcstats.com/fight-details/4b790d75c4bc694c" TargetMode="External"/><Relationship Id="rId134" Type="http://schemas.openxmlformats.org/officeDocument/2006/relationships/hyperlink" Target="http://ufcstats.com/fight-details/1779cc4ae925df01" TargetMode="External"/><Relationship Id="rId320" Type="http://schemas.openxmlformats.org/officeDocument/2006/relationships/hyperlink" Target="http://ufcstats.com/fight-details/e786542667fdecf0" TargetMode="External"/><Relationship Id="rId80" Type="http://schemas.openxmlformats.org/officeDocument/2006/relationships/hyperlink" Target="http://ufcstats.com/fight-details/1e3d3545b6dd13a7" TargetMode="External"/><Relationship Id="rId155" Type="http://schemas.openxmlformats.org/officeDocument/2006/relationships/hyperlink" Target="http://ufcstats.com/fight-details/90e46589a18064bc" TargetMode="External"/><Relationship Id="rId176" Type="http://schemas.openxmlformats.org/officeDocument/2006/relationships/hyperlink" Target="http://ufcstats.com/fight-details/3112430100d2d0be" TargetMode="External"/><Relationship Id="rId197" Type="http://schemas.openxmlformats.org/officeDocument/2006/relationships/hyperlink" Target="http://ufcstats.com/fight-details/470a3c1b89504258" TargetMode="External"/><Relationship Id="rId201" Type="http://schemas.openxmlformats.org/officeDocument/2006/relationships/hyperlink" Target="http://ufcstats.com/fight-details/6eaa4981d0335c8a" TargetMode="External"/><Relationship Id="rId222" Type="http://schemas.openxmlformats.org/officeDocument/2006/relationships/hyperlink" Target="http://ufcstats.com/fight-details/1b1792afe4457e83" TargetMode="External"/><Relationship Id="rId243" Type="http://schemas.openxmlformats.org/officeDocument/2006/relationships/hyperlink" Target="http://ufcstats.com/fight-details/ea006bae605e2a6b" TargetMode="External"/><Relationship Id="rId264" Type="http://schemas.openxmlformats.org/officeDocument/2006/relationships/hyperlink" Target="http://ufcstats.com/fight-details/42ad1437a1280294" TargetMode="External"/><Relationship Id="rId285" Type="http://schemas.openxmlformats.org/officeDocument/2006/relationships/hyperlink" Target="http://ufcstats.com/fight-details/3bcbb0e039f4f5d8" TargetMode="External"/><Relationship Id="rId17" Type="http://schemas.openxmlformats.org/officeDocument/2006/relationships/hyperlink" Target="http://ufcstats.com/fight-details/1b4d5dbf5f663a97" TargetMode="External"/><Relationship Id="rId38" Type="http://schemas.openxmlformats.org/officeDocument/2006/relationships/hyperlink" Target="http://ufcstats.com/fight-details/6f13fe34cb3ca906" TargetMode="External"/><Relationship Id="rId59" Type="http://schemas.openxmlformats.org/officeDocument/2006/relationships/hyperlink" Target="http://ufcstats.com/fight-details/188b63ec6ee1c1c9" TargetMode="External"/><Relationship Id="rId103" Type="http://schemas.openxmlformats.org/officeDocument/2006/relationships/hyperlink" Target="http://ufcstats.com/fight-details/205ad947e8c94901" TargetMode="External"/><Relationship Id="rId124" Type="http://schemas.openxmlformats.org/officeDocument/2006/relationships/hyperlink" Target="http://ufcstats.com/fight-details/34fd6ac116645ae6" TargetMode="External"/><Relationship Id="rId310" Type="http://schemas.openxmlformats.org/officeDocument/2006/relationships/hyperlink" Target="http://ufcstats.com/fight-details/2461756d8acd56d2" TargetMode="External"/><Relationship Id="rId70" Type="http://schemas.openxmlformats.org/officeDocument/2006/relationships/hyperlink" Target="http://ufcstats.com/fight-details/1720a97a2fa261f8" TargetMode="External"/><Relationship Id="rId91" Type="http://schemas.openxmlformats.org/officeDocument/2006/relationships/hyperlink" Target="http://ufcstats.com/fight-details/9bd9a8127b55fbf7" TargetMode="External"/><Relationship Id="rId145" Type="http://schemas.openxmlformats.org/officeDocument/2006/relationships/hyperlink" Target="http://ufcstats.com/fight-details/9e45cc594a5a2506" TargetMode="External"/><Relationship Id="rId166" Type="http://schemas.openxmlformats.org/officeDocument/2006/relationships/hyperlink" Target="http://ufcstats.com/fight-details/8f7328fe18806fb0" TargetMode="External"/><Relationship Id="rId187" Type="http://schemas.openxmlformats.org/officeDocument/2006/relationships/hyperlink" Target="http://ufcstats.com/fight-details/4b7ec02b39fc6f70" TargetMode="External"/><Relationship Id="rId331" Type="http://schemas.openxmlformats.org/officeDocument/2006/relationships/hyperlink" Target="http://ufcstats.com/fight-details/93f1b09aa792405e" TargetMode="External"/><Relationship Id="rId1" Type="http://schemas.openxmlformats.org/officeDocument/2006/relationships/hyperlink" Target="http://ufcstats.com/fight-details/2874ea5d2f783e23" TargetMode="External"/><Relationship Id="rId212" Type="http://schemas.openxmlformats.org/officeDocument/2006/relationships/hyperlink" Target="http://ufcstats.com/fight-details/fce6522f42b48f18" TargetMode="External"/><Relationship Id="rId233" Type="http://schemas.openxmlformats.org/officeDocument/2006/relationships/hyperlink" Target="http://ufcstats.com/fight-details/3f7684492c9df05e" TargetMode="External"/><Relationship Id="rId254" Type="http://schemas.openxmlformats.org/officeDocument/2006/relationships/hyperlink" Target="http://ufcstats.com/fight-details/6f0f84075fa1a4b0" TargetMode="External"/><Relationship Id="rId28" Type="http://schemas.openxmlformats.org/officeDocument/2006/relationships/hyperlink" Target="http://ufcstats.com/fight-details/689116759885e4a5" TargetMode="External"/><Relationship Id="rId49" Type="http://schemas.openxmlformats.org/officeDocument/2006/relationships/hyperlink" Target="http://ufcstats.com/fight-details/d6357dab7ccdf2db" TargetMode="External"/><Relationship Id="rId114" Type="http://schemas.openxmlformats.org/officeDocument/2006/relationships/hyperlink" Target="http://ufcstats.com/fight-details/6f5f4b256f643ffb" TargetMode="External"/><Relationship Id="rId275" Type="http://schemas.openxmlformats.org/officeDocument/2006/relationships/hyperlink" Target="http://ufcstats.com/fight-details/e91f289f1b9f9519" TargetMode="External"/><Relationship Id="rId296" Type="http://schemas.openxmlformats.org/officeDocument/2006/relationships/hyperlink" Target="http://ufcstats.com/fight-details/eebb4dde70a67369" TargetMode="External"/><Relationship Id="rId300" Type="http://schemas.openxmlformats.org/officeDocument/2006/relationships/hyperlink" Target="http://ufcstats.com/fight-details/17067cf55726c673" TargetMode="External"/><Relationship Id="rId60" Type="http://schemas.openxmlformats.org/officeDocument/2006/relationships/hyperlink" Target="http://ufcstats.com/fight-details/f4df74046a1c4364" TargetMode="External"/><Relationship Id="rId81" Type="http://schemas.openxmlformats.org/officeDocument/2006/relationships/hyperlink" Target="http://ufcstats.com/fight-details/f065dc596a08a258" TargetMode="External"/><Relationship Id="rId135" Type="http://schemas.openxmlformats.org/officeDocument/2006/relationships/hyperlink" Target="http://ufcstats.com/fight-details/7864fc46de247f58" TargetMode="External"/><Relationship Id="rId156" Type="http://schemas.openxmlformats.org/officeDocument/2006/relationships/hyperlink" Target="http://ufcstats.com/fight-details/3b83ec99accfd271" TargetMode="External"/><Relationship Id="rId177" Type="http://schemas.openxmlformats.org/officeDocument/2006/relationships/hyperlink" Target="http://ufcstats.com/fight-details/b977ffcc6428046f" TargetMode="External"/><Relationship Id="rId198" Type="http://schemas.openxmlformats.org/officeDocument/2006/relationships/hyperlink" Target="http://ufcstats.com/fight-details/f4d9138ba502b7ec" TargetMode="External"/><Relationship Id="rId321" Type="http://schemas.openxmlformats.org/officeDocument/2006/relationships/hyperlink" Target="http://ufcstats.com/fight-details/3bdacc82209b33f5" TargetMode="External"/><Relationship Id="rId202" Type="http://schemas.openxmlformats.org/officeDocument/2006/relationships/hyperlink" Target="http://ufcstats.com/fight-details/c4e866d9dd606faa" TargetMode="External"/><Relationship Id="rId223" Type="http://schemas.openxmlformats.org/officeDocument/2006/relationships/hyperlink" Target="http://ufcstats.com/fight-details/4efbd869aa0211d2" TargetMode="External"/><Relationship Id="rId244" Type="http://schemas.openxmlformats.org/officeDocument/2006/relationships/hyperlink" Target="http://ufcstats.com/fight-details/dc24c4759651c6ad" TargetMode="External"/><Relationship Id="rId18" Type="http://schemas.openxmlformats.org/officeDocument/2006/relationships/hyperlink" Target="http://ufcstats.com/fight-details/0716a38768a34789" TargetMode="External"/><Relationship Id="rId39" Type="http://schemas.openxmlformats.org/officeDocument/2006/relationships/hyperlink" Target="http://ufcstats.com/fight-details/36f10b949b935b8c" TargetMode="External"/><Relationship Id="rId265" Type="http://schemas.openxmlformats.org/officeDocument/2006/relationships/hyperlink" Target="http://ufcstats.com/fight-details/d7c7b312279104d2" TargetMode="External"/><Relationship Id="rId286" Type="http://schemas.openxmlformats.org/officeDocument/2006/relationships/hyperlink" Target="http://ufcstats.com/fight-details/f786136e55007e17" TargetMode="External"/><Relationship Id="rId50" Type="http://schemas.openxmlformats.org/officeDocument/2006/relationships/hyperlink" Target="http://ufcstats.com/fight-details/3e90b7fd1e9f86bd" TargetMode="External"/><Relationship Id="rId104" Type="http://schemas.openxmlformats.org/officeDocument/2006/relationships/hyperlink" Target="http://ufcstats.com/fight-details/b0552b065ca7f401" TargetMode="External"/><Relationship Id="rId125" Type="http://schemas.openxmlformats.org/officeDocument/2006/relationships/hyperlink" Target="http://ufcstats.com/fight-details/8375f311e8c6c079" TargetMode="External"/><Relationship Id="rId146" Type="http://schemas.openxmlformats.org/officeDocument/2006/relationships/hyperlink" Target="http://ufcstats.com/fight-details/e939acbd9894c686" TargetMode="External"/><Relationship Id="rId167" Type="http://schemas.openxmlformats.org/officeDocument/2006/relationships/hyperlink" Target="http://ufcstats.com/fight-details/57961c6adebfb13d" TargetMode="External"/><Relationship Id="rId188" Type="http://schemas.openxmlformats.org/officeDocument/2006/relationships/hyperlink" Target="http://ufcstats.com/fight-details/9ba051e0f5674108" TargetMode="External"/><Relationship Id="rId311" Type="http://schemas.openxmlformats.org/officeDocument/2006/relationships/hyperlink" Target="http://ufcstats.com/fight-details/2fd0c6d914b77205" TargetMode="External"/><Relationship Id="rId332" Type="http://schemas.openxmlformats.org/officeDocument/2006/relationships/hyperlink" Target="http://ufcstats.com/fight-details/db49619221b282af" TargetMode="External"/><Relationship Id="rId71" Type="http://schemas.openxmlformats.org/officeDocument/2006/relationships/hyperlink" Target="http://ufcstats.com/fight-details/ba6093c9136f99e9" TargetMode="External"/><Relationship Id="rId92" Type="http://schemas.openxmlformats.org/officeDocument/2006/relationships/hyperlink" Target="http://ufcstats.com/fight-details/319b09306094259b" TargetMode="External"/><Relationship Id="rId213" Type="http://schemas.openxmlformats.org/officeDocument/2006/relationships/hyperlink" Target="http://ufcstats.com/fight-details/037d2f426c916ffc" TargetMode="External"/><Relationship Id="rId234" Type="http://schemas.openxmlformats.org/officeDocument/2006/relationships/hyperlink" Target="http://ufcstats.com/fight-details/f7fd4b82e827c9c4" TargetMode="External"/><Relationship Id="rId2" Type="http://schemas.openxmlformats.org/officeDocument/2006/relationships/hyperlink" Target="http://ufcstats.com/fight-details/8ae79d7967681db8" TargetMode="External"/><Relationship Id="rId29" Type="http://schemas.openxmlformats.org/officeDocument/2006/relationships/hyperlink" Target="http://ufcstats.com/fight-details/412735f3e0b66ea6" TargetMode="External"/><Relationship Id="rId255" Type="http://schemas.openxmlformats.org/officeDocument/2006/relationships/hyperlink" Target="http://ufcstats.com/fight-details/c4f443509308dec6" TargetMode="External"/><Relationship Id="rId276" Type="http://schemas.openxmlformats.org/officeDocument/2006/relationships/hyperlink" Target="http://ufcstats.com/fight-details/53ee6c3591483193" TargetMode="External"/><Relationship Id="rId297" Type="http://schemas.openxmlformats.org/officeDocument/2006/relationships/hyperlink" Target="http://ufcstats.com/fight-details/1b4d0c9e3c59b33b" TargetMode="External"/><Relationship Id="rId40" Type="http://schemas.openxmlformats.org/officeDocument/2006/relationships/hyperlink" Target="http://ufcstats.com/fight-details/119bc264e2bb9877" TargetMode="External"/><Relationship Id="rId115" Type="http://schemas.openxmlformats.org/officeDocument/2006/relationships/hyperlink" Target="http://ufcstats.com/fight-details/9d72aaaf34e5b512" TargetMode="External"/><Relationship Id="rId136" Type="http://schemas.openxmlformats.org/officeDocument/2006/relationships/hyperlink" Target="http://ufcstats.com/fight-details/01983cba42704c49" TargetMode="External"/><Relationship Id="rId157" Type="http://schemas.openxmlformats.org/officeDocument/2006/relationships/hyperlink" Target="http://ufcstats.com/fight-details/f9d2137f380e66bf" TargetMode="External"/><Relationship Id="rId178" Type="http://schemas.openxmlformats.org/officeDocument/2006/relationships/hyperlink" Target="http://ufcstats.com/fight-details/40d9b5b47acf260b" TargetMode="External"/><Relationship Id="rId301" Type="http://schemas.openxmlformats.org/officeDocument/2006/relationships/hyperlink" Target="http://ufcstats.com/fight-details/47fc0736929125bd" TargetMode="External"/><Relationship Id="rId322" Type="http://schemas.openxmlformats.org/officeDocument/2006/relationships/hyperlink" Target="http://ufcstats.com/fight-details/8238f9d2fd961757" TargetMode="External"/><Relationship Id="rId61" Type="http://schemas.openxmlformats.org/officeDocument/2006/relationships/hyperlink" Target="http://ufcstats.com/fight-details/47230f9b5d7ae037" TargetMode="External"/><Relationship Id="rId82" Type="http://schemas.openxmlformats.org/officeDocument/2006/relationships/hyperlink" Target="http://ufcstats.com/fight-details/cd2ceb5530529c9f" TargetMode="External"/><Relationship Id="rId199" Type="http://schemas.openxmlformats.org/officeDocument/2006/relationships/hyperlink" Target="http://ufcstats.com/fight-details/1a66e67add5d55ef" TargetMode="External"/><Relationship Id="rId203" Type="http://schemas.openxmlformats.org/officeDocument/2006/relationships/hyperlink" Target="http://ufcstats.com/fight-details/a2e34655a41ba45c" TargetMode="External"/><Relationship Id="rId19" Type="http://schemas.openxmlformats.org/officeDocument/2006/relationships/hyperlink" Target="http://ufcstats.com/fight-details/0165bd3c26f0c076" TargetMode="External"/><Relationship Id="rId224" Type="http://schemas.openxmlformats.org/officeDocument/2006/relationships/hyperlink" Target="http://ufcstats.com/fight-details/8b9bdacca749ec90" TargetMode="External"/><Relationship Id="rId245" Type="http://schemas.openxmlformats.org/officeDocument/2006/relationships/hyperlink" Target="http://ufcstats.com/fight-details/140e810f952714ea" TargetMode="External"/><Relationship Id="rId266" Type="http://schemas.openxmlformats.org/officeDocument/2006/relationships/hyperlink" Target="http://ufcstats.com/fight-details/762de3b0b32ba937" TargetMode="External"/><Relationship Id="rId287" Type="http://schemas.openxmlformats.org/officeDocument/2006/relationships/hyperlink" Target="http://ufcstats.com/fight-details/1a81573425c585fb" TargetMode="External"/><Relationship Id="rId30" Type="http://schemas.openxmlformats.org/officeDocument/2006/relationships/hyperlink" Target="http://ufcstats.com/fight-details/9a984ea967886979" TargetMode="External"/><Relationship Id="rId105" Type="http://schemas.openxmlformats.org/officeDocument/2006/relationships/hyperlink" Target="http://ufcstats.com/fight-details/08b65f5009c34997" TargetMode="External"/><Relationship Id="rId126" Type="http://schemas.openxmlformats.org/officeDocument/2006/relationships/hyperlink" Target="http://ufcstats.com/fight-details/8da2c348ba6001a0" TargetMode="External"/><Relationship Id="rId147" Type="http://schemas.openxmlformats.org/officeDocument/2006/relationships/hyperlink" Target="http://ufcstats.com/fight-details/972e17c1b98fca06" TargetMode="External"/><Relationship Id="rId168" Type="http://schemas.openxmlformats.org/officeDocument/2006/relationships/hyperlink" Target="http://ufcstats.com/fight-details/2372578d3f554c65" TargetMode="External"/><Relationship Id="rId312" Type="http://schemas.openxmlformats.org/officeDocument/2006/relationships/hyperlink" Target="http://ufcstats.com/fight-details/e4ed294e16e16d81" TargetMode="External"/><Relationship Id="rId333" Type="http://schemas.openxmlformats.org/officeDocument/2006/relationships/hyperlink" Target="http://ufcstats.com/fight-details/bf732e22055e8634" TargetMode="External"/><Relationship Id="rId51" Type="http://schemas.openxmlformats.org/officeDocument/2006/relationships/hyperlink" Target="http://ufcstats.com/fight-details/8741e6a3a5a22a7f" TargetMode="External"/><Relationship Id="rId72" Type="http://schemas.openxmlformats.org/officeDocument/2006/relationships/hyperlink" Target="http://ufcstats.com/fight-details/137646de0ffd9c35" TargetMode="External"/><Relationship Id="rId93" Type="http://schemas.openxmlformats.org/officeDocument/2006/relationships/hyperlink" Target="http://ufcstats.com/fight-details/bef2a2e68fb4dfa8" TargetMode="External"/><Relationship Id="rId189" Type="http://schemas.openxmlformats.org/officeDocument/2006/relationships/hyperlink" Target="http://ufcstats.com/fight-details/27a6a6d4e3f8be75" TargetMode="External"/><Relationship Id="rId3" Type="http://schemas.openxmlformats.org/officeDocument/2006/relationships/hyperlink" Target="http://ufcstats.com/fight-details/a80579fe679d24e2" TargetMode="External"/><Relationship Id="rId214" Type="http://schemas.openxmlformats.org/officeDocument/2006/relationships/hyperlink" Target="http://ufcstats.com/fight-details/5838305c25a54ea1" TargetMode="External"/><Relationship Id="rId235" Type="http://schemas.openxmlformats.org/officeDocument/2006/relationships/hyperlink" Target="http://ufcstats.com/fight-details/fffdc57255274be1" TargetMode="External"/><Relationship Id="rId256" Type="http://schemas.openxmlformats.org/officeDocument/2006/relationships/hyperlink" Target="http://ufcstats.com/fight-details/2b3b6e96cea0f757" TargetMode="External"/><Relationship Id="rId277" Type="http://schemas.openxmlformats.org/officeDocument/2006/relationships/hyperlink" Target="http://ufcstats.com/fight-details/3dcb1a7b081afbe1" TargetMode="External"/><Relationship Id="rId298" Type="http://schemas.openxmlformats.org/officeDocument/2006/relationships/hyperlink" Target="http://ufcstats.com/fight-details/2267d967d1daf08a" TargetMode="External"/><Relationship Id="rId116" Type="http://schemas.openxmlformats.org/officeDocument/2006/relationships/hyperlink" Target="http://ufcstats.com/fight-details/b0367c907cc549c0" TargetMode="External"/><Relationship Id="rId137" Type="http://schemas.openxmlformats.org/officeDocument/2006/relationships/hyperlink" Target="http://ufcstats.com/fight-details/83f7c3b91a402306" TargetMode="External"/><Relationship Id="rId158" Type="http://schemas.openxmlformats.org/officeDocument/2006/relationships/hyperlink" Target="http://ufcstats.com/fight-details/4d5c3ddc740b89ca" TargetMode="External"/><Relationship Id="rId302" Type="http://schemas.openxmlformats.org/officeDocument/2006/relationships/hyperlink" Target="http://ufcstats.com/fight-details/ebe122e962d26fa4" TargetMode="External"/><Relationship Id="rId323" Type="http://schemas.openxmlformats.org/officeDocument/2006/relationships/hyperlink" Target="http://ufcstats.com/fight-details/16a0352f3e19b931" TargetMode="External"/><Relationship Id="rId20" Type="http://schemas.openxmlformats.org/officeDocument/2006/relationships/hyperlink" Target="http://ufcstats.com/fight-details/a6743d41b0b95271" TargetMode="External"/><Relationship Id="rId41" Type="http://schemas.openxmlformats.org/officeDocument/2006/relationships/hyperlink" Target="http://ufcstats.com/fight-details/49ede01b061cfae3" TargetMode="External"/><Relationship Id="rId62" Type="http://schemas.openxmlformats.org/officeDocument/2006/relationships/hyperlink" Target="http://ufcstats.com/fight-details/6fd9a013cea5a403" TargetMode="External"/><Relationship Id="rId83" Type="http://schemas.openxmlformats.org/officeDocument/2006/relationships/hyperlink" Target="http://ufcstats.com/fight-details/0bc354fbb6e99ab6" TargetMode="External"/><Relationship Id="rId179" Type="http://schemas.openxmlformats.org/officeDocument/2006/relationships/hyperlink" Target="http://ufcstats.com/fight-details/75570ea2da94a4fb" TargetMode="External"/><Relationship Id="rId190" Type="http://schemas.openxmlformats.org/officeDocument/2006/relationships/hyperlink" Target="http://ufcstats.com/fight-details/ae989e21c3839b49" TargetMode="External"/><Relationship Id="rId204" Type="http://schemas.openxmlformats.org/officeDocument/2006/relationships/hyperlink" Target="http://ufcstats.com/fight-details/50f2539c73b98eec" TargetMode="External"/><Relationship Id="rId225" Type="http://schemas.openxmlformats.org/officeDocument/2006/relationships/hyperlink" Target="http://ufcstats.com/fight-details/dae70ccdf9e7475e" TargetMode="External"/><Relationship Id="rId246" Type="http://schemas.openxmlformats.org/officeDocument/2006/relationships/hyperlink" Target="http://ufcstats.com/fight-details/969970fbe24945d0" TargetMode="External"/><Relationship Id="rId267" Type="http://schemas.openxmlformats.org/officeDocument/2006/relationships/hyperlink" Target="http://ufcstats.com/fight-details/810c9da07970c4a6" TargetMode="External"/><Relationship Id="rId288" Type="http://schemas.openxmlformats.org/officeDocument/2006/relationships/hyperlink" Target="http://ufcstats.com/fight-details/caeeb398f73d213a" TargetMode="External"/><Relationship Id="rId106" Type="http://schemas.openxmlformats.org/officeDocument/2006/relationships/hyperlink" Target="http://ufcstats.com/fight-details/409bcfacb259999a" TargetMode="External"/><Relationship Id="rId127" Type="http://schemas.openxmlformats.org/officeDocument/2006/relationships/hyperlink" Target="http://ufcstats.com/fight-details/e4559c3cce6edec1" TargetMode="External"/><Relationship Id="rId313" Type="http://schemas.openxmlformats.org/officeDocument/2006/relationships/hyperlink" Target="http://ufcstats.com/fight-details/702759500d47a059" TargetMode="External"/><Relationship Id="rId10" Type="http://schemas.openxmlformats.org/officeDocument/2006/relationships/hyperlink" Target="http://ufcstats.com/fight-details/fb70b62915fdcec6" TargetMode="External"/><Relationship Id="rId31" Type="http://schemas.openxmlformats.org/officeDocument/2006/relationships/hyperlink" Target="http://ufcstats.com/fight-details/1ceab8fa45996f51" TargetMode="External"/><Relationship Id="rId52" Type="http://schemas.openxmlformats.org/officeDocument/2006/relationships/hyperlink" Target="http://ufcstats.com/fight-details/110f539523a4b571" TargetMode="External"/><Relationship Id="rId73" Type="http://schemas.openxmlformats.org/officeDocument/2006/relationships/hyperlink" Target="http://ufcstats.com/fight-details/312946f6b72ebd51" TargetMode="External"/><Relationship Id="rId94" Type="http://schemas.openxmlformats.org/officeDocument/2006/relationships/hyperlink" Target="http://ufcstats.com/fight-details/bfb7d17161aec938" TargetMode="External"/><Relationship Id="rId148" Type="http://schemas.openxmlformats.org/officeDocument/2006/relationships/hyperlink" Target="http://ufcstats.com/fight-details/f2916c10b7ecfcee" TargetMode="External"/><Relationship Id="rId169" Type="http://schemas.openxmlformats.org/officeDocument/2006/relationships/hyperlink" Target="http://ufcstats.com/fight-details/9dfac33cd3ae4afd" TargetMode="External"/><Relationship Id="rId334" Type="http://schemas.openxmlformats.org/officeDocument/2006/relationships/hyperlink" Target="http://ufcstats.com/fight-details/cc73c73e6e3412d4" TargetMode="External"/><Relationship Id="rId4" Type="http://schemas.openxmlformats.org/officeDocument/2006/relationships/hyperlink" Target="http://ufcstats.com/fight-details/e0b98f3cf4a7cc3b" TargetMode="External"/><Relationship Id="rId180" Type="http://schemas.openxmlformats.org/officeDocument/2006/relationships/hyperlink" Target="http://ufcstats.com/fight-details/c1356395d6b055d7" TargetMode="External"/><Relationship Id="rId215" Type="http://schemas.openxmlformats.org/officeDocument/2006/relationships/hyperlink" Target="http://ufcstats.com/fight-details/d763ad79532b27ff" TargetMode="External"/><Relationship Id="rId236" Type="http://schemas.openxmlformats.org/officeDocument/2006/relationships/hyperlink" Target="http://ufcstats.com/fight-details/ce0748519d5ea5c6" TargetMode="External"/><Relationship Id="rId257" Type="http://schemas.openxmlformats.org/officeDocument/2006/relationships/hyperlink" Target="http://ufcstats.com/fight-details/c79b862be039d9f0" TargetMode="External"/><Relationship Id="rId278" Type="http://schemas.openxmlformats.org/officeDocument/2006/relationships/hyperlink" Target="http://ufcstats.com/fight-details/5dcba156bd13e0c3" TargetMode="External"/><Relationship Id="rId303" Type="http://schemas.openxmlformats.org/officeDocument/2006/relationships/hyperlink" Target="http://ufcstats.com/fight-details/3627f5133ce55902" TargetMode="External"/><Relationship Id="rId42" Type="http://schemas.openxmlformats.org/officeDocument/2006/relationships/hyperlink" Target="http://ufcstats.com/fight-details/89b96bc5f3e824c5" TargetMode="External"/><Relationship Id="rId84" Type="http://schemas.openxmlformats.org/officeDocument/2006/relationships/hyperlink" Target="http://ufcstats.com/fight-details/9532ebf4d9405e65" TargetMode="External"/><Relationship Id="rId138" Type="http://schemas.openxmlformats.org/officeDocument/2006/relationships/hyperlink" Target="http://ufcstats.com/fight-details/1013cdbb6c9a4a2e" TargetMode="External"/><Relationship Id="rId191" Type="http://schemas.openxmlformats.org/officeDocument/2006/relationships/hyperlink" Target="http://ufcstats.com/fight-details/f187c7ec92f43828" TargetMode="External"/><Relationship Id="rId205" Type="http://schemas.openxmlformats.org/officeDocument/2006/relationships/hyperlink" Target="http://ufcstats.com/fight-details/36f38c2534ef646b" TargetMode="External"/><Relationship Id="rId247" Type="http://schemas.openxmlformats.org/officeDocument/2006/relationships/hyperlink" Target="http://ufcstats.com/fight-details/5c5ed0416e881faf" TargetMode="External"/><Relationship Id="rId107" Type="http://schemas.openxmlformats.org/officeDocument/2006/relationships/hyperlink" Target="http://ufcstats.com/fight-details/02f4277726712796" TargetMode="External"/><Relationship Id="rId289" Type="http://schemas.openxmlformats.org/officeDocument/2006/relationships/hyperlink" Target="http://ufcstats.com/fight-details/278b965694e563b2" TargetMode="External"/><Relationship Id="rId11" Type="http://schemas.openxmlformats.org/officeDocument/2006/relationships/hyperlink" Target="http://ufcstats.com/fight-details/3cbd3565dd631cc4" TargetMode="External"/><Relationship Id="rId53" Type="http://schemas.openxmlformats.org/officeDocument/2006/relationships/hyperlink" Target="http://ufcstats.com/fight-details/5b6bdaf89e493674" TargetMode="External"/><Relationship Id="rId149" Type="http://schemas.openxmlformats.org/officeDocument/2006/relationships/hyperlink" Target="http://ufcstats.com/fight-details/52f87252af59e23b" TargetMode="External"/><Relationship Id="rId314" Type="http://schemas.openxmlformats.org/officeDocument/2006/relationships/hyperlink" Target="http://ufcstats.com/fight-details/9e75fbe17a35f272" TargetMode="External"/><Relationship Id="rId95" Type="http://schemas.openxmlformats.org/officeDocument/2006/relationships/hyperlink" Target="http://ufcstats.com/fight-details/cd67f6ddb2920193" TargetMode="External"/><Relationship Id="rId160" Type="http://schemas.openxmlformats.org/officeDocument/2006/relationships/hyperlink" Target="http://ufcstats.com/fight-details/a45596cda51a1816" TargetMode="External"/><Relationship Id="rId216" Type="http://schemas.openxmlformats.org/officeDocument/2006/relationships/hyperlink" Target="http://ufcstats.com/fight-details/1456a3f96ac7e35b" TargetMode="External"/><Relationship Id="rId258" Type="http://schemas.openxmlformats.org/officeDocument/2006/relationships/hyperlink" Target="http://ufcstats.com/fight-details/f73dfeb48b09e6a6" TargetMode="External"/><Relationship Id="rId22" Type="http://schemas.openxmlformats.org/officeDocument/2006/relationships/hyperlink" Target="http://ufcstats.com/fight-details/593f3b051aa82b0f" TargetMode="External"/><Relationship Id="rId64" Type="http://schemas.openxmlformats.org/officeDocument/2006/relationships/hyperlink" Target="http://ufcstats.com/fight-details/3f71ac21472f994c" TargetMode="External"/><Relationship Id="rId118" Type="http://schemas.openxmlformats.org/officeDocument/2006/relationships/hyperlink" Target="http://ufcstats.com/fight-details/78afed76d0e9a639" TargetMode="External"/><Relationship Id="rId325" Type="http://schemas.openxmlformats.org/officeDocument/2006/relationships/hyperlink" Target="http://ufcstats.com/fight-details/19df0d0cb1269fa7" TargetMode="External"/><Relationship Id="rId171" Type="http://schemas.openxmlformats.org/officeDocument/2006/relationships/hyperlink" Target="http://ufcstats.com/fight-details/7a635063e5f1699b" TargetMode="External"/><Relationship Id="rId227" Type="http://schemas.openxmlformats.org/officeDocument/2006/relationships/hyperlink" Target="http://ufcstats.com/fight-details/e25875165648162b" TargetMode="External"/><Relationship Id="rId269" Type="http://schemas.openxmlformats.org/officeDocument/2006/relationships/hyperlink" Target="http://ufcstats.com/fight-details/e835e9a4564db497" TargetMode="External"/><Relationship Id="rId33" Type="http://schemas.openxmlformats.org/officeDocument/2006/relationships/hyperlink" Target="http://ufcstats.com/fight-details/417049c7a3d65ccc" TargetMode="External"/><Relationship Id="rId129" Type="http://schemas.openxmlformats.org/officeDocument/2006/relationships/hyperlink" Target="http://ufcstats.com/fight-details/8495283a56311b4d" TargetMode="External"/><Relationship Id="rId280" Type="http://schemas.openxmlformats.org/officeDocument/2006/relationships/hyperlink" Target="http://ufcstats.com/fight-details/0769ab47fcf0bf6b" TargetMode="External"/><Relationship Id="rId75" Type="http://schemas.openxmlformats.org/officeDocument/2006/relationships/hyperlink" Target="http://ufcstats.com/fight-details/e30b9829e42aa4ca" TargetMode="External"/><Relationship Id="rId140" Type="http://schemas.openxmlformats.org/officeDocument/2006/relationships/hyperlink" Target="http://ufcstats.com/fight-details/12e12307414dafc6" TargetMode="External"/><Relationship Id="rId182" Type="http://schemas.openxmlformats.org/officeDocument/2006/relationships/hyperlink" Target="http://ufcstats.com/fight-details/d83ae4a2e117b775" TargetMode="External"/><Relationship Id="rId6" Type="http://schemas.openxmlformats.org/officeDocument/2006/relationships/hyperlink" Target="http://ufcstats.com/fight-details/b67229e7675eed24" TargetMode="External"/><Relationship Id="rId238" Type="http://schemas.openxmlformats.org/officeDocument/2006/relationships/hyperlink" Target="http://ufcstats.com/fight-details/ab14dbff9d2ae41a" TargetMode="External"/><Relationship Id="rId291" Type="http://schemas.openxmlformats.org/officeDocument/2006/relationships/hyperlink" Target="http://ufcstats.com/fight-details/06641a8c62e45661" TargetMode="External"/><Relationship Id="rId305" Type="http://schemas.openxmlformats.org/officeDocument/2006/relationships/hyperlink" Target="http://ufcstats.com/fight-details/34c39a5a5917e0ec" TargetMode="External"/><Relationship Id="rId44" Type="http://schemas.openxmlformats.org/officeDocument/2006/relationships/hyperlink" Target="http://ufcstats.com/fight-details/3387f430abb7e39f" TargetMode="External"/><Relationship Id="rId86" Type="http://schemas.openxmlformats.org/officeDocument/2006/relationships/hyperlink" Target="http://ufcstats.com/fight-details/70feb2bfc12b97d4" TargetMode="External"/><Relationship Id="rId151" Type="http://schemas.openxmlformats.org/officeDocument/2006/relationships/hyperlink" Target="http://ufcstats.com/fight-details/da22d5a717ae9e35" TargetMode="External"/><Relationship Id="rId193" Type="http://schemas.openxmlformats.org/officeDocument/2006/relationships/hyperlink" Target="http://ufcstats.com/fight-details/1c43b38c1f4bdbe2" TargetMode="External"/><Relationship Id="rId207" Type="http://schemas.openxmlformats.org/officeDocument/2006/relationships/hyperlink" Target="http://ufcstats.com/fight-details/8baa6b8850262595" TargetMode="External"/><Relationship Id="rId249" Type="http://schemas.openxmlformats.org/officeDocument/2006/relationships/hyperlink" Target="http://ufcstats.com/fight-details/c3b6aa47e7532a7b" TargetMode="External"/><Relationship Id="rId13" Type="http://schemas.openxmlformats.org/officeDocument/2006/relationships/hyperlink" Target="http://ufcstats.com/fight-details/5a2b86570110191b" TargetMode="External"/><Relationship Id="rId109" Type="http://schemas.openxmlformats.org/officeDocument/2006/relationships/hyperlink" Target="http://ufcstats.com/fight-details/e508ba268cb295c0" TargetMode="External"/><Relationship Id="rId260" Type="http://schemas.openxmlformats.org/officeDocument/2006/relationships/hyperlink" Target="http://ufcstats.com/fight-details/cd63b4144a45b611" TargetMode="External"/><Relationship Id="rId316" Type="http://schemas.openxmlformats.org/officeDocument/2006/relationships/hyperlink" Target="http://ufcstats.com/fight-details/9ce56acac775d386" TargetMode="External"/><Relationship Id="rId55" Type="http://schemas.openxmlformats.org/officeDocument/2006/relationships/hyperlink" Target="http://ufcstats.com/fight-details/ff6c8dab41efcc09" TargetMode="External"/><Relationship Id="rId97" Type="http://schemas.openxmlformats.org/officeDocument/2006/relationships/hyperlink" Target="http://ufcstats.com/fight-details/51ec53f442d2cc9b" TargetMode="External"/><Relationship Id="rId120" Type="http://schemas.openxmlformats.org/officeDocument/2006/relationships/hyperlink" Target="http://ufcstats.com/fight-details/0c3622569cd8062a" TargetMode="External"/><Relationship Id="rId162" Type="http://schemas.openxmlformats.org/officeDocument/2006/relationships/hyperlink" Target="http://ufcstats.com/fight-details/e4d831dc318e4e98" TargetMode="External"/><Relationship Id="rId218" Type="http://schemas.openxmlformats.org/officeDocument/2006/relationships/hyperlink" Target="http://ufcstats.com/fight-details/f085f32bbb3220e1" TargetMode="External"/><Relationship Id="rId271" Type="http://schemas.openxmlformats.org/officeDocument/2006/relationships/hyperlink" Target="http://ufcstats.com/fight-details/cd96998e837b0da1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://ufcstats.com/fight-details/05c8aeb2806be99c" TargetMode="External"/><Relationship Id="rId299" Type="http://schemas.openxmlformats.org/officeDocument/2006/relationships/hyperlink" Target="http://ufcstats.com/fight-details/d1621b3da377f34b" TargetMode="External"/><Relationship Id="rId21" Type="http://schemas.openxmlformats.org/officeDocument/2006/relationships/hyperlink" Target="http://ufcstats.com/fight-details/194d73490eb731c6" TargetMode="External"/><Relationship Id="rId63" Type="http://schemas.openxmlformats.org/officeDocument/2006/relationships/hyperlink" Target="http://ufcstats.com/fight-details/e10481ee3fda7080" TargetMode="External"/><Relationship Id="rId159" Type="http://schemas.openxmlformats.org/officeDocument/2006/relationships/hyperlink" Target="http://ufcstats.com/fight-details/0d1d7cfb2a48d5ec" TargetMode="External"/><Relationship Id="rId324" Type="http://schemas.openxmlformats.org/officeDocument/2006/relationships/hyperlink" Target="http://ufcstats.com/fight-details/5ff390f7bbf2bec8" TargetMode="External"/><Relationship Id="rId170" Type="http://schemas.openxmlformats.org/officeDocument/2006/relationships/hyperlink" Target="http://ufcstats.com/fight-details/5d9a3bfdcd28abb8" TargetMode="External"/><Relationship Id="rId226" Type="http://schemas.openxmlformats.org/officeDocument/2006/relationships/hyperlink" Target="http://ufcstats.com/fight-details/5237736e6b37c609" TargetMode="External"/><Relationship Id="rId268" Type="http://schemas.openxmlformats.org/officeDocument/2006/relationships/hyperlink" Target="http://ufcstats.com/fight-details/8539c4b795d33a92" TargetMode="External"/><Relationship Id="rId32" Type="http://schemas.openxmlformats.org/officeDocument/2006/relationships/hyperlink" Target="http://ufcstats.com/fight-details/df3cc5ec78d05a71" TargetMode="External"/><Relationship Id="rId74" Type="http://schemas.openxmlformats.org/officeDocument/2006/relationships/hyperlink" Target="http://ufcstats.com/fight-details/e0d92694d8a2d38b" TargetMode="External"/><Relationship Id="rId128" Type="http://schemas.openxmlformats.org/officeDocument/2006/relationships/hyperlink" Target="http://ufcstats.com/fight-details/ae5c7517d9f2516c" TargetMode="External"/><Relationship Id="rId335" Type="http://schemas.openxmlformats.org/officeDocument/2006/relationships/hyperlink" Target="http://ufcstats.com/fight-details/ea8eaf881d38713e" TargetMode="External"/><Relationship Id="rId5" Type="http://schemas.openxmlformats.org/officeDocument/2006/relationships/hyperlink" Target="http://ufcstats.com/fight-details/98b7dd0ddc52cffb" TargetMode="External"/><Relationship Id="rId181" Type="http://schemas.openxmlformats.org/officeDocument/2006/relationships/hyperlink" Target="http://ufcstats.com/fight-details/e82f15afac3dac93" TargetMode="External"/><Relationship Id="rId237" Type="http://schemas.openxmlformats.org/officeDocument/2006/relationships/hyperlink" Target="http://ufcstats.com/fight-details/d170f6580e1c244f" TargetMode="External"/><Relationship Id="rId279" Type="http://schemas.openxmlformats.org/officeDocument/2006/relationships/hyperlink" Target="http://ufcstats.com/fight-details/aa6a9aeeb45577d4" TargetMode="External"/><Relationship Id="rId43" Type="http://schemas.openxmlformats.org/officeDocument/2006/relationships/hyperlink" Target="http://ufcstats.com/fight-details/ca2672e68fedf4b7" TargetMode="External"/><Relationship Id="rId139" Type="http://schemas.openxmlformats.org/officeDocument/2006/relationships/hyperlink" Target="http://ufcstats.com/fight-details/cf13dd810b2bd061" TargetMode="External"/><Relationship Id="rId290" Type="http://schemas.openxmlformats.org/officeDocument/2006/relationships/hyperlink" Target="http://ufcstats.com/fight-details/09a29fb09fe07559" TargetMode="External"/><Relationship Id="rId304" Type="http://schemas.openxmlformats.org/officeDocument/2006/relationships/hyperlink" Target="http://ufcstats.com/fight-details/c7e084949531a443" TargetMode="External"/><Relationship Id="rId85" Type="http://schemas.openxmlformats.org/officeDocument/2006/relationships/hyperlink" Target="http://ufcstats.com/fight-details/5f19b0135414b454" TargetMode="External"/><Relationship Id="rId150" Type="http://schemas.openxmlformats.org/officeDocument/2006/relationships/hyperlink" Target="http://ufcstats.com/fight-details/6f22afbc5f8e0bd3" TargetMode="External"/><Relationship Id="rId192" Type="http://schemas.openxmlformats.org/officeDocument/2006/relationships/hyperlink" Target="http://ufcstats.com/fight-details/ad26bf55ff201f4f" TargetMode="External"/><Relationship Id="rId206" Type="http://schemas.openxmlformats.org/officeDocument/2006/relationships/hyperlink" Target="http://ufcstats.com/fight-details/22e5596f75d9d8e7" TargetMode="External"/><Relationship Id="rId248" Type="http://schemas.openxmlformats.org/officeDocument/2006/relationships/hyperlink" Target="http://ufcstats.com/fight-details/343749a2f7c5d78b" TargetMode="External"/><Relationship Id="rId12" Type="http://schemas.openxmlformats.org/officeDocument/2006/relationships/hyperlink" Target="http://ufcstats.com/fight-details/55c257629ecea80f" TargetMode="External"/><Relationship Id="rId108" Type="http://schemas.openxmlformats.org/officeDocument/2006/relationships/hyperlink" Target="http://ufcstats.com/fight-details/0339f66f18a3e0bf" TargetMode="External"/><Relationship Id="rId315" Type="http://schemas.openxmlformats.org/officeDocument/2006/relationships/hyperlink" Target="http://ufcstats.com/fight-details/880f2bb0a639a5a0" TargetMode="External"/><Relationship Id="rId54" Type="http://schemas.openxmlformats.org/officeDocument/2006/relationships/hyperlink" Target="http://ufcstats.com/fight-details/d06495deb1ff1750" TargetMode="External"/><Relationship Id="rId96" Type="http://schemas.openxmlformats.org/officeDocument/2006/relationships/hyperlink" Target="http://ufcstats.com/fight-details/1cd0ce0e2312ad52" TargetMode="External"/><Relationship Id="rId161" Type="http://schemas.openxmlformats.org/officeDocument/2006/relationships/hyperlink" Target="http://ufcstats.com/fight-details/51ce499611a5df68" TargetMode="External"/><Relationship Id="rId217" Type="http://schemas.openxmlformats.org/officeDocument/2006/relationships/hyperlink" Target="http://ufcstats.com/fight-details/37a7dc68f3a0e65d" TargetMode="External"/><Relationship Id="rId259" Type="http://schemas.openxmlformats.org/officeDocument/2006/relationships/hyperlink" Target="http://ufcstats.com/fight-details/697e38075fd41819" TargetMode="External"/><Relationship Id="rId23" Type="http://schemas.openxmlformats.org/officeDocument/2006/relationships/hyperlink" Target="http://ufcstats.com/fight-details/5cf56c22cbc24758" TargetMode="External"/><Relationship Id="rId119" Type="http://schemas.openxmlformats.org/officeDocument/2006/relationships/hyperlink" Target="http://ufcstats.com/fight-details/7de9867b7cc2b1b1" TargetMode="External"/><Relationship Id="rId270" Type="http://schemas.openxmlformats.org/officeDocument/2006/relationships/hyperlink" Target="http://ufcstats.com/fight-details/0ccc86f7d0e84c3e" TargetMode="External"/><Relationship Id="rId326" Type="http://schemas.openxmlformats.org/officeDocument/2006/relationships/hyperlink" Target="http://ufcstats.com/fight-details/2ef16a5ff3710c92" TargetMode="External"/><Relationship Id="rId65" Type="http://schemas.openxmlformats.org/officeDocument/2006/relationships/hyperlink" Target="http://ufcstats.com/fight-details/5fdf6611815efdfb" TargetMode="External"/><Relationship Id="rId130" Type="http://schemas.openxmlformats.org/officeDocument/2006/relationships/hyperlink" Target="http://ufcstats.com/fight-details/7adaf85915993137" TargetMode="External"/><Relationship Id="rId172" Type="http://schemas.openxmlformats.org/officeDocument/2006/relationships/hyperlink" Target="http://ufcstats.com/fight-details/b44531903be4729a" TargetMode="External"/><Relationship Id="rId228" Type="http://schemas.openxmlformats.org/officeDocument/2006/relationships/hyperlink" Target="http://ufcstats.com/fight-details/af5f287198f20eb4" TargetMode="External"/><Relationship Id="rId281" Type="http://schemas.openxmlformats.org/officeDocument/2006/relationships/hyperlink" Target="http://ufcstats.com/fight-details/5ab286735ccee803" TargetMode="External"/><Relationship Id="rId337" Type="http://schemas.openxmlformats.org/officeDocument/2006/relationships/hyperlink" Target="http://ufcstats.com/fight-details/fd49f89b9d97566b" TargetMode="External"/><Relationship Id="rId34" Type="http://schemas.openxmlformats.org/officeDocument/2006/relationships/hyperlink" Target="http://ufcstats.com/fight-details/521a0e016878d174" TargetMode="External"/><Relationship Id="rId76" Type="http://schemas.openxmlformats.org/officeDocument/2006/relationships/hyperlink" Target="http://ufcstats.com/fight-details/14c505d7ad55883c" TargetMode="External"/><Relationship Id="rId141" Type="http://schemas.openxmlformats.org/officeDocument/2006/relationships/hyperlink" Target="http://ufcstats.com/fight-details/b0cb6a1da8e0da81" TargetMode="External"/><Relationship Id="rId7" Type="http://schemas.openxmlformats.org/officeDocument/2006/relationships/hyperlink" Target="http://ufcstats.com/fight-details/ee278a5a25744cac" TargetMode="External"/><Relationship Id="rId183" Type="http://schemas.openxmlformats.org/officeDocument/2006/relationships/hyperlink" Target="http://ufcstats.com/fight-details/81bb4d9b214adf4b" TargetMode="External"/><Relationship Id="rId239" Type="http://schemas.openxmlformats.org/officeDocument/2006/relationships/hyperlink" Target="http://ufcstats.com/fight-details/1671723154d8e324" TargetMode="External"/><Relationship Id="rId250" Type="http://schemas.openxmlformats.org/officeDocument/2006/relationships/hyperlink" Target="http://ufcstats.com/fight-details/7ce7075951c9aa31" TargetMode="External"/><Relationship Id="rId292" Type="http://schemas.openxmlformats.org/officeDocument/2006/relationships/hyperlink" Target="http://ufcstats.com/fight-details/bb4755924dfafaea" TargetMode="External"/><Relationship Id="rId306" Type="http://schemas.openxmlformats.org/officeDocument/2006/relationships/hyperlink" Target="http://ufcstats.com/fight-details/0af90a49f0ca1879" TargetMode="External"/><Relationship Id="rId45" Type="http://schemas.openxmlformats.org/officeDocument/2006/relationships/hyperlink" Target="http://ufcstats.com/fight-details/f4d8266a42a41dff" TargetMode="External"/><Relationship Id="rId87" Type="http://schemas.openxmlformats.org/officeDocument/2006/relationships/hyperlink" Target="http://ufcstats.com/fight-details/78e554aa129711ba" TargetMode="External"/><Relationship Id="rId110" Type="http://schemas.openxmlformats.org/officeDocument/2006/relationships/hyperlink" Target="http://ufcstats.com/fight-details/7e1ae27779ac6ba5" TargetMode="External"/><Relationship Id="rId152" Type="http://schemas.openxmlformats.org/officeDocument/2006/relationships/hyperlink" Target="http://ufcstats.com/fight-details/2c54be25b09fce50" TargetMode="External"/><Relationship Id="rId173" Type="http://schemas.openxmlformats.org/officeDocument/2006/relationships/hyperlink" Target="http://ufcstats.com/fight-details/783761d95060ffc4" TargetMode="External"/><Relationship Id="rId194" Type="http://schemas.openxmlformats.org/officeDocument/2006/relationships/hyperlink" Target="http://ufcstats.com/fight-details/db026ff6eee4d174" TargetMode="External"/><Relationship Id="rId208" Type="http://schemas.openxmlformats.org/officeDocument/2006/relationships/hyperlink" Target="http://ufcstats.com/fight-details/c19f394f3c237789" TargetMode="External"/><Relationship Id="rId229" Type="http://schemas.openxmlformats.org/officeDocument/2006/relationships/hyperlink" Target="http://ufcstats.com/fight-details/14e7bb7a9d49450d" TargetMode="External"/><Relationship Id="rId240" Type="http://schemas.openxmlformats.org/officeDocument/2006/relationships/hyperlink" Target="http://ufcstats.com/fight-details/8d4a475e48722fea" TargetMode="External"/><Relationship Id="rId261" Type="http://schemas.openxmlformats.org/officeDocument/2006/relationships/hyperlink" Target="http://ufcstats.com/fight-details/e97b609eefc5fd61" TargetMode="External"/><Relationship Id="rId14" Type="http://schemas.openxmlformats.org/officeDocument/2006/relationships/hyperlink" Target="http://ufcstats.com/fight-details/b70dfff154b135bf" TargetMode="External"/><Relationship Id="rId35" Type="http://schemas.openxmlformats.org/officeDocument/2006/relationships/hyperlink" Target="http://ufcstats.com/fight-details/2c0496a5f39ab8a4" TargetMode="External"/><Relationship Id="rId56" Type="http://schemas.openxmlformats.org/officeDocument/2006/relationships/hyperlink" Target="http://ufcstats.com/fight-details/9127a6430e46292c" TargetMode="External"/><Relationship Id="rId77" Type="http://schemas.openxmlformats.org/officeDocument/2006/relationships/hyperlink" Target="http://ufcstats.com/fight-details/9ee818e10dcf3b45" TargetMode="External"/><Relationship Id="rId100" Type="http://schemas.openxmlformats.org/officeDocument/2006/relationships/hyperlink" Target="http://ufcstats.com/fight-details/0549b655619774c5" TargetMode="External"/><Relationship Id="rId282" Type="http://schemas.openxmlformats.org/officeDocument/2006/relationships/hyperlink" Target="http://ufcstats.com/fight-details/a5e240bcd7731725" TargetMode="External"/><Relationship Id="rId317" Type="http://schemas.openxmlformats.org/officeDocument/2006/relationships/hyperlink" Target="http://ufcstats.com/fight-details/6a315ef5bf22af29" TargetMode="External"/><Relationship Id="rId8" Type="http://schemas.openxmlformats.org/officeDocument/2006/relationships/hyperlink" Target="http://ufcstats.com/fight-details/744627aec853874e" TargetMode="External"/><Relationship Id="rId98" Type="http://schemas.openxmlformats.org/officeDocument/2006/relationships/hyperlink" Target="http://ufcstats.com/fight-details/fe132ef2ab8ae9d2" TargetMode="External"/><Relationship Id="rId121" Type="http://schemas.openxmlformats.org/officeDocument/2006/relationships/hyperlink" Target="http://ufcstats.com/fight-details/5b9f545890407976" TargetMode="External"/><Relationship Id="rId142" Type="http://schemas.openxmlformats.org/officeDocument/2006/relationships/hyperlink" Target="http://ufcstats.com/fight-details/0fa31c9f7495810b" TargetMode="External"/><Relationship Id="rId163" Type="http://schemas.openxmlformats.org/officeDocument/2006/relationships/hyperlink" Target="http://ufcstats.com/fight-details/948da1b7ebbb06b3" TargetMode="External"/><Relationship Id="rId184" Type="http://schemas.openxmlformats.org/officeDocument/2006/relationships/hyperlink" Target="http://ufcstats.com/fight-details/0f3a91caeaa55094" TargetMode="External"/><Relationship Id="rId219" Type="http://schemas.openxmlformats.org/officeDocument/2006/relationships/hyperlink" Target="http://ufcstats.com/fight-details/d988760df61f027c" TargetMode="External"/><Relationship Id="rId230" Type="http://schemas.openxmlformats.org/officeDocument/2006/relationships/hyperlink" Target="http://ufcstats.com/fight-details/451d7d8c2a6bacb3" TargetMode="External"/><Relationship Id="rId251" Type="http://schemas.openxmlformats.org/officeDocument/2006/relationships/hyperlink" Target="http://ufcstats.com/fight-details/20063242f6e40d31" TargetMode="External"/><Relationship Id="rId25" Type="http://schemas.openxmlformats.org/officeDocument/2006/relationships/hyperlink" Target="http://ufcstats.com/fight-details/36220644401d85e1" TargetMode="External"/><Relationship Id="rId46" Type="http://schemas.openxmlformats.org/officeDocument/2006/relationships/hyperlink" Target="http://ufcstats.com/fight-details/47b1cd4e3e2595f8" TargetMode="External"/><Relationship Id="rId67" Type="http://schemas.openxmlformats.org/officeDocument/2006/relationships/hyperlink" Target="http://ufcstats.com/fight-details/94c0819fde11364d" TargetMode="External"/><Relationship Id="rId272" Type="http://schemas.openxmlformats.org/officeDocument/2006/relationships/hyperlink" Target="http://ufcstats.com/fight-details/e4931f3ab3bf4141" TargetMode="External"/><Relationship Id="rId293" Type="http://schemas.openxmlformats.org/officeDocument/2006/relationships/hyperlink" Target="http://ufcstats.com/fight-details/8cf6b22995c9efb8" TargetMode="External"/><Relationship Id="rId307" Type="http://schemas.openxmlformats.org/officeDocument/2006/relationships/hyperlink" Target="http://ufcstats.com/fight-details/45500515780758f0" TargetMode="External"/><Relationship Id="rId328" Type="http://schemas.openxmlformats.org/officeDocument/2006/relationships/hyperlink" Target="http://ufcstats.com/fight-details/1d8ee477e682a8fc" TargetMode="External"/><Relationship Id="rId88" Type="http://schemas.openxmlformats.org/officeDocument/2006/relationships/hyperlink" Target="http://ufcstats.com/fight-details/6afaf0ca45431a11" TargetMode="External"/><Relationship Id="rId111" Type="http://schemas.openxmlformats.org/officeDocument/2006/relationships/hyperlink" Target="http://ufcstats.com/fight-details/aa62b8f58fc09790" TargetMode="External"/><Relationship Id="rId132" Type="http://schemas.openxmlformats.org/officeDocument/2006/relationships/hyperlink" Target="http://ufcstats.com/fight-details/49694c2d00c581ed" TargetMode="External"/><Relationship Id="rId153" Type="http://schemas.openxmlformats.org/officeDocument/2006/relationships/hyperlink" Target="http://ufcstats.com/fight-details/4c7390e4d169f6ff" TargetMode="External"/><Relationship Id="rId174" Type="http://schemas.openxmlformats.org/officeDocument/2006/relationships/hyperlink" Target="http://ufcstats.com/fight-details/c57a4810c932b296" TargetMode="External"/><Relationship Id="rId195" Type="http://schemas.openxmlformats.org/officeDocument/2006/relationships/hyperlink" Target="http://ufcstats.com/fight-details/8a9c8f1d53d8c664" TargetMode="External"/><Relationship Id="rId209" Type="http://schemas.openxmlformats.org/officeDocument/2006/relationships/hyperlink" Target="http://ufcstats.com/fight-details/e8c57c6259193466" TargetMode="External"/><Relationship Id="rId220" Type="http://schemas.openxmlformats.org/officeDocument/2006/relationships/hyperlink" Target="http://ufcstats.com/fight-details/1669773acd404217" TargetMode="External"/><Relationship Id="rId241" Type="http://schemas.openxmlformats.org/officeDocument/2006/relationships/hyperlink" Target="http://ufcstats.com/fight-details/0e809b7e37681783" TargetMode="External"/><Relationship Id="rId15" Type="http://schemas.openxmlformats.org/officeDocument/2006/relationships/hyperlink" Target="http://ufcstats.com/fight-details/2b8cae68963a40a9" TargetMode="External"/><Relationship Id="rId36" Type="http://schemas.openxmlformats.org/officeDocument/2006/relationships/hyperlink" Target="http://ufcstats.com/fight-details/8794031c523bf534" TargetMode="External"/><Relationship Id="rId57" Type="http://schemas.openxmlformats.org/officeDocument/2006/relationships/hyperlink" Target="http://ufcstats.com/fight-details/cd5d9828b278181a" TargetMode="External"/><Relationship Id="rId262" Type="http://schemas.openxmlformats.org/officeDocument/2006/relationships/hyperlink" Target="http://ufcstats.com/fight-details/478bc7d1288e043e" TargetMode="External"/><Relationship Id="rId283" Type="http://schemas.openxmlformats.org/officeDocument/2006/relationships/hyperlink" Target="http://ufcstats.com/fight-details/48292a027df02443" TargetMode="External"/><Relationship Id="rId318" Type="http://schemas.openxmlformats.org/officeDocument/2006/relationships/hyperlink" Target="http://ufcstats.com/fight-details/61f80a1732d37288" TargetMode="External"/><Relationship Id="rId78" Type="http://schemas.openxmlformats.org/officeDocument/2006/relationships/hyperlink" Target="http://ufcstats.com/fight-details/438fbdd4cf27e324" TargetMode="External"/><Relationship Id="rId99" Type="http://schemas.openxmlformats.org/officeDocument/2006/relationships/hyperlink" Target="http://ufcstats.com/fight-details/1cca8ba792f1e1d9" TargetMode="External"/><Relationship Id="rId101" Type="http://schemas.openxmlformats.org/officeDocument/2006/relationships/hyperlink" Target="http://ufcstats.com/fight-details/424221c96ee13ceb" TargetMode="External"/><Relationship Id="rId122" Type="http://schemas.openxmlformats.org/officeDocument/2006/relationships/hyperlink" Target="http://ufcstats.com/fight-details/9fc85aef42733a16" TargetMode="External"/><Relationship Id="rId143" Type="http://schemas.openxmlformats.org/officeDocument/2006/relationships/hyperlink" Target="http://ufcstats.com/fight-details/47e49e04e32be7e9" TargetMode="External"/><Relationship Id="rId164" Type="http://schemas.openxmlformats.org/officeDocument/2006/relationships/hyperlink" Target="http://ufcstats.com/fight-details/995e79b951da945b" TargetMode="External"/><Relationship Id="rId185" Type="http://schemas.openxmlformats.org/officeDocument/2006/relationships/hyperlink" Target="http://ufcstats.com/fight-details/00be3852000f8fe9" TargetMode="External"/><Relationship Id="rId9" Type="http://schemas.openxmlformats.org/officeDocument/2006/relationships/hyperlink" Target="http://ufcstats.com/fight-details/ec8d93ae99a7799d" TargetMode="External"/><Relationship Id="rId210" Type="http://schemas.openxmlformats.org/officeDocument/2006/relationships/hyperlink" Target="http://ufcstats.com/fight-details/0f8b2f7299b5e114" TargetMode="External"/><Relationship Id="rId26" Type="http://schemas.openxmlformats.org/officeDocument/2006/relationships/hyperlink" Target="http://ufcstats.com/fight-details/8ec7d82619bfb564" TargetMode="External"/><Relationship Id="rId231" Type="http://schemas.openxmlformats.org/officeDocument/2006/relationships/hyperlink" Target="http://ufcstats.com/fight-details/f2b407019b2a5c15" TargetMode="External"/><Relationship Id="rId252" Type="http://schemas.openxmlformats.org/officeDocument/2006/relationships/hyperlink" Target="http://ufcstats.com/fight-details/f10c2c84652ef573" TargetMode="External"/><Relationship Id="rId273" Type="http://schemas.openxmlformats.org/officeDocument/2006/relationships/hyperlink" Target="http://ufcstats.com/fight-details/9f96d11017f9c824" TargetMode="External"/><Relationship Id="rId294" Type="http://schemas.openxmlformats.org/officeDocument/2006/relationships/hyperlink" Target="http://ufcstats.com/fight-details/5d1f24e034772338" TargetMode="External"/><Relationship Id="rId308" Type="http://schemas.openxmlformats.org/officeDocument/2006/relationships/hyperlink" Target="http://ufcstats.com/fight-details/6ef12db5b099ec81" TargetMode="External"/><Relationship Id="rId329" Type="http://schemas.openxmlformats.org/officeDocument/2006/relationships/hyperlink" Target="http://ufcstats.com/fight-details/96b59d89ecac66d0" TargetMode="External"/><Relationship Id="rId47" Type="http://schemas.openxmlformats.org/officeDocument/2006/relationships/hyperlink" Target="http://ufcstats.com/fight-details/6a4ba72b084193b5" TargetMode="External"/><Relationship Id="rId68" Type="http://schemas.openxmlformats.org/officeDocument/2006/relationships/hyperlink" Target="http://ufcstats.com/fight-details/6195d3e7c412c8a2" TargetMode="External"/><Relationship Id="rId89" Type="http://schemas.openxmlformats.org/officeDocument/2006/relationships/hyperlink" Target="http://ufcstats.com/fight-details/89f83750703d5fd3" TargetMode="External"/><Relationship Id="rId112" Type="http://schemas.openxmlformats.org/officeDocument/2006/relationships/hyperlink" Target="http://ufcstats.com/fight-details/6a9ea8e420a52a21" TargetMode="External"/><Relationship Id="rId133" Type="http://schemas.openxmlformats.org/officeDocument/2006/relationships/hyperlink" Target="http://ufcstats.com/fight-details/56f984ac83fb34cc" TargetMode="External"/><Relationship Id="rId154" Type="http://schemas.openxmlformats.org/officeDocument/2006/relationships/hyperlink" Target="http://ufcstats.com/fight-details/59695aae245cca73" TargetMode="External"/><Relationship Id="rId175" Type="http://schemas.openxmlformats.org/officeDocument/2006/relationships/hyperlink" Target="http://ufcstats.com/fight-details/1a484c452623181e" TargetMode="External"/><Relationship Id="rId196" Type="http://schemas.openxmlformats.org/officeDocument/2006/relationships/hyperlink" Target="http://ufcstats.com/fight-details/5e2ce5aa3a92c2df" TargetMode="External"/><Relationship Id="rId200" Type="http://schemas.openxmlformats.org/officeDocument/2006/relationships/hyperlink" Target="http://ufcstats.com/fight-details/e5a9f75b1117d848" TargetMode="External"/><Relationship Id="rId16" Type="http://schemas.openxmlformats.org/officeDocument/2006/relationships/hyperlink" Target="http://ufcstats.com/fight-details/c63edd25d2201a46" TargetMode="External"/><Relationship Id="rId221" Type="http://schemas.openxmlformats.org/officeDocument/2006/relationships/hyperlink" Target="http://ufcstats.com/fight-details/c33257dd0605c7de" TargetMode="External"/><Relationship Id="rId242" Type="http://schemas.openxmlformats.org/officeDocument/2006/relationships/hyperlink" Target="http://ufcstats.com/fight-details/5e794b8ef52c88cb" TargetMode="External"/><Relationship Id="rId263" Type="http://schemas.openxmlformats.org/officeDocument/2006/relationships/hyperlink" Target="http://ufcstats.com/fight-details/106088694fa0c682" TargetMode="External"/><Relationship Id="rId284" Type="http://schemas.openxmlformats.org/officeDocument/2006/relationships/hyperlink" Target="http://ufcstats.com/fight-details/d1bee15e60ee6721" TargetMode="External"/><Relationship Id="rId319" Type="http://schemas.openxmlformats.org/officeDocument/2006/relationships/hyperlink" Target="http://ufcstats.com/fight-details/bda97d9a44a89d52" TargetMode="External"/><Relationship Id="rId37" Type="http://schemas.openxmlformats.org/officeDocument/2006/relationships/hyperlink" Target="http://ufcstats.com/fight-details/99808befeece3a8a" TargetMode="External"/><Relationship Id="rId58" Type="http://schemas.openxmlformats.org/officeDocument/2006/relationships/hyperlink" Target="http://ufcstats.com/fight-details/04a788abbbd1f256" TargetMode="External"/><Relationship Id="rId79" Type="http://schemas.openxmlformats.org/officeDocument/2006/relationships/hyperlink" Target="http://ufcstats.com/fight-details/3c5442bb62ca1505" TargetMode="External"/><Relationship Id="rId102" Type="http://schemas.openxmlformats.org/officeDocument/2006/relationships/hyperlink" Target="http://ufcstats.com/fight-details/ad61d042c43451a8" TargetMode="External"/><Relationship Id="rId123" Type="http://schemas.openxmlformats.org/officeDocument/2006/relationships/hyperlink" Target="http://ufcstats.com/fight-details/a049c12f43914449" TargetMode="External"/><Relationship Id="rId144" Type="http://schemas.openxmlformats.org/officeDocument/2006/relationships/hyperlink" Target="http://ufcstats.com/fight-details/5abcf9f282983acc" TargetMode="External"/><Relationship Id="rId330" Type="http://schemas.openxmlformats.org/officeDocument/2006/relationships/hyperlink" Target="http://ufcstats.com/fight-details/a3d75cc363a6544b" TargetMode="External"/><Relationship Id="rId90" Type="http://schemas.openxmlformats.org/officeDocument/2006/relationships/hyperlink" Target="http://ufcstats.com/fight-details/3e5a3ecd2b123fc2" TargetMode="External"/><Relationship Id="rId165" Type="http://schemas.openxmlformats.org/officeDocument/2006/relationships/hyperlink" Target="http://ufcstats.com/fight-details/a2af14e9dba37b03" TargetMode="External"/><Relationship Id="rId186" Type="http://schemas.openxmlformats.org/officeDocument/2006/relationships/hyperlink" Target="http://ufcstats.com/fight-details/801b3f24c670f19a" TargetMode="External"/><Relationship Id="rId211" Type="http://schemas.openxmlformats.org/officeDocument/2006/relationships/hyperlink" Target="http://ufcstats.com/fight-details/0e969ae805006d1f" TargetMode="External"/><Relationship Id="rId232" Type="http://schemas.openxmlformats.org/officeDocument/2006/relationships/hyperlink" Target="http://ufcstats.com/fight-details/e1100fc357e61fba" TargetMode="External"/><Relationship Id="rId253" Type="http://schemas.openxmlformats.org/officeDocument/2006/relationships/hyperlink" Target="http://ufcstats.com/fight-details/2116affb9c8f193b" TargetMode="External"/><Relationship Id="rId274" Type="http://schemas.openxmlformats.org/officeDocument/2006/relationships/hyperlink" Target="http://ufcstats.com/fight-details/b1f2ec122beda7a5" TargetMode="External"/><Relationship Id="rId295" Type="http://schemas.openxmlformats.org/officeDocument/2006/relationships/hyperlink" Target="http://ufcstats.com/fight-details/2b417eb1ffa56ac1" TargetMode="External"/><Relationship Id="rId309" Type="http://schemas.openxmlformats.org/officeDocument/2006/relationships/hyperlink" Target="http://ufcstats.com/fight-details/01f396a7372dc8ff" TargetMode="External"/><Relationship Id="rId27" Type="http://schemas.openxmlformats.org/officeDocument/2006/relationships/hyperlink" Target="http://ufcstats.com/fight-details/c04274c8caa505dd" TargetMode="External"/><Relationship Id="rId48" Type="http://schemas.openxmlformats.org/officeDocument/2006/relationships/hyperlink" Target="http://ufcstats.com/fight-details/d5323490163dde0e" TargetMode="External"/><Relationship Id="rId69" Type="http://schemas.openxmlformats.org/officeDocument/2006/relationships/hyperlink" Target="http://ufcstats.com/fight-details/6087c50c5f95a677" TargetMode="External"/><Relationship Id="rId113" Type="http://schemas.openxmlformats.org/officeDocument/2006/relationships/hyperlink" Target="http://ufcstats.com/fight-details/868c83e734dbbceb" TargetMode="External"/><Relationship Id="rId134" Type="http://schemas.openxmlformats.org/officeDocument/2006/relationships/hyperlink" Target="http://ufcstats.com/fight-details/138c8807fef52564" TargetMode="External"/><Relationship Id="rId320" Type="http://schemas.openxmlformats.org/officeDocument/2006/relationships/hyperlink" Target="http://ufcstats.com/fight-details/a27a9b7b8194e8fc" TargetMode="External"/><Relationship Id="rId80" Type="http://schemas.openxmlformats.org/officeDocument/2006/relationships/hyperlink" Target="http://ufcstats.com/fight-details/30eaf1650bc359b3" TargetMode="External"/><Relationship Id="rId155" Type="http://schemas.openxmlformats.org/officeDocument/2006/relationships/hyperlink" Target="http://ufcstats.com/fight-details/62389e8fb68f93a4" TargetMode="External"/><Relationship Id="rId176" Type="http://schemas.openxmlformats.org/officeDocument/2006/relationships/hyperlink" Target="http://ufcstats.com/fight-details/e83046dd074ec0fa" TargetMode="External"/><Relationship Id="rId197" Type="http://schemas.openxmlformats.org/officeDocument/2006/relationships/hyperlink" Target="http://ufcstats.com/fight-details/a3ef3d05ddd80a94" TargetMode="External"/><Relationship Id="rId201" Type="http://schemas.openxmlformats.org/officeDocument/2006/relationships/hyperlink" Target="http://ufcstats.com/fight-details/eedcb6c5d163e581" TargetMode="External"/><Relationship Id="rId222" Type="http://schemas.openxmlformats.org/officeDocument/2006/relationships/hyperlink" Target="http://ufcstats.com/fight-details/6532b71560ae39e0" TargetMode="External"/><Relationship Id="rId243" Type="http://schemas.openxmlformats.org/officeDocument/2006/relationships/hyperlink" Target="http://ufcstats.com/fight-details/0dc2fc8d39e226a3" TargetMode="External"/><Relationship Id="rId264" Type="http://schemas.openxmlformats.org/officeDocument/2006/relationships/hyperlink" Target="http://ufcstats.com/fight-details/50e675146cda6e7c" TargetMode="External"/><Relationship Id="rId285" Type="http://schemas.openxmlformats.org/officeDocument/2006/relationships/hyperlink" Target="http://ufcstats.com/fight-details/a8718a3419a11e15" TargetMode="External"/><Relationship Id="rId17" Type="http://schemas.openxmlformats.org/officeDocument/2006/relationships/hyperlink" Target="http://ufcstats.com/fight-details/f820c6292e19d854" TargetMode="External"/><Relationship Id="rId38" Type="http://schemas.openxmlformats.org/officeDocument/2006/relationships/hyperlink" Target="http://ufcstats.com/fight-details/c501576b8ec35758" TargetMode="External"/><Relationship Id="rId59" Type="http://schemas.openxmlformats.org/officeDocument/2006/relationships/hyperlink" Target="http://ufcstats.com/fight-details/3a4e2dffcdd1c838" TargetMode="External"/><Relationship Id="rId103" Type="http://schemas.openxmlformats.org/officeDocument/2006/relationships/hyperlink" Target="http://ufcstats.com/fight-details/26779cfb01372664" TargetMode="External"/><Relationship Id="rId124" Type="http://schemas.openxmlformats.org/officeDocument/2006/relationships/hyperlink" Target="http://ufcstats.com/fight-details/c0329bd8d3b302c6" TargetMode="External"/><Relationship Id="rId310" Type="http://schemas.openxmlformats.org/officeDocument/2006/relationships/hyperlink" Target="http://ufcstats.com/fight-details/25548d526c3a7587" TargetMode="External"/><Relationship Id="rId70" Type="http://schemas.openxmlformats.org/officeDocument/2006/relationships/hyperlink" Target="http://ufcstats.com/fight-details/408fc024d3e91b0e" TargetMode="External"/><Relationship Id="rId91" Type="http://schemas.openxmlformats.org/officeDocument/2006/relationships/hyperlink" Target="http://ufcstats.com/fight-details/7f3bd3b913df61f4" TargetMode="External"/><Relationship Id="rId145" Type="http://schemas.openxmlformats.org/officeDocument/2006/relationships/hyperlink" Target="http://ufcstats.com/fight-details/1ff520024da5b3b2" TargetMode="External"/><Relationship Id="rId166" Type="http://schemas.openxmlformats.org/officeDocument/2006/relationships/hyperlink" Target="http://ufcstats.com/fight-details/413a4c217ee0193f" TargetMode="External"/><Relationship Id="rId187" Type="http://schemas.openxmlformats.org/officeDocument/2006/relationships/hyperlink" Target="http://ufcstats.com/fight-details/1687e2cd061b7aec" TargetMode="External"/><Relationship Id="rId331" Type="http://schemas.openxmlformats.org/officeDocument/2006/relationships/hyperlink" Target="http://ufcstats.com/fight-details/29f40d82bd128c65" TargetMode="External"/><Relationship Id="rId1" Type="http://schemas.openxmlformats.org/officeDocument/2006/relationships/hyperlink" Target="http://ufcstats.com/fight-details/ec03739c836fadc8" TargetMode="External"/><Relationship Id="rId212" Type="http://schemas.openxmlformats.org/officeDocument/2006/relationships/hyperlink" Target="http://ufcstats.com/fight-details/23eec2d9cb2d78cd" TargetMode="External"/><Relationship Id="rId233" Type="http://schemas.openxmlformats.org/officeDocument/2006/relationships/hyperlink" Target="http://ufcstats.com/fight-details/25cd989ac5569629" TargetMode="External"/><Relationship Id="rId254" Type="http://schemas.openxmlformats.org/officeDocument/2006/relationships/hyperlink" Target="http://ufcstats.com/fight-details/91093a019d32af2e" TargetMode="External"/><Relationship Id="rId28" Type="http://schemas.openxmlformats.org/officeDocument/2006/relationships/hyperlink" Target="http://ufcstats.com/fight-details/3c3a9c1ec0604fc2" TargetMode="External"/><Relationship Id="rId49" Type="http://schemas.openxmlformats.org/officeDocument/2006/relationships/hyperlink" Target="http://ufcstats.com/fight-details/3bebd99d5f94bec7" TargetMode="External"/><Relationship Id="rId114" Type="http://schemas.openxmlformats.org/officeDocument/2006/relationships/hyperlink" Target="http://ufcstats.com/fight-details/8aa16cc1ba99aac1" TargetMode="External"/><Relationship Id="rId275" Type="http://schemas.openxmlformats.org/officeDocument/2006/relationships/hyperlink" Target="http://ufcstats.com/fight-details/4c12c9085200121f" TargetMode="External"/><Relationship Id="rId296" Type="http://schemas.openxmlformats.org/officeDocument/2006/relationships/hyperlink" Target="http://ufcstats.com/fight-details/92b98afec5eb4e05" TargetMode="External"/><Relationship Id="rId300" Type="http://schemas.openxmlformats.org/officeDocument/2006/relationships/hyperlink" Target="http://ufcstats.com/fight-details/9c79433a4686f3fc" TargetMode="External"/><Relationship Id="rId60" Type="http://schemas.openxmlformats.org/officeDocument/2006/relationships/hyperlink" Target="http://ufcstats.com/fight-details/bc86601cf781a89c" TargetMode="External"/><Relationship Id="rId81" Type="http://schemas.openxmlformats.org/officeDocument/2006/relationships/hyperlink" Target="http://ufcstats.com/fight-details/e0e19f79019d63d2" TargetMode="External"/><Relationship Id="rId135" Type="http://schemas.openxmlformats.org/officeDocument/2006/relationships/hyperlink" Target="http://ufcstats.com/fight-details/b3847772199e2639" TargetMode="External"/><Relationship Id="rId156" Type="http://schemas.openxmlformats.org/officeDocument/2006/relationships/hyperlink" Target="http://ufcstats.com/fight-details/34c649f3f43a919b" TargetMode="External"/><Relationship Id="rId177" Type="http://schemas.openxmlformats.org/officeDocument/2006/relationships/hyperlink" Target="http://ufcstats.com/fight-details/e4862c4f20117cb8" TargetMode="External"/><Relationship Id="rId198" Type="http://schemas.openxmlformats.org/officeDocument/2006/relationships/hyperlink" Target="http://ufcstats.com/fight-details/19d1ae54681bc722" TargetMode="External"/><Relationship Id="rId321" Type="http://schemas.openxmlformats.org/officeDocument/2006/relationships/hyperlink" Target="http://ufcstats.com/fight-details/af8ea6db042674ef" TargetMode="External"/><Relationship Id="rId202" Type="http://schemas.openxmlformats.org/officeDocument/2006/relationships/hyperlink" Target="http://ufcstats.com/fight-details/04970dfa4d531e39" TargetMode="External"/><Relationship Id="rId223" Type="http://schemas.openxmlformats.org/officeDocument/2006/relationships/hyperlink" Target="http://ufcstats.com/fight-details/2be2c9ddfbee0cd4" TargetMode="External"/><Relationship Id="rId244" Type="http://schemas.openxmlformats.org/officeDocument/2006/relationships/hyperlink" Target="http://ufcstats.com/fight-details/394802bb096b403e" TargetMode="External"/><Relationship Id="rId18" Type="http://schemas.openxmlformats.org/officeDocument/2006/relationships/hyperlink" Target="http://ufcstats.com/fight-details/36d90f1812f0d432" TargetMode="External"/><Relationship Id="rId39" Type="http://schemas.openxmlformats.org/officeDocument/2006/relationships/hyperlink" Target="http://ufcstats.com/fight-details/792f139c2b9fd294" TargetMode="External"/><Relationship Id="rId265" Type="http://schemas.openxmlformats.org/officeDocument/2006/relationships/hyperlink" Target="http://ufcstats.com/fight-details/6b92396d42918366" TargetMode="External"/><Relationship Id="rId286" Type="http://schemas.openxmlformats.org/officeDocument/2006/relationships/hyperlink" Target="http://ufcstats.com/fight-details/74dae3d87a99cf5d" TargetMode="External"/><Relationship Id="rId50" Type="http://schemas.openxmlformats.org/officeDocument/2006/relationships/hyperlink" Target="http://ufcstats.com/fight-details/42b28adbed6966b7" TargetMode="External"/><Relationship Id="rId104" Type="http://schemas.openxmlformats.org/officeDocument/2006/relationships/hyperlink" Target="http://ufcstats.com/fight-details/17c598d7841daae0" TargetMode="External"/><Relationship Id="rId125" Type="http://schemas.openxmlformats.org/officeDocument/2006/relationships/hyperlink" Target="http://ufcstats.com/fight-details/44cfd4330eb6e2bf" TargetMode="External"/><Relationship Id="rId146" Type="http://schemas.openxmlformats.org/officeDocument/2006/relationships/hyperlink" Target="http://ufcstats.com/fight-details/4944437e73071671" TargetMode="External"/><Relationship Id="rId167" Type="http://schemas.openxmlformats.org/officeDocument/2006/relationships/hyperlink" Target="http://ufcstats.com/fight-details/dae2484418631ff5" TargetMode="External"/><Relationship Id="rId188" Type="http://schemas.openxmlformats.org/officeDocument/2006/relationships/hyperlink" Target="http://ufcstats.com/fight-details/a5d2f0fed3ce2899" TargetMode="External"/><Relationship Id="rId311" Type="http://schemas.openxmlformats.org/officeDocument/2006/relationships/hyperlink" Target="http://ufcstats.com/fight-details/0730c4e6fb247fa1" TargetMode="External"/><Relationship Id="rId332" Type="http://schemas.openxmlformats.org/officeDocument/2006/relationships/hyperlink" Target="http://ufcstats.com/fight-details/714d6fc1eaca9624" TargetMode="External"/><Relationship Id="rId71" Type="http://schemas.openxmlformats.org/officeDocument/2006/relationships/hyperlink" Target="http://ufcstats.com/fight-details/cd6b799ec79c489a" TargetMode="External"/><Relationship Id="rId92" Type="http://schemas.openxmlformats.org/officeDocument/2006/relationships/hyperlink" Target="http://ufcstats.com/fight-details/4291b38643547fa7" TargetMode="External"/><Relationship Id="rId213" Type="http://schemas.openxmlformats.org/officeDocument/2006/relationships/hyperlink" Target="http://ufcstats.com/fight-details/cd55220a7b1378c4" TargetMode="External"/><Relationship Id="rId234" Type="http://schemas.openxmlformats.org/officeDocument/2006/relationships/hyperlink" Target="http://ufcstats.com/fight-details/058c2724dec1add1" TargetMode="External"/><Relationship Id="rId2" Type="http://schemas.openxmlformats.org/officeDocument/2006/relationships/hyperlink" Target="http://ufcstats.com/fight-details/f990e8b2a08053db" TargetMode="External"/><Relationship Id="rId29" Type="http://schemas.openxmlformats.org/officeDocument/2006/relationships/hyperlink" Target="http://ufcstats.com/fight-details/8fcdfee81cc604e3" TargetMode="External"/><Relationship Id="rId255" Type="http://schemas.openxmlformats.org/officeDocument/2006/relationships/hyperlink" Target="http://ufcstats.com/fight-details/34524408fb4d6752" TargetMode="External"/><Relationship Id="rId276" Type="http://schemas.openxmlformats.org/officeDocument/2006/relationships/hyperlink" Target="http://ufcstats.com/fight-details/ceaae1db8ccde29c" TargetMode="External"/><Relationship Id="rId297" Type="http://schemas.openxmlformats.org/officeDocument/2006/relationships/hyperlink" Target="http://ufcstats.com/fight-details/a3b7cbdb6d2607f4" TargetMode="External"/><Relationship Id="rId40" Type="http://schemas.openxmlformats.org/officeDocument/2006/relationships/hyperlink" Target="http://ufcstats.com/fight-details/8d5b88e0ff253617" TargetMode="External"/><Relationship Id="rId115" Type="http://schemas.openxmlformats.org/officeDocument/2006/relationships/hyperlink" Target="http://ufcstats.com/fight-details/860be3cc82895177" TargetMode="External"/><Relationship Id="rId136" Type="http://schemas.openxmlformats.org/officeDocument/2006/relationships/hyperlink" Target="http://ufcstats.com/fight-details/3d46d635f9ae5e68" TargetMode="External"/><Relationship Id="rId157" Type="http://schemas.openxmlformats.org/officeDocument/2006/relationships/hyperlink" Target="http://ufcstats.com/fight-details/55bd050afe169b34" TargetMode="External"/><Relationship Id="rId178" Type="http://schemas.openxmlformats.org/officeDocument/2006/relationships/hyperlink" Target="http://ufcstats.com/fight-details/f7865e5a6d009a87" TargetMode="External"/><Relationship Id="rId301" Type="http://schemas.openxmlformats.org/officeDocument/2006/relationships/hyperlink" Target="http://ufcstats.com/fight-details/b6e086dd8093355d" TargetMode="External"/><Relationship Id="rId322" Type="http://schemas.openxmlformats.org/officeDocument/2006/relationships/hyperlink" Target="http://ufcstats.com/fight-details/911e151d1907197d" TargetMode="External"/><Relationship Id="rId61" Type="http://schemas.openxmlformats.org/officeDocument/2006/relationships/hyperlink" Target="http://ufcstats.com/fight-details/c597fd8bb66d54d8" TargetMode="External"/><Relationship Id="rId82" Type="http://schemas.openxmlformats.org/officeDocument/2006/relationships/hyperlink" Target="http://ufcstats.com/fight-details/afb0d61f22e85d90" TargetMode="External"/><Relationship Id="rId199" Type="http://schemas.openxmlformats.org/officeDocument/2006/relationships/hyperlink" Target="http://ufcstats.com/fight-details/6db4d7827082d5b9" TargetMode="External"/><Relationship Id="rId203" Type="http://schemas.openxmlformats.org/officeDocument/2006/relationships/hyperlink" Target="http://ufcstats.com/fight-details/95f37dc43e808ebf" TargetMode="External"/><Relationship Id="rId19" Type="http://schemas.openxmlformats.org/officeDocument/2006/relationships/hyperlink" Target="http://ufcstats.com/fight-details/826fb989c0e6208e" TargetMode="External"/><Relationship Id="rId224" Type="http://schemas.openxmlformats.org/officeDocument/2006/relationships/hyperlink" Target="http://ufcstats.com/fight-details/531d9676d767da66" TargetMode="External"/><Relationship Id="rId245" Type="http://schemas.openxmlformats.org/officeDocument/2006/relationships/hyperlink" Target="http://ufcstats.com/fight-details/f7cce33f6563dd72" TargetMode="External"/><Relationship Id="rId266" Type="http://schemas.openxmlformats.org/officeDocument/2006/relationships/hyperlink" Target="http://ufcstats.com/fight-details/7cdda45e7d52bf40" TargetMode="External"/><Relationship Id="rId287" Type="http://schemas.openxmlformats.org/officeDocument/2006/relationships/hyperlink" Target="http://ufcstats.com/fight-details/14dbcdbe8e7251bf" TargetMode="External"/><Relationship Id="rId30" Type="http://schemas.openxmlformats.org/officeDocument/2006/relationships/hyperlink" Target="http://ufcstats.com/fight-details/f5de8b2c81e91129" TargetMode="External"/><Relationship Id="rId105" Type="http://schemas.openxmlformats.org/officeDocument/2006/relationships/hyperlink" Target="http://ufcstats.com/fight-details/0bdea30d7a7322f7" TargetMode="External"/><Relationship Id="rId126" Type="http://schemas.openxmlformats.org/officeDocument/2006/relationships/hyperlink" Target="http://ufcstats.com/fight-details/4507354cd97f10e5" TargetMode="External"/><Relationship Id="rId147" Type="http://schemas.openxmlformats.org/officeDocument/2006/relationships/hyperlink" Target="http://ufcstats.com/fight-details/28be3fbe5c377380" TargetMode="External"/><Relationship Id="rId168" Type="http://schemas.openxmlformats.org/officeDocument/2006/relationships/hyperlink" Target="http://ufcstats.com/fight-details/3e1c27f17433f9e4" TargetMode="External"/><Relationship Id="rId312" Type="http://schemas.openxmlformats.org/officeDocument/2006/relationships/hyperlink" Target="http://ufcstats.com/fight-details/53c96668bf850809" TargetMode="External"/><Relationship Id="rId333" Type="http://schemas.openxmlformats.org/officeDocument/2006/relationships/hyperlink" Target="http://ufcstats.com/fight-details/4f9939af9a1d40a3" TargetMode="External"/><Relationship Id="rId51" Type="http://schemas.openxmlformats.org/officeDocument/2006/relationships/hyperlink" Target="http://ufcstats.com/fight-details/88cc78d2d5d6bcaa" TargetMode="External"/><Relationship Id="rId72" Type="http://schemas.openxmlformats.org/officeDocument/2006/relationships/hyperlink" Target="http://ufcstats.com/fight-details/f711b3ec6bc3c407" TargetMode="External"/><Relationship Id="rId93" Type="http://schemas.openxmlformats.org/officeDocument/2006/relationships/hyperlink" Target="http://ufcstats.com/fight-details/e7ad1c3a763c7cae" TargetMode="External"/><Relationship Id="rId189" Type="http://schemas.openxmlformats.org/officeDocument/2006/relationships/hyperlink" Target="http://ufcstats.com/fight-details/981ed463bf5d91a8" TargetMode="External"/><Relationship Id="rId3" Type="http://schemas.openxmlformats.org/officeDocument/2006/relationships/hyperlink" Target="http://ufcstats.com/fight-details/35f9beb94b4ef9e2" TargetMode="External"/><Relationship Id="rId214" Type="http://schemas.openxmlformats.org/officeDocument/2006/relationships/hyperlink" Target="http://ufcstats.com/fight-details/e0f8e1e8cbdd63da" TargetMode="External"/><Relationship Id="rId235" Type="http://schemas.openxmlformats.org/officeDocument/2006/relationships/hyperlink" Target="http://ufcstats.com/fight-details/f41e83de703acf85" TargetMode="External"/><Relationship Id="rId256" Type="http://schemas.openxmlformats.org/officeDocument/2006/relationships/hyperlink" Target="http://ufcstats.com/fight-details/5c281439d20184f1" TargetMode="External"/><Relationship Id="rId277" Type="http://schemas.openxmlformats.org/officeDocument/2006/relationships/hyperlink" Target="http://ufcstats.com/fight-details/934c967872f28b13" TargetMode="External"/><Relationship Id="rId298" Type="http://schemas.openxmlformats.org/officeDocument/2006/relationships/hyperlink" Target="http://ufcstats.com/fight-details/5098d052525da54f" TargetMode="External"/><Relationship Id="rId116" Type="http://schemas.openxmlformats.org/officeDocument/2006/relationships/hyperlink" Target="http://ufcstats.com/fight-details/37c484012ef24a5b" TargetMode="External"/><Relationship Id="rId137" Type="http://schemas.openxmlformats.org/officeDocument/2006/relationships/hyperlink" Target="http://ufcstats.com/fight-details/b0c2442c5a7c509a" TargetMode="External"/><Relationship Id="rId158" Type="http://schemas.openxmlformats.org/officeDocument/2006/relationships/hyperlink" Target="http://ufcstats.com/fight-details/aeb3e4d9710207a4" TargetMode="External"/><Relationship Id="rId302" Type="http://schemas.openxmlformats.org/officeDocument/2006/relationships/hyperlink" Target="http://ufcstats.com/fight-details/766b4f5e77ab0860" TargetMode="External"/><Relationship Id="rId323" Type="http://schemas.openxmlformats.org/officeDocument/2006/relationships/hyperlink" Target="http://ufcstats.com/fight-details/923e151bd990961b" TargetMode="External"/><Relationship Id="rId20" Type="http://schemas.openxmlformats.org/officeDocument/2006/relationships/hyperlink" Target="http://ufcstats.com/fight-details/53d6e37063f9c404" TargetMode="External"/><Relationship Id="rId41" Type="http://schemas.openxmlformats.org/officeDocument/2006/relationships/hyperlink" Target="http://ufcstats.com/fight-details/3f837b469ba33c7c" TargetMode="External"/><Relationship Id="rId62" Type="http://schemas.openxmlformats.org/officeDocument/2006/relationships/hyperlink" Target="http://ufcstats.com/fight-details/5fb63c34935acce9" TargetMode="External"/><Relationship Id="rId83" Type="http://schemas.openxmlformats.org/officeDocument/2006/relationships/hyperlink" Target="http://ufcstats.com/fight-details/a22add1024153ddb" TargetMode="External"/><Relationship Id="rId179" Type="http://schemas.openxmlformats.org/officeDocument/2006/relationships/hyperlink" Target="http://ufcstats.com/fight-details/1290d7eb0fefd3f3" TargetMode="External"/><Relationship Id="rId190" Type="http://schemas.openxmlformats.org/officeDocument/2006/relationships/hyperlink" Target="http://ufcstats.com/fight-details/c770192a9f3261cd" TargetMode="External"/><Relationship Id="rId204" Type="http://schemas.openxmlformats.org/officeDocument/2006/relationships/hyperlink" Target="http://ufcstats.com/fight-details/93969a7368dc2e14" TargetMode="External"/><Relationship Id="rId225" Type="http://schemas.openxmlformats.org/officeDocument/2006/relationships/hyperlink" Target="http://ufcstats.com/fight-details/f8ad660497e49187" TargetMode="External"/><Relationship Id="rId246" Type="http://schemas.openxmlformats.org/officeDocument/2006/relationships/hyperlink" Target="http://ufcstats.com/fight-details/b3e12698e65cf8d0" TargetMode="External"/><Relationship Id="rId267" Type="http://schemas.openxmlformats.org/officeDocument/2006/relationships/hyperlink" Target="http://ufcstats.com/fight-details/a8bc6e005077bb0b" TargetMode="External"/><Relationship Id="rId288" Type="http://schemas.openxmlformats.org/officeDocument/2006/relationships/hyperlink" Target="http://ufcstats.com/fight-details/2fa88b72973478b6" TargetMode="External"/><Relationship Id="rId106" Type="http://schemas.openxmlformats.org/officeDocument/2006/relationships/hyperlink" Target="http://ufcstats.com/fight-details/37008594c087470c" TargetMode="External"/><Relationship Id="rId127" Type="http://schemas.openxmlformats.org/officeDocument/2006/relationships/hyperlink" Target="http://ufcstats.com/fight-details/79be3a6d483ad64a" TargetMode="External"/><Relationship Id="rId313" Type="http://schemas.openxmlformats.org/officeDocument/2006/relationships/hyperlink" Target="http://ufcstats.com/fight-details/c3ca708aaf4262a7" TargetMode="External"/><Relationship Id="rId10" Type="http://schemas.openxmlformats.org/officeDocument/2006/relationships/hyperlink" Target="http://ufcstats.com/fight-details/6002c24f0b7f8cc7" TargetMode="External"/><Relationship Id="rId31" Type="http://schemas.openxmlformats.org/officeDocument/2006/relationships/hyperlink" Target="http://ufcstats.com/fight-details/7bc7af11050e861b" TargetMode="External"/><Relationship Id="rId52" Type="http://schemas.openxmlformats.org/officeDocument/2006/relationships/hyperlink" Target="http://ufcstats.com/fight-details/58b19ba734fe93a3" TargetMode="External"/><Relationship Id="rId73" Type="http://schemas.openxmlformats.org/officeDocument/2006/relationships/hyperlink" Target="http://ufcstats.com/fight-details/a072481f307dc8aa" TargetMode="External"/><Relationship Id="rId94" Type="http://schemas.openxmlformats.org/officeDocument/2006/relationships/hyperlink" Target="http://ufcstats.com/fight-details/c365a488a8de3c89" TargetMode="External"/><Relationship Id="rId148" Type="http://schemas.openxmlformats.org/officeDocument/2006/relationships/hyperlink" Target="http://ufcstats.com/fight-details/e078d18fa9ed100d" TargetMode="External"/><Relationship Id="rId169" Type="http://schemas.openxmlformats.org/officeDocument/2006/relationships/hyperlink" Target="http://ufcstats.com/fight-details/2d1ac675e6c1e6ea" TargetMode="External"/><Relationship Id="rId334" Type="http://schemas.openxmlformats.org/officeDocument/2006/relationships/hyperlink" Target="http://ufcstats.com/fight-details/919fb76d2f3e5827" TargetMode="External"/><Relationship Id="rId4" Type="http://schemas.openxmlformats.org/officeDocument/2006/relationships/hyperlink" Target="http://ufcstats.com/fight-details/800a35b3a7e52308" TargetMode="External"/><Relationship Id="rId180" Type="http://schemas.openxmlformats.org/officeDocument/2006/relationships/hyperlink" Target="http://ufcstats.com/fight-details/1dfbdd569585812f" TargetMode="External"/><Relationship Id="rId215" Type="http://schemas.openxmlformats.org/officeDocument/2006/relationships/hyperlink" Target="http://ufcstats.com/fight-details/4f6d3cdf2c77fb57" TargetMode="External"/><Relationship Id="rId236" Type="http://schemas.openxmlformats.org/officeDocument/2006/relationships/hyperlink" Target="http://ufcstats.com/fight-details/eda1e8c285a0a788" TargetMode="External"/><Relationship Id="rId257" Type="http://schemas.openxmlformats.org/officeDocument/2006/relationships/hyperlink" Target="http://ufcstats.com/fight-details/d19e010f071a4b45" TargetMode="External"/><Relationship Id="rId278" Type="http://schemas.openxmlformats.org/officeDocument/2006/relationships/hyperlink" Target="http://ufcstats.com/fight-details/0fcf42b68f2f0fa3" TargetMode="External"/><Relationship Id="rId303" Type="http://schemas.openxmlformats.org/officeDocument/2006/relationships/hyperlink" Target="http://ufcstats.com/fight-details/d1c519260c0ddf3a" TargetMode="External"/><Relationship Id="rId42" Type="http://schemas.openxmlformats.org/officeDocument/2006/relationships/hyperlink" Target="http://ufcstats.com/fight-details/dc6f69f923744948" TargetMode="External"/><Relationship Id="rId84" Type="http://schemas.openxmlformats.org/officeDocument/2006/relationships/hyperlink" Target="http://ufcstats.com/fight-details/12563423bf15e75d" TargetMode="External"/><Relationship Id="rId138" Type="http://schemas.openxmlformats.org/officeDocument/2006/relationships/hyperlink" Target="http://ufcstats.com/fight-details/f3bb58f485dc2008" TargetMode="External"/><Relationship Id="rId191" Type="http://schemas.openxmlformats.org/officeDocument/2006/relationships/hyperlink" Target="http://ufcstats.com/fight-details/92c49cb075f612d7" TargetMode="External"/><Relationship Id="rId205" Type="http://schemas.openxmlformats.org/officeDocument/2006/relationships/hyperlink" Target="http://ufcstats.com/fight-details/690ab86bdd94149b" TargetMode="External"/><Relationship Id="rId247" Type="http://schemas.openxmlformats.org/officeDocument/2006/relationships/hyperlink" Target="http://ufcstats.com/fight-details/85099c6378ff87c5" TargetMode="External"/><Relationship Id="rId107" Type="http://schemas.openxmlformats.org/officeDocument/2006/relationships/hyperlink" Target="http://ufcstats.com/fight-details/649b2db3709b07fe" TargetMode="External"/><Relationship Id="rId289" Type="http://schemas.openxmlformats.org/officeDocument/2006/relationships/hyperlink" Target="http://ufcstats.com/fight-details/21d6db22c6089308" TargetMode="External"/><Relationship Id="rId11" Type="http://schemas.openxmlformats.org/officeDocument/2006/relationships/hyperlink" Target="http://ufcstats.com/fight-details/4478ee77a647ae9d" TargetMode="External"/><Relationship Id="rId53" Type="http://schemas.openxmlformats.org/officeDocument/2006/relationships/hyperlink" Target="http://ufcstats.com/fight-details/4b5f9b7c31d1205d" TargetMode="External"/><Relationship Id="rId149" Type="http://schemas.openxmlformats.org/officeDocument/2006/relationships/hyperlink" Target="http://ufcstats.com/fight-details/c0982b3919cc74f0" TargetMode="External"/><Relationship Id="rId314" Type="http://schemas.openxmlformats.org/officeDocument/2006/relationships/hyperlink" Target="http://ufcstats.com/fight-details/d22c19fd92426567" TargetMode="External"/><Relationship Id="rId95" Type="http://schemas.openxmlformats.org/officeDocument/2006/relationships/hyperlink" Target="http://ufcstats.com/fight-details/244357514dd89bd6" TargetMode="External"/><Relationship Id="rId160" Type="http://schemas.openxmlformats.org/officeDocument/2006/relationships/hyperlink" Target="http://ufcstats.com/fight-details/e5a88d0e816fd0f1" TargetMode="External"/><Relationship Id="rId216" Type="http://schemas.openxmlformats.org/officeDocument/2006/relationships/hyperlink" Target="http://ufcstats.com/fight-details/ae6fb7829db7ecc7" TargetMode="External"/><Relationship Id="rId258" Type="http://schemas.openxmlformats.org/officeDocument/2006/relationships/hyperlink" Target="http://ufcstats.com/fight-details/5cab50839f4a0d94" TargetMode="External"/><Relationship Id="rId22" Type="http://schemas.openxmlformats.org/officeDocument/2006/relationships/hyperlink" Target="http://ufcstats.com/fight-details/84f236d6c57d7cfb" TargetMode="External"/><Relationship Id="rId64" Type="http://schemas.openxmlformats.org/officeDocument/2006/relationships/hyperlink" Target="http://ufcstats.com/fight-details/1ff4586752ee8a93" TargetMode="External"/><Relationship Id="rId118" Type="http://schemas.openxmlformats.org/officeDocument/2006/relationships/hyperlink" Target="http://ufcstats.com/fight-details/dde7d29cc443e263" TargetMode="External"/><Relationship Id="rId325" Type="http://schemas.openxmlformats.org/officeDocument/2006/relationships/hyperlink" Target="http://ufcstats.com/fight-details/3901d9cdbb0949bc" TargetMode="External"/><Relationship Id="rId171" Type="http://schemas.openxmlformats.org/officeDocument/2006/relationships/hyperlink" Target="http://ufcstats.com/fight-details/99373dc33dfbf6e0" TargetMode="External"/><Relationship Id="rId227" Type="http://schemas.openxmlformats.org/officeDocument/2006/relationships/hyperlink" Target="http://ufcstats.com/fight-details/ad81be01a461c936" TargetMode="External"/><Relationship Id="rId269" Type="http://schemas.openxmlformats.org/officeDocument/2006/relationships/hyperlink" Target="http://ufcstats.com/fight-details/923d5041c3b6d763" TargetMode="External"/><Relationship Id="rId33" Type="http://schemas.openxmlformats.org/officeDocument/2006/relationships/hyperlink" Target="http://ufcstats.com/fight-details/dbfd7616dec2b6d5" TargetMode="External"/><Relationship Id="rId129" Type="http://schemas.openxmlformats.org/officeDocument/2006/relationships/hyperlink" Target="http://ufcstats.com/fight-details/2e0493171c4ee80f" TargetMode="External"/><Relationship Id="rId280" Type="http://schemas.openxmlformats.org/officeDocument/2006/relationships/hyperlink" Target="http://ufcstats.com/fight-details/e3a2bf2d9ee83318" TargetMode="External"/><Relationship Id="rId336" Type="http://schemas.openxmlformats.org/officeDocument/2006/relationships/hyperlink" Target="http://ufcstats.com/fight-details/530fb0d1a26fc57a" TargetMode="External"/><Relationship Id="rId75" Type="http://schemas.openxmlformats.org/officeDocument/2006/relationships/hyperlink" Target="http://ufcstats.com/fight-details/6ada4f4286e4261d" TargetMode="External"/><Relationship Id="rId140" Type="http://schemas.openxmlformats.org/officeDocument/2006/relationships/hyperlink" Target="http://ufcstats.com/fight-details/8f9b16f170dbdbb6" TargetMode="External"/><Relationship Id="rId182" Type="http://schemas.openxmlformats.org/officeDocument/2006/relationships/hyperlink" Target="http://ufcstats.com/fight-details/05f1e8ff81dbe05b" TargetMode="External"/><Relationship Id="rId6" Type="http://schemas.openxmlformats.org/officeDocument/2006/relationships/hyperlink" Target="http://ufcstats.com/fight-details/c020ccbd7cdefb6e" TargetMode="External"/><Relationship Id="rId238" Type="http://schemas.openxmlformats.org/officeDocument/2006/relationships/hyperlink" Target="http://ufcstats.com/fight-details/1ed550f094ca7745" TargetMode="External"/><Relationship Id="rId291" Type="http://schemas.openxmlformats.org/officeDocument/2006/relationships/hyperlink" Target="http://ufcstats.com/fight-details/a9a770bac1261af9" TargetMode="External"/><Relationship Id="rId305" Type="http://schemas.openxmlformats.org/officeDocument/2006/relationships/hyperlink" Target="http://ufcstats.com/fight-details/d869eaea38426f06" TargetMode="External"/><Relationship Id="rId44" Type="http://schemas.openxmlformats.org/officeDocument/2006/relationships/hyperlink" Target="http://ufcstats.com/fight-details/7a1abc0230af730c" TargetMode="External"/><Relationship Id="rId86" Type="http://schemas.openxmlformats.org/officeDocument/2006/relationships/hyperlink" Target="http://ufcstats.com/fight-details/01619207a811ef01" TargetMode="External"/><Relationship Id="rId151" Type="http://schemas.openxmlformats.org/officeDocument/2006/relationships/hyperlink" Target="http://ufcstats.com/fight-details/aebdb007f8d1348a" TargetMode="External"/><Relationship Id="rId193" Type="http://schemas.openxmlformats.org/officeDocument/2006/relationships/hyperlink" Target="http://ufcstats.com/fight-details/f27e8d63f526d326" TargetMode="External"/><Relationship Id="rId207" Type="http://schemas.openxmlformats.org/officeDocument/2006/relationships/hyperlink" Target="http://ufcstats.com/fight-details/375c2ecb6fe54cc6" TargetMode="External"/><Relationship Id="rId249" Type="http://schemas.openxmlformats.org/officeDocument/2006/relationships/hyperlink" Target="http://ufcstats.com/fight-details/cb010b41cd20a1ed" TargetMode="External"/><Relationship Id="rId13" Type="http://schemas.openxmlformats.org/officeDocument/2006/relationships/hyperlink" Target="http://ufcstats.com/fight-details/a3820f1eb82f2ba6" TargetMode="External"/><Relationship Id="rId109" Type="http://schemas.openxmlformats.org/officeDocument/2006/relationships/hyperlink" Target="http://ufcstats.com/fight-details/e2e23aee91e27847" TargetMode="External"/><Relationship Id="rId260" Type="http://schemas.openxmlformats.org/officeDocument/2006/relationships/hyperlink" Target="http://ufcstats.com/fight-details/ae803440d778a12b" TargetMode="External"/><Relationship Id="rId316" Type="http://schemas.openxmlformats.org/officeDocument/2006/relationships/hyperlink" Target="http://ufcstats.com/fight-details/b6dad3a9bf911bfd" TargetMode="External"/><Relationship Id="rId55" Type="http://schemas.openxmlformats.org/officeDocument/2006/relationships/hyperlink" Target="http://ufcstats.com/fight-details/dcd0793ff1a43b68" TargetMode="External"/><Relationship Id="rId97" Type="http://schemas.openxmlformats.org/officeDocument/2006/relationships/hyperlink" Target="http://ufcstats.com/fight-details/9cad47cdd6351e50" TargetMode="External"/><Relationship Id="rId120" Type="http://schemas.openxmlformats.org/officeDocument/2006/relationships/hyperlink" Target="http://ufcstats.com/fight-details/fae99a4089f8abb0" TargetMode="External"/><Relationship Id="rId162" Type="http://schemas.openxmlformats.org/officeDocument/2006/relationships/hyperlink" Target="http://ufcstats.com/fight-details/4560734220b96851" TargetMode="External"/><Relationship Id="rId218" Type="http://schemas.openxmlformats.org/officeDocument/2006/relationships/hyperlink" Target="http://ufcstats.com/fight-details/cd8cdb539deaa47f" TargetMode="External"/><Relationship Id="rId271" Type="http://schemas.openxmlformats.org/officeDocument/2006/relationships/hyperlink" Target="http://ufcstats.com/fight-details/00bbcd4a6d647fdf" TargetMode="External"/><Relationship Id="rId24" Type="http://schemas.openxmlformats.org/officeDocument/2006/relationships/hyperlink" Target="http://ufcstats.com/fight-details/76d6789779d3721c" TargetMode="External"/><Relationship Id="rId66" Type="http://schemas.openxmlformats.org/officeDocument/2006/relationships/hyperlink" Target="http://ufcstats.com/fight-details/5bba49d88db7430f" TargetMode="External"/><Relationship Id="rId131" Type="http://schemas.openxmlformats.org/officeDocument/2006/relationships/hyperlink" Target="http://ufcstats.com/fight-details/f5b49f4c5a27e53b" TargetMode="External"/><Relationship Id="rId327" Type="http://schemas.openxmlformats.org/officeDocument/2006/relationships/hyperlink" Target="http://ufcstats.com/fight-details/69f67a4a690eb15d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://ufcstats.com/fight-details/bac178dea57bd545" TargetMode="External"/><Relationship Id="rId299" Type="http://schemas.openxmlformats.org/officeDocument/2006/relationships/hyperlink" Target="http://ufcstats.com/fight-details/858feabaf429a963" TargetMode="External"/><Relationship Id="rId21" Type="http://schemas.openxmlformats.org/officeDocument/2006/relationships/hyperlink" Target="http://ufcstats.com/fight-details/ece3a7a9e930ef9d" TargetMode="External"/><Relationship Id="rId63" Type="http://schemas.openxmlformats.org/officeDocument/2006/relationships/hyperlink" Target="http://ufcstats.com/fight-details/bbc76ff9e1b1b142" TargetMode="External"/><Relationship Id="rId159" Type="http://schemas.openxmlformats.org/officeDocument/2006/relationships/hyperlink" Target="http://ufcstats.com/fight-details/3e1bd51261cb61df" TargetMode="External"/><Relationship Id="rId324" Type="http://schemas.openxmlformats.org/officeDocument/2006/relationships/hyperlink" Target="http://ufcstats.com/fight-details/1e7caef3f6dfde10" TargetMode="External"/><Relationship Id="rId366" Type="http://schemas.openxmlformats.org/officeDocument/2006/relationships/hyperlink" Target="http://ufcstats.com/fight-details/fefa96b6d939ffea" TargetMode="External"/><Relationship Id="rId170" Type="http://schemas.openxmlformats.org/officeDocument/2006/relationships/hyperlink" Target="http://ufcstats.com/fight-details/2af50cc7f34f6fc2" TargetMode="External"/><Relationship Id="rId226" Type="http://schemas.openxmlformats.org/officeDocument/2006/relationships/hyperlink" Target="http://ufcstats.com/fight-details/0320a6a967069571" TargetMode="External"/><Relationship Id="rId433" Type="http://schemas.openxmlformats.org/officeDocument/2006/relationships/hyperlink" Target="http://ufcstats.com/fight-details/3cf3771274a4f8b1" TargetMode="External"/><Relationship Id="rId268" Type="http://schemas.openxmlformats.org/officeDocument/2006/relationships/hyperlink" Target="http://ufcstats.com/fight-details/bb1ac382e0277b3f" TargetMode="External"/><Relationship Id="rId475" Type="http://schemas.openxmlformats.org/officeDocument/2006/relationships/hyperlink" Target="http://ufcstats.com/fight-details/b46f2f007b622bce" TargetMode="External"/><Relationship Id="rId32" Type="http://schemas.openxmlformats.org/officeDocument/2006/relationships/hyperlink" Target="http://ufcstats.com/fight-details/c8f619a71b714ec7" TargetMode="External"/><Relationship Id="rId74" Type="http://schemas.openxmlformats.org/officeDocument/2006/relationships/hyperlink" Target="http://ufcstats.com/fight-details/6c60e58f8e9e7a4c" TargetMode="External"/><Relationship Id="rId128" Type="http://schemas.openxmlformats.org/officeDocument/2006/relationships/hyperlink" Target="http://ufcstats.com/fight-details/a6cc776330194937" TargetMode="External"/><Relationship Id="rId335" Type="http://schemas.openxmlformats.org/officeDocument/2006/relationships/hyperlink" Target="http://ufcstats.com/fight-details/f557405652165aa3" TargetMode="External"/><Relationship Id="rId377" Type="http://schemas.openxmlformats.org/officeDocument/2006/relationships/hyperlink" Target="http://ufcstats.com/fight-details/039c645e8f3ac00f" TargetMode="External"/><Relationship Id="rId5" Type="http://schemas.openxmlformats.org/officeDocument/2006/relationships/hyperlink" Target="http://ufcstats.com/fight-details/ba5005d1116fa45f" TargetMode="External"/><Relationship Id="rId181" Type="http://schemas.openxmlformats.org/officeDocument/2006/relationships/hyperlink" Target="http://ufcstats.com/fight-details/406f2aacd1d1faf9" TargetMode="External"/><Relationship Id="rId237" Type="http://schemas.openxmlformats.org/officeDocument/2006/relationships/hyperlink" Target="http://ufcstats.com/fight-details/405c0b8d3960016d" TargetMode="External"/><Relationship Id="rId402" Type="http://schemas.openxmlformats.org/officeDocument/2006/relationships/hyperlink" Target="http://ufcstats.com/fight-details/ca22bafab913aae7" TargetMode="External"/><Relationship Id="rId279" Type="http://schemas.openxmlformats.org/officeDocument/2006/relationships/hyperlink" Target="http://ufcstats.com/fight-details/6c1b38dd918793ff" TargetMode="External"/><Relationship Id="rId444" Type="http://schemas.openxmlformats.org/officeDocument/2006/relationships/hyperlink" Target="http://ufcstats.com/fight-details/8a39075a9ffaa971" TargetMode="External"/><Relationship Id="rId43" Type="http://schemas.openxmlformats.org/officeDocument/2006/relationships/hyperlink" Target="http://ufcstats.com/fight-details/642a8cc1195c5198" TargetMode="External"/><Relationship Id="rId139" Type="http://schemas.openxmlformats.org/officeDocument/2006/relationships/hyperlink" Target="http://ufcstats.com/fight-details/f71d46f804307bd2" TargetMode="External"/><Relationship Id="rId290" Type="http://schemas.openxmlformats.org/officeDocument/2006/relationships/hyperlink" Target="http://ufcstats.com/fight-details/7072a324a82c4297" TargetMode="External"/><Relationship Id="rId304" Type="http://schemas.openxmlformats.org/officeDocument/2006/relationships/hyperlink" Target="http://ufcstats.com/fight-details/ee57cbd0b68c689d" TargetMode="External"/><Relationship Id="rId346" Type="http://schemas.openxmlformats.org/officeDocument/2006/relationships/hyperlink" Target="http://ufcstats.com/fight-details/c2fc4c1e0c769655" TargetMode="External"/><Relationship Id="rId388" Type="http://schemas.openxmlformats.org/officeDocument/2006/relationships/hyperlink" Target="http://ufcstats.com/fight-details/f4717203e762d780" TargetMode="External"/><Relationship Id="rId85" Type="http://schemas.openxmlformats.org/officeDocument/2006/relationships/hyperlink" Target="http://ufcstats.com/fight-details/768c86e307295944" TargetMode="External"/><Relationship Id="rId150" Type="http://schemas.openxmlformats.org/officeDocument/2006/relationships/hyperlink" Target="http://ufcstats.com/fight-details/2d6182d1d398ed6a" TargetMode="External"/><Relationship Id="rId192" Type="http://schemas.openxmlformats.org/officeDocument/2006/relationships/hyperlink" Target="http://ufcstats.com/fight-details/0e9091311ca565ce" TargetMode="External"/><Relationship Id="rId206" Type="http://schemas.openxmlformats.org/officeDocument/2006/relationships/hyperlink" Target="http://ufcstats.com/fight-details/1ffe6e8df6dbefd2" TargetMode="External"/><Relationship Id="rId413" Type="http://schemas.openxmlformats.org/officeDocument/2006/relationships/hyperlink" Target="http://ufcstats.com/fight-details/c8fdd3f7178fbfa4" TargetMode="External"/><Relationship Id="rId248" Type="http://schemas.openxmlformats.org/officeDocument/2006/relationships/hyperlink" Target="http://ufcstats.com/fight-details/5095f6290670009d" TargetMode="External"/><Relationship Id="rId455" Type="http://schemas.openxmlformats.org/officeDocument/2006/relationships/hyperlink" Target="http://ufcstats.com/fight-details/78410b48feaba213" TargetMode="External"/><Relationship Id="rId12" Type="http://schemas.openxmlformats.org/officeDocument/2006/relationships/hyperlink" Target="http://ufcstats.com/fight-details/ace166f26c2ac2e8" TargetMode="External"/><Relationship Id="rId108" Type="http://schemas.openxmlformats.org/officeDocument/2006/relationships/hyperlink" Target="http://ufcstats.com/fight-details/0a7517a16d2d9db6" TargetMode="External"/><Relationship Id="rId315" Type="http://schemas.openxmlformats.org/officeDocument/2006/relationships/hyperlink" Target="http://ufcstats.com/fight-details/959de17703476f44" TargetMode="External"/><Relationship Id="rId357" Type="http://schemas.openxmlformats.org/officeDocument/2006/relationships/hyperlink" Target="http://ufcstats.com/fight-details/fea7dd5904ab4c91" TargetMode="External"/><Relationship Id="rId54" Type="http://schemas.openxmlformats.org/officeDocument/2006/relationships/hyperlink" Target="http://ufcstats.com/fight-details/17050a7b673dc49d" TargetMode="External"/><Relationship Id="rId96" Type="http://schemas.openxmlformats.org/officeDocument/2006/relationships/hyperlink" Target="http://ufcstats.com/fight-details/a850ba762f3c5334" TargetMode="External"/><Relationship Id="rId161" Type="http://schemas.openxmlformats.org/officeDocument/2006/relationships/hyperlink" Target="http://ufcstats.com/fight-details/d38cd293a0c3fdfd" TargetMode="External"/><Relationship Id="rId217" Type="http://schemas.openxmlformats.org/officeDocument/2006/relationships/hyperlink" Target="http://ufcstats.com/fight-details/6fe8bce03a46350b" TargetMode="External"/><Relationship Id="rId399" Type="http://schemas.openxmlformats.org/officeDocument/2006/relationships/hyperlink" Target="http://ufcstats.com/fight-details/4b202bae6c87b98b" TargetMode="External"/><Relationship Id="rId259" Type="http://schemas.openxmlformats.org/officeDocument/2006/relationships/hyperlink" Target="http://ufcstats.com/fight-details/f32d918ee06cb83b" TargetMode="External"/><Relationship Id="rId424" Type="http://schemas.openxmlformats.org/officeDocument/2006/relationships/hyperlink" Target="http://ufcstats.com/fight-details/96b1430379c0694a" TargetMode="External"/><Relationship Id="rId466" Type="http://schemas.openxmlformats.org/officeDocument/2006/relationships/hyperlink" Target="http://ufcstats.com/fight-details/11e83902f5b8ff63" TargetMode="External"/><Relationship Id="rId23" Type="http://schemas.openxmlformats.org/officeDocument/2006/relationships/hyperlink" Target="http://ufcstats.com/fight-details/a7cf716f5d73b558" TargetMode="External"/><Relationship Id="rId119" Type="http://schemas.openxmlformats.org/officeDocument/2006/relationships/hyperlink" Target="http://ufcstats.com/fight-details/9a46f95c1c1e57f0" TargetMode="External"/><Relationship Id="rId270" Type="http://schemas.openxmlformats.org/officeDocument/2006/relationships/hyperlink" Target="http://ufcstats.com/fight-details/d9a218ac3e148541" TargetMode="External"/><Relationship Id="rId326" Type="http://schemas.openxmlformats.org/officeDocument/2006/relationships/hyperlink" Target="http://ufcstats.com/fight-details/93fb6c7e590487f9" TargetMode="External"/><Relationship Id="rId65" Type="http://schemas.openxmlformats.org/officeDocument/2006/relationships/hyperlink" Target="http://ufcstats.com/fight-details/65ce9335b93d9c57" TargetMode="External"/><Relationship Id="rId130" Type="http://schemas.openxmlformats.org/officeDocument/2006/relationships/hyperlink" Target="http://ufcstats.com/fight-details/aaad7e29825b3264" TargetMode="External"/><Relationship Id="rId368" Type="http://schemas.openxmlformats.org/officeDocument/2006/relationships/hyperlink" Target="http://ufcstats.com/fight-details/c037cdc1de53de8e" TargetMode="External"/><Relationship Id="rId172" Type="http://schemas.openxmlformats.org/officeDocument/2006/relationships/hyperlink" Target="http://ufcstats.com/fight-details/3e6babcbd7b9d364" TargetMode="External"/><Relationship Id="rId228" Type="http://schemas.openxmlformats.org/officeDocument/2006/relationships/hyperlink" Target="http://ufcstats.com/fight-details/d07dd6239afe1cb0" TargetMode="External"/><Relationship Id="rId435" Type="http://schemas.openxmlformats.org/officeDocument/2006/relationships/hyperlink" Target="http://ufcstats.com/fight-details/f87a3fa07f0009c9" TargetMode="External"/><Relationship Id="rId477" Type="http://schemas.openxmlformats.org/officeDocument/2006/relationships/hyperlink" Target="http://ufcstats.com/fight-details/318460613b6018e9" TargetMode="External"/><Relationship Id="rId281" Type="http://schemas.openxmlformats.org/officeDocument/2006/relationships/hyperlink" Target="http://ufcstats.com/fight-details/476c31184332698e" TargetMode="External"/><Relationship Id="rId337" Type="http://schemas.openxmlformats.org/officeDocument/2006/relationships/hyperlink" Target="http://ufcstats.com/fight-details/897d9e21c59d0633" TargetMode="External"/><Relationship Id="rId34" Type="http://schemas.openxmlformats.org/officeDocument/2006/relationships/hyperlink" Target="http://ufcstats.com/fight-details/794b63b4c1e1e789" TargetMode="External"/><Relationship Id="rId76" Type="http://schemas.openxmlformats.org/officeDocument/2006/relationships/hyperlink" Target="http://ufcstats.com/fight-details/99ac96bb67e5c5e4" TargetMode="External"/><Relationship Id="rId141" Type="http://schemas.openxmlformats.org/officeDocument/2006/relationships/hyperlink" Target="http://ufcstats.com/fight-details/569e2c02f7699c0d" TargetMode="External"/><Relationship Id="rId379" Type="http://schemas.openxmlformats.org/officeDocument/2006/relationships/hyperlink" Target="http://ufcstats.com/fight-details/3e74caa9fff4a5eb" TargetMode="External"/><Relationship Id="rId7" Type="http://schemas.openxmlformats.org/officeDocument/2006/relationships/hyperlink" Target="http://ufcstats.com/fight-details/9f7c28381b6913c8" TargetMode="External"/><Relationship Id="rId183" Type="http://schemas.openxmlformats.org/officeDocument/2006/relationships/hyperlink" Target="http://ufcstats.com/fight-details/f536ba47f006474a" TargetMode="External"/><Relationship Id="rId239" Type="http://schemas.openxmlformats.org/officeDocument/2006/relationships/hyperlink" Target="http://ufcstats.com/fight-details/664e56d8a98e2b49" TargetMode="External"/><Relationship Id="rId390" Type="http://schemas.openxmlformats.org/officeDocument/2006/relationships/hyperlink" Target="http://ufcstats.com/fight-details/e8206c7380441fbb" TargetMode="External"/><Relationship Id="rId404" Type="http://schemas.openxmlformats.org/officeDocument/2006/relationships/hyperlink" Target="http://ufcstats.com/fight-details/85feac6924abb35b" TargetMode="External"/><Relationship Id="rId446" Type="http://schemas.openxmlformats.org/officeDocument/2006/relationships/hyperlink" Target="http://ufcstats.com/fight-details/7990b6716a53b2cd" TargetMode="External"/><Relationship Id="rId250" Type="http://schemas.openxmlformats.org/officeDocument/2006/relationships/hyperlink" Target="http://ufcstats.com/fight-details/8172d8d996335d0a" TargetMode="External"/><Relationship Id="rId292" Type="http://schemas.openxmlformats.org/officeDocument/2006/relationships/hyperlink" Target="http://ufcstats.com/fight-details/6b581bb1bc9289ef" TargetMode="External"/><Relationship Id="rId306" Type="http://schemas.openxmlformats.org/officeDocument/2006/relationships/hyperlink" Target="http://ufcstats.com/fight-details/2db0998b24c11ea0" TargetMode="External"/><Relationship Id="rId45" Type="http://schemas.openxmlformats.org/officeDocument/2006/relationships/hyperlink" Target="http://ufcstats.com/fight-details/4ea48bf2407b405d" TargetMode="External"/><Relationship Id="rId87" Type="http://schemas.openxmlformats.org/officeDocument/2006/relationships/hyperlink" Target="http://ufcstats.com/fight-details/d8189169b2c8a2aa" TargetMode="External"/><Relationship Id="rId110" Type="http://schemas.openxmlformats.org/officeDocument/2006/relationships/hyperlink" Target="http://ufcstats.com/fight-details/cfd47fddbb705f26" TargetMode="External"/><Relationship Id="rId348" Type="http://schemas.openxmlformats.org/officeDocument/2006/relationships/hyperlink" Target="http://ufcstats.com/fight-details/dc93921bd9342341" TargetMode="External"/><Relationship Id="rId152" Type="http://schemas.openxmlformats.org/officeDocument/2006/relationships/hyperlink" Target="http://ufcstats.com/fight-details/16e28dd989ee1dea" TargetMode="External"/><Relationship Id="rId194" Type="http://schemas.openxmlformats.org/officeDocument/2006/relationships/hyperlink" Target="http://ufcstats.com/fight-details/6c2f05c47f494e15" TargetMode="External"/><Relationship Id="rId208" Type="http://schemas.openxmlformats.org/officeDocument/2006/relationships/hyperlink" Target="http://ufcstats.com/fight-details/51461da4ba467901" TargetMode="External"/><Relationship Id="rId415" Type="http://schemas.openxmlformats.org/officeDocument/2006/relationships/hyperlink" Target="http://ufcstats.com/fight-details/f5dd0a24a7dba53c" TargetMode="External"/><Relationship Id="rId457" Type="http://schemas.openxmlformats.org/officeDocument/2006/relationships/hyperlink" Target="http://ufcstats.com/fight-details/495e64df4c4ce7a7" TargetMode="External"/><Relationship Id="rId261" Type="http://schemas.openxmlformats.org/officeDocument/2006/relationships/hyperlink" Target="http://ufcstats.com/fight-details/e8f4e8ff49678b44" TargetMode="External"/><Relationship Id="rId14" Type="http://schemas.openxmlformats.org/officeDocument/2006/relationships/hyperlink" Target="http://ufcstats.com/fight-details/58d5e4afc2dd35d1" TargetMode="External"/><Relationship Id="rId56" Type="http://schemas.openxmlformats.org/officeDocument/2006/relationships/hyperlink" Target="http://ufcstats.com/fight-details/1a95cc401f68f4c8" TargetMode="External"/><Relationship Id="rId317" Type="http://schemas.openxmlformats.org/officeDocument/2006/relationships/hyperlink" Target="http://ufcstats.com/fight-details/ca0f0a35a1fcb453" TargetMode="External"/><Relationship Id="rId359" Type="http://schemas.openxmlformats.org/officeDocument/2006/relationships/hyperlink" Target="http://ufcstats.com/fight-details/b33d1e693e3c9958" TargetMode="External"/><Relationship Id="rId98" Type="http://schemas.openxmlformats.org/officeDocument/2006/relationships/hyperlink" Target="http://ufcstats.com/fight-details/26fbf026beb8e9f8" TargetMode="External"/><Relationship Id="rId121" Type="http://schemas.openxmlformats.org/officeDocument/2006/relationships/hyperlink" Target="http://ufcstats.com/fight-details/2eb56023c4a54504" TargetMode="External"/><Relationship Id="rId163" Type="http://schemas.openxmlformats.org/officeDocument/2006/relationships/hyperlink" Target="http://ufcstats.com/fight-details/0c703bf17c04fee4" TargetMode="External"/><Relationship Id="rId219" Type="http://schemas.openxmlformats.org/officeDocument/2006/relationships/hyperlink" Target="http://ufcstats.com/fight-details/288f7fb936c1523c" TargetMode="External"/><Relationship Id="rId370" Type="http://schemas.openxmlformats.org/officeDocument/2006/relationships/hyperlink" Target="http://ufcstats.com/fight-details/ad3aa9520131ff2e" TargetMode="External"/><Relationship Id="rId426" Type="http://schemas.openxmlformats.org/officeDocument/2006/relationships/hyperlink" Target="http://ufcstats.com/fight-details/e966de63c8e6b1d5" TargetMode="External"/><Relationship Id="rId230" Type="http://schemas.openxmlformats.org/officeDocument/2006/relationships/hyperlink" Target="http://ufcstats.com/fight-details/2105210529457ffd" TargetMode="External"/><Relationship Id="rId468" Type="http://schemas.openxmlformats.org/officeDocument/2006/relationships/hyperlink" Target="http://ufcstats.com/fight-details/06cd9812e2b9b747" TargetMode="External"/><Relationship Id="rId25" Type="http://schemas.openxmlformats.org/officeDocument/2006/relationships/hyperlink" Target="http://ufcstats.com/fight-details/437c6e18f41287f1" TargetMode="External"/><Relationship Id="rId67" Type="http://schemas.openxmlformats.org/officeDocument/2006/relationships/hyperlink" Target="http://ufcstats.com/fight-details/1b204fc28bb023e6" TargetMode="External"/><Relationship Id="rId272" Type="http://schemas.openxmlformats.org/officeDocument/2006/relationships/hyperlink" Target="http://ufcstats.com/fight-details/f682118709b4143e" TargetMode="External"/><Relationship Id="rId328" Type="http://schemas.openxmlformats.org/officeDocument/2006/relationships/hyperlink" Target="http://ufcstats.com/fight-details/0459297e86a14981" TargetMode="External"/><Relationship Id="rId132" Type="http://schemas.openxmlformats.org/officeDocument/2006/relationships/hyperlink" Target="http://ufcstats.com/fight-details/bf41783b9446891e" TargetMode="External"/><Relationship Id="rId174" Type="http://schemas.openxmlformats.org/officeDocument/2006/relationships/hyperlink" Target="http://ufcstats.com/fight-details/d5149f02b1ee7dc6" TargetMode="External"/><Relationship Id="rId381" Type="http://schemas.openxmlformats.org/officeDocument/2006/relationships/hyperlink" Target="http://ufcstats.com/fight-details/cbdfb3c648d7bada" TargetMode="External"/><Relationship Id="rId241" Type="http://schemas.openxmlformats.org/officeDocument/2006/relationships/hyperlink" Target="http://ufcstats.com/fight-details/eadb215519406e92" TargetMode="External"/><Relationship Id="rId437" Type="http://schemas.openxmlformats.org/officeDocument/2006/relationships/hyperlink" Target="http://ufcstats.com/fight-details/74b44635535cb290" TargetMode="External"/><Relationship Id="rId479" Type="http://schemas.openxmlformats.org/officeDocument/2006/relationships/hyperlink" Target="http://ufcstats.com/fight-details/2556b7520536ce1d" TargetMode="External"/><Relationship Id="rId36" Type="http://schemas.openxmlformats.org/officeDocument/2006/relationships/hyperlink" Target="http://ufcstats.com/fight-details/c8ca99d1adc5448d" TargetMode="External"/><Relationship Id="rId283" Type="http://schemas.openxmlformats.org/officeDocument/2006/relationships/hyperlink" Target="http://ufcstats.com/fight-details/ebefe958473b3843" TargetMode="External"/><Relationship Id="rId339" Type="http://schemas.openxmlformats.org/officeDocument/2006/relationships/hyperlink" Target="http://ufcstats.com/fight-details/8104fe27bdc46914" TargetMode="External"/><Relationship Id="rId78" Type="http://schemas.openxmlformats.org/officeDocument/2006/relationships/hyperlink" Target="http://ufcstats.com/fight-details/50eed57ea1390e16" TargetMode="External"/><Relationship Id="rId101" Type="http://schemas.openxmlformats.org/officeDocument/2006/relationships/hyperlink" Target="http://ufcstats.com/fight-details/0fe4906754b2d0f9" TargetMode="External"/><Relationship Id="rId143" Type="http://schemas.openxmlformats.org/officeDocument/2006/relationships/hyperlink" Target="http://ufcstats.com/fight-details/9da4e06a403f0d27" TargetMode="External"/><Relationship Id="rId185" Type="http://schemas.openxmlformats.org/officeDocument/2006/relationships/hyperlink" Target="http://ufcstats.com/fight-details/f67aa0b16e16a9ea" TargetMode="External"/><Relationship Id="rId350" Type="http://schemas.openxmlformats.org/officeDocument/2006/relationships/hyperlink" Target="http://ufcstats.com/fight-details/0b88d0c76f9cd7e4" TargetMode="External"/><Relationship Id="rId406" Type="http://schemas.openxmlformats.org/officeDocument/2006/relationships/hyperlink" Target="http://ufcstats.com/fight-details/e857ca0bc3b9fdcd" TargetMode="External"/><Relationship Id="rId9" Type="http://schemas.openxmlformats.org/officeDocument/2006/relationships/hyperlink" Target="http://ufcstats.com/fight-details/4a789cdd5aaf4439" TargetMode="External"/><Relationship Id="rId210" Type="http://schemas.openxmlformats.org/officeDocument/2006/relationships/hyperlink" Target="http://ufcstats.com/fight-details/7ec24848cac6c5a1" TargetMode="External"/><Relationship Id="rId392" Type="http://schemas.openxmlformats.org/officeDocument/2006/relationships/hyperlink" Target="http://ufcstats.com/fight-details/b823aa523c9618b5" TargetMode="External"/><Relationship Id="rId448" Type="http://schemas.openxmlformats.org/officeDocument/2006/relationships/hyperlink" Target="http://ufcstats.com/fight-details/dc49373c52eedaa3" TargetMode="External"/><Relationship Id="rId252" Type="http://schemas.openxmlformats.org/officeDocument/2006/relationships/hyperlink" Target="http://ufcstats.com/fight-details/d00d5ef4ae0ac01b" TargetMode="External"/><Relationship Id="rId294" Type="http://schemas.openxmlformats.org/officeDocument/2006/relationships/hyperlink" Target="http://ufcstats.com/fight-details/49f83168974fb60f" TargetMode="External"/><Relationship Id="rId308" Type="http://schemas.openxmlformats.org/officeDocument/2006/relationships/hyperlink" Target="http://ufcstats.com/fight-details/1e3c67921162561d" TargetMode="External"/><Relationship Id="rId47" Type="http://schemas.openxmlformats.org/officeDocument/2006/relationships/hyperlink" Target="http://ufcstats.com/fight-details/5a09fd7cb3db9705" TargetMode="External"/><Relationship Id="rId89" Type="http://schemas.openxmlformats.org/officeDocument/2006/relationships/hyperlink" Target="http://ufcstats.com/fight-details/4911094a4ee26868" TargetMode="External"/><Relationship Id="rId112" Type="http://schemas.openxmlformats.org/officeDocument/2006/relationships/hyperlink" Target="http://ufcstats.com/fight-details/3fd3b871e83434c5" TargetMode="External"/><Relationship Id="rId154" Type="http://schemas.openxmlformats.org/officeDocument/2006/relationships/hyperlink" Target="http://ufcstats.com/fight-details/3c8eb8ad5e98876f" TargetMode="External"/><Relationship Id="rId361" Type="http://schemas.openxmlformats.org/officeDocument/2006/relationships/hyperlink" Target="http://ufcstats.com/fight-details/014f7dc96c90c199" TargetMode="External"/><Relationship Id="rId196" Type="http://schemas.openxmlformats.org/officeDocument/2006/relationships/hyperlink" Target="http://ufcstats.com/fight-details/f9ab966e63968c15" TargetMode="External"/><Relationship Id="rId417" Type="http://schemas.openxmlformats.org/officeDocument/2006/relationships/hyperlink" Target="http://ufcstats.com/fight-details/6a7db3750822d7be" TargetMode="External"/><Relationship Id="rId459" Type="http://schemas.openxmlformats.org/officeDocument/2006/relationships/hyperlink" Target="http://ufcstats.com/fight-details/02731f017c838ad4" TargetMode="External"/><Relationship Id="rId16" Type="http://schemas.openxmlformats.org/officeDocument/2006/relationships/hyperlink" Target="http://ufcstats.com/fight-details/78c3ca588e55bf31" TargetMode="External"/><Relationship Id="rId221" Type="http://schemas.openxmlformats.org/officeDocument/2006/relationships/hyperlink" Target="http://ufcstats.com/fight-details/9039762cb9f4abdb" TargetMode="External"/><Relationship Id="rId263" Type="http://schemas.openxmlformats.org/officeDocument/2006/relationships/hyperlink" Target="http://ufcstats.com/fight-details/7679c5ee3514e119" TargetMode="External"/><Relationship Id="rId319" Type="http://schemas.openxmlformats.org/officeDocument/2006/relationships/hyperlink" Target="http://ufcstats.com/fight-details/dff1dbb8fe1f31cb" TargetMode="External"/><Relationship Id="rId470" Type="http://schemas.openxmlformats.org/officeDocument/2006/relationships/hyperlink" Target="http://ufcstats.com/fight-details/14e53999507c76a7" TargetMode="External"/><Relationship Id="rId58" Type="http://schemas.openxmlformats.org/officeDocument/2006/relationships/hyperlink" Target="http://ufcstats.com/fight-details/9a9479663bedf8b4" TargetMode="External"/><Relationship Id="rId123" Type="http://schemas.openxmlformats.org/officeDocument/2006/relationships/hyperlink" Target="http://ufcstats.com/fight-details/b1da312483a974b3" TargetMode="External"/><Relationship Id="rId330" Type="http://schemas.openxmlformats.org/officeDocument/2006/relationships/hyperlink" Target="http://ufcstats.com/fight-details/f1afa75c8d492550" TargetMode="External"/><Relationship Id="rId165" Type="http://schemas.openxmlformats.org/officeDocument/2006/relationships/hyperlink" Target="http://ufcstats.com/fight-details/313801a4262f1ea5" TargetMode="External"/><Relationship Id="rId372" Type="http://schemas.openxmlformats.org/officeDocument/2006/relationships/hyperlink" Target="http://ufcstats.com/fight-details/0673d8ab0add7a05" TargetMode="External"/><Relationship Id="rId428" Type="http://schemas.openxmlformats.org/officeDocument/2006/relationships/hyperlink" Target="http://ufcstats.com/fight-details/13d2b7aef67cb6ea" TargetMode="External"/><Relationship Id="rId232" Type="http://schemas.openxmlformats.org/officeDocument/2006/relationships/hyperlink" Target="http://ufcstats.com/fight-details/d22de60b7a3d908c" TargetMode="External"/><Relationship Id="rId274" Type="http://schemas.openxmlformats.org/officeDocument/2006/relationships/hyperlink" Target="http://ufcstats.com/fight-details/e4e1d12441b90866" TargetMode="External"/><Relationship Id="rId481" Type="http://schemas.openxmlformats.org/officeDocument/2006/relationships/hyperlink" Target="http://ufcstats.com/fight-details/fe143cb868adfded" TargetMode="External"/><Relationship Id="rId27" Type="http://schemas.openxmlformats.org/officeDocument/2006/relationships/hyperlink" Target="http://ufcstats.com/fight-details/5b2835ac76f05993" TargetMode="External"/><Relationship Id="rId69" Type="http://schemas.openxmlformats.org/officeDocument/2006/relationships/hyperlink" Target="http://ufcstats.com/fight-details/b8ca1acdf3dc2f58" TargetMode="External"/><Relationship Id="rId134" Type="http://schemas.openxmlformats.org/officeDocument/2006/relationships/hyperlink" Target="http://ufcstats.com/fight-details/7aede55e4e47c698" TargetMode="External"/><Relationship Id="rId80" Type="http://schemas.openxmlformats.org/officeDocument/2006/relationships/hyperlink" Target="http://ufcstats.com/fight-details/7c6ed5b3d830d0cb" TargetMode="External"/><Relationship Id="rId176" Type="http://schemas.openxmlformats.org/officeDocument/2006/relationships/hyperlink" Target="http://ufcstats.com/fight-details/a16d8d0cc93372c4" TargetMode="External"/><Relationship Id="rId341" Type="http://schemas.openxmlformats.org/officeDocument/2006/relationships/hyperlink" Target="http://ufcstats.com/fight-details/7a0813ec0fadc84e" TargetMode="External"/><Relationship Id="rId383" Type="http://schemas.openxmlformats.org/officeDocument/2006/relationships/hyperlink" Target="http://ufcstats.com/fight-details/afed0bac5ce5a2f3" TargetMode="External"/><Relationship Id="rId439" Type="http://schemas.openxmlformats.org/officeDocument/2006/relationships/hyperlink" Target="http://ufcstats.com/fight-details/02713b2d25f74d43" TargetMode="External"/><Relationship Id="rId201" Type="http://schemas.openxmlformats.org/officeDocument/2006/relationships/hyperlink" Target="http://ufcstats.com/fight-details/a2620cbef573a837" TargetMode="External"/><Relationship Id="rId243" Type="http://schemas.openxmlformats.org/officeDocument/2006/relationships/hyperlink" Target="http://ufcstats.com/fight-details/7e2bc09d866b3bd7" TargetMode="External"/><Relationship Id="rId285" Type="http://schemas.openxmlformats.org/officeDocument/2006/relationships/hyperlink" Target="http://ufcstats.com/fight-details/5116f9398bfca446" TargetMode="External"/><Relationship Id="rId450" Type="http://schemas.openxmlformats.org/officeDocument/2006/relationships/hyperlink" Target="http://ufcstats.com/fight-details/813444e109995c97" TargetMode="External"/><Relationship Id="rId38" Type="http://schemas.openxmlformats.org/officeDocument/2006/relationships/hyperlink" Target="http://ufcstats.com/fight-details/e640fd983577d349" TargetMode="External"/><Relationship Id="rId103" Type="http://schemas.openxmlformats.org/officeDocument/2006/relationships/hyperlink" Target="http://ufcstats.com/fight-details/09f5fb0bec3c948a" TargetMode="External"/><Relationship Id="rId310" Type="http://schemas.openxmlformats.org/officeDocument/2006/relationships/hyperlink" Target="http://ufcstats.com/fight-details/52db9c816eb99800" TargetMode="External"/><Relationship Id="rId91" Type="http://schemas.openxmlformats.org/officeDocument/2006/relationships/hyperlink" Target="http://ufcstats.com/fight-details/9252ad2304fd9a26" TargetMode="External"/><Relationship Id="rId145" Type="http://schemas.openxmlformats.org/officeDocument/2006/relationships/hyperlink" Target="http://ufcstats.com/fight-details/86892d114b204bf3" TargetMode="External"/><Relationship Id="rId187" Type="http://schemas.openxmlformats.org/officeDocument/2006/relationships/hyperlink" Target="http://ufcstats.com/fight-details/2efbcd870f1f7bc7" TargetMode="External"/><Relationship Id="rId352" Type="http://schemas.openxmlformats.org/officeDocument/2006/relationships/hyperlink" Target="http://ufcstats.com/fight-details/92e006a93f983fb5" TargetMode="External"/><Relationship Id="rId394" Type="http://schemas.openxmlformats.org/officeDocument/2006/relationships/hyperlink" Target="http://ufcstats.com/fight-details/a70c43cafabc73c3" TargetMode="External"/><Relationship Id="rId408" Type="http://schemas.openxmlformats.org/officeDocument/2006/relationships/hyperlink" Target="http://ufcstats.com/fight-details/5f1a828f8d4c3b01" TargetMode="External"/><Relationship Id="rId212" Type="http://schemas.openxmlformats.org/officeDocument/2006/relationships/hyperlink" Target="http://ufcstats.com/fight-details/68a93f8eb34f3251" TargetMode="External"/><Relationship Id="rId254" Type="http://schemas.openxmlformats.org/officeDocument/2006/relationships/hyperlink" Target="http://ufcstats.com/fight-details/3a94bf34e62ae5fd" TargetMode="External"/><Relationship Id="rId49" Type="http://schemas.openxmlformats.org/officeDocument/2006/relationships/hyperlink" Target="http://ufcstats.com/fight-details/2e47823d38a5649b" TargetMode="External"/><Relationship Id="rId114" Type="http://schemas.openxmlformats.org/officeDocument/2006/relationships/hyperlink" Target="http://ufcstats.com/fight-details/dd88960598219eba" TargetMode="External"/><Relationship Id="rId296" Type="http://schemas.openxmlformats.org/officeDocument/2006/relationships/hyperlink" Target="http://ufcstats.com/fight-details/0a46cb2887890502" TargetMode="External"/><Relationship Id="rId461" Type="http://schemas.openxmlformats.org/officeDocument/2006/relationships/hyperlink" Target="http://ufcstats.com/fight-details/9201312dd860fa5a" TargetMode="External"/><Relationship Id="rId60" Type="http://schemas.openxmlformats.org/officeDocument/2006/relationships/hyperlink" Target="http://ufcstats.com/fight-details/7b909acede0a26eb" TargetMode="External"/><Relationship Id="rId156" Type="http://schemas.openxmlformats.org/officeDocument/2006/relationships/hyperlink" Target="http://ufcstats.com/fight-details/0b26d635106aea1c" TargetMode="External"/><Relationship Id="rId198" Type="http://schemas.openxmlformats.org/officeDocument/2006/relationships/hyperlink" Target="http://ufcstats.com/fight-details/1820fed0fbcf6294" TargetMode="External"/><Relationship Id="rId321" Type="http://schemas.openxmlformats.org/officeDocument/2006/relationships/hyperlink" Target="http://ufcstats.com/fight-details/759c55755d70f7ba" TargetMode="External"/><Relationship Id="rId363" Type="http://schemas.openxmlformats.org/officeDocument/2006/relationships/hyperlink" Target="http://ufcstats.com/fight-details/401f5f4714132d50" TargetMode="External"/><Relationship Id="rId419" Type="http://schemas.openxmlformats.org/officeDocument/2006/relationships/hyperlink" Target="http://ufcstats.com/fight-details/7fd810af30144119" TargetMode="External"/><Relationship Id="rId223" Type="http://schemas.openxmlformats.org/officeDocument/2006/relationships/hyperlink" Target="http://ufcstats.com/fight-details/7c4eb0b4845eb0ed" TargetMode="External"/><Relationship Id="rId430" Type="http://schemas.openxmlformats.org/officeDocument/2006/relationships/hyperlink" Target="http://ufcstats.com/fight-details/5965800d88e0677c" TargetMode="External"/><Relationship Id="rId18" Type="http://schemas.openxmlformats.org/officeDocument/2006/relationships/hyperlink" Target="http://ufcstats.com/fight-details/7c40aa2cb6883a91" TargetMode="External"/><Relationship Id="rId265" Type="http://schemas.openxmlformats.org/officeDocument/2006/relationships/hyperlink" Target="http://ufcstats.com/fight-details/723a8a8c82cab1c8" TargetMode="External"/><Relationship Id="rId472" Type="http://schemas.openxmlformats.org/officeDocument/2006/relationships/hyperlink" Target="http://ufcstats.com/fight-details/a7eaf7b101166d3e" TargetMode="External"/><Relationship Id="rId125" Type="http://schemas.openxmlformats.org/officeDocument/2006/relationships/hyperlink" Target="http://ufcstats.com/fight-details/a255ed658a2ac9bb" TargetMode="External"/><Relationship Id="rId167" Type="http://schemas.openxmlformats.org/officeDocument/2006/relationships/hyperlink" Target="http://ufcstats.com/fight-details/3daf1c5fb854e626" TargetMode="External"/><Relationship Id="rId332" Type="http://schemas.openxmlformats.org/officeDocument/2006/relationships/hyperlink" Target="http://ufcstats.com/fight-details/24438a644b975751" TargetMode="External"/><Relationship Id="rId374" Type="http://schemas.openxmlformats.org/officeDocument/2006/relationships/hyperlink" Target="http://ufcstats.com/fight-details/3b701c0a0525341b" TargetMode="External"/><Relationship Id="rId71" Type="http://schemas.openxmlformats.org/officeDocument/2006/relationships/hyperlink" Target="http://ufcstats.com/fight-details/2de6652160cc7b9f" TargetMode="External"/><Relationship Id="rId234" Type="http://schemas.openxmlformats.org/officeDocument/2006/relationships/hyperlink" Target="http://ufcstats.com/fight-details/9900550cc697eef2" TargetMode="External"/><Relationship Id="rId2" Type="http://schemas.openxmlformats.org/officeDocument/2006/relationships/hyperlink" Target="http://ufcstats.com/fight-details/05ceb8b2f93993a6" TargetMode="External"/><Relationship Id="rId29" Type="http://schemas.openxmlformats.org/officeDocument/2006/relationships/hyperlink" Target="http://ufcstats.com/fight-details/d86e31793564cd31" TargetMode="External"/><Relationship Id="rId276" Type="http://schemas.openxmlformats.org/officeDocument/2006/relationships/hyperlink" Target="http://ufcstats.com/fight-details/0864112e968630ea" TargetMode="External"/><Relationship Id="rId441" Type="http://schemas.openxmlformats.org/officeDocument/2006/relationships/hyperlink" Target="http://ufcstats.com/fight-details/8da94b2c1c0443d4" TargetMode="External"/><Relationship Id="rId483" Type="http://schemas.openxmlformats.org/officeDocument/2006/relationships/hyperlink" Target="http://ufcstats.com/fight-details/04f32bb0c0d3a8cc" TargetMode="External"/><Relationship Id="rId40" Type="http://schemas.openxmlformats.org/officeDocument/2006/relationships/hyperlink" Target="http://ufcstats.com/fight-details/3e39829aedc9346f" TargetMode="External"/><Relationship Id="rId136" Type="http://schemas.openxmlformats.org/officeDocument/2006/relationships/hyperlink" Target="http://ufcstats.com/fight-details/5e3779f7c1c39679" TargetMode="External"/><Relationship Id="rId178" Type="http://schemas.openxmlformats.org/officeDocument/2006/relationships/hyperlink" Target="http://ufcstats.com/fight-details/1caec47dc08613a7" TargetMode="External"/><Relationship Id="rId301" Type="http://schemas.openxmlformats.org/officeDocument/2006/relationships/hyperlink" Target="http://ufcstats.com/fight-details/3266f569a6246d90" TargetMode="External"/><Relationship Id="rId343" Type="http://schemas.openxmlformats.org/officeDocument/2006/relationships/hyperlink" Target="http://ufcstats.com/fight-details/77acb96700e89c92" TargetMode="External"/><Relationship Id="rId82" Type="http://schemas.openxmlformats.org/officeDocument/2006/relationships/hyperlink" Target="http://ufcstats.com/fight-details/c16bda7548181613" TargetMode="External"/><Relationship Id="rId203" Type="http://schemas.openxmlformats.org/officeDocument/2006/relationships/hyperlink" Target="http://ufcstats.com/fight-details/a06a3bc70d7c4264" TargetMode="External"/><Relationship Id="rId385" Type="http://schemas.openxmlformats.org/officeDocument/2006/relationships/hyperlink" Target="http://ufcstats.com/fight-details/c1d86f1e6d41cd03" TargetMode="External"/><Relationship Id="rId245" Type="http://schemas.openxmlformats.org/officeDocument/2006/relationships/hyperlink" Target="http://ufcstats.com/fight-details/e0444752d18fda7f" TargetMode="External"/><Relationship Id="rId287" Type="http://schemas.openxmlformats.org/officeDocument/2006/relationships/hyperlink" Target="http://ufcstats.com/fight-details/b4ec3e067604f90a" TargetMode="External"/><Relationship Id="rId410" Type="http://schemas.openxmlformats.org/officeDocument/2006/relationships/hyperlink" Target="http://ufcstats.com/fight-details/72d703db67371e1d" TargetMode="External"/><Relationship Id="rId452" Type="http://schemas.openxmlformats.org/officeDocument/2006/relationships/hyperlink" Target="http://ufcstats.com/fight-details/d671f436fab2a252" TargetMode="External"/><Relationship Id="rId105" Type="http://schemas.openxmlformats.org/officeDocument/2006/relationships/hyperlink" Target="http://ufcstats.com/fight-details/50e0bcba7551a25f" TargetMode="External"/><Relationship Id="rId147" Type="http://schemas.openxmlformats.org/officeDocument/2006/relationships/hyperlink" Target="http://ufcstats.com/fight-details/3d1f83264d87c529" TargetMode="External"/><Relationship Id="rId312" Type="http://schemas.openxmlformats.org/officeDocument/2006/relationships/hyperlink" Target="http://ufcstats.com/fight-details/4ec5d9bd1442e6c1" TargetMode="External"/><Relationship Id="rId354" Type="http://schemas.openxmlformats.org/officeDocument/2006/relationships/hyperlink" Target="http://ufcstats.com/fight-details/b40bed83fc062380" TargetMode="External"/><Relationship Id="rId51" Type="http://schemas.openxmlformats.org/officeDocument/2006/relationships/hyperlink" Target="http://ufcstats.com/fight-details/a0a120c50d93f70a" TargetMode="External"/><Relationship Id="rId93" Type="http://schemas.openxmlformats.org/officeDocument/2006/relationships/hyperlink" Target="http://ufcstats.com/fight-details/00fbeda449926c13" TargetMode="External"/><Relationship Id="rId189" Type="http://schemas.openxmlformats.org/officeDocument/2006/relationships/hyperlink" Target="http://ufcstats.com/fight-details/11f715fa5e825e51" TargetMode="External"/><Relationship Id="rId396" Type="http://schemas.openxmlformats.org/officeDocument/2006/relationships/hyperlink" Target="http://ufcstats.com/fight-details/16243b1470887cb6" TargetMode="External"/><Relationship Id="rId3" Type="http://schemas.openxmlformats.org/officeDocument/2006/relationships/hyperlink" Target="http://ufcstats.com/fight-details/0be6540982a5b0cd" TargetMode="External"/><Relationship Id="rId214" Type="http://schemas.openxmlformats.org/officeDocument/2006/relationships/hyperlink" Target="http://ufcstats.com/fight-details/5573d46130d6b967" TargetMode="External"/><Relationship Id="rId235" Type="http://schemas.openxmlformats.org/officeDocument/2006/relationships/hyperlink" Target="http://ufcstats.com/fight-details/a3e8ef1ce72a7d02" TargetMode="External"/><Relationship Id="rId256" Type="http://schemas.openxmlformats.org/officeDocument/2006/relationships/hyperlink" Target="http://ufcstats.com/fight-details/a3e4322f55454897" TargetMode="External"/><Relationship Id="rId277" Type="http://schemas.openxmlformats.org/officeDocument/2006/relationships/hyperlink" Target="http://ufcstats.com/fight-details/23ea24013d15c09c" TargetMode="External"/><Relationship Id="rId298" Type="http://schemas.openxmlformats.org/officeDocument/2006/relationships/hyperlink" Target="http://ufcstats.com/fight-details/c33cc8b85b9a202c" TargetMode="External"/><Relationship Id="rId400" Type="http://schemas.openxmlformats.org/officeDocument/2006/relationships/hyperlink" Target="http://ufcstats.com/fight-details/ced241b99eab5f22" TargetMode="External"/><Relationship Id="rId421" Type="http://schemas.openxmlformats.org/officeDocument/2006/relationships/hyperlink" Target="http://ufcstats.com/fight-details/01468f766dd7385c" TargetMode="External"/><Relationship Id="rId442" Type="http://schemas.openxmlformats.org/officeDocument/2006/relationships/hyperlink" Target="http://ufcstats.com/fight-details/8182dbc752c71137" TargetMode="External"/><Relationship Id="rId463" Type="http://schemas.openxmlformats.org/officeDocument/2006/relationships/hyperlink" Target="http://ufcstats.com/fight-details/5b51610a9c8c88ef" TargetMode="External"/><Relationship Id="rId484" Type="http://schemas.openxmlformats.org/officeDocument/2006/relationships/hyperlink" Target="http://ufcstats.com/fight-details/d361b51952944a26" TargetMode="External"/><Relationship Id="rId116" Type="http://schemas.openxmlformats.org/officeDocument/2006/relationships/hyperlink" Target="http://ufcstats.com/fight-details/9e1ecdb9a8856a8c" TargetMode="External"/><Relationship Id="rId137" Type="http://schemas.openxmlformats.org/officeDocument/2006/relationships/hyperlink" Target="http://ufcstats.com/fight-details/3b03f8d3a55f3cb2" TargetMode="External"/><Relationship Id="rId158" Type="http://schemas.openxmlformats.org/officeDocument/2006/relationships/hyperlink" Target="http://ufcstats.com/fight-details/71854cfe738d6ee1" TargetMode="External"/><Relationship Id="rId302" Type="http://schemas.openxmlformats.org/officeDocument/2006/relationships/hyperlink" Target="http://ufcstats.com/fight-details/3ea7d69a1238f26a" TargetMode="External"/><Relationship Id="rId323" Type="http://schemas.openxmlformats.org/officeDocument/2006/relationships/hyperlink" Target="http://ufcstats.com/fight-details/87a969d51de6e179" TargetMode="External"/><Relationship Id="rId344" Type="http://schemas.openxmlformats.org/officeDocument/2006/relationships/hyperlink" Target="http://ufcstats.com/fight-details/095a351dd6f09f7e" TargetMode="External"/><Relationship Id="rId20" Type="http://schemas.openxmlformats.org/officeDocument/2006/relationships/hyperlink" Target="http://ufcstats.com/fight-details/834f67e96612cd6f" TargetMode="External"/><Relationship Id="rId41" Type="http://schemas.openxmlformats.org/officeDocument/2006/relationships/hyperlink" Target="http://ufcstats.com/fight-details/c39da8538d9c0321" TargetMode="External"/><Relationship Id="rId62" Type="http://schemas.openxmlformats.org/officeDocument/2006/relationships/hyperlink" Target="http://ufcstats.com/fight-details/5311298f79414125" TargetMode="External"/><Relationship Id="rId83" Type="http://schemas.openxmlformats.org/officeDocument/2006/relationships/hyperlink" Target="http://ufcstats.com/fight-details/0489b42ac0ab6d4b" TargetMode="External"/><Relationship Id="rId179" Type="http://schemas.openxmlformats.org/officeDocument/2006/relationships/hyperlink" Target="http://ufcstats.com/fight-details/3b463d688d598a72" TargetMode="External"/><Relationship Id="rId365" Type="http://schemas.openxmlformats.org/officeDocument/2006/relationships/hyperlink" Target="http://ufcstats.com/fight-details/ff4cef86bef2d0aa" TargetMode="External"/><Relationship Id="rId386" Type="http://schemas.openxmlformats.org/officeDocument/2006/relationships/hyperlink" Target="http://ufcstats.com/fight-details/627c0a50cff30405" TargetMode="External"/><Relationship Id="rId190" Type="http://schemas.openxmlformats.org/officeDocument/2006/relationships/hyperlink" Target="http://ufcstats.com/fight-details/f0ca713121289d24" TargetMode="External"/><Relationship Id="rId204" Type="http://schemas.openxmlformats.org/officeDocument/2006/relationships/hyperlink" Target="http://ufcstats.com/fight-details/97febb293c99e5a8" TargetMode="External"/><Relationship Id="rId225" Type="http://schemas.openxmlformats.org/officeDocument/2006/relationships/hyperlink" Target="http://ufcstats.com/fight-details/4a172a5191cb8e60" TargetMode="External"/><Relationship Id="rId246" Type="http://schemas.openxmlformats.org/officeDocument/2006/relationships/hyperlink" Target="http://ufcstats.com/fight-details/30523303e8d85c25" TargetMode="External"/><Relationship Id="rId267" Type="http://schemas.openxmlformats.org/officeDocument/2006/relationships/hyperlink" Target="http://ufcstats.com/fight-details/80c4f70b7f7a1945" TargetMode="External"/><Relationship Id="rId288" Type="http://schemas.openxmlformats.org/officeDocument/2006/relationships/hyperlink" Target="http://ufcstats.com/fight-details/0ad57af26ddc7930" TargetMode="External"/><Relationship Id="rId411" Type="http://schemas.openxmlformats.org/officeDocument/2006/relationships/hyperlink" Target="http://ufcstats.com/fight-details/41eb39f532e148d9" TargetMode="External"/><Relationship Id="rId432" Type="http://schemas.openxmlformats.org/officeDocument/2006/relationships/hyperlink" Target="http://ufcstats.com/fight-details/ecec1b0dd64ca2ae" TargetMode="External"/><Relationship Id="rId453" Type="http://schemas.openxmlformats.org/officeDocument/2006/relationships/hyperlink" Target="http://ufcstats.com/fight-details/ecab8b8b36727b8d" TargetMode="External"/><Relationship Id="rId474" Type="http://schemas.openxmlformats.org/officeDocument/2006/relationships/hyperlink" Target="http://ufcstats.com/fight-details/6cd44e1b2d093ea4" TargetMode="External"/><Relationship Id="rId106" Type="http://schemas.openxmlformats.org/officeDocument/2006/relationships/hyperlink" Target="http://ufcstats.com/fight-details/15a422574c3b89e1" TargetMode="External"/><Relationship Id="rId127" Type="http://schemas.openxmlformats.org/officeDocument/2006/relationships/hyperlink" Target="http://ufcstats.com/fight-details/ad59540382d5b7f6" TargetMode="External"/><Relationship Id="rId313" Type="http://schemas.openxmlformats.org/officeDocument/2006/relationships/hyperlink" Target="http://ufcstats.com/fight-details/7094c05bf73eee81" TargetMode="External"/><Relationship Id="rId10" Type="http://schemas.openxmlformats.org/officeDocument/2006/relationships/hyperlink" Target="http://ufcstats.com/fight-details/84d633d4a9fbf331" TargetMode="External"/><Relationship Id="rId31" Type="http://schemas.openxmlformats.org/officeDocument/2006/relationships/hyperlink" Target="http://ufcstats.com/fight-details/7ad85c84025c0db0" TargetMode="External"/><Relationship Id="rId52" Type="http://schemas.openxmlformats.org/officeDocument/2006/relationships/hyperlink" Target="http://ufcstats.com/fight-details/32bd7ed48f5aea7e" TargetMode="External"/><Relationship Id="rId73" Type="http://schemas.openxmlformats.org/officeDocument/2006/relationships/hyperlink" Target="http://ufcstats.com/fight-details/9f3326195672c2b9" TargetMode="External"/><Relationship Id="rId94" Type="http://schemas.openxmlformats.org/officeDocument/2006/relationships/hyperlink" Target="http://ufcstats.com/fight-details/ffd8e8575a551875" TargetMode="External"/><Relationship Id="rId148" Type="http://schemas.openxmlformats.org/officeDocument/2006/relationships/hyperlink" Target="http://ufcstats.com/fight-details/823e9449bd47e408" TargetMode="External"/><Relationship Id="rId169" Type="http://schemas.openxmlformats.org/officeDocument/2006/relationships/hyperlink" Target="http://ufcstats.com/fight-details/b45d0e0d2bba01e9" TargetMode="External"/><Relationship Id="rId334" Type="http://schemas.openxmlformats.org/officeDocument/2006/relationships/hyperlink" Target="http://ufcstats.com/fight-details/c29e2c49e1e417c8" TargetMode="External"/><Relationship Id="rId355" Type="http://schemas.openxmlformats.org/officeDocument/2006/relationships/hyperlink" Target="http://ufcstats.com/fight-details/3638ee66c7d34fe0" TargetMode="External"/><Relationship Id="rId376" Type="http://schemas.openxmlformats.org/officeDocument/2006/relationships/hyperlink" Target="http://ufcstats.com/fight-details/43313a340ff0d2b5" TargetMode="External"/><Relationship Id="rId397" Type="http://schemas.openxmlformats.org/officeDocument/2006/relationships/hyperlink" Target="http://ufcstats.com/fight-details/9cb78122a23e6a7d" TargetMode="External"/><Relationship Id="rId4" Type="http://schemas.openxmlformats.org/officeDocument/2006/relationships/hyperlink" Target="http://ufcstats.com/fight-details/767ceb4a0cb43ade" TargetMode="External"/><Relationship Id="rId180" Type="http://schemas.openxmlformats.org/officeDocument/2006/relationships/hyperlink" Target="http://ufcstats.com/fight-details/ccbbf1ccd4513551" TargetMode="External"/><Relationship Id="rId215" Type="http://schemas.openxmlformats.org/officeDocument/2006/relationships/hyperlink" Target="http://ufcstats.com/fight-details/6acd1c591170f597" TargetMode="External"/><Relationship Id="rId236" Type="http://schemas.openxmlformats.org/officeDocument/2006/relationships/hyperlink" Target="http://ufcstats.com/fight-details/32ad75f6c8ca7e9f" TargetMode="External"/><Relationship Id="rId257" Type="http://schemas.openxmlformats.org/officeDocument/2006/relationships/hyperlink" Target="http://ufcstats.com/fight-details/160c17b8fcb0e2a1" TargetMode="External"/><Relationship Id="rId278" Type="http://schemas.openxmlformats.org/officeDocument/2006/relationships/hyperlink" Target="http://ufcstats.com/fight-details/385101e8ad828c39" TargetMode="External"/><Relationship Id="rId401" Type="http://schemas.openxmlformats.org/officeDocument/2006/relationships/hyperlink" Target="http://ufcstats.com/fight-details/f8ee14dbf966b9e6" TargetMode="External"/><Relationship Id="rId422" Type="http://schemas.openxmlformats.org/officeDocument/2006/relationships/hyperlink" Target="http://ufcstats.com/fight-details/ac475de5a3d0d7e2" TargetMode="External"/><Relationship Id="rId443" Type="http://schemas.openxmlformats.org/officeDocument/2006/relationships/hyperlink" Target="http://ufcstats.com/fight-details/6adfe44b110c1510" TargetMode="External"/><Relationship Id="rId464" Type="http://schemas.openxmlformats.org/officeDocument/2006/relationships/hyperlink" Target="http://ufcstats.com/fight-details/4a5e5232346993c7" TargetMode="External"/><Relationship Id="rId303" Type="http://schemas.openxmlformats.org/officeDocument/2006/relationships/hyperlink" Target="http://ufcstats.com/fight-details/9e5bbbacf1d92cb4" TargetMode="External"/><Relationship Id="rId42" Type="http://schemas.openxmlformats.org/officeDocument/2006/relationships/hyperlink" Target="http://ufcstats.com/fight-details/b34c608bdfa655e8" TargetMode="External"/><Relationship Id="rId84" Type="http://schemas.openxmlformats.org/officeDocument/2006/relationships/hyperlink" Target="http://ufcstats.com/fight-details/e8517ed0b49abc37" TargetMode="External"/><Relationship Id="rId138" Type="http://schemas.openxmlformats.org/officeDocument/2006/relationships/hyperlink" Target="http://ufcstats.com/fight-details/20bbf7e139c73e8d" TargetMode="External"/><Relationship Id="rId345" Type="http://schemas.openxmlformats.org/officeDocument/2006/relationships/hyperlink" Target="http://ufcstats.com/fight-details/70ab91b37be75408" TargetMode="External"/><Relationship Id="rId387" Type="http://schemas.openxmlformats.org/officeDocument/2006/relationships/hyperlink" Target="http://ufcstats.com/fight-details/481aef2d2802ec68" TargetMode="External"/><Relationship Id="rId191" Type="http://schemas.openxmlformats.org/officeDocument/2006/relationships/hyperlink" Target="http://ufcstats.com/fight-details/247f9e56965a1c07" TargetMode="External"/><Relationship Id="rId205" Type="http://schemas.openxmlformats.org/officeDocument/2006/relationships/hyperlink" Target="http://ufcstats.com/fight-details/7ad6511fb5fb28a4" TargetMode="External"/><Relationship Id="rId247" Type="http://schemas.openxmlformats.org/officeDocument/2006/relationships/hyperlink" Target="http://ufcstats.com/fight-details/e30250daa73005a8" TargetMode="External"/><Relationship Id="rId412" Type="http://schemas.openxmlformats.org/officeDocument/2006/relationships/hyperlink" Target="http://ufcstats.com/fight-details/9124740fe7816d70" TargetMode="External"/><Relationship Id="rId107" Type="http://schemas.openxmlformats.org/officeDocument/2006/relationships/hyperlink" Target="http://ufcstats.com/fight-details/eb9097be07a3c26a" TargetMode="External"/><Relationship Id="rId289" Type="http://schemas.openxmlformats.org/officeDocument/2006/relationships/hyperlink" Target="http://ufcstats.com/fight-details/6d47170d069df8bb" TargetMode="External"/><Relationship Id="rId454" Type="http://schemas.openxmlformats.org/officeDocument/2006/relationships/hyperlink" Target="http://ufcstats.com/fight-details/bdaca0a96d44438a" TargetMode="External"/><Relationship Id="rId11" Type="http://schemas.openxmlformats.org/officeDocument/2006/relationships/hyperlink" Target="http://ufcstats.com/fight-details/04e2d50c24a88dbd" TargetMode="External"/><Relationship Id="rId53" Type="http://schemas.openxmlformats.org/officeDocument/2006/relationships/hyperlink" Target="http://ufcstats.com/fight-details/01432891260084a4" TargetMode="External"/><Relationship Id="rId149" Type="http://schemas.openxmlformats.org/officeDocument/2006/relationships/hyperlink" Target="http://ufcstats.com/fight-details/ac6cb989ccc38f73" TargetMode="External"/><Relationship Id="rId314" Type="http://schemas.openxmlformats.org/officeDocument/2006/relationships/hyperlink" Target="http://ufcstats.com/fight-details/c9e4aa12aaa7309e" TargetMode="External"/><Relationship Id="rId356" Type="http://schemas.openxmlformats.org/officeDocument/2006/relationships/hyperlink" Target="http://ufcstats.com/fight-details/1a191251620a84ca" TargetMode="External"/><Relationship Id="rId398" Type="http://schemas.openxmlformats.org/officeDocument/2006/relationships/hyperlink" Target="http://ufcstats.com/fight-details/c2ddadfa1a1056be" TargetMode="External"/><Relationship Id="rId95" Type="http://schemas.openxmlformats.org/officeDocument/2006/relationships/hyperlink" Target="http://ufcstats.com/fight-details/78dc032441394331" TargetMode="External"/><Relationship Id="rId160" Type="http://schemas.openxmlformats.org/officeDocument/2006/relationships/hyperlink" Target="http://ufcstats.com/fight-details/2c39797c6574ff29" TargetMode="External"/><Relationship Id="rId216" Type="http://schemas.openxmlformats.org/officeDocument/2006/relationships/hyperlink" Target="http://ufcstats.com/fight-details/e8a5e53ffd33c0f9" TargetMode="External"/><Relationship Id="rId423" Type="http://schemas.openxmlformats.org/officeDocument/2006/relationships/hyperlink" Target="http://ufcstats.com/fight-details/1de342e9309c5f0f" TargetMode="External"/><Relationship Id="rId258" Type="http://schemas.openxmlformats.org/officeDocument/2006/relationships/hyperlink" Target="http://ufcstats.com/fight-details/6d04fbef6b8e4551" TargetMode="External"/><Relationship Id="rId465" Type="http://schemas.openxmlformats.org/officeDocument/2006/relationships/hyperlink" Target="http://ufcstats.com/fight-details/c87d2569da8d4305" TargetMode="External"/><Relationship Id="rId22" Type="http://schemas.openxmlformats.org/officeDocument/2006/relationships/hyperlink" Target="http://ufcstats.com/fight-details/dbca9f6bb7290c0d" TargetMode="External"/><Relationship Id="rId64" Type="http://schemas.openxmlformats.org/officeDocument/2006/relationships/hyperlink" Target="http://ufcstats.com/fight-details/5e9c027fb24efc2b" TargetMode="External"/><Relationship Id="rId118" Type="http://schemas.openxmlformats.org/officeDocument/2006/relationships/hyperlink" Target="http://ufcstats.com/fight-details/d5e927306f5d859b" TargetMode="External"/><Relationship Id="rId325" Type="http://schemas.openxmlformats.org/officeDocument/2006/relationships/hyperlink" Target="http://ufcstats.com/fight-details/d4420be78065de03" TargetMode="External"/><Relationship Id="rId367" Type="http://schemas.openxmlformats.org/officeDocument/2006/relationships/hyperlink" Target="http://ufcstats.com/fight-details/07b98dbf5d2c62a2" TargetMode="External"/><Relationship Id="rId171" Type="http://schemas.openxmlformats.org/officeDocument/2006/relationships/hyperlink" Target="http://ufcstats.com/fight-details/d373de3e072f7e57" TargetMode="External"/><Relationship Id="rId227" Type="http://schemas.openxmlformats.org/officeDocument/2006/relationships/hyperlink" Target="http://ufcstats.com/fight-details/38094db8e3539cba" TargetMode="External"/><Relationship Id="rId269" Type="http://schemas.openxmlformats.org/officeDocument/2006/relationships/hyperlink" Target="http://ufcstats.com/fight-details/5bff1ece35abac7f" TargetMode="External"/><Relationship Id="rId434" Type="http://schemas.openxmlformats.org/officeDocument/2006/relationships/hyperlink" Target="http://ufcstats.com/fight-details/d6d141afdd31c3f1" TargetMode="External"/><Relationship Id="rId476" Type="http://schemas.openxmlformats.org/officeDocument/2006/relationships/hyperlink" Target="http://ufcstats.com/fight-details/eaa63c8fb9379426" TargetMode="External"/><Relationship Id="rId33" Type="http://schemas.openxmlformats.org/officeDocument/2006/relationships/hyperlink" Target="http://ufcstats.com/fight-details/362a5b3cd4a70330" TargetMode="External"/><Relationship Id="rId129" Type="http://schemas.openxmlformats.org/officeDocument/2006/relationships/hyperlink" Target="http://ufcstats.com/fight-details/e458ace6a440b738" TargetMode="External"/><Relationship Id="rId280" Type="http://schemas.openxmlformats.org/officeDocument/2006/relationships/hyperlink" Target="http://ufcstats.com/fight-details/6712440cd01dffdb" TargetMode="External"/><Relationship Id="rId336" Type="http://schemas.openxmlformats.org/officeDocument/2006/relationships/hyperlink" Target="http://ufcstats.com/fight-details/16109688429c09de" TargetMode="External"/><Relationship Id="rId75" Type="http://schemas.openxmlformats.org/officeDocument/2006/relationships/hyperlink" Target="http://ufcstats.com/fight-details/57775c8af89007c7" TargetMode="External"/><Relationship Id="rId140" Type="http://schemas.openxmlformats.org/officeDocument/2006/relationships/hyperlink" Target="http://ufcstats.com/fight-details/c9e19742c4146bff" TargetMode="External"/><Relationship Id="rId182" Type="http://schemas.openxmlformats.org/officeDocument/2006/relationships/hyperlink" Target="http://ufcstats.com/fight-details/175d9e1ac0725145" TargetMode="External"/><Relationship Id="rId378" Type="http://schemas.openxmlformats.org/officeDocument/2006/relationships/hyperlink" Target="http://ufcstats.com/fight-details/a0163cdde4ec785d" TargetMode="External"/><Relationship Id="rId403" Type="http://schemas.openxmlformats.org/officeDocument/2006/relationships/hyperlink" Target="http://ufcstats.com/fight-details/983fab4080743ed0" TargetMode="External"/><Relationship Id="rId6" Type="http://schemas.openxmlformats.org/officeDocument/2006/relationships/hyperlink" Target="http://ufcstats.com/fight-details/1afc4f372a125c74" TargetMode="External"/><Relationship Id="rId238" Type="http://schemas.openxmlformats.org/officeDocument/2006/relationships/hyperlink" Target="http://ufcstats.com/fight-details/62aab95c866a9c5b" TargetMode="External"/><Relationship Id="rId445" Type="http://schemas.openxmlformats.org/officeDocument/2006/relationships/hyperlink" Target="http://ufcstats.com/fight-details/363b72bf7f75091c" TargetMode="External"/><Relationship Id="rId291" Type="http://schemas.openxmlformats.org/officeDocument/2006/relationships/hyperlink" Target="http://ufcstats.com/fight-details/bc767f1eb6176dfb" TargetMode="External"/><Relationship Id="rId305" Type="http://schemas.openxmlformats.org/officeDocument/2006/relationships/hyperlink" Target="http://ufcstats.com/fight-details/323fb015ca2444e3" TargetMode="External"/><Relationship Id="rId347" Type="http://schemas.openxmlformats.org/officeDocument/2006/relationships/hyperlink" Target="http://ufcstats.com/fight-details/d40f865aa6be9cd0" TargetMode="External"/><Relationship Id="rId44" Type="http://schemas.openxmlformats.org/officeDocument/2006/relationships/hyperlink" Target="http://ufcstats.com/fight-details/3ce96bb0c69b39be" TargetMode="External"/><Relationship Id="rId86" Type="http://schemas.openxmlformats.org/officeDocument/2006/relationships/hyperlink" Target="http://ufcstats.com/fight-details/85f920746c58d0a6" TargetMode="External"/><Relationship Id="rId151" Type="http://schemas.openxmlformats.org/officeDocument/2006/relationships/hyperlink" Target="http://ufcstats.com/fight-details/a5d24caed8afbeef" TargetMode="External"/><Relationship Id="rId389" Type="http://schemas.openxmlformats.org/officeDocument/2006/relationships/hyperlink" Target="http://ufcstats.com/fight-details/997dcf5fd2eb0f2f" TargetMode="External"/><Relationship Id="rId193" Type="http://schemas.openxmlformats.org/officeDocument/2006/relationships/hyperlink" Target="http://ufcstats.com/fight-details/1496969c1497dc85" TargetMode="External"/><Relationship Id="rId207" Type="http://schemas.openxmlformats.org/officeDocument/2006/relationships/hyperlink" Target="http://ufcstats.com/fight-details/7a26c9407ef64e10" TargetMode="External"/><Relationship Id="rId249" Type="http://schemas.openxmlformats.org/officeDocument/2006/relationships/hyperlink" Target="http://ufcstats.com/fight-details/e64075c104471ff0" TargetMode="External"/><Relationship Id="rId414" Type="http://schemas.openxmlformats.org/officeDocument/2006/relationships/hyperlink" Target="http://ufcstats.com/fight-details/9d8473ae274ed625" TargetMode="External"/><Relationship Id="rId456" Type="http://schemas.openxmlformats.org/officeDocument/2006/relationships/hyperlink" Target="http://ufcstats.com/fight-details/5be97c1fa222093d" TargetMode="External"/><Relationship Id="rId13" Type="http://schemas.openxmlformats.org/officeDocument/2006/relationships/hyperlink" Target="http://ufcstats.com/fight-details/dba710edbc3c29ff" TargetMode="External"/><Relationship Id="rId109" Type="http://schemas.openxmlformats.org/officeDocument/2006/relationships/hyperlink" Target="http://ufcstats.com/fight-details/22e10b23784e5efc" TargetMode="External"/><Relationship Id="rId260" Type="http://schemas.openxmlformats.org/officeDocument/2006/relationships/hyperlink" Target="http://ufcstats.com/fight-details/5ad8aa57c8d69680" TargetMode="External"/><Relationship Id="rId316" Type="http://schemas.openxmlformats.org/officeDocument/2006/relationships/hyperlink" Target="http://ufcstats.com/fight-details/ebc7ec239faf7b0b" TargetMode="External"/><Relationship Id="rId55" Type="http://schemas.openxmlformats.org/officeDocument/2006/relationships/hyperlink" Target="http://ufcstats.com/fight-details/7d474fbf31894108" TargetMode="External"/><Relationship Id="rId97" Type="http://schemas.openxmlformats.org/officeDocument/2006/relationships/hyperlink" Target="http://ufcstats.com/fight-details/68cf99b6551dc3b3" TargetMode="External"/><Relationship Id="rId120" Type="http://schemas.openxmlformats.org/officeDocument/2006/relationships/hyperlink" Target="http://ufcstats.com/fight-details/3e16a71836e85212" TargetMode="External"/><Relationship Id="rId358" Type="http://schemas.openxmlformats.org/officeDocument/2006/relationships/hyperlink" Target="http://ufcstats.com/fight-details/4de25b19c4dedb14" TargetMode="External"/><Relationship Id="rId162" Type="http://schemas.openxmlformats.org/officeDocument/2006/relationships/hyperlink" Target="http://ufcstats.com/fight-details/e35d878ba90d9769" TargetMode="External"/><Relationship Id="rId218" Type="http://schemas.openxmlformats.org/officeDocument/2006/relationships/hyperlink" Target="http://ufcstats.com/fight-details/ad772f626b5dd31d" TargetMode="External"/><Relationship Id="rId425" Type="http://schemas.openxmlformats.org/officeDocument/2006/relationships/hyperlink" Target="http://ufcstats.com/fight-details/6ed495c177d69a3a" TargetMode="External"/><Relationship Id="rId467" Type="http://schemas.openxmlformats.org/officeDocument/2006/relationships/hyperlink" Target="http://ufcstats.com/fight-details/9bfda7c26578aaac" TargetMode="External"/><Relationship Id="rId271" Type="http://schemas.openxmlformats.org/officeDocument/2006/relationships/hyperlink" Target="http://ufcstats.com/fight-details/a08dffad240dc3d4" TargetMode="External"/><Relationship Id="rId24" Type="http://schemas.openxmlformats.org/officeDocument/2006/relationships/hyperlink" Target="http://ufcstats.com/fight-details/7dc3ada8f2135477" TargetMode="External"/><Relationship Id="rId66" Type="http://schemas.openxmlformats.org/officeDocument/2006/relationships/hyperlink" Target="http://ufcstats.com/fight-details/2d36e2c10ee349fe" TargetMode="External"/><Relationship Id="rId131" Type="http://schemas.openxmlformats.org/officeDocument/2006/relationships/hyperlink" Target="http://ufcstats.com/fight-details/4eb91cfc892a108e" TargetMode="External"/><Relationship Id="rId327" Type="http://schemas.openxmlformats.org/officeDocument/2006/relationships/hyperlink" Target="http://ufcstats.com/fight-details/163fbb2185730846" TargetMode="External"/><Relationship Id="rId369" Type="http://schemas.openxmlformats.org/officeDocument/2006/relationships/hyperlink" Target="http://ufcstats.com/fight-details/65352221c0bfe52d" TargetMode="External"/><Relationship Id="rId173" Type="http://schemas.openxmlformats.org/officeDocument/2006/relationships/hyperlink" Target="http://ufcstats.com/fight-details/766dc3c5592b4d0d" TargetMode="External"/><Relationship Id="rId229" Type="http://schemas.openxmlformats.org/officeDocument/2006/relationships/hyperlink" Target="http://ufcstats.com/fight-details/eda397c27787afa4" TargetMode="External"/><Relationship Id="rId380" Type="http://schemas.openxmlformats.org/officeDocument/2006/relationships/hyperlink" Target="http://ufcstats.com/fight-details/f0a9dfbb6f6ac852" TargetMode="External"/><Relationship Id="rId436" Type="http://schemas.openxmlformats.org/officeDocument/2006/relationships/hyperlink" Target="http://ufcstats.com/fight-details/0c2e3988793b418c" TargetMode="External"/><Relationship Id="rId240" Type="http://schemas.openxmlformats.org/officeDocument/2006/relationships/hyperlink" Target="http://ufcstats.com/fight-details/0308bcdd00cc72e2" TargetMode="External"/><Relationship Id="rId478" Type="http://schemas.openxmlformats.org/officeDocument/2006/relationships/hyperlink" Target="http://ufcstats.com/fight-details/812ff38f0ed409ca" TargetMode="External"/><Relationship Id="rId35" Type="http://schemas.openxmlformats.org/officeDocument/2006/relationships/hyperlink" Target="http://ufcstats.com/fight-details/e3ca9462ad0d7685" TargetMode="External"/><Relationship Id="rId77" Type="http://schemas.openxmlformats.org/officeDocument/2006/relationships/hyperlink" Target="http://ufcstats.com/fight-details/3f38100fd8dae286" TargetMode="External"/><Relationship Id="rId100" Type="http://schemas.openxmlformats.org/officeDocument/2006/relationships/hyperlink" Target="http://ufcstats.com/fight-details/76b61ff4c9760f79" TargetMode="External"/><Relationship Id="rId282" Type="http://schemas.openxmlformats.org/officeDocument/2006/relationships/hyperlink" Target="http://ufcstats.com/fight-details/5305049e4215d263" TargetMode="External"/><Relationship Id="rId338" Type="http://schemas.openxmlformats.org/officeDocument/2006/relationships/hyperlink" Target="http://ufcstats.com/fight-details/18a1617ee7356352" TargetMode="External"/><Relationship Id="rId8" Type="http://schemas.openxmlformats.org/officeDocument/2006/relationships/hyperlink" Target="http://ufcstats.com/fight-details/2f382615155e32b9" TargetMode="External"/><Relationship Id="rId142" Type="http://schemas.openxmlformats.org/officeDocument/2006/relationships/hyperlink" Target="http://ufcstats.com/fight-details/fdfc700e56575d67" TargetMode="External"/><Relationship Id="rId184" Type="http://schemas.openxmlformats.org/officeDocument/2006/relationships/hyperlink" Target="http://ufcstats.com/fight-details/8522bc62e8d942ab" TargetMode="External"/><Relationship Id="rId391" Type="http://schemas.openxmlformats.org/officeDocument/2006/relationships/hyperlink" Target="http://ufcstats.com/fight-details/2ef96a4eb306fbb4" TargetMode="External"/><Relationship Id="rId405" Type="http://schemas.openxmlformats.org/officeDocument/2006/relationships/hyperlink" Target="http://ufcstats.com/fight-details/8c9ff13791378784" TargetMode="External"/><Relationship Id="rId447" Type="http://schemas.openxmlformats.org/officeDocument/2006/relationships/hyperlink" Target="http://ufcstats.com/fight-details/38b6ef176439c39b" TargetMode="External"/><Relationship Id="rId251" Type="http://schemas.openxmlformats.org/officeDocument/2006/relationships/hyperlink" Target="http://ufcstats.com/fight-details/8b1dc96a00a8e881" TargetMode="External"/><Relationship Id="rId46" Type="http://schemas.openxmlformats.org/officeDocument/2006/relationships/hyperlink" Target="http://ufcstats.com/fight-details/4b67a1875390e7ad" TargetMode="External"/><Relationship Id="rId293" Type="http://schemas.openxmlformats.org/officeDocument/2006/relationships/hyperlink" Target="http://ufcstats.com/fight-details/09b8253a30360429" TargetMode="External"/><Relationship Id="rId307" Type="http://schemas.openxmlformats.org/officeDocument/2006/relationships/hyperlink" Target="http://ufcstats.com/fight-details/3cf5e0ebb5f8322c" TargetMode="External"/><Relationship Id="rId349" Type="http://schemas.openxmlformats.org/officeDocument/2006/relationships/hyperlink" Target="http://ufcstats.com/fight-details/f37d18b5c35145bf" TargetMode="External"/><Relationship Id="rId88" Type="http://schemas.openxmlformats.org/officeDocument/2006/relationships/hyperlink" Target="http://ufcstats.com/fight-details/a7c38d4d66abf923" TargetMode="External"/><Relationship Id="rId111" Type="http://schemas.openxmlformats.org/officeDocument/2006/relationships/hyperlink" Target="http://ufcstats.com/fight-details/821a1c6f5d7fab14" TargetMode="External"/><Relationship Id="rId153" Type="http://schemas.openxmlformats.org/officeDocument/2006/relationships/hyperlink" Target="http://ufcstats.com/fight-details/d29750cee389a0b9" TargetMode="External"/><Relationship Id="rId195" Type="http://schemas.openxmlformats.org/officeDocument/2006/relationships/hyperlink" Target="http://ufcstats.com/fight-details/86afc59ec117c1ba" TargetMode="External"/><Relationship Id="rId209" Type="http://schemas.openxmlformats.org/officeDocument/2006/relationships/hyperlink" Target="http://ufcstats.com/fight-details/c1bfbf5447f21f37" TargetMode="External"/><Relationship Id="rId360" Type="http://schemas.openxmlformats.org/officeDocument/2006/relationships/hyperlink" Target="http://ufcstats.com/fight-details/42d09ca167ecae07" TargetMode="External"/><Relationship Id="rId416" Type="http://schemas.openxmlformats.org/officeDocument/2006/relationships/hyperlink" Target="http://ufcstats.com/fight-details/ed72edc2ce0f3c5f" TargetMode="External"/><Relationship Id="rId220" Type="http://schemas.openxmlformats.org/officeDocument/2006/relationships/hyperlink" Target="http://ufcstats.com/fight-details/0ace7e71f5d66bc9" TargetMode="External"/><Relationship Id="rId458" Type="http://schemas.openxmlformats.org/officeDocument/2006/relationships/hyperlink" Target="http://ufcstats.com/fight-details/35f80e003d16a439" TargetMode="External"/><Relationship Id="rId15" Type="http://schemas.openxmlformats.org/officeDocument/2006/relationships/hyperlink" Target="http://ufcstats.com/fight-details/1aba46988c9b58f9" TargetMode="External"/><Relationship Id="rId57" Type="http://schemas.openxmlformats.org/officeDocument/2006/relationships/hyperlink" Target="http://ufcstats.com/fight-details/560a971c6ab8b854" TargetMode="External"/><Relationship Id="rId262" Type="http://schemas.openxmlformats.org/officeDocument/2006/relationships/hyperlink" Target="http://ufcstats.com/fight-details/fa3b28ff3585b4a0" TargetMode="External"/><Relationship Id="rId318" Type="http://schemas.openxmlformats.org/officeDocument/2006/relationships/hyperlink" Target="http://ufcstats.com/fight-details/a346180c8b109469" TargetMode="External"/><Relationship Id="rId99" Type="http://schemas.openxmlformats.org/officeDocument/2006/relationships/hyperlink" Target="http://ufcstats.com/fight-details/92f569a6d9374b86" TargetMode="External"/><Relationship Id="rId122" Type="http://schemas.openxmlformats.org/officeDocument/2006/relationships/hyperlink" Target="http://ufcstats.com/fight-details/9b0de83b4e504bf6" TargetMode="External"/><Relationship Id="rId164" Type="http://schemas.openxmlformats.org/officeDocument/2006/relationships/hyperlink" Target="http://ufcstats.com/fight-details/b2039609019496d9" TargetMode="External"/><Relationship Id="rId371" Type="http://schemas.openxmlformats.org/officeDocument/2006/relationships/hyperlink" Target="http://ufcstats.com/fight-details/7bb335510a749419" TargetMode="External"/><Relationship Id="rId427" Type="http://schemas.openxmlformats.org/officeDocument/2006/relationships/hyperlink" Target="http://ufcstats.com/fight-details/646eeca9447c6965" TargetMode="External"/><Relationship Id="rId469" Type="http://schemas.openxmlformats.org/officeDocument/2006/relationships/hyperlink" Target="http://ufcstats.com/fight-details/9444cfe0c7c0f6a7" TargetMode="External"/><Relationship Id="rId26" Type="http://schemas.openxmlformats.org/officeDocument/2006/relationships/hyperlink" Target="http://ufcstats.com/fight-details/7d679c16024f6f38" TargetMode="External"/><Relationship Id="rId231" Type="http://schemas.openxmlformats.org/officeDocument/2006/relationships/hyperlink" Target="http://ufcstats.com/fight-details/93c4b798134c71d4" TargetMode="External"/><Relationship Id="rId273" Type="http://schemas.openxmlformats.org/officeDocument/2006/relationships/hyperlink" Target="http://ufcstats.com/fight-details/358f816aff469270" TargetMode="External"/><Relationship Id="rId329" Type="http://schemas.openxmlformats.org/officeDocument/2006/relationships/hyperlink" Target="http://ufcstats.com/fight-details/1cd5d5e271b646a3" TargetMode="External"/><Relationship Id="rId480" Type="http://schemas.openxmlformats.org/officeDocument/2006/relationships/hyperlink" Target="http://ufcstats.com/fight-details/fd76b75c28dc247a" TargetMode="External"/><Relationship Id="rId68" Type="http://schemas.openxmlformats.org/officeDocument/2006/relationships/hyperlink" Target="http://ufcstats.com/fight-details/860050f211b44d10" TargetMode="External"/><Relationship Id="rId133" Type="http://schemas.openxmlformats.org/officeDocument/2006/relationships/hyperlink" Target="http://ufcstats.com/fight-details/3bde8910fabf0dd3" TargetMode="External"/><Relationship Id="rId175" Type="http://schemas.openxmlformats.org/officeDocument/2006/relationships/hyperlink" Target="http://ufcstats.com/fight-details/00dcad4611fc63fe" TargetMode="External"/><Relationship Id="rId340" Type="http://schemas.openxmlformats.org/officeDocument/2006/relationships/hyperlink" Target="http://ufcstats.com/fight-details/4e9d76ed54f1f352" TargetMode="External"/><Relationship Id="rId200" Type="http://schemas.openxmlformats.org/officeDocument/2006/relationships/hyperlink" Target="http://ufcstats.com/fight-details/9fa3623172adb4cd" TargetMode="External"/><Relationship Id="rId382" Type="http://schemas.openxmlformats.org/officeDocument/2006/relationships/hyperlink" Target="http://ufcstats.com/fight-details/e9f00c16810e0e61" TargetMode="External"/><Relationship Id="rId438" Type="http://schemas.openxmlformats.org/officeDocument/2006/relationships/hyperlink" Target="http://ufcstats.com/fight-details/3ad3acca165a5d90" TargetMode="External"/><Relationship Id="rId242" Type="http://schemas.openxmlformats.org/officeDocument/2006/relationships/hyperlink" Target="http://ufcstats.com/fight-details/e00da416750f75a9" TargetMode="External"/><Relationship Id="rId284" Type="http://schemas.openxmlformats.org/officeDocument/2006/relationships/hyperlink" Target="http://ufcstats.com/fight-details/3fc9fea36fc7ec37" TargetMode="External"/><Relationship Id="rId37" Type="http://schemas.openxmlformats.org/officeDocument/2006/relationships/hyperlink" Target="http://ufcstats.com/fight-details/f8df4cb5f22656c0" TargetMode="External"/><Relationship Id="rId79" Type="http://schemas.openxmlformats.org/officeDocument/2006/relationships/hyperlink" Target="http://ufcstats.com/fight-details/6b956992204ec040" TargetMode="External"/><Relationship Id="rId102" Type="http://schemas.openxmlformats.org/officeDocument/2006/relationships/hyperlink" Target="http://ufcstats.com/fight-details/90eb22b9eb6ed2a8" TargetMode="External"/><Relationship Id="rId144" Type="http://schemas.openxmlformats.org/officeDocument/2006/relationships/hyperlink" Target="http://ufcstats.com/fight-details/2142ff2a46d22741" TargetMode="External"/><Relationship Id="rId90" Type="http://schemas.openxmlformats.org/officeDocument/2006/relationships/hyperlink" Target="http://ufcstats.com/fight-details/bb6438338bb8aebf" TargetMode="External"/><Relationship Id="rId186" Type="http://schemas.openxmlformats.org/officeDocument/2006/relationships/hyperlink" Target="http://ufcstats.com/fight-details/ddd63237f1b857a6" TargetMode="External"/><Relationship Id="rId351" Type="http://schemas.openxmlformats.org/officeDocument/2006/relationships/hyperlink" Target="http://ufcstats.com/fight-details/05f6459d1f3ed13f" TargetMode="External"/><Relationship Id="rId393" Type="http://schemas.openxmlformats.org/officeDocument/2006/relationships/hyperlink" Target="http://ufcstats.com/fight-details/2b9daf452ab40b9b" TargetMode="External"/><Relationship Id="rId407" Type="http://schemas.openxmlformats.org/officeDocument/2006/relationships/hyperlink" Target="http://ufcstats.com/fight-details/986f0b480389ad25" TargetMode="External"/><Relationship Id="rId449" Type="http://schemas.openxmlformats.org/officeDocument/2006/relationships/hyperlink" Target="http://ufcstats.com/fight-details/ce5ebaf8caf8c4a7" TargetMode="External"/><Relationship Id="rId211" Type="http://schemas.openxmlformats.org/officeDocument/2006/relationships/hyperlink" Target="http://ufcstats.com/fight-details/f208b79b0d78045b" TargetMode="External"/><Relationship Id="rId253" Type="http://schemas.openxmlformats.org/officeDocument/2006/relationships/hyperlink" Target="http://ufcstats.com/fight-details/e99f92b92e90b228" TargetMode="External"/><Relationship Id="rId295" Type="http://schemas.openxmlformats.org/officeDocument/2006/relationships/hyperlink" Target="http://ufcstats.com/fight-details/1c7ea3928c7d0ad8" TargetMode="External"/><Relationship Id="rId309" Type="http://schemas.openxmlformats.org/officeDocument/2006/relationships/hyperlink" Target="http://ufcstats.com/fight-details/7658965c2a700b39" TargetMode="External"/><Relationship Id="rId460" Type="http://schemas.openxmlformats.org/officeDocument/2006/relationships/hyperlink" Target="http://ufcstats.com/fight-details/7c883cf0b5eedc59" TargetMode="External"/><Relationship Id="rId48" Type="http://schemas.openxmlformats.org/officeDocument/2006/relationships/hyperlink" Target="http://ufcstats.com/fight-details/420dd305cd1d062f" TargetMode="External"/><Relationship Id="rId113" Type="http://schemas.openxmlformats.org/officeDocument/2006/relationships/hyperlink" Target="http://ufcstats.com/fight-details/b3bd27affa038e9c" TargetMode="External"/><Relationship Id="rId320" Type="http://schemas.openxmlformats.org/officeDocument/2006/relationships/hyperlink" Target="http://ufcstats.com/fight-details/75a978e0ecce2536" TargetMode="External"/><Relationship Id="rId155" Type="http://schemas.openxmlformats.org/officeDocument/2006/relationships/hyperlink" Target="http://ufcstats.com/fight-details/78736e322574e500" TargetMode="External"/><Relationship Id="rId197" Type="http://schemas.openxmlformats.org/officeDocument/2006/relationships/hyperlink" Target="http://ufcstats.com/fight-details/e24c8aab497b4fe1" TargetMode="External"/><Relationship Id="rId362" Type="http://schemas.openxmlformats.org/officeDocument/2006/relationships/hyperlink" Target="http://ufcstats.com/fight-details/01c9acf719298187" TargetMode="External"/><Relationship Id="rId418" Type="http://schemas.openxmlformats.org/officeDocument/2006/relationships/hyperlink" Target="http://ufcstats.com/fight-details/ebb685a81f65ce1b" TargetMode="External"/><Relationship Id="rId222" Type="http://schemas.openxmlformats.org/officeDocument/2006/relationships/hyperlink" Target="http://ufcstats.com/fight-details/f4cdc944e27c2cd2" TargetMode="External"/><Relationship Id="rId264" Type="http://schemas.openxmlformats.org/officeDocument/2006/relationships/hyperlink" Target="http://ufcstats.com/fight-details/d564e3a6c77d0c85" TargetMode="External"/><Relationship Id="rId471" Type="http://schemas.openxmlformats.org/officeDocument/2006/relationships/hyperlink" Target="http://ufcstats.com/fight-details/7f16e7725245bb2d" TargetMode="External"/><Relationship Id="rId17" Type="http://schemas.openxmlformats.org/officeDocument/2006/relationships/hyperlink" Target="http://ufcstats.com/fight-details/11f7bac5037a184c" TargetMode="External"/><Relationship Id="rId59" Type="http://schemas.openxmlformats.org/officeDocument/2006/relationships/hyperlink" Target="http://ufcstats.com/fight-details/8b341eb556c97c23" TargetMode="External"/><Relationship Id="rId124" Type="http://schemas.openxmlformats.org/officeDocument/2006/relationships/hyperlink" Target="http://ufcstats.com/fight-details/f81f8cfe30e0a1e9" TargetMode="External"/><Relationship Id="rId70" Type="http://schemas.openxmlformats.org/officeDocument/2006/relationships/hyperlink" Target="http://ufcstats.com/fight-details/20f316f96c9e4458" TargetMode="External"/><Relationship Id="rId166" Type="http://schemas.openxmlformats.org/officeDocument/2006/relationships/hyperlink" Target="http://ufcstats.com/fight-details/b65d0243d397802c" TargetMode="External"/><Relationship Id="rId331" Type="http://schemas.openxmlformats.org/officeDocument/2006/relationships/hyperlink" Target="http://ufcstats.com/fight-details/0f73ee9121ec7539" TargetMode="External"/><Relationship Id="rId373" Type="http://schemas.openxmlformats.org/officeDocument/2006/relationships/hyperlink" Target="http://ufcstats.com/fight-details/81af3b60203d92df" TargetMode="External"/><Relationship Id="rId429" Type="http://schemas.openxmlformats.org/officeDocument/2006/relationships/hyperlink" Target="http://ufcstats.com/fight-details/5086f9fb4fdc2f60" TargetMode="External"/><Relationship Id="rId1" Type="http://schemas.openxmlformats.org/officeDocument/2006/relationships/hyperlink" Target="http://ufcstats.com/fight-details/8a95f0e3f9111f0c" TargetMode="External"/><Relationship Id="rId233" Type="http://schemas.openxmlformats.org/officeDocument/2006/relationships/hyperlink" Target="http://ufcstats.com/fight-details/775c1f401815bbd8" TargetMode="External"/><Relationship Id="rId440" Type="http://schemas.openxmlformats.org/officeDocument/2006/relationships/hyperlink" Target="http://ufcstats.com/fight-details/569e0ba18701c305" TargetMode="External"/><Relationship Id="rId28" Type="http://schemas.openxmlformats.org/officeDocument/2006/relationships/hyperlink" Target="http://ufcstats.com/fight-details/760b90b0805e0fbf" TargetMode="External"/><Relationship Id="rId275" Type="http://schemas.openxmlformats.org/officeDocument/2006/relationships/hyperlink" Target="http://ufcstats.com/fight-details/d0d99889c6abd8e1" TargetMode="External"/><Relationship Id="rId300" Type="http://schemas.openxmlformats.org/officeDocument/2006/relationships/hyperlink" Target="http://ufcstats.com/fight-details/20b5de395c0f1375" TargetMode="External"/><Relationship Id="rId482" Type="http://schemas.openxmlformats.org/officeDocument/2006/relationships/hyperlink" Target="http://ufcstats.com/fight-details/ff389a4326fc9255" TargetMode="External"/><Relationship Id="rId81" Type="http://schemas.openxmlformats.org/officeDocument/2006/relationships/hyperlink" Target="http://ufcstats.com/fight-details/226884e46a10865d" TargetMode="External"/><Relationship Id="rId135" Type="http://schemas.openxmlformats.org/officeDocument/2006/relationships/hyperlink" Target="http://ufcstats.com/fight-details/c5479f20e4db357d" TargetMode="External"/><Relationship Id="rId177" Type="http://schemas.openxmlformats.org/officeDocument/2006/relationships/hyperlink" Target="http://ufcstats.com/fight-details/44e3a7b4f4c7d95d" TargetMode="External"/><Relationship Id="rId342" Type="http://schemas.openxmlformats.org/officeDocument/2006/relationships/hyperlink" Target="http://ufcstats.com/fight-details/ba7250ef080d1603" TargetMode="External"/><Relationship Id="rId384" Type="http://schemas.openxmlformats.org/officeDocument/2006/relationships/hyperlink" Target="http://ufcstats.com/fight-details/fcfd2e6eed519cb9" TargetMode="External"/><Relationship Id="rId202" Type="http://schemas.openxmlformats.org/officeDocument/2006/relationships/hyperlink" Target="http://ufcstats.com/fight-details/cf9035f2fc2e232f" TargetMode="External"/><Relationship Id="rId244" Type="http://schemas.openxmlformats.org/officeDocument/2006/relationships/hyperlink" Target="http://ufcstats.com/fight-details/28e3d939eb043664" TargetMode="External"/><Relationship Id="rId39" Type="http://schemas.openxmlformats.org/officeDocument/2006/relationships/hyperlink" Target="http://ufcstats.com/fight-details/f83c6bdd553b5851" TargetMode="External"/><Relationship Id="rId286" Type="http://schemas.openxmlformats.org/officeDocument/2006/relationships/hyperlink" Target="http://ufcstats.com/fight-details/ce33085fc5205bab" TargetMode="External"/><Relationship Id="rId451" Type="http://schemas.openxmlformats.org/officeDocument/2006/relationships/hyperlink" Target="http://ufcstats.com/fight-details/14f2bb86fd888e91" TargetMode="External"/><Relationship Id="rId50" Type="http://schemas.openxmlformats.org/officeDocument/2006/relationships/hyperlink" Target="http://ufcstats.com/fight-details/77992b8727382373" TargetMode="External"/><Relationship Id="rId104" Type="http://schemas.openxmlformats.org/officeDocument/2006/relationships/hyperlink" Target="http://ufcstats.com/fight-details/51108eabae8391ca" TargetMode="External"/><Relationship Id="rId146" Type="http://schemas.openxmlformats.org/officeDocument/2006/relationships/hyperlink" Target="http://ufcstats.com/fight-details/6ec0a046de95fe16" TargetMode="External"/><Relationship Id="rId188" Type="http://schemas.openxmlformats.org/officeDocument/2006/relationships/hyperlink" Target="http://ufcstats.com/fight-details/2723f4d275d3f619" TargetMode="External"/><Relationship Id="rId311" Type="http://schemas.openxmlformats.org/officeDocument/2006/relationships/hyperlink" Target="http://ufcstats.com/fight-details/e59aabdfba9d6c45" TargetMode="External"/><Relationship Id="rId353" Type="http://schemas.openxmlformats.org/officeDocument/2006/relationships/hyperlink" Target="http://ufcstats.com/fight-details/e7938bac3ec8b442" TargetMode="External"/><Relationship Id="rId395" Type="http://schemas.openxmlformats.org/officeDocument/2006/relationships/hyperlink" Target="http://ufcstats.com/fight-details/66b8f3426f36fdf7" TargetMode="External"/><Relationship Id="rId409" Type="http://schemas.openxmlformats.org/officeDocument/2006/relationships/hyperlink" Target="http://ufcstats.com/fight-details/5164f1c4103616fd" TargetMode="External"/><Relationship Id="rId92" Type="http://schemas.openxmlformats.org/officeDocument/2006/relationships/hyperlink" Target="http://ufcstats.com/fight-details/7f8340dfe4220c3e" TargetMode="External"/><Relationship Id="rId213" Type="http://schemas.openxmlformats.org/officeDocument/2006/relationships/hyperlink" Target="http://ufcstats.com/fight-details/014a3acf91ada8af" TargetMode="External"/><Relationship Id="rId420" Type="http://schemas.openxmlformats.org/officeDocument/2006/relationships/hyperlink" Target="http://ufcstats.com/fight-details/37ae5c09d6f03f33" TargetMode="External"/><Relationship Id="rId255" Type="http://schemas.openxmlformats.org/officeDocument/2006/relationships/hyperlink" Target="http://ufcstats.com/fight-details/04e1ff7aeda2a018" TargetMode="External"/><Relationship Id="rId297" Type="http://schemas.openxmlformats.org/officeDocument/2006/relationships/hyperlink" Target="http://ufcstats.com/fight-details/bd06f1c2d7e6c4a0" TargetMode="External"/><Relationship Id="rId462" Type="http://schemas.openxmlformats.org/officeDocument/2006/relationships/hyperlink" Target="http://ufcstats.com/fight-details/2ba11e0bf32829d6" TargetMode="External"/><Relationship Id="rId115" Type="http://schemas.openxmlformats.org/officeDocument/2006/relationships/hyperlink" Target="http://ufcstats.com/fight-details/57b111b54a2d2323" TargetMode="External"/><Relationship Id="rId157" Type="http://schemas.openxmlformats.org/officeDocument/2006/relationships/hyperlink" Target="http://ufcstats.com/fight-details/770312f3ca8506b6" TargetMode="External"/><Relationship Id="rId322" Type="http://schemas.openxmlformats.org/officeDocument/2006/relationships/hyperlink" Target="http://ufcstats.com/fight-details/88256dd5a9aef1cc" TargetMode="External"/><Relationship Id="rId364" Type="http://schemas.openxmlformats.org/officeDocument/2006/relationships/hyperlink" Target="http://ufcstats.com/fight-details/7a57289563f9d974" TargetMode="External"/><Relationship Id="rId61" Type="http://schemas.openxmlformats.org/officeDocument/2006/relationships/hyperlink" Target="http://ufcstats.com/fight-details/5d9b84493f1ed114" TargetMode="External"/><Relationship Id="rId199" Type="http://schemas.openxmlformats.org/officeDocument/2006/relationships/hyperlink" Target="http://ufcstats.com/fight-details/498766b46b8b4a7f" TargetMode="External"/><Relationship Id="rId19" Type="http://schemas.openxmlformats.org/officeDocument/2006/relationships/hyperlink" Target="http://ufcstats.com/fight-details/93f3e9b9f093ad57" TargetMode="External"/><Relationship Id="rId224" Type="http://schemas.openxmlformats.org/officeDocument/2006/relationships/hyperlink" Target="http://ufcstats.com/fight-details/f995ed679ef8bdf4" TargetMode="External"/><Relationship Id="rId266" Type="http://schemas.openxmlformats.org/officeDocument/2006/relationships/hyperlink" Target="http://ufcstats.com/fight-details/b5268a0c2df32a24" TargetMode="External"/><Relationship Id="rId431" Type="http://schemas.openxmlformats.org/officeDocument/2006/relationships/hyperlink" Target="http://ufcstats.com/fight-details/535b8e5494cbc580" TargetMode="External"/><Relationship Id="rId473" Type="http://schemas.openxmlformats.org/officeDocument/2006/relationships/hyperlink" Target="http://ufcstats.com/fight-details/ca8f73d038c4d6e7" TargetMode="External"/><Relationship Id="rId30" Type="http://schemas.openxmlformats.org/officeDocument/2006/relationships/hyperlink" Target="http://ufcstats.com/fight-details/b8b9a8e504d51ba5" TargetMode="External"/><Relationship Id="rId126" Type="http://schemas.openxmlformats.org/officeDocument/2006/relationships/hyperlink" Target="http://ufcstats.com/fight-details/9fb9af6599d67b1d" TargetMode="External"/><Relationship Id="rId168" Type="http://schemas.openxmlformats.org/officeDocument/2006/relationships/hyperlink" Target="http://ufcstats.com/fight-details/fcb225f454ebf1a1" TargetMode="External"/><Relationship Id="rId333" Type="http://schemas.openxmlformats.org/officeDocument/2006/relationships/hyperlink" Target="http://ufcstats.com/fight-details/a71764d5da04e3bc" TargetMode="External"/><Relationship Id="rId72" Type="http://schemas.openxmlformats.org/officeDocument/2006/relationships/hyperlink" Target="http://ufcstats.com/fight-details/925a36a4af600291" TargetMode="External"/><Relationship Id="rId375" Type="http://schemas.openxmlformats.org/officeDocument/2006/relationships/hyperlink" Target="http://ufcstats.com/fight-details/41622791b276ad9e" TargetMode="Externa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hyperlink" Target="http://ufcstats.com/fight-details/d5ffdb5388ffabc6" TargetMode="External"/><Relationship Id="rId21" Type="http://schemas.openxmlformats.org/officeDocument/2006/relationships/hyperlink" Target="http://ufcstats.com/fight-details/f09c3d8a26806761" TargetMode="External"/><Relationship Id="rId324" Type="http://schemas.openxmlformats.org/officeDocument/2006/relationships/hyperlink" Target="http://ufcstats.com/fight-details/bd6909a463a1de2b" TargetMode="External"/><Relationship Id="rId531" Type="http://schemas.openxmlformats.org/officeDocument/2006/relationships/hyperlink" Target="http://ufcstats.com/fight-details/f6ab2eec90980ac0" TargetMode="External"/><Relationship Id="rId629" Type="http://schemas.openxmlformats.org/officeDocument/2006/relationships/hyperlink" Target="http://ufcstats.com/fight-details/c483ac06b1e33c3b" TargetMode="External"/><Relationship Id="rId170" Type="http://schemas.openxmlformats.org/officeDocument/2006/relationships/hyperlink" Target="http://ufcstats.com/fight-details/7410ac7e4e5acb74" TargetMode="External"/><Relationship Id="rId268" Type="http://schemas.openxmlformats.org/officeDocument/2006/relationships/hyperlink" Target="http://ufcstats.com/fight-details/44c6d87116bb3a10" TargetMode="External"/><Relationship Id="rId475" Type="http://schemas.openxmlformats.org/officeDocument/2006/relationships/hyperlink" Target="http://ufcstats.com/fight-details/e492dc60d8e44866" TargetMode="External"/><Relationship Id="rId32" Type="http://schemas.openxmlformats.org/officeDocument/2006/relationships/hyperlink" Target="http://ufcstats.com/fight-details/3fcd53eb27945231" TargetMode="External"/><Relationship Id="rId128" Type="http://schemas.openxmlformats.org/officeDocument/2006/relationships/hyperlink" Target="http://ufcstats.com/fight-details/23b943e9ce495f0b" TargetMode="External"/><Relationship Id="rId335" Type="http://schemas.openxmlformats.org/officeDocument/2006/relationships/hyperlink" Target="http://ufcstats.com/fight-details/ad5ef8d8678ff97f" TargetMode="External"/><Relationship Id="rId542" Type="http://schemas.openxmlformats.org/officeDocument/2006/relationships/hyperlink" Target="http://ufcstats.com/fight-details/37fda56a435a9b24" TargetMode="External"/><Relationship Id="rId181" Type="http://schemas.openxmlformats.org/officeDocument/2006/relationships/hyperlink" Target="http://ufcstats.com/fight-details/93330422e1f2e0be" TargetMode="External"/><Relationship Id="rId402" Type="http://schemas.openxmlformats.org/officeDocument/2006/relationships/hyperlink" Target="http://ufcstats.com/fight-details/d20dc2d68305fc31" TargetMode="External"/><Relationship Id="rId279" Type="http://schemas.openxmlformats.org/officeDocument/2006/relationships/hyperlink" Target="http://ufcstats.com/fight-details/464133df9ca19865" TargetMode="External"/><Relationship Id="rId486" Type="http://schemas.openxmlformats.org/officeDocument/2006/relationships/hyperlink" Target="http://ufcstats.com/fight-details/4b8c8ae61251ff83" TargetMode="External"/><Relationship Id="rId43" Type="http://schemas.openxmlformats.org/officeDocument/2006/relationships/hyperlink" Target="http://ufcstats.com/fight-details/23e03d226eb7af80" TargetMode="External"/><Relationship Id="rId139" Type="http://schemas.openxmlformats.org/officeDocument/2006/relationships/hyperlink" Target="http://ufcstats.com/fight-details/e22d5aab3d099c7c" TargetMode="External"/><Relationship Id="rId346" Type="http://schemas.openxmlformats.org/officeDocument/2006/relationships/hyperlink" Target="http://ufcstats.com/fight-details/6ea77cb62aa2f276" TargetMode="External"/><Relationship Id="rId553" Type="http://schemas.openxmlformats.org/officeDocument/2006/relationships/hyperlink" Target="http://ufcstats.com/fight-details/2a0d4dd0997bd712" TargetMode="External"/><Relationship Id="rId192" Type="http://schemas.openxmlformats.org/officeDocument/2006/relationships/hyperlink" Target="http://ufcstats.com/fight-details/9e1853861f58191f" TargetMode="External"/><Relationship Id="rId206" Type="http://schemas.openxmlformats.org/officeDocument/2006/relationships/hyperlink" Target="http://ufcstats.com/fight-details/418a7100e490e791" TargetMode="External"/><Relationship Id="rId413" Type="http://schemas.openxmlformats.org/officeDocument/2006/relationships/hyperlink" Target="http://ufcstats.com/fight-details/adac148ee6fa3bf7" TargetMode="External"/><Relationship Id="rId497" Type="http://schemas.openxmlformats.org/officeDocument/2006/relationships/hyperlink" Target="http://ufcstats.com/fight-details/4df1d3183929d021" TargetMode="External"/><Relationship Id="rId620" Type="http://schemas.openxmlformats.org/officeDocument/2006/relationships/hyperlink" Target="http://ufcstats.com/fight-details/0f279b25ccbecc76" TargetMode="External"/><Relationship Id="rId357" Type="http://schemas.openxmlformats.org/officeDocument/2006/relationships/hyperlink" Target="http://ufcstats.com/fight-details/397dd9a8694ef413" TargetMode="External"/><Relationship Id="rId54" Type="http://schemas.openxmlformats.org/officeDocument/2006/relationships/hyperlink" Target="http://ufcstats.com/fight-details/6e3139f066149a81" TargetMode="External"/><Relationship Id="rId217" Type="http://schemas.openxmlformats.org/officeDocument/2006/relationships/hyperlink" Target="http://ufcstats.com/fight-details/e686df21c24c6c03" TargetMode="External"/><Relationship Id="rId564" Type="http://schemas.openxmlformats.org/officeDocument/2006/relationships/hyperlink" Target="http://ufcstats.com/fight-details/1c85f793ea4f9caa" TargetMode="External"/><Relationship Id="rId424" Type="http://schemas.openxmlformats.org/officeDocument/2006/relationships/hyperlink" Target="http://ufcstats.com/fight-details/6caf9ebf42ddae2e" TargetMode="External"/><Relationship Id="rId631" Type="http://schemas.openxmlformats.org/officeDocument/2006/relationships/hyperlink" Target="http://ufcstats.com/fight-details/b80ef7cdc36ab48b" TargetMode="External"/><Relationship Id="rId270" Type="http://schemas.openxmlformats.org/officeDocument/2006/relationships/hyperlink" Target="http://ufcstats.com/fight-details/2f0bfdc3c325662d" TargetMode="External"/><Relationship Id="rId65" Type="http://schemas.openxmlformats.org/officeDocument/2006/relationships/hyperlink" Target="http://ufcstats.com/fight-details/454861874ecc52d7" TargetMode="External"/><Relationship Id="rId130" Type="http://schemas.openxmlformats.org/officeDocument/2006/relationships/hyperlink" Target="http://ufcstats.com/fight-details/178c4926223dca0c" TargetMode="External"/><Relationship Id="rId368" Type="http://schemas.openxmlformats.org/officeDocument/2006/relationships/hyperlink" Target="http://ufcstats.com/fight-details/6ec62f8822843edf" TargetMode="External"/><Relationship Id="rId575" Type="http://schemas.openxmlformats.org/officeDocument/2006/relationships/hyperlink" Target="http://ufcstats.com/fight-details/696ff200d98fa878" TargetMode="External"/><Relationship Id="rId228" Type="http://schemas.openxmlformats.org/officeDocument/2006/relationships/hyperlink" Target="http://ufcstats.com/fight-details/b53fd8bce62aa1c6" TargetMode="External"/><Relationship Id="rId435" Type="http://schemas.openxmlformats.org/officeDocument/2006/relationships/hyperlink" Target="http://ufcstats.com/fight-details/8cdc9c13d75adb28" TargetMode="External"/><Relationship Id="rId642" Type="http://schemas.openxmlformats.org/officeDocument/2006/relationships/hyperlink" Target="http://ufcstats.com/fight-details/f70c817388602681" TargetMode="External"/><Relationship Id="rId281" Type="http://schemas.openxmlformats.org/officeDocument/2006/relationships/hyperlink" Target="http://ufcstats.com/fight-details/43b9e58ebf4a75ea" TargetMode="External"/><Relationship Id="rId502" Type="http://schemas.openxmlformats.org/officeDocument/2006/relationships/hyperlink" Target="http://ufcstats.com/fight-details/85bec51d0bdf511f" TargetMode="External"/><Relationship Id="rId76" Type="http://schemas.openxmlformats.org/officeDocument/2006/relationships/hyperlink" Target="http://ufcstats.com/fight-details/270edfb687c0d20c" TargetMode="External"/><Relationship Id="rId141" Type="http://schemas.openxmlformats.org/officeDocument/2006/relationships/hyperlink" Target="http://ufcstats.com/fight-details/d80fd2ec736f7df2" TargetMode="External"/><Relationship Id="rId379" Type="http://schemas.openxmlformats.org/officeDocument/2006/relationships/hyperlink" Target="http://ufcstats.com/fight-details/b6b5ec324449befd" TargetMode="External"/><Relationship Id="rId586" Type="http://schemas.openxmlformats.org/officeDocument/2006/relationships/hyperlink" Target="http://ufcstats.com/fight-details/2dc48a745d6c662b" TargetMode="External"/><Relationship Id="rId7" Type="http://schemas.openxmlformats.org/officeDocument/2006/relationships/hyperlink" Target="http://ufcstats.com/fight-details/bf719cf83cab229b" TargetMode="External"/><Relationship Id="rId239" Type="http://schemas.openxmlformats.org/officeDocument/2006/relationships/hyperlink" Target="http://ufcstats.com/fight-details/1db121859d2fcda8" TargetMode="External"/><Relationship Id="rId446" Type="http://schemas.openxmlformats.org/officeDocument/2006/relationships/hyperlink" Target="http://ufcstats.com/fight-details/543de77637ad2a20" TargetMode="External"/><Relationship Id="rId292" Type="http://schemas.openxmlformats.org/officeDocument/2006/relationships/hyperlink" Target="http://ufcstats.com/fight-details/ed707998b13d0101" TargetMode="External"/><Relationship Id="rId306" Type="http://schemas.openxmlformats.org/officeDocument/2006/relationships/hyperlink" Target="http://ufcstats.com/fight-details/75e21e2f5f3be42e" TargetMode="External"/><Relationship Id="rId87" Type="http://schemas.openxmlformats.org/officeDocument/2006/relationships/hyperlink" Target="http://ufcstats.com/fight-details/870672b1b443311e" TargetMode="External"/><Relationship Id="rId513" Type="http://schemas.openxmlformats.org/officeDocument/2006/relationships/hyperlink" Target="http://ufcstats.com/fight-details/64756e0f4b305da8" TargetMode="External"/><Relationship Id="rId597" Type="http://schemas.openxmlformats.org/officeDocument/2006/relationships/hyperlink" Target="http://ufcstats.com/fight-details/b509c337d181c567" TargetMode="External"/><Relationship Id="rId152" Type="http://schemas.openxmlformats.org/officeDocument/2006/relationships/hyperlink" Target="http://ufcstats.com/fight-details/f2d9814936a6eb35" TargetMode="External"/><Relationship Id="rId457" Type="http://schemas.openxmlformats.org/officeDocument/2006/relationships/hyperlink" Target="http://ufcstats.com/fight-details/fb9095887dca34c7" TargetMode="External"/><Relationship Id="rId14" Type="http://schemas.openxmlformats.org/officeDocument/2006/relationships/hyperlink" Target="http://ufcstats.com/fight-details/697efaf0d162e877" TargetMode="External"/><Relationship Id="rId317" Type="http://schemas.openxmlformats.org/officeDocument/2006/relationships/hyperlink" Target="http://ufcstats.com/fight-details/4cff9aeef3ac75c1" TargetMode="External"/><Relationship Id="rId524" Type="http://schemas.openxmlformats.org/officeDocument/2006/relationships/hyperlink" Target="http://ufcstats.com/fight-details/5edd1cd479f3919e" TargetMode="External"/><Relationship Id="rId98" Type="http://schemas.openxmlformats.org/officeDocument/2006/relationships/hyperlink" Target="http://ufcstats.com/fight-details/579b5770129b328a" TargetMode="External"/><Relationship Id="rId163" Type="http://schemas.openxmlformats.org/officeDocument/2006/relationships/hyperlink" Target="http://ufcstats.com/fight-details/c8dfcbee63266273" TargetMode="External"/><Relationship Id="rId370" Type="http://schemas.openxmlformats.org/officeDocument/2006/relationships/hyperlink" Target="http://ufcstats.com/fight-details/af6d56860ba4d259" TargetMode="External"/><Relationship Id="rId230" Type="http://schemas.openxmlformats.org/officeDocument/2006/relationships/hyperlink" Target="http://ufcstats.com/fight-details/a69a155a25b84679" TargetMode="External"/><Relationship Id="rId468" Type="http://schemas.openxmlformats.org/officeDocument/2006/relationships/hyperlink" Target="http://ufcstats.com/fight-details/d54ebd2a3435a357" TargetMode="External"/><Relationship Id="rId25" Type="http://schemas.openxmlformats.org/officeDocument/2006/relationships/hyperlink" Target="http://ufcstats.com/fight-details/8390441d93736719" TargetMode="External"/><Relationship Id="rId328" Type="http://schemas.openxmlformats.org/officeDocument/2006/relationships/hyperlink" Target="http://ufcstats.com/fight-details/5948876f1d80c21a" TargetMode="External"/><Relationship Id="rId535" Type="http://schemas.openxmlformats.org/officeDocument/2006/relationships/hyperlink" Target="http://ufcstats.com/fight-details/cbf1e76186a0c8b3" TargetMode="External"/><Relationship Id="rId174" Type="http://schemas.openxmlformats.org/officeDocument/2006/relationships/hyperlink" Target="http://ufcstats.com/fight-details/676561d9690ce31d" TargetMode="External"/><Relationship Id="rId381" Type="http://schemas.openxmlformats.org/officeDocument/2006/relationships/hyperlink" Target="http://ufcstats.com/fight-details/f91709b071e8295a" TargetMode="External"/><Relationship Id="rId602" Type="http://schemas.openxmlformats.org/officeDocument/2006/relationships/hyperlink" Target="http://ufcstats.com/fight-details/30b33d032605c885" TargetMode="External"/><Relationship Id="rId241" Type="http://schemas.openxmlformats.org/officeDocument/2006/relationships/hyperlink" Target="http://ufcstats.com/fight-details/1f9ac1648b8e501e" TargetMode="External"/><Relationship Id="rId479" Type="http://schemas.openxmlformats.org/officeDocument/2006/relationships/hyperlink" Target="http://ufcstats.com/fight-details/19eed5d9781b47ac" TargetMode="External"/><Relationship Id="rId36" Type="http://schemas.openxmlformats.org/officeDocument/2006/relationships/hyperlink" Target="http://ufcstats.com/fight-details/7feadf01c5920285" TargetMode="External"/><Relationship Id="rId339" Type="http://schemas.openxmlformats.org/officeDocument/2006/relationships/hyperlink" Target="http://ufcstats.com/fight-details/e909e34cdee01831" TargetMode="External"/><Relationship Id="rId546" Type="http://schemas.openxmlformats.org/officeDocument/2006/relationships/hyperlink" Target="http://ufcstats.com/fight-details/987cdcbc809e210d" TargetMode="External"/><Relationship Id="rId101" Type="http://schemas.openxmlformats.org/officeDocument/2006/relationships/hyperlink" Target="http://ufcstats.com/fight-details/4d8d1701c43c5fea" TargetMode="External"/><Relationship Id="rId185" Type="http://schemas.openxmlformats.org/officeDocument/2006/relationships/hyperlink" Target="http://ufcstats.com/fight-details/23ba354e606df0ac" TargetMode="External"/><Relationship Id="rId406" Type="http://schemas.openxmlformats.org/officeDocument/2006/relationships/hyperlink" Target="http://ufcstats.com/fight-details/330d86bfaa4155fe" TargetMode="External"/><Relationship Id="rId392" Type="http://schemas.openxmlformats.org/officeDocument/2006/relationships/hyperlink" Target="http://ufcstats.com/fight-details/47c140debc977214" TargetMode="External"/><Relationship Id="rId613" Type="http://schemas.openxmlformats.org/officeDocument/2006/relationships/hyperlink" Target="http://ufcstats.com/fight-details/b279559f15ecf29b" TargetMode="External"/><Relationship Id="rId252" Type="http://schemas.openxmlformats.org/officeDocument/2006/relationships/hyperlink" Target="http://ufcstats.com/fight-details/69ecd4aa5a550f7b" TargetMode="External"/><Relationship Id="rId47" Type="http://schemas.openxmlformats.org/officeDocument/2006/relationships/hyperlink" Target="http://ufcstats.com/fight-details/eb0f7127f22457e9" TargetMode="External"/><Relationship Id="rId112" Type="http://schemas.openxmlformats.org/officeDocument/2006/relationships/hyperlink" Target="http://ufcstats.com/fight-details/8b3b38167060b1d7" TargetMode="External"/><Relationship Id="rId557" Type="http://schemas.openxmlformats.org/officeDocument/2006/relationships/hyperlink" Target="http://ufcstats.com/fight-details/5b062be91c65fb73" TargetMode="External"/><Relationship Id="rId196" Type="http://schemas.openxmlformats.org/officeDocument/2006/relationships/hyperlink" Target="http://ufcstats.com/fight-details/67f559403a6ec7cb" TargetMode="External"/><Relationship Id="rId417" Type="http://schemas.openxmlformats.org/officeDocument/2006/relationships/hyperlink" Target="http://ufcstats.com/fight-details/b91756d955e14d2e" TargetMode="External"/><Relationship Id="rId459" Type="http://schemas.openxmlformats.org/officeDocument/2006/relationships/hyperlink" Target="http://ufcstats.com/fight-details/dd456668731bd52a" TargetMode="External"/><Relationship Id="rId624" Type="http://schemas.openxmlformats.org/officeDocument/2006/relationships/hyperlink" Target="http://ufcstats.com/fight-details/25da6035f591c245" TargetMode="External"/><Relationship Id="rId16" Type="http://schemas.openxmlformats.org/officeDocument/2006/relationships/hyperlink" Target="http://ufcstats.com/fight-details/ced01368259428f5" TargetMode="External"/><Relationship Id="rId221" Type="http://schemas.openxmlformats.org/officeDocument/2006/relationships/hyperlink" Target="http://ufcstats.com/fight-details/da7afd49fefe6a46" TargetMode="External"/><Relationship Id="rId263" Type="http://schemas.openxmlformats.org/officeDocument/2006/relationships/hyperlink" Target="http://ufcstats.com/fight-details/be0af5916c8e8e99" TargetMode="External"/><Relationship Id="rId319" Type="http://schemas.openxmlformats.org/officeDocument/2006/relationships/hyperlink" Target="http://ufcstats.com/fight-details/a409a5381f082e8f" TargetMode="External"/><Relationship Id="rId470" Type="http://schemas.openxmlformats.org/officeDocument/2006/relationships/hyperlink" Target="http://ufcstats.com/fight-details/96404a3b32791c8d" TargetMode="External"/><Relationship Id="rId526" Type="http://schemas.openxmlformats.org/officeDocument/2006/relationships/hyperlink" Target="http://ufcstats.com/fight-details/e1ec8774466db669" TargetMode="External"/><Relationship Id="rId58" Type="http://schemas.openxmlformats.org/officeDocument/2006/relationships/hyperlink" Target="http://ufcstats.com/fight-details/21b361d723fcf3cd" TargetMode="External"/><Relationship Id="rId123" Type="http://schemas.openxmlformats.org/officeDocument/2006/relationships/hyperlink" Target="http://ufcstats.com/fight-details/96bbb6c573dac27a" TargetMode="External"/><Relationship Id="rId330" Type="http://schemas.openxmlformats.org/officeDocument/2006/relationships/hyperlink" Target="http://ufcstats.com/fight-details/c7df07266a9597d9" TargetMode="External"/><Relationship Id="rId568" Type="http://schemas.openxmlformats.org/officeDocument/2006/relationships/hyperlink" Target="http://ufcstats.com/fight-details/e6a0f19af995c432" TargetMode="External"/><Relationship Id="rId165" Type="http://schemas.openxmlformats.org/officeDocument/2006/relationships/hyperlink" Target="http://ufcstats.com/fight-details/89266a872e1f92d9" TargetMode="External"/><Relationship Id="rId372" Type="http://schemas.openxmlformats.org/officeDocument/2006/relationships/hyperlink" Target="http://ufcstats.com/fight-details/7d4e11c2a9485320" TargetMode="External"/><Relationship Id="rId428" Type="http://schemas.openxmlformats.org/officeDocument/2006/relationships/hyperlink" Target="http://ufcstats.com/fight-details/61d6b591430b6e25" TargetMode="External"/><Relationship Id="rId635" Type="http://schemas.openxmlformats.org/officeDocument/2006/relationships/hyperlink" Target="http://ufcstats.com/fight-details/d292243c6499b2fe" TargetMode="External"/><Relationship Id="rId232" Type="http://schemas.openxmlformats.org/officeDocument/2006/relationships/hyperlink" Target="http://ufcstats.com/fight-details/288b479c485c48b2" TargetMode="External"/><Relationship Id="rId274" Type="http://schemas.openxmlformats.org/officeDocument/2006/relationships/hyperlink" Target="http://ufcstats.com/fight-details/2a702055a79d95a7" TargetMode="External"/><Relationship Id="rId481" Type="http://schemas.openxmlformats.org/officeDocument/2006/relationships/hyperlink" Target="http://ufcstats.com/fight-details/54c5284c1b792912" TargetMode="External"/><Relationship Id="rId27" Type="http://schemas.openxmlformats.org/officeDocument/2006/relationships/hyperlink" Target="http://ufcstats.com/fight-details/3f92025b29e06bfd" TargetMode="External"/><Relationship Id="rId69" Type="http://schemas.openxmlformats.org/officeDocument/2006/relationships/hyperlink" Target="http://ufcstats.com/fight-details/7af604e5aa43bb3b" TargetMode="External"/><Relationship Id="rId134" Type="http://schemas.openxmlformats.org/officeDocument/2006/relationships/hyperlink" Target="http://ufcstats.com/fight-details/357c5b86ec83b826" TargetMode="External"/><Relationship Id="rId537" Type="http://schemas.openxmlformats.org/officeDocument/2006/relationships/hyperlink" Target="http://ufcstats.com/fight-details/3e875e1625bbdfbd" TargetMode="External"/><Relationship Id="rId579" Type="http://schemas.openxmlformats.org/officeDocument/2006/relationships/hyperlink" Target="http://ufcstats.com/fight-details/24f156a78bd32026" TargetMode="External"/><Relationship Id="rId80" Type="http://schemas.openxmlformats.org/officeDocument/2006/relationships/hyperlink" Target="http://ufcstats.com/fight-details/73ebbfb998edc1f1" TargetMode="External"/><Relationship Id="rId176" Type="http://schemas.openxmlformats.org/officeDocument/2006/relationships/hyperlink" Target="http://ufcstats.com/fight-details/1019f2a9c012e949" TargetMode="External"/><Relationship Id="rId341" Type="http://schemas.openxmlformats.org/officeDocument/2006/relationships/hyperlink" Target="http://ufcstats.com/fight-details/cd54325a9a538837" TargetMode="External"/><Relationship Id="rId383" Type="http://schemas.openxmlformats.org/officeDocument/2006/relationships/hyperlink" Target="http://ufcstats.com/fight-details/48ea8a30f7b88cfc" TargetMode="External"/><Relationship Id="rId439" Type="http://schemas.openxmlformats.org/officeDocument/2006/relationships/hyperlink" Target="http://ufcstats.com/fight-details/dbed6292db8b0212" TargetMode="External"/><Relationship Id="rId590" Type="http://schemas.openxmlformats.org/officeDocument/2006/relationships/hyperlink" Target="http://ufcstats.com/fight-details/72330020a732c635" TargetMode="External"/><Relationship Id="rId604" Type="http://schemas.openxmlformats.org/officeDocument/2006/relationships/hyperlink" Target="http://ufcstats.com/fight-details/60cc0ac9ace28324" TargetMode="External"/><Relationship Id="rId646" Type="http://schemas.openxmlformats.org/officeDocument/2006/relationships/hyperlink" Target="http://ufcstats.com/fight-details/5934de85b9c53e7c" TargetMode="External"/><Relationship Id="rId201" Type="http://schemas.openxmlformats.org/officeDocument/2006/relationships/hyperlink" Target="http://ufcstats.com/fight-details/484c48d3723e72cd" TargetMode="External"/><Relationship Id="rId243" Type="http://schemas.openxmlformats.org/officeDocument/2006/relationships/hyperlink" Target="http://ufcstats.com/fight-details/abf0f8234f6be37e" TargetMode="External"/><Relationship Id="rId285" Type="http://schemas.openxmlformats.org/officeDocument/2006/relationships/hyperlink" Target="http://ufcstats.com/fight-details/babfd62f1d4a43a8" TargetMode="External"/><Relationship Id="rId450" Type="http://schemas.openxmlformats.org/officeDocument/2006/relationships/hyperlink" Target="http://ufcstats.com/fight-details/5b731da9e4be4391" TargetMode="External"/><Relationship Id="rId506" Type="http://schemas.openxmlformats.org/officeDocument/2006/relationships/hyperlink" Target="http://ufcstats.com/fight-details/e84fa12d87993ec5" TargetMode="External"/><Relationship Id="rId38" Type="http://schemas.openxmlformats.org/officeDocument/2006/relationships/hyperlink" Target="http://ufcstats.com/fight-details/7dc87736c304b3dd" TargetMode="External"/><Relationship Id="rId103" Type="http://schemas.openxmlformats.org/officeDocument/2006/relationships/hyperlink" Target="http://ufcstats.com/fight-details/6a902b97ac98c283" TargetMode="External"/><Relationship Id="rId310" Type="http://schemas.openxmlformats.org/officeDocument/2006/relationships/hyperlink" Target="http://ufcstats.com/fight-details/81fda78adcaedbc7" TargetMode="External"/><Relationship Id="rId492" Type="http://schemas.openxmlformats.org/officeDocument/2006/relationships/hyperlink" Target="http://ufcstats.com/fight-details/7fbf09533c59e43f" TargetMode="External"/><Relationship Id="rId548" Type="http://schemas.openxmlformats.org/officeDocument/2006/relationships/hyperlink" Target="http://ufcstats.com/fight-details/efe985e626a0d8c0" TargetMode="External"/><Relationship Id="rId91" Type="http://schemas.openxmlformats.org/officeDocument/2006/relationships/hyperlink" Target="http://ufcstats.com/fight-details/ccb5e29cd0347110" TargetMode="External"/><Relationship Id="rId145" Type="http://schemas.openxmlformats.org/officeDocument/2006/relationships/hyperlink" Target="http://ufcstats.com/fight-details/463fc1fd1f17befb" TargetMode="External"/><Relationship Id="rId187" Type="http://schemas.openxmlformats.org/officeDocument/2006/relationships/hyperlink" Target="http://ufcstats.com/fight-details/51808d929c84b8ae" TargetMode="External"/><Relationship Id="rId352" Type="http://schemas.openxmlformats.org/officeDocument/2006/relationships/hyperlink" Target="http://ufcstats.com/fight-details/cfa0dbc7534f3545" TargetMode="External"/><Relationship Id="rId394" Type="http://schemas.openxmlformats.org/officeDocument/2006/relationships/hyperlink" Target="http://ufcstats.com/fight-details/6aea6d3e6944999c" TargetMode="External"/><Relationship Id="rId408" Type="http://schemas.openxmlformats.org/officeDocument/2006/relationships/hyperlink" Target="http://ufcstats.com/fight-details/8f7a73d05387b159" TargetMode="External"/><Relationship Id="rId615" Type="http://schemas.openxmlformats.org/officeDocument/2006/relationships/hyperlink" Target="http://ufcstats.com/fight-details/241a0833e1c76804" TargetMode="External"/><Relationship Id="rId212" Type="http://schemas.openxmlformats.org/officeDocument/2006/relationships/hyperlink" Target="http://ufcstats.com/fight-details/c381ad2c0bf34dd9" TargetMode="External"/><Relationship Id="rId254" Type="http://schemas.openxmlformats.org/officeDocument/2006/relationships/hyperlink" Target="http://ufcstats.com/fight-details/4a46b63c19cfa932" TargetMode="External"/><Relationship Id="rId49" Type="http://schemas.openxmlformats.org/officeDocument/2006/relationships/hyperlink" Target="http://ufcstats.com/fight-details/344bfe9c1ff511bb" TargetMode="External"/><Relationship Id="rId114" Type="http://schemas.openxmlformats.org/officeDocument/2006/relationships/hyperlink" Target="http://ufcstats.com/fight-details/405bded9cc7a7c15" TargetMode="External"/><Relationship Id="rId296" Type="http://schemas.openxmlformats.org/officeDocument/2006/relationships/hyperlink" Target="http://ufcstats.com/fight-details/61bedad39b15db7a" TargetMode="External"/><Relationship Id="rId461" Type="http://schemas.openxmlformats.org/officeDocument/2006/relationships/hyperlink" Target="http://ufcstats.com/fight-details/c5865afc31cb6c59" TargetMode="External"/><Relationship Id="rId517" Type="http://schemas.openxmlformats.org/officeDocument/2006/relationships/hyperlink" Target="http://ufcstats.com/fight-details/410aca28fda60f76" TargetMode="External"/><Relationship Id="rId559" Type="http://schemas.openxmlformats.org/officeDocument/2006/relationships/hyperlink" Target="http://ufcstats.com/fight-details/46cfd4aaa02ce202" TargetMode="External"/><Relationship Id="rId60" Type="http://schemas.openxmlformats.org/officeDocument/2006/relationships/hyperlink" Target="http://ufcstats.com/fight-details/d6389fa434e86916" TargetMode="External"/><Relationship Id="rId156" Type="http://schemas.openxmlformats.org/officeDocument/2006/relationships/hyperlink" Target="http://ufcstats.com/fight-details/b9abcce29378e5cc" TargetMode="External"/><Relationship Id="rId198" Type="http://schemas.openxmlformats.org/officeDocument/2006/relationships/hyperlink" Target="http://ufcstats.com/fight-details/77be83973766e104" TargetMode="External"/><Relationship Id="rId321" Type="http://schemas.openxmlformats.org/officeDocument/2006/relationships/hyperlink" Target="http://ufcstats.com/fight-details/f3bebb48771a414a" TargetMode="External"/><Relationship Id="rId363" Type="http://schemas.openxmlformats.org/officeDocument/2006/relationships/hyperlink" Target="http://ufcstats.com/fight-details/2615d94ab16380f9" TargetMode="External"/><Relationship Id="rId419" Type="http://schemas.openxmlformats.org/officeDocument/2006/relationships/hyperlink" Target="http://ufcstats.com/fight-details/a3dd2249d046cf9d" TargetMode="External"/><Relationship Id="rId570" Type="http://schemas.openxmlformats.org/officeDocument/2006/relationships/hyperlink" Target="http://ufcstats.com/fight-details/459bc7c0b47719c3" TargetMode="External"/><Relationship Id="rId626" Type="http://schemas.openxmlformats.org/officeDocument/2006/relationships/hyperlink" Target="http://ufcstats.com/fight-details/3f810c3433dddb80" TargetMode="External"/><Relationship Id="rId223" Type="http://schemas.openxmlformats.org/officeDocument/2006/relationships/hyperlink" Target="http://ufcstats.com/fight-details/7303ae36077411d9" TargetMode="External"/><Relationship Id="rId430" Type="http://schemas.openxmlformats.org/officeDocument/2006/relationships/hyperlink" Target="http://ufcstats.com/fight-details/6c9fdcb95393a49c" TargetMode="External"/><Relationship Id="rId18" Type="http://schemas.openxmlformats.org/officeDocument/2006/relationships/hyperlink" Target="http://ufcstats.com/fight-details/4c9bbd9758be1168" TargetMode="External"/><Relationship Id="rId265" Type="http://schemas.openxmlformats.org/officeDocument/2006/relationships/hyperlink" Target="http://ufcstats.com/fight-details/d2105d00baa3e15e" TargetMode="External"/><Relationship Id="rId472" Type="http://schemas.openxmlformats.org/officeDocument/2006/relationships/hyperlink" Target="http://ufcstats.com/fight-details/68ba4aca75b02496" TargetMode="External"/><Relationship Id="rId528" Type="http://schemas.openxmlformats.org/officeDocument/2006/relationships/hyperlink" Target="http://ufcstats.com/fight-details/e76227f395b94e47" TargetMode="External"/><Relationship Id="rId125" Type="http://schemas.openxmlformats.org/officeDocument/2006/relationships/hyperlink" Target="http://ufcstats.com/fight-details/87c8e086c29ae543" TargetMode="External"/><Relationship Id="rId167" Type="http://schemas.openxmlformats.org/officeDocument/2006/relationships/hyperlink" Target="http://ufcstats.com/fight-details/c5b8a996eff18540" TargetMode="External"/><Relationship Id="rId332" Type="http://schemas.openxmlformats.org/officeDocument/2006/relationships/hyperlink" Target="http://ufcstats.com/fight-details/14477908199435e1" TargetMode="External"/><Relationship Id="rId374" Type="http://schemas.openxmlformats.org/officeDocument/2006/relationships/hyperlink" Target="http://ufcstats.com/fight-details/583f2c3cd0e2385b" TargetMode="External"/><Relationship Id="rId581" Type="http://schemas.openxmlformats.org/officeDocument/2006/relationships/hyperlink" Target="http://ufcstats.com/fight-details/d2591df4fa9cc44e" TargetMode="External"/><Relationship Id="rId71" Type="http://schemas.openxmlformats.org/officeDocument/2006/relationships/hyperlink" Target="http://ufcstats.com/fight-details/982f4f96b6d0f346" TargetMode="External"/><Relationship Id="rId234" Type="http://schemas.openxmlformats.org/officeDocument/2006/relationships/hyperlink" Target="http://ufcstats.com/fight-details/1ed9dbbe604654b9" TargetMode="External"/><Relationship Id="rId637" Type="http://schemas.openxmlformats.org/officeDocument/2006/relationships/hyperlink" Target="http://ufcstats.com/fight-details/30553d630491094a" TargetMode="External"/><Relationship Id="rId2" Type="http://schemas.openxmlformats.org/officeDocument/2006/relationships/hyperlink" Target="http://ufcstats.com/fight-details/2c13b938e0f8190b" TargetMode="External"/><Relationship Id="rId29" Type="http://schemas.openxmlformats.org/officeDocument/2006/relationships/hyperlink" Target="http://ufcstats.com/fight-details/587d373f18f6c8c0" TargetMode="External"/><Relationship Id="rId276" Type="http://schemas.openxmlformats.org/officeDocument/2006/relationships/hyperlink" Target="http://ufcstats.com/fight-details/4ff0075d932d5b14" TargetMode="External"/><Relationship Id="rId441" Type="http://schemas.openxmlformats.org/officeDocument/2006/relationships/hyperlink" Target="http://ufcstats.com/fight-details/a69a6da9560ed62c" TargetMode="External"/><Relationship Id="rId483" Type="http://schemas.openxmlformats.org/officeDocument/2006/relationships/hyperlink" Target="http://ufcstats.com/fight-details/a6c29d2cb319d923" TargetMode="External"/><Relationship Id="rId539" Type="http://schemas.openxmlformats.org/officeDocument/2006/relationships/hyperlink" Target="http://ufcstats.com/fight-details/512af32553d9bd70" TargetMode="External"/><Relationship Id="rId40" Type="http://schemas.openxmlformats.org/officeDocument/2006/relationships/hyperlink" Target="http://ufcstats.com/fight-details/59097097bc09cdef" TargetMode="External"/><Relationship Id="rId136" Type="http://schemas.openxmlformats.org/officeDocument/2006/relationships/hyperlink" Target="http://ufcstats.com/fight-details/3d35eb2d46bf74de" TargetMode="External"/><Relationship Id="rId178" Type="http://schemas.openxmlformats.org/officeDocument/2006/relationships/hyperlink" Target="http://ufcstats.com/fight-details/d47fd8fc3886f86c" TargetMode="External"/><Relationship Id="rId301" Type="http://schemas.openxmlformats.org/officeDocument/2006/relationships/hyperlink" Target="http://ufcstats.com/fight-details/0d077813b6164fe1" TargetMode="External"/><Relationship Id="rId343" Type="http://schemas.openxmlformats.org/officeDocument/2006/relationships/hyperlink" Target="http://ufcstats.com/fight-details/04c9ebe419195f8b" TargetMode="External"/><Relationship Id="rId550" Type="http://schemas.openxmlformats.org/officeDocument/2006/relationships/hyperlink" Target="http://ufcstats.com/fight-details/39d188fa9b95d550" TargetMode="External"/><Relationship Id="rId82" Type="http://schemas.openxmlformats.org/officeDocument/2006/relationships/hyperlink" Target="http://ufcstats.com/fight-details/56809feb4fe7ea61" TargetMode="External"/><Relationship Id="rId203" Type="http://schemas.openxmlformats.org/officeDocument/2006/relationships/hyperlink" Target="http://ufcstats.com/fight-details/53d6a7634c7fc036" TargetMode="External"/><Relationship Id="rId385" Type="http://schemas.openxmlformats.org/officeDocument/2006/relationships/hyperlink" Target="http://ufcstats.com/fight-details/27ff7028ec8c2161" TargetMode="External"/><Relationship Id="rId592" Type="http://schemas.openxmlformats.org/officeDocument/2006/relationships/hyperlink" Target="http://ufcstats.com/fight-details/b210b99d9c1c9196" TargetMode="External"/><Relationship Id="rId606" Type="http://schemas.openxmlformats.org/officeDocument/2006/relationships/hyperlink" Target="http://ufcstats.com/fight-details/bda7992779a005fa" TargetMode="External"/><Relationship Id="rId245" Type="http://schemas.openxmlformats.org/officeDocument/2006/relationships/hyperlink" Target="http://ufcstats.com/fight-details/677588ea237aa5c0" TargetMode="External"/><Relationship Id="rId287" Type="http://schemas.openxmlformats.org/officeDocument/2006/relationships/hyperlink" Target="http://ufcstats.com/fight-details/0c36a08b1bf60f45" TargetMode="External"/><Relationship Id="rId410" Type="http://schemas.openxmlformats.org/officeDocument/2006/relationships/hyperlink" Target="http://ufcstats.com/fight-details/733dcfec0cc9b439" TargetMode="External"/><Relationship Id="rId452" Type="http://schemas.openxmlformats.org/officeDocument/2006/relationships/hyperlink" Target="http://ufcstats.com/fight-details/17c53d93d549cb03" TargetMode="External"/><Relationship Id="rId494" Type="http://schemas.openxmlformats.org/officeDocument/2006/relationships/hyperlink" Target="http://ufcstats.com/fight-details/21992c366d3b4602" TargetMode="External"/><Relationship Id="rId508" Type="http://schemas.openxmlformats.org/officeDocument/2006/relationships/hyperlink" Target="http://ufcstats.com/fight-details/a419e6df765aa755" TargetMode="External"/><Relationship Id="rId105" Type="http://schemas.openxmlformats.org/officeDocument/2006/relationships/hyperlink" Target="http://ufcstats.com/fight-details/559031e51ced0b53" TargetMode="External"/><Relationship Id="rId147" Type="http://schemas.openxmlformats.org/officeDocument/2006/relationships/hyperlink" Target="http://ufcstats.com/fight-details/949619e1b1de9e5f" TargetMode="External"/><Relationship Id="rId312" Type="http://schemas.openxmlformats.org/officeDocument/2006/relationships/hyperlink" Target="http://ufcstats.com/fight-details/43ae6a9daa51ed93" TargetMode="External"/><Relationship Id="rId354" Type="http://schemas.openxmlformats.org/officeDocument/2006/relationships/hyperlink" Target="http://ufcstats.com/fight-details/f115a91066a77ee7" TargetMode="External"/><Relationship Id="rId51" Type="http://schemas.openxmlformats.org/officeDocument/2006/relationships/hyperlink" Target="http://ufcstats.com/fight-details/657fd7ab7bdf9f15" TargetMode="External"/><Relationship Id="rId93" Type="http://schemas.openxmlformats.org/officeDocument/2006/relationships/hyperlink" Target="http://ufcstats.com/fight-details/8f00da6ea8186ce2" TargetMode="External"/><Relationship Id="rId189" Type="http://schemas.openxmlformats.org/officeDocument/2006/relationships/hyperlink" Target="http://ufcstats.com/fight-details/2cc1fe3570999428" TargetMode="External"/><Relationship Id="rId396" Type="http://schemas.openxmlformats.org/officeDocument/2006/relationships/hyperlink" Target="http://ufcstats.com/fight-details/aeb7ff8ce6e1beac" TargetMode="External"/><Relationship Id="rId561" Type="http://schemas.openxmlformats.org/officeDocument/2006/relationships/hyperlink" Target="http://ufcstats.com/fight-details/019b4d006800504b" TargetMode="External"/><Relationship Id="rId617" Type="http://schemas.openxmlformats.org/officeDocument/2006/relationships/hyperlink" Target="http://ufcstats.com/fight-details/e86f7b7f3a047d2a" TargetMode="External"/><Relationship Id="rId214" Type="http://schemas.openxmlformats.org/officeDocument/2006/relationships/hyperlink" Target="http://ufcstats.com/fight-details/a6fbd8964400dd89" TargetMode="External"/><Relationship Id="rId256" Type="http://schemas.openxmlformats.org/officeDocument/2006/relationships/hyperlink" Target="http://ufcstats.com/fight-details/e09d17f97d6fc6b8" TargetMode="External"/><Relationship Id="rId298" Type="http://schemas.openxmlformats.org/officeDocument/2006/relationships/hyperlink" Target="http://ufcstats.com/fight-details/e9eab0fa03eecd9b" TargetMode="External"/><Relationship Id="rId421" Type="http://schemas.openxmlformats.org/officeDocument/2006/relationships/hyperlink" Target="http://ufcstats.com/fight-details/d18b33bdd37f4683" TargetMode="External"/><Relationship Id="rId463" Type="http://schemas.openxmlformats.org/officeDocument/2006/relationships/hyperlink" Target="http://ufcstats.com/fight-details/12a33d16e1d4e2d9" TargetMode="External"/><Relationship Id="rId519" Type="http://schemas.openxmlformats.org/officeDocument/2006/relationships/hyperlink" Target="http://ufcstats.com/fight-details/4327fe98e1b6f222" TargetMode="External"/><Relationship Id="rId116" Type="http://schemas.openxmlformats.org/officeDocument/2006/relationships/hyperlink" Target="http://ufcstats.com/fight-details/efc6af0151f72b87" TargetMode="External"/><Relationship Id="rId158" Type="http://schemas.openxmlformats.org/officeDocument/2006/relationships/hyperlink" Target="http://ufcstats.com/fight-details/d66a8591af39ca7b" TargetMode="External"/><Relationship Id="rId323" Type="http://schemas.openxmlformats.org/officeDocument/2006/relationships/hyperlink" Target="http://ufcstats.com/fight-details/67ed3ad521ef619c" TargetMode="External"/><Relationship Id="rId530" Type="http://schemas.openxmlformats.org/officeDocument/2006/relationships/hyperlink" Target="http://ufcstats.com/fight-details/47a157222b2c9092" TargetMode="External"/><Relationship Id="rId20" Type="http://schemas.openxmlformats.org/officeDocument/2006/relationships/hyperlink" Target="http://ufcstats.com/fight-details/07e39fd5f4f23270" TargetMode="External"/><Relationship Id="rId62" Type="http://schemas.openxmlformats.org/officeDocument/2006/relationships/hyperlink" Target="http://ufcstats.com/fight-details/8d975de5d033ccde" TargetMode="External"/><Relationship Id="rId365" Type="http://schemas.openxmlformats.org/officeDocument/2006/relationships/hyperlink" Target="http://ufcstats.com/fight-details/52bae6f01ea9f926" TargetMode="External"/><Relationship Id="rId572" Type="http://schemas.openxmlformats.org/officeDocument/2006/relationships/hyperlink" Target="http://ufcstats.com/fight-details/23bc29f1b6baacad" TargetMode="External"/><Relationship Id="rId628" Type="http://schemas.openxmlformats.org/officeDocument/2006/relationships/hyperlink" Target="http://ufcstats.com/fight-details/eb6f80ccaf2a3dbc" TargetMode="External"/><Relationship Id="rId225" Type="http://schemas.openxmlformats.org/officeDocument/2006/relationships/hyperlink" Target="http://ufcstats.com/fight-details/b8c967c742d3c107" TargetMode="External"/><Relationship Id="rId267" Type="http://schemas.openxmlformats.org/officeDocument/2006/relationships/hyperlink" Target="http://ufcstats.com/fight-details/94d708a8a8fefdef" TargetMode="External"/><Relationship Id="rId432" Type="http://schemas.openxmlformats.org/officeDocument/2006/relationships/hyperlink" Target="http://ufcstats.com/fight-details/342779192b116314" TargetMode="External"/><Relationship Id="rId474" Type="http://schemas.openxmlformats.org/officeDocument/2006/relationships/hyperlink" Target="http://ufcstats.com/fight-details/c317f85a8266313e" TargetMode="External"/><Relationship Id="rId127" Type="http://schemas.openxmlformats.org/officeDocument/2006/relationships/hyperlink" Target="http://ufcstats.com/fight-details/5c0e5d850d8e661f" TargetMode="External"/><Relationship Id="rId31" Type="http://schemas.openxmlformats.org/officeDocument/2006/relationships/hyperlink" Target="http://ufcstats.com/fight-details/c5dfce1eaa2dc169" TargetMode="External"/><Relationship Id="rId73" Type="http://schemas.openxmlformats.org/officeDocument/2006/relationships/hyperlink" Target="http://ufcstats.com/fight-details/b78a222fb448aed4" TargetMode="External"/><Relationship Id="rId169" Type="http://schemas.openxmlformats.org/officeDocument/2006/relationships/hyperlink" Target="http://ufcstats.com/fight-details/578987d534a0d205" TargetMode="External"/><Relationship Id="rId334" Type="http://schemas.openxmlformats.org/officeDocument/2006/relationships/hyperlink" Target="http://ufcstats.com/fight-details/00684df5ed23e6ca" TargetMode="External"/><Relationship Id="rId376" Type="http://schemas.openxmlformats.org/officeDocument/2006/relationships/hyperlink" Target="http://ufcstats.com/fight-details/70f08a4771138817" TargetMode="External"/><Relationship Id="rId541" Type="http://schemas.openxmlformats.org/officeDocument/2006/relationships/hyperlink" Target="http://ufcstats.com/fight-details/bf658320ccd69021" TargetMode="External"/><Relationship Id="rId583" Type="http://schemas.openxmlformats.org/officeDocument/2006/relationships/hyperlink" Target="http://ufcstats.com/fight-details/e18a8b333529cc09" TargetMode="External"/><Relationship Id="rId639" Type="http://schemas.openxmlformats.org/officeDocument/2006/relationships/hyperlink" Target="http://ufcstats.com/fight-details/6a5eb525331fa1fc" TargetMode="External"/><Relationship Id="rId4" Type="http://schemas.openxmlformats.org/officeDocument/2006/relationships/hyperlink" Target="http://ufcstats.com/fight-details/b5ea6535748edbce" TargetMode="External"/><Relationship Id="rId180" Type="http://schemas.openxmlformats.org/officeDocument/2006/relationships/hyperlink" Target="http://ufcstats.com/fight-details/f6a03399c7a721cd" TargetMode="External"/><Relationship Id="rId236" Type="http://schemas.openxmlformats.org/officeDocument/2006/relationships/hyperlink" Target="http://ufcstats.com/fight-details/b2c1f9bdd5d3073d" TargetMode="External"/><Relationship Id="rId278" Type="http://schemas.openxmlformats.org/officeDocument/2006/relationships/hyperlink" Target="http://ufcstats.com/fight-details/979538ff8ae1ccd5" TargetMode="External"/><Relationship Id="rId401" Type="http://schemas.openxmlformats.org/officeDocument/2006/relationships/hyperlink" Target="http://ufcstats.com/fight-details/c63d8062c89c4c33" TargetMode="External"/><Relationship Id="rId443" Type="http://schemas.openxmlformats.org/officeDocument/2006/relationships/hyperlink" Target="http://ufcstats.com/fight-details/c6dd17ab89437805" TargetMode="External"/><Relationship Id="rId303" Type="http://schemas.openxmlformats.org/officeDocument/2006/relationships/hyperlink" Target="http://ufcstats.com/fight-details/cd117bfce747184f" TargetMode="External"/><Relationship Id="rId485" Type="http://schemas.openxmlformats.org/officeDocument/2006/relationships/hyperlink" Target="http://ufcstats.com/fight-details/1cc9816d18aa29d0" TargetMode="External"/><Relationship Id="rId42" Type="http://schemas.openxmlformats.org/officeDocument/2006/relationships/hyperlink" Target="http://ufcstats.com/fight-details/94dcbc64641cbb6e" TargetMode="External"/><Relationship Id="rId84" Type="http://schemas.openxmlformats.org/officeDocument/2006/relationships/hyperlink" Target="http://ufcstats.com/fight-details/78d2c01dc963f204" TargetMode="External"/><Relationship Id="rId138" Type="http://schemas.openxmlformats.org/officeDocument/2006/relationships/hyperlink" Target="http://ufcstats.com/fight-details/2b13651b97f57b6c" TargetMode="External"/><Relationship Id="rId345" Type="http://schemas.openxmlformats.org/officeDocument/2006/relationships/hyperlink" Target="http://ufcstats.com/fight-details/77185ff8b4dade6a" TargetMode="External"/><Relationship Id="rId387" Type="http://schemas.openxmlformats.org/officeDocument/2006/relationships/hyperlink" Target="http://ufcstats.com/fight-details/ec067e9c9efd7aa1" TargetMode="External"/><Relationship Id="rId510" Type="http://schemas.openxmlformats.org/officeDocument/2006/relationships/hyperlink" Target="http://ufcstats.com/fight-details/407e1c6850e7022c" TargetMode="External"/><Relationship Id="rId552" Type="http://schemas.openxmlformats.org/officeDocument/2006/relationships/hyperlink" Target="http://ufcstats.com/fight-details/1c51f405e5c46572" TargetMode="External"/><Relationship Id="rId594" Type="http://schemas.openxmlformats.org/officeDocument/2006/relationships/hyperlink" Target="http://ufcstats.com/fight-details/4fcbee643660d679" TargetMode="External"/><Relationship Id="rId608" Type="http://schemas.openxmlformats.org/officeDocument/2006/relationships/hyperlink" Target="http://ufcstats.com/fight-details/c2f0a53cd67e1736" TargetMode="External"/><Relationship Id="rId191" Type="http://schemas.openxmlformats.org/officeDocument/2006/relationships/hyperlink" Target="http://ufcstats.com/fight-details/73a299d44d2ef5cd" TargetMode="External"/><Relationship Id="rId205" Type="http://schemas.openxmlformats.org/officeDocument/2006/relationships/hyperlink" Target="http://ufcstats.com/fight-details/d2b5ce5548b71668" TargetMode="External"/><Relationship Id="rId247" Type="http://schemas.openxmlformats.org/officeDocument/2006/relationships/hyperlink" Target="http://ufcstats.com/fight-details/761a215d51a0442e" TargetMode="External"/><Relationship Id="rId412" Type="http://schemas.openxmlformats.org/officeDocument/2006/relationships/hyperlink" Target="http://ufcstats.com/fight-details/245009a9e1a0f60b" TargetMode="External"/><Relationship Id="rId107" Type="http://schemas.openxmlformats.org/officeDocument/2006/relationships/hyperlink" Target="http://ufcstats.com/fight-details/313b85fe82b2ba80" TargetMode="External"/><Relationship Id="rId289" Type="http://schemas.openxmlformats.org/officeDocument/2006/relationships/hyperlink" Target="http://ufcstats.com/fight-details/591699203b264f6c" TargetMode="External"/><Relationship Id="rId454" Type="http://schemas.openxmlformats.org/officeDocument/2006/relationships/hyperlink" Target="http://ufcstats.com/fight-details/73700c8c5107f719" TargetMode="External"/><Relationship Id="rId496" Type="http://schemas.openxmlformats.org/officeDocument/2006/relationships/hyperlink" Target="http://ufcstats.com/fight-details/aa232e53d285cc6d" TargetMode="External"/><Relationship Id="rId11" Type="http://schemas.openxmlformats.org/officeDocument/2006/relationships/hyperlink" Target="http://ufcstats.com/fight-details/eb9f9f61507497a5" TargetMode="External"/><Relationship Id="rId53" Type="http://schemas.openxmlformats.org/officeDocument/2006/relationships/hyperlink" Target="http://ufcstats.com/fight-details/78e38f1ad43c3479" TargetMode="External"/><Relationship Id="rId149" Type="http://schemas.openxmlformats.org/officeDocument/2006/relationships/hyperlink" Target="http://ufcstats.com/fight-details/58e07add007685f8" TargetMode="External"/><Relationship Id="rId314" Type="http://schemas.openxmlformats.org/officeDocument/2006/relationships/hyperlink" Target="http://ufcstats.com/fight-details/ed499508be1e5532" TargetMode="External"/><Relationship Id="rId356" Type="http://schemas.openxmlformats.org/officeDocument/2006/relationships/hyperlink" Target="http://ufcstats.com/fight-details/c6c975ca66a7f91a" TargetMode="External"/><Relationship Id="rId398" Type="http://schemas.openxmlformats.org/officeDocument/2006/relationships/hyperlink" Target="http://ufcstats.com/fight-details/43496ff308e681a0" TargetMode="External"/><Relationship Id="rId521" Type="http://schemas.openxmlformats.org/officeDocument/2006/relationships/hyperlink" Target="http://ufcstats.com/fight-details/f19d1c8ca5660240" TargetMode="External"/><Relationship Id="rId563" Type="http://schemas.openxmlformats.org/officeDocument/2006/relationships/hyperlink" Target="http://ufcstats.com/fight-details/7e6f91cbf8e93210" TargetMode="External"/><Relationship Id="rId619" Type="http://schemas.openxmlformats.org/officeDocument/2006/relationships/hyperlink" Target="http://ufcstats.com/fight-details/9231cef371b89a46" TargetMode="External"/><Relationship Id="rId95" Type="http://schemas.openxmlformats.org/officeDocument/2006/relationships/hyperlink" Target="http://ufcstats.com/fight-details/7d0d2cecab358ba1" TargetMode="External"/><Relationship Id="rId160" Type="http://schemas.openxmlformats.org/officeDocument/2006/relationships/hyperlink" Target="http://ufcstats.com/fight-details/3bd20b66b585d621" TargetMode="External"/><Relationship Id="rId216" Type="http://schemas.openxmlformats.org/officeDocument/2006/relationships/hyperlink" Target="http://ufcstats.com/fight-details/80572cac6ab57866" TargetMode="External"/><Relationship Id="rId423" Type="http://schemas.openxmlformats.org/officeDocument/2006/relationships/hyperlink" Target="http://ufcstats.com/fight-details/1c6d3ef6beb9966e" TargetMode="External"/><Relationship Id="rId258" Type="http://schemas.openxmlformats.org/officeDocument/2006/relationships/hyperlink" Target="http://ufcstats.com/fight-details/8c2e4d3cc4b9e93a" TargetMode="External"/><Relationship Id="rId465" Type="http://schemas.openxmlformats.org/officeDocument/2006/relationships/hyperlink" Target="http://ufcstats.com/fight-details/56ae02578b1163ee" TargetMode="External"/><Relationship Id="rId630" Type="http://schemas.openxmlformats.org/officeDocument/2006/relationships/hyperlink" Target="http://ufcstats.com/fight-details/dfc8c5161ea0ccb5" TargetMode="External"/><Relationship Id="rId22" Type="http://schemas.openxmlformats.org/officeDocument/2006/relationships/hyperlink" Target="http://ufcstats.com/fight-details/bf59d9f8bd9536f3" TargetMode="External"/><Relationship Id="rId64" Type="http://schemas.openxmlformats.org/officeDocument/2006/relationships/hyperlink" Target="http://ufcstats.com/fight-details/050eb872a69c66bd" TargetMode="External"/><Relationship Id="rId118" Type="http://schemas.openxmlformats.org/officeDocument/2006/relationships/hyperlink" Target="http://ufcstats.com/fight-details/9c33c8d4a381ba70" TargetMode="External"/><Relationship Id="rId325" Type="http://schemas.openxmlformats.org/officeDocument/2006/relationships/hyperlink" Target="http://ufcstats.com/fight-details/23c6a428df1569bc" TargetMode="External"/><Relationship Id="rId367" Type="http://schemas.openxmlformats.org/officeDocument/2006/relationships/hyperlink" Target="http://ufcstats.com/fight-details/573d3a6984cbcd29" TargetMode="External"/><Relationship Id="rId532" Type="http://schemas.openxmlformats.org/officeDocument/2006/relationships/hyperlink" Target="http://ufcstats.com/fight-details/710c7f8c7dc2af46" TargetMode="External"/><Relationship Id="rId574" Type="http://schemas.openxmlformats.org/officeDocument/2006/relationships/hyperlink" Target="http://ufcstats.com/fight-details/838a022ca5d99cc1" TargetMode="External"/><Relationship Id="rId171" Type="http://schemas.openxmlformats.org/officeDocument/2006/relationships/hyperlink" Target="http://ufcstats.com/fight-details/9c7b6a20f35fb708" TargetMode="External"/><Relationship Id="rId227" Type="http://schemas.openxmlformats.org/officeDocument/2006/relationships/hyperlink" Target="http://ufcstats.com/fight-details/c7c7be3b0d65a7da" TargetMode="External"/><Relationship Id="rId269" Type="http://schemas.openxmlformats.org/officeDocument/2006/relationships/hyperlink" Target="http://ufcstats.com/fight-details/15f48dd8cf8ae455" TargetMode="External"/><Relationship Id="rId434" Type="http://schemas.openxmlformats.org/officeDocument/2006/relationships/hyperlink" Target="http://ufcstats.com/fight-details/62fecd327391557e" TargetMode="External"/><Relationship Id="rId476" Type="http://schemas.openxmlformats.org/officeDocument/2006/relationships/hyperlink" Target="http://ufcstats.com/fight-details/b3c7a5a97978d156" TargetMode="External"/><Relationship Id="rId641" Type="http://schemas.openxmlformats.org/officeDocument/2006/relationships/hyperlink" Target="http://ufcstats.com/fight-details/ecb4534c0066c5f3" TargetMode="External"/><Relationship Id="rId33" Type="http://schemas.openxmlformats.org/officeDocument/2006/relationships/hyperlink" Target="http://ufcstats.com/fight-details/ce7cd2ec773bea7f" TargetMode="External"/><Relationship Id="rId129" Type="http://schemas.openxmlformats.org/officeDocument/2006/relationships/hyperlink" Target="http://ufcstats.com/fight-details/e624d85a0d718578" TargetMode="External"/><Relationship Id="rId280" Type="http://schemas.openxmlformats.org/officeDocument/2006/relationships/hyperlink" Target="http://ufcstats.com/fight-details/5301d765d64f863e" TargetMode="External"/><Relationship Id="rId336" Type="http://schemas.openxmlformats.org/officeDocument/2006/relationships/hyperlink" Target="http://ufcstats.com/fight-details/b8b2cdf962cc65a0" TargetMode="External"/><Relationship Id="rId501" Type="http://schemas.openxmlformats.org/officeDocument/2006/relationships/hyperlink" Target="http://ufcstats.com/fight-details/9c3f3bc7f7472e0c" TargetMode="External"/><Relationship Id="rId543" Type="http://schemas.openxmlformats.org/officeDocument/2006/relationships/hyperlink" Target="http://ufcstats.com/fight-details/4b997af9fb321123" TargetMode="External"/><Relationship Id="rId75" Type="http://schemas.openxmlformats.org/officeDocument/2006/relationships/hyperlink" Target="http://ufcstats.com/fight-details/0b9cd718d7e329e8" TargetMode="External"/><Relationship Id="rId140" Type="http://schemas.openxmlformats.org/officeDocument/2006/relationships/hyperlink" Target="http://ufcstats.com/fight-details/a02764f92a84dd36" TargetMode="External"/><Relationship Id="rId182" Type="http://schemas.openxmlformats.org/officeDocument/2006/relationships/hyperlink" Target="http://ufcstats.com/fight-details/3d941525f5c623e3" TargetMode="External"/><Relationship Id="rId378" Type="http://schemas.openxmlformats.org/officeDocument/2006/relationships/hyperlink" Target="http://ufcstats.com/fight-details/7458a37feabf8788" TargetMode="External"/><Relationship Id="rId403" Type="http://schemas.openxmlformats.org/officeDocument/2006/relationships/hyperlink" Target="http://ufcstats.com/fight-details/2ad291d61792fd7d" TargetMode="External"/><Relationship Id="rId585" Type="http://schemas.openxmlformats.org/officeDocument/2006/relationships/hyperlink" Target="http://ufcstats.com/fight-details/9f428684f3db247f" TargetMode="External"/><Relationship Id="rId6" Type="http://schemas.openxmlformats.org/officeDocument/2006/relationships/hyperlink" Target="http://ufcstats.com/fight-details/5fcf65d4de66c970" TargetMode="External"/><Relationship Id="rId238" Type="http://schemas.openxmlformats.org/officeDocument/2006/relationships/hyperlink" Target="http://ufcstats.com/fight-details/f4f5049e789b7716" TargetMode="External"/><Relationship Id="rId445" Type="http://schemas.openxmlformats.org/officeDocument/2006/relationships/hyperlink" Target="http://ufcstats.com/fight-details/6fd7f6f1deaef4e8" TargetMode="External"/><Relationship Id="rId487" Type="http://schemas.openxmlformats.org/officeDocument/2006/relationships/hyperlink" Target="http://ufcstats.com/fight-details/3de326b65aa6245d" TargetMode="External"/><Relationship Id="rId610" Type="http://schemas.openxmlformats.org/officeDocument/2006/relationships/hyperlink" Target="http://ufcstats.com/fight-details/8a8190f3f71408a4" TargetMode="External"/><Relationship Id="rId291" Type="http://schemas.openxmlformats.org/officeDocument/2006/relationships/hyperlink" Target="http://ufcstats.com/fight-details/e346f2b7af63e804" TargetMode="External"/><Relationship Id="rId305" Type="http://schemas.openxmlformats.org/officeDocument/2006/relationships/hyperlink" Target="http://ufcstats.com/fight-details/d9375ede2ec2f924" TargetMode="External"/><Relationship Id="rId347" Type="http://schemas.openxmlformats.org/officeDocument/2006/relationships/hyperlink" Target="http://ufcstats.com/fight-details/7e7fba47f511f8ad" TargetMode="External"/><Relationship Id="rId512" Type="http://schemas.openxmlformats.org/officeDocument/2006/relationships/hyperlink" Target="http://ufcstats.com/fight-details/c0568b225d5f0fe6" TargetMode="External"/><Relationship Id="rId44" Type="http://schemas.openxmlformats.org/officeDocument/2006/relationships/hyperlink" Target="http://ufcstats.com/fight-details/7a3947a0e7bc3558" TargetMode="External"/><Relationship Id="rId86" Type="http://schemas.openxmlformats.org/officeDocument/2006/relationships/hyperlink" Target="http://ufcstats.com/fight-details/42922bab8a3e1828" TargetMode="External"/><Relationship Id="rId151" Type="http://schemas.openxmlformats.org/officeDocument/2006/relationships/hyperlink" Target="http://ufcstats.com/fight-details/33d2a1dbb8a7fef5" TargetMode="External"/><Relationship Id="rId389" Type="http://schemas.openxmlformats.org/officeDocument/2006/relationships/hyperlink" Target="http://ufcstats.com/fight-details/6b4c2cc27855506a" TargetMode="External"/><Relationship Id="rId554" Type="http://schemas.openxmlformats.org/officeDocument/2006/relationships/hyperlink" Target="http://ufcstats.com/fight-details/d8c7497043e7e5bd" TargetMode="External"/><Relationship Id="rId596" Type="http://schemas.openxmlformats.org/officeDocument/2006/relationships/hyperlink" Target="http://ufcstats.com/fight-details/bf647be41de365e4" TargetMode="External"/><Relationship Id="rId193" Type="http://schemas.openxmlformats.org/officeDocument/2006/relationships/hyperlink" Target="http://ufcstats.com/fight-details/629c0eb319e01374" TargetMode="External"/><Relationship Id="rId207" Type="http://schemas.openxmlformats.org/officeDocument/2006/relationships/hyperlink" Target="http://ufcstats.com/fight-details/424a20da52b4f956" TargetMode="External"/><Relationship Id="rId249" Type="http://schemas.openxmlformats.org/officeDocument/2006/relationships/hyperlink" Target="http://ufcstats.com/fight-details/2c0a58ef0324e18b" TargetMode="External"/><Relationship Id="rId414" Type="http://schemas.openxmlformats.org/officeDocument/2006/relationships/hyperlink" Target="http://ufcstats.com/fight-details/69aa797cef2e4782" TargetMode="External"/><Relationship Id="rId456" Type="http://schemas.openxmlformats.org/officeDocument/2006/relationships/hyperlink" Target="http://ufcstats.com/fight-details/357a5bc5de4f545d" TargetMode="External"/><Relationship Id="rId498" Type="http://schemas.openxmlformats.org/officeDocument/2006/relationships/hyperlink" Target="http://ufcstats.com/fight-details/ed9f8f702585ed44" TargetMode="External"/><Relationship Id="rId621" Type="http://schemas.openxmlformats.org/officeDocument/2006/relationships/hyperlink" Target="http://ufcstats.com/fight-details/7e8fd03e070d0c25" TargetMode="External"/><Relationship Id="rId13" Type="http://schemas.openxmlformats.org/officeDocument/2006/relationships/hyperlink" Target="http://ufcstats.com/fight-details/08f7a60bd84a6b3c" TargetMode="External"/><Relationship Id="rId109" Type="http://schemas.openxmlformats.org/officeDocument/2006/relationships/hyperlink" Target="http://ufcstats.com/fight-details/3b06c512abfa0494" TargetMode="External"/><Relationship Id="rId260" Type="http://schemas.openxmlformats.org/officeDocument/2006/relationships/hyperlink" Target="http://ufcstats.com/fight-details/a78ccbb549d36ddd" TargetMode="External"/><Relationship Id="rId316" Type="http://schemas.openxmlformats.org/officeDocument/2006/relationships/hyperlink" Target="http://ufcstats.com/fight-details/44502b8c5546fb12" TargetMode="External"/><Relationship Id="rId523" Type="http://schemas.openxmlformats.org/officeDocument/2006/relationships/hyperlink" Target="http://ufcstats.com/fight-details/a10e2d5416972b9c" TargetMode="External"/><Relationship Id="rId55" Type="http://schemas.openxmlformats.org/officeDocument/2006/relationships/hyperlink" Target="http://ufcstats.com/fight-details/3d07a533feca7458" TargetMode="External"/><Relationship Id="rId97" Type="http://schemas.openxmlformats.org/officeDocument/2006/relationships/hyperlink" Target="http://ufcstats.com/fight-details/4dac5258f22be059" TargetMode="External"/><Relationship Id="rId120" Type="http://schemas.openxmlformats.org/officeDocument/2006/relationships/hyperlink" Target="http://ufcstats.com/fight-details/089a17e450cc98aa" TargetMode="External"/><Relationship Id="rId358" Type="http://schemas.openxmlformats.org/officeDocument/2006/relationships/hyperlink" Target="http://ufcstats.com/fight-details/dd34dd337e637767" TargetMode="External"/><Relationship Id="rId565" Type="http://schemas.openxmlformats.org/officeDocument/2006/relationships/hyperlink" Target="http://ufcstats.com/fight-details/1ca41d3b11d88b36" TargetMode="External"/><Relationship Id="rId162" Type="http://schemas.openxmlformats.org/officeDocument/2006/relationships/hyperlink" Target="http://ufcstats.com/fight-details/1317d7cd79495a0e" TargetMode="External"/><Relationship Id="rId218" Type="http://schemas.openxmlformats.org/officeDocument/2006/relationships/hyperlink" Target="http://ufcstats.com/fight-details/7a5baef71925258c" TargetMode="External"/><Relationship Id="rId425" Type="http://schemas.openxmlformats.org/officeDocument/2006/relationships/hyperlink" Target="http://ufcstats.com/fight-details/14a40f30e0cb22c9" TargetMode="External"/><Relationship Id="rId467" Type="http://schemas.openxmlformats.org/officeDocument/2006/relationships/hyperlink" Target="http://ufcstats.com/fight-details/2fb1abeb337e0ccc" TargetMode="External"/><Relationship Id="rId632" Type="http://schemas.openxmlformats.org/officeDocument/2006/relationships/hyperlink" Target="http://ufcstats.com/fight-details/f079cb2db8dbbf04" TargetMode="External"/><Relationship Id="rId271" Type="http://schemas.openxmlformats.org/officeDocument/2006/relationships/hyperlink" Target="http://ufcstats.com/fight-details/8fe1859721e95ce3" TargetMode="External"/><Relationship Id="rId24" Type="http://schemas.openxmlformats.org/officeDocument/2006/relationships/hyperlink" Target="http://ufcstats.com/fight-details/5d4fb748ad246269" TargetMode="External"/><Relationship Id="rId66" Type="http://schemas.openxmlformats.org/officeDocument/2006/relationships/hyperlink" Target="http://ufcstats.com/fight-details/caef4f8801f39345" TargetMode="External"/><Relationship Id="rId131" Type="http://schemas.openxmlformats.org/officeDocument/2006/relationships/hyperlink" Target="http://ufcstats.com/fight-details/ac9a8b73e58f3d71" TargetMode="External"/><Relationship Id="rId327" Type="http://schemas.openxmlformats.org/officeDocument/2006/relationships/hyperlink" Target="http://ufcstats.com/fight-details/71dc4379c738450f" TargetMode="External"/><Relationship Id="rId369" Type="http://schemas.openxmlformats.org/officeDocument/2006/relationships/hyperlink" Target="http://ufcstats.com/fight-details/d5778494ce663d7f" TargetMode="External"/><Relationship Id="rId534" Type="http://schemas.openxmlformats.org/officeDocument/2006/relationships/hyperlink" Target="http://ufcstats.com/fight-details/ce246b336b6bd638" TargetMode="External"/><Relationship Id="rId576" Type="http://schemas.openxmlformats.org/officeDocument/2006/relationships/hyperlink" Target="http://ufcstats.com/fight-details/086c2a0cae0835c4" TargetMode="External"/><Relationship Id="rId173" Type="http://schemas.openxmlformats.org/officeDocument/2006/relationships/hyperlink" Target="http://ufcstats.com/fight-details/dadaee9624256e07" TargetMode="External"/><Relationship Id="rId229" Type="http://schemas.openxmlformats.org/officeDocument/2006/relationships/hyperlink" Target="http://ufcstats.com/fight-details/b6464850da8f3099" TargetMode="External"/><Relationship Id="rId380" Type="http://schemas.openxmlformats.org/officeDocument/2006/relationships/hyperlink" Target="http://ufcstats.com/fight-details/8151659b2bc16f0e" TargetMode="External"/><Relationship Id="rId436" Type="http://schemas.openxmlformats.org/officeDocument/2006/relationships/hyperlink" Target="http://ufcstats.com/fight-details/1d26ceb1c995655e" TargetMode="External"/><Relationship Id="rId601" Type="http://schemas.openxmlformats.org/officeDocument/2006/relationships/hyperlink" Target="http://ufcstats.com/fight-details/bb0770ead53940f5" TargetMode="External"/><Relationship Id="rId643" Type="http://schemas.openxmlformats.org/officeDocument/2006/relationships/hyperlink" Target="http://ufcstats.com/fight-details/82177c0f91d9618a" TargetMode="External"/><Relationship Id="rId240" Type="http://schemas.openxmlformats.org/officeDocument/2006/relationships/hyperlink" Target="http://ufcstats.com/fight-details/f680e6ebe3bdfe3e" TargetMode="External"/><Relationship Id="rId478" Type="http://schemas.openxmlformats.org/officeDocument/2006/relationships/hyperlink" Target="http://ufcstats.com/fight-details/499557c33e67deaf" TargetMode="External"/><Relationship Id="rId35" Type="http://schemas.openxmlformats.org/officeDocument/2006/relationships/hyperlink" Target="http://ufcstats.com/fight-details/fd0fd9a2d6ef8c4f" TargetMode="External"/><Relationship Id="rId77" Type="http://schemas.openxmlformats.org/officeDocument/2006/relationships/hyperlink" Target="http://ufcstats.com/fight-details/9ddaa62cc806958d" TargetMode="External"/><Relationship Id="rId100" Type="http://schemas.openxmlformats.org/officeDocument/2006/relationships/hyperlink" Target="http://ufcstats.com/fight-details/1c84dafe38694c05" TargetMode="External"/><Relationship Id="rId282" Type="http://schemas.openxmlformats.org/officeDocument/2006/relationships/hyperlink" Target="http://ufcstats.com/fight-details/b2eccc1b75633d3d" TargetMode="External"/><Relationship Id="rId338" Type="http://schemas.openxmlformats.org/officeDocument/2006/relationships/hyperlink" Target="http://ufcstats.com/fight-details/9a92d376fba2379d" TargetMode="External"/><Relationship Id="rId503" Type="http://schemas.openxmlformats.org/officeDocument/2006/relationships/hyperlink" Target="http://ufcstats.com/fight-details/97817609ed46baa0" TargetMode="External"/><Relationship Id="rId545" Type="http://schemas.openxmlformats.org/officeDocument/2006/relationships/hyperlink" Target="http://ufcstats.com/fight-details/008d0158831dcbd4" TargetMode="External"/><Relationship Id="rId587" Type="http://schemas.openxmlformats.org/officeDocument/2006/relationships/hyperlink" Target="http://ufcstats.com/fight-details/caf3ca7fc0195412" TargetMode="External"/><Relationship Id="rId8" Type="http://schemas.openxmlformats.org/officeDocument/2006/relationships/hyperlink" Target="http://ufcstats.com/fight-details/855338a9a68e4c9f" TargetMode="External"/><Relationship Id="rId142" Type="http://schemas.openxmlformats.org/officeDocument/2006/relationships/hyperlink" Target="http://ufcstats.com/fight-details/4eb5f99202f5fe97" TargetMode="External"/><Relationship Id="rId184" Type="http://schemas.openxmlformats.org/officeDocument/2006/relationships/hyperlink" Target="http://ufcstats.com/fight-details/3286d8406eff5c85" TargetMode="External"/><Relationship Id="rId391" Type="http://schemas.openxmlformats.org/officeDocument/2006/relationships/hyperlink" Target="http://ufcstats.com/fight-details/110e1d794443b736" TargetMode="External"/><Relationship Id="rId405" Type="http://schemas.openxmlformats.org/officeDocument/2006/relationships/hyperlink" Target="http://ufcstats.com/fight-details/db2c805201a3116e" TargetMode="External"/><Relationship Id="rId447" Type="http://schemas.openxmlformats.org/officeDocument/2006/relationships/hyperlink" Target="http://ufcstats.com/fight-details/de12349f334c964e" TargetMode="External"/><Relationship Id="rId612" Type="http://schemas.openxmlformats.org/officeDocument/2006/relationships/hyperlink" Target="http://ufcstats.com/fight-details/7ad09f889d2cdb6f" TargetMode="External"/><Relationship Id="rId251" Type="http://schemas.openxmlformats.org/officeDocument/2006/relationships/hyperlink" Target="http://ufcstats.com/fight-details/958f6e5b79ff8c33" TargetMode="External"/><Relationship Id="rId489" Type="http://schemas.openxmlformats.org/officeDocument/2006/relationships/hyperlink" Target="http://ufcstats.com/fight-details/4096b302747d47b3" TargetMode="External"/><Relationship Id="rId46" Type="http://schemas.openxmlformats.org/officeDocument/2006/relationships/hyperlink" Target="http://ufcstats.com/fight-details/df0d4130944776d9" TargetMode="External"/><Relationship Id="rId293" Type="http://schemas.openxmlformats.org/officeDocument/2006/relationships/hyperlink" Target="http://ufcstats.com/fight-details/6d4b6224f26572f9" TargetMode="External"/><Relationship Id="rId307" Type="http://schemas.openxmlformats.org/officeDocument/2006/relationships/hyperlink" Target="http://ufcstats.com/fight-details/7cf7960c6ccb5fa1" TargetMode="External"/><Relationship Id="rId349" Type="http://schemas.openxmlformats.org/officeDocument/2006/relationships/hyperlink" Target="http://ufcstats.com/fight-details/ee31f081cf576273" TargetMode="External"/><Relationship Id="rId514" Type="http://schemas.openxmlformats.org/officeDocument/2006/relationships/hyperlink" Target="http://ufcstats.com/fight-details/ee9173615ef4cfae" TargetMode="External"/><Relationship Id="rId556" Type="http://schemas.openxmlformats.org/officeDocument/2006/relationships/hyperlink" Target="http://ufcstats.com/fight-details/507080ccded73591" TargetMode="External"/><Relationship Id="rId88" Type="http://schemas.openxmlformats.org/officeDocument/2006/relationships/hyperlink" Target="http://ufcstats.com/fight-details/8502f245aabd64ac" TargetMode="External"/><Relationship Id="rId111" Type="http://schemas.openxmlformats.org/officeDocument/2006/relationships/hyperlink" Target="http://ufcstats.com/fight-details/3738135e4c9d8273" TargetMode="External"/><Relationship Id="rId153" Type="http://schemas.openxmlformats.org/officeDocument/2006/relationships/hyperlink" Target="http://ufcstats.com/fight-details/f00921c62315be96" TargetMode="External"/><Relationship Id="rId195" Type="http://schemas.openxmlformats.org/officeDocument/2006/relationships/hyperlink" Target="http://ufcstats.com/fight-details/dd0a3aedba5cee87" TargetMode="External"/><Relationship Id="rId209" Type="http://schemas.openxmlformats.org/officeDocument/2006/relationships/hyperlink" Target="http://ufcstats.com/fight-details/194d3950076b2f83" TargetMode="External"/><Relationship Id="rId360" Type="http://schemas.openxmlformats.org/officeDocument/2006/relationships/hyperlink" Target="http://ufcstats.com/fight-details/665e9a25c5d8c17f" TargetMode="External"/><Relationship Id="rId416" Type="http://schemas.openxmlformats.org/officeDocument/2006/relationships/hyperlink" Target="http://ufcstats.com/fight-details/43b43c5d439b2f98" TargetMode="External"/><Relationship Id="rId598" Type="http://schemas.openxmlformats.org/officeDocument/2006/relationships/hyperlink" Target="http://ufcstats.com/fight-details/88e0de323a83f241" TargetMode="External"/><Relationship Id="rId220" Type="http://schemas.openxmlformats.org/officeDocument/2006/relationships/hyperlink" Target="http://ufcstats.com/fight-details/88f36fa2945ccac5" TargetMode="External"/><Relationship Id="rId458" Type="http://schemas.openxmlformats.org/officeDocument/2006/relationships/hyperlink" Target="http://ufcstats.com/fight-details/3a81276a9641c6a1" TargetMode="External"/><Relationship Id="rId623" Type="http://schemas.openxmlformats.org/officeDocument/2006/relationships/hyperlink" Target="http://ufcstats.com/fight-details/8801fbb87bdedbe3" TargetMode="External"/><Relationship Id="rId15" Type="http://schemas.openxmlformats.org/officeDocument/2006/relationships/hyperlink" Target="http://ufcstats.com/fight-details/3352c65f3f6d9b2a" TargetMode="External"/><Relationship Id="rId57" Type="http://schemas.openxmlformats.org/officeDocument/2006/relationships/hyperlink" Target="http://ufcstats.com/fight-details/edcf1d6a1bd8acc7" TargetMode="External"/><Relationship Id="rId262" Type="http://schemas.openxmlformats.org/officeDocument/2006/relationships/hyperlink" Target="http://ufcstats.com/fight-details/6ccf478dca83757e" TargetMode="External"/><Relationship Id="rId318" Type="http://schemas.openxmlformats.org/officeDocument/2006/relationships/hyperlink" Target="http://ufcstats.com/fight-details/20d8f6b4b7c8bae7" TargetMode="External"/><Relationship Id="rId525" Type="http://schemas.openxmlformats.org/officeDocument/2006/relationships/hyperlink" Target="http://ufcstats.com/fight-details/4f672dd40867d8c6" TargetMode="External"/><Relationship Id="rId567" Type="http://schemas.openxmlformats.org/officeDocument/2006/relationships/hyperlink" Target="http://ufcstats.com/fight-details/32813f5f46f045e8" TargetMode="External"/><Relationship Id="rId99" Type="http://schemas.openxmlformats.org/officeDocument/2006/relationships/hyperlink" Target="http://ufcstats.com/fight-details/66f7bb31d24b3b36" TargetMode="External"/><Relationship Id="rId122" Type="http://schemas.openxmlformats.org/officeDocument/2006/relationships/hyperlink" Target="http://ufcstats.com/fight-details/7070abfa26c079b8" TargetMode="External"/><Relationship Id="rId164" Type="http://schemas.openxmlformats.org/officeDocument/2006/relationships/hyperlink" Target="http://ufcstats.com/fight-details/28deed0ab55ca350" TargetMode="External"/><Relationship Id="rId371" Type="http://schemas.openxmlformats.org/officeDocument/2006/relationships/hyperlink" Target="http://ufcstats.com/fight-details/d0c01840c72429c6" TargetMode="External"/><Relationship Id="rId427" Type="http://schemas.openxmlformats.org/officeDocument/2006/relationships/hyperlink" Target="http://ufcstats.com/fight-details/90a5ddd6738605d9" TargetMode="External"/><Relationship Id="rId469" Type="http://schemas.openxmlformats.org/officeDocument/2006/relationships/hyperlink" Target="http://ufcstats.com/fight-details/5a79d4b9a8f8352f" TargetMode="External"/><Relationship Id="rId634" Type="http://schemas.openxmlformats.org/officeDocument/2006/relationships/hyperlink" Target="http://ufcstats.com/fight-details/31b3ae9352d9389b" TargetMode="External"/><Relationship Id="rId26" Type="http://schemas.openxmlformats.org/officeDocument/2006/relationships/hyperlink" Target="http://ufcstats.com/fight-details/f3c37e23ca30c87d" TargetMode="External"/><Relationship Id="rId231" Type="http://schemas.openxmlformats.org/officeDocument/2006/relationships/hyperlink" Target="http://ufcstats.com/fight-details/8984ab656cb1818d" TargetMode="External"/><Relationship Id="rId273" Type="http://schemas.openxmlformats.org/officeDocument/2006/relationships/hyperlink" Target="http://ufcstats.com/fight-details/465707233fa9cf7c" TargetMode="External"/><Relationship Id="rId329" Type="http://schemas.openxmlformats.org/officeDocument/2006/relationships/hyperlink" Target="http://ufcstats.com/fight-details/e3ecb94228c2739f" TargetMode="External"/><Relationship Id="rId480" Type="http://schemas.openxmlformats.org/officeDocument/2006/relationships/hyperlink" Target="http://ufcstats.com/fight-details/a6b328733d610e2b" TargetMode="External"/><Relationship Id="rId536" Type="http://schemas.openxmlformats.org/officeDocument/2006/relationships/hyperlink" Target="http://ufcstats.com/fight-details/ab6cd718c5459eeb" TargetMode="External"/><Relationship Id="rId68" Type="http://schemas.openxmlformats.org/officeDocument/2006/relationships/hyperlink" Target="http://ufcstats.com/fight-details/2c5d329bdf182468" TargetMode="External"/><Relationship Id="rId133" Type="http://schemas.openxmlformats.org/officeDocument/2006/relationships/hyperlink" Target="http://ufcstats.com/fight-details/8cf076524cad5a55" TargetMode="External"/><Relationship Id="rId175" Type="http://schemas.openxmlformats.org/officeDocument/2006/relationships/hyperlink" Target="http://ufcstats.com/fight-details/f2ce79565c0820dd" TargetMode="External"/><Relationship Id="rId340" Type="http://schemas.openxmlformats.org/officeDocument/2006/relationships/hyperlink" Target="http://ufcstats.com/fight-details/f3169b755afcdc5b" TargetMode="External"/><Relationship Id="rId578" Type="http://schemas.openxmlformats.org/officeDocument/2006/relationships/hyperlink" Target="http://ufcstats.com/fight-details/7a8f218c07347c88" TargetMode="External"/><Relationship Id="rId200" Type="http://schemas.openxmlformats.org/officeDocument/2006/relationships/hyperlink" Target="http://ufcstats.com/fight-details/9589b41c4637b057" TargetMode="External"/><Relationship Id="rId382" Type="http://schemas.openxmlformats.org/officeDocument/2006/relationships/hyperlink" Target="http://ufcstats.com/fight-details/083a6edd8bb21bc8" TargetMode="External"/><Relationship Id="rId438" Type="http://schemas.openxmlformats.org/officeDocument/2006/relationships/hyperlink" Target="http://ufcstats.com/fight-details/e186bd5e556f1b5e" TargetMode="External"/><Relationship Id="rId603" Type="http://schemas.openxmlformats.org/officeDocument/2006/relationships/hyperlink" Target="http://ufcstats.com/fight-details/315b6e91a0239148" TargetMode="External"/><Relationship Id="rId645" Type="http://schemas.openxmlformats.org/officeDocument/2006/relationships/hyperlink" Target="http://ufcstats.com/fight-details/d4e3baff532df842" TargetMode="External"/><Relationship Id="rId242" Type="http://schemas.openxmlformats.org/officeDocument/2006/relationships/hyperlink" Target="http://ufcstats.com/fight-details/8edb831924d69dd9" TargetMode="External"/><Relationship Id="rId284" Type="http://schemas.openxmlformats.org/officeDocument/2006/relationships/hyperlink" Target="http://ufcstats.com/fight-details/fd80d6d9f4e54387" TargetMode="External"/><Relationship Id="rId491" Type="http://schemas.openxmlformats.org/officeDocument/2006/relationships/hyperlink" Target="http://ufcstats.com/fight-details/3165b03ddc6d3b6e" TargetMode="External"/><Relationship Id="rId505" Type="http://schemas.openxmlformats.org/officeDocument/2006/relationships/hyperlink" Target="http://ufcstats.com/fight-details/1521f94cafdfd783" TargetMode="External"/><Relationship Id="rId37" Type="http://schemas.openxmlformats.org/officeDocument/2006/relationships/hyperlink" Target="http://ufcstats.com/fight-details/7c13de66ce543d84" TargetMode="External"/><Relationship Id="rId79" Type="http://schemas.openxmlformats.org/officeDocument/2006/relationships/hyperlink" Target="http://ufcstats.com/fight-details/3adab28c5c6a9254" TargetMode="External"/><Relationship Id="rId102" Type="http://schemas.openxmlformats.org/officeDocument/2006/relationships/hyperlink" Target="http://ufcstats.com/fight-details/a09447d185a62251" TargetMode="External"/><Relationship Id="rId144" Type="http://schemas.openxmlformats.org/officeDocument/2006/relationships/hyperlink" Target="http://ufcstats.com/fight-details/73dbbdfcf7f989c0" TargetMode="External"/><Relationship Id="rId547" Type="http://schemas.openxmlformats.org/officeDocument/2006/relationships/hyperlink" Target="http://ufcstats.com/fight-details/97dabff880f33202" TargetMode="External"/><Relationship Id="rId589" Type="http://schemas.openxmlformats.org/officeDocument/2006/relationships/hyperlink" Target="http://ufcstats.com/fight-details/4838bf4ca76c1c6b" TargetMode="External"/><Relationship Id="rId90" Type="http://schemas.openxmlformats.org/officeDocument/2006/relationships/hyperlink" Target="http://ufcstats.com/fight-details/71ea7d7985dad804" TargetMode="External"/><Relationship Id="rId186" Type="http://schemas.openxmlformats.org/officeDocument/2006/relationships/hyperlink" Target="http://ufcstats.com/fight-details/23fd92555246d61e" TargetMode="External"/><Relationship Id="rId351" Type="http://schemas.openxmlformats.org/officeDocument/2006/relationships/hyperlink" Target="http://ufcstats.com/fight-details/03c2707563915d7d" TargetMode="External"/><Relationship Id="rId393" Type="http://schemas.openxmlformats.org/officeDocument/2006/relationships/hyperlink" Target="http://ufcstats.com/fight-details/aa7b1fca60a21f3a" TargetMode="External"/><Relationship Id="rId407" Type="http://schemas.openxmlformats.org/officeDocument/2006/relationships/hyperlink" Target="http://ufcstats.com/fight-details/aeb0322f619213b1" TargetMode="External"/><Relationship Id="rId449" Type="http://schemas.openxmlformats.org/officeDocument/2006/relationships/hyperlink" Target="http://ufcstats.com/fight-details/1ccde17f48fb709e" TargetMode="External"/><Relationship Id="rId614" Type="http://schemas.openxmlformats.org/officeDocument/2006/relationships/hyperlink" Target="http://ufcstats.com/fight-details/bd246b9789f88e1c" TargetMode="External"/><Relationship Id="rId211" Type="http://schemas.openxmlformats.org/officeDocument/2006/relationships/hyperlink" Target="http://ufcstats.com/fight-details/f767243bb48ab9d7" TargetMode="External"/><Relationship Id="rId253" Type="http://schemas.openxmlformats.org/officeDocument/2006/relationships/hyperlink" Target="http://ufcstats.com/fight-details/787d94246afe18a3" TargetMode="External"/><Relationship Id="rId295" Type="http://schemas.openxmlformats.org/officeDocument/2006/relationships/hyperlink" Target="http://ufcstats.com/fight-details/b070b8c2c489d838" TargetMode="External"/><Relationship Id="rId309" Type="http://schemas.openxmlformats.org/officeDocument/2006/relationships/hyperlink" Target="http://ufcstats.com/fight-details/70af72a72b31fe4d" TargetMode="External"/><Relationship Id="rId460" Type="http://schemas.openxmlformats.org/officeDocument/2006/relationships/hyperlink" Target="http://ufcstats.com/fight-details/b125025990755616" TargetMode="External"/><Relationship Id="rId516" Type="http://schemas.openxmlformats.org/officeDocument/2006/relationships/hyperlink" Target="http://ufcstats.com/fight-details/962e74250884e4c1" TargetMode="External"/><Relationship Id="rId48" Type="http://schemas.openxmlformats.org/officeDocument/2006/relationships/hyperlink" Target="http://ufcstats.com/fight-details/5ebe8d3849273776" TargetMode="External"/><Relationship Id="rId113" Type="http://schemas.openxmlformats.org/officeDocument/2006/relationships/hyperlink" Target="http://ufcstats.com/fight-details/657b7da9c89352fe" TargetMode="External"/><Relationship Id="rId320" Type="http://schemas.openxmlformats.org/officeDocument/2006/relationships/hyperlink" Target="http://ufcstats.com/fight-details/eed6c9aff2234b7a" TargetMode="External"/><Relationship Id="rId558" Type="http://schemas.openxmlformats.org/officeDocument/2006/relationships/hyperlink" Target="http://ufcstats.com/fight-details/c4a7f7d8eb8fe484" TargetMode="External"/><Relationship Id="rId155" Type="http://schemas.openxmlformats.org/officeDocument/2006/relationships/hyperlink" Target="http://ufcstats.com/fight-details/767819f321431bed" TargetMode="External"/><Relationship Id="rId197" Type="http://schemas.openxmlformats.org/officeDocument/2006/relationships/hyperlink" Target="http://ufcstats.com/fight-details/294a9e9780afa789" TargetMode="External"/><Relationship Id="rId362" Type="http://schemas.openxmlformats.org/officeDocument/2006/relationships/hyperlink" Target="http://ufcstats.com/fight-details/4c1fd940e1619e68" TargetMode="External"/><Relationship Id="rId418" Type="http://schemas.openxmlformats.org/officeDocument/2006/relationships/hyperlink" Target="http://ufcstats.com/fight-details/3905e5dc489811d6" TargetMode="External"/><Relationship Id="rId625" Type="http://schemas.openxmlformats.org/officeDocument/2006/relationships/hyperlink" Target="http://ufcstats.com/fight-details/74e86c7782cafe27" TargetMode="External"/><Relationship Id="rId222" Type="http://schemas.openxmlformats.org/officeDocument/2006/relationships/hyperlink" Target="http://ufcstats.com/fight-details/e0e4ce7595b5c26a" TargetMode="External"/><Relationship Id="rId264" Type="http://schemas.openxmlformats.org/officeDocument/2006/relationships/hyperlink" Target="http://ufcstats.com/fight-details/5aa7ecc6507841bd" TargetMode="External"/><Relationship Id="rId471" Type="http://schemas.openxmlformats.org/officeDocument/2006/relationships/hyperlink" Target="http://ufcstats.com/fight-details/a26db2cee9eab1f9" TargetMode="External"/><Relationship Id="rId17" Type="http://schemas.openxmlformats.org/officeDocument/2006/relationships/hyperlink" Target="http://ufcstats.com/fight-details/a122968e96068800" TargetMode="External"/><Relationship Id="rId59" Type="http://schemas.openxmlformats.org/officeDocument/2006/relationships/hyperlink" Target="http://ufcstats.com/fight-details/054f1423ba7c121e" TargetMode="External"/><Relationship Id="rId124" Type="http://schemas.openxmlformats.org/officeDocument/2006/relationships/hyperlink" Target="http://ufcstats.com/fight-details/c9283da5f4d7aaf4" TargetMode="External"/><Relationship Id="rId527" Type="http://schemas.openxmlformats.org/officeDocument/2006/relationships/hyperlink" Target="http://ufcstats.com/fight-details/26e6a2705a1e9e72" TargetMode="External"/><Relationship Id="rId569" Type="http://schemas.openxmlformats.org/officeDocument/2006/relationships/hyperlink" Target="http://ufcstats.com/fight-details/1bc662949337a8c4" TargetMode="External"/><Relationship Id="rId70" Type="http://schemas.openxmlformats.org/officeDocument/2006/relationships/hyperlink" Target="http://ufcstats.com/fight-details/43baf5b905686ebf" TargetMode="External"/><Relationship Id="rId166" Type="http://schemas.openxmlformats.org/officeDocument/2006/relationships/hyperlink" Target="http://ufcstats.com/fight-details/26d75187369ecf2c" TargetMode="External"/><Relationship Id="rId331" Type="http://schemas.openxmlformats.org/officeDocument/2006/relationships/hyperlink" Target="http://ufcstats.com/fight-details/3dd22a9a0ea68cc6" TargetMode="External"/><Relationship Id="rId373" Type="http://schemas.openxmlformats.org/officeDocument/2006/relationships/hyperlink" Target="http://ufcstats.com/fight-details/3cbbf947fd0d2144" TargetMode="External"/><Relationship Id="rId429" Type="http://schemas.openxmlformats.org/officeDocument/2006/relationships/hyperlink" Target="http://ufcstats.com/fight-details/d0e5487f55c57ad2" TargetMode="External"/><Relationship Id="rId580" Type="http://schemas.openxmlformats.org/officeDocument/2006/relationships/hyperlink" Target="http://ufcstats.com/fight-details/17daeb7e36e60cdf" TargetMode="External"/><Relationship Id="rId636" Type="http://schemas.openxmlformats.org/officeDocument/2006/relationships/hyperlink" Target="http://ufcstats.com/fight-details/851645c373f50e16" TargetMode="External"/><Relationship Id="rId1" Type="http://schemas.openxmlformats.org/officeDocument/2006/relationships/hyperlink" Target="http://ufcstats.com/fight-details/9d4b2767f6630fc9" TargetMode="External"/><Relationship Id="rId233" Type="http://schemas.openxmlformats.org/officeDocument/2006/relationships/hyperlink" Target="http://ufcstats.com/fight-details/33913e8e56c49a4c" TargetMode="External"/><Relationship Id="rId440" Type="http://schemas.openxmlformats.org/officeDocument/2006/relationships/hyperlink" Target="http://ufcstats.com/fight-details/7d583e4002622848" TargetMode="External"/><Relationship Id="rId28" Type="http://schemas.openxmlformats.org/officeDocument/2006/relationships/hyperlink" Target="http://ufcstats.com/fight-details/2d0d13dfc6c37ba8" TargetMode="External"/><Relationship Id="rId275" Type="http://schemas.openxmlformats.org/officeDocument/2006/relationships/hyperlink" Target="http://ufcstats.com/fight-details/f281a6775bccb8df" TargetMode="External"/><Relationship Id="rId300" Type="http://schemas.openxmlformats.org/officeDocument/2006/relationships/hyperlink" Target="http://ufcstats.com/fight-details/816662e622987a14" TargetMode="External"/><Relationship Id="rId482" Type="http://schemas.openxmlformats.org/officeDocument/2006/relationships/hyperlink" Target="http://ufcstats.com/fight-details/55019da3a4bd5d54" TargetMode="External"/><Relationship Id="rId538" Type="http://schemas.openxmlformats.org/officeDocument/2006/relationships/hyperlink" Target="http://ufcstats.com/fight-details/4335683beee93652" TargetMode="External"/><Relationship Id="rId81" Type="http://schemas.openxmlformats.org/officeDocument/2006/relationships/hyperlink" Target="http://ufcstats.com/fight-details/eb76a5b76a68e4c4" TargetMode="External"/><Relationship Id="rId135" Type="http://schemas.openxmlformats.org/officeDocument/2006/relationships/hyperlink" Target="http://ufcstats.com/fight-details/6b0da0b1cda7799f" TargetMode="External"/><Relationship Id="rId177" Type="http://schemas.openxmlformats.org/officeDocument/2006/relationships/hyperlink" Target="http://ufcstats.com/fight-details/f4bd11655adeb078" TargetMode="External"/><Relationship Id="rId342" Type="http://schemas.openxmlformats.org/officeDocument/2006/relationships/hyperlink" Target="http://ufcstats.com/fight-details/82d057278298846f" TargetMode="External"/><Relationship Id="rId384" Type="http://schemas.openxmlformats.org/officeDocument/2006/relationships/hyperlink" Target="http://ufcstats.com/fight-details/6eb4b84c4b10854a" TargetMode="External"/><Relationship Id="rId591" Type="http://schemas.openxmlformats.org/officeDocument/2006/relationships/hyperlink" Target="http://ufcstats.com/fight-details/4ace70bff9debdfb" TargetMode="External"/><Relationship Id="rId605" Type="http://schemas.openxmlformats.org/officeDocument/2006/relationships/hyperlink" Target="http://ufcstats.com/fight-details/39c4ae4624052f9f" TargetMode="External"/><Relationship Id="rId202" Type="http://schemas.openxmlformats.org/officeDocument/2006/relationships/hyperlink" Target="http://ufcstats.com/fight-details/026c4a26106cc158" TargetMode="External"/><Relationship Id="rId244" Type="http://schemas.openxmlformats.org/officeDocument/2006/relationships/hyperlink" Target="http://ufcstats.com/fight-details/473b9b56cdaedba3" TargetMode="External"/><Relationship Id="rId647" Type="http://schemas.openxmlformats.org/officeDocument/2006/relationships/hyperlink" Target="http://ufcstats.com/fight-details/06c124a55f77a7a5" TargetMode="External"/><Relationship Id="rId39" Type="http://schemas.openxmlformats.org/officeDocument/2006/relationships/hyperlink" Target="http://ufcstats.com/fight-details/e068f14acd47ed69" TargetMode="External"/><Relationship Id="rId286" Type="http://schemas.openxmlformats.org/officeDocument/2006/relationships/hyperlink" Target="http://ufcstats.com/fight-details/ac2887a0855a3266" TargetMode="External"/><Relationship Id="rId451" Type="http://schemas.openxmlformats.org/officeDocument/2006/relationships/hyperlink" Target="http://ufcstats.com/fight-details/246fef4b19c3a7ed" TargetMode="External"/><Relationship Id="rId493" Type="http://schemas.openxmlformats.org/officeDocument/2006/relationships/hyperlink" Target="http://ufcstats.com/fight-details/68f7f992603192c6" TargetMode="External"/><Relationship Id="rId507" Type="http://schemas.openxmlformats.org/officeDocument/2006/relationships/hyperlink" Target="http://ufcstats.com/fight-details/7e695ad026b2ec66" TargetMode="External"/><Relationship Id="rId549" Type="http://schemas.openxmlformats.org/officeDocument/2006/relationships/hyperlink" Target="http://ufcstats.com/fight-details/b6082b551288aa5a" TargetMode="External"/><Relationship Id="rId50" Type="http://schemas.openxmlformats.org/officeDocument/2006/relationships/hyperlink" Target="http://ufcstats.com/fight-details/296cc69bcc3c1635" TargetMode="External"/><Relationship Id="rId104" Type="http://schemas.openxmlformats.org/officeDocument/2006/relationships/hyperlink" Target="http://ufcstats.com/fight-details/e4d946470fd150fe" TargetMode="External"/><Relationship Id="rId146" Type="http://schemas.openxmlformats.org/officeDocument/2006/relationships/hyperlink" Target="http://ufcstats.com/fight-details/864cddd6e165ea2d" TargetMode="External"/><Relationship Id="rId188" Type="http://schemas.openxmlformats.org/officeDocument/2006/relationships/hyperlink" Target="http://ufcstats.com/fight-details/c77486266b05f934" TargetMode="External"/><Relationship Id="rId311" Type="http://schemas.openxmlformats.org/officeDocument/2006/relationships/hyperlink" Target="http://ufcstats.com/fight-details/73f6b72b4889088f" TargetMode="External"/><Relationship Id="rId353" Type="http://schemas.openxmlformats.org/officeDocument/2006/relationships/hyperlink" Target="http://ufcstats.com/fight-details/aa91cb7567d6c48a" TargetMode="External"/><Relationship Id="rId395" Type="http://schemas.openxmlformats.org/officeDocument/2006/relationships/hyperlink" Target="http://ufcstats.com/fight-details/11aac355349ecc94" TargetMode="External"/><Relationship Id="rId409" Type="http://schemas.openxmlformats.org/officeDocument/2006/relationships/hyperlink" Target="http://ufcstats.com/fight-details/0c5640433ba44a1b" TargetMode="External"/><Relationship Id="rId560" Type="http://schemas.openxmlformats.org/officeDocument/2006/relationships/hyperlink" Target="http://ufcstats.com/fight-details/65c89e0c92e51bb8" TargetMode="External"/><Relationship Id="rId92" Type="http://schemas.openxmlformats.org/officeDocument/2006/relationships/hyperlink" Target="http://ufcstats.com/fight-details/5f4e944ff1bdcd9c" TargetMode="External"/><Relationship Id="rId213" Type="http://schemas.openxmlformats.org/officeDocument/2006/relationships/hyperlink" Target="http://ufcstats.com/fight-details/11b8d7e801713abc" TargetMode="External"/><Relationship Id="rId420" Type="http://schemas.openxmlformats.org/officeDocument/2006/relationships/hyperlink" Target="http://ufcstats.com/fight-details/a7adbceeff234b61" TargetMode="External"/><Relationship Id="rId616" Type="http://schemas.openxmlformats.org/officeDocument/2006/relationships/hyperlink" Target="http://ufcstats.com/fight-details/0e9b7e682e0a79f1" TargetMode="External"/><Relationship Id="rId255" Type="http://schemas.openxmlformats.org/officeDocument/2006/relationships/hyperlink" Target="http://ufcstats.com/fight-details/806ee07a1a7042b8" TargetMode="External"/><Relationship Id="rId297" Type="http://schemas.openxmlformats.org/officeDocument/2006/relationships/hyperlink" Target="http://ufcstats.com/fight-details/c7375d5db21cbaae" TargetMode="External"/><Relationship Id="rId462" Type="http://schemas.openxmlformats.org/officeDocument/2006/relationships/hyperlink" Target="http://ufcstats.com/fight-details/d325a1483d78ae75" TargetMode="External"/><Relationship Id="rId518" Type="http://schemas.openxmlformats.org/officeDocument/2006/relationships/hyperlink" Target="http://ufcstats.com/fight-details/67e1ec8ee2db3423" TargetMode="External"/><Relationship Id="rId115" Type="http://schemas.openxmlformats.org/officeDocument/2006/relationships/hyperlink" Target="http://ufcstats.com/fight-details/50bf4bb2f8d9aba4" TargetMode="External"/><Relationship Id="rId157" Type="http://schemas.openxmlformats.org/officeDocument/2006/relationships/hyperlink" Target="http://ufcstats.com/fight-details/9fc6aba53508dc48" TargetMode="External"/><Relationship Id="rId322" Type="http://schemas.openxmlformats.org/officeDocument/2006/relationships/hyperlink" Target="http://ufcstats.com/fight-details/4adef20ce69217be" TargetMode="External"/><Relationship Id="rId364" Type="http://schemas.openxmlformats.org/officeDocument/2006/relationships/hyperlink" Target="http://ufcstats.com/fight-details/b0f4c7788782e26e" TargetMode="External"/><Relationship Id="rId61" Type="http://schemas.openxmlformats.org/officeDocument/2006/relationships/hyperlink" Target="http://ufcstats.com/fight-details/3e020d62796a7ce3" TargetMode="External"/><Relationship Id="rId199" Type="http://schemas.openxmlformats.org/officeDocument/2006/relationships/hyperlink" Target="http://ufcstats.com/fight-details/e8190df7465ba2df" TargetMode="External"/><Relationship Id="rId571" Type="http://schemas.openxmlformats.org/officeDocument/2006/relationships/hyperlink" Target="http://ufcstats.com/fight-details/435ba9b407b844ef" TargetMode="External"/><Relationship Id="rId627" Type="http://schemas.openxmlformats.org/officeDocument/2006/relationships/hyperlink" Target="http://ufcstats.com/fight-details/ac0a63ad13897564" TargetMode="External"/><Relationship Id="rId19" Type="http://schemas.openxmlformats.org/officeDocument/2006/relationships/hyperlink" Target="http://ufcstats.com/fight-details/06d9fb9c995f1e4f" TargetMode="External"/><Relationship Id="rId224" Type="http://schemas.openxmlformats.org/officeDocument/2006/relationships/hyperlink" Target="http://ufcstats.com/fight-details/b1f7bc82f7dce1b9" TargetMode="External"/><Relationship Id="rId266" Type="http://schemas.openxmlformats.org/officeDocument/2006/relationships/hyperlink" Target="http://ufcstats.com/fight-details/0d043ecaf5bbc3ae" TargetMode="External"/><Relationship Id="rId431" Type="http://schemas.openxmlformats.org/officeDocument/2006/relationships/hyperlink" Target="http://ufcstats.com/fight-details/781f9a642e7a9278" TargetMode="External"/><Relationship Id="rId473" Type="http://schemas.openxmlformats.org/officeDocument/2006/relationships/hyperlink" Target="http://ufcstats.com/fight-details/8636b67096df4b27" TargetMode="External"/><Relationship Id="rId529" Type="http://schemas.openxmlformats.org/officeDocument/2006/relationships/hyperlink" Target="http://ufcstats.com/fight-details/214fa13c3f230259" TargetMode="External"/><Relationship Id="rId30" Type="http://schemas.openxmlformats.org/officeDocument/2006/relationships/hyperlink" Target="http://ufcstats.com/fight-details/e3881a6895be3e9e" TargetMode="External"/><Relationship Id="rId126" Type="http://schemas.openxmlformats.org/officeDocument/2006/relationships/hyperlink" Target="http://ufcstats.com/fight-details/43dfb2c1e5fecac9" TargetMode="External"/><Relationship Id="rId168" Type="http://schemas.openxmlformats.org/officeDocument/2006/relationships/hyperlink" Target="http://ufcstats.com/fight-details/1cb7138b107b93b5" TargetMode="External"/><Relationship Id="rId333" Type="http://schemas.openxmlformats.org/officeDocument/2006/relationships/hyperlink" Target="http://ufcstats.com/fight-details/8417a20d56fe6776" TargetMode="External"/><Relationship Id="rId540" Type="http://schemas.openxmlformats.org/officeDocument/2006/relationships/hyperlink" Target="http://ufcstats.com/fight-details/1af574c0814429ac" TargetMode="External"/><Relationship Id="rId72" Type="http://schemas.openxmlformats.org/officeDocument/2006/relationships/hyperlink" Target="http://ufcstats.com/fight-details/d3ccf71e68480007" TargetMode="External"/><Relationship Id="rId375" Type="http://schemas.openxmlformats.org/officeDocument/2006/relationships/hyperlink" Target="http://ufcstats.com/fight-details/31acf87e89a4a401" TargetMode="External"/><Relationship Id="rId582" Type="http://schemas.openxmlformats.org/officeDocument/2006/relationships/hyperlink" Target="http://ufcstats.com/fight-details/03b9922d777e430c" TargetMode="External"/><Relationship Id="rId638" Type="http://schemas.openxmlformats.org/officeDocument/2006/relationships/hyperlink" Target="http://ufcstats.com/fight-details/c67e5fec8e1876f0" TargetMode="External"/><Relationship Id="rId3" Type="http://schemas.openxmlformats.org/officeDocument/2006/relationships/hyperlink" Target="http://ufcstats.com/fight-details/a7fd9da657bbce8e" TargetMode="External"/><Relationship Id="rId235" Type="http://schemas.openxmlformats.org/officeDocument/2006/relationships/hyperlink" Target="http://ufcstats.com/fight-details/a68672f66e12a3c2" TargetMode="External"/><Relationship Id="rId277" Type="http://schemas.openxmlformats.org/officeDocument/2006/relationships/hyperlink" Target="http://ufcstats.com/fight-details/2c01f4df404ff6ee" TargetMode="External"/><Relationship Id="rId400" Type="http://schemas.openxmlformats.org/officeDocument/2006/relationships/hyperlink" Target="http://ufcstats.com/fight-details/426ca5caeb857f1e" TargetMode="External"/><Relationship Id="rId442" Type="http://schemas.openxmlformats.org/officeDocument/2006/relationships/hyperlink" Target="http://ufcstats.com/fight-details/2bdf774dc8b17504" TargetMode="External"/><Relationship Id="rId484" Type="http://schemas.openxmlformats.org/officeDocument/2006/relationships/hyperlink" Target="http://ufcstats.com/fight-details/0294253e4a5b4725" TargetMode="External"/><Relationship Id="rId137" Type="http://schemas.openxmlformats.org/officeDocument/2006/relationships/hyperlink" Target="http://ufcstats.com/fight-details/1c4602efe5587902" TargetMode="External"/><Relationship Id="rId302" Type="http://schemas.openxmlformats.org/officeDocument/2006/relationships/hyperlink" Target="http://ufcstats.com/fight-details/28c70663b99560a8" TargetMode="External"/><Relationship Id="rId344" Type="http://schemas.openxmlformats.org/officeDocument/2006/relationships/hyperlink" Target="http://ufcstats.com/fight-details/b7c7707ccea492c7" TargetMode="External"/><Relationship Id="rId41" Type="http://schemas.openxmlformats.org/officeDocument/2006/relationships/hyperlink" Target="http://ufcstats.com/fight-details/c0ab927864bb6e98" TargetMode="External"/><Relationship Id="rId83" Type="http://schemas.openxmlformats.org/officeDocument/2006/relationships/hyperlink" Target="http://ufcstats.com/fight-details/1be27d95bba03f17" TargetMode="External"/><Relationship Id="rId179" Type="http://schemas.openxmlformats.org/officeDocument/2006/relationships/hyperlink" Target="http://ufcstats.com/fight-details/feaffeb1af7e82ef" TargetMode="External"/><Relationship Id="rId386" Type="http://schemas.openxmlformats.org/officeDocument/2006/relationships/hyperlink" Target="http://ufcstats.com/fight-details/453283e947919ff7" TargetMode="External"/><Relationship Id="rId551" Type="http://schemas.openxmlformats.org/officeDocument/2006/relationships/hyperlink" Target="http://ufcstats.com/fight-details/00a94d5fc7ce55cf" TargetMode="External"/><Relationship Id="rId593" Type="http://schemas.openxmlformats.org/officeDocument/2006/relationships/hyperlink" Target="http://ufcstats.com/fight-details/3a42dd84680f444b" TargetMode="External"/><Relationship Id="rId607" Type="http://schemas.openxmlformats.org/officeDocument/2006/relationships/hyperlink" Target="http://ufcstats.com/fight-details/18aff757c54687f1" TargetMode="External"/><Relationship Id="rId190" Type="http://schemas.openxmlformats.org/officeDocument/2006/relationships/hyperlink" Target="http://ufcstats.com/fight-details/3f5a623cf360c494" TargetMode="External"/><Relationship Id="rId204" Type="http://schemas.openxmlformats.org/officeDocument/2006/relationships/hyperlink" Target="http://ufcstats.com/fight-details/ef86720364837f68" TargetMode="External"/><Relationship Id="rId246" Type="http://schemas.openxmlformats.org/officeDocument/2006/relationships/hyperlink" Target="http://ufcstats.com/fight-details/30f6cf4253b13b76" TargetMode="External"/><Relationship Id="rId288" Type="http://schemas.openxmlformats.org/officeDocument/2006/relationships/hyperlink" Target="http://ufcstats.com/fight-details/979269d4ab5784af" TargetMode="External"/><Relationship Id="rId411" Type="http://schemas.openxmlformats.org/officeDocument/2006/relationships/hyperlink" Target="http://ufcstats.com/fight-details/fd438db3e60f062a" TargetMode="External"/><Relationship Id="rId453" Type="http://schemas.openxmlformats.org/officeDocument/2006/relationships/hyperlink" Target="http://ufcstats.com/fight-details/e3826e06d68ed4af" TargetMode="External"/><Relationship Id="rId509" Type="http://schemas.openxmlformats.org/officeDocument/2006/relationships/hyperlink" Target="http://ufcstats.com/fight-details/ca531425f5c042db" TargetMode="External"/><Relationship Id="rId106" Type="http://schemas.openxmlformats.org/officeDocument/2006/relationships/hyperlink" Target="http://ufcstats.com/fight-details/394b0347b0438622" TargetMode="External"/><Relationship Id="rId313" Type="http://schemas.openxmlformats.org/officeDocument/2006/relationships/hyperlink" Target="http://ufcstats.com/fight-details/d0ebb0551377a1c1" TargetMode="External"/><Relationship Id="rId495" Type="http://schemas.openxmlformats.org/officeDocument/2006/relationships/hyperlink" Target="http://ufcstats.com/fight-details/2b038a467a89c73c" TargetMode="External"/><Relationship Id="rId10" Type="http://schemas.openxmlformats.org/officeDocument/2006/relationships/hyperlink" Target="http://ufcstats.com/fight-details/648396cc751c730d" TargetMode="External"/><Relationship Id="rId52" Type="http://schemas.openxmlformats.org/officeDocument/2006/relationships/hyperlink" Target="http://ufcstats.com/fight-details/1b1d1900b4051344" TargetMode="External"/><Relationship Id="rId94" Type="http://schemas.openxmlformats.org/officeDocument/2006/relationships/hyperlink" Target="http://ufcstats.com/fight-details/cea6760d7bfbe19b" TargetMode="External"/><Relationship Id="rId148" Type="http://schemas.openxmlformats.org/officeDocument/2006/relationships/hyperlink" Target="http://ufcstats.com/fight-details/6f1892ed71d943d7" TargetMode="External"/><Relationship Id="rId355" Type="http://schemas.openxmlformats.org/officeDocument/2006/relationships/hyperlink" Target="http://ufcstats.com/fight-details/5cee1d8f1e43d6f5" TargetMode="External"/><Relationship Id="rId397" Type="http://schemas.openxmlformats.org/officeDocument/2006/relationships/hyperlink" Target="http://ufcstats.com/fight-details/3636ca71c557c5e8" TargetMode="External"/><Relationship Id="rId520" Type="http://schemas.openxmlformats.org/officeDocument/2006/relationships/hyperlink" Target="http://ufcstats.com/fight-details/01924e35b149b28f" TargetMode="External"/><Relationship Id="rId562" Type="http://schemas.openxmlformats.org/officeDocument/2006/relationships/hyperlink" Target="http://ufcstats.com/fight-details/3209bcfaf95de90b" TargetMode="External"/><Relationship Id="rId618" Type="http://schemas.openxmlformats.org/officeDocument/2006/relationships/hyperlink" Target="http://ufcstats.com/fight-details/22fc6b3f4e48cfa3" TargetMode="External"/><Relationship Id="rId215" Type="http://schemas.openxmlformats.org/officeDocument/2006/relationships/hyperlink" Target="http://ufcstats.com/fight-details/d3c78cc516417797" TargetMode="External"/><Relationship Id="rId257" Type="http://schemas.openxmlformats.org/officeDocument/2006/relationships/hyperlink" Target="http://ufcstats.com/fight-details/3aace29fcc65ec51" TargetMode="External"/><Relationship Id="rId422" Type="http://schemas.openxmlformats.org/officeDocument/2006/relationships/hyperlink" Target="http://ufcstats.com/fight-details/80e68a6453e15ab9" TargetMode="External"/><Relationship Id="rId464" Type="http://schemas.openxmlformats.org/officeDocument/2006/relationships/hyperlink" Target="http://ufcstats.com/fight-details/071a1cd551b7b4d5" TargetMode="External"/><Relationship Id="rId299" Type="http://schemas.openxmlformats.org/officeDocument/2006/relationships/hyperlink" Target="http://ufcstats.com/fight-details/e139628170777bef" TargetMode="External"/><Relationship Id="rId63" Type="http://schemas.openxmlformats.org/officeDocument/2006/relationships/hyperlink" Target="http://ufcstats.com/fight-details/bc6100e6dd239db7" TargetMode="External"/><Relationship Id="rId159" Type="http://schemas.openxmlformats.org/officeDocument/2006/relationships/hyperlink" Target="http://ufcstats.com/fight-details/533d0b5c0adfa15f" TargetMode="External"/><Relationship Id="rId366" Type="http://schemas.openxmlformats.org/officeDocument/2006/relationships/hyperlink" Target="http://ufcstats.com/fight-details/0669231ebe3dd560" TargetMode="External"/><Relationship Id="rId573" Type="http://schemas.openxmlformats.org/officeDocument/2006/relationships/hyperlink" Target="http://ufcstats.com/fight-details/c5ba56d51f6b0171" TargetMode="External"/><Relationship Id="rId226" Type="http://schemas.openxmlformats.org/officeDocument/2006/relationships/hyperlink" Target="http://ufcstats.com/fight-details/9298175cb2ad7d41" TargetMode="External"/><Relationship Id="rId433" Type="http://schemas.openxmlformats.org/officeDocument/2006/relationships/hyperlink" Target="http://ufcstats.com/fight-details/d7a7ba46c4f075d7" TargetMode="External"/><Relationship Id="rId640" Type="http://schemas.openxmlformats.org/officeDocument/2006/relationships/hyperlink" Target="http://ufcstats.com/fight-details/be94e5b7a35ce5f2" TargetMode="External"/><Relationship Id="rId74" Type="http://schemas.openxmlformats.org/officeDocument/2006/relationships/hyperlink" Target="http://ufcstats.com/fight-details/ec5d705232983b87" TargetMode="External"/><Relationship Id="rId377" Type="http://schemas.openxmlformats.org/officeDocument/2006/relationships/hyperlink" Target="http://ufcstats.com/fight-details/6b325792b8fb1f46" TargetMode="External"/><Relationship Id="rId500" Type="http://schemas.openxmlformats.org/officeDocument/2006/relationships/hyperlink" Target="http://ufcstats.com/fight-details/d6e1205babf27a9d" TargetMode="External"/><Relationship Id="rId584" Type="http://schemas.openxmlformats.org/officeDocument/2006/relationships/hyperlink" Target="http://ufcstats.com/fight-details/f17813d03fcd8e7a" TargetMode="External"/><Relationship Id="rId5" Type="http://schemas.openxmlformats.org/officeDocument/2006/relationships/hyperlink" Target="http://ufcstats.com/fight-details/9eef9b7967991296" TargetMode="External"/><Relationship Id="rId237" Type="http://schemas.openxmlformats.org/officeDocument/2006/relationships/hyperlink" Target="http://ufcstats.com/fight-details/88ce808e4e604180" TargetMode="External"/><Relationship Id="rId444" Type="http://schemas.openxmlformats.org/officeDocument/2006/relationships/hyperlink" Target="http://ufcstats.com/fight-details/87b0475688168a42" TargetMode="External"/><Relationship Id="rId290" Type="http://schemas.openxmlformats.org/officeDocument/2006/relationships/hyperlink" Target="http://ufcstats.com/fight-details/059dcd0b3b8e0a3f" TargetMode="External"/><Relationship Id="rId304" Type="http://schemas.openxmlformats.org/officeDocument/2006/relationships/hyperlink" Target="http://ufcstats.com/fight-details/47f42aa7cf851a29" TargetMode="External"/><Relationship Id="rId388" Type="http://schemas.openxmlformats.org/officeDocument/2006/relationships/hyperlink" Target="http://ufcstats.com/fight-details/f2ced83baf0457fc" TargetMode="External"/><Relationship Id="rId511" Type="http://schemas.openxmlformats.org/officeDocument/2006/relationships/hyperlink" Target="http://ufcstats.com/fight-details/48e51d4e7172048e" TargetMode="External"/><Relationship Id="rId609" Type="http://schemas.openxmlformats.org/officeDocument/2006/relationships/hyperlink" Target="http://ufcstats.com/fight-details/85e1b21ea88fe7e3" TargetMode="External"/><Relationship Id="rId85" Type="http://schemas.openxmlformats.org/officeDocument/2006/relationships/hyperlink" Target="http://ufcstats.com/fight-details/0548a24a9bf8d7a0" TargetMode="External"/><Relationship Id="rId150" Type="http://schemas.openxmlformats.org/officeDocument/2006/relationships/hyperlink" Target="http://ufcstats.com/fight-details/87daaa6db4f6940c" TargetMode="External"/><Relationship Id="rId595" Type="http://schemas.openxmlformats.org/officeDocument/2006/relationships/hyperlink" Target="http://ufcstats.com/fight-details/28b6ee9c3eb8b753" TargetMode="External"/><Relationship Id="rId248" Type="http://schemas.openxmlformats.org/officeDocument/2006/relationships/hyperlink" Target="http://ufcstats.com/fight-details/450760216f5643ca" TargetMode="External"/><Relationship Id="rId455" Type="http://schemas.openxmlformats.org/officeDocument/2006/relationships/hyperlink" Target="http://ufcstats.com/fight-details/9b8a82276f06829f" TargetMode="External"/><Relationship Id="rId12" Type="http://schemas.openxmlformats.org/officeDocument/2006/relationships/hyperlink" Target="http://ufcstats.com/fight-details/8fb0092430448368" TargetMode="External"/><Relationship Id="rId108" Type="http://schemas.openxmlformats.org/officeDocument/2006/relationships/hyperlink" Target="http://ufcstats.com/fight-details/bcd1e1d71a172d53" TargetMode="External"/><Relationship Id="rId315" Type="http://schemas.openxmlformats.org/officeDocument/2006/relationships/hyperlink" Target="http://ufcstats.com/fight-details/30eb24f7904c2128" TargetMode="External"/><Relationship Id="rId522" Type="http://schemas.openxmlformats.org/officeDocument/2006/relationships/hyperlink" Target="http://ufcstats.com/fight-details/c5d5fcf290cc029e" TargetMode="External"/><Relationship Id="rId96" Type="http://schemas.openxmlformats.org/officeDocument/2006/relationships/hyperlink" Target="http://ufcstats.com/fight-details/46b9acec12a35d37" TargetMode="External"/><Relationship Id="rId161" Type="http://schemas.openxmlformats.org/officeDocument/2006/relationships/hyperlink" Target="http://ufcstats.com/fight-details/2ef54419defb2364" TargetMode="External"/><Relationship Id="rId399" Type="http://schemas.openxmlformats.org/officeDocument/2006/relationships/hyperlink" Target="http://ufcstats.com/fight-details/54a15700ab185420" TargetMode="External"/><Relationship Id="rId259" Type="http://schemas.openxmlformats.org/officeDocument/2006/relationships/hyperlink" Target="http://ufcstats.com/fight-details/420f4e4dc341eb57" TargetMode="External"/><Relationship Id="rId466" Type="http://schemas.openxmlformats.org/officeDocument/2006/relationships/hyperlink" Target="http://ufcstats.com/fight-details/98dd88d83f57c17a" TargetMode="External"/><Relationship Id="rId23" Type="http://schemas.openxmlformats.org/officeDocument/2006/relationships/hyperlink" Target="http://ufcstats.com/fight-details/86d57e8ef2191316" TargetMode="External"/><Relationship Id="rId119" Type="http://schemas.openxmlformats.org/officeDocument/2006/relationships/hyperlink" Target="http://ufcstats.com/fight-details/f09912e9d8eaa968" TargetMode="External"/><Relationship Id="rId326" Type="http://schemas.openxmlformats.org/officeDocument/2006/relationships/hyperlink" Target="http://ufcstats.com/fight-details/58e72b1a38880ba9" TargetMode="External"/><Relationship Id="rId533" Type="http://schemas.openxmlformats.org/officeDocument/2006/relationships/hyperlink" Target="http://ufcstats.com/fight-details/57d04160f5438654" TargetMode="External"/><Relationship Id="rId172" Type="http://schemas.openxmlformats.org/officeDocument/2006/relationships/hyperlink" Target="http://ufcstats.com/fight-details/18d84b333b28de36" TargetMode="External"/><Relationship Id="rId477" Type="http://schemas.openxmlformats.org/officeDocument/2006/relationships/hyperlink" Target="http://ufcstats.com/fight-details/ef13ed466e0b42d8" TargetMode="External"/><Relationship Id="rId600" Type="http://schemas.openxmlformats.org/officeDocument/2006/relationships/hyperlink" Target="http://ufcstats.com/fight-details/3c98739eb42f96bf" TargetMode="External"/><Relationship Id="rId337" Type="http://schemas.openxmlformats.org/officeDocument/2006/relationships/hyperlink" Target="http://ufcstats.com/fight-details/84b04e8d6b251c54" TargetMode="External"/><Relationship Id="rId34" Type="http://schemas.openxmlformats.org/officeDocument/2006/relationships/hyperlink" Target="http://ufcstats.com/fight-details/4d607b6ddc77a34c" TargetMode="External"/><Relationship Id="rId544" Type="http://schemas.openxmlformats.org/officeDocument/2006/relationships/hyperlink" Target="http://ufcstats.com/fight-details/1be65a0d2c1383f6" TargetMode="External"/><Relationship Id="rId183" Type="http://schemas.openxmlformats.org/officeDocument/2006/relationships/hyperlink" Target="http://ufcstats.com/fight-details/003c84fc7c3fa028" TargetMode="External"/><Relationship Id="rId390" Type="http://schemas.openxmlformats.org/officeDocument/2006/relationships/hyperlink" Target="http://ufcstats.com/fight-details/5b8d693bd1780102" TargetMode="External"/><Relationship Id="rId404" Type="http://schemas.openxmlformats.org/officeDocument/2006/relationships/hyperlink" Target="http://ufcstats.com/fight-details/7c5fc3fc7be4a997" TargetMode="External"/><Relationship Id="rId611" Type="http://schemas.openxmlformats.org/officeDocument/2006/relationships/hyperlink" Target="http://ufcstats.com/fight-details/47dfd70b5780d68a" TargetMode="External"/><Relationship Id="rId250" Type="http://schemas.openxmlformats.org/officeDocument/2006/relationships/hyperlink" Target="http://ufcstats.com/fight-details/939cc30f07131724" TargetMode="External"/><Relationship Id="rId488" Type="http://schemas.openxmlformats.org/officeDocument/2006/relationships/hyperlink" Target="http://ufcstats.com/fight-details/91afc389191d41fb" TargetMode="External"/><Relationship Id="rId45" Type="http://schemas.openxmlformats.org/officeDocument/2006/relationships/hyperlink" Target="http://ufcstats.com/fight-details/3e9ddcd30fdc5d85" TargetMode="External"/><Relationship Id="rId110" Type="http://schemas.openxmlformats.org/officeDocument/2006/relationships/hyperlink" Target="http://ufcstats.com/fight-details/5ba543efdce072f5" TargetMode="External"/><Relationship Id="rId348" Type="http://schemas.openxmlformats.org/officeDocument/2006/relationships/hyperlink" Target="http://ufcstats.com/fight-details/288c942b0ad152a6" TargetMode="External"/><Relationship Id="rId555" Type="http://schemas.openxmlformats.org/officeDocument/2006/relationships/hyperlink" Target="http://ufcstats.com/fight-details/9dcf8ce308eaa050" TargetMode="External"/><Relationship Id="rId194" Type="http://schemas.openxmlformats.org/officeDocument/2006/relationships/hyperlink" Target="http://ufcstats.com/fight-details/8a08b8043f83d245" TargetMode="External"/><Relationship Id="rId208" Type="http://schemas.openxmlformats.org/officeDocument/2006/relationships/hyperlink" Target="http://ufcstats.com/fight-details/0d7dc1ed5eb995e4" TargetMode="External"/><Relationship Id="rId415" Type="http://schemas.openxmlformats.org/officeDocument/2006/relationships/hyperlink" Target="http://ufcstats.com/fight-details/81de3929330076d2" TargetMode="External"/><Relationship Id="rId622" Type="http://schemas.openxmlformats.org/officeDocument/2006/relationships/hyperlink" Target="http://ufcstats.com/fight-details/d401522de73b7bee" TargetMode="External"/><Relationship Id="rId261" Type="http://schemas.openxmlformats.org/officeDocument/2006/relationships/hyperlink" Target="http://ufcstats.com/fight-details/93026e3763542c05" TargetMode="External"/><Relationship Id="rId499" Type="http://schemas.openxmlformats.org/officeDocument/2006/relationships/hyperlink" Target="http://ufcstats.com/fight-details/607d22f0b3db4f1f" TargetMode="External"/><Relationship Id="rId56" Type="http://schemas.openxmlformats.org/officeDocument/2006/relationships/hyperlink" Target="http://ufcstats.com/fight-details/1ca4274019680d23" TargetMode="External"/><Relationship Id="rId359" Type="http://schemas.openxmlformats.org/officeDocument/2006/relationships/hyperlink" Target="http://ufcstats.com/fight-details/06b3226c34c17001" TargetMode="External"/><Relationship Id="rId566" Type="http://schemas.openxmlformats.org/officeDocument/2006/relationships/hyperlink" Target="http://ufcstats.com/fight-details/e9d5ffcacf7d8757" TargetMode="External"/><Relationship Id="rId121" Type="http://schemas.openxmlformats.org/officeDocument/2006/relationships/hyperlink" Target="http://ufcstats.com/fight-details/8245791a3d3403c6" TargetMode="External"/><Relationship Id="rId219" Type="http://schemas.openxmlformats.org/officeDocument/2006/relationships/hyperlink" Target="http://ufcstats.com/fight-details/9dd9affa41eead4c" TargetMode="External"/><Relationship Id="rId426" Type="http://schemas.openxmlformats.org/officeDocument/2006/relationships/hyperlink" Target="http://ufcstats.com/fight-details/02e3699be1d8daa2" TargetMode="External"/><Relationship Id="rId633" Type="http://schemas.openxmlformats.org/officeDocument/2006/relationships/hyperlink" Target="http://ufcstats.com/fight-details/3fa8ee3fdc04fe36" TargetMode="External"/><Relationship Id="rId67" Type="http://schemas.openxmlformats.org/officeDocument/2006/relationships/hyperlink" Target="http://ufcstats.com/fight-details/e8f499827178a321" TargetMode="External"/><Relationship Id="rId272" Type="http://schemas.openxmlformats.org/officeDocument/2006/relationships/hyperlink" Target="http://ufcstats.com/fight-details/d48f938269b8ed0b" TargetMode="External"/><Relationship Id="rId577" Type="http://schemas.openxmlformats.org/officeDocument/2006/relationships/hyperlink" Target="http://ufcstats.com/fight-details/8d9c71e110196262" TargetMode="External"/><Relationship Id="rId132" Type="http://schemas.openxmlformats.org/officeDocument/2006/relationships/hyperlink" Target="http://ufcstats.com/fight-details/4b3af85b0df51d09" TargetMode="External"/><Relationship Id="rId437" Type="http://schemas.openxmlformats.org/officeDocument/2006/relationships/hyperlink" Target="http://ufcstats.com/fight-details/093ebd3375591101" TargetMode="External"/><Relationship Id="rId644" Type="http://schemas.openxmlformats.org/officeDocument/2006/relationships/hyperlink" Target="http://ufcstats.com/fight-details/b66ac52bfb217761" TargetMode="External"/><Relationship Id="rId283" Type="http://schemas.openxmlformats.org/officeDocument/2006/relationships/hyperlink" Target="http://ufcstats.com/fight-details/824368db1ed8191f" TargetMode="External"/><Relationship Id="rId490" Type="http://schemas.openxmlformats.org/officeDocument/2006/relationships/hyperlink" Target="http://ufcstats.com/fight-details/815fd4ebdc288e83" TargetMode="External"/><Relationship Id="rId504" Type="http://schemas.openxmlformats.org/officeDocument/2006/relationships/hyperlink" Target="http://ufcstats.com/fight-details/55480808b1fa1f9c" TargetMode="External"/><Relationship Id="rId78" Type="http://schemas.openxmlformats.org/officeDocument/2006/relationships/hyperlink" Target="http://ufcstats.com/fight-details/5f622d812b8f407f" TargetMode="External"/><Relationship Id="rId143" Type="http://schemas.openxmlformats.org/officeDocument/2006/relationships/hyperlink" Target="http://ufcstats.com/fight-details/24ff0bb908095565" TargetMode="External"/><Relationship Id="rId350" Type="http://schemas.openxmlformats.org/officeDocument/2006/relationships/hyperlink" Target="http://ufcstats.com/fight-details/edac9fd482177a64" TargetMode="External"/><Relationship Id="rId588" Type="http://schemas.openxmlformats.org/officeDocument/2006/relationships/hyperlink" Target="http://ufcstats.com/fight-details/1b52e24d09700dd9" TargetMode="External"/><Relationship Id="rId9" Type="http://schemas.openxmlformats.org/officeDocument/2006/relationships/hyperlink" Target="http://ufcstats.com/fight-details/2e0ae17a22a6f824" TargetMode="External"/><Relationship Id="rId210" Type="http://schemas.openxmlformats.org/officeDocument/2006/relationships/hyperlink" Target="http://ufcstats.com/fight-details/f23e2bed86b62462" TargetMode="External"/><Relationship Id="rId448" Type="http://schemas.openxmlformats.org/officeDocument/2006/relationships/hyperlink" Target="http://ufcstats.com/fight-details/c3b733bf084c2cd0" TargetMode="External"/><Relationship Id="rId294" Type="http://schemas.openxmlformats.org/officeDocument/2006/relationships/hyperlink" Target="http://ufcstats.com/fight-details/d03d0abf331df751" TargetMode="External"/><Relationship Id="rId308" Type="http://schemas.openxmlformats.org/officeDocument/2006/relationships/hyperlink" Target="http://ufcstats.com/fight-details/a02ffaf1fe462d28" TargetMode="External"/><Relationship Id="rId515" Type="http://schemas.openxmlformats.org/officeDocument/2006/relationships/hyperlink" Target="http://ufcstats.com/fight-details/7ed9e8f3258446c7" TargetMode="External"/><Relationship Id="rId89" Type="http://schemas.openxmlformats.org/officeDocument/2006/relationships/hyperlink" Target="http://ufcstats.com/fight-details/c02d44564cb006a9" TargetMode="External"/><Relationship Id="rId154" Type="http://schemas.openxmlformats.org/officeDocument/2006/relationships/hyperlink" Target="http://ufcstats.com/fight-details/8bede5047e97d602" TargetMode="External"/><Relationship Id="rId361" Type="http://schemas.openxmlformats.org/officeDocument/2006/relationships/hyperlink" Target="http://ufcstats.com/fight-details/b3b5bd50fa34342c" TargetMode="External"/><Relationship Id="rId599" Type="http://schemas.openxmlformats.org/officeDocument/2006/relationships/hyperlink" Target="http://ufcstats.com/fight-details/1efc813ccd7a5aba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http://ufcstats.com/fight-details/35d06627d91b840d" TargetMode="External"/><Relationship Id="rId21" Type="http://schemas.openxmlformats.org/officeDocument/2006/relationships/hyperlink" Target="http://ufcstats.com/fight-details/3c69bed42893da75" TargetMode="External"/><Relationship Id="rId324" Type="http://schemas.openxmlformats.org/officeDocument/2006/relationships/hyperlink" Target="http://ufcstats.com/fight-details/7f0175f71481b63d" TargetMode="External"/><Relationship Id="rId531" Type="http://schemas.openxmlformats.org/officeDocument/2006/relationships/hyperlink" Target="http://ufcstats.com/fight-details/e40a5bd62ce710ac" TargetMode="External"/><Relationship Id="rId629" Type="http://schemas.openxmlformats.org/officeDocument/2006/relationships/hyperlink" Target="http://ufcstats.com/fight-details/7c8701bb78cb4de8" TargetMode="External"/><Relationship Id="rId170" Type="http://schemas.openxmlformats.org/officeDocument/2006/relationships/hyperlink" Target="http://ufcstats.com/fight-details/22307b580e0c8d0d" TargetMode="External"/><Relationship Id="rId268" Type="http://schemas.openxmlformats.org/officeDocument/2006/relationships/hyperlink" Target="http://ufcstats.com/fight-details/f457d55f78d581f9" TargetMode="External"/><Relationship Id="rId475" Type="http://schemas.openxmlformats.org/officeDocument/2006/relationships/hyperlink" Target="http://ufcstats.com/fight-details/c83487136636e9bf" TargetMode="External"/><Relationship Id="rId32" Type="http://schemas.openxmlformats.org/officeDocument/2006/relationships/hyperlink" Target="http://ufcstats.com/fight-details/3a9e0fed344fd07d" TargetMode="External"/><Relationship Id="rId128" Type="http://schemas.openxmlformats.org/officeDocument/2006/relationships/hyperlink" Target="http://ufcstats.com/fight-details/388adad23aaa9d39" TargetMode="External"/><Relationship Id="rId335" Type="http://schemas.openxmlformats.org/officeDocument/2006/relationships/hyperlink" Target="http://ufcstats.com/fight-details/9feb9500b0fedfcd" TargetMode="External"/><Relationship Id="rId542" Type="http://schemas.openxmlformats.org/officeDocument/2006/relationships/hyperlink" Target="http://ufcstats.com/fight-details/5ad4c0eae7512878" TargetMode="External"/><Relationship Id="rId181" Type="http://schemas.openxmlformats.org/officeDocument/2006/relationships/hyperlink" Target="http://ufcstats.com/fight-details/060dfbc982c6c4ef" TargetMode="External"/><Relationship Id="rId402" Type="http://schemas.openxmlformats.org/officeDocument/2006/relationships/hyperlink" Target="http://ufcstats.com/fight-details/165d3a571fcc5e3c" TargetMode="External"/><Relationship Id="rId279" Type="http://schemas.openxmlformats.org/officeDocument/2006/relationships/hyperlink" Target="http://ufcstats.com/fight-details/b810951e39a0af1b" TargetMode="External"/><Relationship Id="rId486" Type="http://schemas.openxmlformats.org/officeDocument/2006/relationships/hyperlink" Target="http://ufcstats.com/fight-details/2ec12d4bbc0752db" TargetMode="External"/><Relationship Id="rId43" Type="http://schemas.openxmlformats.org/officeDocument/2006/relationships/hyperlink" Target="http://ufcstats.com/fight-details/3ce7f58911773a56" TargetMode="External"/><Relationship Id="rId139" Type="http://schemas.openxmlformats.org/officeDocument/2006/relationships/hyperlink" Target="http://ufcstats.com/fight-details/58c5d506181812fa" TargetMode="External"/><Relationship Id="rId346" Type="http://schemas.openxmlformats.org/officeDocument/2006/relationships/hyperlink" Target="http://ufcstats.com/fight-details/9576d9cba5cf5c4e" TargetMode="External"/><Relationship Id="rId553" Type="http://schemas.openxmlformats.org/officeDocument/2006/relationships/hyperlink" Target="http://ufcstats.com/fight-details/5337461354f23b98" TargetMode="External"/><Relationship Id="rId192" Type="http://schemas.openxmlformats.org/officeDocument/2006/relationships/hyperlink" Target="http://ufcstats.com/fight-details/0febad4c4a3d69fc" TargetMode="External"/><Relationship Id="rId206" Type="http://schemas.openxmlformats.org/officeDocument/2006/relationships/hyperlink" Target="http://ufcstats.com/fight-details/69279781a89c893e" TargetMode="External"/><Relationship Id="rId413" Type="http://schemas.openxmlformats.org/officeDocument/2006/relationships/hyperlink" Target="http://ufcstats.com/fight-details/b319a24919106555" TargetMode="External"/><Relationship Id="rId497" Type="http://schemas.openxmlformats.org/officeDocument/2006/relationships/hyperlink" Target="http://ufcstats.com/fight-details/ab4862ea4cbd0750" TargetMode="External"/><Relationship Id="rId620" Type="http://schemas.openxmlformats.org/officeDocument/2006/relationships/hyperlink" Target="http://ufcstats.com/fight-details/866b2c2e354aa27b" TargetMode="External"/><Relationship Id="rId357" Type="http://schemas.openxmlformats.org/officeDocument/2006/relationships/hyperlink" Target="http://ufcstats.com/fight-details/00742aea8da72a35" TargetMode="External"/><Relationship Id="rId54" Type="http://schemas.openxmlformats.org/officeDocument/2006/relationships/hyperlink" Target="http://ufcstats.com/fight-details/00720c46f864fe03" TargetMode="External"/><Relationship Id="rId217" Type="http://schemas.openxmlformats.org/officeDocument/2006/relationships/hyperlink" Target="http://ufcstats.com/fight-details/2817a6f9e09eb15f" TargetMode="External"/><Relationship Id="rId564" Type="http://schemas.openxmlformats.org/officeDocument/2006/relationships/hyperlink" Target="http://ufcstats.com/fight-details/0a85b3ad328205ff" TargetMode="External"/><Relationship Id="rId424" Type="http://schemas.openxmlformats.org/officeDocument/2006/relationships/hyperlink" Target="http://ufcstats.com/fight-details/b9de363e6b406853" TargetMode="External"/><Relationship Id="rId631" Type="http://schemas.openxmlformats.org/officeDocument/2006/relationships/hyperlink" Target="http://ufcstats.com/fight-details/f1eca70738ca073e" TargetMode="External"/><Relationship Id="rId270" Type="http://schemas.openxmlformats.org/officeDocument/2006/relationships/hyperlink" Target="http://ufcstats.com/fight-details/97e895b7c2cb9db4" TargetMode="External"/><Relationship Id="rId65" Type="http://schemas.openxmlformats.org/officeDocument/2006/relationships/hyperlink" Target="http://ufcstats.com/fight-details/3ce6f9eb59a1e149" TargetMode="External"/><Relationship Id="rId130" Type="http://schemas.openxmlformats.org/officeDocument/2006/relationships/hyperlink" Target="http://ufcstats.com/fight-details/fd60e75303622e5e" TargetMode="External"/><Relationship Id="rId368" Type="http://schemas.openxmlformats.org/officeDocument/2006/relationships/hyperlink" Target="http://ufcstats.com/fight-details/5edfc539cc58a28d" TargetMode="External"/><Relationship Id="rId575" Type="http://schemas.openxmlformats.org/officeDocument/2006/relationships/hyperlink" Target="http://ufcstats.com/fight-details/85036b967403cdab" TargetMode="External"/><Relationship Id="rId228" Type="http://schemas.openxmlformats.org/officeDocument/2006/relationships/hyperlink" Target="http://ufcstats.com/fight-details/a88a4c126d585320" TargetMode="External"/><Relationship Id="rId435" Type="http://schemas.openxmlformats.org/officeDocument/2006/relationships/hyperlink" Target="http://ufcstats.com/fight-details/fce6ab43b7d09aa4" TargetMode="External"/><Relationship Id="rId642" Type="http://schemas.openxmlformats.org/officeDocument/2006/relationships/hyperlink" Target="http://ufcstats.com/fight-details/dbb0ca0198ac514a" TargetMode="External"/><Relationship Id="rId281" Type="http://schemas.openxmlformats.org/officeDocument/2006/relationships/hyperlink" Target="http://ufcstats.com/fight-details/99a7172fb7438244" TargetMode="External"/><Relationship Id="rId502" Type="http://schemas.openxmlformats.org/officeDocument/2006/relationships/hyperlink" Target="http://ufcstats.com/fight-details/b55605791a4d72b9" TargetMode="External"/><Relationship Id="rId76" Type="http://schemas.openxmlformats.org/officeDocument/2006/relationships/hyperlink" Target="http://ufcstats.com/fight-details/fd776d7b554a85d0" TargetMode="External"/><Relationship Id="rId141" Type="http://schemas.openxmlformats.org/officeDocument/2006/relationships/hyperlink" Target="http://ufcstats.com/fight-details/cfbaeb80b5ff7c00" TargetMode="External"/><Relationship Id="rId379" Type="http://schemas.openxmlformats.org/officeDocument/2006/relationships/hyperlink" Target="http://ufcstats.com/fight-details/a5075f4eaee6036f" TargetMode="External"/><Relationship Id="rId586" Type="http://schemas.openxmlformats.org/officeDocument/2006/relationships/hyperlink" Target="http://ufcstats.com/fight-details/128e818254ebfabe" TargetMode="External"/><Relationship Id="rId7" Type="http://schemas.openxmlformats.org/officeDocument/2006/relationships/hyperlink" Target="http://ufcstats.com/fight-details/02615499125b4b5d" TargetMode="External"/><Relationship Id="rId239" Type="http://schemas.openxmlformats.org/officeDocument/2006/relationships/hyperlink" Target="http://ufcstats.com/fight-details/1f49b59e4058568f" TargetMode="External"/><Relationship Id="rId446" Type="http://schemas.openxmlformats.org/officeDocument/2006/relationships/hyperlink" Target="http://ufcstats.com/fight-details/0b98d84a2795f7f8" TargetMode="External"/><Relationship Id="rId653" Type="http://schemas.openxmlformats.org/officeDocument/2006/relationships/hyperlink" Target="http://ufcstats.com/fight-details/523815acf1bb2420" TargetMode="External"/><Relationship Id="rId292" Type="http://schemas.openxmlformats.org/officeDocument/2006/relationships/hyperlink" Target="http://ufcstats.com/fight-details/b82b243982fcb2ac" TargetMode="External"/><Relationship Id="rId306" Type="http://schemas.openxmlformats.org/officeDocument/2006/relationships/hyperlink" Target="http://ufcstats.com/fight-details/2bcb878e9d02b8f7" TargetMode="External"/><Relationship Id="rId87" Type="http://schemas.openxmlformats.org/officeDocument/2006/relationships/hyperlink" Target="http://ufcstats.com/fight-details/ecbece0cbd60029e" TargetMode="External"/><Relationship Id="rId513" Type="http://schemas.openxmlformats.org/officeDocument/2006/relationships/hyperlink" Target="http://ufcstats.com/fight-details/6c67aa7063717a0c" TargetMode="External"/><Relationship Id="rId597" Type="http://schemas.openxmlformats.org/officeDocument/2006/relationships/hyperlink" Target="http://ufcstats.com/fight-details/76602c3658d70273" TargetMode="External"/><Relationship Id="rId152" Type="http://schemas.openxmlformats.org/officeDocument/2006/relationships/hyperlink" Target="http://ufcstats.com/fight-details/2735a2ea77ddc0b5" TargetMode="External"/><Relationship Id="rId457" Type="http://schemas.openxmlformats.org/officeDocument/2006/relationships/hyperlink" Target="http://ufcstats.com/fight-details/6e73ebbd089aff5e" TargetMode="External"/><Relationship Id="rId14" Type="http://schemas.openxmlformats.org/officeDocument/2006/relationships/hyperlink" Target="http://ufcstats.com/fight-details/2fed4f1d91767eb1" TargetMode="External"/><Relationship Id="rId317" Type="http://schemas.openxmlformats.org/officeDocument/2006/relationships/hyperlink" Target="http://ufcstats.com/fight-details/856fab879c68ded7" TargetMode="External"/><Relationship Id="rId524" Type="http://schemas.openxmlformats.org/officeDocument/2006/relationships/hyperlink" Target="http://ufcstats.com/fight-details/98411542ca0e847d" TargetMode="External"/><Relationship Id="rId98" Type="http://schemas.openxmlformats.org/officeDocument/2006/relationships/hyperlink" Target="http://ufcstats.com/fight-details/3624f4ae9c1d703e" TargetMode="External"/><Relationship Id="rId163" Type="http://schemas.openxmlformats.org/officeDocument/2006/relationships/hyperlink" Target="http://ufcstats.com/fight-details/dc45c8d70e256749" TargetMode="External"/><Relationship Id="rId370" Type="http://schemas.openxmlformats.org/officeDocument/2006/relationships/hyperlink" Target="http://ufcstats.com/fight-details/13a8ddb1c3f55ed4" TargetMode="External"/><Relationship Id="rId230" Type="http://schemas.openxmlformats.org/officeDocument/2006/relationships/hyperlink" Target="http://ufcstats.com/fight-details/6fe21a4cb2d839fd" TargetMode="External"/><Relationship Id="rId468" Type="http://schemas.openxmlformats.org/officeDocument/2006/relationships/hyperlink" Target="http://ufcstats.com/fight-details/8a1aa64eb1f17913" TargetMode="External"/><Relationship Id="rId25" Type="http://schemas.openxmlformats.org/officeDocument/2006/relationships/hyperlink" Target="http://ufcstats.com/fight-details/0ac5fc42ba039211" TargetMode="External"/><Relationship Id="rId328" Type="http://schemas.openxmlformats.org/officeDocument/2006/relationships/hyperlink" Target="http://ufcstats.com/fight-details/11c0ef97497303ef" TargetMode="External"/><Relationship Id="rId535" Type="http://schemas.openxmlformats.org/officeDocument/2006/relationships/hyperlink" Target="http://ufcstats.com/fight-details/933cf2674503c63d" TargetMode="External"/><Relationship Id="rId174" Type="http://schemas.openxmlformats.org/officeDocument/2006/relationships/hyperlink" Target="http://ufcstats.com/fight-details/83d59f5e52e0ac46" TargetMode="External"/><Relationship Id="rId381" Type="http://schemas.openxmlformats.org/officeDocument/2006/relationships/hyperlink" Target="http://ufcstats.com/fight-details/9d6b46a3cf5ec494" TargetMode="External"/><Relationship Id="rId602" Type="http://schemas.openxmlformats.org/officeDocument/2006/relationships/hyperlink" Target="http://ufcstats.com/fight-details/921a8db065cd8cc5" TargetMode="External"/><Relationship Id="rId241" Type="http://schemas.openxmlformats.org/officeDocument/2006/relationships/hyperlink" Target="http://ufcstats.com/fight-details/eafda776967c6444" TargetMode="External"/><Relationship Id="rId479" Type="http://schemas.openxmlformats.org/officeDocument/2006/relationships/hyperlink" Target="http://ufcstats.com/fight-details/46c050a827ee83d6" TargetMode="External"/><Relationship Id="rId36" Type="http://schemas.openxmlformats.org/officeDocument/2006/relationships/hyperlink" Target="http://ufcstats.com/fight-details/e5279358b128c2ac" TargetMode="External"/><Relationship Id="rId339" Type="http://schemas.openxmlformats.org/officeDocument/2006/relationships/hyperlink" Target="http://ufcstats.com/fight-details/d866afa89d62a4ae" TargetMode="External"/><Relationship Id="rId546" Type="http://schemas.openxmlformats.org/officeDocument/2006/relationships/hyperlink" Target="http://ufcstats.com/fight-details/b8019af428c064ef" TargetMode="External"/><Relationship Id="rId101" Type="http://schemas.openxmlformats.org/officeDocument/2006/relationships/hyperlink" Target="http://ufcstats.com/fight-details/4dc5a41f357a7d85" TargetMode="External"/><Relationship Id="rId185" Type="http://schemas.openxmlformats.org/officeDocument/2006/relationships/hyperlink" Target="http://ufcstats.com/fight-details/c92308bbd6107b11" TargetMode="External"/><Relationship Id="rId406" Type="http://schemas.openxmlformats.org/officeDocument/2006/relationships/hyperlink" Target="http://ufcstats.com/fight-details/b5b5156c713c5d47" TargetMode="External"/><Relationship Id="rId392" Type="http://schemas.openxmlformats.org/officeDocument/2006/relationships/hyperlink" Target="http://ufcstats.com/fight-details/0f88658e787815c8" TargetMode="External"/><Relationship Id="rId613" Type="http://schemas.openxmlformats.org/officeDocument/2006/relationships/hyperlink" Target="http://ufcstats.com/fight-details/f9536ea60551b840" TargetMode="External"/><Relationship Id="rId252" Type="http://schemas.openxmlformats.org/officeDocument/2006/relationships/hyperlink" Target="http://ufcstats.com/fight-details/c5a8e0098d1024ce" TargetMode="External"/><Relationship Id="rId47" Type="http://schemas.openxmlformats.org/officeDocument/2006/relationships/hyperlink" Target="http://ufcstats.com/fight-details/c46d51fb87a4f485" TargetMode="External"/><Relationship Id="rId112" Type="http://schemas.openxmlformats.org/officeDocument/2006/relationships/hyperlink" Target="http://ufcstats.com/fight-details/144cd3f62591a5fb" TargetMode="External"/><Relationship Id="rId557" Type="http://schemas.openxmlformats.org/officeDocument/2006/relationships/hyperlink" Target="http://ufcstats.com/fight-details/001441f70c293931" TargetMode="External"/><Relationship Id="rId196" Type="http://schemas.openxmlformats.org/officeDocument/2006/relationships/hyperlink" Target="http://ufcstats.com/fight-details/ced0e31df74f27d6" TargetMode="External"/><Relationship Id="rId417" Type="http://schemas.openxmlformats.org/officeDocument/2006/relationships/hyperlink" Target="http://ufcstats.com/fight-details/2c65d5d20cc893e4" TargetMode="External"/><Relationship Id="rId624" Type="http://schemas.openxmlformats.org/officeDocument/2006/relationships/hyperlink" Target="http://ufcstats.com/fight-details/9025e3c6b6d71253" TargetMode="External"/><Relationship Id="rId263" Type="http://schemas.openxmlformats.org/officeDocument/2006/relationships/hyperlink" Target="http://ufcstats.com/fight-details/adb86e0206cba97d" TargetMode="External"/><Relationship Id="rId470" Type="http://schemas.openxmlformats.org/officeDocument/2006/relationships/hyperlink" Target="http://ufcstats.com/fight-details/b47e4f0982938e5b" TargetMode="External"/><Relationship Id="rId58" Type="http://schemas.openxmlformats.org/officeDocument/2006/relationships/hyperlink" Target="http://ufcstats.com/fight-details/c1e039419a671b9e" TargetMode="External"/><Relationship Id="rId123" Type="http://schemas.openxmlformats.org/officeDocument/2006/relationships/hyperlink" Target="http://ufcstats.com/fight-details/dd6dbe644f599795" TargetMode="External"/><Relationship Id="rId330" Type="http://schemas.openxmlformats.org/officeDocument/2006/relationships/hyperlink" Target="http://ufcstats.com/fight-details/3945b08be8d62861" TargetMode="External"/><Relationship Id="rId568" Type="http://schemas.openxmlformats.org/officeDocument/2006/relationships/hyperlink" Target="http://ufcstats.com/fight-details/d2ef04d5f384c05a" TargetMode="External"/><Relationship Id="rId428" Type="http://schemas.openxmlformats.org/officeDocument/2006/relationships/hyperlink" Target="http://ufcstats.com/fight-details/83fa3a382acc7bdc" TargetMode="External"/><Relationship Id="rId635" Type="http://schemas.openxmlformats.org/officeDocument/2006/relationships/hyperlink" Target="http://ufcstats.com/fight-details/08cbd4c521831adf" TargetMode="External"/><Relationship Id="rId232" Type="http://schemas.openxmlformats.org/officeDocument/2006/relationships/hyperlink" Target="http://ufcstats.com/fight-details/60de5efe5b439c8b" TargetMode="External"/><Relationship Id="rId274" Type="http://schemas.openxmlformats.org/officeDocument/2006/relationships/hyperlink" Target="http://ufcstats.com/fight-details/95d46f7a7e72f91c" TargetMode="External"/><Relationship Id="rId481" Type="http://schemas.openxmlformats.org/officeDocument/2006/relationships/hyperlink" Target="http://ufcstats.com/fight-details/8794b5f9a591daf6" TargetMode="External"/><Relationship Id="rId27" Type="http://schemas.openxmlformats.org/officeDocument/2006/relationships/hyperlink" Target="http://ufcstats.com/fight-details/a103b30f6898de7e" TargetMode="External"/><Relationship Id="rId69" Type="http://schemas.openxmlformats.org/officeDocument/2006/relationships/hyperlink" Target="http://ufcstats.com/fight-details/e8d3768f293a699b" TargetMode="External"/><Relationship Id="rId134" Type="http://schemas.openxmlformats.org/officeDocument/2006/relationships/hyperlink" Target="http://ufcstats.com/fight-details/755d84d5f4aa4dbf" TargetMode="External"/><Relationship Id="rId537" Type="http://schemas.openxmlformats.org/officeDocument/2006/relationships/hyperlink" Target="http://ufcstats.com/fight-details/b2d05ae88f820421" TargetMode="External"/><Relationship Id="rId579" Type="http://schemas.openxmlformats.org/officeDocument/2006/relationships/hyperlink" Target="http://ufcstats.com/fight-details/5d64044b985004e7" TargetMode="External"/><Relationship Id="rId80" Type="http://schemas.openxmlformats.org/officeDocument/2006/relationships/hyperlink" Target="http://ufcstats.com/fight-details/2faf5b8d708f8e94" TargetMode="External"/><Relationship Id="rId176" Type="http://schemas.openxmlformats.org/officeDocument/2006/relationships/hyperlink" Target="http://ufcstats.com/fight-details/4f7ec66199bba232" TargetMode="External"/><Relationship Id="rId341" Type="http://schemas.openxmlformats.org/officeDocument/2006/relationships/hyperlink" Target="http://ufcstats.com/fight-details/c64537874352793a" TargetMode="External"/><Relationship Id="rId383" Type="http://schemas.openxmlformats.org/officeDocument/2006/relationships/hyperlink" Target="http://ufcstats.com/fight-details/bb56f4e502512ad0" TargetMode="External"/><Relationship Id="rId439" Type="http://schemas.openxmlformats.org/officeDocument/2006/relationships/hyperlink" Target="http://ufcstats.com/fight-details/5ac1725f775c6f00" TargetMode="External"/><Relationship Id="rId590" Type="http://schemas.openxmlformats.org/officeDocument/2006/relationships/hyperlink" Target="http://ufcstats.com/fight-details/8e02bdaac8ed50e5" TargetMode="External"/><Relationship Id="rId604" Type="http://schemas.openxmlformats.org/officeDocument/2006/relationships/hyperlink" Target="http://ufcstats.com/fight-details/319b96f615a0a154" TargetMode="External"/><Relationship Id="rId646" Type="http://schemas.openxmlformats.org/officeDocument/2006/relationships/hyperlink" Target="http://ufcstats.com/fight-details/256894b49303537b" TargetMode="External"/><Relationship Id="rId201" Type="http://schemas.openxmlformats.org/officeDocument/2006/relationships/hyperlink" Target="http://ufcstats.com/fight-details/a212e4c197983ad1" TargetMode="External"/><Relationship Id="rId243" Type="http://schemas.openxmlformats.org/officeDocument/2006/relationships/hyperlink" Target="http://ufcstats.com/fight-details/55f727e00553035d" TargetMode="External"/><Relationship Id="rId285" Type="http://schemas.openxmlformats.org/officeDocument/2006/relationships/hyperlink" Target="http://ufcstats.com/fight-details/b22dbe21c21060b9" TargetMode="External"/><Relationship Id="rId450" Type="http://schemas.openxmlformats.org/officeDocument/2006/relationships/hyperlink" Target="http://ufcstats.com/fight-details/958799d957945a3a" TargetMode="External"/><Relationship Id="rId506" Type="http://schemas.openxmlformats.org/officeDocument/2006/relationships/hyperlink" Target="http://ufcstats.com/fight-details/454265014520a3f8" TargetMode="External"/><Relationship Id="rId38" Type="http://schemas.openxmlformats.org/officeDocument/2006/relationships/hyperlink" Target="http://ufcstats.com/fight-details/6d48f75153e4ad6b" TargetMode="External"/><Relationship Id="rId103" Type="http://schemas.openxmlformats.org/officeDocument/2006/relationships/hyperlink" Target="http://ufcstats.com/fight-details/eca400aeeb2763d1" TargetMode="External"/><Relationship Id="rId310" Type="http://schemas.openxmlformats.org/officeDocument/2006/relationships/hyperlink" Target="http://ufcstats.com/fight-details/b9c82dfde8b66e37" TargetMode="External"/><Relationship Id="rId492" Type="http://schemas.openxmlformats.org/officeDocument/2006/relationships/hyperlink" Target="http://ufcstats.com/fight-details/b166f1582946fbbc" TargetMode="External"/><Relationship Id="rId548" Type="http://schemas.openxmlformats.org/officeDocument/2006/relationships/hyperlink" Target="http://ufcstats.com/fight-details/2279d909f6e3e552" TargetMode="External"/><Relationship Id="rId91" Type="http://schemas.openxmlformats.org/officeDocument/2006/relationships/hyperlink" Target="http://ufcstats.com/fight-details/ac8628d945a78b03" TargetMode="External"/><Relationship Id="rId145" Type="http://schemas.openxmlformats.org/officeDocument/2006/relationships/hyperlink" Target="http://ufcstats.com/fight-details/a6828a6dfb21d33c" TargetMode="External"/><Relationship Id="rId187" Type="http://schemas.openxmlformats.org/officeDocument/2006/relationships/hyperlink" Target="http://ufcstats.com/fight-details/3f8c6e31ebbe54bc" TargetMode="External"/><Relationship Id="rId352" Type="http://schemas.openxmlformats.org/officeDocument/2006/relationships/hyperlink" Target="http://ufcstats.com/fight-details/9fe98de1eac21f2e" TargetMode="External"/><Relationship Id="rId394" Type="http://schemas.openxmlformats.org/officeDocument/2006/relationships/hyperlink" Target="http://ufcstats.com/fight-details/3636e085c098dbda" TargetMode="External"/><Relationship Id="rId408" Type="http://schemas.openxmlformats.org/officeDocument/2006/relationships/hyperlink" Target="http://ufcstats.com/fight-details/5ff8463edf8155c0" TargetMode="External"/><Relationship Id="rId615" Type="http://schemas.openxmlformats.org/officeDocument/2006/relationships/hyperlink" Target="http://ufcstats.com/fight-details/0590fb4acc06fa93" TargetMode="External"/><Relationship Id="rId212" Type="http://schemas.openxmlformats.org/officeDocument/2006/relationships/hyperlink" Target="http://ufcstats.com/fight-details/f56c6646b54c0662" TargetMode="External"/><Relationship Id="rId254" Type="http://schemas.openxmlformats.org/officeDocument/2006/relationships/hyperlink" Target="http://ufcstats.com/fight-details/6f2a4a2f769eb9e3" TargetMode="External"/><Relationship Id="rId657" Type="http://schemas.openxmlformats.org/officeDocument/2006/relationships/hyperlink" Target="http://ufcstats.com/fight-details/1123fceef316106e" TargetMode="External"/><Relationship Id="rId49" Type="http://schemas.openxmlformats.org/officeDocument/2006/relationships/hyperlink" Target="http://ufcstats.com/fight-details/6f836a82a0530884" TargetMode="External"/><Relationship Id="rId114" Type="http://schemas.openxmlformats.org/officeDocument/2006/relationships/hyperlink" Target="http://ufcstats.com/fight-details/30abc50a2e71c576" TargetMode="External"/><Relationship Id="rId296" Type="http://schemas.openxmlformats.org/officeDocument/2006/relationships/hyperlink" Target="http://ufcstats.com/fight-details/0b8fdeeb626b4396" TargetMode="External"/><Relationship Id="rId461" Type="http://schemas.openxmlformats.org/officeDocument/2006/relationships/hyperlink" Target="http://ufcstats.com/fight-details/c335f44e4f3515ea" TargetMode="External"/><Relationship Id="rId517" Type="http://schemas.openxmlformats.org/officeDocument/2006/relationships/hyperlink" Target="http://ufcstats.com/fight-details/be69cbf1f1671c8e" TargetMode="External"/><Relationship Id="rId559" Type="http://schemas.openxmlformats.org/officeDocument/2006/relationships/hyperlink" Target="http://ufcstats.com/fight-details/6eb382e2c51fc4f5" TargetMode="External"/><Relationship Id="rId60" Type="http://schemas.openxmlformats.org/officeDocument/2006/relationships/hyperlink" Target="http://ufcstats.com/fight-details/e15b393a27c07043" TargetMode="External"/><Relationship Id="rId156" Type="http://schemas.openxmlformats.org/officeDocument/2006/relationships/hyperlink" Target="http://ufcstats.com/fight-details/26173f6491300eaa" TargetMode="External"/><Relationship Id="rId198" Type="http://schemas.openxmlformats.org/officeDocument/2006/relationships/hyperlink" Target="http://ufcstats.com/fight-details/6c9bf1d285cf5dd4" TargetMode="External"/><Relationship Id="rId321" Type="http://schemas.openxmlformats.org/officeDocument/2006/relationships/hyperlink" Target="http://ufcstats.com/fight-details/6c4b3cca92fcb9c7" TargetMode="External"/><Relationship Id="rId363" Type="http://schemas.openxmlformats.org/officeDocument/2006/relationships/hyperlink" Target="http://ufcstats.com/fight-details/5d5abb5dade718de" TargetMode="External"/><Relationship Id="rId419" Type="http://schemas.openxmlformats.org/officeDocument/2006/relationships/hyperlink" Target="http://ufcstats.com/fight-details/8fc238e84c4624a7" TargetMode="External"/><Relationship Id="rId570" Type="http://schemas.openxmlformats.org/officeDocument/2006/relationships/hyperlink" Target="http://ufcstats.com/fight-details/aa71cf96ba4e5a36" TargetMode="External"/><Relationship Id="rId626" Type="http://schemas.openxmlformats.org/officeDocument/2006/relationships/hyperlink" Target="http://ufcstats.com/fight-details/640f2ae3995b3b4f" TargetMode="External"/><Relationship Id="rId223" Type="http://schemas.openxmlformats.org/officeDocument/2006/relationships/hyperlink" Target="http://ufcstats.com/fight-details/ee1c1e9037fee21e" TargetMode="External"/><Relationship Id="rId430" Type="http://schemas.openxmlformats.org/officeDocument/2006/relationships/hyperlink" Target="http://ufcstats.com/fight-details/9d204f44a9988b93" TargetMode="External"/><Relationship Id="rId18" Type="http://schemas.openxmlformats.org/officeDocument/2006/relationships/hyperlink" Target="http://ufcstats.com/fight-details/01f7c28804746979" TargetMode="External"/><Relationship Id="rId265" Type="http://schemas.openxmlformats.org/officeDocument/2006/relationships/hyperlink" Target="http://ufcstats.com/fight-details/d1aaef0d7f0c8e8b" TargetMode="External"/><Relationship Id="rId472" Type="http://schemas.openxmlformats.org/officeDocument/2006/relationships/hyperlink" Target="http://ufcstats.com/fight-details/b1b20c686dfe3204" TargetMode="External"/><Relationship Id="rId528" Type="http://schemas.openxmlformats.org/officeDocument/2006/relationships/hyperlink" Target="http://ufcstats.com/fight-details/fc2585e234e49dee" TargetMode="External"/><Relationship Id="rId125" Type="http://schemas.openxmlformats.org/officeDocument/2006/relationships/hyperlink" Target="http://ufcstats.com/fight-details/9217ecc287ac482d" TargetMode="External"/><Relationship Id="rId167" Type="http://schemas.openxmlformats.org/officeDocument/2006/relationships/hyperlink" Target="http://ufcstats.com/fight-details/f3e2038bfb9b5d9d" TargetMode="External"/><Relationship Id="rId332" Type="http://schemas.openxmlformats.org/officeDocument/2006/relationships/hyperlink" Target="http://ufcstats.com/fight-details/fee873593f588437" TargetMode="External"/><Relationship Id="rId374" Type="http://schemas.openxmlformats.org/officeDocument/2006/relationships/hyperlink" Target="http://ufcstats.com/fight-details/a7f66f13f953352f" TargetMode="External"/><Relationship Id="rId581" Type="http://schemas.openxmlformats.org/officeDocument/2006/relationships/hyperlink" Target="http://ufcstats.com/fight-details/ed32da52aff68944" TargetMode="External"/><Relationship Id="rId71" Type="http://schemas.openxmlformats.org/officeDocument/2006/relationships/hyperlink" Target="http://ufcstats.com/fight-details/0449c55a8c24a59e" TargetMode="External"/><Relationship Id="rId234" Type="http://schemas.openxmlformats.org/officeDocument/2006/relationships/hyperlink" Target="http://ufcstats.com/fight-details/f9e07282f3444d09" TargetMode="External"/><Relationship Id="rId637" Type="http://schemas.openxmlformats.org/officeDocument/2006/relationships/hyperlink" Target="http://ufcstats.com/fight-details/1d9f862a47540785" TargetMode="External"/><Relationship Id="rId2" Type="http://schemas.openxmlformats.org/officeDocument/2006/relationships/hyperlink" Target="http://ufcstats.com/fight-details/9cdfcd164b48f55e" TargetMode="External"/><Relationship Id="rId29" Type="http://schemas.openxmlformats.org/officeDocument/2006/relationships/hyperlink" Target="http://ufcstats.com/fight-details/eac46cfead228e11" TargetMode="External"/><Relationship Id="rId276" Type="http://schemas.openxmlformats.org/officeDocument/2006/relationships/hyperlink" Target="http://ufcstats.com/fight-details/b29d4e0117776bb3" TargetMode="External"/><Relationship Id="rId441" Type="http://schemas.openxmlformats.org/officeDocument/2006/relationships/hyperlink" Target="http://ufcstats.com/fight-details/9bc042a700d9a531" TargetMode="External"/><Relationship Id="rId483" Type="http://schemas.openxmlformats.org/officeDocument/2006/relationships/hyperlink" Target="http://ufcstats.com/fight-details/bee780601ad13583" TargetMode="External"/><Relationship Id="rId539" Type="http://schemas.openxmlformats.org/officeDocument/2006/relationships/hyperlink" Target="http://ufcstats.com/fight-details/3b6c18a966a2cea4" TargetMode="External"/><Relationship Id="rId40" Type="http://schemas.openxmlformats.org/officeDocument/2006/relationships/hyperlink" Target="http://ufcstats.com/fight-details/357a34207d70da69" TargetMode="External"/><Relationship Id="rId136" Type="http://schemas.openxmlformats.org/officeDocument/2006/relationships/hyperlink" Target="http://ufcstats.com/fight-details/12ceec9431fb0827" TargetMode="External"/><Relationship Id="rId178" Type="http://schemas.openxmlformats.org/officeDocument/2006/relationships/hyperlink" Target="http://ufcstats.com/fight-details/849eb47d349f3fe4" TargetMode="External"/><Relationship Id="rId301" Type="http://schemas.openxmlformats.org/officeDocument/2006/relationships/hyperlink" Target="http://ufcstats.com/fight-details/b2b6cf87cde17136" TargetMode="External"/><Relationship Id="rId343" Type="http://schemas.openxmlformats.org/officeDocument/2006/relationships/hyperlink" Target="http://ufcstats.com/fight-details/9f8cf5ac0807d64e" TargetMode="External"/><Relationship Id="rId550" Type="http://schemas.openxmlformats.org/officeDocument/2006/relationships/hyperlink" Target="http://ufcstats.com/fight-details/029a12d36a4687e1" TargetMode="External"/><Relationship Id="rId82" Type="http://schemas.openxmlformats.org/officeDocument/2006/relationships/hyperlink" Target="http://ufcstats.com/fight-details/681cd3cc6299d652" TargetMode="External"/><Relationship Id="rId203" Type="http://schemas.openxmlformats.org/officeDocument/2006/relationships/hyperlink" Target="http://ufcstats.com/fight-details/2ea1f463620bcd3d" TargetMode="External"/><Relationship Id="rId385" Type="http://schemas.openxmlformats.org/officeDocument/2006/relationships/hyperlink" Target="http://ufcstats.com/fight-details/567cefcaba821205" TargetMode="External"/><Relationship Id="rId592" Type="http://schemas.openxmlformats.org/officeDocument/2006/relationships/hyperlink" Target="http://ufcstats.com/fight-details/04f27a78e4ffce47" TargetMode="External"/><Relationship Id="rId606" Type="http://schemas.openxmlformats.org/officeDocument/2006/relationships/hyperlink" Target="http://ufcstats.com/fight-details/4341ebb5a56e6943" TargetMode="External"/><Relationship Id="rId648" Type="http://schemas.openxmlformats.org/officeDocument/2006/relationships/hyperlink" Target="http://ufcstats.com/fight-details/81f287d035190506" TargetMode="External"/><Relationship Id="rId245" Type="http://schemas.openxmlformats.org/officeDocument/2006/relationships/hyperlink" Target="http://ufcstats.com/fight-details/ddd9e64d97b095f9" TargetMode="External"/><Relationship Id="rId287" Type="http://schemas.openxmlformats.org/officeDocument/2006/relationships/hyperlink" Target="http://ufcstats.com/fight-details/f0b151cc6c91b259" TargetMode="External"/><Relationship Id="rId410" Type="http://schemas.openxmlformats.org/officeDocument/2006/relationships/hyperlink" Target="http://ufcstats.com/fight-details/b52dccbe69864d2a" TargetMode="External"/><Relationship Id="rId452" Type="http://schemas.openxmlformats.org/officeDocument/2006/relationships/hyperlink" Target="http://ufcstats.com/fight-details/18d6df67968bf06b" TargetMode="External"/><Relationship Id="rId494" Type="http://schemas.openxmlformats.org/officeDocument/2006/relationships/hyperlink" Target="http://ufcstats.com/fight-details/ba8f219260e212f8" TargetMode="External"/><Relationship Id="rId508" Type="http://schemas.openxmlformats.org/officeDocument/2006/relationships/hyperlink" Target="http://ufcstats.com/fight-details/3a8cc4cda195d758" TargetMode="External"/><Relationship Id="rId105" Type="http://schemas.openxmlformats.org/officeDocument/2006/relationships/hyperlink" Target="http://ufcstats.com/fight-details/cef255a992ba7af3" TargetMode="External"/><Relationship Id="rId147" Type="http://schemas.openxmlformats.org/officeDocument/2006/relationships/hyperlink" Target="http://ufcstats.com/fight-details/f4fbb11055301e75" TargetMode="External"/><Relationship Id="rId312" Type="http://schemas.openxmlformats.org/officeDocument/2006/relationships/hyperlink" Target="http://ufcstats.com/fight-details/37c732554828dcc3" TargetMode="External"/><Relationship Id="rId354" Type="http://schemas.openxmlformats.org/officeDocument/2006/relationships/hyperlink" Target="http://ufcstats.com/fight-details/57d989702ae72dc1" TargetMode="External"/><Relationship Id="rId51" Type="http://schemas.openxmlformats.org/officeDocument/2006/relationships/hyperlink" Target="http://ufcstats.com/fight-details/2c101a0bcf334d31" TargetMode="External"/><Relationship Id="rId93" Type="http://schemas.openxmlformats.org/officeDocument/2006/relationships/hyperlink" Target="http://ufcstats.com/fight-details/0aae15358d8606b9" TargetMode="External"/><Relationship Id="rId189" Type="http://schemas.openxmlformats.org/officeDocument/2006/relationships/hyperlink" Target="http://ufcstats.com/fight-details/65c1ca715dfdbe05" TargetMode="External"/><Relationship Id="rId396" Type="http://schemas.openxmlformats.org/officeDocument/2006/relationships/hyperlink" Target="http://ufcstats.com/fight-details/463fac0e48505b62" TargetMode="External"/><Relationship Id="rId561" Type="http://schemas.openxmlformats.org/officeDocument/2006/relationships/hyperlink" Target="http://ufcstats.com/fight-details/7abc4520f63f2c06" TargetMode="External"/><Relationship Id="rId617" Type="http://schemas.openxmlformats.org/officeDocument/2006/relationships/hyperlink" Target="http://ufcstats.com/fight-details/61a20ff34b6948ba" TargetMode="External"/><Relationship Id="rId659" Type="http://schemas.openxmlformats.org/officeDocument/2006/relationships/hyperlink" Target="http://ufcstats.com/fight-details/431e7931d8be8b5d" TargetMode="External"/><Relationship Id="rId214" Type="http://schemas.openxmlformats.org/officeDocument/2006/relationships/hyperlink" Target="http://ufcstats.com/fight-details/ef2c7bfced561374" TargetMode="External"/><Relationship Id="rId256" Type="http://schemas.openxmlformats.org/officeDocument/2006/relationships/hyperlink" Target="http://ufcstats.com/fight-details/fae3f395669b7285" TargetMode="External"/><Relationship Id="rId298" Type="http://schemas.openxmlformats.org/officeDocument/2006/relationships/hyperlink" Target="http://ufcstats.com/fight-details/c0e8095c91c39b06" TargetMode="External"/><Relationship Id="rId421" Type="http://schemas.openxmlformats.org/officeDocument/2006/relationships/hyperlink" Target="http://ufcstats.com/fight-details/8295c37ad4b6187e" TargetMode="External"/><Relationship Id="rId463" Type="http://schemas.openxmlformats.org/officeDocument/2006/relationships/hyperlink" Target="http://ufcstats.com/fight-details/ad7bd4b3ee923498" TargetMode="External"/><Relationship Id="rId519" Type="http://schemas.openxmlformats.org/officeDocument/2006/relationships/hyperlink" Target="http://ufcstats.com/fight-details/e1bb0b615c02d715" TargetMode="External"/><Relationship Id="rId116" Type="http://schemas.openxmlformats.org/officeDocument/2006/relationships/hyperlink" Target="http://ufcstats.com/fight-details/330506571d2778b1" TargetMode="External"/><Relationship Id="rId158" Type="http://schemas.openxmlformats.org/officeDocument/2006/relationships/hyperlink" Target="http://ufcstats.com/fight-details/e5872dfa5b93fcbb" TargetMode="External"/><Relationship Id="rId323" Type="http://schemas.openxmlformats.org/officeDocument/2006/relationships/hyperlink" Target="http://ufcstats.com/fight-details/1e9f081a84e7ec18" TargetMode="External"/><Relationship Id="rId530" Type="http://schemas.openxmlformats.org/officeDocument/2006/relationships/hyperlink" Target="http://ufcstats.com/fight-details/da7d7b4f20cd2af5" TargetMode="External"/><Relationship Id="rId20" Type="http://schemas.openxmlformats.org/officeDocument/2006/relationships/hyperlink" Target="http://ufcstats.com/fight-details/edf46d6962be7e8d" TargetMode="External"/><Relationship Id="rId62" Type="http://schemas.openxmlformats.org/officeDocument/2006/relationships/hyperlink" Target="http://ufcstats.com/fight-details/2e11087e1a4f066b" TargetMode="External"/><Relationship Id="rId365" Type="http://schemas.openxmlformats.org/officeDocument/2006/relationships/hyperlink" Target="http://ufcstats.com/fight-details/678db400f85ae15c" TargetMode="External"/><Relationship Id="rId572" Type="http://schemas.openxmlformats.org/officeDocument/2006/relationships/hyperlink" Target="http://ufcstats.com/fight-details/87f58feac6b50367" TargetMode="External"/><Relationship Id="rId628" Type="http://schemas.openxmlformats.org/officeDocument/2006/relationships/hyperlink" Target="http://ufcstats.com/fight-details/52abce3a11b43b1d" TargetMode="External"/><Relationship Id="rId225" Type="http://schemas.openxmlformats.org/officeDocument/2006/relationships/hyperlink" Target="http://ufcstats.com/fight-details/04a1c5b7993fe4d5" TargetMode="External"/><Relationship Id="rId267" Type="http://schemas.openxmlformats.org/officeDocument/2006/relationships/hyperlink" Target="http://ufcstats.com/fight-details/6387fdb44c61ccdb" TargetMode="External"/><Relationship Id="rId432" Type="http://schemas.openxmlformats.org/officeDocument/2006/relationships/hyperlink" Target="http://ufcstats.com/fight-details/a2ebb5f86eb64f22" TargetMode="External"/><Relationship Id="rId474" Type="http://schemas.openxmlformats.org/officeDocument/2006/relationships/hyperlink" Target="http://ufcstats.com/fight-details/77c78d0a71b10692" TargetMode="External"/><Relationship Id="rId127" Type="http://schemas.openxmlformats.org/officeDocument/2006/relationships/hyperlink" Target="http://ufcstats.com/fight-details/f6afaf2a39fa441c" TargetMode="External"/><Relationship Id="rId31" Type="http://schemas.openxmlformats.org/officeDocument/2006/relationships/hyperlink" Target="http://ufcstats.com/fight-details/3b7eb8e56052a2af" TargetMode="External"/><Relationship Id="rId73" Type="http://schemas.openxmlformats.org/officeDocument/2006/relationships/hyperlink" Target="http://ufcstats.com/fight-details/d4e98b827e3d6918" TargetMode="External"/><Relationship Id="rId169" Type="http://schemas.openxmlformats.org/officeDocument/2006/relationships/hyperlink" Target="http://ufcstats.com/fight-details/a3f89ad71e1caa81" TargetMode="External"/><Relationship Id="rId334" Type="http://schemas.openxmlformats.org/officeDocument/2006/relationships/hyperlink" Target="http://ufcstats.com/fight-details/5344e76e26503716" TargetMode="External"/><Relationship Id="rId376" Type="http://schemas.openxmlformats.org/officeDocument/2006/relationships/hyperlink" Target="http://ufcstats.com/fight-details/bd97a96ac8203457" TargetMode="External"/><Relationship Id="rId541" Type="http://schemas.openxmlformats.org/officeDocument/2006/relationships/hyperlink" Target="http://ufcstats.com/fight-details/e82d734674ce4d46" TargetMode="External"/><Relationship Id="rId583" Type="http://schemas.openxmlformats.org/officeDocument/2006/relationships/hyperlink" Target="http://ufcstats.com/fight-details/32a8f38bd1d46e3e" TargetMode="External"/><Relationship Id="rId639" Type="http://schemas.openxmlformats.org/officeDocument/2006/relationships/hyperlink" Target="http://ufcstats.com/fight-details/0f85a1d9ce42d13e" TargetMode="External"/><Relationship Id="rId4" Type="http://schemas.openxmlformats.org/officeDocument/2006/relationships/hyperlink" Target="http://ufcstats.com/fight-details/83a0fff04494bfc4" TargetMode="External"/><Relationship Id="rId180" Type="http://schemas.openxmlformats.org/officeDocument/2006/relationships/hyperlink" Target="http://ufcstats.com/fight-details/84d4b658851b7e0e" TargetMode="External"/><Relationship Id="rId236" Type="http://schemas.openxmlformats.org/officeDocument/2006/relationships/hyperlink" Target="http://ufcstats.com/fight-details/605c2ad801f594b3" TargetMode="External"/><Relationship Id="rId278" Type="http://schemas.openxmlformats.org/officeDocument/2006/relationships/hyperlink" Target="http://ufcstats.com/fight-details/d0a8304574e65ec9" TargetMode="External"/><Relationship Id="rId401" Type="http://schemas.openxmlformats.org/officeDocument/2006/relationships/hyperlink" Target="http://ufcstats.com/fight-details/6ff21ea2c75c48ed" TargetMode="External"/><Relationship Id="rId443" Type="http://schemas.openxmlformats.org/officeDocument/2006/relationships/hyperlink" Target="http://ufcstats.com/fight-details/fdc97f9b88bdef7d" TargetMode="External"/><Relationship Id="rId650" Type="http://schemas.openxmlformats.org/officeDocument/2006/relationships/hyperlink" Target="http://ufcstats.com/fight-details/fef29aa73bd5b907" TargetMode="External"/><Relationship Id="rId303" Type="http://schemas.openxmlformats.org/officeDocument/2006/relationships/hyperlink" Target="http://ufcstats.com/fight-details/d4a309663a4da799" TargetMode="External"/><Relationship Id="rId485" Type="http://schemas.openxmlformats.org/officeDocument/2006/relationships/hyperlink" Target="http://ufcstats.com/fight-details/295a0bf12a7373c0" TargetMode="External"/><Relationship Id="rId42" Type="http://schemas.openxmlformats.org/officeDocument/2006/relationships/hyperlink" Target="http://ufcstats.com/fight-details/ba33d0868b25483b" TargetMode="External"/><Relationship Id="rId84" Type="http://schemas.openxmlformats.org/officeDocument/2006/relationships/hyperlink" Target="http://ufcstats.com/fight-details/47f8812a335b6ce9" TargetMode="External"/><Relationship Id="rId138" Type="http://schemas.openxmlformats.org/officeDocument/2006/relationships/hyperlink" Target="http://ufcstats.com/fight-details/7d2051c6bae907cb" TargetMode="External"/><Relationship Id="rId345" Type="http://schemas.openxmlformats.org/officeDocument/2006/relationships/hyperlink" Target="http://ufcstats.com/fight-details/b3bf1b6ad2d1a533" TargetMode="External"/><Relationship Id="rId387" Type="http://schemas.openxmlformats.org/officeDocument/2006/relationships/hyperlink" Target="http://ufcstats.com/fight-details/6d7eecf4acecda2a" TargetMode="External"/><Relationship Id="rId510" Type="http://schemas.openxmlformats.org/officeDocument/2006/relationships/hyperlink" Target="http://ufcstats.com/fight-details/23e5acd1549b538a" TargetMode="External"/><Relationship Id="rId552" Type="http://schemas.openxmlformats.org/officeDocument/2006/relationships/hyperlink" Target="http://ufcstats.com/fight-details/480c4dbd2e792d86" TargetMode="External"/><Relationship Id="rId594" Type="http://schemas.openxmlformats.org/officeDocument/2006/relationships/hyperlink" Target="http://ufcstats.com/fight-details/420a5e3b4010ebef" TargetMode="External"/><Relationship Id="rId608" Type="http://schemas.openxmlformats.org/officeDocument/2006/relationships/hyperlink" Target="http://ufcstats.com/fight-details/0987b3f785e26d1c" TargetMode="External"/><Relationship Id="rId191" Type="http://schemas.openxmlformats.org/officeDocument/2006/relationships/hyperlink" Target="http://ufcstats.com/fight-details/017c090e9e8d2957" TargetMode="External"/><Relationship Id="rId205" Type="http://schemas.openxmlformats.org/officeDocument/2006/relationships/hyperlink" Target="http://ufcstats.com/fight-details/1fa8537d3992a09a" TargetMode="External"/><Relationship Id="rId247" Type="http://schemas.openxmlformats.org/officeDocument/2006/relationships/hyperlink" Target="http://ufcstats.com/fight-details/8156479490877d08" TargetMode="External"/><Relationship Id="rId412" Type="http://schemas.openxmlformats.org/officeDocument/2006/relationships/hyperlink" Target="http://ufcstats.com/fight-details/46860358da8b8d82" TargetMode="External"/><Relationship Id="rId107" Type="http://schemas.openxmlformats.org/officeDocument/2006/relationships/hyperlink" Target="http://ufcstats.com/fight-details/682ff095649c9a5c" TargetMode="External"/><Relationship Id="rId289" Type="http://schemas.openxmlformats.org/officeDocument/2006/relationships/hyperlink" Target="http://ufcstats.com/fight-details/5ae114b3fdef6d2f" TargetMode="External"/><Relationship Id="rId454" Type="http://schemas.openxmlformats.org/officeDocument/2006/relationships/hyperlink" Target="http://ufcstats.com/fight-details/5782666ca117fa5b" TargetMode="External"/><Relationship Id="rId496" Type="http://schemas.openxmlformats.org/officeDocument/2006/relationships/hyperlink" Target="http://ufcstats.com/fight-details/a637cd1012af870f" TargetMode="External"/><Relationship Id="rId661" Type="http://schemas.openxmlformats.org/officeDocument/2006/relationships/hyperlink" Target="http://ufcstats.com/fight-details/43a941e005a2d463" TargetMode="External"/><Relationship Id="rId11" Type="http://schemas.openxmlformats.org/officeDocument/2006/relationships/hyperlink" Target="http://ufcstats.com/fight-details/3162ae3ccbf785ac" TargetMode="External"/><Relationship Id="rId53" Type="http://schemas.openxmlformats.org/officeDocument/2006/relationships/hyperlink" Target="http://ufcstats.com/fight-details/97b7638c592a95a9" TargetMode="External"/><Relationship Id="rId149" Type="http://schemas.openxmlformats.org/officeDocument/2006/relationships/hyperlink" Target="http://ufcstats.com/fight-details/031e6624f96aceb8" TargetMode="External"/><Relationship Id="rId314" Type="http://schemas.openxmlformats.org/officeDocument/2006/relationships/hyperlink" Target="http://ufcstats.com/fight-details/d4ad90ac58429b64" TargetMode="External"/><Relationship Id="rId356" Type="http://schemas.openxmlformats.org/officeDocument/2006/relationships/hyperlink" Target="http://ufcstats.com/fight-details/16628e25a043043a" TargetMode="External"/><Relationship Id="rId398" Type="http://schemas.openxmlformats.org/officeDocument/2006/relationships/hyperlink" Target="http://ufcstats.com/fight-details/e240d6f77747ec46" TargetMode="External"/><Relationship Id="rId521" Type="http://schemas.openxmlformats.org/officeDocument/2006/relationships/hyperlink" Target="http://ufcstats.com/fight-details/4bf6b6904ec94421" TargetMode="External"/><Relationship Id="rId563" Type="http://schemas.openxmlformats.org/officeDocument/2006/relationships/hyperlink" Target="http://ufcstats.com/fight-details/226c6a86f4f81122" TargetMode="External"/><Relationship Id="rId619" Type="http://schemas.openxmlformats.org/officeDocument/2006/relationships/hyperlink" Target="http://ufcstats.com/fight-details/1535fb6549fa8bab" TargetMode="External"/><Relationship Id="rId95" Type="http://schemas.openxmlformats.org/officeDocument/2006/relationships/hyperlink" Target="http://ufcstats.com/fight-details/531ce3d8011fa1f6" TargetMode="External"/><Relationship Id="rId160" Type="http://schemas.openxmlformats.org/officeDocument/2006/relationships/hyperlink" Target="http://ufcstats.com/fight-details/7c76c752c7abf2e0" TargetMode="External"/><Relationship Id="rId216" Type="http://schemas.openxmlformats.org/officeDocument/2006/relationships/hyperlink" Target="http://ufcstats.com/fight-details/4f16ef3e707447a0" TargetMode="External"/><Relationship Id="rId423" Type="http://schemas.openxmlformats.org/officeDocument/2006/relationships/hyperlink" Target="http://ufcstats.com/fight-details/cfb189e326553f0a" TargetMode="External"/><Relationship Id="rId258" Type="http://schemas.openxmlformats.org/officeDocument/2006/relationships/hyperlink" Target="http://ufcstats.com/fight-details/144b0c1dd6c909f3" TargetMode="External"/><Relationship Id="rId465" Type="http://schemas.openxmlformats.org/officeDocument/2006/relationships/hyperlink" Target="http://ufcstats.com/fight-details/dc7ba55ca764cfbe" TargetMode="External"/><Relationship Id="rId630" Type="http://schemas.openxmlformats.org/officeDocument/2006/relationships/hyperlink" Target="http://ufcstats.com/fight-details/784a57385d0e87ff" TargetMode="External"/><Relationship Id="rId22" Type="http://schemas.openxmlformats.org/officeDocument/2006/relationships/hyperlink" Target="http://ufcstats.com/fight-details/b6ea8880cc7af439" TargetMode="External"/><Relationship Id="rId64" Type="http://schemas.openxmlformats.org/officeDocument/2006/relationships/hyperlink" Target="http://ufcstats.com/fight-details/f7c9f7a6edca5299" TargetMode="External"/><Relationship Id="rId118" Type="http://schemas.openxmlformats.org/officeDocument/2006/relationships/hyperlink" Target="http://ufcstats.com/fight-details/7bced112f3229b1b" TargetMode="External"/><Relationship Id="rId325" Type="http://schemas.openxmlformats.org/officeDocument/2006/relationships/hyperlink" Target="http://ufcstats.com/fight-details/9e21a8dea9663e26" TargetMode="External"/><Relationship Id="rId367" Type="http://schemas.openxmlformats.org/officeDocument/2006/relationships/hyperlink" Target="http://ufcstats.com/fight-details/62f564662f33692d" TargetMode="External"/><Relationship Id="rId532" Type="http://schemas.openxmlformats.org/officeDocument/2006/relationships/hyperlink" Target="http://ufcstats.com/fight-details/12740c6b17779fe9" TargetMode="External"/><Relationship Id="rId574" Type="http://schemas.openxmlformats.org/officeDocument/2006/relationships/hyperlink" Target="http://ufcstats.com/fight-details/d3f26e0fbf694375" TargetMode="External"/><Relationship Id="rId171" Type="http://schemas.openxmlformats.org/officeDocument/2006/relationships/hyperlink" Target="http://ufcstats.com/fight-details/a7807ab56cb49cad" TargetMode="External"/><Relationship Id="rId227" Type="http://schemas.openxmlformats.org/officeDocument/2006/relationships/hyperlink" Target="http://ufcstats.com/fight-details/3b1453df439a5024" TargetMode="External"/><Relationship Id="rId269" Type="http://schemas.openxmlformats.org/officeDocument/2006/relationships/hyperlink" Target="http://ufcstats.com/fight-details/65d777a16fce2be8" TargetMode="External"/><Relationship Id="rId434" Type="http://schemas.openxmlformats.org/officeDocument/2006/relationships/hyperlink" Target="http://ufcstats.com/fight-details/dbbd17b6995f014b" TargetMode="External"/><Relationship Id="rId476" Type="http://schemas.openxmlformats.org/officeDocument/2006/relationships/hyperlink" Target="http://ufcstats.com/fight-details/3d9398386c84109b" TargetMode="External"/><Relationship Id="rId641" Type="http://schemas.openxmlformats.org/officeDocument/2006/relationships/hyperlink" Target="http://ufcstats.com/fight-details/845907142e023077" TargetMode="External"/><Relationship Id="rId33" Type="http://schemas.openxmlformats.org/officeDocument/2006/relationships/hyperlink" Target="http://ufcstats.com/fight-details/a33ecd2c88154890" TargetMode="External"/><Relationship Id="rId129" Type="http://schemas.openxmlformats.org/officeDocument/2006/relationships/hyperlink" Target="http://ufcstats.com/fight-details/3a8c0158d910546d" TargetMode="External"/><Relationship Id="rId280" Type="http://schemas.openxmlformats.org/officeDocument/2006/relationships/hyperlink" Target="http://ufcstats.com/fight-details/d0dc419dc7acb7e2" TargetMode="External"/><Relationship Id="rId336" Type="http://schemas.openxmlformats.org/officeDocument/2006/relationships/hyperlink" Target="http://ufcstats.com/fight-details/966bf043577f8b6a" TargetMode="External"/><Relationship Id="rId501" Type="http://schemas.openxmlformats.org/officeDocument/2006/relationships/hyperlink" Target="http://ufcstats.com/fight-details/711fcf95370fa90b" TargetMode="External"/><Relationship Id="rId543" Type="http://schemas.openxmlformats.org/officeDocument/2006/relationships/hyperlink" Target="http://ufcstats.com/fight-details/b76c0b0ed2926737" TargetMode="External"/><Relationship Id="rId75" Type="http://schemas.openxmlformats.org/officeDocument/2006/relationships/hyperlink" Target="http://ufcstats.com/fight-details/23a75c0338d25abc" TargetMode="External"/><Relationship Id="rId140" Type="http://schemas.openxmlformats.org/officeDocument/2006/relationships/hyperlink" Target="http://ufcstats.com/fight-details/82d48296fd06c27f" TargetMode="External"/><Relationship Id="rId182" Type="http://schemas.openxmlformats.org/officeDocument/2006/relationships/hyperlink" Target="http://ufcstats.com/fight-details/25e1d17d072227c6" TargetMode="External"/><Relationship Id="rId378" Type="http://schemas.openxmlformats.org/officeDocument/2006/relationships/hyperlink" Target="http://ufcstats.com/fight-details/40707ddc9fdea500" TargetMode="External"/><Relationship Id="rId403" Type="http://schemas.openxmlformats.org/officeDocument/2006/relationships/hyperlink" Target="http://ufcstats.com/fight-details/58b2fdad7af9be02" TargetMode="External"/><Relationship Id="rId585" Type="http://schemas.openxmlformats.org/officeDocument/2006/relationships/hyperlink" Target="http://ufcstats.com/fight-details/fd2c018aade60a14" TargetMode="External"/><Relationship Id="rId6" Type="http://schemas.openxmlformats.org/officeDocument/2006/relationships/hyperlink" Target="http://ufcstats.com/fight-details/938c2c71b84e56ff" TargetMode="External"/><Relationship Id="rId238" Type="http://schemas.openxmlformats.org/officeDocument/2006/relationships/hyperlink" Target="http://ufcstats.com/fight-details/a0909aab15ba53c5" TargetMode="External"/><Relationship Id="rId445" Type="http://schemas.openxmlformats.org/officeDocument/2006/relationships/hyperlink" Target="http://ufcstats.com/fight-details/0845e0f9e8d61b0f" TargetMode="External"/><Relationship Id="rId487" Type="http://schemas.openxmlformats.org/officeDocument/2006/relationships/hyperlink" Target="http://ufcstats.com/fight-details/fedb6a1b15b05694" TargetMode="External"/><Relationship Id="rId610" Type="http://schemas.openxmlformats.org/officeDocument/2006/relationships/hyperlink" Target="http://ufcstats.com/fight-details/e0b323dae5bf4c90" TargetMode="External"/><Relationship Id="rId652" Type="http://schemas.openxmlformats.org/officeDocument/2006/relationships/hyperlink" Target="http://ufcstats.com/fight-details/59eea37af7efb06c" TargetMode="External"/><Relationship Id="rId291" Type="http://schemas.openxmlformats.org/officeDocument/2006/relationships/hyperlink" Target="http://ufcstats.com/fight-details/374508c76108d7fe" TargetMode="External"/><Relationship Id="rId305" Type="http://schemas.openxmlformats.org/officeDocument/2006/relationships/hyperlink" Target="http://ufcstats.com/fight-details/48f23cc8cc5ad9a9" TargetMode="External"/><Relationship Id="rId347" Type="http://schemas.openxmlformats.org/officeDocument/2006/relationships/hyperlink" Target="http://ufcstats.com/fight-details/7afe2a15ae7359e9" TargetMode="External"/><Relationship Id="rId512" Type="http://schemas.openxmlformats.org/officeDocument/2006/relationships/hyperlink" Target="http://ufcstats.com/fight-details/6a0217099efee13f" TargetMode="External"/><Relationship Id="rId44" Type="http://schemas.openxmlformats.org/officeDocument/2006/relationships/hyperlink" Target="http://ufcstats.com/fight-details/fe9ee00fa47dd7b3" TargetMode="External"/><Relationship Id="rId86" Type="http://schemas.openxmlformats.org/officeDocument/2006/relationships/hyperlink" Target="http://ufcstats.com/fight-details/8baff440b82afd2b" TargetMode="External"/><Relationship Id="rId151" Type="http://schemas.openxmlformats.org/officeDocument/2006/relationships/hyperlink" Target="http://ufcstats.com/fight-details/6915d46b49999f60" TargetMode="External"/><Relationship Id="rId389" Type="http://schemas.openxmlformats.org/officeDocument/2006/relationships/hyperlink" Target="http://ufcstats.com/fight-details/03eecf1926d9c77c" TargetMode="External"/><Relationship Id="rId554" Type="http://schemas.openxmlformats.org/officeDocument/2006/relationships/hyperlink" Target="http://ufcstats.com/fight-details/1f922cfe6178e830" TargetMode="External"/><Relationship Id="rId596" Type="http://schemas.openxmlformats.org/officeDocument/2006/relationships/hyperlink" Target="http://ufcstats.com/fight-details/d9a797f632686568" TargetMode="External"/><Relationship Id="rId193" Type="http://schemas.openxmlformats.org/officeDocument/2006/relationships/hyperlink" Target="http://ufcstats.com/fight-details/721d870849de4a57" TargetMode="External"/><Relationship Id="rId207" Type="http://schemas.openxmlformats.org/officeDocument/2006/relationships/hyperlink" Target="http://ufcstats.com/fight-details/44c60f91b4f7b23d" TargetMode="External"/><Relationship Id="rId249" Type="http://schemas.openxmlformats.org/officeDocument/2006/relationships/hyperlink" Target="http://ufcstats.com/fight-details/8b983e834df0c6c4" TargetMode="External"/><Relationship Id="rId414" Type="http://schemas.openxmlformats.org/officeDocument/2006/relationships/hyperlink" Target="http://ufcstats.com/fight-details/3f8b4aeb3baf4724" TargetMode="External"/><Relationship Id="rId456" Type="http://schemas.openxmlformats.org/officeDocument/2006/relationships/hyperlink" Target="http://ufcstats.com/fight-details/a4e210bcdcc1bf5b" TargetMode="External"/><Relationship Id="rId498" Type="http://schemas.openxmlformats.org/officeDocument/2006/relationships/hyperlink" Target="http://ufcstats.com/fight-details/81a18de517a3336a" TargetMode="External"/><Relationship Id="rId621" Type="http://schemas.openxmlformats.org/officeDocument/2006/relationships/hyperlink" Target="http://ufcstats.com/fight-details/c69c5830064fd591" TargetMode="External"/><Relationship Id="rId13" Type="http://schemas.openxmlformats.org/officeDocument/2006/relationships/hyperlink" Target="http://ufcstats.com/fight-details/9fc03704a10977b3" TargetMode="External"/><Relationship Id="rId109" Type="http://schemas.openxmlformats.org/officeDocument/2006/relationships/hyperlink" Target="http://ufcstats.com/fight-details/76b6058cddda9238" TargetMode="External"/><Relationship Id="rId260" Type="http://schemas.openxmlformats.org/officeDocument/2006/relationships/hyperlink" Target="http://ufcstats.com/fight-details/c5c1deb1607f69b4" TargetMode="External"/><Relationship Id="rId316" Type="http://schemas.openxmlformats.org/officeDocument/2006/relationships/hyperlink" Target="http://ufcstats.com/fight-details/8b4eeaa048361ba3" TargetMode="External"/><Relationship Id="rId523" Type="http://schemas.openxmlformats.org/officeDocument/2006/relationships/hyperlink" Target="http://ufcstats.com/fight-details/c26a3f4c08333886" TargetMode="External"/><Relationship Id="rId55" Type="http://schemas.openxmlformats.org/officeDocument/2006/relationships/hyperlink" Target="http://ufcstats.com/fight-details/0d33d43bee65d98f" TargetMode="External"/><Relationship Id="rId97" Type="http://schemas.openxmlformats.org/officeDocument/2006/relationships/hyperlink" Target="http://ufcstats.com/fight-details/a8a4c9f98ff73839" TargetMode="External"/><Relationship Id="rId120" Type="http://schemas.openxmlformats.org/officeDocument/2006/relationships/hyperlink" Target="http://ufcstats.com/fight-details/0cf7a4593fd44e59" TargetMode="External"/><Relationship Id="rId358" Type="http://schemas.openxmlformats.org/officeDocument/2006/relationships/hyperlink" Target="http://ufcstats.com/fight-details/2310fbcb6fdf3b47" TargetMode="External"/><Relationship Id="rId565" Type="http://schemas.openxmlformats.org/officeDocument/2006/relationships/hyperlink" Target="http://ufcstats.com/fight-details/7013a95ea4014606" TargetMode="External"/><Relationship Id="rId162" Type="http://schemas.openxmlformats.org/officeDocument/2006/relationships/hyperlink" Target="http://ufcstats.com/fight-details/918103d82ecbed75" TargetMode="External"/><Relationship Id="rId218" Type="http://schemas.openxmlformats.org/officeDocument/2006/relationships/hyperlink" Target="http://ufcstats.com/fight-details/a25633b1494f1360" TargetMode="External"/><Relationship Id="rId425" Type="http://schemas.openxmlformats.org/officeDocument/2006/relationships/hyperlink" Target="http://ufcstats.com/fight-details/4c025d1fff9e9fce" TargetMode="External"/><Relationship Id="rId467" Type="http://schemas.openxmlformats.org/officeDocument/2006/relationships/hyperlink" Target="http://ufcstats.com/fight-details/ecc56a86a1eead9d" TargetMode="External"/><Relationship Id="rId632" Type="http://schemas.openxmlformats.org/officeDocument/2006/relationships/hyperlink" Target="http://ufcstats.com/fight-details/3caa22209cb559b7" TargetMode="External"/><Relationship Id="rId271" Type="http://schemas.openxmlformats.org/officeDocument/2006/relationships/hyperlink" Target="http://ufcstats.com/fight-details/8b52a32f3644f493" TargetMode="External"/><Relationship Id="rId24" Type="http://schemas.openxmlformats.org/officeDocument/2006/relationships/hyperlink" Target="http://ufcstats.com/fight-details/d6d034e98ce85246" TargetMode="External"/><Relationship Id="rId66" Type="http://schemas.openxmlformats.org/officeDocument/2006/relationships/hyperlink" Target="http://ufcstats.com/fight-details/0ad5c6752e679de5" TargetMode="External"/><Relationship Id="rId131" Type="http://schemas.openxmlformats.org/officeDocument/2006/relationships/hyperlink" Target="http://ufcstats.com/fight-details/999a0fad4c82148d" TargetMode="External"/><Relationship Id="rId327" Type="http://schemas.openxmlformats.org/officeDocument/2006/relationships/hyperlink" Target="http://ufcstats.com/fight-details/79fb77a0b0294aec" TargetMode="External"/><Relationship Id="rId369" Type="http://schemas.openxmlformats.org/officeDocument/2006/relationships/hyperlink" Target="http://ufcstats.com/fight-details/07f234a488661125" TargetMode="External"/><Relationship Id="rId534" Type="http://schemas.openxmlformats.org/officeDocument/2006/relationships/hyperlink" Target="http://ufcstats.com/fight-details/2c21abbc28e3876a" TargetMode="External"/><Relationship Id="rId576" Type="http://schemas.openxmlformats.org/officeDocument/2006/relationships/hyperlink" Target="http://ufcstats.com/fight-details/de332779baa1b103" TargetMode="External"/><Relationship Id="rId173" Type="http://schemas.openxmlformats.org/officeDocument/2006/relationships/hyperlink" Target="http://ufcstats.com/fight-details/0697d5520b74a8df" TargetMode="External"/><Relationship Id="rId229" Type="http://schemas.openxmlformats.org/officeDocument/2006/relationships/hyperlink" Target="http://ufcstats.com/fight-details/9a1a57b0abcd4599" TargetMode="External"/><Relationship Id="rId380" Type="http://schemas.openxmlformats.org/officeDocument/2006/relationships/hyperlink" Target="http://ufcstats.com/fight-details/976d2cc3d08ca814" TargetMode="External"/><Relationship Id="rId436" Type="http://schemas.openxmlformats.org/officeDocument/2006/relationships/hyperlink" Target="http://ufcstats.com/fight-details/59363451049c929d" TargetMode="External"/><Relationship Id="rId601" Type="http://schemas.openxmlformats.org/officeDocument/2006/relationships/hyperlink" Target="http://ufcstats.com/fight-details/8cdcdfb76d1670dd" TargetMode="External"/><Relationship Id="rId643" Type="http://schemas.openxmlformats.org/officeDocument/2006/relationships/hyperlink" Target="http://ufcstats.com/fight-details/87126427cfcaee52" TargetMode="External"/><Relationship Id="rId240" Type="http://schemas.openxmlformats.org/officeDocument/2006/relationships/hyperlink" Target="http://ufcstats.com/fight-details/9a79a4b97a0f1e24" TargetMode="External"/><Relationship Id="rId478" Type="http://schemas.openxmlformats.org/officeDocument/2006/relationships/hyperlink" Target="http://ufcstats.com/fight-details/9b1386a28b81bcd5" TargetMode="External"/><Relationship Id="rId35" Type="http://schemas.openxmlformats.org/officeDocument/2006/relationships/hyperlink" Target="http://ufcstats.com/fight-details/bbade63ca780668f" TargetMode="External"/><Relationship Id="rId77" Type="http://schemas.openxmlformats.org/officeDocument/2006/relationships/hyperlink" Target="http://ufcstats.com/fight-details/80cb3cf9134b677c" TargetMode="External"/><Relationship Id="rId100" Type="http://schemas.openxmlformats.org/officeDocument/2006/relationships/hyperlink" Target="http://ufcstats.com/fight-details/5b71958ee063a6e8" TargetMode="External"/><Relationship Id="rId282" Type="http://schemas.openxmlformats.org/officeDocument/2006/relationships/hyperlink" Target="http://ufcstats.com/fight-details/4fa02674b920ff0a" TargetMode="External"/><Relationship Id="rId338" Type="http://schemas.openxmlformats.org/officeDocument/2006/relationships/hyperlink" Target="http://ufcstats.com/fight-details/63dd38f0dcc2ee88" TargetMode="External"/><Relationship Id="rId503" Type="http://schemas.openxmlformats.org/officeDocument/2006/relationships/hyperlink" Target="http://ufcstats.com/fight-details/920b6f739a36e721" TargetMode="External"/><Relationship Id="rId545" Type="http://schemas.openxmlformats.org/officeDocument/2006/relationships/hyperlink" Target="http://ufcstats.com/fight-details/bd7a8c6c74655afc" TargetMode="External"/><Relationship Id="rId587" Type="http://schemas.openxmlformats.org/officeDocument/2006/relationships/hyperlink" Target="http://ufcstats.com/fight-details/824fb74f5fc34218" TargetMode="External"/><Relationship Id="rId8" Type="http://schemas.openxmlformats.org/officeDocument/2006/relationships/hyperlink" Target="http://ufcstats.com/fight-details/e5e75d831670b401" TargetMode="External"/><Relationship Id="rId142" Type="http://schemas.openxmlformats.org/officeDocument/2006/relationships/hyperlink" Target="http://ufcstats.com/fight-details/c3b8d8e7d256c307" TargetMode="External"/><Relationship Id="rId184" Type="http://schemas.openxmlformats.org/officeDocument/2006/relationships/hyperlink" Target="http://ufcstats.com/fight-details/7ed98f8d1ffae082" TargetMode="External"/><Relationship Id="rId391" Type="http://schemas.openxmlformats.org/officeDocument/2006/relationships/hyperlink" Target="http://ufcstats.com/fight-details/e86a77b69d50a834" TargetMode="External"/><Relationship Id="rId405" Type="http://schemas.openxmlformats.org/officeDocument/2006/relationships/hyperlink" Target="http://ufcstats.com/fight-details/79884c0df84662b9" TargetMode="External"/><Relationship Id="rId447" Type="http://schemas.openxmlformats.org/officeDocument/2006/relationships/hyperlink" Target="http://ufcstats.com/fight-details/12683e06369d1a83" TargetMode="External"/><Relationship Id="rId612" Type="http://schemas.openxmlformats.org/officeDocument/2006/relationships/hyperlink" Target="http://ufcstats.com/fight-details/94cecf4bd29793e1" TargetMode="External"/><Relationship Id="rId251" Type="http://schemas.openxmlformats.org/officeDocument/2006/relationships/hyperlink" Target="http://ufcstats.com/fight-details/c5d48ca7c22f857e" TargetMode="External"/><Relationship Id="rId489" Type="http://schemas.openxmlformats.org/officeDocument/2006/relationships/hyperlink" Target="http://ufcstats.com/fight-details/13635ba71963ad0c" TargetMode="External"/><Relationship Id="rId654" Type="http://schemas.openxmlformats.org/officeDocument/2006/relationships/hyperlink" Target="http://ufcstats.com/fight-details/b22eab3aa1522f40" TargetMode="External"/><Relationship Id="rId46" Type="http://schemas.openxmlformats.org/officeDocument/2006/relationships/hyperlink" Target="http://ufcstats.com/fight-details/823797bc6d532b52" TargetMode="External"/><Relationship Id="rId293" Type="http://schemas.openxmlformats.org/officeDocument/2006/relationships/hyperlink" Target="http://ufcstats.com/fight-details/961246a6d621ef40" TargetMode="External"/><Relationship Id="rId307" Type="http://schemas.openxmlformats.org/officeDocument/2006/relationships/hyperlink" Target="http://ufcstats.com/fight-details/1f5f59924b59408b" TargetMode="External"/><Relationship Id="rId349" Type="http://schemas.openxmlformats.org/officeDocument/2006/relationships/hyperlink" Target="http://ufcstats.com/fight-details/9d7a798f0c20c04a" TargetMode="External"/><Relationship Id="rId514" Type="http://schemas.openxmlformats.org/officeDocument/2006/relationships/hyperlink" Target="http://ufcstats.com/fight-details/8badcb2134c1cdaf" TargetMode="External"/><Relationship Id="rId556" Type="http://schemas.openxmlformats.org/officeDocument/2006/relationships/hyperlink" Target="http://ufcstats.com/fight-details/4caa0dcdaa253612" TargetMode="External"/><Relationship Id="rId88" Type="http://schemas.openxmlformats.org/officeDocument/2006/relationships/hyperlink" Target="http://ufcstats.com/fight-details/5304956aada097e8" TargetMode="External"/><Relationship Id="rId111" Type="http://schemas.openxmlformats.org/officeDocument/2006/relationships/hyperlink" Target="http://ufcstats.com/fight-details/efc64d8aae5628c9" TargetMode="External"/><Relationship Id="rId153" Type="http://schemas.openxmlformats.org/officeDocument/2006/relationships/hyperlink" Target="http://ufcstats.com/fight-details/9f4d6d192ab4a027" TargetMode="External"/><Relationship Id="rId195" Type="http://schemas.openxmlformats.org/officeDocument/2006/relationships/hyperlink" Target="http://ufcstats.com/fight-details/31b283a5559ad44d" TargetMode="External"/><Relationship Id="rId209" Type="http://schemas.openxmlformats.org/officeDocument/2006/relationships/hyperlink" Target="http://ufcstats.com/fight-details/14cf0828d6e373ab" TargetMode="External"/><Relationship Id="rId360" Type="http://schemas.openxmlformats.org/officeDocument/2006/relationships/hyperlink" Target="http://ufcstats.com/fight-details/071d488ec8ccf254" TargetMode="External"/><Relationship Id="rId416" Type="http://schemas.openxmlformats.org/officeDocument/2006/relationships/hyperlink" Target="http://ufcstats.com/fight-details/2671de30a1736f51" TargetMode="External"/><Relationship Id="rId598" Type="http://schemas.openxmlformats.org/officeDocument/2006/relationships/hyperlink" Target="http://ufcstats.com/fight-details/ba766bd03090dab9" TargetMode="External"/><Relationship Id="rId220" Type="http://schemas.openxmlformats.org/officeDocument/2006/relationships/hyperlink" Target="http://ufcstats.com/fight-details/6ae96d1de3bb0506" TargetMode="External"/><Relationship Id="rId458" Type="http://schemas.openxmlformats.org/officeDocument/2006/relationships/hyperlink" Target="http://ufcstats.com/fight-details/3d3e7dc7b4bf2bc4" TargetMode="External"/><Relationship Id="rId623" Type="http://schemas.openxmlformats.org/officeDocument/2006/relationships/hyperlink" Target="http://ufcstats.com/fight-details/503a9ac5679c9cf7" TargetMode="External"/><Relationship Id="rId15" Type="http://schemas.openxmlformats.org/officeDocument/2006/relationships/hyperlink" Target="http://ufcstats.com/fight-details/41385f4e63682b5b" TargetMode="External"/><Relationship Id="rId57" Type="http://schemas.openxmlformats.org/officeDocument/2006/relationships/hyperlink" Target="http://ufcstats.com/fight-details/6b5fe10e6e7d160a" TargetMode="External"/><Relationship Id="rId262" Type="http://schemas.openxmlformats.org/officeDocument/2006/relationships/hyperlink" Target="http://ufcstats.com/fight-details/b1dee00c3052e65e" TargetMode="External"/><Relationship Id="rId318" Type="http://schemas.openxmlformats.org/officeDocument/2006/relationships/hyperlink" Target="http://ufcstats.com/fight-details/e2f4cd4a9a579488" TargetMode="External"/><Relationship Id="rId525" Type="http://schemas.openxmlformats.org/officeDocument/2006/relationships/hyperlink" Target="http://ufcstats.com/fight-details/47e8726b301f3f32" TargetMode="External"/><Relationship Id="rId567" Type="http://schemas.openxmlformats.org/officeDocument/2006/relationships/hyperlink" Target="http://ufcstats.com/fight-details/cd137988da724076" TargetMode="External"/><Relationship Id="rId99" Type="http://schemas.openxmlformats.org/officeDocument/2006/relationships/hyperlink" Target="http://ufcstats.com/fight-details/57785c9be5b4526d" TargetMode="External"/><Relationship Id="rId122" Type="http://schemas.openxmlformats.org/officeDocument/2006/relationships/hyperlink" Target="http://ufcstats.com/fight-details/b0d06858fb725654" TargetMode="External"/><Relationship Id="rId164" Type="http://schemas.openxmlformats.org/officeDocument/2006/relationships/hyperlink" Target="http://ufcstats.com/fight-details/60c441c5838dfac2" TargetMode="External"/><Relationship Id="rId371" Type="http://schemas.openxmlformats.org/officeDocument/2006/relationships/hyperlink" Target="http://ufcstats.com/fight-details/e1bd72aba46f46a1" TargetMode="External"/><Relationship Id="rId427" Type="http://schemas.openxmlformats.org/officeDocument/2006/relationships/hyperlink" Target="http://ufcstats.com/fight-details/d571486369996a39" TargetMode="External"/><Relationship Id="rId469" Type="http://schemas.openxmlformats.org/officeDocument/2006/relationships/hyperlink" Target="http://ufcstats.com/fight-details/730f14ccff80f3b0" TargetMode="External"/><Relationship Id="rId634" Type="http://schemas.openxmlformats.org/officeDocument/2006/relationships/hyperlink" Target="http://ufcstats.com/fight-details/7d0ce28ce8a77eb1" TargetMode="External"/><Relationship Id="rId26" Type="http://schemas.openxmlformats.org/officeDocument/2006/relationships/hyperlink" Target="http://ufcstats.com/fight-details/7bd6969c4ed979f9" TargetMode="External"/><Relationship Id="rId231" Type="http://schemas.openxmlformats.org/officeDocument/2006/relationships/hyperlink" Target="http://ufcstats.com/fight-details/676320a61f800f10" TargetMode="External"/><Relationship Id="rId273" Type="http://schemas.openxmlformats.org/officeDocument/2006/relationships/hyperlink" Target="http://ufcstats.com/fight-details/083a0283b7bc503b" TargetMode="External"/><Relationship Id="rId329" Type="http://schemas.openxmlformats.org/officeDocument/2006/relationships/hyperlink" Target="http://ufcstats.com/fight-details/8803935990adafc1" TargetMode="External"/><Relationship Id="rId480" Type="http://schemas.openxmlformats.org/officeDocument/2006/relationships/hyperlink" Target="http://ufcstats.com/fight-details/31c4518a1e71c050" TargetMode="External"/><Relationship Id="rId536" Type="http://schemas.openxmlformats.org/officeDocument/2006/relationships/hyperlink" Target="http://ufcstats.com/fight-details/e02fca0d258283ce" TargetMode="External"/><Relationship Id="rId68" Type="http://schemas.openxmlformats.org/officeDocument/2006/relationships/hyperlink" Target="http://ufcstats.com/fight-details/1362ccc16713d404" TargetMode="External"/><Relationship Id="rId133" Type="http://schemas.openxmlformats.org/officeDocument/2006/relationships/hyperlink" Target="http://ufcstats.com/fight-details/b3c23fb2d71bba51" TargetMode="External"/><Relationship Id="rId175" Type="http://schemas.openxmlformats.org/officeDocument/2006/relationships/hyperlink" Target="http://ufcstats.com/fight-details/951968aa52a84928" TargetMode="External"/><Relationship Id="rId340" Type="http://schemas.openxmlformats.org/officeDocument/2006/relationships/hyperlink" Target="http://ufcstats.com/fight-details/975840814b233bcd" TargetMode="External"/><Relationship Id="rId578" Type="http://schemas.openxmlformats.org/officeDocument/2006/relationships/hyperlink" Target="http://ufcstats.com/fight-details/613a288e8819fead" TargetMode="External"/><Relationship Id="rId200" Type="http://schemas.openxmlformats.org/officeDocument/2006/relationships/hyperlink" Target="http://ufcstats.com/fight-details/e4b13f7f43018ec0" TargetMode="External"/><Relationship Id="rId382" Type="http://schemas.openxmlformats.org/officeDocument/2006/relationships/hyperlink" Target="http://ufcstats.com/fight-details/68095e551ff6bbfd" TargetMode="External"/><Relationship Id="rId438" Type="http://schemas.openxmlformats.org/officeDocument/2006/relationships/hyperlink" Target="http://ufcstats.com/fight-details/891470d896b1de5a" TargetMode="External"/><Relationship Id="rId603" Type="http://schemas.openxmlformats.org/officeDocument/2006/relationships/hyperlink" Target="http://ufcstats.com/fight-details/c2bcdcc472228768" TargetMode="External"/><Relationship Id="rId645" Type="http://schemas.openxmlformats.org/officeDocument/2006/relationships/hyperlink" Target="http://ufcstats.com/fight-details/03aec9073946907f" TargetMode="External"/><Relationship Id="rId242" Type="http://schemas.openxmlformats.org/officeDocument/2006/relationships/hyperlink" Target="http://ufcstats.com/fight-details/cf18911df2052826" TargetMode="External"/><Relationship Id="rId284" Type="http://schemas.openxmlformats.org/officeDocument/2006/relationships/hyperlink" Target="http://ufcstats.com/fight-details/991680cd8d0b7900" TargetMode="External"/><Relationship Id="rId491" Type="http://schemas.openxmlformats.org/officeDocument/2006/relationships/hyperlink" Target="http://ufcstats.com/fight-details/bab65d16fa74fc5b" TargetMode="External"/><Relationship Id="rId505" Type="http://schemas.openxmlformats.org/officeDocument/2006/relationships/hyperlink" Target="http://ufcstats.com/fight-details/92fd2127f46b0cb7" TargetMode="External"/><Relationship Id="rId37" Type="http://schemas.openxmlformats.org/officeDocument/2006/relationships/hyperlink" Target="http://ufcstats.com/fight-details/1109a8f2adc81ce0" TargetMode="External"/><Relationship Id="rId79" Type="http://schemas.openxmlformats.org/officeDocument/2006/relationships/hyperlink" Target="http://ufcstats.com/fight-details/8a121f9c48f3773c" TargetMode="External"/><Relationship Id="rId102" Type="http://schemas.openxmlformats.org/officeDocument/2006/relationships/hyperlink" Target="http://ufcstats.com/fight-details/f18d44292036d5de" TargetMode="External"/><Relationship Id="rId144" Type="http://schemas.openxmlformats.org/officeDocument/2006/relationships/hyperlink" Target="http://ufcstats.com/fight-details/e27c28928ed4390f" TargetMode="External"/><Relationship Id="rId547" Type="http://schemas.openxmlformats.org/officeDocument/2006/relationships/hyperlink" Target="http://ufcstats.com/fight-details/5be63144ac46f97e" TargetMode="External"/><Relationship Id="rId589" Type="http://schemas.openxmlformats.org/officeDocument/2006/relationships/hyperlink" Target="http://ufcstats.com/fight-details/62d53ad8f8769666" TargetMode="External"/><Relationship Id="rId90" Type="http://schemas.openxmlformats.org/officeDocument/2006/relationships/hyperlink" Target="http://ufcstats.com/fight-details/e396c509fb47b037" TargetMode="External"/><Relationship Id="rId186" Type="http://schemas.openxmlformats.org/officeDocument/2006/relationships/hyperlink" Target="http://ufcstats.com/fight-details/2b01da1699f0305f" TargetMode="External"/><Relationship Id="rId351" Type="http://schemas.openxmlformats.org/officeDocument/2006/relationships/hyperlink" Target="http://ufcstats.com/fight-details/ba27835ff05df0c9" TargetMode="External"/><Relationship Id="rId393" Type="http://schemas.openxmlformats.org/officeDocument/2006/relationships/hyperlink" Target="http://ufcstats.com/fight-details/0273dbd5dedbdbe0" TargetMode="External"/><Relationship Id="rId407" Type="http://schemas.openxmlformats.org/officeDocument/2006/relationships/hyperlink" Target="http://ufcstats.com/fight-details/8a044e5400b4318f" TargetMode="External"/><Relationship Id="rId449" Type="http://schemas.openxmlformats.org/officeDocument/2006/relationships/hyperlink" Target="http://ufcstats.com/fight-details/8515f07911765f89" TargetMode="External"/><Relationship Id="rId614" Type="http://schemas.openxmlformats.org/officeDocument/2006/relationships/hyperlink" Target="http://ufcstats.com/fight-details/5afbc04a153d7efd" TargetMode="External"/><Relationship Id="rId656" Type="http://schemas.openxmlformats.org/officeDocument/2006/relationships/hyperlink" Target="http://ufcstats.com/fight-details/3eea92e7f26fb05b" TargetMode="External"/><Relationship Id="rId211" Type="http://schemas.openxmlformats.org/officeDocument/2006/relationships/hyperlink" Target="http://ufcstats.com/fight-details/53bb7c4a606d60c0" TargetMode="External"/><Relationship Id="rId253" Type="http://schemas.openxmlformats.org/officeDocument/2006/relationships/hyperlink" Target="http://ufcstats.com/fight-details/00494c77d2a88f8c" TargetMode="External"/><Relationship Id="rId295" Type="http://schemas.openxmlformats.org/officeDocument/2006/relationships/hyperlink" Target="http://ufcstats.com/fight-details/c97e99ca5422f03b" TargetMode="External"/><Relationship Id="rId309" Type="http://schemas.openxmlformats.org/officeDocument/2006/relationships/hyperlink" Target="http://ufcstats.com/fight-details/73eff675e2aae30c" TargetMode="External"/><Relationship Id="rId460" Type="http://schemas.openxmlformats.org/officeDocument/2006/relationships/hyperlink" Target="http://ufcstats.com/fight-details/49bd9a2f1fbebd1f" TargetMode="External"/><Relationship Id="rId516" Type="http://schemas.openxmlformats.org/officeDocument/2006/relationships/hyperlink" Target="http://ufcstats.com/fight-details/bfae2fb50efbdb0f" TargetMode="External"/><Relationship Id="rId48" Type="http://schemas.openxmlformats.org/officeDocument/2006/relationships/hyperlink" Target="http://ufcstats.com/fight-details/52e4f12eaeffd142" TargetMode="External"/><Relationship Id="rId113" Type="http://schemas.openxmlformats.org/officeDocument/2006/relationships/hyperlink" Target="http://ufcstats.com/fight-details/92c1d9a6d313cb0c" TargetMode="External"/><Relationship Id="rId320" Type="http://schemas.openxmlformats.org/officeDocument/2006/relationships/hyperlink" Target="http://ufcstats.com/fight-details/1aa4c2fa5ffaff00" TargetMode="External"/><Relationship Id="rId558" Type="http://schemas.openxmlformats.org/officeDocument/2006/relationships/hyperlink" Target="http://ufcstats.com/fight-details/23e548f618dd0e5f" TargetMode="External"/><Relationship Id="rId155" Type="http://schemas.openxmlformats.org/officeDocument/2006/relationships/hyperlink" Target="http://ufcstats.com/fight-details/054794810817c1cc" TargetMode="External"/><Relationship Id="rId197" Type="http://schemas.openxmlformats.org/officeDocument/2006/relationships/hyperlink" Target="http://ufcstats.com/fight-details/44ab00737c3fb890" TargetMode="External"/><Relationship Id="rId362" Type="http://schemas.openxmlformats.org/officeDocument/2006/relationships/hyperlink" Target="http://ufcstats.com/fight-details/acc57a9c114b694a" TargetMode="External"/><Relationship Id="rId418" Type="http://schemas.openxmlformats.org/officeDocument/2006/relationships/hyperlink" Target="http://ufcstats.com/fight-details/490724f8b3658f67" TargetMode="External"/><Relationship Id="rId625" Type="http://schemas.openxmlformats.org/officeDocument/2006/relationships/hyperlink" Target="http://ufcstats.com/fight-details/318449b3f9346566" TargetMode="External"/><Relationship Id="rId222" Type="http://schemas.openxmlformats.org/officeDocument/2006/relationships/hyperlink" Target="http://ufcstats.com/fight-details/e8f2902be7b350ad" TargetMode="External"/><Relationship Id="rId264" Type="http://schemas.openxmlformats.org/officeDocument/2006/relationships/hyperlink" Target="http://ufcstats.com/fight-details/5b6451f3f83c719c" TargetMode="External"/><Relationship Id="rId471" Type="http://schemas.openxmlformats.org/officeDocument/2006/relationships/hyperlink" Target="http://ufcstats.com/fight-details/3dd0951b8855137d" TargetMode="External"/><Relationship Id="rId17" Type="http://schemas.openxmlformats.org/officeDocument/2006/relationships/hyperlink" Target="http://ufcstats.com/fight-details/0976778a6e6cf8a8" TargetMode="External"/><Relationship Id="rId59" Type="http://schemas.openxmlformats.org/officeDocument/2006/relationships/hyperlink" Target="http://ufcstats.com/fight-details/87b61c1d72232a84" TargetMode="External"/><Relationship Id="rId124" Type="http://schemas.openxmlformats.org/officeDocument/2006/relationships/hyperlink" Target="http://ufcstats.com/fight-details/a1029686c3f1bead" TargetMode="External"/><Relationship Id="rId527" Type="http://schemas.openxmlformats.org/officeDocument/2006/relationships/hyperlink" Target="http://ufcstats.com/fight-details/72105dd82d964e7a" TargetMode="External"/><Relationship Id="rId569" Type="http://schemas.openxmlformats.org/officeDocument/2006/relationships/hyperlink" Target="http://ufcstats.com/fight-details/418b6f692abe9e35" TargetMode="External"/><Relationship Id="rId70" Type="http://schemas.openxmlformats.org/officeDocument/2006/relationships/hyperlink" Target="http://ufcstats.com/fight-details/d6482fcb69b04904" TargetMode="External"/><Relationship Id="rId166" Type="http://schemas.openxmlformats.org/officeDocument/2006/relationships/hyperlink" Target="http://ufcstats.com/fight-details/eab100e978c730c5" TargetMode="External"/><Relationship Id="rId331" Type="http://schemas.openxmlformats.org/officeDocument/2006/relationships/hyperlink" Target="http://ufcstats.com/fight-details/b9726184624ac076" TargetMode="External"/><Relationship Id="rId373" Type="http://schemas.openxmlformats.org/officeDocument/2006/relationships/hyperlink" Target="http://ufcstats.com/fight-details/d69e3677060af4c7" TargetMode="External"/><Relationship Id="rId429" Type="http://schemas.openxmlformats.org/officeDocument/2006/relationships/hyperlink" Target="http://ufcstats.com/fight-details/d9ca00b3c62a874d" TargetMode="External"/><Relationship Id="rId580" Type="http://schemas.openxmlformats.org/officeDocument/2006/relationships/hyperlink" Target="http://ufcstats.com/fight-details/238832b58a66ae07" TargetMode="External"/><Relationship Id="rId636" Type="http://schemas.openxmlformats.org/officeDocument/2006/relationships/hyperlink" Target="http://ufcstats.com/fight-details/d333a6c34ff16397" TargetMode="External"/><Relationship Id="rId1" Type="http://schemas.openxmlformats.org/officeDocument/2006/relationships/hyperlink" Target="http://ufcstats.com/fight-details/640d52630f4f8a61" TargetMode="External"/><Relationship Id="rId233" Type="http://schemas.openxmlformats.org/officeDocument/2006/relationships/hyperlink" Target="http://ufcstats.com/fight-details/bed03663bc577f02" TargetMode="External"/><Relationship Id="rId440" Type="http://schemas.openxmlformats.org/officeDocument/2006/relationships/hyperlink" Target="http://ufcstats.com/fight-details/a200b5dcbdd2506e" TargetMode="External"/><Relationship Id="rId28" Type="http://schemas.openxmlformats.org/officeDocument/2006/relationships/hyperlink" Target="http://ufcstats.com/fight-details/4e6218b6b892b017" TargetMode="External"/><Relationship Id="rId275" Type="http://schemas.openxmlformats.org/officeDocument/2006/relationships/hyperlink" Target="http://ufcstats.com/fight-details/3f3b8dcd16dd7383" TargetMode="External"/><Relationship Id="rId300" Type="http://schemas.openxmlformats.org/officeDocument/2006/relationships/hyperlink" Target="http://ufcstats.com/fight-details/951ccd0041bd1700" TargetMode="External"/><Relationship Id="rId482" Type="http://schemas.openxmlformats.org/officeDocument/2006/relationships/hyperlink" Target="http://ufcstats.com/fight-details/dfa8fd0b82b37fa1" TargetMode="External"/><Relationship Id="rId538" Type="http://schemas.openxmlformats.org/officeDocument/2006/relationships/hyperlink" Target="http://ufcstats.com/fight-details/cb1f27818d46af0e" TargetMode="External"/><Relationship Id="rId81" Type="http://schemas.openxmlformats.org/officeDocument/2006/relationships/hyperlink" Target="http://ufcstats.com/fight-details/89db7aca37b87711" TargetMode="External"/><Relationship Id="rId135" Type="http://schemas.openxmlformats.org/officeDocument/2006/relationships/hyperlink" Target="http://ufcstats.com/fight-details/76ece0ee2ef5d240" TargetMode="External"/><Relationship Id="rId177" Type="http://schemas.openxmlformats.org/officeDocument/2006/relationships/hyperlink" Target="http://ufcstats.com/fight-details/acf658afda38d8af" TargetMode="External"/><Relationship Id="rId342" Type="http://schemas.openxmlformats.org/officeDocument/2006/relationships/hyperlink" Target="http://ufcstats.com/fight-details/4a116a55ffaa0d64" TargetMode="External"/><Relationship Id="rId384" Type="http://schemas.openxmlformats.org/officeDocument/2006/relationships/hyperlink" Target="http://ufcstats.com/fight-details/f930743af6564795" TargetMode="External"/><Relationship Id="rId591" Type="http://schemas.openxmlformats.org/officeDocument/2006/relationships/hyperlink" Target="http://ufcstats.com/fight-details/c64c2ca5d4d2c7b8" TargetMode="External"/><Relationship Id="rId605" Type="http://schemas.openxmlformats.org/officeDocument/2006/relationships/hyperlink" Target="http://ufcstats.com/fight-details/dad034faf3d62cb9" TargetMode="External"/><Relationship Id="rId202" Type="http://schemas.openxmlformats.org/officeDocument/2006/relationships/hyperlink" Target="http://ufcstats.com/fight-details/f96f719ad667dd96" TargetMode="External"/><Relationship Id="rId244" Type="http://schemas.openxmlformats.org/officeDocument/2006/relationships/hyperlink" Target="http://ufcstats.com/fight-details/7ac4b9823b1e139b" TargetMode="External"/><Relationship Id="rId647" Type="http://schemas.openxmlformats.org/officeDocument/2006/relationships/hyperlink" Target="http://ufcstats.com/fight-details/eab7b76e177e1903" TargetMode="External"/><Relationship Id="rId39" Type="http://schemas.openxmlformats.org/officeDocument/2006/relationships/hyperlink" Target="http://ufcstats.com/fight-details/bed2710e06dabe6a" TargetMode="External"/><Relationship Id="rId286" Type="http://schemas.openxmlformats.org/officeDocument/2006/relationships/hyperlink" Target="http://ufcstats.com/fight-details/4e3611c9a9e20ff0" TargetMode="External"/><Relationship Id="rId451" Type="http://schemas.openxmlformats.org/officeDocument/2006/relationships/hyperlink" Target="http://ufcstats.com/fight-details/23a604f460289271" TargetMode="External"/><Relationship Id="rId493" Type="http://schemas.openxmlformats.org/officeDocument/2006/relationships/hyperlink" Target="http://ufcstats.com/fight-details/537b3cef39d2d573" TargetMode="External"/><Relationship Id="rId507" Type="http://schemas.openxmlformats.org/officeDocument/2006/relationships/hyperlink" Target="http://ufcstats.com/fight-details/6c2199524d762b11" TargetMode="External"/><Relationship Id="rId549" Type="http://schemas.openxmlformats.org/officeDocument/2006/relationships/hyperlink" Target="http://ufcstats.com/fight-details/6017351e164dbca3" TargetMode="External"/><Relationship Id="rId50" Type="http://schemas.openxmlformats.org/officeDocument/2006/relationships/hyperlink" Target="http://ufcstats.com/fight-details/f7ae397fefa57c70" TargetMode="External"/><Relationship Id="rId104" Type="http://schemas.openxmlformats.org/officeDocument/2006/relationships/hyperlink" Target="http://ufcstats.com/fight-details/bdbddbc00d07dc4b" TargetMode="External"/><Relationship Id="rId146" Type="http://schemas.openxmlformats.org/officeDocument/2006/relationships/hyperlink" Target="http://ufcstats.com/fight-details/3eac2d47ac252f4b" TargetMode="External"/><Relationship Id="rId188" Type="http://schemas.openxmlformats.org/officeDocument/2006/relationships/hyperlink" Target="http://ufcstats.com/fight-details/a5acaa5f693529dd" TargetMode="External"/><Relationship Id="rId311" Type="http://schemas.openxmlformats.org/officeDocument/2006/relationships/hyperlink" Target="http://ufcstats.com/fight-details/9220acccebf14a46" TargetMode="External"/><Relationship Id="rId353" Type="http://schemas.openxmlformats.org/officeDocument/2006/relationships/hyperlink" Target="http://ufcstats.com/fight-details/1ed8776f978a0155" TargetMode="External"/><Relationship Id="rId395" Type="http://schemas.openxmlformats.org/officeDocument/2006/relationships/hyperlink" Target="http://ufcstats.com/fight-details/5da7168ac2ff0e1d" TargetMode="External"/><Relationship Id="rId409" Type="http://schemas.openxmlformats.org/officeDocument/2006/relationships/hyperlink" Target="http://ufcstats.com/fight-details/c62a90c19af6a0e2" TargetMode="External"/><Relationship Id="rId560" Type="http://schemas.openxmlformats.org/officeDocument/2006/relationships/hyperlink" Target="http://ufcstats.com/fight-details/1e176413438fabd5" TargetMode="External"/><Relationship Id="rId92" Type="http://schemas.openxmlformats.org/officeDocument/2006/relationships/hyperlink" Target="http://ufcstats.com/fight-details/20bfa549cb2cabe7" TargetMode="External"/><Relationship Id="rId213" Type="http://schemas.openxmlformats.org/officeDocument/2006/relationships/hyperlink" Target="http://ufcstats.com/fight-details/047d6739aa1d5c1e" TargetMode="External"/><Relationship Id="rId420" Type="http://schemas.openxmlformats.org/officeDocument/2006/relationships/hyperlink" Target="http://ufcstats.com/fight-details/b7ab4cd6ce7a71dd" TargetMode="External"/><Relationship Id="rId616" Type="http://schemas.openxmlformats.org/officeDocument/2006/relationships/hyperlink" Target="http://ufcstats.com/fight-details/c06d7bb29bc24d00" TargetMode="External"/><Relationship Id="rId658" Type="http://schemas.openxmlformats.org/officeDocument/2006/relationships/hyperlink" Target="http://ufcstats.com/fight-details/1d8e2e8e3bd28cad" TargetMode="External"/><Relationship Id="rId255" Type="http://schemas.openxmlformats.org/officeDocument/2006/relationships/hyperlink" Target="http://ufcstats.com/fight-details/1afa8d6ae4d8a5b2" TargetMode="External"/><Relationship Id="rId297" Type="http://schemas.openxmlformats.org/officeDocument/2006/relationships/hyperlink" Target="http://ufcstats.com/fight-details/7e9cb0c322773157" TargetMode="External"/><Relationship Id="rId462" Type="http://schemas.openxmlformats.org/officeDocument/2006/relationships/hyperlink" Target="http://ufcstats.com/fight-details/dfa2f5c821a52c63" TargetMode="External"/><Relationship Id="rId518" Type="http://schemas.openxmlformats.org/officeDocument/2006/relationships/hyperlink" Target="http://ufcstats.com/fight-details/cf5e8f98159c3971" TargetMode="External"/><Relationship Id="rId115" Type="http://schemas.openxmlformats.org/officeDocument/2006/relationships/hyperlink" Target="http://ufcstats.com/fight-details/69f39e5d959311b1" TargetMode="External"/><Relationship Id="rId157" Type="http://schemas.openxmlformats.org/officeDocument/2006/relationships/hyperlink" Target="http://ufcstats.com/fight-details/0b21755eb0897396" TargetMode="External"/><Relationship Id="rId322" Type="http://schemas.openxmlformats.org/officeDocument/2006/relationships/hyperlink" Target="http://ufcstats.com/fight-details/8d9bcbb48888a5a3" TargetMode="External"/><Relationship Id="rId364" Type="http://schemas.openxmlformats.org/officeDocument/2006/relationships/hyperlink" Target="http://ufcstats.com/fight-details/95beb5ec32718faf" TargetMode="External"/><Relationship Id="rId61" Type="http://schemas.openxmlformats.org/officeDocument/2006/relationships/hyperlink" Target="http://ufcstats.com/fight-details/5e13fbe15c887a33" TargetMode="External"/><Relationship Id="rId199" Type="http://schemas.openxmlformats.org/officeDocument/2006/relationships/hyperlink" Target="http://ufcstats.com/fight-details/9af62d6e404c1002" TargetMode="External"/><Relationship Id="rId571" Type="http://schemas.openxmlformats.org/officeDocument/2006/relationships/hyperlink" Target="http://ufcstats.com/fight-details/e71a155192ff2f6c" TargetMode="External"/><Relationship Id="rId627" Type="http://schemas.openxmlformats.org/officeDocument/2006/relationships/hyperlink" Target="http://ufcstats.com/fight-details/c74b03337a8441ed" TargetMode="External"/><Relationship Id="rId19" Type="http://schemas.openxmlformats.org/officeDocument/2006/relationships/hyperlink" Target="http://ufcstats.com/fight-details/a376f6d5806d0c90" TargetMode="External"/><Relationship Id="rId224" Type="http://schemas.openxmlformats.org/officeDocument/2006/relationships/hyperlink" Target="http://ufcstats.com/fight-details/59b384dcc3ab49b2" TargetMode="External"/><Relationship Id="rId266" Type="http://schemas.openxmlformats.org/officeDocument/2006/relationships/hyperlink" Target="http://ufcstats.com/fight-details/1299f04f429bcc0e" TargetMode="External"/><Relationship Id="rId431" Type="http://schemas.openxmlformats.org/officeDocument/2006/relationships/hyperlink" Target="http://ufcstats.com/fight-details/3e2f00991f511607" TargetMode="External"/><Relationship Id="rId473" Type="http://schemas.openxmlformats.org/officeDocument/2006/relationships/hyperlink" Target="http://ufcstats.com/fight-details/bd1fc4ff619f4e61" TargetMode="External"/><Relationship Id="rId529" Type="http://schemas.openxmlformats.org/officeDocument/2006/relationships/hyperlink" Target="http://ufcstats.com/fight-details/f3e289f1423c0e6f" TargetMode="External"/><Relationship Id="rId30" Type="http://schemas.openxmlformats.org/officeDocument/2006/relationships/hyperlink" Target="http://ufcstats.com/fight-details/36d9337a27b71ba9" TargetMode="External"/><Relationship Id="rId126" Type="http://schemas.openxmlformats.org/officeDocument/2006/relationships/hyperlink" Target="http://ufcstats.com/fight-details/15311d4b33d93004" TargetMode="External"/><Relationship Id="rId168" Type="http://schemas.openxmlformats.org/officeDocument/2006/relationships/hyperlink" Target="http://ufcstats.com/fight-details/9140e6fdeaa7cd3f" TargetMode="External"/><Relationship Id="rId333" Type="http://schemas.openxmlformats.org/officeDocument/2006/relationships/hyperlink" Target="http://ufcstats.com/fight-details/4843f369dc8b5de5" TargetMode="External"/><Relationship Id="rId540" Type="http://schemas.openxmlformats.org/officeDocument/2006/relationships/hyperlink" Target="http://ufcstats.com/fight-details/b530bb13aac1e48b" TargetMode="External"/><Relationship Id="rId72" Type="http://schemas.openxmlformats.org/officeDocument/2006/relationships/hyperlink" Target="http://ufcstats.com/fight-details/c43805df4f45b6e2" TargetMode="External"/><Relationship Id="rId375" Type="http://schemas.openxmlformats.org/officeDocument/2006/relationships/hyperlink" Target="http://ufcstats.com/fight-details/09c092dc766fa3f9" TargetMode="External"/><Relationship Id="rId582" Type="http://schemas.openxmlformats.org/officeDocument/2006/relationships/hyperlink" Target="http://ufcstats.com/fight-details/4f20f3ada1489823" TargetMode="External"/><Relationship Id="rId638" Type="http://schemas.openxmlformats.org/officeDocument/2006/relationships/hyperlink" Target="http://ufcstats.com/fight-details/323dc938d93a849b" TargetMode="External"/><Relationship Id="rId3" Type="http://schemas.openxmlformats.org/officeDocument/2006/relationships/hyperlink" Target="http://ufcstats.com/fight-details/6fe9729cee57c680" TargetMode="External"/><Relationship Id="rId235" Type="http://schemas.openxmlformats.org/officeDocument/2006/relationships/hyperlink" Target="http://ufcstats.com/fight-details/61070325bb440f58" TargetMode="External"/><Relationship Id="rId277" Type="http://schemas.openxmlformats.org/officeDocument/2006/relationships/hyperlink" Target="http://ufcstats.com/fight-details/b7653a82f4b07b1f" TargetMode="External"/><Relationship Id="rId400" Type="http://schemas.openxmlformats.org/officeDocument/2006/relationships/hyperlink" Target="http://ufcstats.com/fight-details/2c7b788effdc1b4c" TargetMode="External"/><Relationship Id="rId442" Type="http://schemas.openxmlformats.org/officeDocument/2006/relationships/hyperlink" Target="http://ufcstats.com/fight-details/998296216e7171ed" TargetMode="External"/><Relationship Id="rId484" Type="http://schemas.openxmlformats.org/officeDocument/2006/relationships/hyperlink" Target="http://ufcstats.com/fight-details/0d5356c506111a57" TargetMode="External"/><Relationship Id="rId137" Type="http://schemas.openxmlformats.org/officeDocument/2006/relationships/hyperlink" Target="http://ufcstats.com/fight-details/23c7c6ceee34585f" TargetMode="External"/><Relationship Id="rId302" Type="http://schemas.openxmlformats.org/officeDocument/2006/relationships/hyperlink" Target="http://ufcstats.com/fight-details/a7c04dc830923313" TargetMode="External"/><Relationship Id="rId344" Type="http://schemas.openxmlformats.org/officeDocument/2006/relationships/hyperlink" Target="http://ufcstats.com/fight-details/a00b4e82f9d4f92c" TargetMode="External"/><Relationship Id="rId41" Type="http://schemas.openxmlformats.org/officeDocument/2006/relationships/hyperlink" Target="http://ufcstats.com/fight-details/2c84f2cb1bb23ab8" TargetMode="External"/><Relationship Id="rId83" Type="http://schemas.openxmlformats.org/officeDocument/2006/relationships/hyperlink" Target="http://ufcstats.com/fight-details/efdad54c8550e6e0" TargetMode="External"/><Relationship Id="rId179" Type="http://schemas.openxmlformats.org/officeDocument/2006/relationships/hyperlink" Target="http://ufcstats.com/fight-details/8accd04438b91262" TargetMode="External"/><Relationship Id="rId386" Type="http://schemas.openxmlformats.org/officeDocument/2006/relationships/hyperlink" Target="http://ufcstats.com/fight-details/870a98d6f943d9b7" TargetMode="External"/><Relationship Id="rId551" Type="http://schemas.openxmlformats.org/officeDocument/2006/relationships/hyperlink" Target="http://ufcstats.com/fight-details/c7780ac294530c0d" TargetMode="External"/><Relationship Id="rId593" Type="http://schemas.openxmlformats.org/officeDocument/2006/relationships/hyperlink" Target="http://ufcstats.com/fight-details/045c298c72fe196a" TargetMode="External"/><Relationship Id="rId607" Type="http://schemas.openxmlformats.org/officeDocument/2006/relationships/hyperlink" Target="http://ufcstats.com/fight-details/9cfad21ef1911728" TargetMode="External"/><Relationship Id="rId649" Type="http://schemas.openxmlformats.org/officeDocument/2006/relationships/hyperlink" Target="http://ufcstats.com/fight-details/bb9020ac324fb706" TargetMode="External"/><Relationship Id="rId190" Type="http://schemas.openxmlformats.org/officeDocument/2006/relationships/hyperlink" Target="http://ufcstats.com/fight-details/031647c36d12788f" TargetMode="External"/><Relationship Id="rId204" Type="http://schemas.openxmlformats.org/officeDocument/2006/relationships/hyperlink" Target="http://ufcstats.com/fight-details/b69d3d55c84f5dd6" TargetMode="External"/><Relationship Id="rId246" Type="http://schemas.openxmlformats.org/officeDocument/2006/relationships/hyperlink" Target="http://ufcstats.com/fight-details/bbb67c2ac4453d64" TargetMode="External"/><Relationship Id="rId288" Type="http://schemas.openxmlformats.org/officeDocument/2006/relationships/hyperlink" Target="http://ufcstats.com/fight-details/dc4f7eaaa2c9d450" TargetMode="External"/><Relationship Id="rId411" Type="http://schemas.openxmlformats.org/officeDocument/2006/relationships/hyperlink" Target="http://ufcstats.com/fight-details/cb7616f92a9a4e5b" TargetMode="External"/><Relationship Id="rId453" Type="http://schemas.openxmlformats.org/officeDocument/2006/relationships/hyperlink" Target="http://ufcstats.com/fight-details/2cab927474cb6e62" TargetMode="External"/><Relationship Id="rId509" Type="http://schemas.openxmlformats.org/officeDocument/2006/relationships/hyperlink" Target="http://ufcstats.com/fight-details/c835ccffa472970e" TargetMode="External"/><Relationship Id="rId660" Type="http://schemas.openxmlformats.org/officeDocument/2006/relationships/hyperlink" Target="http://ufcstats.com/fight-details/0cbeda449bc94af7" TargetMode="External"/><Relationship Id="rId106" Type="http://schemas.openxmlformats.org/officeDocument/2006/relationships/hyperlink" Target="http://ufcstats.com/fight-details/ee2354d638c078fd" TargetMode="External"/><Relationship Id="rId313" Type="http://schemas.openxmlformats.org/officeDocument/2006/relationships/hyperlink" Target="http://ufcstats.com/fight-details/9d98e1c0d62213cf" TargetMode="External"/><Relationship Id="rId495" Type="http://schemas.openxmlformats.org/officeDocument/2006/relationships/hyperlink" Target="http://ufcstats.com/fight-details/cce5b9dfe84630fa" TargetMode="External"/><Relationship Id="rId10" Type="http://schemas.openxmlformats.org/officeDocument/2006/relationships/hyperlink" Target="http://ufcstats.com/fight-details/dedb74ee9d84deab" TargetMode="External"/><Relationship Id="rId52" Type="http://schemas.openxmlformats.org/officeDocument/2006/relationships/hyperlink" Target="http://ufcstats.com/fight-details/f24c296256faeff2" TargetMode="External"/><Relationship Id="rId94" Type="http://schemas.openxmlformats.org/officeDocument/2006/relationships/hyperlink" Target="http://ufcstats.com/fight-details/bfff5a3777841344" TargetMode="External"/><Relationship Id="rId148" Type="http://schemas.openxmlformats.org/officeDocument/2006/relationships/hyperlink" Target="http://ufcstats.com/fight-details/99dbe9669f31ed91" TargetMode="External"/><Relationship Id="rId355" Type="http://schemas.openxmlformats.org/officeDocument/2006/relationships/hyperlink" Target="http://ufcstats.com/fight-details/692241119228cc82" TargetMode="External"/><Relationship Id="rId397" Type="http://schemas.openxmlformats.org/officeDocument/2006/relationships/hyperlink" Target="http://ufcstats.com/fight-details/fa2e2a035b36b9d6" TargetMode="External"/><Relationship Id="rId520" Type="http://schemas.openxmlformats.org/officeDocument/2006/relationships/hyperlink" Target="http://ufcstats.com/fight-details/6e5a3d6b6ed84ac3" TargetMode="External"/><Relationship Id="rId562" Type="http://schemas.openxmlformats.org/officeDocument/2006/relationships/hyperlink" Target="http://ufcstats.com/fight-details/5ea39e0fc3b64e83" TargetMode="External"/><Relationship Id="rId618" Type="http://schemas.openxmlformats.org/officeDocument/2006/relationships/hyperlink" Target="http://ufcstats.com/fight-details/4bf3010fdeea9d93" TargetMode="External"/><Relationship Id="rId215" Type="http://schemas.openxmlformats.org/officeDocument/2006/relationships/hyperlink" Target="http://ufcstats.com/fight-details/3249bbbb7ce837ef" TargetMode="External"/><Relationship Id="rId257" Type="http://schemas.openxmlformats.org/officeDocument/2006/relationships/hyperlink" Target="http://ufcstats.com/fight-details/0596fc5eba5c1fe0" TargetMode="External"/><Relationship Id="rId422" Type="http://schemas.openxmlformats.org/officeDocument/2006/relationships/hyperlink" Target="http://ufcstats.com/fight-details/4e566db7d26df001" TargetMode="External"/><Relationship Id="rId464" Type="http://schemas.openxmlformats.org/officeDocument/2006/relationships/hyperlink" Target="http://ufcstats.com/fight-details/02bdb7a5b2986571" TargetMode="External"/><Relationship Id="rId299" Type="http://schemas.openxmlformats.org/officeDocument/2006/relationships/hyperlink" Target="http://ufcstats.com/fight-details/b90eded8d6b65e8f" TargetMode="External"/><Relationship Id="rId63" Type="http://schemas.openxmlformats.org/officeDocument/2006/relationships/hyperlink" Target="http://ufcstats.com/fight-details/7786b5fafee61c36" TargetMode="External"/><Relationship Id="rId159" Type="http://schemas.openxmlformats.org/officeDocument/2006/relationships/hyperlink" Target="http://ufcstats.com/fight-details/ecb24300bb3bef8c" TargetMode="External"/><Relationship Id="rId366" Type="http://schemas.openxmlformats.org/officeDocument/2006/relationships/hyperlink" Target="http://ufcstats.com/fight-details/98458778348ea5d7" TargetMode="External"/><Relationship Id="rId573" Type="http://schemas.openxmlformats.org/officeDocument/2006/relationships/hyperlink" Target="http://ufcstats.com/fight-details/cc1993d02d28a3b9" TargetMode="External"/><Relationship Id="rId226" Type="http://schemas.openxmlformats.org/officeDocument/2006/relationships/hyperlink" Target="http://ufcstats.com/fight-details/ce4314886c57718b" TargetMode="External"/><Relationship Id="rId433" Type="http://schemas.openxmlformats.org/officeDocument/2006/relationships/hyperlink" Target="http://ufcstats.com/fight-details/74c58b9d638c5eaa" TargetMode="External"/><Relationship Id="rId640" Type="http://schemas.openxmlformats.org/officeDocument/2006/relationships/hyperlink" Target="http://ufcstats.com/fight-details/d45d9c7d60f332da" TargetMode="External"/><Relationship Id="rId74" Type="http://schemas.openxmlformats.org/officeDocument/2006/relationships/hyperlink" Target="http://ufcstats.com/fight-details/6275b448b6c35f1f" TargetMode="External"/><Relationship Id="rId377" Type="http://schemas.openxmlformats.org/officeDocument/2006/relationships/hyperlink" Target="http://ufcstats.com/fight-details/b309cdde35310875" TargetMode="External"/><Relationship Id="rId500" Type="http://schemas.openxmlformats.org/officeDocument/2006/relationships/hyperlink" Target="http://ufcstats.com/fight-details/1cbb930fb77a3781" TargetMode="External"/><Relationship Id="rId584" Type="http://schemas.openxmlformats.org/officeDocument/2006/relationships/hyperlink" Target="http://ufcstats.com/fight-details/ea76a3af8c5ecc55" TargetMode="External"/><Relationship Id="rId5" Type="http://schemas.openxmlformats.org/officeDocument/2006/relationships/hyperlink" Target="http://ufcstats.com/fight-details/90a83875e1d11238" TargetMode="External"/><Relationship Id="rId237" Type="http://schemas.openxmlformats.org/officeDocument/2006/relationships/hyperlink" Target="http://ufcstats.com/fight-details/b2297232b9310ba5" TargetMode="External"/><Relationship Id="rId444" Type="http://schemas.openxmlformats.org/officeDocument/2006/relationships/hyperlink" Target="http://ufcstats.com/fight-details/cb76509b5c2f2a90" TargetMode="External"/><Relationship Id="rId651" Type="http://schemas.openxmlformats.org/officeDocument/2006/relationships/hyperlink" Target="http://ufcstats.com/fight-details/1d7015553debd1c8" TargetMode="External"/><Relationship Id="rId290" Type="http://schemas.openxmlformats.org/officeDocument/2006/relationships/hyperlink" Target="http://ufcstats.com/fight-details/665a35fcac41d277" TargetMode="External"/><Relationship Id="rId304" Type="http://schemas.openxmlformats.org/officeDocument/2006/relationships/hyperlink" Target="http://ufcstats.com/fight-details/97c302628f231da3" TargetMode="External"/><Relationship Id="rId388" Type="http://schemas.openxmlformats.org/officeDocument/2006/relationships/hyperlink" Target="http://ufcstats.com/fight-details/d5955b81c26230ff" TargetMode="External"/><Relationship Id="rId511" Type="http://schemas.openxmlformats.org/officeDocument/2006/relationships/hyperlink" Target="http://ufcstats.com/fight-details/85e5498808346d6b" TargetMode="External"/><Relationship Id="rId609" Type="http://schemas.openxmlformats.org/officeDocument/2006/relationships/hyperlink" Target="http://ufcstats.com/fight-details/12d9b4a3931be5ec" TargetMode="External"/><Relationship Id="rId85" Type="http://schemas.openxmlformats.org/officeDocument/2006/relationships/hyperlink" Target="http://ufcstats.com/fight-details/de7cb625bdec0f91" TargetMode="External"/><Relationship Id="rId150" Type="http://schemas.openxmlformats.org/officeDocument/2006/relationships/hyperlink" Target="http://ufcstats.com/fight-details/b7b867eb3c3cf163" TargetMode="External"/><Relationship Id="rId595" Type="http://schemas.openxmlformats.org/officeDocument/2006/relationships/hyperlink" Target="http://ufcstats.com/fight-details/5724a9cf463c8390" TargetMode="External"/><Relationship Id="rId248" Type="http://schemas.openxmlformats.org/officeDocument/2006/relationships/hyperlink" Target="http://ufcstats.com/fight-details/7979888b1fb5eb39" TargetMode="External"/><Relationship Id="rId455" Type="http://schemas.openxmlformats.org/officeDocument/2006/relationships/hyperlink" Target="http://ufcstats.com/fight-details/911b73db91738da6" TargetMode="External"/><Relationship Id="rId12" Type="http://schemas.openxmlformats.org/officeDocument/2006/relationships/hyperlink" Target="http://ufcstats.com/fight-details/df9aa51f6ccdfe02" TargetMode="External"/><Relationship Id="rId108" Type="http://schemas.openxmlformats.org/officeDocument/2006/relationships/hyperlink" Target="http://ufcstats.com/fight-details/a37a6b6f9551a6e8" TargetMode="External"/><Relationship Id="rId315" Type="http://schemas.openxmlformats.org/officeDocument/2006/relationships/hyperlink" Target="http://ufcstats.com/fight-details/7f7d2abc21f171ca" TargetMode="External"/><Relationship Id="rId522" Type="http://schemas.openxmlformats.org/officeDocument/2006/relationships/hyperlink" Target="http://ufcstats.com/fight-details/d39010c3511fb972" TargetMode="External"/><Relationship Id="rId96" Type="http://schemas.openxmlformats.org/officeDocument/2006/relationships/hyperlink" Target="http://ufcstats.com/fight-details/c4caa8a4f32a0eed" TargetMode="External"/><Relationship Id="rId161" Type="http://schemas.openxmlformats.org/officeDocument/2006/relationships/hyperlink" Target="http://ufcstats.com/fight-details/d851cbbbdfd05a49" TargetMode="External"/><Relationship Id="rId399" Type="http://schemas.openxmlformats.org/officeDocument/2006/relationships/hyperlink" Target="http://ufcstats.com/fight-details/f858f91453555291" TargetMode="External"/><Relationship Id="rId259" Type="http://schemas.openxmlformats.org/officeDocument/2006/relationships/hyperlink" Target="http://ufcstats.com/fight-details/31dd8b5d6444f19b" TargetMode="External"/><Relationship Id="rId466" Type="http://schemas.openxmlformats.org/officeDocument/2006/relationships/hyperlink" Target="http://ufcstats.com/fight-details/534c07488396e124" TargetMode="External"/><Relationship Id="rId23" Type="http://schemas.openxmlformats.org/officeDocument/2006/relationships/hyperlink" Target="http://ufcstats.com/fight-details/cdaf65287d9a0ecb" TargetMode="External"/><Relationship Id="rId119" Type="http://schemas.openxmlformats.org/officeDocument/2006/relationships/hyperlink" Target="http://ufcstats.com/fight-details/fd47032108b85cf0" TargetMode="External"/><Relationship Id="rId326" Type="http://schemas.openxmlformats.org/officeDocument/2006/relationships/hyperlink" Target="http://ufcstats.com/fight-details/390694c179f05c7f" TargetMode="External"/><Relationship Id="rId533" Type="http://schemas.openxmlformats.org/officeDocument/2006/relationships/hyperlink" Target="http://ufcstats.com/fight-details/673a156925dfb31d" TargetMode="External"/><Relationship Id="rId172" Type="http://schemas.openxmlformats.org/officeDocument/2006/relationships/hyperlink" Target="http://ufcstats.com/fight-details/1c91deb42b991d18" TargetMode="External"/><Relationship Id="rId477" Type="http://schemas.openxmlformats.org/officeDocument/2006/relationships/hyperlink" Target="http://ufcstats.com/fight-details/18824fa5c15c212f" TargetMode="External"/><Relationship Id="rId600" Type="http://schemas.openxmlformats.org/officeDocument/2006/relationships/hyperlink" Target="http://ufcstats.com/fight-details/03e5127d4832750c" TargetMode="External"/><Relationship Id="rId337" Type="http://schemas.openxmlformats.org/officeDocument/2006/relationships/hyperlink" Target="http://ufcstats.com/fight-details/935f559ab0521c27" TargetMode="External"/><Relationship Id="rId34" Type="http://schemas.openxmlformats.org/officeDocument/2006/relationships/hyperlink" Target="http://ufcstats.com/fight-details/7aebf01b5afc0109" TargetMode="External"/><Relationship Id="rId544" Type="http://schemas.openxmlformats.org/officeDocument/2006/relationships/hyperlink" Target="http://ufcstats.com/fight-details/56c7c59c9bb3b610" TargetMode="External"/><Relationship Id="rId183" Type="http://schemas.openxmlformats.org/officeDocument/2006/relationships/hyperlink" Target="http://ufcstats.com/fight-details/975159720cfd0103" TargetMode="External"/><Relationship Id="rId390" Type="http://schemas.openxmlformats.org/officeDocument/2006/relationships/hyperlink" Target="http://ufcstats.com/fight-details/b7ff74563d034519" TargetMode="External"/><Relationship Id="rId404" Type="http://schemas.openxmlformats.org/officeDocument/2006/relationships/hyperlink" Target="http://ufcstats.com/fight-details/84d89d2f36d07dc0" TargetMode="External"/><Relationship Id="rId611" Type="http://schemas.openxmlformats.org/officeDocument/2006/relationships/hyperlink" Target="http://ufcstats.com/fight-details/3d76ed7e224e9c99" TargetMode="External"/><Relationship Id="rId250" Type="http://schemas.openxmlformats.org/officeDocument/2006/relationships/hyperlink" Target="http://ufcstats.com/fight-details/a71febed166b7d42" TargetMode="External"/><Relationship Id="rId488" Type="http://schemas.openxmlformats.org/officeDocument/2006/relationships/hyperlink" Target="http://ufcstats.com/fight-details/0261adcfc6e49150" TargetMode="External"/><Relationship Id="rId45" Type="http://schemas.openxmlformats.org/officeDocument/2006/relationships/hyperlink" Target="http://ufcstats.com/fight-details/6cb9bc7c86ae43b9" TargetMode="External"/><Relationship Id="rId110" Type="http://schemas.openxmlformats.org/officeDocument/2006/relationships/hyperlink" Target="http://ufcstats.com/fight-details/ce7744d45a698aa6" TargetMode="External"/><Relationship Id="rId348" Type="http://schemas.openxmlformats.org/officeDocument/2006/relationships/hyperlink" Target="http://ufcstats.com/fight-details/75bc89630027c601" TargetMode="External"/><Relationship Id="rId555" Type="http://schemas.openxmlformats.org/officeDocument/2006/relationships/hyperlink" Target="http://ufcstats.com/fight-details/7d4e49d8a6678157" TargetMode="External"/><Relationship Id="rId194" Type="http://schemas.openxmlformats.org/officeDocument/2006/relationships/hyperlink" Target="http://ufcstats.com/fight-details/103a7d8c4f17714b" TargetMode="External"/><Relationship Id="rId208" Type="http://schemas.openxmlformats.org/officeDocument/2006/relationships/hyperlink" Target="http://ufcstats.com/fight-details/9cd172df74575fd4" TargetMode="External"/><Relationship Id="rId415" Type="http://schemas.openxmlformats.org/officeDocument/2006/relationships/hyperlink" Target="http://ufcstats.com/fight-details/40e8bf8ce508c436" TargetMode="External"/><Relationship Id="rId622" Type="http://schemas.openxmlformats.org/officeDocument/2006/relationships/hyperlink" Target="http://ufcstats.com/fight-details/c26806c2d554e50c" TargetMode="External"/><Relationship Id="rId261" Type="http://schemas.openxmlformats.org/officeDocument/2006/relationships/hyperlink" Target="http://ufcstats.com/fight-details/f7114bf73eec4022" TargetMode="External"/><Relationship Id="rId499" Type="http://schemas.openxmlformats.org/officeDocument/2006/relationships/hyperlink" Target="http://ufcstats.com/fight-details/3b209a2aee014ac2" TargetMode="External"/><Relationship Id="rId56" Type="http://schemas.openxmlformats.org/officeDocument/2006/relationships/hyperlink" Target="http://ufcstats.com/fight-details/64bc223daa594bcc" TargetMode="External"/><Relationship Id="rId359" Type="http://schemas.openxmlformats.org/officeDocument/2006/relationships/hyperlink" Target="http://ufcstats.com/fight-details/e2abba69c3371618" TargetMode="External"/><Relationship Id="rId566" Type="http://schemas.openxmlformats.org/officeDocument/2006/relationships/hyperlink" Target="http://ufcstats.com/fight-details/e54c16d867875738" TargetMode="External"/><Relationship Id="rId121" Type="http://schemas.openxmlformats.org/officeDocument/2006/relationships/hyperlink" Target="http://ufcstats.com/fight-details/189b9af881b96de6" TargetMode="External"/><Relationship Id="rId219" Type="http://schemas.openxmlformats.org/officeDocument/2006/relationships/hyperlink" Target="http://ufcstats.com/fight-details/19fc916df1f0e6ff" TargetMode="External"/><Relationship Id="rId426" Type="http://schemas.openxmlformats.org/officeDocument/2006/relationships/hyperlink" Target="http://ufcstats.com/fight-details/f00ac5af033f44b4" TargetMode="External"/><Relationship Id="rId633" Type="http://schemas.openxmlformats.org/officeDocument/2006/relationships/hyperlink" Target="http://ufcstats.com/fight-details/7d4c160dab6eae73" TargetMode="External"/><Relationship Id="rId67" Type="http://schemas.openxmlformats.org/officeDocument/2006/relationships/hyperlink" Target="http://ufcstats.com/fight-details/064404b0aaf6f95d" TargetMode="External"/><Relationship Id="rId272" Type="http://schemas.openxmlformats.org/officeDocument/2006/relationships/hyperlink" Target="http://ufcstats.com/fight-details/f519753cc38362d0" TargetMode="External"/><Relationship Id="rId577" Type="http://schemas.openxmlformats.org/officeDocument/2006/relationships/hyperlink" Target="http://ufcstats.com/fight-details/e4620f3fa451a3a4" TargetMode="External"/><Relationship Id="rId132" Type="http://schemas.openxmlformats.org/officeDocument/2006/relationships/hyperlink" Target="http://ufcstats.com/fight-details/d44d735e5079bfb8" TargetMode="External"/><Relationship Id="rId437" Type="http://schemas.openxmlformats.org/officeDocument/2006/relationships/hyperlink" Target="http://ufcstats.com/fight-details/c27e33ee8ef53866" TargetMode="External"/><Relationship Id="rId644" Type="http://schemas.openxmlformats.org/officeDocument/2006/relationships/hyperlink" Target="http://ufcstats.com/fight-details/d395828f5cb045a5" TargetMode="External"/><Relationship Id="rId283" Type="http://schemas.openxmlformats.org/officeDocument/2006/relationships/hyperlink" Target="http://ufcstats.com/fight-details/4942323a5d5a6594" TargetMode="External"/><Relationship Id="rId490" Type="http://schemas.openxmlformats.org/officeDocument/2006/relationships/hyperlink" Target="http://ufcstats.com/fight-details/8f6dda53ea3b09c7" TargetMode="External"/><Relationship Id="rId504" Type="http://schemas.openxmlformats.org/officeDocument/2006/relationships/hyperlink" Target="http://ufcstats.com/fight-details/a38648a1c190f9be" TargetMode="External"/><Relationship Id="rId78" Type="http://schemas.openxmlformats.org/officeDocument/2006/relationships/hyperlink" Target="http://ufcstats.com/fight-details/5fceb95c29d929bc" TargetMode="External"/><Relationship Id="rId143" Type="http://schemas.openxmlformats.org/officeDocument/2006/relationships/hyperlink" Target="http://ufcstats.com/fight-details/8d634c9240f161dd" TargetMode="External"/><Relationship Id="rId350" Type="http://schemas.openxmlformats.org/officeDocument/2006/relationships/hyperlink" Target="http://ufcstats.com/fight-details/d6f6ac29008509db" TargetMode="External"/><Relationship Id="rId588" Type="http://schemas.openxmlformats.org/officeDocument/2006/relationships/hyperlink" Target="http://ufcstats.com/fight-details/3c3da227fbe36a28" TargetMode="External"/><Relationship Id="rId9" Type="http://schemas.openxmlformats.org/officeDocument/2006/relationships/hyperlink" Target="http://ufcstats.com/fight-details/9fe62ea683decc55" TargetMode="External"/><Relationship Id="rId210" Type="http://schemas.openxmlformats.org/officeDocument/2006/relationships/hyperlink" Target="http://ufcstats.com/fight-details/3d7ea6012fd8f786" TargetMode="External"/><Relationship Id="rId448" Type="http://schemas.openxmlformats.org/officeDocument/2006/relationships/hyperlink" Target="http://ufcstats.com/fight-details/ddb927b0dfcfac2a" TargetMode="External"/><Relationship Id="rId655" Type="http://schemas.openxmlformats.org/officeDocument/2006/relationships/hyperlink" Target="http://ufcstats.com/fight-details/01a4827b3596d111" TargetMode="External"/><Relationship Id="rId294" Type="http://schemas.openxmlformats.org/officeDocument/2006/relationships/hyperlink" Target="http://ufcstats.com/fight-details/2d23ca9d8abc0c97" TargetMode="External"/><Relationship Id="rId308" Type="http://schemas.openxmlformats.org/officeDocument/2006/relationships/hyperlink" Target="http://ufcstats.com/fight-details/f8dd1e75978a3957" TargetMode="External"/><Relationship Id="rId515" Type="http://schemas.openxmlformats.org/officeDocument/2006/relationships/hyperlink" Target="http://ufcstats.com/fight-details/a043e279434d5c8c" TargetMode="External"/><Relationship Id="rId89" Type="http://schemas.openxmlformats.org/officeDocument/2006/relationships/hyperlink" Target="http://ufcstats.com/fight-details/733e675fd7c0052a" TargetMode="External"/><Relationship Id="rId154" Type="http://schemas.openxmlformats.org/officeDocument/2006/relationships/hyperlink" Target="http://ufcstats.com/fight-details/06910bddb0745856" TargetMode="External"/><Relationship Id="rId361" Type="http://schemas.openxmlformats.org/officeDocument/2006/relationships/hyperlink" Target="http://ufcstats.com/fight-details/d0602cdc04d2c159" TargetMode="External"/><Relationship Id="rId599" Type="http://schemas.openxmlformats.org/officeDocument/2006/relationships/hyperlink" Target="http://ufcstats.com/fight-details/2e1435c160bfe8b2" TargetMode="External"/><Relationship Id="rId459" Type="http://schemas.openxmlformats.org/officeDocument/2006/relationships/hyperlink" Target="http://ufcstats.com/fight-details/8b296724a6844865" TargetMode="External"/><Relationship Id="rId16" Type="http://schemas.openxmlformats.org/officeDocument/2006/relationships/hyperlink" Target="http://ufcstats.com/fight-details/8b8f9485214f9e48" TargetMode="External"/><Relationship Id="rId221" Type="http://schemas.openxmlformats.org/officeDocument/2006/relationships/hyperlink" Target="http://ufcstats.com/fight-details/aeac1209f15157ed" TargetMode="External"/><Relationship Id="rId319" Type="http://schemas.openxmlformats.org/officeDocument/2006/relationships/hyperlink" Target="http://ufcstats.com/fight-details/eee7f546c126ee8b" TargetMode="External"/><Relationship Id="rId526" Type="http://schemas.openxmlformats.org/officeDocument/2006/relationships/hyperlink" Target="http://ufcstats.com/fight-details/e96d929f8207a3e0" TargetMode="External"/><Relationship Id="rId165" Type="http://schemas.openxmlformats.org/officeDocument/2006/relationships/hyperlink" Target="http://ufcstats.com/fight-details/9d2f7d29bb9c9034" TargetMode="External"/><Relationship Id="rId372" Type="http://schemas.openxmlformats.org/officeDocument/2006/relationships/hyperlink" Target="http://ufcstats.com/fight-details/433e3fd8782b6e0e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http://ufcstats.com/fight-details/a260238fdb9c47cf" TargetMode="External"/><Relationship Id="rId299" Type="http://schemas.openxmlformats.org/officeDocument/2006/relationships/hyperlink" Target="http://ufcstats.com/fight-details/a09bfdaa83d99efb" TargetMode="External"/><Relationship Id="rId21" Type="http://schemas.openxmlformats.org/officeDocument/2006/relationships/hyperlink" Target="http://ufcstats.com/fight-details/adb78db5ba8ccc0f" TargetMode="External"/><Relationship Id="rId63" Type="http://schemas.openxmlformats.org/officeDocument/2006/relationships/hyperlink" Target="http://ufcstats.com/fight-details/243e5e9b6678f303" TargetMode="External"/><Relationship Id="rId159" Type="http://schemas.openxmlformats.org/officeDocument/2006/relationships/hyperlink" Target="http://ufcstats.com/fight-details/4f99b4a39925cb47" TargetMode="External"/><Relationship Id="rId324" Type="http://schemas.openxmlformats.org/officeDocument/2006/relationships/hyperlink" Target="http://ufcstats.com/fight-details/f882cf76a8bce308" TargetMode="External"/><Relationship Id="rId366" Type="http://schemas.openxmlformats.org/officeDocument/2006/relationships/hyperlink" Target="http://ufcstats.com/fight-details/51e684bfce8d94aa" TargetMode="External"/><Relationship Id="rId170" Type="http://schemas.openxmlformats.org/officeDocument/2006/relationships/hyperlink" Target="http://ufcstats.com/fight-details/80ce8f7d988d5e57" TargetMode="External"/><Relationship Id="rId226" Type="http://schemas.openxmlformats.org/officeDocument/2006/relationships/hyperlink" Target="http://ufcstats.com/fight-details/88c2da7b33cca8d4" TargetMode="External"/><Relationship Id="rId433" Type="http://schemas.openxmlformats.org/officeDocument/2006/relationships/hyperlink" Target="http://ufcstats.com/fight-details/6e1bf1b163b3aeab" TargetMode="External"/><Relationship Id="rId268" Type="http://schemas.openxmlformats.org/officeDocument/2006/relationships/hyperlink" Target="http://ufcstats.com/fight-details/6049301b4deea035" TargetMode="External"/><Relationship Id="rId475" Type="http://schemas.openxmlformats.org/officeDocument/2006/relationships/hyperlink" Target="http://ufcstats.com/fight-details/cd7fd3f034717d3c" TargetMode="External"/><Relationship Id="rId32" Type="http://schemas.openxmlformats.org/officeDocument/2006/relationships/hyperlink" Target="http://ufcstats.com/fight-details/58540b24ed77d31b" TargetMode="External"/><Relationship Id="rId74" Type="http://schemas.openxmlformats.org/officeDocument/2006/relationships/hyperlink" Target="http://ufcstats.com/fight-details/b638646fb297228d" TargetMode="External"/><Relationship Id="rId128" Type="http://schemas.openxmlformats.org/officeDocument/2006/relationships/hyperlink" Target="http://ufcstats.com/fight-details/4ffbadfb86284af5" TargetMode="External"/><Relationship Id="rId335" Type="http://schemas.openxmlformats.org/officeDocument/2006/relationships/hyperlink" Target="http://ufcstats.com/fight-details/f3efc6121c5323ff" TargetMode="External"/><Relationship Id="rId377" Type="http://schemas.openxmlformats.org/officeDocument/2006/relationships/hyperlink" Target="http://ufcstats.com/fight-details/1e75ee0da189857b" TargetMode="External"/><Relationship Id="rId500" Type="http://schemas.openxmlformats.org/officeDocument/2006/relationships/hyperlink" Target="http://ufcstats.com/fight-details/bec3154a11df3299" TargetMode="External"/><Relationship Id="rId5" Type="http://schemas.openxmlformats.org/officeDocument/2006/relationships/hyperlink" Target="http://ufcstats.com/fight-details/efd7efba85092c6f" TargetMode="External"/><Relationship Id="rId181" Type="http://schemas.openxmlformats.org/officeDocument/2006/relationships/hyperlink" Target="http://ufcstats.com/fight-details/f047e3605f8852d8" TargetMode="External"/><Relationship Id="rId237" Type="http://schemas.openxmlformats.org/officeDocument/2006/relationships/hyperlink" Target="http://ufcstats.com/fight-details/e4795ab9bdd6fb38" TargetMode="External"/><Relationship Id="rId402" Type="http://schemas.openxmlformats.org/officeDocument/2006/relationships/hyperlink" Target="http://ufcstats.com/fight-details/f9ab603b763998f7" TargetMode="External"/><Relationship Id="rId279" Type="http://schemas.openxmlformats.org/officeDocument/2006/relationships/hyperlink" Target="http://ufcstats.com/fight-details/3ac61bcb406e1a0c" TargetMode="External"/><Relationship Id="rId444" Type="http://schemas.openxmlformats.org/officeDocument/2006/relationships/hyperlink" Target="http://ufcstats.com/fight-details/4f6f7f1ad8954bb6" TargetMode="External"/><Relationship Id="rId486" Type="http://schemas.openxmlformats.org/officeDocument/2006/relationships/hyperlink" Target="http://ufcstats.com/fight-details/25c4013fc187762a" TargetMode="External"/><Relationship Id="rId43" Type="http://schemas.openxmlformats.org/officeDocument/2006/relationships/hyperlink" Target="http://ufcstats.com/fight-details/786296db3c4749f1" TargetMode="External"/><Relationship Id="rId139" Type="http://schemas.openxmlformats.org/officeDocument/2006/relationships/hyperlink" Target="http://ufcstats.com/fight-details/eb4e9ec015533ab4" TargetMode="External"/><Relationship Id="rId290" Type="http://schemas.openxmlformats.org/officeDocument/2006/relationships/hyperlink" Target="http://ufcstats.com/fight-details/2664805fde34fb1b" TargetMode="External"/><Relationship Id="rId304" Type="http://schemas.openxmlformats.org/officeDocument/2006/relationships/hyperlink" Target="http://ufcstats.com/fight-details/3b21a9f48bac4a44" TargetMode="External"/><Relationship Id="rId346" Type="http://schemas.openxmlformats.org/officeDocument/2006/relationships/hyperlink" Target="http://ufcstats.com/fight-details/9479ba3cdcb1e513" TargetMode="External"/><Relationship Id="rId388" Type="http://schemas.openxmlformats.org/officeDocument/2006/relationships/hyperlink" Target="http://ufcstats.com/fight-details/5f617d6c19d3a281" TargetMode="External"/><Relationship Id="rId85" Type="http://schemas.openxmlformats.org/officeDocument/2006/relationships/hyperlink" Target="http://ufcstats.com/fight-details/7ee8b91d7f80f8a7" TargetMode="External"/><Relationship Id="rId150" Type="http://schemas.openxmlformats.org/officeDocument/2006/relationships/hyperlink" Target="http://ufcstats.com/fight-details/3e4b8bd71e8bceb2" TargetMode="External"/><Relationship Id="rId192" Type="http://schemas.openxmlformats.org/officeDocument/2006/relationships/hyperlink" Target="http://ufcstats.com/fight-details/0a4247ba4ae1cca5" TargetMode="External"/><Relationship Id="rId206" Type="http://schemas.openxmlformats.org/officeDocument/2006/relationships/hyperlink" Target="http://ufcstats.com/fight-details/6d8ce1abde550bc6" TargetMode="External"/><Relationship Id="rId413" Type="http://schemas.openxmlformats.org/officeDocument/2006/relationships/hyperlink" Target="http://ufcstats.com/fight-details/7595aabe89020780" TargetMode="External"/><Relationship Id="rId248" Type="http://schemas.openxmlformats.org/officeDocument/2006/relationships/hyperlink" Target="http://ufcstats.com/fight-details/5b55a8e33199d71e" TargetMode="External"/><Relationship Id="rId455" Type="http://schemas.openxmlformats.org/officeDocument/2006/relationships/hyperlink" Target="http://ufcstats.com/fight-details/c6cc6ae23cbf8a27" TargetMode="External"/><Relationship Id="rId497" Type="http://schemas.openxmlformats.org/officeDocument/2006/relationships/hyperlink" Target="http://ufcstats.com/fight-details/efc40ec41114d8fa" TargetMode="External"/><Relationship Id="rId12" Type="http://schemas.openxmlformats.org/officeDocument/2006/relationships/hyperlink" Target="http://ufcstats.com/fight-details/765482eb58e8db48" TargetMode="External"/><Relationship Id="rId108" Type="http://schemas.openxmlformats.org/officeDocument/2006/relationships/hyperlink" Target="http://ufcstats.com/fight-details/528c208293bdef13" TargetMode="External"/><Relationship Id="rId315" Type="http://schemas.openxmlformats.org/officeDocument/2006/relationships/hyperlink" Target="http://ufcstats.com/fight-details/901dbd1e6463c4ba" TargetMode="External"/><Relationship Id="rId357" Type="http://schemas.openxmlformats.org/officeDocument/2006/relationships/hyperlink" Target="http://ufcstats.com/fight-details/49b2a6a93d529981" TargetMode="External"/><Relationship Id="rId54" Type="http://schemas.openxmlformats.org/officeDocument/2006/relationships/hyperlink" Target="http://ufcstats.com/fight-details/df33799f117000cb" TargetMode="External"/><Relationship Id="rId96" Type="http://schemas.openxmlformats.org/officeDocument/2006/relationships/hyperlink" Target="http://ufcstats.com/fight-details/398db40015b3c81c" TargetMode="External"/><Relationship Id="rId161" Type="http://schemas.openxmlformats.org/officeDocument/2006/relationships/hyperlink" Target="http://ufcstats.com/fight-details/c6ca435e24c5f4e4" TargetMode="External"/><Relationship Id="rId217" Type="http://schemas.openxmlformats.org/officeDocument/2006/relationships/hyperlink" Target="http://ufcstats.com/fight-details/06287b822837a616" TargetMode="External"/><Relationship Id="rId399" Type="http://schemas.openxmlformats.org/officeDocument/2006/relationships/hyperlink" Target="http://ufcstats.com/fight-details/3b536afcc9098925" TargetMode="External"/><Relationship Id="rId259" Type="http://schemas.openxmlformats.org/officeDocument/2006/relationships/hyperlink" Target="http://ufcstats.com/fight-details/ce82f34bc14f7af0" TargetMode="External"/><Relationship Id="rId424" Type="http://schemas.openxmlformats.org/officeDocument/2006/relationships/hyperlink" Target="http://ufcstats.com/fight-details/b4bbc1b7efa770f5" TargetMode="External"/><Relationship Id="rId466" Type="http://schemas.openxmlformats.org/officeDocument/2006/relationships/hyperlink" Target="http://ufcstats.com/fight-details/43682a646b9b956f" TargetMode="External"/><Relationship Id="rId23" Type="http://schemas.openxmlformats.org/officeDocument/2006/relationships/hyperlink" Target="http://ufcstats.com/fight-details/c94b153951be7590" TargetMode="External"/><Relationship Id="rId119" Type="http://schemas.openxmlformats.org/officeDocument/2006/relationships/hyperlink" Target="http://ufcstats.com/fight-details/41cdfea7df63003f" TargetMode="External"/><Relationship Id="rId270" Type="http://schemas.openxmlformats.org/officeDocument/2006/relationships/hyperlink" Target="http://ufcstats.com/fight-details/147e984aa34e3028" TargetMode="External"/><Relationship Id="rId326" Type="http://schemas.openxmlformats.org/officeDocument/2006/relationships/hyperlink" Target="http://ufcstats.com/fight-details/abb6e2169ba580d2" TargetMode="External"/><Relationship Id="rId65" Type="http://schemas.openxmlformats.org/officeDocument/2006/relationships/hyperlink" Target="http://ufcstats.com/fight-details/4702ef17c48bf1d1" TargetMode="External"/><Relationship Id="rId130" Type="http://schemas.openxmlformats.org/officeDocument/2006/relationships/hyperlink" Target="http://ufcstats.com/fight-details/6a7347d1da8a2b87" TargetMode="External"/><Relationship Id="rId368" Type="http://schemas.openxmlformats.org/officeDocument/2006/relationships/hyperlink" Target="http://ufcstats.com/fight-details/09a7f0979a58e6ea" TargetMode="External"/><Relationship Id="rId172" Type="http://schemas.openxmlformats.org/officeDocument/2006/relationships/hyperlink" Target="http://ufcstats.com/fight-details/a4527094aa107b55" TargetMode="External"/><Relationship Id="rId228" Type="http://schemas.openxmlformats.org/officeDocument/2006/relationships/hyperlink" Target="http://ufcstats.com/fight-details/7188621a628e718d" TargetMode="External"/><Relationship Id="rId435" Type="http://schemas.openxmlformats.org/officeDocument/2006/relationships/hyperlink" Target="http://ufcstats.com/fight-details/159646a9d2ae8ea5" TargetMode="External"/><Relationship Id="rId477" Type="http://schemas.openxmlformats.org/officeDocument/2006/relationships/hyperlink" Target="http://ufcstats.com/fight-details/51d3be5e8aee5cd9" TargetMode="External"/><Relationship Id="rId281" Type="http://schemas.openxmlformats.org/officeDocument/2006/relationships/hyperlink" Target="http://ufcstats.com/fight-details/1c5bed46920ab3e1" TargetMode="External"/><Relationship Id="rId337" Type="http://schemas.openxmlformats.org/officeDocument/2006/relationships/hyperlink" Target="http://ufcstats.com/fight-details/25da52bc590ef664" TargetMode="External"/><Relationship Id="rId502" Type="http://schemas.openxmlformats.org/officeDocument/2006/relationships/hyperlink" Target="http://ufcstats.com/fight-details/4b12a4b48755cd6b" TargetMode="External"/><Relationship Id="rId34" Type="http://schemas.openxmlformats.org/officeDocument/2006/relationships/hyperlink" Target="http://ufcstats.com/fight-details/be822403f364fff3" TargetMode="External"/><Relationship Id="rId76" Type="http://schemas.openxmlformats.org/officeDocument/2006/relationships/hyperlink" Target="http://ufcstats.com/fight-details/a5d76e93a5052e3f" TargetMode="External"/><Relationship Id="rId141" Type="http://schemas.openxmlformats.org/officeDocument/2006/relationships/hyperlink" Target="http://ufcstats.com/fight-details/3d903bc35023f50a" TargetMode="External"/><Relationship Id="rId379" Type="http://schemas.openxmlformats.org/officeDocument/2006/relationships/hyperlink" Target="http://ufcstats.com/fight-details/4d56bcd82438e632" TargetMode="External"/><Relationship Id="rId7" Type="http://schemas.openxmlformats.org/officeDocument/2006/relationships/hyperlink" Target="http://ufcstats.com/fight-details/69397bbebdfa41d9" TargetMode="External"/><Relationship Id="rId183" Type="http://schemas.openxmlformats.org/officeDocument/2006/relationships/hyperlink" Target="http://ufcstats.com/fight-details/7b53967f282a0d0a" TargetMode="External"/><Relationship Id="rId239" Type="http://schemas.openxmlformats.org/officeDocument/2006/relationships/hyperlink" Target="http://ufcstats.com/fight-details/4fa26e1e88583ab5" TargetMode="External"/><Relationship Id="rId390" Type="http://schemas.openxmlformats.org/officeDocument/2006/relationships/hyperlink" Target="http://ufcstats.com/fight-details/9882c1dac77c0367" TargetMode="External"/><Relationship Id="rId404" Type="http://schemas.openxmlformats.org/officeDocument/2006/relationships/hyperlink" Target="http://ufcstats.com/fight-details/5c70b175f08ca141" TargetMode="External"/><Relationship Id="rId446" Type="http://schemas.openxmlformats.org/officeDocument/2006/relationships/hyperlink" Target="http://ufcstats.com/fight-details/b01e6e97d66681c5" TargetMode="External"/><Relationship Id="rId250" Type="http://schemas.openxmlformats.org/officeDocument/2006/relationships/hyperlink" Target="http://ufcstats.com/fight-details/43e416795dbd10e9" TargetMode="External"/><Relationship Id="rId292" Type="http://schemas.openxmlformats.org/officeDocument/2006/relationships/hyperlink" Target="http://ufcstats.com/fight-details/1378fc2be3819b2b" TargetMode="External"/><Relationship Id="rId306" Type="http://schemas.openxmlformats.org/officeDocument/2006/relationships/hyperlink" Target="http://ufcstats.com/fight-details/0ac4f0c1b4d021f6" TargetMode="External"/><Relationship Id="rId488" Type="http://schemas.openxmlformats.org/officeDocument/2006/relationships/hyperlink" Target="http://ufcstats.com/fight-details/f22d193f3ab42bc5" TargetMode="External"/><Relationship Id="rId45" Type="http://schemas.openxmlformats.org/officeDocument/2006/relationships/hyperlink" Target="http://ufcstats.com/fight-details/4d549f33c0711a7a" TargetMode="External"/><Relationship Id="rId87" Type="http://schemas.openxmlformats.org/officeDocument/2006/relationships/hyperlink" Target="http://ufcstats.com/fight-details/069ab7e7b8b5d262" TargetMode="External"/><Relationship Id="rId110" Type="http://schemas.openxmlformats.org/officeDocument/2006/relationships/hyperlink" Target="http://ufcstats.com/fight-details/8693027377658e61" TargetMode="External"/><Relationship Id="rId348" Type="http://schemas.openxmlformats.org/officeDocument/2006/relationships/hyperlink" Target="http://ufcstats.com/fight-details/a554a72bb0377213" TargetMode="External"/><Relationship Id="rId152" Type="http://schemas.openxmlformats.org/officeDocument/2006/relationships/hyperlink" Target="http://ufcstats.com/fight-details/e255fc129f225a55" TargetMode="External"/><Relationship Id="rId194" Type="http://schemas.openxmlformats.org/officeDocument/2006/relationships/hyperlink" Target="http://ufcstats.com/fight-details/818456a713fdabe6" TargetMode="External"/><Relationship Id="rId208" Type="http://schemas.openxmlformats.org/officeDocument/2006/relationships/hyperlink" Target="http://ufcstats.com/fight-details/6c5f7f98ec0b6f17" TargetMode="External"/><Relationship Id="rId415" Type="http://schemas.openxmlformats.org/officeDocument/2006/relationships/hyperlink" Target="http://ufcstats.com/fight-details/b21e4b6c4126c782" TargetMode="External"/><Relationship Id="rId457" Type="http://schemas.openxmlformats.org/officeDocument/2006/relationships/hyperlink" Target="http://ufcstats.com/fight-details/a652918360fe9a72" TargetMode="External"/><Relationship Id="rId261" Type="http://schemas.openxmlformats.org/officeDocument/2006/relationships/hyperlink" Target="http://ufcstats.com/fight-details/cf3a93dd5460593c" TargetMode="External"/><Relationship Id="rId499" Type="http://schemas.openxmlformats.org/officeDocument/2006/relationships/hyperlink" Target="http://ufcstats.com/fight-details/b302e12550278ffd" TargetMode="External"/><Relationship Id="rId14" Type="http://schemas.openxmlformats.org/officeDocument/2006/relationships/hyperlink" Target="http://ufcstats.com/fight-details/32375b4435fea5e6" TargetMode="External"/><Relationship Id="rId56" Type="http://schemas.openxmlformats.org/officeDocument/2006/relationships/hyperlink" Target="http://ufcstats.com/fight-details/958f3b45c132c3b7" TargetMode="External"/><Relationship Id="rId317" Type="http://schemas.openxmlformats.org/officeDocument/2006/relationships/hyperlink" Target="http://ufcstats.com/fight-details/c3939438ae7934df" TargetMode="External"/><Relationship Id="rId359" Type="http://schemas.openxmlformats.org/officeDocument/2006/relationships/hyperlink" Target="http://ufcstats.com/fight-details/4dd2bcd2b025204e" TargetMode="External"/><Relationship Id="rId98" Type="http://schemas.openxmlformats.org/officeDocument/2006/relationships/hyperlink" Target="http://ufcstats.com/fight-details/f6fd50bf69bb59e6" TargetMode="External"/><Relationship Id="rId121" Type="http://schemas.openxmlformats.org/officeDocument/2006/relationships/hyperlink" Target="http://ufcstats.com/fight-details/12d2b282561b5e5f" TargetMode="External"/><Relationship Id="rId163" Type="http://schemas.openxmlformats.org/officeDocument/2006/relationships/hyperlink" Target="http://ufcstats.com/fight-details/b1e66cea3a4d4709" TargetMode="External"/><Relationship Id="rId219" Type="http://schemas.openxmlformats.org/officeDocument/2006/relationships/hyperlink" Target="http://ufcstats.com/fight-details/6be073563a421bca" TargetMode="External"/><Relationship Id="rId370" Type="http://schemas.openxmlformats.org/officeDocument/2006/relationships/hyperlink" Target="http://ufcstats.com/fight-details/1bde9cb65d31cc76" TargetMode="External"/><Relationship Id="rId426" Type="http://schemas.openxmlformats.org/officeDocument/2006/relationships/hyperlink" Target="http://ufcstats.com/fight-details/3729ff914eaede07" TargetMode="External"/><Relationship Id="rId230" Type="http://schemas.openxmlformats.org/officeDocument/2006/relationships/hyperlink" Target="http://ufcstats.com/fight-details/112e6a0ddce893e6" TargetMode="External"/><Relationship Id="rId468" Type="http://schemas.openxmlformats.org/officeDocument/2006/relationships/hyperlink" Target="http://ufcstats.com/fight-details/2ca4a039c07acd38" TargetMode="External"/><Relationship Id="rId25" Type="http://schemas.openxmlformats.org/officeDocument/2006/relationships/hyperlink" Target="http://ufcstats.com/fight-details/5357dab4d331eb18" TargetMode="External"/><Relationship Id="rId67" Type="http://schemas.openxmlformats.org/officeDocument/2006/relationships/hyperlink" Target="http://ufcstats.com/fight-details/570f3407722cc512" TargetMode="External"/><Relationship Id="rId272" Type="http://schemas.openxmlformats.org/officeDocument/2006/relationships/hyperlink" Target="http://ufcstats.com/fight-details/a4817b7e46028b4a" TargetMode="External"/><Relationship Id="rId328" Type="http://schemas.openxmlformats.org/officeDocument/2006/relationships/hyperlink" Target="http://ufcstats.com/fight-details/0fed97329b78b887" TargetMode="External"/><Relationship Id="rId132" Type="http://schemas.openxmlformats.org/officeDocument/2006/relationships/hyperlink" Target="http://ufcstats.com/fight-details/93a1cd50374397c0" TargetMode="External"/><Relationship Id="rId174" Type="http://schemas.openxmlformats.org/officeDocument/2006/relationships/hyperlink" Target="http://ufcstats.com/fight-details/9c3fb95a1558b38d" TargetMode="External"/><Relationship Id="rId381" Type="http://schemas.openxmlformats.org/officeDocument/2006/relationships/hyperlink" Target="http://ufcstats.com/fight-details/997ab1ea9fab5643" TargetMode="External"/><Relationship Id="rId241" Type="http://schemas.openxmlformats.org/officeDocument/2006/relationships/hyperlink" Target="http://ufcstats.com/fight-details/50935ae1627fc89b" TargetMode="External"/><Relationship Id="rId437" Type="http://schemas.openxmlformats.org/officeDocument/2006/relationships/hyperlink" Target="http://ufcstats.com/fight-details/cdf048ec9b917cfa" TargetMode="External"/><Relationship Id="rId479" Type="http://schemas.openxmlformats.org/officeDocument/2006/relationships/hyperlink" Target="http://ufcstats.com/fight-details/69fa167ba5d0fd82" TargetMode="External"/><Relationship Id="rId36" Type="http://schemas.openxmlformats.org/officeDocument/2006/relationships/hyperlink" Target="http://ufcstats.com/fight-details/688908886d8ac900" TargetMode="External"/><Relationship Id="rId283" Type="http://schemas.openxmlformats.org/officeDocument/2006/relationships/hyperlink" Target="http://ufcstats.com/fight-details/632c2d4ed12f2bdf" TargetMode="External"/><Relationship Id="rId339" Type="http://schemas.openxmlformats.org/officeDocument/2006/relationships/hyperlink" Target="http://ufcstats.com/fight-details/a27a355f52883f3e" TargetMode="External"/><Relationship Id="rId490" Type="http://schemas.openxmlformats.org/officeDocument/2006/relationships/hyperlink" Target="http://ufcstats.com/fight-details/4785bf265d05d85f" TargetMode="External"/><Relationship Id="rId504" Type="http://schemas.openxmlformats.org/officeDocument/2006/relationships/hyperlink" Target="http://ufcstats.com/fight-details/dc0ab34f1952cb48" TargetMode="External"/><Relationship Id="rId78" Type="http://schemas.openxmlformats.org/officeDocument/2006/relationships/hyperlink" Target="http://ufcstats.com/fight-details/1b0d5e65fdfc62cf" TargetMode="External"/><Relationship Id="rId101" Type="http://schemas.openxmlformats.org/officeDocument/2006/relationships/hyperlink" Target="http://ufcstats.com/fight-details/04e6198326be4857" TargetMode="External"/><Relationship Id="rId143" Type="http://schemas.openxmlformats.org/officeDocument/2006/relationships/hyperlink" Target="http://ufcstats.com/fight-details/181c3312f14de5a8" TargetMode="External"/><Relationship Id="rId185" Type="http://schemas.openxmlformats.org/officeDocument/2006/relationships/hyperlink" Target="http://ufcstats.com/fight-details/818b55b087013e64" TargetMode="External"/><Relationship Id="rId350" Type="http://schemas.openxmlformats.org/officeDocument/2006/relationships/hyperlink" Target="http://ufcstats.com/fight-details/3760216f68f448b7" TargetMode="External"/><Relationship Id="rId406" Type="http://schemas.openxmlformats.org/officeDocument/2006/relationships/hyperlink" Target="http://ufcstats.com/fight-details/216fddf542707629" TargetMode="External"/><Relationship Id="rId9" Type="http://schemas.openxmlformats.org/officeDocument/2006/relationships/hyperlink" Target="http://ufcstats.com/fight-details/3a4d2a933a3c7291" TargetMode="External"/><Relationship Id="rId210" Type="http://schemas.openxmlformats.org/officeDocument/2006/relationships/hyperlink" Target="http://ufcstats.com/fight-details/ea66be2688f542be" TargetMode="External"/><Relationship Id="rId392" Type="http://schemas.openxmlformats.org/officeDocument/2006/relationships/hyperlink" Target="http://ufcstats.com/fight-details/6655a8da2655f2d0" TargetMode="External"/><Relationship Id="rId448" Type="http://schemas.openxmlformats.org/officeDocument/2006/relationships/hyperlink" Target="http://ufcstats.com/fight-details/72f123ddb4cc9d1c" TargetMode="External"/><Relationship Id="rId252" Type="http://schemas.openxmlformats.org/officeDocument/2006/relationships/hyperlink" Target="http://ufcstats.com/fight-details/dcf052ef89a66397" TargetMode="External"/><Relationship Id="rId294" Type="http://schemas.openxmlformats.org/officeDocument/2006/relationships/hyperlink" Target="http://ufcstats.com/fight-details/0bcb04163f8d8ead" TargetMode="External"/><Relationship Id="rId308" Type="http://schemas.openxmlformats.org/officeDocument/2006/relationships/hyperlink" Target="http://ufcstats.com/fight-details/8c220d4c96895a98" TargetMode="External"/><Relationship Id="rId47" Type="http://schemas.openxmlformats.org/officeDocument/2006/relationships/hyperlink" Target="http://ufcstats.com/fight-details/52565f62fb3822db" TargetMode="External"/><Relationship Id="rId89" Type="http://schemas.openxmlformats.org/officeDocument/2006/relationships/hyperlink" Target="http://ufcstats.com/fight-details/b9e037a45f8850fb" TargetMode="External"/><Relationship Id="rId112" Type="http://schemas.openxmlformats.org/officeDocument/2006/relationships/hyperlink" Target="http://ufcstats.com/fight-details/b4f88d65b47c2a39" TargetMode="External"/><Relationship Id="rId154" Type="http://schemas.openxmlformats.org/officeDocument/2006/relationships/hyperlink" Target="http://ufcstats.com/fight-details/76b9a338597fc604" TargetMode="External"/><Relationship Id="rId361" Type="http://schemas.openxmlformats.org/officeDocument/2006/relationships/hyperlink" Target="http://ufcstats.com/fight-details/022bdd58cc6e571d" TargetMode="External"/><Relationship Id="rId196" Type="http://schemas.openxmlformats.org/officeDocument/2006/relationships/hyperlink" Target="http://ufcstats.com/fight-details/4e6bbc5832e55f64" TargetMode="External"/><Relationship Id="rId417" Type="http://schemas.openxmlformats.org/officeDocument/2006/relationships/hyperlink" Target="http://ufcstats.com/fight-details/6e705b2365bc03fa" TargetMode="External"/><Relationship Id="rId459" Type="http://schemas.openxmlformats.org/officeDocument/2006/relationships/hyperlink" Target="http://ufcstats.com/fight-details/1d166488129030d0" TargetMode="External"/><Relationship Id="rId16" Type="http://schemas.openxmlformats.org/officeDocument/2006/relationships/hyperlink" Target="http://ufcstats.com/fight-details/c26f27667c230391" TargetMode="External"/><Relationship Id="rId221" Type="http://schemas.openxmlformats.org/officeDocument/2006/relationships/hyperlink" Target="http://ufcstats.com/fight-details/f597d2e69ab7c270" TargetMode="External"/><Relationship Id="rId263" Type="http://schemas.openxmlformats.org/officeDocument/2006/relationships/hyperlink" Target="http://ufcstats.com/fight-details/541e5c7a87712fc2" TargetMode="External"/><Relationship Id="rId319" Type="http://schemas.openxmlformats.org/officeDocument/2006/relationships/hyperlink" Target="http://ufcstats.com/fight-details/9c1a2ac64c98d2f6" TargetMode="External"/><Relationship Id="rId470" Type="http://schemas.openxmlformats.org/officeDocument/2006/relationships/hyperlink" Target="http://ufcstats.com/fight-details/5cad3ab6553e9ec9" TargetMode="External"/><Relationship Id="rId58" Type="http://schemas.openxmlformats.org/officeDocument/2006/relationships/hyperlink" Target="http://ufcstats.com/fight-details/f2ac86cd3e863243" TargetMode="External"/><Relationship Id="rId123" Type="http://schemas.openxmlformats.org/officeDocument/2006/relationships/hyperlink" Target="http://ufcstats.com/fight-details/84cde29aebf6c00c" TargetMode="External"/><Relationship Id="rId330" Type="http://schemas.openxmlformats.org/officeDocument/2006/relationships/hyperlink" Target="http://ufcstats.com/fight-details/bf2a9732af50c84c" TargetMode="External"/><Relationship Id="rId165" Type="http://schemas.openxmlformats.org/officeDocument/2006/relationships/hyperlink" Target="http://ufcstats.com/fight-details/08244974cf39ae38" TargetMode="External"/><Relationship Id="rId372" Type="http://schemas.openxmlformats.org/officeDocument/2006/relationships/hyperlink" Target="http://ufcstats.com/fight-details/3d35f25d9792a69a" TargetMode="External"/><Relationship Id="rId428" Type="http://schemas.openxmlformats.org/officeDocument/2006/relationships/hyperlink" Target="http://ufcstats.com/fight-details/173d576e6247a88a" TargetMode="External"/><Relationship Id="rId232" Type="http://schemas.openxmlformats.org/officeDocument/2006/relationships/hyperlink" Target="http://ufcstats.com/fight-details/5f0aa841c21f7d30" TargetMode="External"/><Relationship Id="rId274" Type="http://schemas.openxmlformats.org/officeDocument/2006/relationships/hyperlink" Target="http://ufcstats.com/fight-details/abeaae1a64934178" TargetMode="External"/><Relationship Id="rId481" Type="http://schemas.openxmlformats.org/officeDocument/2006/relationships/hyperlink" Target="http://ufcstats.com/fight-details/f6efb09c01e4cac6" TargetMode="External"/><Relationship Id="rId27" Type="http://schemas.openxmlformats.org/officeDocument/2006/relationships/hyperlink" Target="http://ufcstats.com/fight-details/be2e28ba3bdeb400" TargetMode="External"/><Relationship Id="rId69" Type="http://schemas.openxmlformats.org/officeDocument/2006/relationships/hyperlink" Target="http://ufcstats.com/fight-details/7ca5604d99220e88" TargetMode="External"/><Relationship Id="rId134" Type="http://schemas.openxmlformats.org/officeDocument/2006/relationships/hyperlink" Target="http://ufcstats.com/fight-details/6a0341234ecc4e87" TargetMode="External"/><Relationship Id="rId80" Type="http://schemas.openxmlformats.org/officeDocument/2006/relationships/hyperlink" Target="http://ufcstats.com/fight-details/9541cf21e031354c" TargetMode="External"/><Relationship Id="rId176" Type="http://schemas.openxmlformats.org/officeDocument/2006/relationships/hyperlink" Target="http://ufcstats.com/fight-details/462a95890423d3c6" TargetMode="External"/><Relationship Id="rId341" Type="http://schemas.openxmlformats.org/officeDocument/2006/relationships/hyperlink" Target="http://ufcstats.com/fight-details/d42410f6f1039ab5" TargetMode="External"/><Relationship Id="rId383" Type="http://schemas.openxmlformats.org/officeDocument/2006/relationships/hyperlink" Target="http://ufcstats.com/fight-details/bb7408d59b7279f7" TargetMode="External"/><Relationship Id="rId439" Type="http://schemas.openxmlformats.org/officeDocument/2006/relationships/hyperlink" Target="http://ufcstats.com/fight-details/520f6379fefd8fda" TargetMode="External"/><Relationship Id="rId201" Type="http://schemas.openxmlformats.org/officeDocument/2006/relationships/hyperlink" Target="http://ufcstats.com/fight-details/e85e83ab4e60e768" TargetMode="External"/><Relationship Id="rId243" Type="http://schemas.openxmlformats.org/officeDocument/2006/relationships/hyperlink" Target="http://ufcstats.com/fight-details/0344687c9852b1d2" TargetMode="External"/><Relationship Id="rId285" Type="http://schemas.openxmlformats.org/officeDocument/2006/relationships/hyperlink" Target="http://ufcstats.com/fight-details/1cf69de0eea46877" TargetMode="External"/><Relationship Id="rId450" Type="http://schemas.openxmlformats.org/officeDocument/2006/relationships/hyperlink" Target="http://ufcstats.com/fight-details/478221ad98336565" TargetMode="External"/><Relationship Id="rId506" Type="http://schemas.openxmlformats.org/officeDocument/2006/relationships/hyperlink" Target="http://ufcstats.com/fight-details/84c5035830ebb421" TargetMode="External"/><Relationship Id="rId38" Type="http://schemas.openxmlformats.org/officeDocument/2006/relationships/hyperlink" Target="http://ufcstats.com/fight-details/4dd3035430a5ed43" TargetMode="External"/><Relationship Id="rId103" Type="http://schemas.openxmlformats.org/officeDocument/2006/relationships/hyperlink" Target="http://ufcstats.com/fight-details/4f6e7159e77d4215" TargetMode="External"/><Relationship Id="rId310" Type="http://schemas.openxmlformats.org/officeDocument/2006/relationships/hyperlink" Target="http://ufcstats.com/fight-details/ce3d94186567a684" TargetMode="External"/><Relationship Id="rId492" Type="http://schemas.openxmlformats.org/officeDocument/2006/relationships/hyperlink" Target="http://ufcstats.com/fight-details/b66f4fa1b9b96b51" TargetMode="External"/><Relationship Id="rId91" Type="http://schemas.openxmlformats.org/officeDocument/2006/relationships/hyperlink" Target="http://ufcstats.com/fight-details/28af78600d6580f1" TargetMode="External"/><Relationship Id="rId145" Type="http://schemas.openxmlformats.org/officeDocument/2006/relationships/hyperlink" Target="http://ufcstats.com/fight-details/e4d0be5ae320c4ae" TargetMode="External"/><Relationship Id="rId187" Type="http://schemas.openxmlformats.org/officeDocument/2006/relationships/hyperlink" Target="http://ufcstats.com/fight-details/3812b265afd78186" TargetMode="External"/><Relationship Id="rId352" Type="http://schemas.openxmlformats.org/officeDocument/2006/relationships/hyperlink" Target="http://ufcstats.com/fight-details/e54fe354981fe3e7" TargetMode="External"/><Relationship Id="rId394" Type="http://schemas.openxmlformats.org/officeDocument/2006/relationships/hyperlink" Target="http://ufcstats.com/fight-details/5cd1869013741767" TargetMode="External"/><Relationship Id="rId408" Type="http://schemas.openxmlformats.org/officeDocument/2006/relationships/hyperlink" Target="http://ufcstats.com/fight-details/0ccd16201ac41ef8" TargetMode="External"/><Relationship Id="rId212" Type="http://schemas.openxmlformats.org/officeDocument/2006/relationships/hyperlink" Target="http://ufcstats.com/fight-details/1b0fa021b1158121" TargetMode="External"/><Relationship Id="rId254" Type="http://schemas.openxmlformats.org/officeDocument/2006/relationships/hyperlink" Target="http://ufcstats.com/fight-details/3bd5dbc1598c409d" TargetMode="External"/><Relationship Id="rId49" Type="http://schemas.openxmlformats.org/officeDocument/2006/relationships/hyperlink" Target="http://ufcstats.com/fight-details/62eaf9f2436bef25" TargetMode="External"/><Relationship Id="rId114" Type="http://schemas.openxmlformats.org/officeDocument/2006/relationships/hyperlink" Target="http://ufcstats.com/fight-details/537a5aa4c248830e" TargetMode="External"/><Relationship Id="rId296" Type="http://schemas.openxmlformats.org/officeDocument/2006/relationships/hyperlink" Target="http://ufcstats.com/fight-details/128ab9aa4802c73f" TargetMode="External"/><Relationship Id="rId461" Type="http://schemas.openxmlformats.org/officeDocument/2006/relationships/hyperlink" Target="http://ufcstats.com/fight-details/7484298ad57099be" TargetMode="External"/><Relationship Id="rId60" Type="http://schemas.openxmlformats.org/officeDocument/2006/relationships/hyperlink" Target="http://ufcstats.com/fight-details/2ab47d509ee7dc6d" TargetMode="External"/><Relationship Id="rId156" Type="http://schemas.openxmlformats.org/officeDocument/2006/relationships/hyperlink" Target="http://ufcstats.com/fight-details/d4c314616eac8f8b" TargetMode="External"/><Relationship Id="rId198" Type="http://schemas.openxmlformats.org/officeDocument/2006/relationships/hyperlink" Target="http://ufcstats.com/fight-details/c7bc8750e9503805" TargetMode="External"/><Relationship Id="rId321" Type="http://schemas.openxmlformats.org/officeDocument/2006/relationships/hyperlink" Target="http://ufcstats.com/fight-details/b436dda934059631" TargetMode="External"/><Relationship Id="rId363" Type="http://schemas.openxmlformats.org/officeDocument/2006/relationships/hyperlink" Target="http://ufcstats.com/fight-details/2d8db91f91f68069" TargetMode="External"/><Relationship Id="rId419" Type="http://schemas.openxmlformats.org/officeDocument/2006/relationships/hyperlink" Target="http://ufcstats.com/fight-details/bcef35d6e0964f01" TargetMode="External"/><Relationship Id="rId223" Type="http://schemas.openxmlformats.org/officeDocument/2006/relationships/hyperlink" Target="http://ufcstats.com/fight-details/bcf842992f9accdc" TargetMode="External"/><Relationship Id="rId430" Type="http://schemas.openxmlformats.org/officeDocument/2006/relationships/hyperlink" Target="http://ufcstats.com/fight-details/076c98ac0561521f" TargetMode="External"/><Relationship Id="rId18" Type="http://schemas.openxmlformats.org/officeDocument/2006/relationships/hyperlink" Target="http://ufcstats.com/fight-details/fcc1191761e365f9" TargetMode="External"/><Relationship Id="rId265" Type="http://schemas.openxmlformats.org/officeDocument/2006/relationships/hyperlink" Target="http://ufcstats.com/fight-details/0452dd001f4adb6e" TargetMode="External"/><Relationship Id="rId472" Type="http://schemas.openxmlformats.org/officeDocument/2006/relationships/hyperlink" Target="http://ufcstats.com/fight-details/ff64fc34065565d0" TargetMode="External"/><Relationship Id="rId125" Type="http://schemas.openxmlformats.org/officeDocument/2006/relationships/hyperlink" Target="http://ufcstats.com/fight-details/ae0afbff5ba07a34" TargetMode="External"/><Relationship Id="rId167" Type="http://schemas.openxmlformats.org/officeDocument/2006/relationships/hyperlink" Target="http://ufcstats.com/fight-details/ed94cdc0f2b97e15" TargetMode="External"/><Relationship Id="rId332" Type="http://schemas.openxmlformats.org/officeDocument/2006/relationships/hyperlink" Target="http://ufcstats.com/fight-details/bd0622b184ab4f28" TargetMode="External"/><Relationship Id="rId374" Type="http://schemas.openxmlformats.org/officeDocument/2006/relationships/hyperlink" Target="http://ufcstats.com/fight-details/c88a7dbe7717d2da" TargetMode="External"/><Relationship Id="rId71" Type="http://schemas.openxmlformats.org/officeDocument/2006/relationships/hyperlink" Target="http://ufcstats.com/fight-details/0e6782b758451063" TargetMode="External"/><Relationship Id="rId234" Type="http://schemas.openxmlformats.org/officeDocument/2006/relationships/hyperlink" Target="http://ufcstats.com/fight-details/019983faebec6d64" TargetMode="External"/><Relationship Id="rId2" Type="http://schemas.openxmlformats.org/officeDocument/2006/relationships/hyperlink" Target="http://ufcstats.com/fight-details/4622ec182e7fed6b" TargetMode="External"/><Relationship Id="rId29" Type="http://schemas.openxmlformats.org/officeDocument/2006/relationships/hyperlink" Target="http://ufcstats.com/fight-details/f4e262b04f4e94bd" TargetMode="External"/><Relationship Id="rId276" Type="http://schemas.openxmlformats.org/officeDocument/2006/relationships/hyperlink" Target="http://ufcstats.com/fight-details/7d60cb78ea70fae0" TargetMode="External"/><Relationship Id="rId441" Type="http://schemas.openxmlformats.org/officeDocument/2006/relationships/hyperlink" Target="http://ufcstats.com/fight-details/fa3f04be9344804b" TargetMode="External"/><Relationship Id="rId483" Type="http://schemas.openxmlformats.org/officeDocument/2006/relationships/hyperlink" Target="http://ufcstats.com/fight-details/4924d7a980f4cde2" TargetMode="External"/><Relationship Id="rId40" Type="http://schemas.openxmlformats.org/officeDocument/2006/relationships/hyperlink" Target="http://ufcstats.com/fight-details/e0e22d7bc5a293e8" TargetMode="External"/><Relationship Id="rId136" Type="http://schemas.openxmlformats.org/officeDocument/2006/relationships/hyperlink" Target="http://ufcstats.com/fight-details/931fd51ab69fb443" TargetMode="External"/><Relationship Id="rId178" Type="http://schemas.openxmlformats.org/officeDocument/2006/relationships/hyperlink" Target="http://ufcstats.com/fight-details/96d33e46267d4eaf" TargetMode="External"/><Relationship Id="rId301" Type="http://schemas.openxmlformats.org/officeDocument/2006/relationships/hyperlink" Target="http://ufcstats.com/fight-details/d3c0dfa57950aefd" TargetMode="External"/><Relationship Id="rId343" Type="http://schemas.openxmlformats.org/officeDocument/2006/relationships/hyperlink" Target="http://ufcstats.com/fight-details/636b01ee49925e49" TargetMode="External"/><Relationship Id="rId82" Type="http://schemas.openxmlformats.org/officeDocument/2006/relationships/hyperlink" Target="http://ufcstats.com/fight-details/8362b372adb2f302" TargetMode="External"/><Relationship Id="rId203" Type="http://schemas.openxmlformats.org/officeDocument/2006/relationships/hyperlink" Target="http://ufcstats.com/fight-details/b71192c8fe23078c" TargetMode="External"/><Relationship Id="rId385" Type="http://schemas.openxmlformats.org/officeDocument/2006/relationships/hyperlink" Target="http://ufcstats.com/fight-details/f3a60ca18747aeac" TargetMode="External"/><Relationship Id="rId245" Type="http://schemas.openxmlformats.org/officeDocument/2006/relationships/hyperlink" Target="http://ufcstats.com/fight-details/1eb0491642f276ed" TargetMode="External"/><Relationship Id="rId287" Type="http://schemas.openxmlformats.org/officeDocument/2006/relationships/hyperlink" Target="http://ufcstats.com/fight-details/e175c1a0bff30187" TargetMode="External"/><Relationship Id="rId410" Type="http://schemas.openxmlformats.org/officeDocument/2006/relationships/hyperlink" Target="http://ufcstats.com/fight-details/04d37c1c206c0efd" TargetMode="External"/><Relationship Id="rId452" Type="http://schemas.openxmlformats.org/officeDocument/2006/relationships/hyperlink" Target="http://ufcstats.com/fight-details/e322eae035f7c00f" TargetMode="External"/><Relationship Id="rId494" Type="http://schemas.openxmlformats.org/officeDocument/2006/relationships/hyperlink" Target="http://ufcstats.com/fight-details/94b1596c6ff9a25d" TargetMode="External"/><Relationship Id="rId508" Type="http://schemas.openxmlformats.org/officeDocument/2006/relationships/hyperlink" Target="http://ufcstats.com/fight-details/977a758d869f9e7a" TargetMode="External"/><Relationship Id="rId105" Type="http://schemas.openxmlformats.org/officeDocument/2006/relationships/hyperlink" Target="http://ufcstats.com/fight-details/70b8d357e89383bd" TargetMode="External"/><Relationship Id="rId147" Type="http://schemas.openxmlformats.org/officeDocument/2006/relationships/hyperlink" Target="http://ufcstats.com/fight-details/22fe6779c3fa649d" TargetMode="External"/><Relationship Id="rId312" Type="http://schemas.openxmlformats.org/officeDocument/2006/relationships/hyperlink" Target="http://ufcstats.com/fight-details/b1be8b41b1a4fd85" TargetMode="External"/><Relationship Id="rId354" Type="http://schemas.openxmlformats.org/officeDocument/2006/relationships/hyperlink" Target="http://ufcstats.com/fight-details/0810cdbeb9dd4d02" TargetMode="External"/><Relationship Id="rId51" Type="http://schemas.openxmlformats.org/officeDocument/2006/relationships/hyperlink" Target="http://ufcstats.com/fight-details/d764ef3e078c96c8" TargetMode="External"/><Relationship Id="rId93" Type="http://schemas.openxmlformats.org/officeDocument/2006/relationships/hyperlink" Target="http://ufcstats.com/fight-details/9f09e77e46f15766" TargetMode="External"/><Relationship Id="rId189" Type="http://schemas.openxmlformats.org/officeDocument/2006/relationships/hyperlink" Target="http://ufcstats.com/fight-details/8cc4c597aecbfef5" TargetMode="External"/><Relationship Id="rId396" Type="http://schemas.openxmlformats.org/officeDocument/2006/relationships/hyperlink" Target="http://ufcstats.com/fight-details/ddb015ac5c067aa9" TargetMode="External"/><Relationship Id="rId214" Type="http://schemas.openxmlformats.org/officeDocument/2006/relationships/hyperlink" Target="http://ufcstats.com/fight-details/147d2ab0230af48d" TargetMode="External"/><Relationship Id="rId256" Type="http://schemas.openxmlformats.org/officeDocument/2006/relationships/hyperlink" Target="http://ufcstats.com/fight-details/6066dc40bb3ce8db" TargetMode="External"/><Relationship Id="rId298" Type="http://schemas.openxmlformats.org/officeDocument/2006/relationships/hyperlink" Target="http://ufcstats.com/fight-details/86dff1593d8b9a1f" TargetMode="External"/><Relationship Id="rId421" Type="http://schemas.openxmlformats.org/officeDocument/2006/relationships/hyperlink" Target="http://ufcstats.com/fight-details/79bfba62da6242a6" TargetMode="External"/><Relationship Id="rId463" Type="http://schemas.openxmlformats.org/officeDocument/2006/relationships/hyperlink" Target="http://ufcstats.com/fight-details/b2625001e0b89369" TargetMode="External"/><Relationship Id="rId116" Type="http://schemas.openxmlformats.org/officeDocument/2006/relationships/hyperlink" Target="http://ufcstats.com/fight-details/1ff89e2a9cc2f2d2" TargetMode="External"/><Relationship Id="rId158" Type="http://schemas.openxmlformats.org/officeDocument/2006/relationships/hyperlink" Target="http://ufcstats.com/fight-details/0f369d09416b9e34" TargetMode="External"/><Relationship Id="rId323" Type="http://schemas.openxmlformats.org/officeDocument/2006/relationships/hyperlink" Target="http://ufcstats.com/fight-details/06f37329b223b451" TargetMode="External"/><Relationship Id="rId20" Type="http://schemas.openxmlformats.org/officeDocument/2006/relationships/hyperlink" Target="http://ufcstats.com/fight-details/533984c3ff4b4858" TargetMode="External"/><Relationship Id="rId62" Type="http://schemas.openxmlformats.org/officeDocument/2006/relationships/hyperlink" Target="http://ufcstats.com/fight-details/72d6996a60856b5f" TargetMode="External"/><Relationship Id="rId365" Type="http://schemas.openxmlformats.org/officeDocument/2006/relationships/hyperlink" Target="http://ufcstats.com/fight-details/43b416cf0c75dbd7" TargetMode="External"/><Relationship Id="rId225" Type="http://schemas.openxmlformats.org/officeDocument/2006/relationships/hyperlink" Target="http://ufcstats.com/fight-details/1645ed92dcdc5c03" TargetMode="External"/><Relationship Id="rId267" Type="http://schemas.openxmlformats.org/officeDocument/2006/relationships/hyperlink" Target="http://ufcstats.com/fight-details/c3ef3cb03edde8bb" TargetMode="External"/><Relationship Id="rId432" Type="http://schemas.openxmlformats.org/officeDocument/2006/relationships/hyperlink" Target="http://ufcstats.com/fight-details/164f56eb25d6a9b4" TargetMode="External"/><Relationship Id="rId474" Type="http://schemas.openxmlformats.org/officeDocument/2006/relationships/hyperlink" Target="http://ufcstats.com/fight-details/71499934c065fecb" TargetMode="External"/><Relationship Id="rId127" Type="http://schemas.openxmlformats.org/officeDocument/2006/relationships/hyperlink" Target="http://ufcstats.com/fight-details/1f2f27b36e79da74" TargetMode="External"/><Relationship Id="rId31" Type="http://schemas.openxmlformats.org/officeDocument/2006/relationships/hyperlink" Target="http://ufcstats.com/fight-details/cab532b4544580bd" TargetMode="External"/><Relationship Id="rId73" Type="http://schemas.openxmlformats.org/officeDocument/2006/relationships/hyperlink" Target="http://ufcstats.com/fight-details/1a7cd191f0cf160c" TargetMode="External"/><Relationship Id="rId169" Type="http://schemas.openxmlformats.org/officeDocument/2006/relationships/hyperlink" Target="http://ufcstats.com/fight-details/6ea23c2c30f85a89" TargetMode="External"/><Relationship Id="rId334" Type="http://schemas.openxmlformats.org/officeDocument/2006/relationships/hyperlink" Target="http://ufcstats.com/fight-details/ea43a5fe4ff9a3c4" TargetMode="External"/><Relationship Id="rId376" Type="http://schemas.openxmlformats.org/officeDocument/2006/relationships/hyperlink" Target="http://ufcstats.com/fight-details/a5ea53104392fa9f" TargetMode="External"/><Relationship Id="rId4" Type="http://schemas.openxmlformats.org/officeDocument/2006/relationships/hyperlink" Target="http://ufcstats.com/fight-details/01e8868086004dd8" TargetMode="External"/><Relationship Id="rId180" Type="http://schemas.openxmlformats.org/officeDocument/2006/relationships/hyperlink" Target="http://ufcstats.com/fight-details/c48af5eafb532d0a" TargetMode="External"/><Relationship Id="rId236" Type="http://schemas.openxmlformats.org/officeDocument/2006/relationships/hyperlink" Target="http://ufcstats.com/fight-details/2e209dc450b7ebe3" TargetMode="External"/><Relationship Id="rId278" Type="http://schemas.openxmlformats.org/officeDocument/2006/relationships/hyperlink" Target="http://ufcstats.com/fight-details/d15a87087b6f1452" TargetMode="External"/><Relationship Id="rId401" Type="http://schemas.openxmlformats.org/officeDocument/2006/relationships/hyperlink" Target="http://ufcstats.com/fight-details/10b31e991c2d0d4e" TargetMode="External"/><Relationship Id="rId443" Type="http://schemas.openxmlformats.org/officeDocument/2006/relationships/hyperlink" Target="http://ufcstats.com/fight-details/c827f5212a34bf2e" TargetMode="External"/><Relationship Id="rId303" Type="http://schemas.openxmlformats.org/officeDocument/2006/relationships/hyperlink" Target="http://ufcstats.com/fight-details/e0e2c1fc1a178d89" TargetMode="External"/><Relationship Id="rId485" Type="http://schemas.openxmlformats.org/officeDocument/2006/relationships/hyperlink" Target="http://ufcstats.com/fight-details/a3731057c8775716" TargetMode="External"/><Relationship Id="rId42" Type="http://schemas.openxmlformats.org/officeDocument/2006/relationships/hyperlink" Target="http://ufcstats.com/fight-details/48a9d2a3967d13a4" TargetMode="External"/><Relationship Id="rId84" Type="http://schemas.openxmlformats.org/officeDocument/2006/relationships/hyperlink" Target="http://ufcstats.com/fight-details/46c67efd68a0b15d" TargetMode="External"/><Relationship Id="rId138" Type="http://schemas.openxmlformats.org/officeDocument/2006/relationships/hyperlink" Target="http://ufcstats.com/fight-details/86d6e09932c5b551" TargetMode="External"/><Relationship Id="rId345" Type="http://schemas.openxmlformats.org/officeDocument/2006/relationships/hyperlink" Target="http://ufcstats.com/fight-details/07468b6347ac5e3d" TargetMode="External"/><Relationship Id="rId387" Type="http://schemas.openxmlformats.org/officeDocument/2006/relationships/hyperlink" Target="http://ufcstats.com/fight-details/f59cefe16905d62c" TargetMode="External"/><Relationship Id="rId510" Type="http://schemas.openxmlformats.org/officeDocument/2006/relationships/hyperlink" Target="http://ufcstats.com/fight-details/1901d27ea35ae733" TargetMode="External"/><Relationship Id="rId191" Type="http://schemas.openxmlformats.org/officeDocument/2006/relationships/hyperlink" Target="http://ufcstats.com/fight-details/bac3ac8d7330d05d" TargetMode="External"/><Relationship Id="rId205" Type="http://schemas.openxmlformats.org/officeDocument/2006/relationships/hyperlink" Target="http://ufcstats.com/fight-details/53febf2fb416f9de" TargetMode="External"/><Relationship Id="rId247" Type="http://schemas.openxmlformats.org/officeDocument/2006/relationships/hyperlink" Target="http://ufcstats.com/fight-details/345b1bc51f0f5e86" TargetMode="External"/><Relationship Id="rId412" Type="http://schemas.openxmlformats.org/officeDocument/2006/relationships/hyperlink" Target="http://ufcstats.com/fight-details/1aedd959f1523a27" TargetMode="External"/><Relationship Id="rId107" Type="http://schemas.openxmlformats.org/officeDocument/2006/relationships/hyperlink" Target="http://ufcstats.com/fight-details/901e62b7af57f559" TargetMode="External"/><Relationship Id="rId289" Type="http://schemas.openxmlformats.org/officeDocument/2006/relationships/hyperlink" Target="http://ufcstats.com/fight-details/2f82e8079ba354f4" TargetMode="External"/><Relationship Id="rId454" Type="http://schemas.openxmlformats.org/officeDocument/2006/relationships/hyperlink" Target="http://ufcstats.com/fight-details/476a6245b43f3119" TargetMode="External"/><Relationship Id="rId496" Type="http://schemas.openxmlformats.org/officeDocument/2006/relationships/hyperlink" Target="http://ufcstats.com/fight-details/18f1b88d8977c216" TargetMode="External"/><Relationship Id="rId11" Type="http://schemas.openxmlformats.org/officeDocument/2006/relationships/hyperlink" Target="http://ufcstats.com/fight-details/7045f8c1d5f6abff" TargetMode="External"/><Relationship Id="rId53" Type="http://schemas.openxmlformats.org/officeDocument/2006/relationships/hyperlink" Target="http://ufcstats.com/fight-details/c4174e22cb22622c" TargetMode="External"/><Relationship Id="rId149" Type="http://schemas.openxmlformats.org/officeDocument/2006/relationships/hyperlink" Target="http://ufcstats.com/fight-details/3a8e4b830750e9d4" TargetMode="External"/><Relationship Id="rId314" Type="http://schemas.openxmlformats.org/officeDocument/2006/relationships/hyperlink" Target="http://ufcstats.com/fight-details/25259e230be9cdc9" TargetMode="External"/><Relationship Id="rId356" Type="http://schemas.openxmlformats.org/officeDocument/2006/relationships/hyperlink" Target="http://ufcstats.com/fight-details/1114cd1515cf3b8f" TargetMode="External"/><Relationship Id="rId398" Type="http://schemas.openxmlformats.org/officeDocument/2006/relationships/hyperlink" Target="http://ufcstats.com/fight-details/5136dc566f46daf6" TargetMode="External"/><Relationship Id="rId95" Type="http://schemas.openxmlformats.org/officeDocument/2006/relationships/hyperlink" Target="http://ufcstats.com/fight-details/0e6d624086f7952e" TargetMode="External"/><Relationship Id="rId160" Type="http://schemas.openxmlformats.org/officeDocument/2006/relationships/hyperlink" Target="http://ufcstats.com/fight-details/f2cd665eab69876a" TargetMode="External"/><Relationship Id="rId216" Type="http://schemas.openxmlformats.org/officeDocument/2006/relationships/hyperlink" Target="http://ufcstats.com/fight-details/903feee04bc91c59" TargetMode="External"/><Relationship Id="rId423" Type="http://schemas.openxmlformats.org/officeDocument/2006/relationships/hyperlink" Target="http://ufcstats.com/fight-details/ef4484943b1c68a9" TargetMode="External"/><Relationship Id="rId258" Type="http://schemas.openxmlformats.org/officeDocument/2006/relationships/hyperlink" Target="http://ufcstats.com/fight-details/3b321550c8b4aae6" TargetMode="External"/><Relationship Id="rId465" Type="http://schemas.openxmlformats.org/officeDocument/2006/relationships/hyperlink" Target="http://ufcstats.com/fight-details/bce8ece2ff26b4d4" TargetMode="External"/><Relationship Id="rId22" Type="http://schemas.openxmlformats.org/officeDocument/2006/relationships/hyperlink" Target="http://ufcstats.com/fight-details/2ac9b3ccb43422d8" TargetMode="External"/><Relationship Id="rId64" Type="http://schemas.openxmlformats.org/officeDocument/2006/relationships/hyperlink" Target="http://ufcstats.com/fight-details/093ca77f7f7219f6" TargetMode="External"/><Relationship Id="rId118" Type="http://schemas.openxmlformats.org/officeDocument/2006/relationships/hyperlink" Target="http://ufcstats.com/fight-details/73d541adc2909dc8" TargetMode="External"/><Relationship Id="rId325" Type="http://schemas.openxmlformats.org/officeDocument/2006/relationships/hyperlink" Target="http://ufcstats.com/fight-details/23ba0218f9f65e33" TargetMode="External"/><Relationship Id="rId367" Type="http://schemas.openxmlformats.org/officeDocument/2006/relationships/hyperlink" Target="http://ufcstats.com/fight-details/02f5621f480ad1d4" TargetMode="External"/><Relationship Id="rId171" Type="http://schemas.openxmlformats.org/officeDocument/2006/relationships/hyperlink" Target="http://ufcstats.com/fight-details/c3bb60dc82345a9f" TargetMode="External"/><Relationship Id="rId227" Type="http://schemas.openxmlformats.org/officeDocument/2006/relationships/hyperlink" Target="http://ufcstats.com/fight-details/e4db3b1669d498c3" TargetMode="External"/><Relationship Id="rId269" Type="http://schemas.openxmlformats.org/officeDocument/2006/relationships/hyperlink" Target="http://ufcstats.com/fight-details/9dfcf675cf2c1575" TargetMode="External"/><Relationship Id="rId434" Type="http://schemas.openxmlformats.org/officeDocument/2006/relationships/hyperlink" Target="http://ufcstats.com/fight-details/59d44b6888885500" TargetMode="External"/><Relationship Id="rId476" Type="http://schemas.openxmlformats.org/officeDocument/2006/relationships/hyperlink" Target="http://ufcstats.com/fight-details/1308213458d8596b" TargetMode="External"/><Relationship Id="rId33" Type="http://schemas.openxmlformats.org/officeDocument/2006/relationships/hyperlink" Target="http://ufcstats.com/fight-details/daa38964824f1b9f" TargetMode="External"/><Relationship Id="rId129" Type="http://schemas.openxmlformats.org/officeDocument/2006/relationships/hyperlink" Target="http://ufcstats.com/fight-details/3d790112d2e6d851" TargetMode="External"/><Relationship Id="rId280" Type="http://schemas.openxmlformats.org/officeDocument/2006/relationships/hyperlink" Target="http://ufcstats.com/fight-details/2f9b9ef5f6833aa1" TargetMode="External"/><Relationship Id="rId336" Type="http://schemas.openxmlformats.org/officeDocument/2006/relationships/hyperlink" Target="http://ufcstats.com/fight-details/6b47093b62155478" TargetMode="External"/><Relationship Id="rId501" Type="http://schemas.openxmlformats.org/officeDocument/2006/relationships/hyperlink" Target="http://ufcstats.com/fight-details/9ed0c3acc436eb56" TargetMode="External"/><Relationship Id="rId75" Type="http://schemas.openxmlformats.org/officeDocument/2006/relationships/hyperlink" Target="http://ufcstats.com/fight-details/da1b37edb8ccd3e6" TargetMode="External"/><Relationship Id="rId140" Type="http://schemas.openxmlformats.org/officeDocument/2006/relationships/hyperlink" Target="http://ufcstats.com/fight-details/d27ac1bc677b89cf" TargetMode="External"/><Relationship Id="rId182" Type="http://schemas.openxmlformats.org/officeDocument/2006/relationships/hyperlink" Target="http://ufcstats.com/fight-details/c53cb796b4a4cdb8" TargetMode="External"/><Relationship Id="rId378" Type="http://schemas.openxmlformats.org/officeDocument/2006/relationships/hyperlink" Target="http://ufcstats.com/fight-details/2300ad7f87080ad7" TargetMode="External"/><Relationship Id="rId403" Type="http://schemas.openxmlformats.org/officeDocument/2006/relationships/hyperlink" Target="http://ufcstats.com/fight-details/29c7cb102ddd7ec4" TargetMode="External"/><Relationship Id="rId6" Type="http://schemas.openxmlformats.org/officeDocument/2006/relationships/hyperlink" Target="http://ufcstats.com/fight-details/d439374c1fc95581" TargetMode="External"/><Relationship Id="rId238" Type="http://schemas.openxmlformats.org/officeDocument/2006/relationships/hyperlink" Target="http://ufcstats.com/fight-details/9c4cbd0546d03f6b" TargetMode="External"/><Relationship Id="rId445" Type="http://schemas.openxmlformats.org/officeDocument/2006/relationships/hyperlink" Target="http://ufcstats.com/fight-details/eba6055d217d5b99" TargetMode="External"/><Relationship Id="rId487" Type="http://schemas.openxmlformats.org/officeDocument/2006/relationships/hyperlink" Target="http://ufcstats.com/fight-details/2d9d966e0e8df232" TargetMode="External"/><Relationship Id="rId291" Type="http://schemas.openxmlformats.org/officeDocument/2006/relationships/hyperlink" Target="http://ufcstats.com/fight-details/f521ecde1e96a1bd" TargetMode="External"/><Relationship Id="rId305" Type="http://schemas.openxmlformats.org/officeDocument/2006/relationships/hyperlink" Target="http://ufcstats.com/fight-details/2a5484a6d5e7a2da" TargetMode="External"/><Relationship Id="rId347" Type="http://schemas.openxmlformats.org/officeDocument/2006/relationships/hyperlink" Target="http://ufcstats.com/fight-details/7f93b2f38497caec" TargetMode="External"/><Relationship Id="rId44" Type="http://schemas.openxmlformats.org/officeDocument/2006/relationships/hyperlink" Target="http://ufcstats.com/fight-details/674f3fa16e717ff1" TargetMode="External"/><Relationship Id="rId86" Type="http://schemas.openxmlformats.org/officeDocument/2006/relationships/hyperlink" Target="http://ufcstats.com/fight-details/7be3e513a31f6570" TargetMode="External"/><Relationship Id="rId151" Type="http://schemas.openxmlformats.org/officeDocument/2006/relationships/hyperlink" Target="http://ufcstats.com/fight-details/86deadaab9905a03" TargetMode="External"/><Relationship Id="rId389" Type="http://schemas.openxmlformats.org/officeDocument/2006/relationships/hyperlink" Target="http://ufcstats.com/fight-details/4d3cbc7608c8958e" TargetMode="External"/><Relationship Id="rId193" Type="http://schemas.openxmlformats.org/officeDocument/2006/relationships/hyperlink" Target="http://ufcstats.com/fight-details/49f7186e1e3cf6c8" TargetMode="External"/><Relationship Id="rId207" Type="http://schemas.openxmlformats.org/officeDocument/2006/relationships/hyperlink" Target="http://ufcstats.com/fight-details/95edc0b6438f2592" TargetMode="External"/><Relationship Id="rId249" Type="http://schemas.openxmlformats.org/officeDocument/2006/relationships/hyperlink" Target="http://ufcstats.com/fight-details/b2c3f1783a0c8530" TargetMode="External"/><Relationship Id="rId414" Type="http://schemas.openxmlformats.org/officeDocument/2006/relationships/hyperlink" Target="http://ufcstats.com/fight-details/0b4583d204797d19" TargetMode="External"/><Relationship Id="rId456" Type="http://schemas.openxmlformats.org/officeDocument/2006/relationships/hyperlink" Target="http://ufcstats.com/fight-details/4a17876e99f6baf3" TargetMode="External"/><Relationship Id="rId498" Type="http://schemas.openxmlformats.org/officeDocument/2006/relationships/hyperlink" Target="http://ufcstats.com/fight-details/c4704eab5e2f51b8" TargetMode="External"/><Relationship Id="rId13" Type="http://schemas.openxmlformats.org/officeDocument/2006/relationships/hyperlink" Target="http://ufcstats.com/fight-details/9c22ddb8d8fc1838" TargetMode="External"/><Relationship Id="rId109" Type="http://schemas.openxmlformats.org/officeDocument/2006/relationships/hyperlink" Target="http://ufcstats.com/fight-details/84ebbad426d25713" TargetMode="External"/><Relationship Id="rId260" Type="http://schemas.openxmlformats.org/officeDocument/2006/relationships/hyperlink" Target="http://ufcstats.com/fight-details/34a39beb93225e2e" TargetMode="External"/><Relationship Id="rId316" Type="http://schemas.openxmlformats.org/officeDocument/2006/relationships/hyperlink" Target="http://ufcstats.com/fight-details/b8648b32caf36c5a" TargetMode="External"/><Relationship Id="rId55" Type="http://schemas.openxmlformats.org/officeDocument/2006/relationships/hyperlink" Target="http://ufcstats.com/fight-details/435c93cb89016fd1" TargetMode="External"/><Relationship Id="rId97" Type="http://schemas.openxmlformats.org/officeDocument/2006/relationships/hyperlink" Target="http://ufcstats.com/fight-details/acc9a109b00a99e1" TargetMode="External"/><Relationship Id="rId120" Type="http://schemas.openxmlformats.org/officeDocument/2006/relationships/hyperlink" Target="http://ufcstats.com/fight-details/df16b9c2fc9722e9" TargetMode="External"/><Relationship Id="rId358" Type="http://schemas.openxmlformats.org/officeDocument/2006/relationships/hyperlink" Target="http://ufcstats.com/fight-details/519dcb290e6db845" TargetMode="External"/><Relationship Id="rId162" Type="http://schemas.openxmlformats.org/officeDocument/2006/relationships/hyperlink" Target="http://ufcstats.com/fight-details/81f2f2d4b0302590" TargetMode="External"/><Relationship Id="rId218" Type="http://schemas.openxmlformats.org/officeDocument/2006/relationships/hyperlink" Target="http://ufcstats.com/fight-details/8b10419db5bffe28" TargetMode="External"/><Relationship Id="rId425" Type="http://schemas.openxmlformats.org/officeDocument/2006/relationships/hyperlink" Target="http://ufcstats.com/fight-details/c8bc7e668ffffc7c" TargetMode="External"/><Relationship Id="rId467" Type="http://schemas.openxmlformats.org/officeDocument/2006/relationships/hyperlink" Target="http://ufcstats.com/fight-details/ecbc282542a395c2" TargetMode="External"/><Relationship Id="rId271" Type="http://schemas.openxmlformats.org/officeDocument/2006/relationships/hyperlink" Target="http://ufcstats.com/fight-details/50cae63d530ede7c" TargetMode="External"/><Relationship Id="rId24" Type="http://schemas.openxmlformats.org/officeDocument/2006/relationships/hyperlink" Target="http://ufcstats.com/fight-details/208c5dc52ccfd47a" TargetMode="External"/><Relationship Id="rId66" Type="http://schemas.openxmlformats.org/officeDocument/2006/relationships/hyperlink" Target="http://ufcstats.com/fight-details/6e559181bfbc77e1" TargetMode="External"/><Relationship Id="rId131" Type="http://schemas.openxmlformats.org/officeDocument/2006/relationships/hyperlink" Target="http://ufcstats.com/fight-details/71b81d8199a0fa19" TargetMode="External"/><Relationship Id="rId327" Type="http://schemas.openxmlformats.org/officeDocument/2006/relationships/hyperlink" Target="http://ufcstats.com/fight-details/0d41a3fa5efef91b" TargetMode="External"/><Relationship Id="rId369" Type="http://schemas.openxmlformats.org/officeDocument/2006/relationships/hyperlink" Target="http://ufcstats.com/fight-details/3ce634d03af7e14c" TargetMode="External"/><Relationship Id="rId173" Type="http://schemas.openxmlformats.org/officeDocument/2006/relationships/hyperlink" Target="http://ufcstats.com/fight-details/d2dc6fb05ad78d80" TargetMode="External"/><Relationship Id="rId229" Type="http://schemas.openxmlformats.org/officeDocument/2006/relationships/hyperlink" Target="http://ufcstats.com/fight-details/ebb94e00d6431e7a" TargetMode="External"/><Relationship Id="rId380" Type="http://schemas.openxmlformats.org/officeDocument/2006/relationships/hyperlink" Target="http://ufcstats.com/fight-details/a1a5d06b0e7ada62" TargetMode="External"/><Relationship Id="rId436" Type="http://schemas.openxmlformats.org/officeDocument/2006/relationships/hyperlink" Target="http://ufcstats.com/fight-details/d43c007dab9c51b0" TargetMode="External"/><Relationship Id="rId240" Type="http://schemas.openxmlformats.org/officeDocument/2006/relationships/hyperlink" Target="http://ufcstats.com/fight-details/11b369120409d2aa" TargetMode="External"/><Relationship Id="rId478" Type="http://schemas.openxmlformats.org/officeDocument/2006/relationships/hyperlink" Target="http://ufcstats.com/fight-details/a2e1116a9fe84aa9" TargetMode="External"/><Relationship Id="rId35" Type="http://schemas.openxmlformats.org/officeDocument/2006/relationships/hyperlink" Target="http://ufcstats.com/fight-details/d7cbe2f23d75afd1" TargetMode="External"/><Relationship Id="rId77" Type="http://schemas.openxmlformats.org/officeDocument/2006/relationships/hyperlink" Target="http://ufcstats.com/fight-details/1b1fd32485861655" TargetMode="External"/><Relationship Id="rId100" Type="http://schemas.openxmlformats.org/officeDocument/2006/relationships/hyperlink" Target="http://ufcstats.com/fight-details/aacb47949a572f25" TargetMode="External"/><Relationship Id="rId282" Type="http://schemas.openxmlformats.org/officeDocument/2006/relationships/hyperlink" Target="http://ufcstats.com/fight-details/79c22394d9c2144d" TargetMode="External"/><Relationship Id="rId338" Type="http://schemas.openxmlformats.org/officeDocument/2006/relationships/hyperlink" Target="http://ufcstats.com/fight-details/138cb102906573f2" TargetMode="External"/><Relationship Id="rId503" Type="http://schemas.openxmlformats.org/officeDocument/2006/relationships/hyperlink" Target="http://ufcstats.com/fight-details/21f7fc538ea646e8" TargetMode="External"/><Relationship Id="rId8" Type="http://schemas.openxmlformats.org/officeDocument/2006/relationships/hyperlink" Target="http://ufcstats.com/fight-details/ca3963b76a38c408" TargetMode="External"/><Relationship Id="rId142" Type="http://schemas.openxmlformats.org/officeDocument/2006/relationships/hyperlink" Target="http://ufcstats.com/fight-details/87d0b767742d3239" TargetMode="External"/><Relationship Id="rId184" Type="http://schemas.openxmlformats.org/officeDocument/2006/relationships/hyperlink" Target="http://ufcstats.com/fight-details/1b4374c9d7e5139c" TargetMode="External"/><Relationship Id="rId391" Type="http://schemas.openxmlformats.org/officeDocument/2006/relationships/hyperlink" Target="http://ufcstats.com/fight-details/344d60564cd136ff" TargetMode="External"/><Relationship Id="rId405" Type="http://schemas.openxmlformats.org/officeDocument/2006/relationships/hyperlink" Target="http://ufcstats.com/fight-details/bb7ce8a6ba7f7cc5" TargetMode="External"/><Relationship Id="rId447" Type="http://schemas.openxmlformats.org/officeDocument/2006/relationships/hyperlink" Target="http://ufcstats.com/fight-details/76fd6919d828d5c2" TargetMode="External"/><Relationship Id="rId251" Type="http://schemas.openxmlformats.org/officeDocument/2006/relationships/hyperlink" Target="http://ufcstats.com/fight-details/d3255f2b8ef2b559" TargetMode="External"/><Relationship Id="rId489" Type="http://schemas.openxmlformats.org/officeDocument/2006/relationships/hyperlink" Target="http://ufcstats.com/fight-details/4ba97e13df33388b" TargetMode="External"/><Relationship Id="rId46" Type="http://schemas.openxmlformats.org/officeDocument/2006/relationships/hyperlink" Target="http://ufcstats.com/fight-details/32990cbf8976d94b" TargetMode="External"/><Relationship Id="rId293" Type="http://schemas.openxmlformats.org/officeDocument/2006/relationships/hyperlink" Target="http://ufcstats.com/fight-details/eed8c9955cad1e30" TargetMode="External"/><Relationship Id="rId307" Type="http://schemas.openxmlformats.org/officeDocument/2006/relationships/hyperlink" Target="http://ufcstats.com/fight-details/18292c8eb20ae045" TargetMode="External"/><Relationship Id="rId349" Type="http://schemas.openxmlformats.org/officeDocument/2006/relationships/hyperlink" Target="http://ufcstats.com/fight-details/156f2425a937b22f" TargetMode="External"/><Relationship Id="rId88" Type="http://schemas.openxmlformats.org/officeDocument/2006/relationships/hyperlink" Target="http://ufcstats.com/fight-details/0c6e3c1f03cd4061" TargetMode="External"/><Relationship Id="rId111" Type="http://schemas.openxmlformats.org/officeDocument/2006/relationships/hyperlink" Target="http://ufcstats.com/fight-details/7c2a02b5ea169b54" TargetMode="External"/><Relationship Id="rId153" Type="http://schemas.openxmlformats.org/officeDocument/2006/relationships/hyperlink" Target="http://ufcstats.com/fight-details/6ba9f6a7a9361354" TargetMode="External"/><Relationship Id="rId195" Type="http://schemas.openxmlformats.org/officeDocument/2006/relationships/hyperlink" Target="http://ufcstats.com/fight-details/1b6e5363eb81c409" TargetMode="External"/><Relationship Id="rId209" Type="http://schemas.openxmlformats.org/officeDocument/2006/relationships/hyperlink" Target="http://ufcstats.com/fight-details/a8d189f56de9b451" TargetMode="External"/><Relationship Id="rId360" Type="http://schemas.openxmlformats.org/officeDocument/2006/relationships/hyperlink" Target="http://ufcstats.com/fight-details/6671b567c4eb9982" TargetMode="External"/><Relationship Id="rId416" Type="http://schemas.openxmlformats.org/officeDocument/2006/relationships/hyperlink" Target="http://ufcstats.com/fight-details/36656dfa32341671" TargetMode="External"/><Relationship Id="rId220" Type="http://schemas.openxmlformats.org/officeDocument/2006/relationships/hyperlink" Target="http://ufcstats.com/fight-details/94c7e64ce88c9b9e" TargetMode="External"/><Relationship Id="rId458" Type="http://schemas.openxmlformats.org/officeDocument/2006/relationships/hyperlink" Target="http://ufcstats.com/fight-details/d9501c6985c1b38d" TargetMode="External"/><Relationship Id="rId15" Type="http://schemas.openxmlformats.org/officeDocument/2006/relationships/hyperlink" Target="http://ufcstats.com/fight-details/acc7392d48cc09a0" TargetMode="External"/><Relationship Id="rId57" Type="http://schemas.openxmlformats.org/officeDocument/2006/relationships/hyperlink" Target="http://ufcstats.com/fight-details/42afd8c4fc85f485" TargetMode="External"/><Relationship Id="rId262" Type="http://schemas.openxmlformats.org/officeDocument/2006/relationships/hyperlink" Target="http://ufcstats.com/fight-details/7ab1cdfe3e540856" TargetMode="External"/><Relationship Id="rId318" Type="http://schemas.openxmlformats.org/officeDocument/2006/relationships/hyperlink" Target="http://ufcstats.com/fight-details/f5a6acc99bc5c634" TargetMode="External"/><Relationship Id="rId99" Type="http://schemas.openxmlformats.org/officeDocument/2006/relationships/hyperlink" Target="http://ufcstats.com/fight-details/21f79cd40513d075" TargetMode="External"/><Relationship Id="rId122" Type="http://schemas.openxmlformats.org/officeDocument/2006/relationships/hyperlink" Target="http://ufcstats.com/fight-details/d66164d2c770da68" TargetMode="External"/><Relationship Id="rId164" Type="http://schemas.openxmlformats.org/officeDocument/2006/relationships/hyperlink" Target="http://ufcstats.com/fight-details/f039c93516e48253" TargetMode="External"/><Relationship Id="rId371" Type="http://schemas.openxmlformats.org/officeDocument/2006/relationships/hyperlink" Target="http://ufcstats.com/fight-details/fa7cde1e2d3ae338" TargetMode="External"/><Relationship Id="rId427" Type="http://schemas.openxmlformats.org/officeDocument/2006/relationships/hyperlink" Target="http://ufcstats.com/fight-details/8c8337ce8437fe2e" TargetMode="External"/><Relationship Id="rId469" Type="http://schemas.openxmlformats.org/officeDocument/2006/relationships/hyperlink" Target="http://ufcstats.com/fight-details/13f5be7a2ea5577e" TargetMode="External"/><Relationship Id="rId26" Type="http://schemas.openxmlformats.org/officeDocument/2006/relationships/hyperlink" Target="http://ufcstats.com/fight-details/73a83b2595416f0a" TargetMode="External"/><Relationship Id="rId231" Type="http://schemas.openxmlformats.org/officeDocument/2006/relationships/hyperlink" Target="http://ufcstats.com/fight-details/4b35edc671de861f" TargetMode="External"/><Relationship Id="rId273" Type="http://schemas.openxmlformats.org/officeDocument/2006/relationships/hyperlink" Target="http://ufcstats.com/fight-details/5a440bdee19efaab" TargetMode="External"/><Relationship Id="rId329" Type="http://schemas.openxmlformats.org/officeDocument/2006/relationships/hyperlink" Target="http://ufcstats.com/fight-details/91aa08e910fb4412" TargetMode="External"/><Relationship Id="rId480" Type="http://schemas.openxmlformats.org/officeDocument/2006/relationships/hyperlink" Target="http://ufcstats.com/fight-details/3a8af8ee23444b72" TargetMode="External"/><Relationship Id="rId68" Type="http://schemas.openxmlformats.org/officeDocument/2006/relationships/hyperlink" Target="http://ufcstats.com/fight-details/8aa07b6cc40f0cb2" TargetMode="External"/><Relationship Id="rId133" Type="http://schemas.openxmlformats.org/officeDocument/2006/relationships/hyperlink" Target="http://ufcstats.com/fight-details/2220b73ece1730c3" TargetMode="External"/><Relationship Id="rId175" Type="http://schemas.openxmlformats.org/officeDocument/2006/relationships/hyperlink" Target="http://ufcstats.com/fight-details/707ba52845d399c9" TargetMode="External"/><Relationship Id="rId340" Type="http://schemas.openxmlformats.org/officeDocument/2006/relationships/hyperlink" Target="http://ufcstats.com/fight-details/6f350d91fb07a819" TargetMode="External"/><Relationship Id="rId200" Type="http://schemas.openxmlformats.org/officeDocument/2006/relationships/hyperlink" Target="http://ufcstats.com/fight-details/e202f273220aa533" TargetMode="External"/><Relationship Id="rId382" Type="http://schemas.openxmlformats.org/officeDocument/2006/relationships/hyperlink" Target="http://ufcstats.com/fight-details/0d9e9127c62811f9" TargetMode="External"/><Relationship Id="rId438" Type="http://schemas.openxmlformats.org/officeDocument/2006/relationships/hyperlink" Target="http://ufcstats.com/fight-details/094790e50afae55e" TargetMode="External"/><Relationship Id="rId242" Type="http://schemas.openxmlformats.org/officeDocument/2006/relationships/hyperlink" Target="http://ufcstats.com/fight-details/d101d2ed58a7cf84" TargetMode="External"/><Relationship Id="rId284" Type="http://schemas.openxmlformats.org/officeDocument/2006/relationships/hyperlink" Target="http://ufcstats.com/fight-details/50dae6b76c9c6490" TargetMode="External"/><Relationship Id="rId491" Type="http://schemas.openxmlformats.org/officeDocument/2006/relationships/hyperlink" Target="http://ufcstats.com/fight-details/c456b1950208e0b2" TargetMode="External"/><Relationship Id="rId505" Type="http://schemas.openxmlformats.org/officeDocument/2006/relationships/hyperlink" Target="http://ufcstats.com/fight-details/4e55251b7a0df0c2" TargetMode="External"/><Relationship Id="rId37" Type="http://schemas.openxmlformats.org/officeDocument/2006/relationships/hyperlink" Target="http://ufcstats.com/fight-details/bef4df43d6052a02" TargetMode="External"/><Relationship Id="rId79" Type="http://schemas.openxmlformats.org/officeDocument/2006/relationships/hyperlink" Target="http://ufcstats.com/fight-details/436a1ce6b0c6b4bb" TargetMode="External"/><Relationship Id="rId102" Type="http://schemas.openxmlformats.org/officeDocument/2006/relationships/hyperlink" Target="http://ufcstats.com/fight-details/760e3f292b834637" TargetMode="External"/><Relationship Id="rId144" Type="http://schemas.openxmlformats.org/officeDocument/2006/relationships/hyperlink" Target="http://ufcstats.com/fight-details/83955de599b2d874" TargetMode="External"/><Relationship Id="rId90" Type="http://schemas.openxmlformats.org/officeDocument/2006/relationships/hyperlink" Target="http://ufcstats.com/fight-details/43ec12079ccc371c" TargetMode="External"/><Relationship Id="rId186" Type="http://schemas.openxmlformats.org/officeDocument/2006/relationships/hyperlink" Target="http://ufcstats.com/fight-details/6173056f0e080ca6" TargetMode="External"/><Relationship Id="rId351" Type="http://schemas.openxmlformats.org/officeDocument/2006/relationships/hyperlink" Target="http://ufcstats.com/fight-details/5742025a09190829" TargetMode="External"/><Relationship Id="rId393" Type="http://schemas.openxmlformats.org/officeDocument/2006/relationships/hyperlink" Target="http://ufcstats.com/fight-details/66ba984cc547e31a" TargetMode="External"/><Relationship Id="rId407" Type="http://schemas.openxmlformats.org/officeDocument/2006/relationships/hyperlink" Target="http://ufcstats.com/fight-details/db1be0ca226d3a2f" TargetMode="External"/><Relationship Id="rId449" Type="http://schemas.openxmlformats.org/officeDocument/2006/relationships/hyperlink" Target="http://ufcstats.com/fight-details/6d9f6f7004c791d5" TargetMode="External"/><Relationship Id="rId211" Type="http://schemas.openxmlformats.org/officeDocument/2006/relationships/hyperlink" Target="http://ufcstats.com/fight-details/50385add37239184" TargetMode="External"/><Relationship Id="rId253" Type="http://schemas.openxmlformats.org/officeDocument/2006/relationships/hyperlink" Target="http://ufcstats.com/fight-details/c82f9bc365ff1074" TargetMode="External"/><Relationship Id="rId295" Type="http://schemas.openxmlformats.org/officeDocument/2006/relationships/hyperlink" Target="http://ufcstats.com/fight-details/538ca98010ed00ec" TargetMode="External"/><Relationship Id="rId309" Type="http://schemas.openxmlformats.org/officeDocument/2006/relationships/hyperlink" Target="http://ufcstats.com/fight-details/34644c44229e41a1" TargetMode="External"/><Relationship Id="rId460" Type="http://schemas.openxmlformats.org/officeDocument/2006/relationships/hyperlink" Target="http://ufcstats.com/fight-details/98842f17dfe4b4ef" TargetMode="External"/><Relationship Id="rId48" Type="http://schemas.openxmlformats.org/officeDocument/2006/relationships/hyperlink" Target="http://ufcstats.com/fight-details/27901ef9e82d5690" TargetMode="External"/><Relationship Id="rId113" Type="http://schemas.openxmlformats.org/officeDocument/2006/relationships/hyperlink" Target="http://ufcstats.com/fight-details/6537a32e7af905b0" TargetMode="External"/><Relationship Id="rId320" Type="http://schemas.openxmlformats.org/officeDocument/2006/relationships/hyperlink" Target="http://ufcstats.com/fight-details/3bb7210200d90d90" TargetMode="External"/><Relationship Id="rId155" Type="http://schemas.openxmlformats.org/officeDocument/2006/relationships/hyperlink" Target="http://ufcstats.com/fight-details/32b0e450b11b32fe" TargetMode="External"/><Relationship Id="rId197" Type="http://schemas.openxmlformats.org/officeDocument/2006/relationships/hyperlink" Target="http://ufcstats.com/fight-details/85f85003fadf7a7b" TargetMode="External"/><Relationship Id="rId362" Type="http://schemas.openxmlformats.org/officeDocument/2006/relationships/hyperlink" Target="http://ufcstats.com/fight-details/976abc27a4e5e26a" TargetMode="External"/><Relationship Id="rId418" Type="http://schemas.openxmlformats.org/officeDocument/2006/relationships/hyperlink" Target="http://ufcstats.com/fight-details/5d481ff494bf40da" TargetMode="External"/><Relationship Id="rId222" Type="http://schemas.openxmlformats.org/officeDocument/2006/relationships/hyperlink" Target="http://ufcstats.com/fight-details/3d95b4f94ccffa96" TargetMode="External"/><Relationship Id="rId264" Type="http://schemas.openxmlformats.org/officeDocument/2006/relationships/hyperlink" Target="http://ufcstats.com/fight-details/c1322d09e8b6efca" TargetMode="External"/><Relationship Id="rId471" Type="http://schemas.openxmlformats.org/officeDocument/2006/relationships/hyperlink" Target="http://ufcstats.com/fight-details/3b05a4ced6dd74f5" TargetMode="External"/><Relationship Id="rId17" Type="http://schemas.openxmlformats.org/officeDocument/2006/relationships/hyperlink" Target="http://ufcstats.com/fight-details/331ddc1141e934d1" TargetMode="External"/><Relationship Id="rId59" Type="http://schemas.openxmlformats.org/officeDocument/2006/relationships/hyperlink" Target="http://ufcstats.com/fight-details/85168b8d99f7ce42" TargetMode="External"/><Relationship Id="rId124" Type="http://schemas.openxmlformats.org/officeDocument/2006/relationships/hyperlink" Target="http://ufcstats.com/fight-details/827aacd14f80e8f3" TargetMode="External"/><Relationship Id="rId70" Type="http://schemas.openxmlformats.org/officeDocument/2006/relationships/hyperlink" Target="http://ufcstats.com/fight-details/d95f21817a56eb05" TargetMode="External"/><Relationship Id="rId166" Type="http://schemas.openxmlformats.org/officeDocument/2006/relationships/hyperlink" Target="http://ufcstats.com/fight-details/a6441acec6718f03" TargetMode="External"/><Relationship Id="rId331" Type="http://schemas.openxmlformats.org/officeDocument/2006/relationships/hyperlink" Target="http://ufcstats.com/fight-details/7503d5c892f238fb" TargetMode="External"/><Relationship Id="rId373" Type="http://schemas.openxmlformats.org/officeDocument/2006/relationships/hyperlink" Target="http://ufcstats.com/fight-details/582806c33ce6dcf6" TargetMode="External"/><Relationship Id="rId429" Type="http://schemas.openxmlformats.org/officeDocument/2006/relationships/hyperlink" Target="http://ufcstats.com/fight-details/a1294453a28beda3" TargetMode="External"/><Relationship Id="rId1" Type="http://schemas.openxmlformats.org/officeDocument/2006/relationships/hyperlink" Target="http://ufcstats.com/fight-details/62acea88e628c3ca" TargetMode="External"/><Relationship Id="rId233" Type="http://schemas.openxmlformats.org/officeDocument/2006/relationships/hyperlink" Target="http://ufcstats.com/fight-details/4bf0be780f2d09be" TargetMode="External"/><Relationship Id="rId440" Type="http://schemas.openxmlformats.org/officeDocument/2006/relationships/hyperlink" Target="http://ufcstats.com/fight-details/c8609059d2d87724" TargetMode="External"/><Relationship Id="rId28" Type="http://schemas.openxmlformats.org/officeDocument/2006/relationships/hyperlink" Target="http://ufcstats.com/fight-details/d72f9b3ac742a9e3" TargetMode="External"/><Relationship Id="rId275" Type="http://schemas.openxmlformats.org/officeDocument/2006/relationships/hyperlink" Target="http://ufcstats.com/fight-details/b29ed164b3014a42" TargetMode="External"/><Relationship Id="rId300" Type="http://schemas.openxmlformats.org/officeDocument/2006/relationships/hyperlink" Target="http://ufcstats.com/fight-details/ad878cdd4fa36a3a" TargetMode="External"/><Relationship Id="rId482" Type="http://schemas.openxmlformats.org/officeDocument/2006/relationships/hyperlink" Target="http://ufcstats.com/fight-details/9cb4196446f3ce79" TargetMode="External"/><Relationship Id="rId81" Type="http://schemas.openxmlformats.org/officeDocument/2006/relationships/hyperlink" Target="http://ufcstats.com/fight-details/3c4305abc2e302d0" TargetMode="External"/><Relationship Id="rId135" Type="http://schemas.openxmlformats.org/officeDocument/2006/relationships/hyperlink" Target="http://ufcstats.com/fight-details/82243207b4dfce87" TargetMode="External"/><Relationship Id="rId177" Type="http://schemas.openxmlformats.org/officeDocument/2006/relationships/hyperlink" Target="http://ufcstats.com/fight-details/aef94727eb3897df" TargetMode="External"/><Relationship Id="rId342" Type="http://schemas.openxmlformats.org/officeDocument/2006/relationships/hyperlink" Target="http://ufcstats.com/fight-details/dffad417175400ba" TargetMode="External"/><Relationship Id="rId384" Type="http://schemas.openxmlformats.org/officeDocument/2006/relationships/hyperlink" Target="http://ufcstats.com/fight-details/9763e27bf80abe42" TargetMode="External"/><Relationship Id="rId202" Type="http://schemas.openxmlformats.org/officeDocument/2006/relationships/hyperlink" Target="http://ufcstats.com/fight-details/11c851a73ffb55ba" TargetMode="External"/><Relationship Id="rId244" Type="http://schemas.openxmlformats.org/officeDocument/2006/relationships/hyperlink" Target="http://ufcstats.com/fight-details/537c77f3b75a75ae" TargetMode="External"/><Relationship Id="rId39" Type="http://schemas.openxmlformats.org/officeDocument/2006/relationships/hyperlink" Target="http://ufcstats.com/fight-details/feaf740e3ae53b7c" TargetMode="External"/><Relationship Id="rId286" Type="http://schemas.openxmlformats.org/officeDocument/2006/relationships/hyperlink" Target="http://ufcstats.com/fight-details/d3f5854d16fc31f9" TargetMode="External"/><Relationship Id="rId451" Type="http://schemas.openxmlformats.org/officeDocument/2006/relationships/hyperlink" Target="http://ufcstats.com/fight-details/8b7bc2af1e15b668" TargetMode="External"/><Relationship Id="rId493" Type="http://schemas.openxmlformats.org/officeDocument/2006/relationships/hyperlink" Target="http://ufcstats.com/fight-details/39f746cee66e8771" TargetMode="External"/><Relationship Id="rId507" Type="http://schemas.openxmlformats.org/officeDocument/2006/relationships/hyperlink" Target="http://ufcstats.com/fight-details/70290140b6a8e038" TargetMode="External"/><Relationship Id="rId50" Type="http://schemas.openxmlformats.org/officeDocument/2006/relationships/hyperlink" Target="http://ufcstats.com/fight-details/8028d5de087755dc" TargetMode="External"/><Relationship Id="rId104" Type="http://schemas.openxmlformats.org/officeDocument/2006/relationships/hyperlink" Target="http://ufcstats.com/fight-details/97e522591ac7eb29" TargetMode="External"/><Relationship Id="rId146" Type="http://schemas.openxmlformats.org/officeDocument/2006/relationships/hyperlink" Target="http://ufcstats.com/fight-details/db5802643b9fd7d4" TargetMode="External"/><Relationship Id="rId188" Type="http://schemas.openxmlformats.org/officeDocument/2006/relationships/hyperlink" Target="http://ufcstats.com/fight-details/721b23d896a44e2e" TargetMode="External"/><Relationship Id="rId311" Type="http://schemas.openxmlformats.org/officeDocument/2006/relationships/hyperlink" Target="http://ufcstats.com/fight-details/83c81018bb3aeebf" TargetMode="External"/><Relationship Id="rId353" Type="http://schemas.openxmlformats.org/officeDocument/2006/relationships/hyperlink" Target="http://ufcstats.com/fight-details/6ecd93dbbaba7e10" TargetMode="External"/><Relationship Id="rId395" Type="http://schemas.openxmlformats.org/officeDocument/2006/relationships/hyperlink" Target="http://ufcstats.com/fight-details/115fa6f5f3e51bbb" TargetMode="External"/><Relationship Id="rId409" Type="http://schemas.openxmlformats.org/officeDocument/2006/relationships/hyperlink" Target="http://ufcstats.com/fight-details/9968d308e97c6531" TargetMode="External"/><Relationship Id="rId92" Type="http://schemas.openxmlformats.org/officeDocument/2006/relationships/hyperlink" Target="http://ufcstats.com/fight-details/5c962ea13cb9b937" TargetMode="External"/><Relationship Id="rId213" Type="http://schemas.openxmlformats.org/officeDocument/2006/relationships/hyperlink" Target="http://ufcstats.com/fight-details/c4ecf4b894ccbced" TargetMode="External"/><Relationship Id="rId420" Type="http://schemas.openxmlformats.org/officeDocument/2006/relationships/hyperlink" Target="http://ufcstats.com/fight-details/e3fb9146a7eaaa47" TargetMode="External"/><Relationship Id="rId255" Type="http://schemas.openxmlformats.org/officeDocument/2006/relationships/hyperlink" Target="http://ufcstats.com/fight-details/02ace8fdd83c6480" TargetMode="External"/><Relationship Id="rId297" Type="http://schemas.openxmlformats.org/officeDocument/2006/relationships/hyperlink" Target="http://ufcstats.com/fight-details/f0fe73e650b746f2" TargetMode="External"/><Relationship Id="rId462" Type="http://schemas.openxmlformats.org/officeDocument/2006/relationships/hyperlink" Target="http://ufcstats.com/fight-details/59861c3d19eb46ef" TargetMode="External"/><Relationship Id="rId115" Type="http://schemas.openxmlformats.org/officeDocument/2006/relationships/hyperlink" Target="http://ufcstats.com/fight-details/f592f168f3b8b807" TargetMode="External"/><Relationship Id="rId157" Type="http://schemas.openxmlformats.org/officeDocument/2006/relationships/hyperlink" Target="http://ufcstats.com/fight-details/819f51ef9d945a46" TargetMode="External"/><Relationship Id="rId322" Type="http://schemas.openxmlformats.org/officeDocument/2006/relationships/hyperlink" Target="http://ufcstats.com/fight-details/f5eae75fc240aaa6" TargetMode="External"/><Relationship Id="rId364" Type="http://schemas.openxmlformats.org/officeDocument/2006/relationships/hyperlink" Target="http://ufcstats.com/fight-details/478a637045ad49fb" TargetMode="External"/><Relationship Id="rId61" Type="http://schemas.openxmlformats.org/officeDocument/2006/relationships/hyperlink" Target="http://ufcstats.com/fight-details/777df8b5e28f42ff" TargetMode="External"/><Relationship Id="rId199" Type="http://schemas.openxmlformats.org/officeDocument/2006/relationships/hyperlink" Target="http://ufcstats.com/fight-details/78bb2b441917848c" TargetMode="External"/><Relationship Id="rId19" Type="http://schemas.openxmlformats.org/officeDocument/2006/relationships/hyperlink" Target="http://ufcstats.com/fight-details/a941c4e25ddddfff" TargetMode="External"/><Relationship Id="rId224" Type="http://schemas.openxmlformats.org/officeDocument/2006/relationships/hyperlink" Target="http://ufcstats.com/fight-details/9f114a219523bf7d" TargetMode="External"/><Relationship Id="rId266" Type="http://schemas.openxmlformats.org/officeDocument/2006/relationships/hyperlink" Target="http://ufcstats.com/fight-details/824859c7580eb35b" TargetMode="External"/><Relationship Id="rId431" Type="http://schemas.openxmlformats.org/officeDocument/2006/relationships/hyperlink" Target="http://ufcstats.com/fight-details/c29b63d6cd2ba413" TargetMode="External"/><Relationship Id="rId473" Type="http://schemas.openxmlformats.org/officeDocument/2006/relationships/hyperlink" Target="http://ufcstats.com/fight-details/aa08ebe1a69c76ca" TargetMode="External"/><Relationship Id="rId30" Type="http://schemas.openxmlformats.org/officeDocument/2006/relationships/hyperlink" Target="http://ufcstats.com/fight-details/5a00c73efbcf323e" TargetMode="External"/><Relationship Id="rId126" Type="http://schemas.openxmlformats.org/officeDocument/2006/relationships/hyperlink" Target="http://ufcstats.com/fight-details/c7cf2194fe5c751f" TargetMode="External"/><Relationship Id="rId168" Type="http://schemas.openxmlformats.org/officeDocument/2006/relationships/hyperlink" Target="http://ufcstats.com/fight-details/5868c154789648f0" TargetMode="External"/><Relationship Id="rId333" Type="http://schemas.openxmlformats.org/officeDocument/2006/relationships/hyperlink" Target="http://ufcstats.com/fight-details/0494ebcee93e717b" TargetMode="External"/><Relationship Id="rId72" Type="http://schemas.openxmlformats.org/officeDocument/2006/relationships/hyperlink" Target="http://ufcstats.com/fight-details/e1930496b33fa636" TargetMode="External"/><Relationship Id="rId375" Type="http://schemas.openxmlformats.org/officeDocument/2006/relationships/hyperlink" Target="http://ufcstats.com/fight-details/4f722e80eadb6d2f" TargetMode="External"/><Relationship Id="rId3" Type="http://schemas.openxmlformats.org/officeDocument/2006/relationships/hyperlink" Target="http://ufcstats.com/fight-details/b2857e799319f931" TargetMode="External"/><Relationship Id="rId235" Type="http://schemas.openxmlformats.org/officeDocument/2006/relationships/hyperlink" Target="http://ufcstats.com/fight-details/4f60a7e7b848bc6d" TargetMode="External"/><Relationship Id="rId277" Type="http://schemas.openxmlformats.org/officeDocument/2006/relationships/hyperlink" Target="http://ufcstats.com/fight-details/8410fb6d495a2cc2" TargetMode="External"/><Relationship Id="rId400" Type="http://schemas.openxmlformats.org/officeDocument/2006/relationships/hyperlink" Target="http://ufcstats.com/fight-details/940701effe1d2b6c" TargetMode="External"/><Relationship Id="rId442" Type="http://schemas.openxmlformats.org/officeDocument/2006/relationships/hyperlink" Target="http://ufcstats.com/fight-details/23253ebb1d86d8b4" TargetMode="External"/><Relationship Id="rId484" Type="http://schemas.openxmlformats.org/officeDocument/2006/relationships/hyperlink" Target="http://ufcstats.com/fight-details/33d52ac2d70b8415" TargetMode="External"/><Relationship Id="rId137" Type="http://schemas.openxmlformats.org/officeDocument/2006/relationships/hyperlink" Target="http://ufcstats.com/fight-details/54e2490959f66dc2" TargetMode="External"/><Relationship Id="rId302" Type="http://schemas.openxmlformats.org/officeDocument/2006/relationships/hyperlink" Target="http://ufcstats.com/fight-details/05e2832cd5ffb7a6" TargetMode="External"/><Relationship Id="rId344" Type="http://schemas.openxmlformats.org/officeDocument/2006/relationships/hyperlink" Target="http://ufcstats.com/fight-details/2361b51aa72e5551" TargetMode="External"/><Relationship Id="rId41" Type="http://schemas.openxmlformats.org/officeDocument/2006/relationships/hyperlink" Target="http://ufcstats.com/fight-details/41be95916aef568f" TargetMode="External"/><Relationship Id="rId83" Type="http://schemas.openxmlformats.org/officeDocument/2006/relationships/hyperlink" Target="http://ufcstats.com/fight-details/b4cc389bb4af3707" TargetMode="External"/><Relationship Id="rId179" Type="http://schemas.openxmlformats.org/officeDocument/2006/relationships/hyperlink" Target="http://ufcstats.com/fight-details/37a8c442fb38db75" TargetMode="External"/><Relationship Id="rId386" Type="http://schemas.openxmlformats.org/officeDocument/2006/relationships/hyperlink" Target="http://ufcstats.com/fight-details/c58aaabf2c5635d7" TargetMode="External"/><Relationship Id="rId190" Type="http://schemas.openxmlformats.org/officeDocument/2006/relationships/hyperlink" Target="http://ufcstats.com/fight-details/ddcfa590f4644240" TargetMode="External"/><Relationship Id="rId204" Type="http://schemas.openxmlformats.org/officeDocument/2006/relationships/hyperlink" Target="http://ufcstats.com/fight-details/67018331e90a9949" TargetMode="External"/><Relationship Id="rId246" Type="http://schemas.openxmlformats.org/officeDocument/2006/relationships/hyperlink" Target="http://ufcstats.com/fight-details/36388dce4a8cc18f" TargetMode="External"/><Relationship Id="rId288" Type="http://schemas.openxmlformats.org/officeDocument/2006/relationships/hyperlink" Target="http://ufcstats.com/fight-details/aec1339028f3416c" TargetMode="External"/><Relationship Id="rId411" Type="http://schemas.openxmlformats.org/officeDocument/2006/relationships/hyperlink" Target="http://ufcstats.com/fight-details/00b7497b02b3b2bb" TargetMode="External"/><Relationship Id="rId453" Type="http://schemas.openxmlformats.org/officeDocument/2006/relationships/hyperlink" Target="http://ufcstats.com/fight-details/d85c76a61a820be9" TargetMode="External"/><Relationship Id="rId509" Type="http://schemas.openxmlformats.org/officeDocument/2006/relationships/hyperlink" Target="http://ufcstats.com/fight-details/2208b9f471a201d9" TargetMode="External"/><Relationship Id="rId106" Type="http://schemas.openxmlformats.org/officeDocument/2006/relationships/hyperlink" Target="http://ufcstats.com/fight-details/abd45edc07a8d9e3" TargetMode="External"/><Relationship Id="rId313" Type="http://schemas.openxmlformats.org/officeDocument/2006/relationships/hyperlink" Target="http://ufcstats.com/fight-details/febbd4eb209b4579" TargetMode="External"/><Relationship Id="rId495" Type="http://schemas.openxmlformats.org/officeDocument/2006/relationships/hyperlink" Target="http://ufcstats.com/fight-details/4047e98132306cd5" TargetMode="External"/><Relationship Id="rId10" Type="http://schemas.openxmlformats.org/officeDocument/2006/relationships/hyperlink" Target="http://ufcstats.com/fight-details/df8391ca39160d8c" TargetMode="External"/><Relationship Id="rId52" Type="http://schemas.openxmlformats.org/officeDocument/2006/relationships/hyperlink" Target="http://ufcstats.com/fight-details/7ec86f2af631344f" TargetMode="External"/><Relationship Id="rId94" Type="http://schemas.openxmlformats.org/officeDocument/2006/relationships/hyperlink" Target="http://ufcstats.com/fight-details/be977e524ef56aa4" TargetMode="External"/><Relationship Id="rId148" Type="http://schemas.openxmlformats.org/officeDocument/2006/relationships/hyperlink" Target="http://ufcstats.com/fight-details/89dd4c256ca5d317" TargetMode="External"/><Relationship Id="rId355" Type="http://schemas.openxmlformats.org/officeDocument/2006/relationships/hyperlink" Target="http://ufcstats.com/fight-details/300f1489174a3ece" TargetMode="External"/><Relationship Id="rId397" Type="http://schemas.openxmlformats.org/officeDocument/2006/relationships/hyperlink" Target="http://ufcstats.com/fight-details/1c29c53ff032c5c1" TargetMode="External"/><Relationship Id="rId215" Type="http://schemas.openxmlformats.org/officeDocument/2006/relationships/hyperlink" Target="http://ufcstats.com/fight-details/0a444f30cae13d8f" TargetMode="External"/><Relationship Id="rId257" Type="http://schemas.openxmlformats.org/officeDocument/2006/relationships/hyperlink" Target="http://ufcstats.com/fight-details/5afd44d1e567d2e8" TargetMode="External"/><Relationship Id="rId422" Type="http://schemas.openxmlformats.org/officeDocument/2006/relationships/hyperlink" Target="http://ufcstats.com/fight-details/447462bc8e540f10" TargetMode="External"/><Relationship Id="rId464" Type="http://schemas.openxmlformats.org/officeDocument/2006/relationships/hyperlink" Target="http://ufcstats.com/fight-details/62b64802ea49e2fd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://ufcstats.com/fight-details/313c36ce9bde6cf6" TargetMode="External"/><Relationship Id="rId299" Type="http://schemas.openxmlformats.org/officeDocument/2006/relationships/hyperlink" Target="http://ufcstats.com/fight-details/241687ff5fe92331" TargetMode="External"/><Relationship Id="rId21" Type="http://schemas.openxmlformats.org/officeDocument/2006/relationships/hyperlink" Target="http://ufcstats.com/fight-details/1fee9eca658d9808" TargetMode="External"/><Relationship Id="rId63" Type="http://schemas.openxmlformats.org/officeDocument/2006/relationships/hyperlink" Target="http://ufcstats.com/fight-details/8793208907eca67f" TargetMode="External"/><Relationship Id="rId159" Type="http://schemas.openxmlformats.org/officeDocument/2006/relationships/hyperlink" Target="http://ufcstats.com/fight-details/24bcade0007c2246" TargetMode="External"/><Relationship Id="rId324" Type="http://schemas.openxmlformats.org/officeDocument/2006/relationships/hyperlink" Target="http://ufcstats.com/fight-details/0d6d212fcdf47f2e" TargetMode="External"/><Relationship Id="rId366" Type="http://schemas.openxmlformats.org/officeDocument/2006/relationships/hyperlink" Target="http://ufcstats.com/fight-details/dbcc5b5d568efa8b" TargetMode="External"/><Relationship Id="rId170" Type="http://schemas.openxmlformats.org/officeDocument/2006/relationships/hyperlink" Target="http://ufcstats.com/fight-details/3db15d45e8490c22" TargetMode="External"/><Relationship Id="rId226" Type="http://schemas.openxmlformats.org/officeDocument/2006/relationships/hyperlink" Target="http://ufcstats.com/fight-details/e7e244a0bf244e61" TargetMode="External"/><Relationship Id="rId433" Type="http://schemas.openxmlformats.org/officeDocument/2006/relationships/hyperlink" Target="http://ufcstats.com/fight-details/11558384f80f6506" TargetMode="External"/><Relationship Id="rId268" Type="http://schemas.openxmlformats.org/officeDocument/2006/relationships/hyperlink" Target="http://ufcstats.com/fight-details/00f4b6184f6315d0" TargetMode="External"/><Relationship Id="rId475" Type="http://schemas.openxmlformats.org/officeDocument/2006/relationships/hyperlink" Target="http://ufcstats.com/fight-details/18edff5447989b3f" TargetMode="External"/><Relationship Id="rId32" Type="http://schemas.openxmlformats.org/officeDocument/2006/relationships/hyperlink" Target="http://ufcstats.com/fight-details/9de23eb1471e592b" TargetMode="External"/><Relationship Id="rId74" Type="http://schemas.openxmlformats.org/officeDocument/2006/relationships/hyperlink" Target="http://ufcstats.com/fight-details/9785420602b452f7" TargetMode="External"/><Relationship Id="rId128" Type="http://schemas.openxmlformats.org/officeDocument/2006/relationships/hyperlink" Target="http://ufcstats.com/fight-details/178756c3cb23b884" TargetMode="External"/><Relationship Id="rId335" Type="http://schemas.openxmlformats.org/officeDocument/2006/relationships/hyperlink" Target="http://ufcstats.com/fight-details/4339e30a856c1da8" TargetMode="External"/><Relationship Id="rId377" Type="http://schemas.openxmlformats.org/officeDocument/2006/relationships/hyperlink" Target="http://ufcstats.com/fight-details/80f65ee9b6f8d63b" TargetMode="External"/><Relationship Id="rId5" Type="http://schemas.openxmlformats.org/officeDocument/2006/relationships/hyperlink" Target="http://ufcstats.com/fight-details/4bb77b1d8efc53a9" TargetMode="External"/><Relationship Id="rId181" Type="http://schemas.openxmlformats.org/officeDocument/2006/relationships/hyperlink" Target="http://ufcstats.com/fight-details/c76fd2ddcbc4713d" TargetMode="External"/><Relationship Id="rId237" Type="http://schemas.openxmlformats.org/officeDocument/2006/relationships/hyperlink" Target="http://ufcstats.com/fight-details/3109d1151f149aaf" TargetMode="External"/><Relationship Id="rId402" Type="http://schemas.openxmlformats.org/officeDocument/2006/relationships/hyperlink" Target="http://ufcstats.com/fight-details/91a5480f48bfaa71" TargetMode="External"/><Relationship Id="rId279" Type="http://schemas.openxmlformats.org/officeDocument/2006/relationships/hyperlink" Target="http://ufcstats.com/fight-details/678d27af287476f8" TargetMode="External"/><Relationship Id="rId444" Type="http://schemas.openxmlformats.org/officeDocument/2006/relationships/hyperlink" Target="http://ufcstats.com/fight-details/c816a969cb001168" TargetMode="External"/><Relationship Id="rId43" Type="http://schemas.openxmlformats.org/officeDocument/2006/relationships/hyperlink" Target="http://ufcstats.com/fight-details/ab853176cfe20b01" TargetMode="External"/><Relationship Id="rId139" Type="http://schemas.openxmlformats.org/officeDocument/2006/relationships/hyperlink" Target="http://ufcstats.com/fight-details/6ac3d588f9630f0a" TargetMode="External"/><Relationship Id="rId290" Type="http://schemas.openxmlformats.org/officeDocument/2006/relationships/hyperlink" Target="http://ufcstats.com/fight-details/63b35df1276b3d64" TargetMode="External"/><Relationship Id="rId304" Type="http://schemas.openxmlformats.org/officeDocument/2006/relationships/hyperlink" Target="http://ufcstats.com/fight-details/a9d8ddb49dbe414b" TargetMode="External"/><Relationship Id="rId346" Type="http://schemas.openxmlformats.org/officeDocument/2006/relationships/hyperlink" Target="http://ufcstats.com/fight-details/43543a2c1c7a7135" TargetMode="External"/><Relationship Id="rId388" Type="http://schemas.openxmlformats.org/officeDocument/2006/relationships/hyperlink" Target="http://ufcstats.com/fight-details/3b5e1d6cbf9c8c9f" TargetMode="External"/><Relationship Id="rId85" Type="http://schemas.openxmlformats.org/officeDocument/2006/relationships/hyperlink" Target="http://ufcstats.com/fight-details/fd4d30036a3f3efb" TargetMode="External"/><Relationship Id="rId150" Type="http://schemas.openxmlformats.org/officeDocument/2006/relationships/hyperlink" Target="http://ufcstats.com/fight-details/737e2781e4a7db5c" TargetMode="External"/><Relationship Id="rId192" Type="http://schemas.openxmlformats.org/officeDocument/2006/relationships/hyperlink" Target="http://ufcstats.com/fight-details/4210f9b11debf1fc" TargetMode="External"/><Relationship Id="rId206" Type="http://schemas.openxmlformats.org/officeDocument/2006/relationships/hyperlink" Target="http://ufcstats.com/fight-details/8b97cd609c7152b7" TargetMode="External"/><Relationship Id="rId413" Type="http://schemas.openxmlformats.org/officeDocument/2006/relationships/hyperlink" Target="http://ufcstats.com/fight-details/79da0eacafb22f86" TargetMode="External"/><Relationship Id="rId248" Type="http://schemas.openxmlformats.org/officeDocument/2006/relationships/hyperlink" Target="http://ufcstats.com/fight-details/fb7ebdda8658fa05" TargetMode="External"/><Relationship Id="rId455" Type="http://schemas.openxmlformats.org/officeDocument/2006/relationships/hyperlink" Target="http://ufcstats.com/fight-details/df661c70c40adf84" TargetMode="External"/><Relationship Id="rId12" Type="http://schemas.openxmlformats.org/officeDocument/2006/relationships/hyperlink" Target="http://ufcstats.com/fight-details/b4e2037f180c1e0e" TargetMode="External"/><Relationship Id="rId108" Type="http://schemas.openxmlformats.org/officeDocument/2006/relationships/hyperlink" Target="http://ufcstats.com/fight-details/d497d74a0df9e35e" TargetMode="External"/><Relationship Id="rId315" Type="http://schemas.openxmlformats.org/officeDocument/2006/relationships/hyperlink" Target="http://ufcstats.com/fight-details/73c97d5c314f1270" TargetMode="External"/><Relationship Id="rId357" Type="http://schemas.openxmlformats.org/officeDocument/2006/relationships/hyperlink" Target="http://ufcstats.com/fight-details/70f01e9ff0b4e519" TargetMode="External"/><Relationship Id="rId54" Type="http://schemas.openxmlformats.org/officeDocument/2006/relationships/hyperlink" Target="http://ufcstats.com/fight-details/7c20284c4c2dc9d3" TargetMode="External"/><Relationship Id="rId96" Type="http://schemas.openxmlformats.org/officeDocument/2006/relationships/hyperlink" Target="http://ufcstats.com/fight-details/354dc211166a3982" TargetMode="External"/><Relationship Id="rId161" Type="http://schemas.openxmlformats.org/officeDocument/2006/relationships/hyperlink" Target="http://ufcstats.com/fight-details/8f5d5dd10a167cc0" TargetMode="External"/><Relationship Id="rId217" Type="http://schemas.openxmlformats.org/officeDocument/2006/relationships/hyperlink" Target="http://ufcstats.com/fight-details/971d9fa5947a4bb7" TargetMode="External"/><Relationship Id="rId399" Type="http://schemas.openxmlformats.org/officeDocument/2006/relationships/hyperlink" Target="http://ufcstats.com/fight-details/2c58a97f2fe6c985" TargetMode="External"/><Relationship Id="rId259" Type="http://schemas.openxmlformats.org/officeDocument/2006/relationships/hyperlink" Target="http://ufcstats.com/fight-details/9cbdbbc414d6dd83" TargetMode="External"/><Relationship Id="rId424" Type="http://schemas.openxmlformats.org/officeDocument/2006/relationships/hyperlink" Target="http://ufcstats.com/fight-details/0328754c15ecd37c" TargetMode="External"/><Relationship Id="rId466" Type="http://schemas.openxmlformats.org/officeDocument/2006/relationships/hyperlink" Target="http://ufcstats.com/fight-details/15c9cb5f9320c555" TargetMode="External"/><Relationship Id="rId23" Type="http://schemas.openxmlformats.org/officeDocument/2006/relationships/hyperlink" Target="http://ufcstats.com/fight-details/9e4dcac049327529" TargetMode="External"/><Relationship Id="rId119" Type="http://schemas.openxmlformats.org/officeDocument/2006/relationships/hyperlink" Target="http://ufcstats.com/fight-details/b70313eae7c24b27" TargetMode="External"/><Relationship Id="rId270" Type="http://schemas.openxmlformats.org/officeDocument/2006/relationships/hyperlink" Target="http://ufcstats.com/fight-details/b400c29fbeee0206" TargetMode="External"/><Relationship Id="rId326" Type="http://schemas.openxmlformats.org/officeDocument/2006/relationships/hyperlink" Target="http://ufcstats.com/fight-details/70aa6b8f863e6861" TargetMode="External"/><Relationship Id="rId65" Type="http://schemas.openxmlformats.org/officeDocument/2006/relationships/hyperlink" Target="http://ufcstats.com/fight-details/b3d88eaea611a4a8" TargetMode="External"/><Relationship Id="rId130" Type="http://schemas.openxmlformats.org/officeDocument/2006/relationships/hyperlink" Target="http://ufcstats.com/fight-details/bfacb44c24bfe0e9" TargetMode="External"/><Relationship Id="rId368" Type="http://schemas.openxmlformats.org/officeDocument/2006/relationships/hyperlink" Target="http://ufcstats.com/fight-details/a017d5806eaa6018" TargetMode="External"/><Relationship Id="rId172" Type="http://schemas.openxmlformats.org/officeDocument/2006/relationships/hyperlink" Target="http://ufcstats.com/fight-details/3744d4cdaa6b242b" TargetMode="External"/><Relationship Id="rId228" Type="http://schemas.openxmlformats.org/officeDocument/2006/relationships/hyperlink" Target="http://ufcstats.com/fight-details/f7ffa11d592f4092" TargetMode="External"/><Relationship Id="rId435" Type="http://schemas.openxmlformats.org/officeDocument/2006/relationships/hyperlink" Target="http://ufcstats.com/fight-details/ed6203e849a2bf28" TargetMode="External"/><Relationship Id="rId281" Type="http://schemas.openxmlformats.org/officeDocument/2006/relationships/hyperlink" Target="http://ufcstats.com/fight-details/467e08195b29e857" TargetMode="External"/><Relationship Id="rId337" Type="http://schemas.openxmlformats.org/officeDocument/2006/relationships/hyperlink" Target="http://ufcstats.com/fight-details/1218cba28d4dce94" TargetMode="External"/><Relationship Id="rId34" Type="http://schemas.openxmlformats.org/officeDocument/2006/relationships/hyperlink" Target="http://ufcstats.com/fight-details/4c489b3c9d14cbc9" TargetMode="External"/><Relationship Id="rId76" Type="http://schemas.openxmlformats.org/officeDocument/2006/relationships/hyperlink" Target="http://ufcstats.com/fight-details/670e4754d8d3d172" TargetMode="External"/><Relationship Id="rId141" Type="http://schemas.openxmlformats.org/officeDocument/2006/relationships/hyperlink" Target="http://ufcstats.com/fight-details/ac6b2a5f24c2b8bd" TargetMode="External"/><Relationship Id="rId379" Type="http://schemas.openxmlformats.org/officeDocument/2006/relationships/hyperlink" Target="http://ufcstats.com/fight-details/6c79db79da9ae874" TargetMode="External"/><Relationship Id="rId7" Type="http://schemas.openxmlformats.org/officeDocument/2006/relationships/hyperlink" Target="http://ufcstats.com/fight-details/e2503ed6a1f9257d" TargetMode="External"/><Relationship Id="rId183" Type="http://schemas.openxmlformats.org/officeDocument/2006/relationships/hyperlink" Target="http://ufcstats.com/fight-details/82342dc6be82778b" TargetMode="External"/><Relationship Id="rId239" Type="http://schemas.openxmlformats.org/officeDocument/2006/relationships/hyperlink" Target="http://ufcstats.com/fight-details/c611e81778c0b1fc" TargetMode="External"/><Relationship Id="rId390" Type="http://schemas.openxmlformats.org/officeDocument/2006/relationships/hyperlink" Target="http://ufcstats.com/fight-details/7ba54a10f28c9496" TargetMode="External"/><Relationship Id="rId404" Type="http://schemas.openxmlformats.org/officeDocument/2006/relationships/hyperlink" Target="http://ufcstats.com/fight-details/fbedeb4e4b019b94" TargetMode="External"/><Relationship Id="rId446" Type="http://schemas.openxmlformats.org/officeDocument/2006/relationships/hyperlink" Target="http://ufcstats.com/fight-details/063e7ce759c52f81" TargetMode="External"/><Relationship Id="rId250" Type="http://schemas.openxmlformats.org/officeDocument/2006/relationships/hyperlink" Target="http://ufcstats.com/fight-details/eb5d62bda1581c62" TargetMode="External"/><Relationship Id="rId292" Type="http://schemas.openxmlformats.org/officeDocument/2006/relationships/hyperlink" Target="http://ufcstats.com/fight-details/d1d7400c131ed40e" TargetMode="External"/><Relationship Id="rId306" Type="http://schemas.openxmlformats.org/officeDocument/2006/relationships/hyperlink" Target="http://ufcstats.com/fight-details/c00a8682fb5b71bd" TargetMode="External"/><Relationship Id="rId45" Type="http://schemas.openxmlformats.org/officeDocument/2006/relationships/hyperlink" Target="http://ufcstats.com/fight-details/e08479759c296bb1" TargetMode="External"/><Relationship Id="rId87" Type="http://schemas.openxmlformats.org/officeDocument/2006/relationships/hyperlink" Target="http://ufcstats.com/fight-details/e5cb9dfc1189d77d" TargetMode="External"/><Relationship Id="rId110" Type="http://schemas.openxmlformats.org/officeDocument/2006/relationships/hyperlink" Target="http://ufcstats.com/fight-details/c58b3223b5caa18a" TargetMode="External"/><Relationship Id="rId348" Type="http://schemas.openxmlformats.org/officeDocument/2006/relationships/hyperlink" Target="http://ufcstats.com/fight-details/9a678f346946b6a4" TargetMode="External"/><Relationship Id="rId152" Type="http://schemas.openxmlformats.org/officeDocument/2006/relationships/hyperlink" Target="http://ufcstats.com/fight-details/b9ff9ebe19ae6358" TargetMode="External"/><Relationship Id="rId194" Type="http://schemas.openxmlformats.org/officeDocument/2006/relationships/hyperlink" Target="http://ufcstats.com/fight-details/efe055854f19a1d7" TargetMode="External"/><Relationship Id="rId208" Type="http://schemas.openxmlformats.org/officeDocument/2006/relationships/hyperlink" Target="http://ufcstats.com/fight-details/dc169cc01d675125" TargetMode="External"/><Relationship Id="rId415" Type="http://schemas.openxmlformats.org/officeDocument/2006/relationships/hyperlink" Target="http://ufcstats.com/fight-details/509519d82e906c0f" TargetMode="External"/><Relationship Id="rId457" Type="http://schemas.openxmlformats.org/officeDocument/2006/relationships/hyperlink" Target="http://ufcstats.com/fight-details/804c350ce714770f" TargetMode="External"/><Relationship Id="rId261" Type="http://schemas.openxmlformats.org/officeDocument/2006/relationships/hyperlink" Target="http://ufcstats.com/fight-details/58584ccd0f63e3f3" TargetMode="External"/><Relationship Id="rId14" Type="http://schemas.openxmlformats.org/officeDocument/2006/relationships/hyperlink" Target="http://ufcstats.com/fight-details/0f2983fe7753403f" TargetMode="External"/><Relationship Id="rId56" Type="http://schemas.openxmlformats.org/officeDocument/2006/relationships/hyperlink" Target="http://ufcstats.com/fight-details/7ac1c2f87b795742" TargetMode="External"/><Relationship Id="rId317" Type="http://schemas.openxmlformats.org/officeDocument/2006/relationships/hyperlink" Target="http://ufcstats.com/fight-details/d3f44fedc561d2d5" TargetMode="External"/><Relationship Id="rId359" Type="http://schemas.openxmlformats.org/officeDocument/2006/relationships/hyperlink" Target="http://ufcstats.com/fight-details/4dcd6ff5e32a3779" TargetMode="External"/><Relationship Id="rId98" Type="http://schemas.openxmlformats.org/officeDocument/2006/relationships/hyperlink" Target="http://ufcstats.com/fight-details/ccb7e2851319345d" TargetMode="External"/><Relationship Id="rId121" Type="http://schemas.openxmlformats.org/officeDocument/2006/relationships/hyperlink" Target="http://ufcstats.com/fight-details/19e742ccaa09cf08" TargetMode="External"/><Relationship Id="rId163" Type="http://schemas.openxmlformats.org/officeDocument/2006/relationships/hyperlink" Target="http://ufcstats.com/fight-details/fe0c844a671dd6d8" TargetMode="External"/><Relationship Id="rId219" Type="http://schemas.openxmlformats.org/officeDocument/2006/relationships/hyperlink" Target="http://ufcstats.com/fight-details/3cf1d67a20ae1c18" TargetMode="External"/><Relationship Id="rId370" Type="http://schemas.openxmlformats.org/officeDocument/2006/relationships/hyperlink" Target="http://ufcstats.com/fight-details/2b1ac5d8f98639bf" TargetMode="External"/><Relationship Id="rId426" Type="http://schemas.openxmlformats.org/officeDocument/2006/relationships/hyperlink" Target="http://ufcstats.com/fight-details/40687c9412e0c279" TargetMode="External"/><Relationship Id="rId230" Type="http://schemas.openxmlformats.org/officeDocument/2006/relationships/hyperlink" Target="http://ufcstats.com/fight-details/ea967877dd4d6efb" TargetMode="External"/><Relationship Id="rId468" Type="http://schemas.openxmlformats.org/officeDocument/2006/relationships/hyperlink" Target="http://ufcstats.com/fight-details/ee796ecb4ee8680b" TargetMode="External"/><Relationship Id="rId25" Type="http://schemas.openxmlformats.org/officeDocument/2006/relationships/hyperlink" Target="http://ufcstats.com/fight-details/5c8d9d893d163d51" TargetMode="External"/><Relationship Id="rId67" Type="http://schemas.openxmlformats.org/officeDocument/2006/relationships/hyperlink" Target="http://ufcstats.com/fight-details/17e8ab0065e9085f" TargetMode="External"/><Relationship Id="rId272" Type="http://schemas.openxmlformats.org/officeDocument/2006/relationships/hyperlink" Target="http://ufcstats.com/fight-details/2c160a1d1fdbf0b0" TargetMode="External"/><Relationship Id="rId328" Type="http://schemas.openxmlformats.org/officeDocument/2006/relationships/hyperlink" Target="http://ufcstats.com/fight-details/bd1e01de1f24962b" TargetMode="External"/><Relationship Id="rId132" Type="http://schemas.openxmlformats.org/officeDocument/2006/relationships/hyperlink" Target="http://ufcstats.com/fight-details/3d75081ce43774ca" TargetMode="External"/><Relationship Id="rId174" Type="http://schemas.openxmlformats.org/officeDocument/2006/relationships/hyperlink" Target="http://ufcstats.com/fight-details/58e21d505c082a9e" TargetMode="External"/><Relationship Id="rId381" Type="http://schemas.openxmlformats.org/officeDocument/2006/relationships/hyperlink" Target="http://ufcstats.com/fight-details/5362ea7c63432cf9" TargetMode="External"/><Relationship Id="rId241" Type="http://schemas.openxmlformats.org/officeDocument/2006/relationships/hyperlink" Target="http://ufcstats.com/fight-details/9ef858837dfc65eb" TargetMode="External"/><Relationship Id="rId437" Type="http://schemas.openxmlformats.org/officeDocument/2006/relationships/hyperlink" Target="http://ufcstats.com/fight-details/3ab0d8b344d2ebea" TargetMode="External"/><Relationship Id="rId36" Type="http://schemas.openxmlformats.org/officeDocument/2006/relationships/hyperlink" Target="http://ufcstats.com/fight-details/bcb697c4317f0997" TargetMode="External"/><Relationship Id="rId283" Type="http://schemas.openxmlformats.org/officeDocument/2006/relationships/hyperlink" Target="http://ufcstats.com/fight-details/b9cd4910f0ecff45" TargetMode="External"/><Relationship Id="rId339" Type="http://schemas.openxmlformats.org/officeDocument/2006/relationships/hyperlink" Target="http://ufcstats.com/fight-details/0ddf834a47533d15" TargetMode="External"/><Relationship Id="rId78" Type="http://schemas.openxmlformats.org/officeDocument/2006/relationships/hyperlink" Target="http://ufcstats.com/fight-details/477c3b9de012e4b3" TargetMode="External"/><Relationship Id="rId101" Type="http://schemas.openxmlformats.org/officeDocument/2006/relationships/hyperlink" Target="http://ufcstats.com/fight-details/bee95769a221af9a" TargetMode="External"/><Relationship Id="rId143" Type="http://schemas.openxmlformats.org/officeDocument/2006/relationships/hyperlink" Target="http://ufcstats.com/fight-details/57939328c1214107" TargetMode="External"/><Relationship Id="rId185" Type="http://schemas.openxmlformats.org/officeDocument/2006/relationships/hyperlink" Target="http://ufcstats.com/fight-details/e57a78a422439774" TargetMode="External"/><Relationship Id="rId350" Type="http://schemas.openxmlformats.org/officeDocument/2006/relationships/hyperlink" Target="http://ufcstats.com/fight-details/8167500af262bba5" TargetMode="External"/><Relationship Id="rId406" Type="http://schemas.openxmlformats.org/officeDocument/2006/relationships/hyperlink" Target="http://ufcstats.com/fight-details/fdb9d29cf0edc16a" TargetMode="External"/><Relationship Id="rId9" Type="http://schemas.openxmlformats.org/officeDocument/2006/relationships/hyperlink" Target="http://ufcstats.com/fight-details/96adba2273a13f46" TargetMode="External"/><Relationship Id="rId210" Type="http://schemas.openxmlformats.org/officeDocument/2006/relationships/hyperlink" Target="http://ufcstats.com/fight-details/66ad9f88f063d2ef" TargetMode="External"/><Relationship Id="rId392" Type="http://schemas.openxmlformats.org/officeDocument/2006/relationships/hyperlink" Target="http://ufcstats.com/fight-details/5a36c9362552e0dc" TargetMode="External"/><Relationship Id="rId448" Type="http://schemas.openxmlformats.org/officeDocument/2006/relationships/hyperlink" Target="http://ufcstats.com/fight-details/bf8f747e57d6d1c7" TargetMode="External"/><Relationship Id="rId252" Type="http://schemas.openxmlformats.org/officeDocument/2006/relationships/hyperlink" Target="http://ufcstats.com/fight-details/c0ca4c201d086ea8" TargetMode="External"/><Relationship Id="rId294" Type="http://schemas.openxmlformats.org/officeDocument/2006/relationships/hyperlink" Target="http://ufcstats.com/fight-details/78f1457371e2ef6b" TargetMode="External"/><Relationship Id="rId308" Type="http://schemas.openxmlformats.org/officeDocument/2006/relationships/hyperlink" Target="http://ufcstats.com/fight-details/c096342c57a6f2c4" TargetMode="External"/><Relationship Id="rId47" Type="http://schemas.openxmlformats.org/officeDocument/2006/relationships/hyperlink" Target="http://ufcstats.com/fight-details/228879162d8be605" TargetMode="External"/><Relationship Id="rId89" Type="http://schemas.openxmlformats.org/officeDocument/2006/relationships/hyperlink" Target="http://ufcstats.com/fight-details/c98f62eb74e69bcb" TargetMode="External"/><Relationship Id="rId112" Type="http://schemas.openxmlformats.org/officeDocument/2006/relationships/hyperlink" Target="http://ufcstats.com/fight-details/28bd070f7ab0a0b9" TargetMode="External"/><Relationship Id="rId154" Type="http://schemas.openxmlformats.org/officeDocument/2006/relationships/hyperlink" Target="http://ufcstats.com/fight-details/14176809bcdafd01" TargetMode="External"/><Relationship Id="rId361" Type="http://schemas.openxmlformats.org/officeDocument/2006/relationships/hyperlink" Target="http://ufcstats.com/fight-details/c634ed84212723ca" TargetMode="External"/><Relationship Id="rId196" Type="http://schemas.openxmlformats.org/officeDocument/2006/relationships/hyperlink" Target="http://ufcstats.com/fight-details/58286d3126cc5263" TargetMode="External"/><Relationship Id="rId417" Type="http://schemas.openxmlformats.org/officeDocument/2006/relationships/hyperlink" Target="http://ufcstats.com/fight-details/061081f46950fdb0" TargetMode="External"/><Relationship Id="rId459" Type="http://schemas.openxmlformats.org/officeDocument/2006/relationships/hyperlink" Target="http://ufcstats.com/fight-details/df370b97ea49e6b4" TargetMode="External"/><Relationship Id="rId16" Type="http://schemas.openxmlformats.org/officeDocument/2006/relationships/hyperlink" Target="http://ufcstats.com/fight-details/8252a314c778b8e6" TargetMode="External"/><Relationship Id="rId221" Type="http://schemas.openxmlformats.org/officeDocument/2006/relationships/hyperlink" Target="http://ufcstats.com/fight-details/040f227553de7838" TargetMode="External"/><Relationship Id="rId263" Type="http://schemas.openxmlformats.org/officeDocument/2006/relationships/hyperlink" Target="http://ufcstats.com/fight-details/09afa6ce4747a1a2" TargetMode="External"/><Relationship Id="rId319" Type="http://schemas.openxmlformats.org/officeDocument/2006/relationships/hyperlink" Target="http://ufcstats.com/fight-details/43c391b251337c9b" TargetMode="External"/><Relationship Id="rId470" Type="http://schemas.openxmlformats.org/officeDocument/2006/relationships/hyperlink" Target="http://ufcstats.com/fight-details/1f0d4572e0facbea" TargetMode="External"/><Relationship Id="rId58" Type="http://schemas.openxmlformats.org/officeDocument/2006/relationships/hyperlink" Target="http://ufcstats.com/fight-details/d757f19f3d34934b" TargetMode="External"/><Relationship Id="rId123" Type="http://schemas.openxmlformats.org/officeDocument/2006/relationships/hyperlink" Target="http://ufcstats.com/fight-details/9687021e5c4d092a" TargetMode="External"/><Relationship Id="rId330" Type="http://schemas.openxmlformats.org/officeDocument/2006/relationships/hyperlink" Target="http://ufcstats.com/fight-details/72bb7605e340a8fe" TargetMode="External"/><Relationship Id="rId165" Type="http://schemas.openxmlformats.org/officeDocument/2006/relationships/hyperlink" Target="http://ufcstats.com/fight-details/e6b2d6d33968c66c" TargetMode="External"/><Relationship Id="rId372" Type="http://schemas.openxmlformats.org/officeDocument/2006/relationships/hyperlink" Target="http://ufcstats.com/fight-details/9a2d3ebab827d333" TargetMode="External"/><Relationship Id="rId428" Type="http://schemas.openxmlformats.org/officeDocument/2006/relationships/hyperlink" Target="http://ufcstats.com/fight-details/03bdbf2d18f3025d" TargetMode="External"/><Relationship Id="rId232" Type="http://schemas.openxmlformats.org/officeDocument/2006/relationships/hyperlink" Target="http://ufcstats.com/fight-details/8c8c2499d89da07c" TargetMode="External"/><Relationship Id="rId274" Type="http://schemas.openxmlformats.org/officeDocument/2006/relationships/hyperlink" Target="http://ufcstats.com/fight-details/aa7d691fc6385acb" TargetMode="External"/><Relationship Id="rId27" Type="http://schemas.openxmlformats.org/officeDocument/2006/relationships/hyperlink" Target="http://ufcstats.com/fight-details/326b843cb2b7fd94" TargetMode="External"/><Relationship Id="rId69" Type="http://schemas.openxmlformats.org/officeDocument/2006/relationships/hyperlink" Target="http://ufcstats.com/fight-details/f1cbd73e7be64d28" TargetMode="External"/><Relationship Id="rId134" Type="http://schemas.openxmlformats.org/officeDocument/2006/relationships/hyperlink" Target="http://ufcstats.com/fight-details/a83ebbf013905949" TargetMode="External"/><Relationship Id="rId80" Type="http://schemas.openxmlformats.org/officeDocument/2006/relationships/hyperlink" Target="http://ufcstats.com/fight-details/0197a61472fc351d" TargetMode="External"/><Relationship Id="rId176" Type="http://schemas.openxmlformats.org/officeDocument/2006/relationships/hyperlink" Target="http://ufcstats.com/fight-details/8e43d61ca6f2d904" TargetMode="External"/><Relationship Id="rId341" Type="http://schemas.openxmlformats.org/officeDocument/2006/relationships/hyperlink" Target="http://ufcstats.com/fight-details/80551dceed42e7ab" TargetMode="External"/><Relationship Id="rId383" Type="http://schemas.openxmlformats.org/officeDocument/2006/relationships/hyperlink" Target="http://ufcstats.com/fight-details/cb2844bb15d22cc6" TargetMode="External"/><Relationship Id="rId439" Type="http://schemas.openxmlformats.org/officeDocument/2006/relationships/hyperlink" Target="http://ufcstats.com/fight-details/e7423a91a253b416" TargetMode="External"/><Relationship Id="rId201" Type="http://schemas.openxmlformats.org/officeDocument/2006/relationships/hyperlink" Target="http://ufcstats.com/fight-details/d4eb3614c7734781" TargetMode="External"/><Relationship Id="rId243" Type="http://schemas.openxmlformats.org/officeDocument/2006/relationships/hyperlink" Target="http://ufcstats.com/fight-details/69b147aaaafeb47d" TargetMode="External"/><Relationship Id="rId285" Type="http://schemas.openxmlformats.org/officeDocument/2006/relationships/hyperlink" Target="http://ufcstats.com/fight-details/ca7fd237c16cec84" TargetMode="External"/><Relationship Id="rId450" Type="http://schemas.openxmlformats.org/officeDocument/2006/relationships/hyperlink" Target="http://ufcstats.com/fight-details/918c2efc59c1952e" TargetMode="External"/><Relationship Id="rId38" Type="http://schemas.openxmlformats.org/officeDocument/2006/relationships/hyperlink" Target="http://ufcstats.com/fight-details/38abefbf24624a35" TargetMode="External"/><Relationship Id="rId103" Type="http://schemas.openxmlformats.org/officeDocument/2006/relationships/hyperlink" Target="http://ufcstats.com/fight-details/96d4fe315722d1c1" TargetMode="External"/><Relationship Id="rId310" Type="http://schemas.openxmlformats.org/officeDocument/2006/relationships/hyperlink" Target="http://ufcstats.com/fight-details/3e0090669d51415f" TargetMode="External"/><Relationship Id="rId91" Type="http://schemas.openxmlformats.org/officeDocument/2006/relationships/hyperlink" Target="http://ufcstats.com/fight-details/119559fd8124fee3" TargetMode="External"/><Relationship Id="rId145" Type="http://schemas.openxmlformats.org/officeDocument/2006/relationships/hyperlink" Target="http://ufcstats.com/fight-details/67db05bac9165722" TargetMode="External"/><Relationship Id="rId187" Type="http://schemas.openxmlformats.org/officeDocument/2006/relationships/hyperlink" Target="http://ufcstats.com/fight-details/b25eacaca1499e30" TargetMode="External"/><Relationship Id="rId352" Type="http://schemas.openxmlformats.org/officeDocument/2006/relationships/hyperlink" Target="http://ufcstats.com/fight-details/29df50b2ea446361" TargetMode="External"/><Relationship Id="rId394" Type="http://schemas.openxmlformats.org/officeDocument/2006/relationships/hyperlink" Target="http://ufcstats.com/fight-details/fd7421f421e802bd" TargetMode="External"/><Relationship Id="rId408" Type="http://schemas.openxmlformats.org/officeDocument/2006/relationships/hyperlink" Target="http://ufcstats.com/fight-details/1bf7f647f309464e" TargetMode="External"/><Relationship Id="rId212" Type="http://schemas.openxmlformats.org/officeDocument/2006/relationships/hyperlink" Target="http://ufcstats.com/fight-details/2cdf841a057d9039" TargetMode="External"/><Relationship Id="rId254" Type="http://schemas.openxmlformats.org/officeDocument/2006/relationships/hyperlink" Target="http://ufcstats.com/fight-details/e24b65cd8721349a" TargetMode="External"/><Relationship Id="rId49" Type="http://schemas.openxmlformats.org/officeDocument/2006/relationships/hyperlink" Target="http://ufcstats.com/fight-details/637f561cd731fb44" TargetMode="External"/><Relationship Id="rId114" Type="http://schemas.openxmlformats.org/officeDocument/2006/relationships/hyperlink" Target="http://ufcstats.com/fight-details/029f5c36820fdc09" TargetMode="External"/><Relationship Id="rId296" Type="http://schemas.openxmlformats.org/officeDocument/2006/relationships/hyperlink" Target="http://ufcstats.com/fight-details/a4c7d59d340794c0" TargetMode="External"/><Relationship Id="rId461" Type="http://schemas.openxmlformats.org/officeDocument/2006/relationships/hyperlink" Target="http://ufcstats.com/fight-details/9a8964b148cb5923" TargetMode="External"/><Relationship Id="rId60" Type="http://schemas.openxmlformats.org/officeDocument/2006/relationships/hyperlink" Target="http://ufcstats.com/fight-details/33fa6793a7f984ac" TargetMode="External"/><Relationship Id="rId156" Type="http://schemas.openxmlformats.org/officeDocument/2006/relationships/hyperlink" Target="http://ufcstats.com/fight-details/2e001d8c2f6106fc" TargetMode="External"/><Relationship Id="rId198" Type="http://schemas.openxmlformats.org/officeDocument/2006/relationships/hyperlink" Target="http://ufcstats.com/fight-details/bc84680df666c96d" TargetMode="External"/><Relationship Id="rId321" Type="http://schemas.openxmlformats.org/officeDocument/2006/relationships/hyperlink" Target="http://ufcstats.com/fight-details/771d8ce136a12a13" TargetMode="External"/><Relationship Id="rId363" Type="http://schemas.openxmlformats.org/officeDocument/2006/relationships/hyperlink" Target="http://ufcstats.com/fight-details/ad63c30e22e63344" TargetMode="External"/><Relationship Id="rId419" Type="http://schemas.openxmlformats.org/officeDocument/2006/relationships/hyperlink" Target="http://ufcstats.com/fight-details/8c109a0c53ed9618" TargetMode="External"/><Relationship Id="rId223" Type="http://schemas.openxmlformats.org/officeDocument/2006/relationships/hyperlink" Target="http://ufcstats.com/fight-details/4ce0a62cdad7bf32" TargetMode="External"/><Relationship Id="rId430" Type="http://schemas.openxmlformats.org/officeDocument/2006/relationships/hyperlink" Target="http://ufcstats.com/fight-details/821bef3a3394dd96" TargetMode="External"/><Relationship Id="rId18" Type="http://schemas.openxmlformats.org/officeDocument/2006/relationships/hyperlink" Target="http://ufcstats.com/fight-details/6101249c2cdd1493" TargetMode="External"/><Relationship Id="rId265" Type="http://schemas.openxmlformats.org/officeDocument/2006/relationships/hyperlink" Target="http://ufcstats.com/fight-details/1ce1a43ef68ffc7d" TargetMode="External"/><Relationship Id="rId472" Type="http://schemas.openxmlformats.org/officeDocument/2006/relationships/hyperlink" Target="http://ufcstats.com/fight-details/cf4199c8517bc1fd" TargetMode="External"/><Relationship Id="rId125" Type="http://schemas.openxmlformats.org/officeDocument/2006/relationships/hyperlink" Target="http://ufcstats.com/fight-details/1cd8f5a107f64e39" TargetMode="External"/><Relationship Id="rId167" Type="http://schemas.openxmlformats.org/officeDocument/2006/relationships/hyperlink" Target="http://ufcstats.com/fight-details/16a05f3c4a765f65" TargetMode="External"/><Relationship Id="rId332" Type="http://schemas.openxmlformats.org/officeDocument/2006/relationships/hyperlink" Target="http://ufcstats.com/fight-details/8bcdcfb0f93f1409" TargetMode="External"/><Relationship Id="rId374" Type="http://schemas.openxmlformats.org/officeDocument/2006/relationships/hyperlink" Target="http://ufcstats.com/fight-details/969aa613824c5dfe" TargetMode="External"/><Relationship Id="rId71" Type="http://schemas.openxmlformats.org/officeDocument/2006/relationships/hyperlink" Target="http://ufcstats.com/fight-details/ebb758b49e82d0ed" TargetMode="External"/><Relationship Id="rId234" Type="http://schemas.openxmlformats.org/officeDocument/2006/relationships/hyperlink" Target="http://ufcstats.com/fight-details/f9ec8bedc15ece93" TargetMode="External"/><Relationship Id="rId2" Type="http://schemas.openxmlformats.org/officeDocument/2006/relationships/hyperlink" Target="http://ufcstats.com/fight-details/6cd542650d886c22" TargetMode="External"/><Relationship Id="rId29" Type="http://schemas.openxmlformats.org/officeDocument/2006/relationships/hyperlink" Target="http://ufcstats.com/fight-details/15aa55a91cf848cf" TargetMode="External"/><Relationship Id="rId276" Type="http://schemas.openxmlformats.org/officeDocument/2006/relationships/hyperlink" Target="http://ufcstats.com/fight-details/4e566bd7094b49da" TargetMode="External"/><Relationship Id="rId441" Type="http://schemas.openxmlformats.org/officeDocument/2006/relationships/hyperlink" Target="http://ufcstats.com/fight-details/a5a065cb6d33ba9e" TargetMode="External"/><Relationship Id="rId40" Type="http://schemas.openxmlformats.org/officeDocument/2006/relationships/hyperlink" Target="http://ufcstats.com/fight-details/65223fa6055df489" TargetMode="External"/><Relationship Id="rId136" Type="http://schemas.openxmlformats.org/officeDocument/2006/relationships/hyperlink" Target="http://ufcstats.com/fight-details/5980ab31e4718a83" TargetMode="External"/><Relationship Id="rId178" Type="http://schemas.openxmlformats.org/officeDocument/2006/relationships/hyperlink" Target="http://ufcstats.com/fight-details/41feee2c08af2235" TargetMode="External"/><Relationship Id="rId301" Type="http://schemas.openxmlformats.org/officeDocument/2006/relationships/hyperlink" Target="http://ufcstats.com/fight-details/39fa341fb9161d6f" TargetMode="External"/><Relationship Id="rId343" Type="http://schemas.openxmlformats.org/officeDocument/2006/relationships/hyperlink" Target="http://ufcstats.com/fight-details/08426f06239d903c" TargetMode="External"/><Relationship Id="rId82" Type="http://schemas.openxmlformats.org/officeDocument/2006/relationships/hyperlink" Target="http://ufcstats.com/fight-details/df146b0592259e5d" TargetMode="External"/><Relationship Id="rId203" Type="http://schemas.openxmlformats.org/officeDocument/2006/relationships/hyperlink" Target="http://ufcstats.com/fight-details/7c23770c639dcd22" TargetMode="External"/><Relationship Id="rId385" Type="http://schemas.openxmlformats.org/officeDocument/2006/relationships/hyperlink" Target="http://ufcstats.com/fight-details/19348172178f42ed" TargetMode="External"/><Relationship Id="rId245" Type="http://schemas.openxmlformats.org/officeDocument/2006/relationships/hyperlink" Target="http://ufcstats.com/fight-details/249b75a787dccfe6" TargetMode="External"/><Relationship Id="rId287" Type="http://schemas.openxmlformats.org/officeDocument/2006/relationships/hyperlink" Target="http://ufcstats.com/fight-details/f8a8871d167fc929" TargetMode="External"/><Relationship Id="rId410" Type="http://schemas.openxmlformats.org/officeDocument/2006/relationships/hyperlink" Target="http://ufcstats.com/fight-details/b9b0da84b243213f" TargetMode="External"/><Relationship Id="rId452" Type="http://schemas.openxmlformats.org/officeDocument/2006/relationships/hyperlink" Target="http://ufcstats.com/fight-details/e5461559114e30ff" TargetMode="External"/><Relationship Id="rId30" Type="http://schemas.openxmlformats.org/officeDocument/2006/relationships/hyperlink" Target="http://ufcstats.com/fight-details/b5ec939fd1edf048" TargetMode="External"/><Relationship Id="rId105" Type="http://schemas.openxmlformats.org/officeDocument/2006/relationships/hyperlink" Target="http://ufcstats.com/fight-details/be73f75b52b06f14" TargetMode="External"/><Relationship Id="rId126" Type="http://schemas.openxmlformats.org/officeDocument/2006/relationships/hyperlink" Target="http://ufcstats.com/fight-details/7151ae256e6c181b" TargetMode="External"/><Relationship Id="rId147" Type="http://schemas.openxmlformats.org/officeDocument/2006/relationships/hyperlink" Target="http://ufcstats.com/fight-details/e36b8b88646f72f8" TargetMode="External"/><Relationship Id="rId168" Type="http://schemas.openxmlformats.org/officeDocument/2006/relationships/hyperlink" Target="http://ufcstats.com/fight-details/8da5849a6e7307bf" TargetMode="External"/><Relationship Id="rId312" Type="http://schemas.openxmlformats.org/officeDocument/2006/relationships/hyperlink" Target="http://ufcstats.com/fight-details/fbce8f52689bce87" TargetMode="External"/><Relationship Id="rId333" Type="http://schemas.openxmlformats.org/officeDocument/2006/relationships/hyperlink" Target="http://ufcstats.com/fight-details/1af23e7aa71a1d17" TargetMode="External"/><Relationship Id="rId354" Type="http://schemas.openxmlformats.org/officeDocument/2006/relationships/hyperlink" Target="http://ufcstats.com/fight-details/11a83369d49ad138" TargetMode="External"/><Relationship Id="rId51" Type="http://schemas.openxmlformats.org/officeDocument/2006/relationships/hyperlink" Target="http://ufcstats.com/fight-details/51010081d59b4687" TargetMode="External"/><Relationship Id="rId72" Type="http://schemas.openxmlformats.org/officeDocument/2006/relationships/hyperlink" Target="http://ufcstats.com/fight-details/dcf5014e56649c2f" TargetMode="External"/><Relationship Id="rId93" Type="http://schemas.openxmlformats.org/officeDocument/2006/relationships/hyperlink" Target="http://ufcstats.com/fight-details/b9539d5e379b3edc" TargetMode="External"/><Relationship Id="rId189" Type="http://schemas.openxmlformats.org/officeDocument/2006/relationships/hyperlink" Target="http://ufcstats.com/fight-details/db8887f2085f7971" TargetMode="External"/><Relationship Id="rId375" Type="http://schemas.openxmlformats.org/officeDocument/2006/relationships/hyperlink" Target="http://ufcstats.com/fight-details/c7bc785e99d3ee2a" TargetMode="External"/><Relationship Id="rId396" Type="http://schemas.openxmlformats.org/officeDocument/2006/relationships/hyperlink" Target="http://ufcstats.com/fight-details/57dec2b07b75dada" TargetMode="External"/><Relationship Id="rId3" Type="http://schemas.openxmlformats.org/officeDocument/2006/relationships/hyperlink" Target="http://ufcstats.com/fight-details/0eb16f1307f66a11" TargetMode="External"/><Relationship Id="rId214" Type="http://schemas.openxmlformats.org/officeDocument/2006/relationships/hyperlink" Target="http://ufcstats.com/fight-details/a337e11f80a75b7d" TargetMode="External"/><Relationship Id="rId235" Type="http://schemas.openxmlformats.org/officeDocument/2006/relationships/hyperlink" Target="http://ufcstats.com/fight-details/0ccd2593c88209e4" TargetMode="External"/><Relationship Id="rId256" Type="http://schemas.openxmlformats.org/officeDocument/2006/relationships/hyperlink" Target="http://ufcstats.com/fight-details/1aaa1a9ceecd6063" TargetMode="External"/><Relationship Id="rId277" Type="http://schemas.openxmlformats.org/officeDocument/2006/relationships/hyperlink" Target="http://ufcstats.com/fight-details/926977ec3ed0ebe1" TargetMode="External"/><Relationship Id="rId298" Type="http://schemas.openxmlformats.org/officeDocument/2006/relationships/hyperlink" Target="http://ufcstats.com/fight-details/8c01b7dccc4d0926" TargetMode="External"/><Relationship Id="rId400" Type="http://schemas.openxmlformats.org/officeDocument/2006/relationships/hyperlink" Target="http://ufcstats.com/fight-details/858696528ab7035a" TargetMode="External"/><Relationship Id="rId421" Type="http://schemas.openxmlformats.org/officeDocument/2006/relationships/hyperlink" Target="http://ufcstats.com/fight-details/50d5a170516de2ad" TargetMode="External"/><Relationship Id="rId442" Type="http://schemas.openxmlformats.org/officeDocument/2006/relationships/hyperlink" Target="http://ufcstats.com/fight-details/1f7566c90343a680" TargetMode="External"/><Relationship Id="rId463" Type="http://schemas.openxmlformats.org/officeDocument/2006/relationships/hyperlink" Target="http://ufcstats.com/fight-details/894c44c3d04aaf6f" TargetMode="External"/><Relationship Id="rId116" Type="http://schemas.openxmlformats.org/officeDocument/2006/relationships/hyperlink" Target="http://ufcstats.com/fight-details/430309e0f8a315d5" TargetMode="External"/><Relationship Id="rId137" Type="http://schemas.openxmlformats.org/officeDocument/2006/relationships/hyperlink" Target="http://ufcstats.com/fight-details/c2ee423d1f0b4f6f" TargetMode="External"/><Relationship Id="rId158" Type="http://schemas.openxmlformats.org/officeDocument/2006/relationships/hyperlink" Target="http://ufcstats.com/fight-details/bc01ce748a5723df" TargetMode="External"/><Relationship Id="rId302" Type="http://schemas.openxmlformats.org/officeDocument/2006/relationships/hyperlink" Target="http://ufcstats.com/fight-details/127be512f86618b2" TargetMode="External"/><Relationship Id="rId323" Type="http://schemas.openxmlformats.org/officeDocument/2006/relationships/hyperlink" Target="http://ufcstats.com/fight-details/889207e3c622a5aa" TargetMode="External"/><Relationship Id="rId344" Type="http://schemas.openxmlformats.org/officeDocument/2006/relationships/hyperlink" Target="http://ufcstats.com/fight-details/afc86d1076c4c3a9" TargetMode="External"/><Relationship Id="rId20" Type="http://schemas.openxmlformats.org/officeDocument/2006/relationships/hyperlink" Target="http://ufcstats.com/fight-details/962aab0abdd34173" TargetMode="External"/><Relationship Id="rId41" Type="http://schemas.openxmlformats.org/officeDocument/2006/relationships/hyperlink" Target="http://ufcstats.com/fight-details/c73b81e7c1c1cccc" TargetMode="External"/><Relationship Id="rId62" Type="http://schemas.openxmlformats.org/officeDocument/2006/relationships/hyperlink" Target="http://ufcstats.com/fight-details/dfe14e13aa727a0c" TargetMode="External"/><Relationship Id="rId83" Type="http://schemas.openxmlformats.org/officeDocument/2006/relationships/hyperlink" Target="http://ufcstats.com/fight-details/b78545b32a97ac44" TargetMode="External"/><Relationship Id="rId179" Type="http://schemas.openxmlformats.org/officeDocument/2006/relationships/hyperlink" Target="http://ufcstats.com/fight-details/d755a29a49c9ee09" TargetMode="External"/><Relationship Id="rId365" Type="http://schemas.openxmlformats.org/officeDocument/2006/relationships/hyperlink" Target="http://ufcstats.com/fight-details/277233ca9ea25674" TargetMode="External"/><Relationship Id="rId386" Type="http://schemas.openxmlformats.org/officeDocument/2006/relationships/hyperlink" Target="http://ufcstats.com/fight-details/a815119606930378" TargetMode="External"/><Relationship Id="rId190" Type="http://schemas.openxmlformats.org/officeDocument/2006/relationships/hyperlink" Target="http://ufcstats.com/fight-details/e6fdf9e67f84a0e0" TargetMode="External"/><Relationship Id="rId204" Type="http://schemas.openxmlformats.org/officeDocument/2006/relationships/hyperlink" Target="http://ufcstats.com/fight-details/2fef7ac78df0cccc" TargetMode="External"/><Relationship Id="rId225" Type="http://schemas.openxmlformats.org/officeDocument/2006/relationships/hyperlink" Target="http://ufcstats.com/fight-details/83b32e9300fec365" TargetMode="External"/><Relationship Id="rId246" Type="http://schemas.openxmlformats.org/officeDocument/2006/relationships/hyperlink" Target="http://ufcstats.com/fight-details/42ecb9a94bebc24d" TargetMode="External"/><Relationship Id="rId267" Type="http://schemas.openxmlformats.org/officeDocument/2006/relationships/hyperlink" Target="http://ufcstats.com/fight-details/5f444eac11e55161" TargetMode="External"/><Relationship Id="rId288" Type="http://schemas.openxmlformats.org/officeDocument/2006/relationships/hyperlink" Target="http://ufcstats.com/fight-details/034cbbec91f67852" TargetMode="External"/><Relationship Id="rId411" Type="http://schemas.openxmlformats.org/officeDocument/2006/relationships/hyperlink" Target="http://ufcstats.com/fight-details/1bf1a6fc9c9acc26" TargetMode="External"/><Relationship Id="rId432" Type="http://schemas.openxmlformats.org/officeDocument/2006/relationships/hyperlink" Target="http://ufcstats.com/fight-details/74b8a36293758342" TargetMode="External"/><Relationship Id="rId453" Type="http://schemas.openxmlformats.org/officeDocument/2006/relationships/hyperlink" Target="http://ufcstats.com/fight-details/4cf7792aef993be1" TargetMode="External"/><Relationship Id="rId474" Type="http://schemas.openxmlformats.org/officeDocument/2006/relationships/hyperlink" Target="http://ufcstats.com/fight-details/0f9be7ac405772f8" TargetMode="External"/><Relationship Id="rId106" Type="http://schemas.openxmlformats.org/officeDocument/2006/relationships/hyperlink" Target="http://ufcstats.com/fight-details/6010f681e54ba2cd" TargetMode="External"/><Relationship Id="rId127" Type="http://schemas.openxmlformats.org/officeDocument/2006/relationships/hyperlink" Target="http://ufcstats.com/fight-details/dc870fab1e0f15e1" TargetMode="External"/><Relationship Id="rId313" Type="http://schemas.openxmlformats.org/officeDocument/2006/relationships/hyperlink" Target="http://ufcstats.com/fight-details/312c742e614f8993" TargetMode="External"/><Relationship Id="rId10" Type="http://schemas.openxmlformats.org/officeDocument/2006/relationships/hyperlink" Target="http://ufcstats.com/fight-details/ed64e42263bf50bf" TargetMode="External"/><Relationship Id="rId31" Type="http://schemas.openxmlformats.org/officeDocument/2006/relationships/hyperlink" Target="http://ufcstats.com/fight-details/f0418c2c989a5cde" TargetMode="External"/><Relationship Id="rId52" Type="http://schemas.openxmlformats.org/officeDocument/2006/relationships/hyperlink" Target="http://ufcstats.com/fight-details/95a0d706e1f4cfa2" TargetMode="External"/><Relationship Id="rId73" Type="http://schemas.openxmlformats.org/officeDocument/2006/relationships/hyperlink" Target="http://ufcstats.com/fight-details/a7d397cd0f2ac93a" TargetMode="External"/><Relationship Id="rId94" Type="http://schemas.openxmlformats.org/officeDocument/2006/relationships/hyperlink" Target="http://ufcstats.com/fight-details/ec490d4224d3bc78" TargetMode="External"/><Relationship Id="rId148" Type="http://schemas.openxmlformats.org/officeDocument/2006/relationships/hyperlink" Target="http://ufcstats.com/fight-details/0e3af9b5e1b3ae80" TargetMode="External"/><Relationship Id="rId169" Type="http://schemas.openxmlformats.org/officeDocument/2006/relationships/hyperlink" Target="http://ufcstats.com/fight-details/93a081342561d0c3" TargetMode="External"/><Relationship Id="rId334" Type="http://schemas.openxmlformats.org/officeDocument/2006/relationships/hyperlink" Target="http://ufcstats.com/fight-details/bc276e0f07e30a54" TargetMode="External"/><Relationship Id="rId355" Type="http://schemas.openxmlformats.org/officeDocument/2006/relationships/hyperlink" Target="http://ufcstats.com/fight-details/5d6fb4acfe5cc8a1" TargetMode="External"/><Relationship Id="rId376" Type="http://schemas.openxmlformats.org/officeDocument/2006/relationships/hyperlink" Target="http://ufcstats.com/fight-details/37835a0f9bbb4d4e" TargetMode="External"/><Relationship Id="rId397" Type="http://schemas.openxmlformats.org/officeDocument/2006/relationships/hyperlink" Target="http://ufcstats.com/fight-details/0d698108c5f5d1d6" TargetMode="External"/><Relationship Id="rId4" Type="http://schemas.openxmlformats.org/officeDocument/2006/relationships/hyperlink" Target="http://ufcstats.com/fight-details/e05a18b6ce22fa1f" TargetMode="External"/><Relationship Id="rId180" Type="http://schemas.openxmlformats.org/officeDocument/2006/relationships/hyperlink" Target="http://ufcstats.com/fight-details/e1eeb61d0669ce45" TargetMode="External"/><Relationship Id="rId215" Type="http://schemas.openxmlformats.org/officeDocument/2006/relationships/hyperlink" Target="http://ufcstats.com/fight-details/0408a452fb5c3e14" TargetMode="External"/><Relationship Id="rId236" Type="http://schemas.openxmlformats.org/officeDocument/2006/relationships/hyperlink" Target="http://ufcstats.com/fight-details/5ae5eb729c6bb169" TargetMode="External"/><Relationship Id="rId257" Type="http://schemas.openxmlformats.org/officeDocument/2006/relationships/hyperlink" Target="http://ufcstats.com/fight-details/43d7d4b67be48553" TargetMode="External"/><Relationship Id="rId278" Type="http://schemas.openxmlformats.org/officeDocument/2006/relationships/hyperlink" Target="http://ufcstats.com/fight-details/8d9b460143ae19bc" TargetMode="External"/><Relationship Id="rId401" Type="http://schemas.openxmlformats.org/officeDocument/2006/relationships/hyperlink" Target="http://ufcstats.com/fight-details/efbab76bedbfb65d" TargetMode="External"/><Relationship Id="rId422" Type="http://schemas.openxmlformats.org/officeDocument/2006/relationships/hyperlink" Target="http://ufcstats.com/fight-details/4b155647201d549e" TargetMode="External"/><Relationship Id="rId443" Type="http://schemas.openxmlformats.org/officeDocument/2006/relationships/hyperlink" Target="http://ufcstats.com/fight-details/2ae243f518948794" TargetMode="External"/><Relationship Id="rId464" Type="http://schemas.openxmlformats.org/officeDocument/2006/relationships/hyperlink" Target="http://ufcstats.com/fight-details/25e6b11e1cf45b83" TargetMode="External"/><Relationship Id="rId303" Type="http://schemas.openxmlformats.org/officeDocument/2006/relationships/hyperlink" Target="http://ufcstats.com/fight-details/20be16a1db95156c" TargetMode="External"/><Relationship Id="rId42" Type="http://schemas.openxmlformats.org/officeDocument/2006/relationships/hyperlink" Target="http://ufcstats.com/fight-details/12a64dfb8147566b" TargetMode="External"/><Relationship Id="rId84" Type="http://schemas.openxmlformats.org/officeDocument/2006/relationships/hyperlink" Target="http://ufcstats.com/fight-details/1b9a127f9dadaad9" TargetMode="External"/><Relationship Id="rId138" Type="http://schemas.openxmlformats.org/officeDocument/2006/relationships/hyperlink" Target="http://ufcstats.com/fight-details/014f1da2083ca174" TargetMode="External"/><Relationship Id="rId345" Type="http://schemas.openxmlformats.org/officeDocument/2006/relationships/hyperlink" Target="http://ufcstats.com/fight-details/a0c82ba11a373008" TargetMode="External"/><Relationship Id="rId387" Type="http://schemas.openxmlformats.org/officeDocument/2006/relationships/hyperlink" Target="http://ufcstats.com/fight-details/52f0398eb74c139d" TargetMode="External"/><Relationship Id="rId191" Type="http://schemas.openxmlformats.org/officeDocument/2006/relationships/hyperlink" Target="http://ufcstats.com/fight-details/6dd0874dec826397" TargetMode="External"/><Relationship Id="rId205" Type="http://schemas.openxmlformats.org/officeDocument/2006/relationships/hyperlink" Target="http://ufcstats.com/fight-details/9674c37e3a2bc399" TargetMode="External"/><Relationship Id="rId247" Type="http://schemas.openxmlformats.org/officeDocument/2006/relationships/hyperlink" Target="http://ufcstats.com/fight-details/75b1533cc3cafae9" TargetMode="External"/><Relationship Id="rId412" Type="http://schemas.openxmlformats.org/officeDocument/2006/relationships/hyperlink" Target="http://ufcstats.com/fight-details/2ab395e21080b10a" TargetMode="External"/><Relationship Id="rId107" Type="http://schemas.openxmlformats.org/officeDocument/2006/relationships/hyperlink" Target="http://ufcstats.com/fight-details/2ac3ce1f62b3c4b9" TargetMode="External"/><Relationship Id="rId289" Type="http://schemas.openxmlformats.org/officeDocument/2006/relationships/hyperlink" Target="http://ufcstats.com/fight-details/8955ea3c7c332e6c" TargetMode="External"/><Relationship Id="rId454" Type="http://schemas.openxmlformats.org/officeDocument/2006/relationships/hyperlink" Target="http://ufcstats.com/fight-details/61bf6748cf85eb84" TargetMode="External"/><Relationship Id="rId11" Type="http://schemas.openxmlformats.org/officeDocument/2006/relationships/hyperlink" Target="http://ufcstats.com/fight-details/43d90683078fcee5" TargetMode="External"/><Relationship Id="rId53" Type="http://schemas.openxmlformats.org/officeDocument/2006/relationships/hyperlink" Target="http://ufcstats.com/fight-details/6e093a1d4286dad6" TargetMode="External"/><Relationship Id="rId149" Type="http://schemas.openxmlformats.org/officeDocument/2006/relationships/hyperlink" Target="http://ufcstats.com/fight-details/51218519be104794" TargetMode="External"/><Relationship Id="rId314" Type="http://schemas.openxmlformats.org/officeDocument/2006/relationships/hyperlink" Target="http://ufcstats.com/fight-details/24ff385ca78c80d3" TargetMode="External"/><Relationship Id="rId356" Type="http://schemas.openxmlformats.org/officeDocument/2006/relationships/hyperlink" Target="http://ufcstats.com/fight-details/7e6f12a95c14f9de" TargetMode="External"/><Relationship Id="rId398" Type="http://schemas.openxmlformats.org/officeDocument/2006/relationships/hyperlink" Target="http://ufcstats.com/fight-details/4e8b2357fea211e9" TargetMode="External"/><Relationship Id="rId95" Type="http://schemas.openxmlformats.org/officeDocument/2006/relationships/hyperlink" Target="http://ufcstats.com/fight-details/cd20dac4daa4f93a" TargetMode="External"/><Relationship Id="rId160" Type="http://schemas.openxmlformats.org/officeDocument/2006/relationships/hyperlink" Target="http://ufcstats.com/fight-details/358468724d7d4322" TargetMode="External"/><Relationship Id="rId216" Type="http://schemas.openxmlformats.org/officeDocument/2006/relationships/hyperlink" Target="http://ufcstats.com/fight-details/187681b2843174b5" TargetMode="External"/><Relationship Id="rId423" Type="http://schemas.openxmlformats.org/officeDocument/2006/relationships/hyperlink" Target="http://ufcstats.com/fight-details/f3c42ce9fad55eb7" TargetMode="External"/><Relationship Id="rId258" Type="http://schemas.openxmlformats.org/officeDocument/2006/relationships/hyperlink" Target="http://ufcstats.com/fight-details/971b3d35c302cf8f" TargetMode="External"/><Relationship Id="rId465" Type="http://schemas.openxmlformats.org/officeDocument/2006/relationships/hyperlink" Target="http://ufcstats.com/fight-details/9c884cbc3791bf60" TargetMode="External"/><Relationship Id="rId22" Type="http://schemas.openxmlformats.org/officeDocument/2006/relationships/hyperlink" Target="http://ufcstats.com/fight-details/f4363f1317b47213" TargetMode="External"/><Relationship Id="rId64" Type="http://schemas.openxmlformats.org/officeDocument/2006/relationships/hyperlink" Target="http://ufcstats.com/fight-details/e9754f597ec50f6f" TargetMode="External"/><Relationship Id="rId118" Type="http://schemas.openxmlformats.org/officeDocument/2006/relationships/hyperlink" Target="http://ufcstats.com/fight-details/53d0df57a917c6a0" TargetMode="External"/><Relationship Id="rId325" Type="http://schemas.openxmlformats.org/officeDocument/2006/relationships/hyperlink" Target="http://ufcstats.com/fight-details/d0b7a79d3e7f3362" TargetMode="External"/><Relationship Id="rId367" Type="http://schemas.openxmlformats.org/officeDocument/2006/relationships/hyperlink" Target="http://ufcstats.com/fight-details/cde2f88251b73305" TargetMode="External"/><Relationship Id="rId171" Type="http://schemas.openxmlformats.org/officeDocument/2006/relationships/hyperlink" Target="http://ufcstats.com/fight-details/0717bc30025f3656" TargetMode="External"/><Relationship Id="rId227" Type="http://schemas.openxmlformats.org/officeDocument/2006/relationships/hyperlink" Target="http://ufcstats.com/fight-details/7c9830ee4835f757" TargetMode="External"/><Relationship Id="rId269" Type="http://schemas.openxmlformats.org/officeDocument/2006/relationships/hyperlink" Target="http://ufcstats.com/fight-details/9b46a662b8fa1d8d" TargetMode="External"/><Relationship Id="rId434" Type="http://schemas.openxmlformats.org/officeDocument/2006/relationships/hyperlink" Target="http://ufcstats.com/fight-details/e65ffb177a2c7669" TargetMode="External"/><Relationship Id="rId476" Type="http://schemas.openxmlformats.org/officeDocument/2006/relationships/hyperlink" Target="http://ufcstats.com/fight-details/480aca1906276700" TargetMode="External"/><Relationship Id="rId33" Type="http://schemas.openxmlformats.org/officeDocument/2006/relationships/hyperlink" Target="http://ufcstats.com/fight-details/445d0d44091b902a" TargetMode="External"/><Relationship Id="rId129" Type="http://schemas.openxmlformats.org/officeDocument/2006/relationships/hyperlink" Target="http://ufcstats.com/fight-details/4fc128b1bdf088b1" TargetMode="External"/><Relationship Id="rId280" Type="http://schemas.openxmlformats.org/officeDocument/2006/relationships/hyperlink" Target="http://ufcstats.com/fight-details/36f0c6d7126e09ee" TargetMode="External"/><Relationship Id="rId336" Type="http://schemas.openxmlformats.org/officeDocument/2006/relationships/hyperlink" Target="http://ufcstats.com/fight-details/aa430402314b4459" TargetMode="External"/><Relationship Id="rId75" Type="http://schemas.openxmlformats.org/officeDocument/2006/relationships/hyperlink" Target="http://ufcstats.com/fight-details/e92fb5c609e20b49" TargetMode="External"/><Relationship Id="rId140" Type="http://schemas.openxmlformats.org/officeDocument/2006/relationships/hyperlink" Target="http://ufcstats.com/fight-details/dfb856d4c80bbf04" TargetMode="External"/><Relationship Id="rId182" Type="http://schemas.openxmlformats.org/officeDocument/2006/relationships/hyperlink" Target="http://ufcstats.com/fight-details/6455d9c54d99b851" TargetMode="External"/><Relationship Id="rId378" Type="http://schemas.openxmlformats.org/officeDocument/2006/relationships/hyperlink" Target="http://ufcstats.com/fight-details/110a49a43aafe044" TargetMode="External"/><Relationship Id="rId403" Type="http://schemas.openxmlformats.org/officeDocument/2006/relationships/hyperlink" Target="http://ufcstats.com/fight-details/b247a1900cfae052" TargetMode="External"/><Relationship Id="rId6" Type="http://schemas.openxmlformats.org/officeDocument/2006/relationships/hyperlink" Target="http://ufcstats.com/fight-details/ce0fda34122f3d48" TargetMode="External"/><Relationship Id="rId238" Type="http://schemas.openxmlformats.org/officeDocument/2006/relationships/hyperlink" Target="http://ufcstats.com/fight-details/d16f7ab4e28171ea" TargetMode="External"/><Relationship Id="rId445" Type="http://schemas.openxmlformats.org/officeDocument/2006/relationships/hyperlink" Target="http://ufcstats.com/fight-details/a0ba726da4a50458" TargetMode="External"/><Relationship Id="rId291" Type="http://schemas.openxmlformats.org/officeDocument/2006/relationships/hyperlink" Target="http://ufcstats.com/fight-details/20cefe64f4b28be8" TargetMode="External"/><Relationship Id="rId305" Type="http://schemas.openxmlformats.org/officeDocument/2006/relationships/hyperlink" Target="http://ufcstats.com/fight-details/579f3280456ad450" TargetMode="External"/><Relationship Id="rId347" Type="http://schemas.openxmlformats.org/officeDocument/2006/relationships/hyperlink" Target="http://ufcstats.com/fight-details/94b48b98d0292720" TargetMode="External"/><Relationship Id="rId44" Type="http://schemas.openxmlformats.org/officeDocument/2006/relationships/hyperlink" Target="http://ufcstats.com/fight-details/5519d7fe2cee8353" TargetMode="External"/><Relationship Id="rId86" Type="http://schemas.openxmlformats.org/officeDocument/2006/relationships/hyperlink" Target="http://ufcstats.com/fight-details/621e6f0929a3dbfc" TargetMode="External"/><Relationship Id="rId151" Type="http://schemas.openxmlformats.org/officeDocument/2006/relationships/hyperlink" Target="http://ufcstats.com/fight-details/75523d31940c9344" TargetMode="External"/><Relationship Id="rId389" Type="http://schemas.openxmlformats.org/officeDocument/2006/relationships/hyperlink" Target="http://ufcstats.com/fight-details/573908b71b361312" TargetMode="External"/><Relationship Id="rId193" Type="http://schemas.openxmlformats.org/officeDocument/2006/relationships/hyperlink" Target="http://ufcstats.com/fight-details/848e7af760788418" TargetMode="External"/><Relationship Id="rId207" Type="http://schemas.openxmlformats.org/officeDocument/2006/relationships/hyperlink" Target="http://ufcstats.com/fight-details/677e98ae5834ba70" TargetMode="External"/><Relationship Id="rId249" Type="http://schemas.openxmlformats.org/officeDocument/2006/relationships/hyperlink" Target="http://ufcstats.com/fight-details/dbc72a4092a0b296" TargetMode="External"/><Relationship Id="rId414" Type="http://schemas.openxmlformats.org/officeDocument/2006/relationships/hyperlink" Target="http://ufcstats.com/fight-details/b9a3b520e68f8142" TargetMode="External"/><Relationship Id="rId456" Type="http://schemas.openxmlformats.org/officeDocument/2006/relationships/hyperlink" Target="http://ufcstats.com/fight-details/e1897ff433134cb8" TargetMode="External"/><Relationship Id="rId13" Type="http://schemas.openxmlformats.org/officeDocument/2006/relationships/hyperlink" Target="http://ufcstats.com/fight-details/c4e4954beb59eca6" TargetMode="External"/><Relationship Id="rId109" Type="http://schemas.openxmlformats.org/officeDocument/2006/relationships/hyperlink" Target="http://ufcstats.com/fight-details/bba6cc8760da34ab" TargetMode="External"/><Relationship Id="rId260" Type="http://schemas.openxmlformats.org/officeDocument/2006/relationships/hyperlink" Target="http://ufcstats.com/fight-details/cad44cd2466fb68f" TargetMode="External"/><Relationship Id="rId316" Type="http://schemas.openxmlformats.org/officeDocument/2006/relationships/hyperlink" Target="http://ufcstats.com/fight-details/ac656cebef8cf0a4" TargetMode="External"/><Relationship Id="rId55" Type="http://schemas.openxmlformats.org/officeDocument/2006/relationships/hyperlink" Target="http://ufcstats.com/fight-details/b46b27222e62aec1" TargetMode="External"/><Relationship Id="rId97" Type="http://schemas.openxmlformats.org/officeDocument/2006/relationships/hyperlink" Target="http://ufcstats.com/fight-details/5a2fa552e70958d4" TargetMode="External"/><Relationship Id="rId120" Type="http://schemas.openxmlformats.org/officeDocument/2006/relationships/hyperlink" Target="http://ufcstats.com/fight-details/8cd583f6d10692bc" TargetMode="External"/><Relationship Id="rId358" Type="http://schemas.openxmlformats.org/officeDocument/2006/relationships/hyperlink" Target="http://ufcstats.com/fight-details/ea63f56779100678" TargetMode="External"/><Relationship Id="rId162" Type="http://schemas.openxmlformats.org/officeDocument/2006/relationships/hyperlink" Target="http://ufcstats.com/fight-details/8f1b727757a60c07" TargetMode="External"/><Relationship Id="rId218" Type="http://schemas.openxmlformats.org/officeDocument/2006/relationships/hyperlink" Target="http://ufcstats.com/fight-details/f24144fbe9e32c10" TargetMode="External"/><Relationship Id="rId425" Type="http://schemas.openxmlformats.org/officeDocument/2006/relationships/hyperlink" Target="http://ufcstats.com/fight-details/af9927b5589e708b" TargetMode="External"/><Relationship Id="rId467" Type="http://schemas.openxmlformats.org/officeDocument/2006/relationships/hyperlink" Target="http://ufcstats.com/fight-details/de32c5a78aaf89e9" TargetMode="External"/><Relationship Id="rId271" Type="http://schemas.openxmlformats.org/officeDocument/2006/relationships/hyperlink" Target="http://ufcstats.com/fight-details/38d6c2538ce6ec4c" TargetMode="External"/><Relationship Id="rId24" Type="http://schemas.openxmlformats.org/officeDocument/2006/relationships/hyperlink" Target="http://ufcstats.com/fight-details/3a38b0b566f3045d" TargetMode="External"/><Relationship Id="rId66" Type="http://schemas.openxmlformats.org/officeDocument/2006/relationships/hyperlink" Target="http://ufcstats.com/fight-details/5c3b8819dbe98114" TargetMode="External"/><Relationship Id="rId131" Type="http://schemas.openxmlformats.org/officeDocument/2006/relationships/hyperlink" Target="http://ufcstats.com/fight-details/980927e7dcc131c0" TargetMode="External"/><Relationship Id="rId327" Type="http://schemas.openxmlformats.org/officeDocument/2006/relationships/hyperlink" Target="http://ufcstats.com/fight-details/03de7404decde12f" TargetMode="External"/><Relationship Id="rId369" Type="http://schemas.openxmlformats.org/officeDocument/2006/relationships/hyperlink" Target="http://ufcstats.com/fight-details/11cc331fa40ede63" TargetMode="External"/><Relationship Id="rId173" Type="http://schemas.openxmlformats.org/officeDocument/2006/relationships/hyperlink" Target="http://ufcstats.com/fight-details/244aa8f002274344" TargetMode="External"/><Relationship Id="rId229" Type="http://schemas.openxmlformats.org/officeDocument/2006/relationships/hyperlink" Target="http://ufcstats.com/fight-details/23fd9d50a99665fe" TargetMode="External"/><Relationship Id="rId380" Type="http://schemas.openxmlformats.org/officeDocument/2006/relationships/hyperlink" Target="http://ufcstats.com/fight-details/c03b6b6ce5d03276" TargetMode="External"/><Relationship Id="rId436" Type="http://schemas.openxmlformats.org/officeDocument/2006/relationships/hyperlink" Target="http://ufcstats.com/fight-details/4abcf14faa7f92f2" TargetMode="External"/><Relationship Id="rId240" Type="http://schemas.openxmlformats.org/officeDocument/2006/relationships/hyperlink" Target="http://ufcstats.com/fight-details/2456c4550c26e5e8" TargetMode="External"/><Relationship Id="rId35" Type="http://schemas.openxmlformats.org/officeDocument/2006/relationships/hyperlink" Target="http://ufcstats.com/fight-details/c5259566abc552b1" TargetMode="External"/><Relationship Id="rId77" Type="http://schemas.openxmlformats.org/officeDocument/2006/relationships/hyperlink" Target="http://ufcstats.com/fight-details/a8239866e1222eae" TargetMode="External"/><Relationship Id="rId100" Type="http://schemas.openxmlformats.org/officeDocument/2006/relationships/hyperlink" Target="http://ufcstats.com/fight-details/a3696c847ef6c7f9" TargetMode="External"/><Relationship Id="rId282" Type="http://schemas.openxmlformats.org/officeDocument/2006/relationships/hyperlink" Target="http://ufcstats.com/fight-details/ca6d4239726931f9" TargetMode="External"/><Relationship Id="rId338" Type="http://schemas.openxmlformats.org/officeDocument/2006/relationships/hyperlink" Target="http://ufcstats.com/fight-details/8e971c1ec4b981cc" TargetMode="External"/><Relationship Id="rId8" Type="http://schemas.openxmlformats.org/officeDocument/2006/relationships/hyperlink" Target="http://ufcstats.com/fight-details/b87863a2de433824" TargetMode="External"/><Relationship Id="rId142" Type="http://schemas.openxmlformats.org/officeDocument/2006/relationships/hyperlink" Target="http://ufcstats.com/fight-details/7340b4cbdbac5863" TargetMode="External"/><Relationship Id="rId184" Type="http://schemas.openxmlformats.org/officeDocument/2006/relationships/hyperlink" Target="http://ufcstats.com/fight-details/c8a9d3917d77ede2" TargetMode="External"/><Relationship Id="rId391" Type="http://schemas.openxmlformats.org/officeDocument/2006/relationships/hyperlink" Target="http://ufcstats.com/fight-details/24a9fc95a3112f51" TargetMode="External"/><Relationship Id="rId405" Type="http://schemas.openxmlformats.org/officeDocument/2006/relationships/hyperlink" Target="http://ufcstats.com/fight-details/0b557aeb2169b59f" TargetMode="External"/><Relationship Id="rId447" Type="http://schemas.openxmlformats.org/officeDocument/2006/relationships/hyperlink" Target="http://ufcstats.com/fight-details/2230a5dbc0907859" TargetMode="External"/><Relationship Id="rId251" Type="http://schemas.openxmlformats.org/officeDocument/2006/relationships/hyperlink" Target="http://ufcstats.com/fight-details/024a04f78b37b7d9" TargetMode="External"/><Relationship Id="rId46" Type="http://schemas.openxmlformats.org/officeDocument/2006/relationships/hyperlink" Target="http://ufcstats.com/fight-details/48f7e64b548806cd" TargetMode="External"/><Relationship Id="rId293" Type="http://schemas.openxmlformats.org/officeDocument/2006/relationships/hyperlink" Target="http://ufcstats.com/fight-details/361e67af5f462aea" TargetMode="External"/><Relationship Id="rId307" Type="http://schemas.openxmlformats.org/officeDocument/2006/relationships/hyperlink" Target="http://ufcstats.com/fight-details/02b39d683f027517" TargetMode="External"/><Relationship Id="rId349" Type="http://schemas.openxmlformats.org/officeDocument/2006/relationships/hyperlink" Target="http://ufcstats.com/fight-details/151c597d2e609a4e" TargetMode="External"/><Relationship Id="rId88" Type="http://schemas.openxmlformats.org/officeDocument/2006/relationships/hyperlink" Target="http://ufcstats.com/fight-details/84f60cb00b8d4187" TargetMode="External"/><Relationship Id="rId111" Type="http://schemas.openxmlformats.org/officeDocument/2006/relationships/hyperlink" Target="http://ufcstats.com/fight-details/fb3f5a65da9f2ac7" TargetMode="External"/><Relationship Id="rId153" Type="http://schemas.openxmlformats.org/officeDocument/2006/relationships/hyperlink" Target="http://ufcstats.com/fight-details/953c89aa931082e4" TargetMode="External"/><Relationship Id="rId195" Type="http://schemas.openxmlformats.org/officeDocument/2006/relationships/hyperlink" Target="http://ufcstats.com/fight-details/e22a887ce4ab30eb" TargetMode="External"/><Relationship Id="rId209" Type="http://schemas.openxmlformats.org/officeDocument/2006/relationships/hyperlink" Target="http://ufcstats.com/fight-details/ad9ecef413a5b48f" TargetMode="External"/><Relationship Id="rId360" Type="http://schemas.openxmlformats.org/officeDocument/2006/relationships/hyperlink" Target="http://ufcstats.com/fight-details/b152646345037056" TargetMode="External"/><Relationship Id="rId416" Type="http://schemas.openxmlformats.org/officeDocument/2006/relationships/hyperlink" Target="http://ufcstats.com/fight-details/8f40ac90544d0003" TargetMode="External"/><Relationship Id="rId220" Type="http://schemas.openxmlformats.org/officeDocument/2006/relationships/hyperlink" Target="http://ufcstats.com/fight-details/c1f74805a4ff9396" TargetMode="External"/><Relationship Id="rId458" Type="http://schemas.openxmlformats.org/officeDocument/2006/relationships/hyperlink" Target="http://ufcstats.com/fight-details/c1aef0f60a5b62e3" TargetMode="External"/><Relationship Id="rId15" Type="http://schemas.openxmlformats.org/officeDocument/2006/relationships/hyperlink" Target="http://ufcstats.com/fight-details/5c3c4bcc6c746ca0" TargetMode="External"/><Relationship Id="rId57" Type="http://schemas.openxmlformats.org/officeDocument/2006/relationships/hyperlink" Target="http://ufcstats.com/fight-details/d2198a7ae05b24c1" TargetMode="External"/><Relationship Id="rId262" Type="http://schemas.openxmlformats.org/officeDocument/2006/relationships/hyperlink" Target="http://ufcstats.com/fight-details/b8a0047c927faa75" TargetMode="External"/><Relationship Id="rId318" Type="http://schemas.openxmlformats.org/officeDocument/2006/relationships/hyperlink" Target="http://ufcstats.com/fight-details/576b795e33ddd62d" TargetMode="External"/><Relationship Id="rId99" Type="http://schemas.openxmlformats.org/officeDocument/2006/relationships/hyperlink" Target="http://ufcstats.com/fight-details/594435375d641f63" TargetMode="External"/><Relationship Id="rId122" Type="http://schemas.openxmlformats.org/officeDocument/2006/relationships/hyperlink" Target="http://ufcstats.com/fight-details/44a55ba1de2b30e2" TargetMode="External"/><Relationship Id="rId164" Type="http://schemas.openxmlformats.org/officeDocument/2006/relationships/hyperlink" Target="http://ufcstats.com/fight-details/17753b728e5404aa" TargetMode="External"/><Relationship Id="rId371" Type="http://schemas.openxmlformats.org/officeDocument/2006/relationships/hyperlink" Target="http://ufcstats.com/fight-details/5ab2a4fec735e0b2" TargetMode="External"/><Relationship Id="rId427" Type="http://schemas.openxmlformats.org/officeDocument/2006/relationships/hyperlink" Target="http://ufcstats.com/fight-details/5cf03fdfe557803f" TargetMode="External"/><Relationship Id="rId469" Type="http://schemas.openxmlformats.org/officeDocument/2006/relationships/hyperlink" Target="http://ufcstats.com/fight-details/b3a304eadb9f7fb4" TargetMode="External"/><Relationship Id="rId26" Type="http://schemas.openxmlformats.org/officeDocument/2006/relationships/hyperlink" Target="http://ufcstats.com/fight-details/3094e82731ec55e7" TargetMode="External"/><Relationship Id="rId231" Type="http://schemas.openxmlformats.org/officeDocument/2006/relationships/hyperlink" Target="http://ufcstats.com/fight-details/c8ec30a470f08748" TargetMode="External"/><Relationship Id="rId273" Type="http://schemas.openxmlformats.org/officeDocument/2006/relationships/hyperlink" Target="http://ufcstats.com/fight-details/9192053a3884aadf" TargetMode="External"/><Relationship Id="rId329" Type="http://schemas.openxmlformats.org/officeDocument/2006/relationships/hyperlink" Target="http://ufcstats.com/fight-details/cade0268dec56f3d" TargetMode="External"/><Relationship Id="rId68" Type="http://schemas.openxmlformats.org/officeDocument/2006/relationships/hyperlink" Target="http://ufcstats.com/fight-details/48ff3f1bcefbf965" TargetMode="External"/><Relationship Id="rId133" Type="http://schemas.openxmlformats.org/officeDocument/2006/relationships/hyperlink" Target="http://ufcstats.com/fight-details/93d5452726f5f364" TargetMode="External"/><Relationship Id="rId175" Type="http://schemas.openxmlformats.org/officeDocument/2006/relationships/hyperlink" Target="http://ufcstats.com/fight-details/069e3e704cbf6337" TargetMode="External"/><Relationship Id="rId340" Type="http://schemas.openxmlformats.org/officeDocument/2006/relationships/hyperlink" Target="http://ufcstats.com/fight-details/c5c5f678558a0ba2" TargetMode="External"/><Relationship Id="rId200" Type="http://schemas.openxmlformats.org/officeDocument/2006/relationships/hyperlink" Target="http://ufcstats.com/fight-details/c11b2cbe2460db0c" TargetMode="External"/><Relationship Id="rId382" Type="http://schemas.openxmlformats.org/officeDocument/2006/relationships/hyperlink" Target="http://ufcstats.com/fight-details/8ce926b4d38a55a0" TargetMode="External"/><Relationship Id="rId438" Type="http://schemas.openxmlformats.org/officeDocument/2006/relationships/hyperlink" Target="http://ufcstats.com/fight-details/e3f31cdd33b4ca92" TargetMode="External"/><Relationship Id="rId242" Type="http://schemas.openxmlformats.org/officeDocument/2006/relationships/hyperlink" Target="http://ufcstats.com/fight-details/dfbb110855354039" TargetMode="External"/><Relationship Id="rId284" Type="http://schemas.openxmlformats.org/officeDocument/2006/relationships/hyperlink" Target="http://ufcstats.com/fight-details/dbf8a4b0870a47d1" TargetMode="External"/><Relationship Id="rId37" Type="http://schemas.openxmlformats.org/officeDocument/2006/relationships/hyperlink" Target="http://ufcstats.com/fight-details/43af7c5772e8198f" TargetMode="External"/><Relationship Id="rId79" Type="http://schemas.openxmlformats.org/officeDocument/2006/relationships/hyperlink" Target="http://ufcstats.com/fight-details/246d06693b5ca1e8" TargetMode="External"/><Relationship Id="rId102" Type="http://schemas.openxmlformats.org/officeDocument/2006/relationships/hyperlink" Target="http://ufcstats.com/fight-details/31cb98ce37fd87dd" TargetMode="External"/><Relationship Id="rId144" Type="http://schemas.openxmlformats.org/officeDocument/2006/relationships/hyperlink" Target="http://ufcstats.com/fight-details/dcf161082c849205" TargetMode="External"/><Relationship Id="rId90" Type="http://schemas.openxmlformats.org/officeDocument/2006/relationships/hyperlink" Target="http://ufcstats.com/fight-details/d856812dc733690a" TargetMode="External"/><Relationship Id="rId186" Type="http://schemas.openxmlformats.org/officeDocument/2006/relationships/hyperlink" Target="http://ufcstats.com/fight-details/43af04881587abbc" TargetMode="External"/><Relationship Id="rId351" Type="http://schemas.openxmlformats.org/officeDocument/2006/relationships/hyperlink" Target="http://ufcstats.com/fight-details/56d8cc470841f454" TargetMode="External"/><Relationship Id="rId393" Type="http://schemas.openxmlformats.org/officeDocument/2006/relationships/hyperlink" Target="http://ufcstats.com/fight-details/cb720b01fd6f9785" TargetMode="External"/><Relationship Id="rId407" Type="http://schemas.openxmlformats.org/officeDocument/2006/relationships/hyperlink" Target="http://ufcstats.com/fight-details/ac73c6888ee9322c" TargetMode="External"/><Relationship Id="rId449" Type="http://schemas.openxmlformats.org/officeDocument/2006/relationships/hyperlink" Target="http://ufcstats.com/fight-details/fc16ccf0994c6e50" TargetMode="External"/><Relationship Id="rId211" Type="http://schemas.openxmlformats.org/officeDocument/2006/relationships/hyperlink" Target="http://ufcstats.com/fight-details/7f663d67422c1b24" TargetMode="External"/><Relationship Id="rId253" Type="http://schemas.openxmlformats.org/officeDocument/2006/relationships/hyperlink" Target="http://ufcstats.com/fight-details/8b5c760f34daafe0" TargetMode="External"/><Relationship Id="rId295" Type="http://schemas.openxmlformats.org/officeDocument/2006/relationships/hyperlink" Target="http://ufcstats.com/fight-details/3c6659f1b09760ba" TargetMode="External"/><Relationship Id="rId309" Type="http://schemas.openxmlformats.org/officeDocument/2006/relationships/hyperlink" Target="http://ufcstats.com/fight-details/7fec3b1ec923ad24" TargetMode="External"/><Relationship Id="rId460" Type="http://schemas.openxmlformats.org/officeDocument/2006/relationships/hyperlink" Target="http://ufcstats.com/fight-details/e3aad51099a23ba4" TargetMode="External"/><Relationship Id="rId48" Type="http://schemas.openxmlformats.org/officeDocument/2006/relationships/hyperlink" Target="http://ufcstats.com/fight-details/2d4743a82fc55642" TargetMode="External"/><Relationship Id="rId113" Type="http://schemas.openxmlformats.org/officeDocument/2006/relationships/hyperlink" Target="http://ufcstats.com/fight-details/a457331c27bce6d5" TargetMode="External"/><Relationship Id="rId320" Type="http://schemas.openxmlformats.org/officeDocument/2006/relationships/hyperlink" Target="http://ufcstats.com/fight-details/a43dcd04788d95c7" TargetMode="External"/><Relationship Id="rId155" Type="http://schemas.openxmlformats.org/officeDocument/2006/relationships/hyperlink" Target="http://ufcstats.com/fight-details/09b91014bd88f815" TargetMode="External"/><Relationship Id="rId197" Type="http://schemas.openxmlformats.org/officeDocument/2006/relationships/hyperlink" Target="http://ufcstats.com/fight-details/a0ec4eac058e6050" TargetMode="External"/><Relationship Id="rId362" Type="http://schemas.openxmlformats.org/officeDocument/2006/relationships/hyperlink" Target="http://ufcstats.com/fight-details/0aa335dbc4cb3473" TargetMode="External"/><Relationship Id="rId418" Type="http://schemas.openxmlformats.org/officeDocument/2006/relationships/hyperlink" Target="http://ufcstats.com/fight-details/30a2c7e5b90e6d74" TargetMode="External"/><Relationship Id="rId222" Type="http://schemas.openxmlformats.org/officeDocument/2006/relationships/hyperlink" Target="http://ufcstats.com/fight-details/c959b92fb36220a3" TargetMode="External"/><Relationship Id="rId264" Type="http://schemas.openxmlformats.org/officeDocument/2006/relationships/hyperlink" Target="http://ufcstats.com/fight-details/cf020c71f1dbfa0b" TargetMode="External"/><Relationship Id="rId471" Type="http://schemas.openxmlformats.org/officeDocument/2006/relationships/hyperlink" Target="http://ufcstats.com/fight-details/4e77cc2c8d604241" TargetMode="External"/><Relationship Id="rId17" Type="http://schemas.openxmlformats.org/officeDocument/2006/relationships/hyperlink" Target="http://ufcstats.com/fight-details/9b9ef12603e820ec" TargetMode="External"/><Relationship Id="rId59" Type="http://schemas.openxmlformats.org/officeDocument/2006/relationships/hyperlink" Target="http://ufcstats.com/fight-details/3100a4e29da974ad" TargetMode="External"/><Relationship Id="rId124" Type="http://schemas.openxmlformats.org/officeDocument/2006/relationships/hyperlink" Target="http://ufcstats.com/fight-details/abb8c6c0a057184e" TargetMode="External"/><Relationship Id="rId70" Type="http://schemas.openxmlformats.org/officeDocument/2006/relationships/hyperlink" Target="http://ufcstats.com/fight-details/9861b6d04e6ed43c" TargetMode="External"/><Relationship Id="rId166" Type="http://schemas.openxmlformats.org/officeDocument/2006/relationships/hyperlink" Target="http://ufcstats.com/fight-details/c936527df280b8b4" TargetMode="External"/><Relationship Id="rId331" Type="http://schemas.openxmlformats.org/officeDocument/2006/relationships/hyperlink" Target="http://ufcstats.com/fight-details/18cdc16fc7ab7ce1" TargetMode="External"/><Relationship Id="rId373" Type="http://schemas.openxmlformats.org/officeDocument/2006/relationships/hyperlink" Target="http://ufcstats.com/fight-details/57ff0eb2351979c4" TargetMode="External"/><Relationship Id="rId429" Type="http://schemas.openxmlformats.org/officeDocument/2006/relationships/hyperlink" Target="http://ufcstats.com/fight-details/4804776154430aad" TargetMode="External"/><Relationship Id="rId1" Type="http://schemas.openxmlformats.org/officeDocument/2006/relationships/hyperlink" Target="http://ufcstats.com/fight-details/39dccca8e8083072" TargetMode="External"/><Relationship Id="rId233" Type="http://schemas.openxmlformats.org/officeDocument/2006/relationships/hyperlink" Target="http://ufcstats.com/fight-details/913d6763b570d060" TargetMode="External"/><Relationship Id="rId440" Type="http://schemas.openxmlformats.org/officeDocument/2006/relationships/hyperlink" Target="http://ufcstats.com/fight-details/5574c020655b435e" TargetMode="External"/><Relationship Id="rId28" Type="http://schemas.openxmlformats.org/officeDocument/2006/relationships/hyperlink" Target="http://ufcstats.com/fight-details/f93f794247af708a" TargetMode="External"/><Relationship Id="rId275" Type="http://schemas.openxmlformats.org/officeDocument/2006/relationships/hyperlink" Target="http://ufcstats.com/fight-details/08c6b88ac22717ed" TargetMode="External"/><Relationship Id="rId300" Type="http://schemas.openxmlformats.org/officeDocument/2006/relationships/hyperlink" Target="http://ufcstats.com/fight-details/990c2378caec68d4" TargetMode="External"/><Relationship Id="rId81" Type="http://schemas.openxmlformats.org/officeDocument/2006/relationships/hyperlink" Target="http://ufcstats.com/fight-details/a74a8c1e0a49070d" TargetMode="External"/><Relationship Id="rId135" Type="http://schemas.openxmlformats.org/officeDocument/2006/relationships/hyperlink" Target="http://ufcstats.com/fight-details/26202a4bd36d3fd2" TargetMode="External"/><Relationship Id="rId177" Type="http://schemas.openxmlformats.org/officeDocument/2006/relationships/hyperlink" Target="http://ufcstats.com/fight-details/4da4c5ef6a4ffc5b" TargetMode="External"/><Relationship Id="rId342" Type="http://schemas.openxmlformats.org/officeDocument/2006/relationships/hyperlink" Target="http://ufcstats.com/fight-details/498e7b0800af226c" TargetMode="External"/><Relationship Id="rId384" Type="http://schemas.openxmlformats.org/officeDocument/2006/relationships/hyperlink" Target="http://ufcstats.com/fight-details/2f9a8807807b80d6" TargetMode="External"/><Relationship Id="rId202" Type="http://schemas.openxmlformats.org/officeDocument/2006/relationships/hyperlink" Target="http://ufcstats.com/fight-details/0b89c88d506da083" TargetMode="External"/><Relationship Id="rId244" Type="http://schemas.openxmlformats.org/officeDocument/2006/relationships/hyperlink" Target="http://ufcstats.com/fight-details/a8067e65eb737a09" TargetMode="External"/><Relationship Id="rId39" Type="http://schemas.openxmlformats.org/officeDocument/2006/relationships/hyperlink" Target="http://ufcstats.com/fight-details/f4187c30c311eb93" TargetMode="External"/><Relationship Id="rId286" Type="http://schemas.openxmlformats.org/officeDocument/2006/relationships/hyperlink" Target="http://ufcstats.com/fight-details/8167bd097a16062f" TargetMode="External"/><Relationship Id="rId451" Type="http://schemas.openxmlformats.org/officeDocument/2006/relationships/hyperlink" Target="http://ufcstats.com/fight-details/3be121d4f5460893" TargetMode="External"/><Relationship Id="rId50" Type="http://schemas.openxmlformats.org/officeDocument/2006/relationships/hyperlink" Target="http://ufcstats.com/fight-details/b60bbec8ec98941b" TargetMode="External"/><Relationship Id="rId104" Type="http://schemas.openxmlformats.org/officeDocument/2006/relationships/hyperlink" Target="http://ufcstats.com/fight-details/a73e33dfce8fcfd8" TargetMode="External"/><Relationship Id="rId146" Type="http://schemas.openxmlformats.org/officeDocument/2006/relationships/hyperlink" Target="http://ufcstats.com/fight-details/b5f70d0c88f12645" TargetMode="External"/><Relationship Id="rId188" Type="http://schemas.openxmlformats.org/officeDocument/2006/relationships/hyperlink" Target="http://ufcstats.com/fight-details/148c26038e80465b" TargetMode="External"/><Relationship Id="rId311" Type="http://schemas.openxmlformats.org/officeDocument/2006/relationships/hyperlink" Target="http://ufcstats.com/fight-details/727ecd251325b6a8" TargetMode="External"/><Relationship Id="rId353" Type="http://schemas.openxmlformats.org/officeDocument/2006/relationships/hyperlink" Target="http://ufcstats.com/fight-details/55231cc4112334b4" TargetMode="External"/><Relationship Id="rId395" Type="http://schemas.openxmlformats.org/officeDocument/2006/relationships/hyperlink" Target="http://ufcstats.com/fight-details/4eff0432bd364a23" TargetMode="External"/><Relationship Id="rId409" Type="http://schemas.openxmlformats.org/officeDocument/2006/relationships/hyperlink" Target="http://ufcstats.com/fight-details/0c27552ea7bc8c8a" TargetMode="External"/><Relationship Id="rId92" Type="http://schemas.openxmlformats.org/officeDocument/2006/relationships/hyperlink" Target="http://ufcstats.com/fight-details/2cb34fc074f7a9ae" TargetMode="External"/><Relationship Id="rId213" Type="http://schemas.openxmlformats.org/officeDocument/2006/relationships/hyperlink" Target="http://ufcstats.com/fight-details/b121f30d7fc9ea6c" TargetMode="External"/><Relationship Id="rId420" Type="http://schemas.openxmlformats.org/officeDocument/2006/relationships/hyperlink" Target="http://ufcstats.com/fight-details/a19d619f1b9bee7b" TargetMode="External"/><Relationship Id="rId255" Type="http://schemas.openxmlformats.org/officeDocument/2006/relationships/hyperlink" Target="http://ufcstats.com/fight-details/fa77134e0d90da3b" TargetMode="External"/><Relationship Id="rId297" Type="http://schemas.openxmlformats.org/officeDocument/2006/relationships/hyperlink" Target="http://ufcstats.com/fight-details/7200343d2e957cf3" TargetMode="External"/><Relationship Id="rId462" Type="http://schemas.openxmlformats.org/officeDocument/2006/relationships/hyperlink" Target="http://ufcstats.com/fight-details/c4938baf92d2dc31" TargetMode="External"/><Relationship Id="rId115" Type="http://schemas.openxmlformats.org/officeDocument/2006/relationships/hyperlink" Target="http://ufcstats.com/fight-details/3542f9f30926f364" TargetMode="External"/><Relationship Id="rId157" Type="http://schemas.openxmlformats.org/officeDocument/2006/relationships/hyperlink" Target="http://ufcstats.com/fight-details/fba7d6a42f137938" TargetMode="External"/><Relationship Id="rId322" Type="http://schemas.openxmlformats.org/officeDocument/2006/relationships/hyperlink" Target="http://ufcstats.com/fight-details/1d35e4c0941d1397" TargetMode="External"/><Relationship Id="rId364" Type="http://schemas.openxmlformats.org/officeDocument/2006/relationships/hyperlink" Target="http://ufcstats.com/fight-details/5bc31abb5842942a" TargetMode="External"/><Relationship Id="rId61" Type="http://schemas.openxmlformats.org/officeDocument/2006/relationships/hyperlink" Target="http://ufcstats.com/fight-details/214b268e4a92f950" TargetMode="External"/><Relationship Id="rId199" Type="http://schemas.openxmlformats.org/officeDocument/2006/relationships/hyperlink" Target="http://ufcstats.com/fight-details/1ed266bed8005bbe" TargetMode="External"/><Relationship Id="rId19" Type="http://schemas.openxmlformats.org/officeDocument/2006/relationships/hyperlink" Target="http://ufcstats.com/fight-details/be4890f4aaadec28" TargetMode="External"/><Relationship Id="rId224" Type="http://schemas.openxmlformats.org/officeDocument/2006/relationships/hyperlink" Target="http://ufcstats.com/fight-details/c4fd59db24f978ec" TargetMode="External"/><Relationship Id="rId266" Type="http://schemas.openxmlformats.org/officeDocument/2006/relationships/hyperlink" Target="http://ufcstats.com/fight-details/cd258394e8d58d04" TargetMode="External"/><Relationship Id="rId431" Type="http://schemas.openxmlformats.org/officeDocument/2006/relationships/hyperlink" Target="http://ufcstats.com/fight-details/7dc551f8153bd053" TargetMode="External"/><Relationship Id="rId473" Type="http://schemas.openxmlformats.org/officeDocument/2006/relationships/hyperlink" Target="http://ufcstats.com/fight-details/f963d716384153ff" TargetMode="External"/></Relationships>
</file>

<file path=xl/worksheets/_rels/sheet23.xml.rels><?xml version="1.0" encoding="UTF-8" standalone="yes"?>
<Relationships xmlns="http://schemas.openxmlformats.org/package/2006/relationships"><Relationship Id="rId117" Type="http://schemas.openxmlformats.org/officeDocument/2006/relationships/hyperlink" Target="http://ufcstats.com/fight-details/c43e99000f3c77b5" TargetMode="External"/><Relationship Id="rId21" Type="http://schemas.openxmlformats.org/officeDocument/2006/relationships/hyperlink" Target="http://ufcstats.com/fight-details/e11e290d816c119b" TargetMode="External"/><Relationship Id="rId42" Type="http://schemas.openxmlformats.org/officeDocument/2006/relationships/hyperlink" Target="http://ufcstats.com/fight-details/222bb2c67a87d312" TargetMode="External"/><Relationship Id="rId63" Type="http://schemas.openxmlformats.org/officeDocument/2006/relationships/hyperlink" Target="http://ufcstats.com/fight-details/ae5d14a9fc1ad19c" TargetMode="External"/><Relationship Id="rId84" Type="http://schemas.openxmlformats.org/officeDocument/2006/relationships/hyperlink" Target="http://ufcstats.com/fight-details/469fba0129c95278" TargetMode="External"/><Relationship Id="rId138" Type="http://schemas.openxmlformats.org/officeDocument/2006/relationships/hyperlink" Target="http://ufcstats.com/fight-details/8cc43d79b61efc25" TargetMode="External"/><Relationship Id="rId159" Type="http://schemas.openxmlformats.org/officeDocument/2006/relationships/hyperlink" Target="http://ufcstats.com/fight-details/398f4857f9692204" TargetMode="External"/><Relationship Id="rId170" Type="http://schemas.openxmlformats.org/officeDocument/2006/relationships/hyperlink" Target="http://ufcstats.com/fight-details/55bf7f19a132e0fc" TargetMode="External"/><Relationship Id="rId191" Type="http://schemas.openxmlformats.org/officeDocument/2006/relationships/hyperlink" Target="http://ufcstats.com/fight-details/6f981a44898fb4ff" TargetMode="External"/><Relationship Id="rId205" Type="http://schemas.openxmlformats.org/officeDocument/2006/relationships/hyperlink" Target="http://ufcstats.com/fight-details/d918da575ee1bc35" TargetMode="External"/><Relationship Id="rId226" Type="http://schemas.openxmlformats.org/officeDocument/2006/relationships/hyperlink" Target="http://ufcstats.com/fight-details/fac560495e61d34c" TargetMode="External"/><Relationship Id="rId247" Type="http://schemas.openxmlformats.org/officeDocument/2006/relationships/hyperlink" Target="http://ufcstats.com/fight-details/4dc5039b21013b3a" TargetMode="External"/><Relationship Id="rId107" Type="http://schemas.openxmlformats.org/officeDocument/2006/relationships/hyperlink" Target="http://ufcstats.com/fight-details/0da0dc2c7eb29f58" TargetMode="External"/><Relationship Id="rId11" Type="http://schemas.openxmlformats.org/officeDocument/2006/relationships/hyperlink" Target="http://ufcstats.com/fight-details/01f262b68a6a2223" TargetMode="External"/><Relationship Id="rId32" Type="http://schemas.openxmlformats.org/officeDocument/2006/relationships/hyperlink" Target="http://ufcstats.com/fight-details/74f5cbecac011abb" TargetMode="External"/><Relationship Id="rId53" Type="http://schemas.openxmlformats.org/officeDocument/2006/relationships/hyperlink" Target="http://ufcstats.com/fight-details/22f1133d02700bb2" TargetMode="External"/><Relationship Id="rId74" Type="http://schemas.openxmlformats.org/officeDocument/2006/relationships/hyperlink" Target="http://ufcstats.com/fight-details/b3c74554c871fbf8" TargetMode="External"/><Relationship Id="rId128" Type="http://schemas.openxmlformats.org/officeDocument/2006/relationships/hyperlink" Target="http://ufcstats.com/fight-details/253e42894852b26a" TargetMode="External"/><Relationship Id="rId149" Type="http://schemas.openxmlformats.org/officeDocument/2006/relationships/hyperlink" Target="http://ufcstats.com/fight-details/376dddfa82debbf4" TargetMode="External"/><Relationship Id="rId5" Type="http://schemas.openxmlformats.org/officeDocument/2006/relationships/hyperlink" Target="http://ufcstats.com/fight-details/b4cfb34e8224fd77" TargetMode="External"/><Relationship Id="rId95" Type="http://schemas.openxmlformats.org/officeDocument/2006/relationships/hyperlink" Target="http://ufcstats.com/fight-details/c06eaf92bdfde8e6" TargetMode="External"/><Relationship Id="rId160" Type="http://schemas.openxmlformats.org/officeDocument/2006/relationships/hyperlink" Target="http://ufcstats.com/fight-details/fdde8777c7ae9769" TargetMode="External"/><Relationship Id="rId181" Type="http://schemas.openxmlformats.org/officeDocument/2006/relationships/hyperlink" Target="http://ufcstats.com/fight-details/d95eeba3de7ecac5" TargetMode="External"/><Relationship Id="rId216" Type="http://schemas.openxmlformats.org/officeDocument/2006/relationships/hyperlink" Target="http://ufcstats.com/fight-details/cfca30d3ef3c86b9" TargetMode="External"/><Relationship Id="rId237" Type="http://schemas.openxmlformats.org/officeDocument/2006/relationships/hyperlink" Target="http://ufcstats.com/fight-details/0f24f3bc1b39ea45" TargetMode="External"/><Relationship Id="rId22" Type="http://schemas.openxmlformats.org/officeDocument/2006/relationships/hyperlink" Target="http://ufcstats.com/fight-details/4f4806952ba2a72c" TargetMode="External"/><Relationship Id="rId43" Type="http://schemas.openxmlformats.org/officeDocument/2006/relationships/hyperlink" Target="http://ufcstats.com/fight-details/38901948cff43ff9" TargetMode="External"/><Relationship Id="rId64" Type="http://schemas.openxmlformats.org/officeDocument/2006/relationships/hyperlink" Target="http://ufcstats.com/fight-details/2704d31de2c2f43b" TargetMode="External"/><Relationship Id="rId118" Type="http://schemas.openxmlformats.org/officeDocument/2006/relationships/hyperlink" Target="http://ufcstats.com/fight-details/278cd1803ccc004f" TargetMode="External"/><Relationship Id="rId139" Type="http://schemas.openxmlformats.org/officeDocument/2006/relationships/hyperlink" Target="http://ufcstats.com/fight-details/1765fc442ea03873" TargetMode="External"/><Relationship Id="rId85" Type="http://schemas.openxmlformats.org/officeDocument/2006/relationships/hyperlink" Target="http://ufcstats.com/fight-details/4738cd4cd8d33eeb" TargetMode="External"/><Relationship Id="rId150" Type="http://schemas.openxmlformats.org/officeDocument/2006/relationships/hyperlink" Target="http://ufcstats.com/fight-details/de4c4997f1429dd1" TargetMode="External"/><Relationship Id="rId171" Type="http://schemas.openxmlformats.org/officeDocument/2006/relationships/hyperlink" Target="http://ufcstats.com/fight-details/7fe1486a2c33bf91" TargetMode="External"/><Relationship Id="rId192" Type="http://schemas.openxmlformats.org/officeDocument/2006/relationships/hyperlink" Target="http://ufcstats.com/fight-details/ac0a1d87e9ff4085" TargetMode="External"/><Relationship Id="rId206" Type="http://schemas.openxmlformats.org/officeDocument/2006/relationships/hyperlink" Target="http://ufcstats.com/fight-details/a3723f0f672b0912" TargetMode="External"/><Relationship Id="rId227" Type="http://schemas.openxmlformats.org/officeDocument/2006/relationships/hyperlink" Target="http://ufcstats.com/fight-details/8e4024cb49c963f2" TargetMode="External"/><Relationship Id="rId248" Type="http://schemas.openxmlformats.org/officeDocument/2006/relationships/hyperlink" Target="http://ufcstats.com/fight-details/0f51869f98afa6c0" TargetMode="External"/><Relationship Id="rId12" Type="http://schemas.openxmlformats.org/officeDocument/2006/relationships/hyperlink" Target="http://ufcstats.com/fight-details/57e784028ef2c17d" TargetMode="External"/><Relationship Id="rId33" Type="http://schemas.openxmlformats.org/officeDocument/2006/relationships/hyperlink" Target="http://ufcstats.com/fight-details/d7ae0993c7a378ee" TargetMode="External"/><Relationship Id="rId108" Type="http://schemas.openxmlformats.org/officeDocument/2006/relationships/hyperlink" Target="http://ufcstats.com/fight-details/ad0bac98558900af" TargetMode="External"/><Relationship Id="rId129" Type="http://schemas.openxmlformats.org/officeDocument/2006/relationships/hyperlink" Target="http://ufcstats.com/fight-details/f4ea27d942a390a5" TargetMode="External"/><Relationship Id="rId54" Type="http://schemas.openxmlformats.org/officeDocument/2006/relationships/hyperlink" Target="http://ufcstats.com/fight-details/410e65e4d1782bfc" TargetMode="External"/><Relationship Id="rId75" Type="http://schemas.openxmlformats.org/officeDocument/2006/relationships/hyperlink" Target="http://ufcstats.com/fight-details/1a2d13834696c4ab" TargetMode="External"/><Relationship Id="rId96" Type="http://schemas.openxmlformats.org/officeDocument/2006/relationships/hyperlink" Target="http://ufcstats.com/fight-details/d97970009fbfca30" TargetMode="External"/><Relationship Id="rId140" Type="http://schemas.openxmlformats.org/officeDocument/2006/relationships/hyperlink" Target="http://ufcstats.com/fight-details/96740aa476055413" TargetMode="External"/><Relationship Id="rId161" Type="http://schemas.openxmlformats.org/officeDocument/2006/relationships/hyperlink" Target="http://ufcstats.com/fight-details/024beecfd3f0ed7a" TargetMode="External"/><Relationship Id="rId182" Type="http://schemas.openxmlformats.org/officeDocument/2006/relationships/hyperlink" Target="http://ufcstats.com/fight-details/b90a5b9061ec54a5" TargetMode="External"/><Relationship Id="rId217" Type="http://schemas.openxmlformats.org/officeDocument/2006/relationships/hyperlink" Target="http://ufcstats.com/fight-details/6b5c225814a924ed" TargetMode="External"/><Relationship Id="rId6" Type="http://schemas.openxmlformats.org/officeDocument/2006/relationships/hyperlink" Target="http://ufcstats.com/fight-details/7e20b0536fbbd560" TargetMode="External"/><Relationship Id="rId238" Type="http://schemas.openxmlformats.org/officeDocument/2006/relationships/hyperlink" Target="http://ufcstats.com/fight-details/f2ca358ea9bec156" TargetMode="External"/><Relationship Id="rId23" Type="http://schemas.openxmlformats.org/officeDocument/2006/relationships/hyperlink" Target="http://ufcstats.com/fight-details/0094d2ed98819f7a" TargetMode="External"/><Relationship Id="rId119" Type="http://schemas.openxmlformats.org/officeDocument/2006/relationships/hyperlink" Target="http://ufcstats.com/fight-details/26ac85fc4bee63a6" TargetMode="External"/><Relationship Id="rId44" Type="http://schemas.openxmlformats.org/officeDocument/2006/relationships/hyperlink" Target="http://ufcstats.com/fight-details/e5ac7343b6d45188" TargetMode="External"/><Relationship Id="rId65" Type="http://schemas.openxmlformats.org/officeDocument/2006/relationships/hyperlink" Target="http://ufcstats.com/fight-details/2c81668d1459991f" TargetMode="External"/><Relationship Id="rId86" Type="http://schemas.openxmlformats.org/officeDocument/2006/relationships/hyperlink" Target="http://ufcstats.com/fight-details/fa9ec0b8c4b3a84a" TargetMode="External"/><Relationship Id="rId130" Type="http://schemas.openxmlformats.org/officeDocument/2006/relationships/hyperlink" Target="http://ufcstats.com/fight-details/02732ebb104793d2" TargetMode="External"/><Relationship Id="rId151" Type="http://schemas.openxmlformats.org/officeDocument/2006/relationships/hyperlink" Target="http://ufcstats.com/fight-details/5a5a65d8df176506" TargetMode="External"/><Relationship Id="rId172" Type="http://schemas.openxmlformats.org/officeDocument/2006/relationships/hyperlink" Target="http://ufcstats.com/fight-details/35addc4646509286" TargetMode="External"/><Relationship Id="rId193" Type="http://schemas.openxmlformats.org/officeDocument/2006/relationships/hyperlink" Target="http://ufcstats.com/fight-details/3adecfc4727a8d73" TargetMode="External"/><Relationship Id="rId207" Type="http://schemas.openxmlformats.org/officeDocument/2006/relationships/hyperlink" Target="http://ufcstats.com/fight-details/a26ca06cce403ce2" TargetMode="External"/><Relationship Id="rId228" Type="http://schemas.openxmlformats.org/officeDocument/2006/relationships/hyperlink" Target="http://ufcstats.com/fight-details/4ec249e549309b16" TargetMode="External"/><Relationship Id="rId249" Type="http://schemas.openxmlformats.org/officeDocument/2006/relationships/hyperlink" Target="http://ufcstats.com/fight-details/f63961f9d14bc33d" TargetMode="External"/><Relationship Id="rId13" Type="http://schemas.openxmlformats.org/officeDocument/2006/relationships/hyperlink" Target="http://ufcstats.com/fight-details/fd3e8f61d8fda839" TargetMode="External"/><Relationship Id="rId109" Type="http://schemas.openxmlformats.org/officeDocument/2006/relationships/hyperlink" Target="http://ufcstats.com/fight-details/39c16381a9722735" TargetMode="External"/><Relationship Id="rId34" Type="http://schemas.openxmlformats.org/officeDocument/2006/relationships/hyperlink" Target="http://ufcstats.com/fight-details/8ea12c7360fa0f6b" TargetMode="External"/><Relationship Id="rId55" Type="http://schemas.openxmlformats.org/officeDocument/2006/relationships/hyperlink" Target="http://ufcstats.com/fight-details/82b2b97b85c7225c" TargetMode="External"/><Relationship Id="rId76" Type="http://schemas.openxmlformats.org/officeDocument/2006/relationships/hyperlink" Target="http://ufcstats.com/fight-details/ecc23234e820458d" TargetMode="External"/><Relationship Id="rId97" Type="http://schemas.openxmlformats.org/officeDocument/2006/relationships/hyperlink" Target="http://ufcstats.com/fight-details/e7b5a8c97106ca60" TargetMode="External"/><Relationship Id="rId120" Type="http://schemas.openxmlformats.org/officeDocument/2006/relationships/hyperlink" Target="http://ufcstats.com/fight-details/e2535e0753954514" TargetMode="External"/><Relationship Id="rId141" Type="http://schemas.openxmlformats.org/officeDocument/2006/relationships/hyperlink" Target="http://ufcstats.com/fight-details/3f5f6c576046bf77" TargetMode="External"/><Relationship Id="rId7" Type="http://schemas.openxmlformats.org/officeDocument/2006/relationships/hyperlink" Target="http://ufcstats.com/fight-details/8289033e03b4d9a3" TargetMode="External"/><Relationship Id="rId162" Type="http://schemas.openxmlformats.org/officeDocument/2006/relationships/hyperlink" Target="http://ufcstats.com/fight-details/acec5f4c6fee1ae2" TargetMode="External"/><Relationship Id="rId183" Type="http://schemas.openxmlformats.org/officeDocument/2006/relationships/hyperlink" Target="http://ufcstats.com/fight-details/92f27d13fc502d33" TargetMode="External"/><Relationship Id="rId218" Type="http://schemas.openxmlformats.org/officeDocument/2006/relationships/hyperlink" Target="http://ufcstats.com/fight-details/49749ee78bc54a48" TargetMode="External"/><Relationship Id="rId239" Type="http://schemas.openxmlformats.org/officeDocument/2006/relationships/hyperlink" Target="http://ufcstats.com/fight-details/3f419fce8ba8aa0e" TargetMode="External"/><Relationship Id="rId250" Type="http://schemas.openxmlformats.org/officeDocument/2006/relationships/hyperlink" Target="http://ufcstats.com/fight-details/d042d18ad568190a" TargetMode="External"/><Relationship Id="rId24" Type="http://schemas.openxmlformats.org/officeDocument/2006/relationships/hyperlink" Target="http://ufcstats.com/fight-details/d573e571d8349b5d" TargetMode="External"/><Relationship Id="rId45" Type="http://schemas.openxmlformats.org/officeDocument/2006/relationships/hyperlink" Target="http://ufcstats.com/fight-details/947ea1122c04ba18" TargetMode="External"/><Relationship Id="rId66" Type="http://schemas.openxmlformats.org/officeDocument/2006/relationships/hyperlink" Target="http://ufcstats.com/fight-details/aaf45b095452be23" TargetMode="External"/><Relationship Id="rId87" Type="http://schemas.openxmlformats.org/officeDocument/2006/relationships/hyperlink" Target="http://ufcstats.com/fight-details/c65f4b4c0338d0c1" TargetMode="External"/><Relationship Id="rId110" Type="http://schemas.openxmlformats.org/officeDocument/2006/relationships/hyperlink" Target="http://ufcstats.com/fight-details/f8b32aeb9b628d89" TargetMode="External"/><Relationship Id="rId131" Type="http://schemas.openxmlformats.org/officeDocument/2006/relationships/hyperlink" Target="http://ufcstats.com/fight-details/420f7e6530dbc727" TargetMode="External"/><Relationship Id="rId152" Type="http://schemas.openxmlformats.org/officeDocument/2006/relationships/hyperlink" Target="http://ufcstats.com/fight-details/1785c7fb722d3007" TargetMode="External"/><Relationship Id="rId173" Type="http://schemas.openxmlformats.org/officeDocument/2006/relationships/hyperlink" Target="http://ufcstats.com/fight-details/16bd47ba50891833" TargetMode="External"/><Relationship Id="rId194" Type="http://schemas.openxmlformats.org/officeDocument/2006/relationships/hyperlink" Target="http://ufcstats.com/fight-details/80ac36a9dbc4b1a1" TargetMode="External"/><Relationship Id="rId208" Type="http://schemas.openxmlformats.org/officeDocument/2006/relationships/hyperlink" Target="http://ufcstats.com/fight-details/451df53c13185584" TargetMode="External"/><Relationship Id="rId229" Type="http://schemas.openxmlformats.org/officeDocument/2006/relationships/hyperlink" Target="http://ufcstats.com/fight-details/5e8c710f9f27aff8" TargetMode="External"/><Relationship Id="rId240" Type="http://schemas.openxmlformats.org/officeDocument/2006/relationships/hyperlink" Target="http://ufcstats.com/fight-details/4896b36f1333d25c" TargetMode="External"/><Relationship Id="rId14" Type="http://schemas.openxmlformats.org/officeDocument/2006/relationships/hyperlink" Target="http://ufcstats.com/fight-details/51db35a3cf225bda" TargetMode="External"/><Relationship Id="rId35" Type="http://schemas.openxmlformats.org/officeDocument/2006/relationships/hyperlink" Target="http://ufcstats.com/fight-details/4b45f190122a1ce1" TargetMode="External"/><Relationship Id="rId56" Type="http://schemas.openxmlformats.org/officeDocument/2006/relationships/hyperlink" Target="http://ufcstats.com/fight-details/c420c376cc1d149c" TargetMode="External"/><Relationship Id="rId77" Type="http://schemas.openxmlformats.org/officeDocument/2006/relationships/hyperlink" Target="http://ufcstats.com/fight-details/b41e3be867afd6fa" TargetMode="External"/><Relationship Id="rId100" Type="http://schemas.openxmlformats.org/officeDocument/2006/relationships/hyperlink" Target="http://ufcstats.com/fight-details/c4da9ec26a924a7d" TargetMode="External"/><Relationship Id="rId8" Type="http://schemas.openxmlformats.org/officeDocument/2006/relationships/hyperlink" Target="http://ufcstats.com/fight-details/181ceedcacc01d48" TargetMode="External"/><Relationship Id="rId98" Type="http://schemas.openxmlformats.org/officeDocument/2006/relationships/hyperlink" Target="http://ufcstats.com/fight-details/11cb7d7d774d5e6a" TargetMode="External"/><Relationship Id="rId121" Type="http://schemas.openxmlformats.org/officeDocument/2006/relationships/hyperlink" Target="http://ufcstats.com/fight-details/486fbba33876da4b" TargetMode="External"/><Relationship Id="rId142" Type="http://schemas.openxmlformats.org/officeDocument/2006/relationships/hyperlink" Target="http://ufcstats.com/fight-details/bbde45b2c766bb67" TargetMode="External"/><Relationship Id="rId163" Type="http://schemas.openxmlformats.org/officeDocument/2006/relationships/hyperlink" Target="http://ufcstats.com/fight-details/84f6de7c99779e5f" TargetMode="External"/><Relationship Id="rId184" Type="http://schemas.openxmlformats.org/officeDocument/2006/relationships/hyperlink" Target="http://ufcstats.com/fight-details/5d3e046b6bcd49f5" TargetMode="External"/><Relationship Id="rId219" Type="http://schemas.openxmlformats.org/officeDocument/2006/relationships/hyperlink" Target="http://ufcstats.com/fight-details/0170db5fad04e4d0" TargetMode="External"/><Relationship Id="rId230" Type="http://schemas.openxmlformats.org/officeDocument/2006/relationships/hyperlink" Target="http://ufcstats.com/fight-details/f8fce67abe0ab922" TargetMode="External"/><Relationship Id="rId251" Type="http://schemas.openxmlformats.org/officeDocument/2006/relationships/hyperlink" Target="http://ufcstats.com/fight-details/6c2097664ac1bf16" TargetMode="External"/><Relationship Id="rId25" Type="http://schemas.openxmlformats.org/officeDocument/2006/relationships/hyperlink" Target="http://ufcstats.com/fight-details/5e1370a92ce8abb0" TargetMode="External"/><Relationship Id="rId46" Type="http://schemas.openxmlformats.org/officeDocument/2006/relationships/hyperlink" Target="http://ufcstats.com/fight-details/913d8a35095591d5" TargetMode="External"/><Relationship Id="rId67" Type="http://schemas.openxmlformats.org/officeDocument/2006/relationships/hyperlink" Target="http://ufcstats.com/fight-details/ddbe6fd66d7f9e35" TargetMode="External"/><Relationship Id="rId88" Type="http://schemas.openxmlformats.org/officeDocument/2006/relationships/hyperlink" Target="http://ufcstats.com/fight-details/8f5482992dad74d2" TargetMode="External"/><Relationship Id="rId111" Type="http://schemas.openxmlformats.org/officeDocument/2006/relationships/hyperlink" Target="http://ufcstats.com/fight-details/d37ed975c2b70fd2" TargetMode="External"/><Relationship Id="rId132" Type="http://schemas.openxmlformats.org/officeDocument/2006/relationships/hyperlink" Target="http://ufcstats.com/fight-details/8868957c1735bcf0" TargetMode="External"/><Relationship Id="rId153" Type="http://schemas.openxmlformats.org/officeDocument/2006/relationships/hyperlink" Target="http://ufcstats.com/fight-details/6ccfbe3a7c5aa55e" TargetMode="External"/><Relationship Id="rId174" Type="http://schemas.openxmlformats.org/officeDocument/2006/relationships/hyperlink" Target="http://ufcstats.com/fight-details/c5ce4f39269c842c" TargetMode="External"/><Relationship Id="rId195" Type="http://schemas.openxmlformats.org/officeDocument/2006/relationships/hyperlink" Target="http://ufcstats.com/fight-details/1c03c1bb62f3aed6" TargetMode="External"/><Relationship Id="rId209" Type="http://schemas.openxmlformats.org/officeDocument/2006/relationships/hyperlink" Target="http://ufcstats.com/fight-details/3b89556b3f177b7b" TargetMode="External"/><Relationship Id="rId220" Type="http://schemas.openxmlformats.org/officeDocument/2006/relationships/hyperlink" Target="http://ufcstats.com/fight-details/a71e4206f87ae74c" TargetMode="External"/><Relationship Id="rId241" Type="http://schemas.openxmlformats.org/officeDocument/2006/relationships/hyperlink" Target="http://ufcstats.com/fight-details/cddd3d4febe097f8" TargetMode="External"/><Relationship Id="rId15" Type="http://schemas.openxmlformats.org/officeDocument/2006/relationships/hyperlink" Target="http://ufcstats.com/fight-details/8f8a6c578308d014" TargetMode="External"/><Relationship Id="rId36" Type="http://schemas.openxmlformats.org/officeDocument/2006/relationships/hyperlink" Target="http://ufcstats.com/fight-details/3d3dde60e3d59c1c" TargetMode="External"/><Relationship Id="rId57" Type="http://schemas.openxmlformats.org/officeDocument/2006/relationships/hyperlink" Target="http://ufcstats.com/fight-details/84c68c4c387d2e32" TargetMode="External"/><Relationship Id="rId78" Type="http://schemas.openxmlformats.org/officeDocument/2006/relationships/hyperlink" Target="http://ufcstats.com/fight-details/ff467a5f06a91a0f" TargetMode="External"/><Relationship Id="rId99" Type="http://schemas.openxmlformats.org/officeDocument/2006/relationships/hyperlink" Target="http://ufcstats.com/fight-details/41cef92a01e7ff3c" TargetMode="External"/><Relationship Id="rId101" Type="http://schemas.openxmlformats.org/officeDocument/2006/relationships/hyperlink" Target="http://ufcstats.com/fight-details/74d4e37b97866514" TargetMode="External"/><Relationship Id="rId122" Type="http://schemas.openxmlformats.org/officeDocument/2006/relationships/hyperlink" Target="http://ufcstats.com/fight-details/9f56b3c053c44060" TargetMode="External"/><Relationship Id="rId143" Type="http://schemas.openxmlformats.org/officeDocument/2006/relationships/hyperlink" Target="http://ufcstats.com/fight-details/c6b040021b4ceb0f" TargetMode="External"/><Relationship Id="rId164" Type="http://schemas.openxmlformats.org/officeDocument/2006/relationships/hyperlink" Target="http://ufcstats.com/fight-details/bc1be168c064f028" TargetMode="External"/><Relationship Id="rId185" Type="http://schemas.openxmlformats.org/officeDocument/2006/relationships/hyperlink" Target="http://ufcstats.com/fight-details/2dfa31667cee74c3" TargetMode="External"/><Relationship Id="rId9" Type="http://schemas.openxmlformats.org/officeDocument/2006/relationships/hyperlink" Target="http://ufcstats.com/fight-details/8d89f3b8798f444d" TargetMode="External"/><Relationship Id="rId210" Type="http://schemas.openxmlformats.org/officeDocument/2006/relationships/hyperlink" Target="http://ufcstats.com/fight-details/6b9f82291930bfec" TargetMode="External"/><Relationship Id="rId26" Type="http://schemas.openxmlformats.org/officeDocument/2006/relationships/hyperlink" Target="http://ufcstats.com/fight-details/36830f6eb3c847f5" TargetMode="External"/><Relationship Id="rId231" Type="http://schemas.openxmlformats.org/officeDocument/2006/relationships/hyperlink" Target="http://ufcstats.com/fight-details/8fd14eb227688467" TargetMode="External"/><Relationship Id="rId252" Type="http://schemas.openxmlformats.org/officeDocument/2006/relationships/hyperlink" Target="http://ufcstats.com/fight-details/0462bcc27498f7c4" TargetMode="External"/><Relationship Id="rId47" Type="http://schemas.openxmlformats.org/officeDocument/2006/relationships/hyperlink" Target="http://ufcstats.com/fight-details/ca63933f8c898fa2" TargetMode="External"/><Relationship Id="rId68" Type="http://schemas.openxmlformats.org/officeDocument/2006/relationships/hyperlink" Target="http://ufcstats.com/fight-details/4e451881e0e47b05" TargetMode="External"/><Relationship Id="rId89" Type="http://schemas.openxmlformats.org/officeDocument/2006/relationships/hyperlink" Target="http://ufcstats.com/fight-details/49b47b5b5f15c7c0" TargetMode="External"/><Relationship Id="rId112" Type="http://schemas.openxmlformats.org/officeDocument/2006/relationships/hyperlink" Target="http://ufcstats.com/fight-details/e3a45f48dbda99c3" TargetMode="External"/><Relationship Id="rId133" Type="http://schemas.openxmlformats.org/officeDocument/2006/relationships/hyperlink" Target="http://ufcstats.com/fight-details/3a932a4cacacc939" TargetMode="External"/><Relationship Id="rId154" Type="http://schemas.openxmlformats.org/officeDocument/2006/relationships/hyperlink" Target="http://ufcstats.com/fight-details/b6723b9c6ff4d594" TargetMode="External"/><Relationship Id="rId175" Type="http://schemas.openxmlformats.org/officeDocument/2006/relationships/hyperlink" Target="http://ufcstats.com/fight-details/fd29123ff92789e4" TargetMode="External"/><Relationship Id="rId196" Type="http://schemas.openxmlformats.org/officeDocument/2006/relationships/hyperlink" Target="http://ufcstats.com/fight-details/d44a814b106b94ff" TargetMode="External"/><Relationship Id="rId200" Type="http://schemas.openxmlformats.org/officeDocument/2006/relationships/hyperlink" Target="http://ufcstats.com/fight-details/15aced6a6a61df90" TargetMode="External"/><Relationship Id="rId16" Type="http://schemas.openxmlformats.org/officeDocument/2006/relationships/hyperlink" Target="http://ufcstats.com/fight-details/3210723fbb018fa7" TargetMode="External"/><Relationship Id="rId221" Type="http://schemas.openxmlformats.org/officeDocument/2006/relationships/hyperlink" Target="http://ufcstats.com/fight-details/5a9804cad2335272" TargetMode="External"/><Relationship Id="rId242" Type="http://schemas.openxmlformats.org/officeDocument/2006/relationships/hyperlink" Target="http://ufcstats.com/fight-details/02822c35ffef5a50" TargetMode="External"/><Relationship Id="rId37" Type="http://schemas.openxmlformats.org/officeDocument/2006/relationships/hyperlink" Target="http://ufcstats.com/fight-details/5a82757b553c40fc" TargetMode="External"/><Relationship Id="rId58" Type="http://schemas.openxmlformats.org/officeDocument/2006/relationships/hyperlink" Target="http://ufcstats.com/fight-details/8081cb92f71401c6" TargetMode="External"/><Relationship Id="rId79" Type="http://schemas.openxmlformats.org/officeDocument/2006/relationships/hyperlink" Target="http://ufcstats.com/fight-details/1881b1e85cceee13" TargetMode="External"/><Relationship Id="rId102" Type="http://schemas.openxmlformats.org/officeDocument/2006/relationships/hyperlink" Target="http://ufcstats.com/fight-details/febea68b205f6273" TargetMode="External"/><Relationship Id="rId123" Type="http://schemas.openxmlformats.org/officeDocument/2006/relationships/hyperlink" Target="http://ufcstats.com/fight-details/28c33e9353dac666" TargetMode="External"/><Relationship Id="rId144" Type="http://schemas.openxmlformats.org/officeDocument/2006/relationships/hyperlink" Target="http://ufcstats.com/fight-details/0823f97be9c3a62e" TargetMode="External"/><Relationship Id="rId90" Type="http://schemas.openxmlformats.org/officeDocument/2006/relationships/hyperlink" Target="http://ufcstats.com/fight-details/15aee8ad5d9e9d58" TargetMode="External"/><Relationship Id="rId165" Type="http://schemas.openxmlformats.org/officeDocument/2006/relationships/hyperlink" Target="http://ufcstats.com/fight-details/fe0f1b418e6d3ecb" TargetMode="External"/><Relationship Id="rId186" Type="http://schemas.openxmlformats.org/officeDocument/2006/relationships/hyperlink" Target="http://ufcstats.com/fight-details/4c7e55061dc3bf89" TargetMode="External"/><Relationship Id="rId211" Type="http://schemas.openxmlformats.org/officeDocument/2006/relationships/hyperlink" Target="http://ufcstats.com/fight-details/9e674a02db6c03c8" TargetMode="External"/><Relationship Id="rId232" Type="http://schemas.openxmlformats.org/officeDocument/2006/relationships/hyperlink" Target="http://ufcstats.com/fight-details/98094a500529d442" TargetMode="External"/><Relationship Id="rId253" Type="http://schemas.openxmlformats.org/officeDocument/2006/relationships/hyperlink" Target="http://ufcstats.com/fight-details/5a1ce88ec1f75160" TargetMode="External"/><Relationship Id="rId27" Type="http://schemas.openxmlformats.org/officeDocument/2006/relationships/hyperlink" Target="http://ufcstats.com/fight-details/c8f946610906bffe" TargetMode="External"/><Relationship Id="rId48" Type="http://schemas.openxmlformats.org/officeDocument/2006/relationships/hyperlink" Target="http://ufcstats.com/fight-details/6f6fec9c78244174" TargetMode="External"/><Relationship Id="rId69" Type="http://schemas.openxmlformats.org/officeDocument/2006/relationships/hyperlink" Target="http://ufcstats.com/fight-details/dbb5d682a2d7f584" TargetMode="External"/><Relationship Id="rId113" Type="http://schemas.openxmlformats.org/officeDocument/2006/relationships/hyperlink" Target="http://ufcstats.com/fight-details/98035e427b476717" TargetMode="External"/><Relationship Id="rId134" Type="http://schemas.openxmlformats.org/officeDocument/2006/relationships/hyperlink" Target="http://ufcstats.com/fight-details/16dbe70eb7007f17" TargetMode="External"/><Relationship Id="rId80" Type="http://schemas.openxmlformats.org/officeDocument/2006/relationships/hyperlink" Target="http://ufcstats.com/fight-details/d9c0351cd21e40e0" TargetMode="External"/><Relationship Id="rId155" Type="http://schemas.openxmlformats.org/officeDocument/2006/relationships/hyperlink" Target="http://ufcstats.com/fight-details/eb7b0a6f06dbdb4f" TargetMode="External"/><Relationship Id="rId176" Type="http://schemas.openxmlformats.org/officeDocument/2006/relationships/hyperlink" Target="http://ufcstats.com/fight-details/1fd5bf36c42ff1a2" TargetMode="External"/><Relationship Id="rId197" Type="http://schemas.openxmlformats.org/officeDocument/2006/relationships/hyperlink" Target="http://ufcstats.com/fight-details/961f434fe238f40e" TargetMode="External"/><Relationship Id="rId201" Type="http://schemas.openxmlformats.org/officeDocument/2006/relationships/hyperlink" Target="http://ufcstats.com/fight-details/18dde81d45ac2232" TargetMode="External"/><Relationship Id="rId222" Type="http://schemas.openxmlformats.org/officeDocument/2006/relationships/hyperlink" Target="http://ufcstats.com/fight-details/26582aa0b79d2f20" TargetMode="External"/><Relationship Id="rId243" Type="http://schemas.openxmlformats.org/officeDocument/2006/relationships/hyperlink" Target="http://ufcstats.com/fight-details/4496c2fa6aaccba6" TargetMode="External"/><Relationship Id="rId17" Type="http://schemas.openxmlformats.org/officeDocument/2006/relationships/hyperlink" Target="http://ufcstats.com/fight-details/9399c772adc7bcab" TargetMode="External"/><Relationship Id="rId38" Type="http://schemas.openxmlformats.org/officeDocument/2006/relationships/hyperlink" Target="http://ufcstats.com/fight-details/ca7d61e167d7789c" TargetMode="External"/><Relationship Id="rId59" Type="http://schemas.openxmlformats.org/officeDocument/2006/relationships/hyperlink" Target="http://ufcstats.com/fight-details/20f19439e9b100b0" TargetMode="External"/><Relationship Id="rId103" Type="http://schemas.openxmlformats.org/officeDocument/2006/relationships/hyperlink" Target="http://ufcstats.com/fight-details/7685701c382cd49a" TargetMode="External"/><Relationship Id="rId124" Type="http://schemas.openxmlformats.org/officeDocument/2006/relationships/hyperlink" Target="http://ufcstats.com/fight-details/d6c02b4bb64ff795" TargetMode="External"/><Relationship Id="rId70" Type="http://schemas.openxmlformats.org/officeDocument/2006/relationships/hyperlink" Target="http://ufcstats.com/fight-details/36807d8a7ebc84a5" TargetMode="External"/><Relationship Id="rId91" Type="http://schemas.openxmlformats.org/officeDocument/2006/relationships/hyperlink" Target="http://ufcstats.com/fight-details/0f2611c3ec4661dd" TargetMode="External"/><Relationship Id="rId145" Type="http://schemas.openxmlformats.org/officeDocument/2006/relationships/hyperlink" Target="http://ufcstats.com/fight-details/795aa42785a46643" TargetMode="External"/><Relationship Id="rId166" Type="http://schemas.openxmlformats.org/officeDocument/2006/relationships/hyperlink" Target="http://ufcstats.com/fight-details/5a8f7afc5ea69537" TargetMode="External"/><Relationship Id="rId187" Type="http://schemas.openxmlformats.org/officeDocument/2006/relationships/hyperlink" Target="http://ufcstats.com/fight-details/7e4b7a70838e5ba4" TargetMode="External"/><Relationship Id="rId1" Type="http://schemas.openxmlformats.org/officeDocument/2006/relationships/hyperlink" Target="http://ufcstats.com/fight-details/d1d3b6ab8a56e973" TargetMode="External"/><Relationship Id="rId212" Type="http://schemas.openxmlformats.org/officeDocument/2006/relationships/hyperlink" Target="http://ufcstats.com/fight-details/ab105e5a56b5ee90" TargetMode="External"/><Relationship Id="rId233" Type="http://schemas.openxmlformats.org/officeDocument/2006/relationships/hyperlink" Target="http://ufcstats.com/fight-details/1e8c33b1917fe1b7" TargetMode="External"/><Relationship Id="rId28" Type="http://schemas.openxmlformats.org/officeDocument/2006/relationships/hyperlink" Target="http://ufcstats.com/fight-details/9275134accfb1adc" TargetMode="External"/><Relationship Id="rId49" Type="http://schemas.openxmlformats.org/officeDocument/2006/relationships/hyperlink" Target="http://ufcstats.com/fight-details/f87a7812733f7e8f" TargetMode="External"/><Relationship Id="rId114" Type="http://schemas.openxmlformats.org/officeDocument/2006/relationships/hyperlink" Target="http://ufcstats.com/fight-details/311156891c7bdf60" TargetMode="External"/><Relationship Id="rId60" Type="http://schemas.openxmlformats.org/officeDocument/2006/relationships/hyperlink" Target="http://ufcstats.com/fight-details/1978b44503c3d9ff" TargetMode="External"/><Relationship Id="rId81" Type="http://schemas.openxmlformats.org/officeDocument/2006/relationships/hyperlink" Target="http://ufcstats.com/fight-details/b07188063c49b755" TargetMode="External"/><Relationship Id="rId135" Type="http://schemas.openxmlformats.org/officeDocument/2006/relationships/hyperlink" Target="http://ufcstats.com/fight-details/b381dc272b32ce03" TargetMode="External"/><Relationship Id="rId156" Type="http://schemas.openxmlformats.org/officeDocument/2006/relationships/hyperlink" Target="http://ufcstats.com/fight-details/85c5dd604d5b3634" TargetMode="External"/><Relationship Id="rId177" Type="http://schemas.openxmlformats.org/officeDocument/2006/relationships/hyperlink" Target="http://ufcstats.com/fight-details/a2fe63d064567d14" TargetMode="External"/><Relationship Id="rId198" Type="http://schemas.openxmlformats.org/officeDocument/2006/relationships/hyperlink" Target="http://ufcstats.com/fight-details/b43dfe6743160a66" TargetMode="External"/><Relationship Id="rId202" Type="http://schemas.openxmlformats.org/officeDocument/2006/relationships/hyperlink" Target="http://ufcstats.com/fight-details/40781a64c4cea877" TargetMode="External"/><Relationship Id="rId223" Type="http://schemas.openxmlformats.org/officeDocument/2006/relationships/hyperlink" Target="http://ufcstats.com/fight-details/319f3fad278368e6" TargetMode="External"/><Relationship Id="rId244" Type="http://schemas.openxmlformats.org/officeDocument/2006/relationships/hyperlink" Target="http://ufcstats.com/fight-details/85511ab7fd9ed061" TargetMode="External"/><Relationship Id="rId18" Type="http://schemas.openxmlformats.org/officeDocument/2006/relationships/hyperlink" Target="http://ufcstats.com/fight-details/48d21357134ca51a" TargetMode="External"/><Relationship Id="rId39" Type="http://schemas.openxmlformats.org/officeDocument/2006/relationships/hyperlink" Target="http://ufcstats.com/fight-details/9abf0b60a44a82d1" TargetMode="External"/><Relationship Id="rId50" Type="http://schemas.openxmlformats.org/officeDocument/2006/relationships/hyperlink" Target="http://ufcstats.com/fight-details/44abbf6b947be6de" TargetMode="External"/><Relationship Id="rId104" Type="http://schemas.openxmlformats.org/officeDocument/2006/relationships/hyperlink" Target="http://ufcstats.com/fight-details/ab847a4cf397d7d5" TargetMode="External"/><Relationship Id="rId125" Type="http://schemas.openxmlformats.org/officeDocument/2006/relationships/hyperlink" Target="http://ufcstats.com/fight-details/3a25be6438e3f94a" TargetMode="External"/><Relationship Id="rId146" Type="http://schemas.openxmlformats.org/officeDocument/2006/relationships/hyperlink" Target="http://ufcstats.com/fight-details/06d6cde7479711ee" TargetMode="External"/><Relationship Id="rId167" Type="http://schemas.openxmlformats.org/officeDocument/2006/relationships/hyperlink" Target="http://ufcstats.com/fight-details/e8219ea7da46f67f" TargetMode="External"/><Relationship Id="rId188" Type="http://schemas.openxmlformats.org/officeDocument/2006/relationships/hyperlink" Target="http://ufcstats.com/fight-details/60162c95d921d1ae" TargetMode="External"/><Relationship Id="rId71" Type="http://schemas.openxmlformats.org/officeDocument/2006/relationships/hyperlink" Target="http://ufcstats.com/fight-details/ba4485ce4e8e3fe1" TargetMode="External"/><Relationship Id="rId92" Type="http://schemas.openxmlformats.org/officeDocument/2006/relationships/hyperlink" Target="http://ufcstats.com/fight-details/0990ac7065412e76" TargetMode="External"/><Relationship Id="rId213" Type="http://schemas.openxmlformats.org/officeDocument/2006/relationships/hyperlink" Target="http://ufcstats.com/fight-details/c3af2b6ab1262fef" TargetMode="External"/><Relationship Id="rId234" Type="http://schemas.openxmlformats.org/officeDocument/2006/relationships/hyperlink" Target="http://ufcstats.com/fight-details/f40ac11da3bd7f8e" TargetMode="External"/><Relationship Id="rId2" Type="http://schemas.openxmlformats.org/officeDocument/2006/relationships/hyperlink" Target="http://ufcstats.com/fight-details/93ddc6b233d1956a" TargetMode="External"/><Relationship Id="rId29" Type="http://schemas.openxmlformats.org/officeDocument/2006/relationships/hyperlink" Target="http://ufcstats.com/fight-details/e8d087f822be7b02" TargetMode="External"/><Relationship Id="rId40" Type="http://schemas.openxmlformats.org/officeDocument/2006/relationships/hyperlink" Target="http://ufcstats.com/fight-details/5704e73f91b9e7f7" TargetMode="External"/><Relationship Id="rId115" Type="http://schemas.openxmlformats.org/officeDocument/2006/relationships/hyperlink" Target="http://ufcstats.com/fight-details/fa5244817650f401" TargetMode="External"/><Relationship Id="rId136" Type="http://schemas.openxmlformats.org/officeDocument/2006/relationships/hyperlink" Target="http://ufcstats.com/fight-details/6068385c48de6801" TargetMode="External"/><Relationship Id="rId157" Type="http://schemas.openxmlformats.org/officeDocument/2006/relationships/hyperlink" Target="http://ufcstats.com/fight-details/873306ad79b62f5e" TargetMode="External"/><Relationship Id="rId178" Type="http://schemas.openxmlformats.org/officeDocument/2006/relationships/hyperlink" Target="http://ufcstats.com/fight-details/8725dc88f2e0a6f3" TargetMode="External"/><Relationship Id="rId61" Type="http://schemas.openxmlformats.org/officeDocument/2006/relationships/hyperlink" Target="http://ufcstats.com/fight-details/49876b12d440af40" TargetMode="External"/><Relationship Id="rId82" Type="http://schemas.openxmlformats.org/officeDocument/2006/relationships/hyperlink" Target="http://ufcstats.com/fight-details/bc1787883f9328be" TargetMode="External"/><Relationship Id="rId199" Type="http://schemas.openxmlformats.org/officeDocument/2006/relationships/hyperlink" Target="http://ufcstats.com/fight-details/7dcd5d8a44a284e5" TargetMode="External"/><Relationship Id="rId203" Type="http://schemas.openxmlformats.org/officeDocument/2006/relationships/hyperlink" Target="http://ufcstats.com/fight-details/c9144a294c73b06f" TargetMode="External"/><Relationship Id="rId19" Type="http://schemas.openxmlformats.org/officeDocument/2006/relationships/hyperlink" Target="http://ufcstats.com/fight-details/d5176b45df32f67e" TargetMode="External"/><Relationship Id="rId224" Type="http://schemas.openxmlformats.org/officeDocument/2006/relationships/hyperlink" Target="http://ufcstats.com/fight-details/8d1559bbcea7e92a" TargetMode="External"/><Relationship Id="rId245" Type="http://schemas.openxmlformats.org/officeDocument/2006/relationships/hyperlink" Target="http://ufcstats.com/fight-details/20dda78057d17a5a" TargetMode="External"/><Relationship Id="rId30" Type="http://schemas.openxmlformats.org/officeDocument/2006/relationships/hyperlink" Target="http://ufcstats.com/fight-details/785dd27b03946f95" TargetMode="External"/><Relationship Id="rId105" Type="http://schemas.openxmlformats.org/officeDocument/2006/relationships/hyperlink" Target="http://ufcstats.com/fight-details/88c712be47805d63" TargetMode="External"/><Relationship Id="rId126" Type="http://schemas.openxmlformats.org/officeDocument/2006/relationships/hyperlink" Target="http://ufcstats.com/fight-details/6257627ba49e42ab" TargetMode="External"/><Relationship Id="rId147" Type="http://schemas.openxmlformats.org/officeDocument/2006/relationships/hyperlink" Target="http://ufcstats.com/fight-details/866729ea2ceddb25" TargetMode="External"/><Relationship Id="rId168" Type="http://schemas.openxmlformats.org/officeDocument/2006/relationships/hyperlink" Target="http://ufcstats.com/fight-details/a0cae57eae875820" TargetMode="External"/><Relationship Id="rId51" Type="http://schemas.openxmlformats.org/officeDocument/2006/relationships/hyperlink" Target="http://ufcstats.com/fight-details/2dbf9d8d6915711e" TargetMode="External"/><Relationship Id="rId72" Type="http://schemas.openxmlformats.org/officeDocument/2006/relationships/hyperlink" Target="http://ufcstats.com/fight-details/7dbf23cb872edc9c" TargetMode="External"/><Relationship Id="rId93" Type="http://schemas.openxmlformats.org/officeDocument/2006/relationships/hyperlink" Target="http://ufcstats.com/fight-details/7e9ed49a1831056f" TargetMode="External"/><Relationship Id="rId189" Type="http://schemas.openxmlformats.org/officeDocument/2006/relationships/hyperlink" Target="http://ufcstats.com/fight-details/96b62bd56b252bab" TargetMode="External"/><Relationship Id="rId3" Type="http://schemas.openxmlformats.org/officeDocument/2006/relationships/hyperlink" Target="http://ufcstats.com/fight-details/dae80502466c8726" TargetMode="External"/><Relationship Id="rId214" Type="http://schemas.openxmlformats.org/officeDocument/2006/relationships/hyperlink" Target="http://ufcstats.com/fight-details/0b47788da6de735e" TargetMode="External"/><Relationship Id="rId235" Type="http://schemas.openxmlformats.org/officeDocument/2006/relationships/hyperlink" Target="http://ufcstats.com/fight-details/cb4dd24535ef2d94" TargetMode="External"/><Relationship Id="rId116" Type="http://schemas.openxmlformats.org/officeDocument/2006/relationships/hyperlink" Target="http://ufcstats.com/fight-details/f602cc168383432f" TargetMode="External"/><Relationship Id="rId137" Type="http://schemas.openxmlformats.org/officeDocument/2006/relationships/hyperlink" Target="http://ufcstats.com/fight-details/a679800d2e7c3be2" TargetMode="External"/><Relationship Id="rId158" Type="http://schemas.openxmlformats.org/officeDocument/2006/relationships/hyperlink" Target="http://ufcstats.com/fight-details/8d5ea3bf3be7cb91" TargetMode="External"/><Relationship Id="rId20" Type="http://schemas.openxmlformats.org/officeDocument/2006/relationships/hyperlink" Target="http://ufcstats.com/fight-details/5e2f2f5d9a756de9" TargetMode="External"/><Relationship Id="rId41" Type="http://schemas.openxmlformats.org/officeDocument/2006/relationships/hyperlink" Target="http://ufcstats.com/fight-details/8a0fc4624578a7e4" TargetMode="External"/><Relationship Id="rId62" Type="http://schemas.openxmlformats.org/officeDocument/2006/relationships/hyperlink" Target="http://ufcstats.com/fight-details/b5a8323de18f7e95" TargetMode="External"/><Relationship Id="rId83" Type="http://schemas.openxmlformats.org/officeDocument/2006/relationships/hyperlink" Target="http://ufcstats.com/fight-details/eb096b0196a7ff65" TargetMode="External"/><Relationship Id="rId179" Type="http://schemas.openxmlformats.org/officeDocument/2006/relationships/hyperlink" Target="http://ufcstats.com/fight-details/2418af6da44fd361" TargetMode="External"/><Relationship Id="rId190" Type="http://schemas.openxmlformats.org/officeDocument/2006/relationships/hyperlink" Target="http://ufcstats.com/fight-details/8b61a3acdfb007d9" TargetMode="External"/><Relationship Id="rId204" Type="http://schemas.openxmlformats.org/officeDocument/2006/relationships/hyperlink" Target="http://ufcstats.com/fight-details/62e6eadbb2805760" TargetMode="External"/><Relationship Id="rId225" Type="http://schemas.openxmlformats.org/officeDocument/2006/relationships/hyperlink" Target="http://ufcstats.com/fight-details/a1569926652ebc36" TargetMode="External"/><Relationship Id="rId246" Type="http://schemas.openxmlformats.org/officeDocument/2006/relationships/hyperlink" Target="http://ufcstats.com/fight-details/3c098e2946b4c824" TargetMode="External"/><Relationship Id="rId106" Type="http://schemas.openxmlformats.org/officeDocument/2006/relationships/hyperlink" Target="http://ufcstats.com/fight-details/291d91378a96d1e8" TargetMode="External"/><Relationship Id="rId127" Type="http://schemas.openxmlformats.org/officeDocument/2006/relationships/hyperlink" Target="http://ufcstats.com/fight-details/419d8143afbcd61c" TargetMode="External"/><Relationship Id="rId10" Type="http://schemas.openxmlformats.org/officeDocument/2006/relationships/hyperlink" Target="http://ufcstats.com/fight-details/6163c18411aca830" TargetMode="External"/><Relationship Id="rId31" Type="http://schemas.openxmlformats.org/officeDocument/2006/relationships/hyperlink" Target="http://ufcstats.com/fight-details/c13b2493018fc98b" TargetMode="External"/><Relationship Id="rId52" Type="http://schemas.openxmlformats.org/officeDocument/2006/relationships/hyperlink" Target="http://ufcstats.com/fight-details/b3248692dfb954b2" TargetMode="External"/><Relationship Id="rId73" Type="http://schemas.openxmlformats.org/officeDocument/2006/relationships/hyperlink" Target="http://ufcstats.com/fight-details/0e8d5c16eb9cb1cf" TargetMode="External"/><Relationship Id="rId94" Type="http://schemas.openxmlformats.org/officeDocument/2006/relationships/hyperlink" Target="http://ufcstats.com/fight-details/cc2809e10315a6b5" TargetMode="External"/><Relationship Id="rId148" Type="http://schemas.openxmlformats.org/officeDocument/2006/relationships/hyperlink" Target="http://ufcstats.com/fight-details/09ab925c4cfe0cc5" TargetMode="External"/><Relationship Id="rId169" Type="http://schemas.openxmlformats.org/officeDocument/2006/relationships/hyperlink" Target="http://ufcstats.com/fight-details/7969abc596485189" TargetMode="External"/><Relationship Id="rId4" Type="http://schemas.openxmlformats.org/officeDocument/2006/relationships/hyperlink" Target="http://ufcstats.com/fight-details/c2cdeb207cce5ceb" TargetMode="External"/><Relationship Id="rId180" Type="http://schemas.openxmlformats.org/officeDocument/2006/relationships/hyperlink" Target="http://ufcstats.com/fight-details/6486579eee778b4d" TargetMode="External"/><Relationship Id="rId215" Type="http://schemas.openxmlformats.org/officeDocument/2006/relationships/hyperlink" Target="http://ufcstats.com/fight-details/c1677875a80c2584" TargetMode="External"/><Relationship Id="rId236" Type="http://schemas.openxmlformats.org/officeDocument/2006/relationships/hyperlink" Target="http://ufcstats.com/fight-details/c258996570faeec9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://ufcstats.com/fight-details/8da75fd76a9b8e1d" TargetMode="External"/><Relationship Id="rId18" Type="http://schemas.openxmlformats.org/officeDocument/2006/relationships/hyperlink" Target="http://ufcstats.com/fight-details/29de6ddc42a2e674" TargetMode="External"/><Relationship Id="rId26" Type="http://schemas.openxmlformats.org/officeDocument/2006/relationships/hyperlink" Target="http://ufcstats.com/fight-details/7f9a331bc3100afd" TargetMode="External"/><Relationship Id="rId39" Type="http://schemas.openxmlformats.org/officeDocument/2006/relationships/hyperlink" Target="http://ufcstats.com/fight-details/7ada9af99946d456" TargetMode="External"/><Relationship Id="rId21" Type="http://schemas.openxmlformats.org/officeDocument/2006/relationships/hyperlink" Target="http://ufcstats.com/fight-details/ef80a6eea892c296" TargetMode="External"/><Relationship Id="rId34" Type="http://schemas.openxmlformats.org/officeDocument/2006/relationships/hyperlink" Target="http://ufcstats.com/fight-details/781b4b6951df64fe" TargetMode="External"/><Relationship Id="rId42" Type="http://schemas.openxmlformats.org/officeDocument/2006/relationships/hyperlink" Target="http://ufcstats.com/fight-details/0111e6a64b5184c6" TargetMode="External"/><Relationship Id="rId47" Type="http://schemas.openxmlformats.org/officeDocument/2006/relationships/hyperlink" Target="http://ufcstats.com/fight-details/99fd8396cbe1df03" TargetMode="External"/><Relationship Id="rId50" Type="http://schemas.openxmlformats.org/officeDocument/2006/relationships/hyperlink" Target="http://ufcstats.com/fight-details/bcc9dca5136fc765" TargetMode="External"/><Relationship Id="rId7" Type="http://schemas.openxmlformats.org/officeDocument/2006/relationships/hyperlink" Target="http://ufcstats.com/fight-details/924f982f0d9d2142" TargetMode="External"/><Relationship Id="rId2" Type="http://schemas.openxmlformats.org/officeDocument/2006/relationships/hyperlink" Target="http://ufcstats.com/fight-details/d3e23d7d207d3ccf" TargetMode="External"/><Relationship Id="rId16" Type="http://schemas.openxmlformats.org/officeDocument/2006/relationships/hyperlink" Target="http://ufcstats.com/fight-details/05061dd590c9eb34" TargetMode="External"/><Relationship Id="rId29" Type="http://schemas.openxmlformats.org/officeDocument/2006/relationships/hyperlink" Target="http://ufcstats.com/fight-details/ad59e2de1ab5c8d2" TargetMode="External"/><Relationship Id="rId11" Type="http://schemas.openxmlformats.org/officeDocument/2006/relationships/hyperlink" Target="http://ufcstats.com/fight-details/f98e954823bd6e02" TargetMode="External"/><Relationship Id="rId24" Type="http://schemas.openxmlformats.org/officeDocument/2006/relationships/hyperlink" Target="http://ufcstats.com/fight-details/838bb84a5a976a9c" TargetMode="External"/><Relationship Id="rId32" Type="http://schemas.openxmlformats.org/officeDocument/2006/relationships/hyperlink" Target="http://ufcstats.com/fight-details/fa6e8fa6c3f05e31" TargetMode="External"/><Relationship Id="rId37" Type="http://schemas.openxmlformats.org/officeDocument/2006/relationships/hyperlink" Target="http://ufcstats.com/fight-details/11f65de5348e4bc4" TargetMode="External"/><Relationship Id="rId40" Type="http://schemas.openxmlformats.org/officeDocument/2006/relationships/hyperlink" Target="http://ufcstats.com/fight-details/20ba608a6e717f05" TargetMode="External"/><Relationship Id="rId45" Type="http://schemas.openxmlformats.org/officeDocument/2006/relationships/hyperlink" Target="http://ufcstats.com/fight-details/d6945828f5fa7492" TargetMode="External"/><Relationship Id="rId53" Type="http://schemas.openxmlformats.org/officeDocument/2006/relationships/hyperlink" Target="http://ufcstats.com/fight-details/464cc19d42446da9" TargetMode="External"/><Relationship Id="rId5" Type="http://schemas.openxmlformats.org/officeDocument/2006/relationships/hyperlink" Target="http://ufcstats.com/fight-details/2a48d0a98c21e736" TargetMode="External"/><Relationship Id="rId10" Type="http://schemas.openxmlformats.org/officeDocument/2006/relationships/hyperlink" Target="http://ufcstats.com/fight-details/5f31f3e32669f5b9" TargetMode="External"/><Relationship Id="rId19" Type="http://schemas.openxmlformats.org/officeDocument/2006/relationships/hyperlink" Target="http://ufcstats.com/fight-details/097bc98e15722998" TargetMode="External"/><Relationship Id="rId31" Type="http://schemas.openxmlformats.org/officeDocument/2006/relationships/hyperlink" Target="http://ufcstats.com/fight-details/0c74e600ded0de97" TargetMode="External"/><Relationship Id="rId44" Type="http://schemas.openxmlformats.org/officeDocument/2006/relationships/hyperlink" Target="http://ufcstats.com/fight-details/992e84bf59837e21" TargetMode="External"/><Relationship Id="rId52" Type="http://schemas.openxmlformats.org/officeDocument/2006/relationships/hyperlink" Target="http://ufcstats.com/fight-details/3f76035e52e8819b" TargetMode="External"/><Relationship Id="rId4" Type="http://schemas.openxmlformats.org/officeDocument/2006/relationships/hyperlink" Target="http://ufcstats.com/fight-details/57333b7bff20ece0" TargetMode="External"/><Relationship Id="rId9" Type="http://schemas.openxmlformats.org/officeDocument/2006/relationships/hyperlink" Target="http://ufcstats.com/fight-details/d7022b6058dbb26b" TargetMode="External"/><Relationship Id="rId14" Type="http://schemas.openxmlformats.org/officeDocument/2006/relationships/hyperlink" Target="http://ufcstats.com/fight-details/de2069fea664c4b7" TargetMode="External"/><Relationship Id="rId22" Type="http://schemas.openxmlformats.org/officeDocument/2006/relationships/hyperlink" Target="http://ufcstats.com/fight-details/4669c07f3cc9e35f" TargetMode="External"/><Relationship Id="rId27" Type="http://schemas.openxmlformats.org/officeDocument/2006/relationships/hyperlink" Target="http://ufcstats.com/fight-details/2f4d42e0b9696f71" TargetMode="External"/><Relationship Id="rId30" Type="http://schemas.openxmlformats.org/officeDocument/2006/relationships/hyperlink" Target="http://ufcstats.com/fight-details/2f15a2ed6cd4711f" TargetMode="External"/><Relationship Id="rId35" Type="http://schemas.openxmlformats.org/officeDocument/2006/relationships/hyperlink" Target="http://ufcstats.com/fight-details/63f6af6d5f7b82ad" TargetMode="External"/><Relationship Id="rId43" Type="http://schemas.openxmlformats.org/officeDocument/2006/relationships/hyperlink" Target="http://ufcstats.com/fight-details/9b39e15b42422a08" TargetMode="External"/><Relationship Id="rId48" Type="http://schemas.openxmlformats.org/officeDocument/2006/relationships/hyperlink" Target="http://ufcstats.com/fight-details/88a63555728c2025" TargetMode="External"/><Relationship Id="rId8" Type="http://schemas.openxmlformats.org/officeDocument/2006/relationships/hyperlink" Target="http://ufcstats.com/fight-details/14e689e60419d469" TargetMode="External"/><Relationship Id="rId51" Type="http://schemas.openxmlformats.org/officeDocument/2006/relationships/hyperlink" Target="http://ufcstats.com/fight-details/8a8fea2c10512434" TargetMode="External"/><Relationship Id="rId3" Type="http://schemas.openxmlformats.org/officeDocument/2006/relationships/hyperlink" Target="http://ufcstats.com/fight-details/f3ccbfd7036f3cf3" TargetMode="External"/><Relationship Id="rId12" Type="http://schemas.openxmlformats.org/officeDocument/2006/relationships/hyperlink" Target="http://ufcstats.com/fight-details/f004d3d50b78af50" TargetMode="External"/><Relationship Id="rId17" Type="http://schemas.openxmlformats.org/officeDocument/2006/relationships/hyperlink" Target="http://ufcstats.com/fight-details/1e9a2b197ebff074" TargetMode="External"/><Relationship Id="rId25" Type="http://schemas.openxmlformats.org/officeDocument/2006/relationships/hyperlink" Target="http://ufcstats.com/fight-details/ee9e4f8523a484a6" TargetMode="External"/><Relationship Id="rId33" Type="http://schemas.openxmlformats.org/officeDocument/2006/relationships/hyperlink" Target="http://ufcstats.com/fight-details/76c5f66afe6ab192" TargetMode="External"/><Relationship Id="rId38" Type="http://schemas.openxmlformats.org/officeDocument/2006/relationships/hyperlink" Target="http://ufcstats.com/fight-details/1e5c66d12761d4fe" TargetMode="External"/><Relationship Id="rId46" Type="http://schemas.openxmlformats.org/officeDocument/2006/relationships/hyperlink" Target="http://ufcstats.com/fight-details/301f230c90c4bd7d" TargetMode="External"/><Relationship Id="rId20" Type="http://schemas.openxmlformats.org/officeDocument/2006/relationships/hyperlink" Target="http://ufcstats.com/fight-details/ac9e19a4075f6557" TargetMode="External"/><Relationship Id="rId41" Type="http://schemas.openxmlformats.org/officeDocument/2006/relationships/hyperlink" Target="http://ufcstats.com/fight-details/588a39cab19065bc" TargetMode="External"/><Relationship Id="rId1" Type="http://schemas.openxmlformats.org/officeDocument/2006/relationships/hyperlink" Target="http://ufcstats.com/fight-details/63670e1b8f164d4a" TargetMode="External"/><Relationship Id="rId6" Type="http://schemas.openxmlformats.org/officeDocument/2006/relationships/hyperlink" Target="http://ufcstats.com/fight-details/d3a9aceeb7e23580" TargetMode="External"/><Relationship Id="rId15" Type="http://schemas.openxmlformats.org/officeDocument/2006/relationships/hyperlink" Target="http://ufcstats.com/fight-details/bb881d4ee6dfbf86" TargetMode="External"/><Relationship Id="rId23" Type="http://schemas.openxmlformats.org/officeDocument/2006/relationships/hyperlink" Target="http://ufcstats.com/fight-details/554163b1c8c05522" TargetMode="External"/><Relationship Id="rId28" Type="http://schemas.openxmlformats.org/officeDocument/2006/relationships/hyperlink" Target="http://ufcstats.com/fight-details/ff8f92cf8fb1b76c" TargetMode="External"/><Relationship Id="rId36" Type="http://schemas.openxmlformats.org/officeDocument/2006/relationships/hyperlink" Target="http://ufcstats.com/fight-details/989b8d362742f40b" TargetMode="External"/><Relationship Id="rId49" Type="http://schemas.openxmlformats.org/officeDocument/2006/relationships/hyperlink" Target="http://ufcstats.com/fight-details/e64d80dcc6853ea0" TargetMode="Externa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http://ufcstats.com/fight-details/db3e26d02d790c97" TargetMode="External"/><Relationship Id="rId13" Type="http://schemas.openxmlformats.org/officeDocument/2006/relationships/hyperlink" Target="http://ufcstats.com/fight-details/330e67abac6e5ce7" TargetMode="External"/><Relationship Id="rId18" Type="http://schemas.openxmlformats.org/officeDocument/2006/relationships/hyperlink" Target="http://ufcstats.com/fight-details/4fe799b4fa1afb76" TargetMode="External"/><Relationship Id="rId26" Type="http://schemas.openxmlformats.org/officeDocument/2006/relationships/hyperlink" Target="http://ufcstats.com/fight-details/4960379abe6ed525" TargetMode="External"/><Relationship Id="rId3" Type="http://schemas.openxmlformats.org/officeDocument/2006/relationships/hyperlink" Target="http://ufcstats.com/fight-details/138f719d370e8ba0" TargetMode="External"/><Relationship Id="rId21" Type="http://schemas.openxmlformats.org/officeDocument/2006/relationships/hyperlink" Target="http://ufcstats.com/fight-details/ce62a50e97d497f9" TargetMode="External"/><Relationship Id="rId7" Type="http://schemas.openxmlformats.org/officeDocument/2006/relationships/hyperlink" Target="http://ufcstats.com/fight-details/fcf385ae75191b57" TargetMode="External"/><Relationship Id="rId12" Type="http://schemas.openxmlformats.org/officeDocument/2006/relationships/hyperlink" Target="http://ufcstats.com/fight-details/051124b25d576906" TargetMode="External"/><Relationship Id="rId17" Type="http://schemas.openxmlformats.org/officeDocument/2006/relationships/hyperlink" Target="http://ufcstats.com/fight-details/e6ce8360ef43891c" TargetMode="External"/><Relationship Id="rId25" Type="http://schemas.openxmlformats.org/officeDocument/2006/relationships/hyperlink" Target="http://ufcstats.com/fight-details/3278e45b30f7dd33" TargetMode="External"/><Relationship Id="rId2" Type="http://schemas.openxmlformats.org/officeDocument/2006/relationships/hyperlink" Target="http://ufcstats.com/fight-details/fc4939b3c9071e66" TargetMode="External"/><Relationship Id="rId16" Type="http://schemas.openxmlformats.org/officeDocument/2006/relationships/hyperlink" Target="http://ufcstats.com/fight-details/8a85dffa80e6c7bd" TargetMode="External"/><Relationship Id="rId20" Type="http://schemas.openxmlformats.org/officeDocument/2006/relationships/hyperlink" Target="http://ufcstats.com/fight-details/85d9a516c3c6c205" TargetMode="External"/><Relationship Id="rId29" Type="http://schemas.openxmlformats.org/officeDocument/2006/relationships/hyperlink" Target="http://ufcstats.com/fight-details/d99b2abf50e9a03e" TargetMode="External"/><Relationship Id="rId1" Type="http://schemas.openxmlformats.org/officeDocument/2006/relationships/hyperlink" Target="http://ufcstats.com/fight-details/fe370c518cf7873e" TargetMode="External"/><Relationship Id="rId6" Type="http://schemas.openxmlformats.org/officeDocument/2006/relationships/hyperlink" Target="http://ufcstats.com/fight-details/01aa5949ac6851f3" TargetMode="External"/><Relationship Id="rId11" Type="http://schemas.openxmlformats.org/officeDocument/2006/relationships/hyperlink" Target="http://ufcstats.com/fight-details/240e9389cca3bd18" TargetMode="External"/><Relationship Id="rId24" Type="http://schemas.openxmlformats.org/officeDocument/2006/relationships/hyperlink" Target="http://ufcstats.com/fight-details/252074c8554bf30d" TargetMode="External"/><Relationship Id="rId5" Type="http://schemas.openxmlformats.org/officeDocument/2006/relationships/hyperlink" Target="http://ufcstats.com/fight-details/81b7a6aa147bd912" TargetMode="External"/><Relationship Id="rId15" Type="http://schemas.openxmlformats.org/officeDocument/2006/relationships/hyperlink" Target="http://ufcstats.com/fight-details/671f42536454e541" TargetMode="External"/><Relationship Id="rId23" Type="http://schemas.openxmlformats.org/officeDocument/2006/relationships/hyperlink" Target="http://ufcstats.com/fight-details/279b4190d9ef1379" TargetMode="External"/><Relationship Id="rId28" Type="http://schemas.openxmlformats.org/officeDocument/2006/relationships/hyperlink" Target="http://ufcstats.com/fight-details/fd92fe0c494d0959" TargetMode="External"/><Relationship Id="rId10" Type="http://schemas.openxmlformats.org/officeDocument/2006/relationships/hyperlink" Target="http://ufcstats.com/fight-details/f087a10a6f2bcc99" TargetMode="External"/><Relationship Id="rId19" Type="http://schemas.openxmlformats.org/officeDocument/2006/relationships/hyperlink" Target="http://ufcstats.com/fight-details/b8c21a311f3f7953" TargetMode="External"/><Relationship Id="rId4" Type="http://schemas.openxmlformats.org/officeDocument/2006/relationships/hyperlink" Target="http://ufcstats.com/fight-details/6abf4f61a1e11d34" TargetMode="External"/><Relationship Id="rId9" Type="http://schemas.openxmlformats.org/officeDocument/2006/relationships/hyperlink" Target="http://ufcstats.com/fight-details/5f4a107d930e4852" TargetMode="External"/><Relationship Id="rId14" Type="http://schemas.openxmlformats.org/officeDocument/2006/relationships/hyperlink" Target="http://ufcstats.com/fight-details/b0e16dd491bc4fea" TargetMode="External"/><Relationship Id="rId22" Type="http://schemas.openxmlformats.org/officeDocument/2006/relationships/hyperlink" Target="http://ufcstats.com/fight-details/dc38c78358e053c3" TargetMode="External"/><Relationship Id="rId27" Type="http://schemas.openxmlformats.org/officeDocument/2006/relationships/hyperlink" Target="http://ufcstats.com/fight-details/79817ab0129c5598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://ufcstats.com/fight-details/0096879f5708526b" TargetMode="External"/><Relationship Id="rId21" Type="http://schemas.openxmlformats.org/officeDocument/2006/relationships/hyperlink" Target="http://ufcstats.com/fight-details/711ec0545552455b" TargetMode="External"/><Relationship Id="rId42" Type="http://schemas.openxmlformats.org/officeDocument/2006/relationships/hyperlink" Target="http://ufcstats.com/fight-details/a7315147a7022a93" TargetMode="External"/><Relationship Id="rId63" Type="http://schemas.openxmlformats.org/officeDocument/2006/relationships/hyperlink" Target="http://ufcstats.com/fight-details/0a3df9b1918cfc2f" TargetMode="External"/><Relationship Id="rId84" Type="http://schemas.openxmlformats.org/officeDocument/2006/relationships/hyperlink" Target="http://ufcstats.com/fight-details/9ebfd601c43b89b3" TargetMode="External"/><Relationship Id="rId138" Type="http://schemas.openxmlformats.org/officeDocument/2006/relationships/hyperlink" Target="http://ufcstats.com/fight-details/3cf4582b48302bb6" TargetMode="External"/><Relationship Id="rId159" Type="http://schemas.openxmlformats.org/officeDocument/2006/relationships/hyperlink" Target="http://ufcstats.com/fight-details/3454f5c7203467aa" TargetMode="External"/><Relationship Id="rId107" Type="http://schemas.openxmlformats.org/officeDocument/2006/relationships/hyperlink" Target="http://ufcstats.com/fight-details/c4eaeec8ac778b27" TargetMode="External"/><Relationship Id="rId11" Type="http://schemas.openxmlformats.org/officeDocument/2006/relationships/hyperlink" Target="http://ufcstats.com/fight-details/2464a75ee75dbf2f" TargetMode="External"/><Relationship Id="rId32" Type="http://schemas.openxmlformats.org/officeDocument/2006/relationships/hyperlink" Target="http://ufcstats.com/fight-details/2e94ee4b9f5fddea" TargetMode="External"/><Relationship Id="rId53" Type="http://schemas.openxmlformats.org/officeDocument/2006/relationships/hyperlink" Target="http://ufcstats.com/fight-details/54bbc7974df586a1" TargetMode="External"/><Relationship Id="rId74" Type="http://schemas.openxmlformats.org/officeDocument/2006/relationships/hyperlink" Target="http://ufcstats.com/fight-details/691c0d2f30e4de5a" TargetMode="External"/><Relationship Id="rId128" Type="http://schemas.openxmlformats.org/officeDocument/2006/relationships/hyperlink" Target="http://ufcstats.com/fight-details/f9345fa82bf43847" TargetMode="External"/><Relationship Id="rId149" Type="http://schemas.openxmlformats.org/officeDocument/2006/relationships/hyperlink" Target="http://ufcstats.com/fight-details/7736eb6bd5c1ff4a" TargetMode="External"/><Relationship Id="rId5" Type="http://schemas.openxmlformats.org/officeDocument/2006/relationships/hyperlink" Target="http://ufcstats.com/fight-details/622cc4ef46913020" TargetMode="External"/><Relationship Id="rId95" Type="http://schemas.openxmlformats.org/officeDocument/2006/relationships/hyperlink" Target="http://ufcstats.com/fight-details/d447919ec1a9f34c" TargetMode="External"/><Relationship Id="rId160" Type="http://schemas.openxmlformats.org/officeDocument/2006/relationships/hyperlink" Target="http://ufcstats.com/fight-details/135760b07e1fb79b" TargetMode="External"/><Relationship Id="rId22" Type="http://schemas.openxmlformats.org/officeDocument/2006/relationships/hyperlink" Target="http://ufcstats.com/fight-details/609d994bfe440ec3" TargetMode="External"/><Relationship Id="rId43" Type="http://schemas.openxmlformats.org/officeDocument/2006/relationships/hyperlink" Target="http://ufcstats.com/fight-details/a4814d682954e8ab" TargetMode="External"/><Relationship Id="rId64" Type="http://schemas.openxmlformats.org/officeDocument/2006/relationships/hyperlink" Target="http://ufcstats.com/fight-details/c163ed45c21c8548" TargetMode="External"/><Relationship Id="rId118" Type="http://schemas.openxmlformats.org/officeDocument/2006/relationships/hyperlink" Target="http://ufcstats.com/fight-details/f0b83b05f3dd9580" TargetMode="External"/><Relationship Id="rId139" Type="http://schemas.openxmlformats.org/officeDocument/2006/relationships/hyperlink" Target="http://ufcstats.com/fight-details/92eb0a297c7ea197" TargetMode="External"/><Relationship Id="rId85" Type="http://schemas.openxmlformats.org/officeDocument/2006/relationships/hyperlink" Target="http://ufcstats.com/fight-details/6b6680338558bd46" TargetMode="External"/><Relationship Id="rId150" Type="http://schemas.openxmlformats.org/officeDocument/2006/relationships/hyperlink" Target="http://ufcstats.com/fight-details/cb16346d93746ebc" TargetMode="External"/><Relationship Id="rId12" Type="http://schemas.openxmlformats.org/officeDocument/2006/relationships/hyperlink" Target="http://ufcstats.com/fight-details/706228ddb6076b3f" TargetMode="External"/><Relationship Id="rId17" Type="http://schemas.openxmlformats.org/officeDocument/2006/relationships/hyperlink" Target="http://ufcstats.com/fight-details/b26ec098a5a57401" TargetMode="External"/><Relationship Id="rId33" Type="http://schemas.openxmlformats.org/officeDocument/2006/relationships/hyperlink" Target="http://ufcstats.com/fight-details/c20e6697335c3b3d" TargetMode="External"/><Relationship Id="rId38" Type="http://schemas.openxmlformats.org/officeDocument/2006/relationships/hyperlink" Target="http://ufcstats.com/fight-details/16d31775a8dcb31d" TargetMode="External"/><Relationship Id="rId59" Type="http://schemas.openxmlformats.org/officeDocument/2006/relationships/hyperlink" Target="http://ufcstats.com/fight-details/79161bde28636128" TargetMode="External"/><Relationship Id="rId103" Type="http://schemas.openxmlformats.org/officeDocument/2006/relationships/hyperlink" Target="http://ufcstats.com/fight-details/b87ac039e3b13940" TargetMode="External"/><Relationship Id="rId108" Type="http://schemas.openxmlformats.org/officeDocument/2006/relationships/hyperlink" Target="http://ufcstats.com/fight-details/92d39a17e34cf581" TargetMode="External"/><Relationship Id="rId124" Type="http://schemas.openxmlformats.org/officeDocument/2006/relationships/hyperlink" Target="http://ufcstats.com/fight-details/cc4a23ed2cbc8aa4" TargetMode="External"/><Relationship Id="rId129" Type="http://schemas.openxmlformats.org/officeDocument/2006/relationships/hyperlink" Target="http://ufcstats.com/fight-details/a773883743242df9" TargetMode="External"/><Relationship Id="rId54" Type="http://schemas.openxmlformats.org/officeDocument/2006/relationships/hyperlink" Target="http://ufcstats.com/fight-details/08e48648e3504638" TargetMode="External"/><Relationship Id="rId70" Type="http://schemas.openxmlformats.org/officeDocument/2006/relationships/hyperlink" Target="http://ufcstats.com/fight-details/fb34734f84d0a14d" TargetMode="External"/><Relationship Id="rId75" Type="http://schemas.openxmlformats.org/officeDocument/2006/relationships/hyperlink" Target="http://ufcstats.com/fight-details/b3096e8dd4e90718" TargetMode="External"/><Relationship Id="rId91" Type="http://schemas.openxmlformats.org/officeDocument/2006/relationships/hyperlink" Target="http://ufcstats.com/fight-details/bdc1561ed4c6e22f" TargetMode="External"/><Relationship Id="rId96" Type="http://schemas.openxmlformats.org/officeDocument/2006/relationships/hyperlink" Target="http://ufcstats.com/fight-details/18f19b1422e8154b" TargetMode="External"/><Relationship Id="rId140" Type="http://schemas.openxmlformats.org/officeDocument/2006/relationships/hyperlink" Target="http://ufcstats.com/fight-details/ab79fe7b35ccc3dc" TargetMode="External"/><Relationship Id="rId145" Type="http://schemas.openxmlformats.org/officeDocument/2006/relationships/hyperlink" Target="http://ufcstats.com/fight-details/81b16b26774be5d1" TargetMode="External"/><Relationship Id="rId161" Type="http://schemas.openxmlformats.org/officeDocument/2006/relationships/hyperlink" Target="http://ufcstats.com/fight-details/0b633295d9e017a3" TargetMode="External"/><Relationship Id="rId1" Type="http://schemas.openxmlformats.org/officeDocument/2006/relationships/hyperlink" Target="http://ufcstats.com/fight-details/4011cdf1f182804c" TargetMode="External"/><Relationship Id="rId6" Type="http://schemas.openxmlformats.org/officeDocument/2006/relationships/hyperlink" Target="http://ufcstats.com/fight-details/0366e183296fea07" TargetMode="External"/><Relationship Id="rId23" Type="http://schemas.openxmlformats.org/officeDocument/2006/relationships/hyperlink" Target="http://ufcstats.com/fight-details/5a6e894e4b6cc703" TargetMode="External"/><Relationship Id="rId28" Type="http://schemas.openxmlformats.org/officeDocument/2006/relationships/hyperlink" Target="http://ufcstats.com/fight-details/a0bc695b35f155f1" TargetMode="External"/><Relationship Id="rId49" Type="http://schemas.openxmlformats.org/officeDocument/2006/relationships/hyperlink" Target="http://ufcstats.com/fight-details/849cc2c331e9b24f" TargetMode="External"/><Relationship Id="rId114" Type="http://schemas.openxmlformats.org/officeDocument/2006/relationships/hyperlink" Target="http://ufcstats.com/fight-details/2cd9e3796be57a79" TargetMode="External"/><Relationship Id="rId119" Type="http://schemas.openxmlformats.org/officeDocument/2006/relationships/hyperlink" Target="http://ufcstats.com/fight-details/8e1ae2ae6694b131" TargetMode="External"/><Relationship Id="rId44" Type="http://schemas.openxmlformats.org/officeDocument/2006/relationships/hyperlink" Target="http://ufcstats.com/fight-details/8c34e1e0d842618d" TargetMode="External"/><Relationship Id="rId60" Type="http://schemas.openxmlformats.org/officeDocument/2006/relationships/hyperlink" Target="http://ufcstats.com/fight-details/36032308b7e86fd0" TargetMode="External"/><Relationship Id="rId65" Type="http://schemas.openxmlformats.org/officeDocument/2006/relationships/hyperlink" Target="http://ufcstats.com/fight-details/c2b842fae4e9f1dc" TargetMode="External"/><Relationship Id="rId81" Type="http://schemas.openxmlformats.org/officeDocument/2006/relationships/hyperlink" Target="http://ufcstats.com/fight-details/94ce682e4a3e556a" TargetMode="External"/><Relationship Id="rId86" Type="http://schemas.openxmlformats.org/officeDocument/2006/relationships/hyperlink" Target="http://ufcstats.com/fight-details/ee46c069ebe691ff" TargetMode="External"/><Relationship Id="rId130" Type="http://schemas.openxmlformats.org/officeDocument/2006/relationships/hyperlink" Target="http://ufcstats.com/fight-details/bd6d144f5c0b6cab" TargetMode="External"/><Relationship Id="rId135" Type="http://schemas.openxmlformats.org/officeDocument/2006/relationships/hyperlink" Target="http://ufcstats.com/fight-details/b58972ad7dcf65e6" TargetMode="External"/><Relationship Id="rId151" Type="http://schemas.openxmlformats.org/officeDocument/2006/relationships/hyperlink" Target="http://ufcstats.com/fight-details/faf15b752fb8924c" TargetMode="External"/><Relationship Id="rId156" Type="http://schemas.openxmlformats.org/officeDocument/2006/relationships/hyperlink" Target="http://ufcstats.com/fight-details/0aad210fbaa1db6c" TargetMode="External"/><Relationship Id="rId13" Type="http://schemas.openxmlformats.org/officeDocument/2006/relationships/hyperlink" Target="http://ufcstats.com/fight-details/98e3b4d05ecc36a2" TargetMode="External"/><Relationship Id="rId18" Type="http://schemas.openxmlformats.org/officeDocument/2006/relationships/hyperlink" Target="http://ufcstats.com/fight-details/7a2c841693b54dd7" TargetMode="External"/><Relationship Id="rId39" Type="http://schemas.openxmlformats.org/officeDocument/2006/relationships/hyperlink" Target="http://ufcstats.com/fight-details/2d42742aade53799" TargetMode="External"/><Relationship Id="rId109" Type="http://schemas.openxmlformats.org/officeDocument/2006/relationships/hyperlink" Target="http://ufcstats.com/fight-details/c1e5859053263811" TargetMode="External"/><Relationship Id="rId34" Type="http://schemas.openxmlformats.org/officeDocument/2006/relationships/hyperlink" Target="http://ufcstats.com/fight-details/88c6e7f71b79fd65" TargetMode="External"/><Relationship Id="rId50" Type="http://schemas.openxmlformats.org/officeDocument/2006/relationships/hyperlink" Target="http://ufcstats.com/fight-details/e842c6f63fa2e27a" TargetMode="External"/><Relationship Id="rId55" Type="http://schemas.openxmlformats.org/officeDocument/2006/relationships/hyperlink" Target="http://ufcstats.com/fight-details/8b9e9f283e76b429" TargetMode="External"/><Relationship Id="rId76" Type="http://schemas.openxmlformats.org/officeDocument/2006/relationships/hyperlink" Target="http://ufcstats.com/fight-details/0bfb221a0944f8e0" TargetMode="External"/><Relationship Id="rId97" Type="http://schemas.openxmlformats.org/officeDocument/2006/relationships/hyperlink" Target="http://ufcstats.com/fight-details/0005e00b07cee542" TargetMode="External"/><Relationship Id="rId104" Type="http://schemas.openxmlformats.org/officeDocument/2006/relationships/hyperlink" Target="http://ufcstats.com/fight-details/e2e524bb5392a3ea" TargetMode="External"/><Relationship Id="rId120" Type="http://schemas.openxmlformats.org/officeDocument/2006/relationships/hyperlink" Target="http://ufcstats.com/fight-details/bd887c173d3050bf" TargetMode="External"/><Relationship Id="rId125" Type="http://schemas.openxmlformats.org/officeDocument/2006/relationships/hyperlink" Target="http://ufcstats.com/fight-details/0e2c7ec02a095813" TargetMode="External"/><Relationship Id="rId141" Type="http://schemas.openxmlformats.org/officeDocument/2006/relationships/hyperlink" Target="http://ufcstats.com/fight-details/c3a4187fc821bfff" TargetMode="External"/><Relationship Id="rId146" Type="http://schemas.openxmlformats.org/officeDocument/2006/relationships/hyperlink" Target="http://ufcstats.com/fight-details/83da743f6dda7dcc" TargetMode="External"/><Relationship Id="rId7" Type="http://schemas.openxmlformats.org/officeDocument/2006/relationships/hyperlink" Target="http://ufcstats.com/fight-details/a072be4f806d360f" TargetMode="External"/><Relationship Id="rId71" Type="http://schemas.openxmlformats.org/officeDocument/2006/relationships/hyperlink" Target="http://ufcstats.com/fight-details/0a667143584a2d96" TargetMode="External"/><Relationship Id="rId92" Type="http://schemas.openxmlformats.org/officeDocument/2006/relationships/hyperlink" Target="http://ufcstats.com/fight-details/05065fa2bc3693b4" TargetMode="External"/><Relationship Id="rId162" Type="http://schemas.openxmlformats.org/officeDocument/2006/relationships/hyperlink" Target="http://ufcstats.com/fight-details/7ffd80b65b0ff942" TargetMode="External"/><Relationship Id="rId2" Type="http://schemas.openxmlformats.org/officeDocument/2006/relationships/hyperlink" Target="http://ufcstats.com/fight-details/b03dd50785e761a0" TargetMode="External"/><Relationship Id="rId29" Type="http://schemas.openxmlformats.org/officeDocument/2006/relationships/hyperlink" Target="http://ufcstats.com/fight-details/cae7de0873e03947" TargetMode="External"/><Relationship Id="rId24" Type="http://schemas.openxmlformats.org/officeDocument/2006/relationships/hyperlink" Target="http://ufcstats.com/fight-details/6997693d552600dd" TargetMode="External"/><Relationship Id="rId40" Type="http://schemas.openxmlformats.org/officeDocument/2006/relationships/hyperlink" Target="http://ufcstats.com/fight-details/34d38d77c1d3f00e" TargetMode="External"/><Relationship Id="rId45" Type="http://schemas.openxmlformats.org/officeDocument/2006/relationships/hyperlink" Target="http://ufcstats.com/fight-details/97ad63e644757cf4" TargetMode="External"/><Relationship Id="rId66" Type="http://schemas.openxmlformats.org/officeDocument/2006/relationships/hyperlink" Target="http://ufcstats.com/fight-details/60be02c5566c8348" TargetMode="External"/><Relationship Id="rId87" Type="http://schemas.openxmlformats.org/officeDocument/2006/relationships/hyperlink" Target="http://ufcstats.com/fight-details/96c93167c982c467" TargetMode="External"/><Relationship Id="rId110" Type="http://schemas.openxmlformats.org/officeDocument/2006/relationships/hyperlink" Target="http://ufcstats.com/fight-details/3011439ecaf74180" TargetMode="External"/><Relationship Id="rId115" Type="http://schemas.openxmlformats.org/officeDocument/2006/relationships/hyperlink" Target="http://ufcstats.com/fight-details/b5365d22172e414b" TargetMode="External"/><Relationship Id="rId131" Type="http://schemas.openxmlformats.org/officeDocument/2006/relationships/hyperlink" Target="http://ufcstats.com/fight-details/e36a5d4d53b97d4e" TargetMode="External"/><Relationship Id="rId136" Type="http://schemas.openxmlformats.org/officeDocument/2006/relationships/hyperlink" Target="http://ufcstats.com/fight-details/a716172939767cab" TargetMode="External"/><Relationship Id="rId157" Type="http://schemas.openxmlformats.org/officeDocument/2006/relationships/hyperlink" Target="http://ufcstats.com/fight-details/69c06be4f87ccdab" TargetMode="External"/><Relationship Id="rId61" Type="http://schemas.openxmlformats.org/officeDocument/2006/relationships/hyperlink" Target="http://ufcstats.com/fight-details/18e1b0df8da7010e" TargetMode="External"/><Relationship Id="rId82" Type="http://schemas.openxmlformats.org/officeDocument/2006/relationships/hyperlink" Target="http://ufcstats.com/fight-details/0bb419537705fb04" TargetMode="External"/><Relationship Id="rId152" Type="http://schemas.openxmlformats.org/officeDocument/2006/relationships/hyperlink" Target="http://ufcstats.com/fight-details/69bc7ca8ce831731" TargetMode="External"/><Relationship Id="rId19" Type="http://schemas.openxmlformats.org/officeDocument/2006/relationships/hyperlink" Target="http://ufcstats.com/fight-details/188e6416157e5a1f" TargetMode="External"/><Relationship Id="rId14" Type="http://schemas.openxmlformats.org/officeDocument/2006/relationships/hyperlink" Target="http://ufcstats.com/fight-details/e9ffcf05270a320a" TargetMode="External"/><Relationship Id="rId30" Type="http://schemas.openxmlformats.org/officeDocument/2006/relationships/hyperlink" Target="http://ufcstats.com/fight-details/e434035be5453be0" TargetMode="External"/><Relationship Id="rId35" Type="http://schemas.openxmlformats.org/officeDocument/2006/relationships/hyperlink" Target="http://ufcstats.com/fight-details/bb31c77bddd1317e" TargetMode="External"/><Relationship Id="rId56" Type="http://schemas.openxmlformats.org/officeDocument/2006/relationships/hyperlink" Target="http://ufcstats.com/fight-details/fbbba3da4438cb04" TargetMode="External"/><Relationship Id="rId77" Type="http://schemas.openxmlformats.org/officeDocument/2006/relationships/hyperlink" Target="http://ufcstats.com/fight-details/738e0ccad2c9224b" TargetMode="External"/><Relationship Id="rId100" Type="http://schemas.openxmlformats.org/officeDocument/2006/relationships/hyperlink" Target="http://ufcstats.com/fight-details/97125cd6a94b6394" TargetMode="External"/><Relationship Id="rId105" Type="http://schemas.openxmlformats.org/officeDocument/2006/relationships/hyperlink" Target="http://ufcstats.com/fight-details/692ceb2ac5fa4427" TargetMode="External"/><Relationship Id="rId126" Type="http://schemas.openxmlformats.org/officeDocument/2006/relationships/hyperlink" Target="http://ufcstats.com/fight-details/9c256e94c6b584b6" TargetMode="External"/><Relationship Id="rId147" Type="http://schemas.openxmlformats.org/officeDocument/2006/relationships/hyperlink" Target="http://ufcstats.com/fight-details/0eac7075bf3d7ab7" TargetMode="External"/><Relationship Id="rId8" Type="http://schemas.openxmlformats.org/officeDocument/2006/relationships/hyperlink" Target="http://ufcstats.com/fight-details/017e0b7e864b0aa3" TargetMode="External"/><Relationship Id="rId51" Type="http://schemas.openxmlformats.org/officeDocument/2006/relationships/hyperlink" Target="http://ufcstats.com/fight-details/cf0e0f95524f187a" TargetMode="External"/><Relationship Id="rId72" Type="http://schemas.openxmlformats.org/officeDocument/2006/relationships/hyperlink" Target="http://ufcstats.com/fight-details/8dcfa933877e3a0b" TargetMode="External"/><Relationship Id="rId93" Type="http://schemas.openxmlformats.org/officeDocument/2006/relationships/hyperlink" Target="http://ufcstats.com/fight-details/53efc226c8eaf768" TargetMode="External"/><Relationship Id="rId98" Type="http://schemas.openxmlformats.org/officeDocument/2006/relationships/hyperlink" Target="http://ufcstats.com/fight-details/9e90800495c1d607" TargetMode="External"/><Relationship Id="rId121" Type="http://schemas.openxmlformats.org/officeDocument/2006/relationships/hyperlink" Target="http://ufcstats.com/fight-details/7fce3efc5d2add6e" TargetMode="External"/><Relationship Id="rId142" Type="http://schemas.openxmlformats.org/officeDocument/2006/relationships/hyperlink" Target="http://ufcstats.com/fight-details/1b52b08f195581ad" TargetMode="External"/><Relationship Id="rId3" Type="http://schemas.openxmlformats.org/officeDocument/2006/relationships/hyperlink" Target="http://ufcstats.com/fight-details/0732e6b6eb0a607d" TargetMode="External"/><Relationship Id="rId25" Type="http://schemas.openxmlformats.org/officeDocument/2006/relationships/hyperlink" Target="http://ufcstats.com/fight-details/5b7b5b01f4dcbd9c" TargetMode="External"/><Relationship Id="rId46" Type="http://schemas.openxmlformats.org/officeDocument/2006/relationships/hyperlink" Target="http://ufcstats.com/fight-details/97c80f69ac312030" TargetMode="External"/><Relationship Id="rId67" Type="http://schemas.openxmlformats.org/officeDocument/2006/relationships/hyperlink" Target="http://ufcstats.com/fight-details/934b44ddcb3d95e6" TargetMode="External"/><Relationship Id="rId116" Type="http://schemas.openxmlformats.org/officeDocument/2006/relationships/hyperlink" Target="http://ufcstats.com/fight-details/e4bbec619aa04dea" TargetMode="External"/><Relationship Id="rId137" Type="http://schemas.openxmlformats.org/officeDocument/2006/relationships/hyperlink" Target="http://ufcstats.com/fight-details/6b532f492e98d22f" TargetMode="External"/><Relationship Id="rId158" Type="http://schemas.openxmlformats.org/officeDocument/2006/relationships/hyperlink" Target="http://ufcstats.com/fight-details/08af25ef4252b138" TargetMode="External"/><Relationship Id="rId20" Type="http://schemas.openxmlformats.org/officeDocument/2006/relationships/hyperlink" Target="http://ufcstats.com/fight-details/f1c3abce15ef053e" TargetMode="External"/><Relationship Id="rId41" Type="http://schemas.openxmlformats.org/officeDocument/2006/relationships/hyperlink" Target="http://ufcstats.com/fight-details/dcfbbebc0aee6ded" TargetMode="External"/><Relationship Id="rId62" Type="http://schemas.openxmlformats.org/officeDocument/2006/relationships/hyperlink" Target="http://ufcstats.com/fight-details/c814ef3b3a26e2fe" TargetMode="External"/><Relationship Id="rId83" Type="http://schemas.openxmlformats.org/officeDocument/2006/relationships/hyperlink" Target="http://ufcstats.com/fight-details/d77ace7aadb2383e" TargetMode="External"/><Relationship Id="rId88" Type="http://schemas.openxmlformats.org/officeDocument/2006/relationships/hyperlink" Target="http://ufcstats.com/fight-details/934718256f4d082c" TargetMode="External"/><Relationship Id="rId111" Type="http://schemas.openxmlformats.org/officeDocument/2006/relationships/hyperlink" Target="http://ufcstats.com/fight-details/f3f252b9810cff0d" TargetMode="External"/><Relationship Id="rId132" Type="http://schemas.openxmlformats.org/officeDocument/2006/relationships/hyperlink" Target="http://ufcstats.com/fight-details/2f414494f2b6f426" TargetMode="External"/><Relationship Id="rId153" Type="http://schemas.openxmlformats.org/officeDocument/2006/relationships/hyperlink" Target="http://ufcstats.com/fight-details/72c3e5eacde4f0e5" TargetMode="External"/><Relationship Id="rId15" Type="http://schemas.openxmlformats.org/officeDocument/2006/relationships/hyperlink" Target="http://ufcstats.com/fight-details/377c8eb085bb8e00" TargetMode="External"/><Relationship Id="rId36" Type="http://schemas.openxmlformats.org/officeDocument/2006/relationships/hyperlink" Target="http://ufcstats.com/fight-details/673ed36fa5c12d5f" TargetMode="External"/><Relationship Id="rId57" Type="http://schemas.openxmlformats.org/officeDocument/2006/relationships/hyperlink" Target="http://ufcstats.com/fight-details/ef526567c4dcf371" TargetMode="External"/><Relationship Id="rId106" Type="http://schemas.openxmlformats.org/officeDocument/2006/relationships/hyperlink" Target="http://ufcstats.com/fight-details/3740c8033e31c90d" TargetMode="External"/><Relationship Id="rId127" Type="http://schemas.openxmlformats.org/officeDocument/2006/relationships/hyperlink" Target="http://ufcstats.com/fight-details/a274ed04c36d40d4" TargetMode="External"/><Relationship Id="rId10" Type="http://schemas.openxmlformats.org/officeDocument/2006/relationships/hyperlink" Target="http://ufcstats.com/fight-details/1f52e665587dc645" TargetMode="External"/><Relationship Id="rId31" Type="http://schemas.openxmlformats.org/officeDocument/2006/relationships/hyperlink" Target="http://ufcstats.com/fight-details/1c2d0db1c9eed052" TargetMode="External"/><Relationship Id="rId52" Type="http://schemas.openxmlformats.org/officeDocument/2006/relationships/hyperlink" Target="http://ufcstats.com/fight-details/ad62675e819e92fc" TargetMode="External"/><Relationship Id="rId73" Type="http://schemas.openxmlformats.org/officeDocument/2006/relationships/hyperlink" Target="http://ufcstats.com/fight-details/21be9181725ab599" TargetMode="External"/><Relationship Id="rId78" Type="http://schemas.openxmlformats.org/officeDocument/2006/relationships/hyperlink" Target="http://ufcstats.com/fight-details/e5fbb99bc3907516" TargetMode="External"/><Relationship Id="rId94" Type="http://schemas.openxmlformats.org/officeDocument/2006/relationships/hyperlink" Target="http://ufcstats.com/fight-details/fd984e8a9e25c927" TargetMode="External"/><Relationship Id="rId99" Type="http://schemas.openxmlformats.org/officeDocument/2006/relationships/hyperlink" Target="http://ufcstats.com/fight-details/edc87836fd998929" TargetMode="External"/><Relationship Id="rId101" Type="http://schemas.openxmlformats.org/officeDocument/2006/relationships/hyperlink" Target="http://ufcstats.com/fight-details/abd50fad1e7b030b" TargetMode="External"/><Relationship Id="rId122" Type="http://schemas.openxmlformats.org/officeDocument/2006/relationships/hyperlink" Target="http://ufcstats.com/fight-details/bf614956b28f231c" TargetMode="External"/><Relationship Id="rId143" Type="http://schemas.openxmlformats.org/officeDocument/2006/relationships/hyperlink" Target="http://ufcstats.com/fight-details/626c82ed45fdcf59" TargetMode="External"/><Relationship Id="rId148" Type="http://schemas.openxmlformats.org/officeDocument/2006/relationships/hyperlink" Target="http://ufcstats.com/fight-details/acfcf75f0215b7ab" TargetMode="External"/><Relationship Id="rId4" Type="http://schemas.openxmlformats.org/officeDocument/2006/relationships/hyperlink" Target="http://ufcstats.com/fight-details/8b2b2562884821a7" TargetMode="External"/><Relationship Id="rId9" Type="http://schemas.openxmlformats.org/officeDocument/2006/relationships/hyperlink" Target="http://ufcstats.com/fight-details/a65909d4083c2088" TargetMode="External"/><Relationship Id="rId26" Type="http://schemas.openxmlformats.org/officeDocument/2006/relationships/hyperlink" Target="http://ufcstats.com/fight-details/1ba282da76ca82ad" TargetMode="External"/><Relationship Id="rId47" Type="http://schemas.openxmlformats.org/officeDocument/2006/relationships/hyperlink" Target="http://ufcstats.com/fight-details/4cb249714ff56656" TargetMode="External"/><Relationship Id="rId68" Type="http://schemas.openxmlformats.org/officeDocument/2006/relationships/hyperlink" Target="http://ufcstats.com/fight-details/f993be991eea6016" TargetMode="External"/><Relationship Id="rId89" Type="http://schemas.openxmlformats.org/officeDocument/2006/relationships/hyperlink" Target="http://ufcstats.com/fight-details/aa92030dfd8b5d40" TargetMode="External"/><Relationship Id="rId112" Type="http://schemas.openxmlformats.org/officeDocument/2006/relationships/hyperlink" Target="http://ufcstats.com/fight-details/d49d2c810583a56a" TargetMode="External"/><Relationship Id="rId133" Type="http://schemas.openxmlformats.org/officeDocument/2006/relationships/hyperlink" Target="http://ufcstats.com/fight-details/73370221b3fa3676" TargetMode="External"/><Relationship Id="rId154" Type="http://schemas.openxmlformats.org/officeDocument/2006/relationships/hyperlink" Target="http://ufcstats.com/fight-details/36fcfd186a8d6df7" TargetMode="External"/><Relationship Id="rId16" Type="http://schemas.openxmlformats.org/officeDocument/2006/relationships/hyperlink" Target="http://ufcstats.com/fight-details/5d000de6fa836f66" TargetMode="External"/><Relationship Id="rId37" Type="http://schemas.openxmlformats.org/officeDocument/2006/relationships/hyperlink" Target="http://ufcstats.com/fight-details/69167b996ce7a7e4" TargetMode="External"/><Relationship Id="rId58" Type="http://schemas.openxmlformats.org/officeDocument/2006/relationships/hyperlink" Target="http://ufcstats.com/fight-details/d629aa5eb31a1e38" TargetMode="External"/><Relationship Id="rId79" Type="http://schemas.openxmlformats.org/officeDocument/2006/relationships/hyperlink" Target="http://ufcstats.com/fight-details/7d14f95d03afb359" TargetMode="External"/><Relationship Id="rId102" Type="http://schemas.openxmlformats.org/officeDocument/2006/relationships/hyperlink" Target="http://ufcstats.com/fight-details/8adc6266a7c2fd40" TargetMode="External"/><Relationship Id="rId123" Type="http://schemas.openxmlformats.org/officeDocument/2006/relationships/hyperlink" Target="http://ufcstats.com/fight-details/0ac25b4180406ca1" TargetMode="External"/><Relationship Id="rId144" Type="http://schemas.openxmlformats.org/officeDocument/2006/relationships/hyperlink" Target="http://ufcstats.com/fight-details/8cf4836e2b43c241" TargetMode="External"/><Relationship Id="rId90" Type="http://schemas.openxmlformats.org/officeDocument/2006/relationships/hyperlink" Target="http://ufcstats.com/fight-details/ba2f3b9a12400aa0" TargetMode="External"/><Relationship Id="rId27" Type="http://schemas.openxmlformats.org/officeDocument/2006/relationships/hyperlink" Target="http://ufcstats.com/fight-details/e3a5a7ede88a2555" TargetMode="External"/><Relationship Id="rId48" Type="http://schemas.openxmlformats.org/officeDocument/2006/relationships/hyperlink" Target="http://ufcstats.com/fight-details/2a7909acde26a240" TargetMode="External"/><Relationship Id="rId69" Type="http://schemas.openxmlformats.org/officeDocument/2006/relationships/hyperlink" Target="http://ufcstats.com/fight-details/1f5178fe56c5423f" TargetMode="External"/><Relationship Id="rId113" Type="http://schemas.openxmlformats.org/officeDocument/2006/relationships/hyperlink" Target="http://ufcstats.com/fight-details/1685eecc7ef37fb5" TargetMode="External"/><Relationship Id="rId134" Type="http://schemas.openxmlformats.org/officeDocument/2006/relationships/hyperlink" Target="http://ufcstats.com/fight-details/b1ac165326d8f29e" TargetMode="External"/><Relationship Id="rId80" Type="http://schemas.openxmlformats.org/officeDocument/2006/relationships/hyperlink" Target="http://ufcstats.com/fight-details/f313eae425b7c539" TargetMode="External"/><Relationship Id="rId155" Type="http://schemas.openxmlformats.org/officeDocument/2006/relationships/hyperlink" Target="http://ufcstats.com/fight-details/60c62fb7bd17a8b3" TargetMode="External"/></Relationships>
</file>

<file path=xl/worksheets/_rels/sheet27.xml.rels><?xml version="1.0" encoding="UTF-8" standalone="yes"?>
<Relationships xmlns="http://schemas.openxmlformats.org/package/2006/relationships"><Relationship Id="rId117" Type="http://schemas.openxmlformats.org/officeDocument/2006/relationships/hyperlink" Target="http://ufcstats.com/fight-details/752f19e9c201ea57" TargetMode="External"/><Relationship Id="rId21" Type="http://schemas.openxmlformats.org/officeDocument/2006/relationships/hyperlink" Target="http://ufcstats.com/fight-details/5f900e4437e079b3" TargetMode="External"/><Relationship Id="rId42" Type="http://schemas.openxmlformats.org/officeDocument/2006/relationships/hyperlink" Target="http://ufcstats.com/fight-details/dffc65202afb881d" TargetMode="External"/><Relationship Id="rId63" Type="http://schemas.openxmlformats.org/officeDocument/2006/relationships/hyperlink" Target="http://ufcstats.com/fight-details/26fbee4ed13ff35d" TargetMode="External"/><Relationship Id="rId84" Type="http://schemas.openxmlformats.org/officeDocument/2006/relationships/hyperlink" Target="http://ufcstats.com/fight-details/08ef2ed7393efd24" TargetMode="External"/><Relationship Id="rId138" Type="http://schemas.openxmlformats.org/officeDocument/2006/relationships/hyperlink" Target="http://ufcstats.com/fight-details/f4a2806f77ac1cdc" TargetMode="External"/><Relationship Id="rId159" Type="http://schemas.openxmlformats.org/officeDocument/2006/relationships/hyperlink" Target="http://ufcstats.com/fight-details/5a878a6bebc973d7" TargetMode="External"/><Relationship Id="rId170" Type="http://schemas.openxmlformats.org/officeDocument/2006/relationships/hyperlink" Target="http://ufcstats.com/fight-details/1eccf793b54b84f8" TargetMode="External"/><Relationship Id="rId191" Type="http://schemas.openxmlformats.org/officeDocument/2006/relationships/hyperlink" Target="http://ufcstats.com/fight-details/7ddd21d48e3b34b9" TargetMode="External"/><Relationship Id="rId205" Type="http://schemas.openxmlformats.org/officeDocument/2006/relationships/hyperlink" Target="http://ufcstats.com/fight-details/74fef059e229d217" TargetMode="External"/><Relationship Id="rId107" Type="http://schemas.openxmlformats.org/officeDocument/2006/relationships/hyperlink" Target="http://ufcstats.com/fight-details/82eb6fa58ae52428" TargetMode="External"/><Relationship Id="rId11" Type="http://schemas.openxmlformats.org/officeDocument/2006/relationships/hyperlink" Target="http://ufcstats.com/fight-details/fad150a0288efbd7" TargetMode="External"/><Relationship Id="rId32" Type="http://schemas.openxmlformats.org/officeDocument/2006/relationships/hyperlink" Target="http://ufcstats.com/fight-details/4661e9ca9354021e" TargetMode="External"/><Relationship Id="rId53" Type="http://schemas.openxmlformats.org/officeDocument/2006/relationships/hyperlink" Target="http://ufcstats.com/fight-details/71afa8354da2491e" TargetMode="External"/><Relationship Id="rId74" Type="http://schemas.openxmlformats.org/officeDocument/2006/relationships/hyperlink" Target="http://ufcstats.com/fight-details/06c0c7dda5a5909d" TargetMode="External"/><Relationship Id="rId128" Type="http://schemas.openxmlformats.org/officeDocument/2006/relationships/hyperlink" Target="http://ufcstats.com/fight-details/faf19712bd7ea41e" TargetMode="External"/><Relationship Id="rId149" Type="http://schemas.openxmlformats.org/officeDocument/2006/relationships/hyperlink" Target="http://ufcstats.com/fight-details/68c77a11b2d308dd" TargetMode="External"/><Relationship Id="rId5" Type="http://schemas.openxmlformats.org/officeDocument/2006/relationships/hyperlink" Target="http://ufcstats.com/fight-details/d0ac2cc5c57c4e66" TargetMode="External"/><Relationship Id="rId95" Type="http://schemas.openxmlformats.org/officeDocument/2006/relationships/hyperlink" Target="http://ufcstats.com/fight-details/760b5b16b4931a77" TargetMode="External"/><Relationship Id="rId160" Type="http://schemas.openxmlformats.org/officeDocument/2006/relationships/hyperlink" Target="http://ufcstats.com/fight-details/fe6da751f2a4859a" TargetMode="External"/><Relationship Id="rId181" Type="http://schemas.openxmlformats.org/officeDocument/2006/relationships/hyperlink" Target="http://ufcstats.com/fight-details/5885445f39dac389" TargetMode="External"/><Relationship Id="rId216" Type="http://schemas.openxmlformats.org/officeDocument/2006/relationships/hyperlink" Target="http://ufcstats.com/fight-details/48a2a476d3b59866" TargetMode="External"/><Relationship Id="rId22" Type="http://schemas.openxmlformats.org/officeDocument/2006/relationships/hyperlink" Target="http://ufcstats.com/fight-details/a40c70d5a1a1be01" TargetMode="External"/><Relationship Id="rId43" Type="http://schemas.openxmlformats.org/officeDocument/2006/relationships/hyperlink" Target="http://ufcstats.com/fight-details/9cfb84817a43b63c" TargetMode="External"/><Relationship Id="rId64" Type="http://schemas.openxmlformats.org/officeDocument/2006/relationships/hyperlink" Target="http://ufcstats.com/fight-details/c4eb14c3de579842" TargetMode="External"/><Relationship Id="rId118" Type="http://schemas.openxmlformats.org/officeDocument/2006/relationships/hyperlink" Target="http://ufcstats.com/fight-details/c4253cb471013765" TargetMode="External"/><Relationship Id="rId139" Type="http://schemas.openxmlformats.org/officeDocument/2006/relationships/hyperlink" Target="http://ufcstats.com/fight-details/e7a915f39ecf6db0" TargetMode="External"/><Relationship Id="rId85" Type="http://schemas.openxmlformats.org/officeDocument/2006/relationships/hyperlink" Target="http://ufcstats.com/fight-details/9b6135943a4c8fe7" TargetMode="External"/><Relationship Id="rId150" Type="http://schemas.openxmlformats.org/officeDocument/2006/relationships/hyperlink" Target="http://ufcstats.com/fight-details/1a50d5c7e1e5c058" TargetMode="External"/><Relationship Id="rId171" Type="http://schemas.openxmlformats.org/officeDocument/2006/relationships/hyperlink" Target="http://ufcstats.com/fight-details/6e0c1faaf40caf9a" TargetMode="External"/><Relationship Id="rId192" Type="http://schemas.openxmlformats.org/officeDocument/2006/relationships/hyperlink" Target="http://ufcstats.com/fight-details/326c3eaa1e9e3dc4" TargetMode="External"/><Relationship Id="rId206" Type="http://schemas.openxmlformats.org/officeDocument/2006/relationships/hyperlink" Target="http://ufcstats.com/fight-details/d684d8b02ab53031" TargetMode="External"/><Relationship Id="rId12" Type="http://schemas.openxmlformats.org/officeDocument/2006/relationships/hyperlink" Target="http://ufcstats.com/fight-details/b1e048825b5bbe1c" TargetMode="External"/><Relationship Id="rId33" Type="http://schemas.openxmlformats.org/officeDocument/2006/relationships/hyperlink" Target="http://ufcstats.com/fight-details/45de6d0b9cf5451c" TargetMode="External"/><Relationship Id="rId108" Type="http://schemas.openxmlformats.org/officeDocument/2006/relationships/hyperlink" Target="http://ufcstats.com/fight-details/707cb14717df5960" TargetMode="External"/><Relationship Id="rId129" Type="http://schemas.openxmlformats.org/officeDocument/2006/relationships/hyperlink" Target="http://ufcstats.com/fight-details/904cf687d22bb486" TargetMode="External"/><Relationship Id="rId54" Type="http://schemas.openxmlformats.org/officeDocument/2006/relationships/hyperlink" Target="http://ufcstats.com/fight-details/25f3e4fa781c1c8a" TargetMode="External"/><Relationship Id="rId75" Type="http://schemas.openxmlformats.org/officeDocument/2006/relationships/hyperlink" Target="http://ufcstats.com/fight-details/2cb9ba68fc855f33" TargetMode="External"/><Relationship Id="rId96" Type="http://schemas.openxmlformats.org/officeDocument/2006/relationships/hyperlink" Target="http://ufcstats.com/fight-details/35d0ef51fede263c" TargetMode="External"/><Relationship Id="rId140" Type="http://schemas.openxmlformats.org/officeDocument/2006/relationships/hyperlink" Target="http://ufcstats.com/fight-details/37a6fc5e69a7932d" TargetMode="External"/><Relationship Id="rId161" Type="http://schemas.openxmlformats.org/officeDocument/2006/relationships/hyperlink" Target="http://ufcstats.com/fight-details/2b11aa4b90b1dd41" TargetMode="External"/><Relationship Id="rId182" Type="http://schemas.openxmlformats.org/officeDocument/2006/relationships/hyperlink" Target="http://ufcstats.com/fight-details/bb15c0a2911043bd" TargetMode="External"/><Relationship Id="rId217" Type="http://schemas.openxmlformats.org/officeDocument/2006/relationships/hyperlink" Target="http://ufcstats.com/fight-details/2f1f16c86a8cc6e2" TargetMode="External"/><Relationship Id="rId6" Type="http://schemas.openxmlformats.org/officeDocument/2006/relationships/hyperlink" Target="http://ufcstats.com/fight-details/ea29714dcfb07ce2" TargetMode="External"/><Relationship Id="rId23" Type="http://schemas.openxmlformats.org/officeDocument/2006/relationships/hyperlink" Target="http://ufcstats.com/fight-details/904e0e46392dff93" TargetMode="External"/><Relationship Id="rId119" Type="http://schemas.openxmlformats.org/officeDocument/2006/relationships/hyperlink" Target="http://ufcstats.com/fight-details/cda0d9b5ce9b9c12" TargetMode="External"/><Relationship Id="rId44" Type="http://schemas.openxmlformats.org/officeDocument/2006/relationships/hyperlink" Target="http://ufcstats.com/fight-details/47a5d4bb68352055" TargetMode="External"/><Relationship Id="rId65" Type="http://schemas.openxmlformats.org/officeDocument/2006/relationships/hyperlink" Target="http://ufcstats.com/fight-details/0a0beb5aa9810de4" TargetMode="External"/><Relationship Id="rId86" Type="http://schemas.openxmlformats.org/officeDocument/2006/relationships/hyperlink" Target="http://ufcstats.com/fight-details/764012f51c7dc223" TargetMode="External"/><Relationship Id="rId130" Type="http://schemas.openxmlformats.org/officeDocument/2006/relationships/hyperlink" Target="http://ufcstats.com/fight-details/b948102c6205af63" TargetMode="External"/><Relationship Id="rId151" Type="http://schemas.openxmlformats.org/officeDocument/2006/relationships/hyperlink" Target="http://ufcstats.com/fight-details/a485281be8e9d2e2" TargetMode="External"/><Relationship Id="rId172" Type="http://schemas.openxmlformats.org/officeDocument/2006/relationships/hyperlink" Target="http://ufcstats.com/fight-details/4f3cd94861c6a876" TargetMode="External"/><Relationship Id="rId193" Type="http://schemas.openxmlformats.org/officeDocument/2006/relationships/hyperlink" Target="http://ufcstats.com/fight-details/b55de7d791b9f62d" TargetMode="External"/><Relationship Id="rId207" Type="http://schemas.openxmlformats.org/officeDocument/2006/relationships/hyperlink" Target="http://ufcstats.com/fight-details/ed8fb10b596e6fa4" TargetMode="External"/><Relationship Id="rId13" Type="http://schemas.openxmlformats.org/officeDocument/2006/relationships/hyperlink" Target="http://ufcstats.com/fight-details/7c3ad06a520b8716" TargetMode="External"/><Relationship Id="rId109" Type="http://schemas.openxmlformats.org/officeDocument/2006/relationships/hyperlink" Target="http://ufcstats.com/fight-details/75e580d5ea37c519" TargetMode="External"/><Relationship Id="rId34" Type="http://schemas.openxmlformats.org/officeDocument/2006/relationships/hyperlink" Target="http://ufcstats.com/fight-details/33658a3ca932d15d" TargetMode="External"/><Relationship Id="rId55" Type="http://schemas.openxmlformats.org/officeDocument/2006/relationships/hyperlink" Target="http://ufcstats.com/fight-details/e600b78e5a652dc0" TargetMode="External"/><Relationship Id="rId76" Type="http://schemas.openxmlformats.org/officeDocument/2006/relationships/hyperlink" Target="http://ufcstats.com/fight-details/5d5bf07dbfada0e3" TargetMode="External"/><Relationship Id="rId97" Type="http://schemas.openxmlformats.org/officeDocument/2006/relationships/hyperlink" Target="http://ufcstats.com/fight-details/1800ffbb34ac7ed8" TargetMode="External"/><Relationship Id="rId120" Type="http://schemas.openxmlformats.org/officeDocument/2006/relationships/hyperlink" Target="http://ufcstats.com/fight-details/2242e7df6f320ea6" TargetMode="External"/><Relationship Id="rId141" Type="http://schemas.openxmlformats.org/officeDocument/2006/relationships/hyperlink" Target="http://ufcstats.com/fight-details/f0e0effb1b2de6ae" TargetMode="External"/><Relationship Id="rId7" Type="http://schemas.openxmlformats.org/officeDocument/2006/relationships/hyperlink" Target="http://ufcstats.com/fight-details/9433730f95d52fc8" TargetMode="External"/><Relationship Id="rId162" Type="http://schemas.openxmlformats.org/officeDocument/2006/relationships/hyperlink" Target="http://ufcstats.com/fight-details/711f00d287344c77" TargetMode="External"/><Relationship Id="rId183" Type="http://schemas.openxmlformats.org/officeDocument/2006/relationships/hyperlink" Target="http://ufcstats.com/fight-details/3aa49ed298e4c34f" TargetMode="External"/><Relationship Id="rId218" Type="http://schemas.openxmlformats.org/officeDocument/2006/relationships/hyperlink" Target="http://ufcstats.com/fight-details/4127b45c3d546eef" TargetMode="External"/><Relationship Id="rId24" Type="http://schemas.openxmlformats.org/officeDocument/2006/relationships/hyperlink" Target="http://ufcstats.com/fight-details/00b1e95f6aea7027" TargetMode="External"/><Relationship Id="rId45" Type="http://schemas.openxmlformats.org/officeDocument/2006/relationships/hyperlink" Target="http://ufcstats.com/fight-details/20c0f50c11509301" TargetMode="External"/><Relationship Id="rId66" Type="http://schemas.openxmlformats.org/officeDocument/2006/relationships/hyperlink" Target="http://ufcstats.com/fight-details/f9a4e625dffc30d4" TargetMode="External"/><Relationship Id="rId87" Type="http://schemas.openxmlformats.org/officeDocument/2006/relationships/hyperlink" Target="http://ufcstats.com/fight-details/7930c605c6a6ec88" TargetMode="External"/><Relationship Id="rId110" Type="http://schemas.openxmlformats.org/officeDocument/2006/relationships/hyperlink" Target="http://ufcstats.com/fight-details/b695fc80bd538172" TargetMode="External"/><Relationship Id="rId131" Type="http://schemas.openxmlformats.org/officeDocument/2006/relationships/hyperlink" Target="http://ufcstats.com/fight-details/b8b692aa2aae3310" TargetMode="External"/><Relationship Id="rId152" Type="http://schemas.openxmlformats.org/officeDocument/2006/relationships/hyperlink" Target="http://ufcstats.com/fight-details/6832e9e62da0f9d3" TargetMode="External"/><Relationship Id="rId173" Type="http://schemas.openxmlformats.org/officeDocument/2006/relationships/hyperlink" Target="http://ufcstats.com/fight-details/7606d2f8d8b0e889" TargetMode="External"/><Relationship Id="rId194" Type="http://schemas.openxmlformats.org/officeDocument/2006/relationships/hyperlink" Target="http://ufcstats.com/fight-details/d9f5d05b07bae09e" TargetMode="External"/><Relationship Id="rId208" Type="http://schemas.openxmlformats.org/officeDocument/2006/relationships/hyperlink" Target="http://ufcstats.com/fight-details/b3caae587e956f54" TargetMode="External"/><Relationship Id="rId14" Type="http://schemas.openxmlformats.org/officeDocument/2006/relationships/hyperlink" Target="http://ufcstats.com/fight-details/34cb6e9952cd30a4" TargetMode="External"/><Relationship Id="rId35" Type="http://schemas.openxmlformats.org/officeDocument/2006/relationships/hyperlink" Target="http://ufcstats.com/fight-details/b7d238437d6644ce" TargetMode="External"/><Relationship Id="rId56" Type="http://schemas.openxmlformats.org/officeDocument/2006/relationships/hyperlink" Target="http://ufcstats.com/fight-details/4965d8eab468b839" TargetMode="External"/><Relationship Id="rId77" Type="http://schemas.openxmlformats.org/officeDocument/2006/relationships/hyperlink" Target="http://ufcstats.com/fight-details/8cb4e3f056a84b0d" TargetMode="External"/><Relationship Id="rId100" Type="http://schemas.openxmlformats.org/officeDocument/2006/relationships/hyperlink" Target="http://ufcstats.com/fight-details/64bee58391921b4b" TargetMode="External"/><Relationship Id="rId8" Type="http://schemas.openxmlformats.org/officeDocument/2006/relationships/hyperlink" Target="http://ufcstats.com/fight-details/8a3e7085e8e5a6e9" TargetMode="External"/><Relationship Id="rId51" Type="http://schemas.openxmlformats.org/officeDocument/2006/relationships/hyperlink" Target="http://ufcstats.com/fight-details/0221982930283140" TargetMode="External"/><Relationship Id="rId72" Type="http://schemas.openxmlformats.org/officeDocument/2006/relationships/hyperlink" Target="http://ufcstats.com/fight-details/ceaf7ed5ade30d9f" TargetMode="External"/><Relationship Id="rId93" Type="http://schemas.openxmlformats.org/officeDocument/2006/relationships/hyperlink" Target="http://ufcstats.com/fight-details/96919cf8d3e988ff" TargetMode="External"/><Relationship Id="rId98" Type="http://schemas.openxmlformats.org/officeDocument/2006/relationships/hyperlink" Target="http://ufcstats.com/fight-details/515ecc54219bcc4c" TargetMode="External"/><Relationship Id="rId121" Type="http://schemas.openxmlformats.org/officeDocument/2006/relationships/hyperlink" Target="http://ufcstats.com/fight-details/9fb0a4e18ddcd14c" TargetMode="External"/><Relationship Id="rId142" Type="http://schemas.openxmlformats.org/officeDocument/2006/relationships/hyperlink" Target="http://ufcstats.com/fight-details/419d1e29668b57fb" TargetMode="External"/><Relationship Id="rId163" Type="http://schemas.openxmlformats.org/officeDocument/2006/relationships/hyperlink" Target="http://ufcstats.com/fight-details/c28d40498150de90" TargetMode="External"/><Relationship Id="rId184" Type="http://schemas.openxmlformats.org/officeDocument/2006/relationships/hyperlink" Target="http://ufcstats.com/fight-details/0c618cd41b88c558" TargetMode="External"/><Relationship Id="rId189" Type="http://schemas.openxmlformats.org/officeDocument/2006/relationships/hyperlink" Target="http://ufcstats.com/fight-details/326de7f7ec9e7035" TargetMode="External"/><Relationship Id="rId219" Type="http://schemas.openxmlformats.org/officeDocument/2006/relationships/hyperlink" Target="http://ufcstats.com/fight-details/34d2632fd26e7078" TargetMode="External"/><Relationship Id="rId3" Type="http://schemas.openxmlformats.org/officeDocument/2006/relationships/hyperlink" Target="http://ufcstats.com/fight-details/6ca856d1950d8f7f" TargetMode="External"/><Relationship Id="rId214" Type="http://schemas.openxmlformats.org/officeDocument/2006/relationships/hyperlink" Target="http://ufcstats.com/fight-details/c93eebe24aa0299d" TargetMode="External"/><Relationship Id="rId25" Type="http://schemas.openxmlformats.org/officeDocument/2006/relationships/hyperlink" Target="http://ufcstats.com/fight-details/3d12c63c47828937" TargetMode="External"/><Relationship Id="rId46" Type="http://schemas.openxmlformats.org/officeDocument/2006/relationships/hyperlink" Target="http://ufcstats.com/fight-details/dd9cbf6d6284de26" TargetMode="External"/><Relationship Id="rId67" Type="http://schemas.openxmlformats.org/officeDocument/2006/relationships/hyperlink" Target="http://ufcstats.com/fight-details/fc2a30bfb760bdf8" TargetMode="External"/><Relationship Id="rId116" Type="http://schemas.openxmlformats.org/officeDocument/2006/relationships/hyperlink" Target="http://ufcstats.com/fight-details/c2fd3d874f558408" TargetMode="External"/><Relationship Id="rId137" Type="http://schemas.openxmlformats.org/officeDocument/2006/relationships/hyperlink" Target="http://ufcstats.com/fight-details/a57969d4ba7d4a79" TargetMode="External"/><Relationship Id="rId158" Type="http://schemas.openxmlformats.org/officeDocument/2006/relationships/hyperlink" Target="http://ufcstats.com/fight-details/e3acb789f7dcd34c" TargetMode="External"/><Relationship Id="rId20" Type="http://schemas.openxmlformats.org/officeDocument/2006/relationships/hyperlink" Target="http://ufcstats.com/fight-details/77f123712368bcbc" TargetMode="External"/><Relationship Id="rId41" Type="http://schemas.openxmlformats.org/officeDocument/2006/relationships/hyperlink" Target="http://ufcstats.com/fight-details/8c7b5b21b3532027" TargetMode="External"/><Relationship Id="rId62" Type="http://schemas.openxmlformats.org/officeDocument/2006/relationships/hyperlink" Target="http://ufcstats.com/fight-details/3ecccdab76baa59c" TargetMode="External"/><Relationship Id="rId83" Type="http://schemas.openxmlformats.org/officeDocument/2006/relationships/hyperlink" Target="http://ufcstats.com/fight-details/f2fb049980631302" TargetMode="External"/><Relationship Id="rId88" Type="http://schemas.openxmlformats.org/officeDocument/2006/relationships/hyperlink" Target="http://ufcstats.com/fight-details/0a9f22de8600c762" TargetMode="External"/><Relationship Id="rId111" Type="http://schemas.openxmlformats.org/officeDocument/2006/relationships/hyperlink" Target="http://ufcstats.com/fight-details/8d70694ceeb0dc9a" TargetMode="External"/><Relationship Id="rId132" Type="http://schemas.openxmlformats.org/officeDocument/2006/relationships/hyperlink" Target="http://ufcstats.com/fight-details/102fb91414fd24ab" TargetMode="External"/><Relationship Id="rId153" Type="http://schemas.openxmlformats.org/officeDocument/2006/relationships/hyperlink" Target="http://ufcstats.com/fight-details/bfd672cac0726a9a" TargetMode="External"/><Relationship Id="rId174" Type="http://schemas.openxmlformats.org/officeDocument/2006/relationships/hyperlink" Target="http://ufcstats.com/fight-details/dccea04cc3567955" TargetMode="External"/><Relationship Id="rId179" Type="http://schemas.openxmlformats.org/officeDocument/2006/relationships/hyperlink" Target="http://ufcstats.com/fight-details/d1a93a55c8063ff3" TargetMode="External"/><Relationship Id="rId195" Type="http://schemas.openxmlformats.org/officeDocument/2006/relationships/hyperlink" Target="http://ufcstats.com/fight-details/fd1854062406d287" TargetMode="External"/><Relationship Id="rId209" Type="http://schemas.openxmlformats.org/officeDocument/2006/relationships/hyperlink" Target="http://ufcstats.com/fight-details/90715135a543b6e3" TargetMode="External"/><Relationship Id="rId190" Type="http://schemas.openxmlformats.org/officeDocument/2006/relationships/hyperlink" Target="http://ufcstats.com/fight-details/dcc3da324eb5f26c" TargetMode="External"/><Relationship Id="rId204" Type="http://schemas.openxmlformats.org/officeDocument/2006/relationships/hyperlink" Target="http://ufcstats.com/fight-details/1631f70535ae5dcc" TargetMode="External"/><Relationship Id="rId220" Type="http://schemas.openxmlformats.org/officeDocument/2006/relationships/hyperlink" Target="http://ufcstats.com/fight-details/05cceae674c81b86" TargetMode="External"/><Relationship Id="rId15" Type="http://schemas.openxmlformats.org/officeDocument/2006/relationships/hyperlink" Target="http://ufcstats.com/fight-details/2ef09c8fe29251ac" TargetMode="External"/><Relationship Id="rId36" Type="http://schemas.openxmlformats.org/officeDocument/2006/relationships/hyperlink" Target="http://ufcstats.com/fight-details/7b1882dc76786d77" TargetMode="External"/><Relationship Id="rId57" Type="http://schemas.openxmlformats.org/officeDocument/2006/relationships/hyperlink" Target="http://ufcstats.com/fight-details/1c85003f6ec59c9d" TargetMode="External"/><Relationship Id="rId106" Type="http://schemas.openxmlformats.org/officeDocument/2006/relationships/hyperlink" Target="http://ufcstats.com/fight-details/fa98e2b8dceca9bb" TargetMode="External"/><Relationship Id="rId127" Type="http://schemas.openxmlformats.org/officeDocument/2006/relationships/hyperlink" Target="http://ufcstats.com/fight-details/e6d4fdad2b3422d1" TargetMode="External"/><Relationship Id="rId10" Type="http://schemas.openxmlformats.org/officeDocument/2006/relationships/hyperlink" Target="http://ufcstats.com/fight-details/81cbb709dedc914d" TargetMode="External"/><Relationship Id="rId31" Type="http://schemas.openxmlformats.org/officeDocument/2006/relationships/hyperlink" Target="http://ufcstats.com/fight-details/ccf3b6eda4c2a564" TargetMode="External"/><Relationship Id="rId52" Type="http://schemas.openxmlformats.org/officeDocument/2006/relationships/hyperlink" Target="http://ufcstats.com/fight-details/144443d4dbf43990" TargetMode="External"/><Relationship Id="rId73" Type="http://schemas.openxmlformats.org/officeDocument/2006/relationships/hyperlink" Target="http://ufcstats.com/fight-details/0ce63c2148e70b4c" TargetMode="External"/><Relationship Id="rId78" Type="http://schemas.openxmlformats.org/officeDocument/2006/relationships/hyperlink" Target="http://ufcstats.com/fight-details/8317208cfb030ed3" TargetMode="External"/><Relationship Id="rId94" Type="http://schemas.openxmlformats.org/officeDocument/2006/relationships/hyperlink" Target="http://ufcstats.com/fight-details/151c2bd6dfefb4b5" TargetMode="External"/><Relationship Id="rId99" Type="http://schemas.openxmlformats.org/officeDocument/2006/relationships/hyperlink" Target="http://ufcstats.com/fight-details/baf17e5e1fe1c744" TargetMode="External"/><Relationship Id="rId101" Type="http://schemas.openxmlformats.org/officeDocument/2006/relationships/hyperlink" Target="http://ufcstats.com/fight-details/51f955029dbf6978" TargetMode="External"/><Relationship Id="rId122" Type="http://schemas.openxmlformats.org/officeDocument/2006/relationships/hyperlink" Target="http://ufcstats.com/fight-details/6222cdc86b12d251" TargetMode="External"/><Relationship Id="rId143" Type="http://schemas.openxmlformats.org/officeDocument/2006/relationships/hyperlink" Target="http://ufcstats.com/fight-details/55b53fdad307b708" TargetMode="External"/><Relationship Id="rId148" Type="http://schemas.openxmlformats.org/officeDocument/2006/relationships/hyperlink" Target="http://ufcstats.com/fight-details/ae38fb2a6b6a0cc1" TargetMode="External"/><Relationship Id="rId164" Type="http://schemas.openxmlformats.org/officeDocument/2006/relationships/hyperlink" Target="http://ufcstats.com/fight-details/494042bf96730bc0" TargetMode="External"/><Relationship Id="rId169" Type="http://schemas.openxmlformats.org/officeDocument/2006/relationships/hyperlink" Target="http://ufcstats.com/fight-details/f9830f1c23ac92d0" TargetMode="External"/><Relationship Id="rId185" Type="http://schemas.openxmlformats.org/officeDocument/2006/relationships/hyperlink" Target="http://ufcstats.com/fight-details/9115354413739aa8" TargetMode="External"/><Relationship Id="rId4" Type="http://schemas.openxmlformats.org/officeDocument/2006/relationships/hyperlink" Target="http://ufcstats.com/fight-details/3677ce6c1ee06a83" TargetMode="External"/><Relationship Id="rId9" Type="http://schemas.openxmlformats.org/officeDocument/2006/relationships/hyperlink" Target="http://ufcstats.com/fight-details/8986373b4a6e90b6" TargetMode="External"/><Relationship Id="rId180" Type="http://schemas.openxmlformats.org/officeDocument/2006/relationships/hyperlink" Target="http://ufcstats.com/fight-details/eb10feae98ea7d36" TargetMode="External"/><Relationship Id="rId210" Type="http://schemas.openxmlformats.org/officeDocument/2006/relationships/hyperlink" Target="http://ufcstats.com/fight-details/47f9c14a7dca1ad7" TargetMode="External"/><Relationship Id="rId215" Type="http://schemas.openxmlformats.org/officeDocument/2006/relationships/hyperlink" Target="http://ufcstats.com/fight-details/9d80bd1f92d23dfa" TargetMode="External"/><Relationship Id="rId26" Type="http://schemas.openxmlformats.org/officeDocument/2006/relationships/hyperlink" Target="http://ufcstats.com/fight-details/6e65bec924996b5a" TargetMode="External"/><Relationship Id="rId47" Type="http://schemas.openxmlformats.org/officeDocument/2006/relationships/hyperlink" Target="http://ufcstats.com/fight-details/53d6d5ad08ac0694" TargetMode="External"/><Relationship Id="rId68" Type="http://schemas.openxmlformats.org/officeDocument/2006/relationships/hyperlink" Target="http://ufcstats.com/fight-details/66eee2320e900a8a" TargetMode="External"/><Relationship Id="rId89" Type="http://schemas.openxmlformats.org/officeDocument/2006/relationships/hyperlink" Target="http://ufcstats.com/fight-details/15def71ff1679e06" TargetMode="External"/><Relationship Id="rId112" Type="http://schemas.openxmlformats.org/officeDocument/2006/relationships/hyperlink" Target="http://ufcstats.com/fight-details/a2f4acc81f7886a2" TargetMode="External"/><Relationship Id="rId133" Type="http://schemas.openxmlformats.org/officeDocument/2006/relationships/hyperlink" Target="http://ufcstats.com/fight-details/744cbe6e49d4f41c" TargetMode="External"/><Relationship Id="rId154" Type="http://schemas.openxmlformats.org/officeDocument/2006/relationships/hyperlink" Target="http://ufcstats.com/fight-details/668d077ac9d7d3c9" TargetMode="External"/><Relationship Id="rId175" Type="http://schemas.openxmlformats.org/officeDocument/2006/relationships/hyperlink" Target="http://ufcstats.com/fight-details/1ff3dff34d0b60b8" TargetMode="External"/><Relationship Id="rId196" Type="http://schemas.openxmlformats.org/officeDocument/2006/relationships/hyperlink" Target="http://ufcstats.com/fight-details/59b2bbb251968ca9" TargetMode="External"/><Relationship Id="rId200" Type="http://schemas.openxmlformats.org/officeDocument/2006/relationships/hyperlink" Target="http://ufcstats.com/fight-details/e8ef17c0babcfca5" TargetMode="External"/><Relationship Id="rId16" Type="http://schemas.openxmlformats.org/officeDocument/2006/relationships/hyperlink" Target="http://ufcstats.com/fight-details/0b2c3c4306620d6d" TargetMode="External"/><Relationship Id="rId221" Type="http://schemas.openxmlformats.org/officeDocument/2006/relationships/hyperlink" Target="http://ufcstats.com/fight-details/7233b2a56438d77a" TargetMode="External"/><Relationship Id="rId37" Type="http://schemas.openxmlformats.org/officeDocument/2006/relationships/hyperlink" Target="http://ufcstats.com/fight-details/751cf3d52fce1d1f" TargetMode="External"/><Relationship Id="rId58" Type="http://schemas.openxmlformats.org/officeDocument/2006/relationships/hyperlink" Target="http://ufcstats.com/fight-details/2c7c7648e847f2e5" TargetMode="External"/><Relationship Id="rId79" Type="http://schemas.openxmlformats.org/officeDocument/2006/relationships/hyperlink" Target="http://ufcstats.com/fight-details/25b8c932da5e91f4" TargetMode="External"/><Relationship Id="rId102" Type="http://schemas.openxmlformats.org/officeDocument/2006/relationships/hyperlink" Target="http://ufcstats.com/fight-details/94560d1dc6248347" TargetMode="External"/><Relationship Id="rId123" Type="http://schemas.openxmlformats.org/officeDocument/2006/relationships/hyperlink" Target="http://ufcstats.com/fight-details/85060e6e71ed14e4" TargetMode="External"/><Relationship Id="rId144" Type="http://schemas.openxmlformats.org/officeDocument/2006/relationships/hyperlink" Target="http://ufcstats.com/fight-details/80cf37627a129145" TargetMode="External"/><Relationship Id="rId90" Type="http://schemas.openxmlformats.org/officeDocument/2006/relationships/hyperlink" Target="http://ufcstats.com/fight-details/088b47d890b389e9" TargetMode="External"/><Relationship Id="rId165" Type="http://schemas.openxmlformats.org/officeDocument/2006/relationships/hyperlink" Target="http://ufcstats.com/fight-details/c4c379b8f99fea88" TargetMode="External"/><Relationship Id="rId186" Type="http://schemas.openxmlformats.org/officeDocument/2006/relationships/hyperlink" Target="http://ufcstats.com/fight-details/f329bd89e375d6df" TargetMode="External"/><Relationship Id="rId211" Type="http://schemas.openxmlformats.org/officeDocument/2006/relationships/hyperlink" Target="http://ufcstats.com/fight-details/cce232c1b1b2e4a0" TargetMode="External"/><Relationship Id="rId27" Type="http://schemas.openxmlformats.org/officeDocument/2006/relationships/hyperlink" Target="http://ufcstats.com/fight-details/f8bb0aed83bd8638" TargetMode="External"/><Relationship Id="rId48" Type="http://schemas.openxmlformats.org/officeDocument/2006/relationships/hyperlink" Target="http://ufcstats.com/fight-details/8e5ce3308c0e2046" TargetMode="External"/><Relationship Id="rId69" Type="http://schemas.openxmlformats.org/officeDocument/2006/relationships/hyperlink" Target="http://ufcstats.com/fight-details/b193e2317b21125c" TargetMode="External"/><Relationship Id="rId113" Type="http://schemas.openxmlformats.org/officeDocument/2006/relationships/hyperlink" Target="http://ufcstats.com/fight-details/1db00b3e736c22bf" TargetMode="External"/><Relationship Id="rId134" Type="http://schemas.openxmlformats.org/officeDocument/2006/relationships/hyperlink" Target="http://ufcstats.com/fight-details/7510b0c96f5707ea" TargetMode="External"/><Relationship Id="rId80" Type="http://schemas.openxmlformats.org/officeDocument/2006/relationships/hyperlink" Target="http://ufcstats.com/fight-details/d65da3a3bc675449" TargetMode="External"/><Relationship Id="rId155" Type="http://schemas.openxmlformats.org/officeDocument/2006/relationships/hyperlink" Target="http://ufcstats.com/fight-details/c0518d213b67e754" TargetMode="External"/><Relationship Id="rId176" Type="http://schemas.openxmlformats.org/officeDocument/2006/relationships/hyperlink" Target="http://ufcstats.com/fight-details/906283a2adcbc3e0" TargetMode="External"/><Relationship Id="rId197" Type="http://schemas.openxmlformats.org/officeDocument/2006/relationships/hyperlink" Target="http://ufcstats.com/fight-details/5737084215c45792" TargetMode="External"/><Relationship Id="rId201" Type="http://schemas.openxmlformats.org/officeDocument/2006/relationships/hyperlink" Target="http://ufcstats.com/fight-details/10f5bb70feb1df53" TargetMode="External"/><Relationship Id="rId222" Type="http://schemas.openxmlformats.org/officeDocument/2006/relationships/hyperlink" Target="http://ufcstats.com/fight-details/a69afe4a88c0ca12" TargetMode="External"/><Relationship Id="rId17" Type="http://schemas.openxmlformats.org/officeDocument/2006/relationships/hyperlink" Target="http://ufcstats.com/fight-details/e8adfbbe0053c321" TargetMode="External"/><Relationship Id="rId38" Type="http://schemas.openxmlformats.org/officeDocument/2006/relationships/hyperlink" Target="http://ufcstats.com/fight-details/cc4fcfede19bc196" TargetMode="External"/><Relationship Id="rId59" Type="http://schemas.openxmlformats.org/officeDocument/2006/relationships/hyperlink" Target="http://ufcstats.com/fight-details/7e047b195135ef06" TargetMode="External"/><Relationship Id="rId103" Type="http://schemas.openxmlformats.org/officeDocument/2006/relationships/hyperlink" Target="http://ufcstats.com/fight-details/dfa2fda311df08cf" TargetMode="External"/><Relationship Id="rId124" Type="http://schemas.openxmlformats.org/officeDocument/2006/relationships/hyperlink" Target="http://ufcstats.com/fight-details/28f7ba820350e3a3" TargetMode="External"/><Relationship Id="rId70" Type="http://schemas.openxmlformats.org/officeDocument/2006/relationships/hyperlink" Target="http://ufcstats.com/fight-details/be8bee783d22bee2" TargetMode="External"/><Relationship Id="rId91" Type="http://schemas.openxmlformats.org/officeDocument/2006/relationships/hyperlink" Target="http://ufcstats.com/fight-details/a41384da70013373" TargetMode="External"/><Relationship Id="rId145" Type="http://schemas.openxmlformats.org/officeDocument/2006/relationships/hyperlink" Target="http://ufcstats.com/fight-details/7c2b219fe208c565" TargetMode="External"/><Relationship Id="rId166" Type="http://schemas.openxmlformats.org/officeDocument/2006/relationships/hyperlink" Target="http://ufcstats.com/fight-details/8b79a80f775d9f03" TargetMode="External"/><Relationship Id="rId187" Type="http://schemas.openxmlformats.org/officeDocument/2006/relationships/hyperlink" Target="http://ufcstats.com/fight-details/505397f405e40206" TargetMode="External"/><Relationship Id="rId1" Type="http://schemas.openxmlformats.org/officeDocument/2006/relationships/hyperlink" Target="http://ufcstats.com/fight-details/f3ad8ad8d242678e" TargetMode="External"/><Relationship Id="rId212" Type="http://schemas.openxmlformats.org/officeDocument/2006/relationships/hyperlink" Target="http://ufcstats.com/fight-details/b395c89e19a3fec4" TargetMode="External"/><Relationship Id="rId28" Type="http://schemas.openxmlformats.org/officeDocument/2006/relationships/hyperlink" Target="http://ufcstats.com/fight-details/10a1947cb3feabc1" TargetMode="External"/><Relationship Id="rId49" Type="http://schemas.openxmlformats.org/officeDocument/2006/relationships/hyperlink" Target="http://ufcstats.com/fight-details/009feda296ae589c" TargetMode="External"/><Relationship Id="rId114" Type="http://schemas.openxmlformats.org/officeDocument/2006/relationships/hyperlink" Target="http://ufcstats.com/fight-details/bdeca00572419011" TargetMode="External"/><Relationship Id="rId60" Type="http://schemas.openxmlformats.org/officeDocument/2006/relationships/hyperlink" Target="http://ufcstats.com/fight-details/60d9d50b763adc62" TargetMode="External"/><Relationship Id="rId81" Type="http://schemas.openxmlformats.org/officeDocument/2006/relationships/hyperlink" Target="http://ufcstats.com/fight-details/c4ea3f6fae702459" TargetMode="External"/><Relationship Id="rId135" Type="http://schemas.openxmlformats.org/officeDocument/2006/relationships/hyperlink" Target="http://ufcstats.com/fight-details/e3573545220ca4ea" TargetMode="External"/><Relationship Id="rId156" Type="http://schemas.openxmlformats.org/officeDocument/2006/relationships/hyperlink" Target="http://ufcstats.com/fight-details/dd552b389152636a" TargetMode="External"/><Relationship Id="rId177" Type="http://schemas.openxmlformats.org/officeDocument/2006/relationships/hyperlink" Target="http://ufcstats.com/fight-details/93da91272d4a7ce3" TargetMode="External"/><Relationship Id="rId198" Type="http://schemas.openxmlformats.org/officeDocument/2006/relationships/hyperlink" Target="http://ufcstats.com/fight-details/c6fc43c351b08bda" TargetMode="External"/><Relationship Id="rId202" Type="http://schemas.openxmlformats.org/officeDocument/2006/relationships/hyperlink" Target="http://ufcstats.com/fight-details/2b894d87ad9aae05" TargetMode="External"/><Relationship Id="rId18" Type="http://schemas.openxmlformats.org/officeDocument/2006/relationships/hyperlink" Target="http://ufcstats.com/fight-details/cb56e868deaddac4" TargetMode="External"/><Relationship Id="rId39" Type="http://schemas.openxmlformats.org/officeDocument/2006/relationships/hyperlink" Target="http://ufcstats.com/fight-details/bcec26b425194e40" TargetMode="External"/><Relationship Id="rId50" Type="http://schemas.openxmlformats.org/officeDocument/2006/relationships/hyperlink" Target="http://ufcstats.com/fight-details/faac24c1b3d6368a" TargetMode="External"/><Relationship Id="rId104" Type="http://schemas.openxmlformats.org/officeDocument/2006/relationships/hyperlink" Target="http://ufcstats.com/fight-details/dd51d1aed9536da6" TargetMode="External"/><Relationship Id="rId125" Type="http://schemas.openxmlformats.org/officeDocument/2006/relationships/hyperlink" Target="http://ufcstats.com/fight-details/c5f0c83e303d80bf" TargetMode="External"/><Relationship Id="rId146" Type="http://schemas.openxmlformats.org/officeDocument/2006/relationships/hyperlink" Target="http://ufcstats.com/fight-details/1d892fec31dc7ad7" TargetMode="External"/><Relationship Id="rId167" Type="http://schemas.openxmlformats.org/officeDocument/2006/relationships/hyperlink" Target="http://ufcstats.com/fight-details/4d0029ad31bdd85a" TargetMode="External"/><Relationship Id="rId188" Type="http://schemas.openxmlformats.org/officeDocument/2006/relationships/hyperlink" Target="http://ufcstats.com/fight-details/c442899c21d58779" TargetMode="External"/><Relationship Id="rId71" Type="http://schemas.openxmlformats.org/officeDocument/2006/relationships/hyperlink" Target="http://ufcstats.com/fight-details/e7bb37681652c2c2" TargetMode="External"/><Relationship Id="rId92" Type="http://schemas.openxmlformats.org/officeDocument/2006/relationships/hyperlink" Target="http://ufcstats.com/fight-details/2a1826612a7d739c" TargetMode="External"/><Relationship Id="rId213" Type="http://schemas.openxmlformats.org/officeDocument/2006/relationships/hyperlink" Target="http://ufcstats.com/fight-details/049ad6d87b42eba8" TargetMode="External"/><Relationship Id="rId2" Type="http://schemas.openxmlformats.org/officeDocument/2006/relationships/hyperlink" Target="http://ufcstats.com/fight-details/c4785ee94698e532" TargetMode="External"/><Relationship Id="rId29" Type="http://schemas.openxmlformats.org/officeDocument/2006/relationships/hyperlink" Target="http://ufcstats.com/fight-details/dd0c8e9880c6fa24" TargetMode="External"/><Relationship Id="rId40" Type="http://schemas.openxmlformats.org/officeDocument/2006/relationships/hyperlink" Target="http://ufcstats.com/fight-details/4eaf54ad3c82b6fa" TargetMode="External"/><Relationship Id="rId115" Type="http://schemas.openxmlformats.org/officeDocument/2006/relationships/hyperlink" Target="http://ufcstats.com/fight-details/77c6a6f33289b872" TargetMode="External"/><Relationship Id="rId136" Type="http://schemas.openxmlformats.org/officeDocument/2006/relationships/hyperlink" Target="http://ufcstats.com/fight-details/c13474b85d3ced32" TargetMode="External"/><Relationship Id="rId157" Type="http://schemas.openxmlformats.org/officeDocument/2006/relationships/hyperlink" Target="http://ufcstats.com/fight-details/33719a2d9c69ed17" TargetMode="External"/><Relationship Id="rId178" Type="http://schemas.openxmlformats.org/officeDocument/2006/relationships/hyperlink" Target="http://ufcstats.com/fight-details/1b650c76387c0f4b" TargetMode="External"/><Relationship Id="rId61" Type="http://schemas.openxmlformats.org/officeDocument/2006/relationships/hyperlink" Target="http://ufcstats.com/fight-details/a45d4327bc82bc28" TargetMode="External"/><Relationship Id="rId82" Type="http://schemas.openxmlformats.org/officeDocument/2006/relationships/hyperlink" Target="http://ufcstats.com/fight-details/a003e8305d4dbdc8" TargetMode="External"/><Relationship Id="rId199" Type="http://schemas.openxmlformats.org/officeDocument/2006/relationships/hyperlink" Target="http://ufcstats.com/fight-details/4e22e3cdb8757be1" TargetMode="External"/><Relationship Id="rId203" Type="http://schemas.openxmlformats.org/officeDocument/2006/relationships/hyperlink" Target="http://ufcstats.com/fight-details/38957d8eb185391c" TargetMode="External"/><Relationship Id="rId19" Type="http://schemas.openxmlformats.org/officeDocument/2006/relationships/hyperlink" Target="http://ufcstats.com/fight-details/96fe84d051847591" TargetMode="External"/><Relationship Id="rId30" Type="http://schemas.openxmlformats.org/officeDocument/2006/relationships/hyperlink" Target="http://ufcstats.com/fight-details/2060e8172f820d80" TargetMode="External"/><Relationship Id="rId105" Type="http://schemas.openxmlformats.org/officeDocument/2006/relationships/hyperlink" Target="http://ufcstats.com/fight-details/13129c1f044fdd47" TargetMode="External"/><Relationship Id="rId126" Type="http://schemas.openxmlformats.org/officeDocument/2006/relationships/hyperlink" Target="http://ufcstats.com/fight-details/0820a29a03d58282" TargetMode="External"/><Relationship Id="rId147" Type="http://schemas.openxmlformats.org/officeDocument/2006/relationships/hyperlink" Target="http://ufcstats.com/fight-details/07cb64236ae7aaea" TargetMode="External"/><Relationship Id="rId168" Type="http://schemas.openxmlformats.org/officeDocument/2006/relationships/hyperlink" Target="http://ufcstats.com/fight-details/743a04674ab72ee0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://ufcstats.com/fight-details/adee1fc200ed1a12" TargetMode="External"/><Relationship Id="rId21" Type="http://schemas.openxmlformats.org/officeDocument/2006/relationships/hyperlink" Target="http://ufcstats.com/fight-details/27bfb9205119f23b" TargetMode="External"/><Relationship Id="rId63" Type="http://schemas.openxmlformats.org/officeDocument/2006/relationships/hyperlink" Target="http://ufcstats.com/fight-details/bd064deb3494b41a" TargetMode="External"/><Relationship Id="rId159" Type="http://schemas.openxmlformats.org/officeDocument/2006/relationships/hyperlink" Target="http://ufcstats.com/fight-details/28f5f50617f2b686" TargetMode="External"/><Relationship Id="rId170" Type="http://schemas.openxmlformats.org/officeDocument/2006/relationships/hyperlink" Target="http://ufcstats.com/fight-details/3b6dfd089301d16e" TargetMode="External"/><Relationship Id="rId226" Type="http://schemas.openxmlformats.org/officeDocument/2006/relationships/hyperlink" Target="http://ufcstats.com/fight-details/a932059e61f4c25e" TargetMode="External"/><Relationship Id="rId268" Type="http://schemas.openxmlformats.org/officeDocument/2006/relationships/hyperlink" Target="http://ufcstats.com/fight-details/66eddbe35056c06d" TargetMode="External"/><Relationship Id="rId32" Type="http://schemas.openxmlformats.org/officeDocument/2006/relationships/hyperlink" Target="http://ufcstats.com/fight-details/ead2ca0d2afb46be" TargetMode="External"/><Relationship Id="rId74" Type="http://schemas.openxmlformats.org/officeDocument/2006/relationships/hyperlink" Target="http://ufcstats.com/fight-details/33cc40fc1da409d3" TargetMode="External"/><Relationship Id="rId128" Type="http://schemas.openxmlformats.org/officeDocument/2006/relationships/hyperlink" Target="http://ufcstats.com/fight-details/9f10afab94cafc45" TargetMode="External"/><Relationship Id="rId5" Type="http://schemas.openxmlformats.org/officeDocument/2006/relationships/hyperlink" Target="http://ufcstats.com/fight-details/d33814971932422a" TargetMode="External"/><Relationship Id="rId181" Type="http://schemas.openxmlformats.org/officeDocument/2006/relationships/hyperlink" Target="http://ufcstats.com/fight-details/eb30c9c975e15436" TargetMode="External"/><Relationship Id="rId237" Type="http://schemas.openxmlformats.org/officeDocument/2006/relationships/hyperlink" Target="http://ufcstats.com/fight-details/99bfad1679112591" TargetMode="External"/><Relationship Id="rId279" Type="http://schemas.openxmlformats.org/officeDocument/2006/relationships/hyperlink" Target="http://ufcstats.com/fight-details/2f0cbf0502173a79" TargetMode="External"/><Relationship Id="rId22" Type="http://schemas.openxmlformats.org/officeDocument/2006/relationships/hyperlink" Target="http://ufcstats.com/fight-details/f2520dd5457ab293" TargetMode="External"/><Relationship Id="rId43" Type="http://schemas.openxmlformats.org/officeDocument/2006/relationships/hyperlink" Target="http://ufcstats.com/fight-details/4915c8a588513c22" TargetMode="External"/><Relationship Id="rId64" Type="http://schemas.openxmlformats.org/officeDocument/2006/relationships/hyperlink" Target="http://ufcstats.com/fight-details/ff2e4b411f695017" TargetMode="External"/><Relationship Id="rId118" Type="http://schemas.openxmlformats.org/officeDocument/2006/relationships/hyperlink" Target="http://ufcstats.com/fight-details/d2f6b87189908088" TargetMode="External"/><Relationship Id="rId139" Type="http://schemas.openxmlformats.org/officeDocument/2006/relationships/hyperlink" Target="http://ufcstats.com/fight-details/b7f6d05d3afbb266" TargetMode="External"/><Relationship Id="rId85" Type="http://schemas.openxmlformats.org/officeDocument/2006/relationships/hyperlink" Target="http://ufcstats.com/fight-details/dd7f3f91ea6067d4" TargetMode="External"/><Relationship Id="rId150" Type="http://schemas.openxmlformats.org/officeDocument/2006/relationships/hyperlink" Target="http://ufcstats.com/fight-details/9555d8941df4a998" TargetMode="External"/><Relationship Id="rId171" Type="http://schemas.openxmlformats.org/officeDocument/2006/relationships/hyperlink" Target="http://ufcstats.com/fight-details/109674a1ee00f55d" TargetMode="External"/><Relationship Id="rId192" Type="http://schemas.openxmlformats.org/officeDocument/2006/relationships/hyperlink" Target="http://ufcstats.com/fight-details/a3cde349c8e018fb" TargetMode="External"/><Relationship Id="rId206" Type="http://schemas.openxmlformats.org/officeDocument/2006/relationships/hyperlink" Target="http://ufcstats.com/fight-details/ca2aa660bea0cb60" TargetMode="External"/><Relationship Id="rId227" Type="http://schemas.openxmlformats.org/officeDocument/2006/relationships/hyperlink" Target="http://ufcstats.com/fight-details/60e1b3ac3182f5b3" TargetMode="External"/><Relationship Id="rId248" Type="http://schemas.openxmlformats.org/officeDocument/2006/relationships/hyperlink" Target="http://ufcstats.com/fight-details/e52318719d839d2d" TargetMode="External"/><Relationship Id="rId269" Type="http://schemas.openxmlformats.org/officeDocument/2006/relationships/hyperlink" Target="http://ufcstats.com/fight-details/845e38dfbfea6e53" TargetMode="External"/><Relationship Id="rId12" Type="http://schemas.openxmlformats.org/officeDocument/2006/relationships/hyperlink" Target="http://ufcstats.com/fight-details/2c73bf152247f25a" TargetMode="External"/><Relationship Id="rId33" Type="http://schemas.openxmlformats.org/officeDocument/2006/relationships/hyperlink" Target="http://ufcstats.com/fight-details/1a502852b706f674" TargetMode="External"/><Relationship Id="rId108" Type="http://schemas.openxmlformats.org/officeDocument/2006/relationships/hyperlink" Target="http://ufcstats.com/fight-details/97c76d44699f7c93" TargetMode="External"/><Relationship Id="rId129" Type="http://schemas.openxmlformats.org/officeDocument/2006/relationships/hyperlink" Target="http://ufcstats.com/fight-details/f77e3c681fe1b04e" TargetMode="External"/><Relationship Id="rId280" Type="http://schemas.openxmlformats.org/officeDocument/2006/relationships/hyperlink" Target="http://ufcstats.com/fight-details/85b5d59f8eea976a" TargetMode="External"/><Relationship Id="rId54" Type="http://schemas.openxmlformats.org/officeDocument/2006/relationships/hyperlink" Target="http://ufcstats.com/fight-details/c81d1facf185467d" TargetMode="External"/><Relationship Id="rId75" Type="http://schemas.openxmlformats.org/officeDocument/2006/relationships/hyperlink" Target="http://ufcstats.com/fight-details/3fc8afbb23b9ac16" TargetMode="External"/><Relationship Id="rId96" Type="http://schemas.openxmlformats.org/officeDocument/2006/relationships/hyperlink" Target="http://ufcstats.com/fight-details/1adee75d6c671cc8" TargetMode="External"/><Relationship Id="rId140" Type="http://schemas.openxmlformats.org/officeDocument/2006/relationships/hyperlink" Target="http://ufcstats.com/fight-details/c94c3e4bbed24421" TargetMode="External"/><Relationship Id="rId161" Type="http://schemas.openxmlformats.org/officeDocument/2006/relationships/hyperlink" Target="http://ufcstats.com/fight-details/8bf419824ca91470" TargetMode="External"/><Relationship Id="rId182" Type="http://schemas.openxmlformats.org/officeDocument/2006/relationships/hyperlink" Target="http://ufcstats.com/fight-details/c5e71fbf22f669f7" TargetMode="External"/><Relationship Id="rId217" Type="http://schemas.openxmlformats.org/officeDocument/2006/relationships/hyperlink" Target="http://ufcstats.com/fight-details/7ec70261afdecda8" TargetMode="External"/><Relationship Id="rId6" Type="http://schemas.openxmlformats.org/officeDocument/2006/relationships/hyperlink" Target="http://ufcstats.com/fight-details/13d8d5cd83e5b57e" TargetMode="External"/><Relationship Id="rId238" Type="http://schemas.openxmlformats.org/officeDocument/2006/relationships/hyperlink" Target="http://ufcstats.com/fight-details/d4ace70b3661ee6c" TargetMode="External"/><Relationship Id="rId259" Type="http://schemas.openxmlformats.org/officeDocument/2006/relationships/hyperlink" Target="http://ufcstats.com/fight-details/53c3565ee1d3411a" TargetMode="External"/><Relationship Id="rId23" Type="http://schemas.openxmlformats.org/officeDocument/2006/relationships/hyperlink" Target="http://ufcstats.com/fight-details/1f9a6f2120835615" TargetMode="External"/><Relationship Id="rId119" Type="http://schemas.openxmlformats.org/officeDocument/2006/relationships/hyperlink" Target="http://ufcstats.com/fight-details/5d8a1daadda47ace" TargetMode="External"/><Relationship Id="rId270" Type="http://schemas.openxmlformats.org/officeDocument/2006/relationships/hyperlink" Target="http://ufcstats.com/fight-details/829b3ee4145a1ae6" TargetMode="External"/><Relationship Id="rId44" Type="http://schemas.openxmlformats.org/officeDocument/2006/relationships/hyperlink" Target="http://ufcstats.com/fight-details/99dc6d45cbdfa322" TargetMode="External"/><Relationship Id="rId65" Type="http://schemas.openxmlformats.org/officeDocument/2006/relationships/hyperlink" Target="http://ufcstats.com/fight-details/60bd4d2878c85f70" TargetMode="External"/><Relationship Id="rId86" Type="http://schemas.openxmlformats.org/officeDocument/2006/relationships/hyperlink" Target="http://ufcstats.com/fight-details/18c67631b76c18e5" TargetMode="External"/><Relationship Id="rId130" Type="http://schemas.openxmlformats.org/officeDocument/2006/relationships/hyperlink" Target="http://ufcstats.com/fight-details/ea674e0285fb77f5" TargetMode="External"/><Relationship Id="rId151" Type="http://schemas.openxmlformats.org/officeDocument/2006/relationships/hyperlink" Target="http://ufcstats.com/fight-details/87b6c507a7684ec2" TargetMode="External"/><Relationship Id="rId172" Type="http://schemas.openxmlformats.org/officeDocument/2006/relationships/hyperlink" Target="http://ufcstats.com/fight-details/71e123d40fff9edb" TargetMode="External"/><Relationship Id="rId193" Type="http://schemas.openxmlformats.org/officeDocument/2006/relationships/hyperlink" Target="http://ufcstats.com/fight-details/17f69a241aa952fd" TargetMode="External"/><Relationship Id="rId207" Type="http://schemas.openxmlformats.org/officeDocument/2006/relationships/hyperlink" Target="http://ufcstats.com/fight-details/bc7228d30ff5be46" TargetMode="External"/><Relationship Id="rId228" Type="http://schemas.openxmlformats.org/officeDocument/2006/relationships/hyperlink" Target="http://ufcstats.com/fight-details/859ca56770ac7672" TargetMode="External"/><Relationship Id="rId249" Type="http://schemas.openxmlformats.org/officeDocument/2006/relationships/hyperlink" Target="http://ufcstats.com/fight-details/79f03eca3fe5cdb3" TargetMode="External"/><Relationship Id="rId13" Type="http://schemas.openxmlformats.org/officeDocument/2006/relationships/hyperlink" Target="http://ufcstats.com/fight-details/5b5d7f7ae712c6d8" TargetMode="External"/><Relationship Id="rId109" Type="http://schemas.openxmlformats.org/officeDocument/2006/relationships/hyperlink" Target="http://ufcstats.com/fight-details/f08ccad48500eb2b" TargetMode="External"/><Relationship Id="rId260" Type="http://schemas.openxmlformats.org/officeDocument/2006/relationships/hyperlink" Target="http://ufcstats.com/fight-details/687d973d71e068dc" TargetMode="External"/><Relationship Id="rId281" Type="http://schemas.openxmlformats.org/officeDocument/2006/relationships/hyperlink" Target="http://ufcstats.com/fight-details/f8b9b5ee3d4a8ac3" TargetMode="External"/><Relationship Id="rId34" Type="http://schemas.openxmlformats.org/officeDocument/2006/relationships/hyperlink" Target="http://ufcstats.com/fight-details/37cdf5bd5c975a5d" TargetMode="External"/><Relationship Id="rId55" Type="http://schemas.openxmlformats.org/officeDocument/2006/relationships/hyperlink" Target="http://ufcstats.com/fight-details/c22de92b9d9030dc" TargetMode="External"/><Relationship Id="rId76" Type="http://schemas.openxmlformats.org/officeDocument/2006/relationships/hyperlink" Target="http://ufcstats.com/fight-details/450534f9fb9b13cd" TargetMode="External"/><Relationship Id="rId97" Type="http://schemas.openxmlformats.org/officeDocument/2006/relationships/hyperlink" Target="http://ufcstats.com/fight-details/ea303a8e6e31f264" TargetMode="External"/><Relationship Id="rId120" Type="http://schemas.openxmlformats.org/officeDocument/2006/relationships/hyperlink" Target="http://ufcstats.com/fight-details/0b2ae6c368369d1b" TargetMode="External"/><Relationship Id="rId141" Type="http://schemas.openxmlformats.org/officeDocument/2006/relationships/hyperlink" Target="http://ufcstats.com/fight-details/bd59c07a106d331b" TargetMode="External"/><Relationship Id="rId7" Type="http://schemas.openxmlformats.org/officeDocument/2006/relationships/hyperlink" Target="http://ufcstats.com/fight-details/603afedc31d95999" TargetMode="External"/><Relationship Id="rId162" Type="http://schemas.openxmlformats.org/officeDocument/2006/relationships/hyperlink" Target="http://ufcstats.com/fight-details/595557b808febe27" TargetMode="External"/><Relationship Id="rId183" Type="http://schemas.openxmlformats.org/officeDocument/2006/relationships/hyperlink" Target="http://ufcstats.com/fight-details/5475f5b6bad40989" TargetMode="External"/><Relationship Id="rId218" Type="http://schemas.openxmlformats.org/officeDocument/2006/relationships/hyperlink" Target="http://ufcstats.com/fight-details/3640defb8294bd37" TargetMode="External"/><Relationship Id="rId239" Type="http://schemas.openxmlformats.org/officeDocument/2006/relationships/hyperlink" Target="http://ufcstats.com/fight-details/51a12878b151d67b" TargetMode="External"/><Relationship Id="rId250" Type="http://schemas.openxmlformats.org/officeDocument/2006/relationships/hyperlink" Target="http://ufcstats.com/fight-details/c2f730cb33df5221" TargetMode="External"/><Relationship Id="rId271" Type="http://schemas.openxmlformats.org/officeDocument/2006/relationships/hyperlink" Target="http://ufcstats.com/fight-details/0fd8214ac276728e" TargetMode="External"/><Relationship Id="rId24" Type="http://schemas.openxmlformats.org/officeDocument/2006/relationships/hyperlink" Target="http://ufcstats.com/fight-details/4ea4d0a73a90bfb0" TargetMode="External"/><Relationship Id="rId45" Type="http://schemas.openxmlformats.org/officeDocument/2006/relationships/hyperlink" Target="http://ufcstats.com/fight-details/6e4acb2aaa2cee56" TargetMode="External"/><Relationship Id="rId66" Type="http://schemas.openxmlformats.org/officeDocument/2006/relationships/hyperlink" Target="http://ufcstats.com/fight-details/ec0740be19b2ef90" TargetMode="External"/><Relationship Id="rId87" Type="http://schemas.openxmlformats.org/officeDocument/2006/relationships/hyperlink" Target="http://ufcstats.com/fight-details/8a7b0cd5ad9ca4fe" TargetMode="External"/><Relationship Id="rId110" Type="http://schemas.openxmlformats.org/officeDocument/2006/relationships/hyperlink" Target="http://ufcstats.com/fight-details/c300085cc08357b5" TargetMode="External"/><Relationship Id="rId131" Type="http://schemas.openxmlformats.org/officeDocument/2006/relationships/hyperlink" Target="http://ufcstats.com/fight-details/47628ab025f19796" TargetMode="External"/><Relationship Id="rId152" Type="http://schemas.openxmlformats.org/officeDocument/2006/relationships/hyperlink" Target="http://ufcstats.com/fight-details/5ae45d20a60dc109" TargetMode="External"/><Relationship Id="rId173" Type="http://schemas.openxmlformats.org/officeDocument/2006/relationships/hyperlink" Target="http://ufcstats.com/fight-details/ab475a3a4487d6d3" TargetMode="External"/><Relationship Id="rId194" Type="http://schemas.openxmlformats.org/officeDocument/2006/relationships/hyperlink" Target="http://ufcstats.com/fight-details/9e2bb8d5961b44d4" TargetMode="External"/><Relationship Id="rId208" Type="http://schemas.openxmlformats.org/officeDocument/2006/relationships/hyperlink" Target="http://ufcstats.com/fight-details/bd4d2522cb0d1a23" TargetMode="External"/><Relationship Id="rId229" Type="http://schemas.openxmlformats.org/officeDocument/2006/relationships/hyperlink" Target="http://ufcstats.com/fight-details/7bfb92f7ea59dbbd" TargetMode="External"/><Relationship Id="rId240" Type="http://schemas.openxmlformats.org/officeDocument/2006/relationships/hyperlink" Target="http://ufcstats.com/fight-details/f0ac3761d3fdda3e" TargetMode="External"/><Relationship Id="rId261" Type="http://schemas.openxmlformats.org/officeDocument/2006/relationships/hyperlink" Target="http://ufcstats.com/fight-details/d8fe965281e2e312" TargetMode="External"/><Relationship Id="rId14" Type="http://schemas.openxmlformats.org/officeDocument/2006/relationships/hyperlink" Target="http://ufcstats.com/fight-details/d8945e21a63e2451" TargetMode="External"/><Relationship Id="rId35" Type="http://schemas.openxmlformats.org/officeDocument/2006/relationships/hyperlink" Target="http://ufcstats.com/fight-details/d5598322f81db6c9" TargetMode="External"/><Relationship Id="rId56" Type="http://schemas.openxmlformats.org/officeDocument/2006/relationships/hyperlink" Target="http://ufcstats.com/fight-details/1676c64a94be0557" TargetMode="External"/><Relationship Id="rId77" Type="http://schemas.openxmlformats.org/officeDocument/2006/relationships/hyperlink" Target="http://ufcstats.com/fight-details/8dd086e2e70144fd" TargetMode="External"/><Relationship Id="rId100" Type="http://schemas.openxmlformats.org/officeDocument/2006/relationships/hyperlink" Target="http://ufcstats.com/fight-details/2d7f29ec900a8948" TargetMode="External"/><Relationship Id="rId8" Type="http://schemas.openxmlformats.org/officeDocument/2006/relationships/hyperlink" Target="http://ufcstats.com/fight-details/acde7c89bd724af8" TargetMode="External"/><Relationship Id="rId98" Type="http://schemas.openxmlformats.org/officeDocument/2006/relationships/hyperlink" Target="http://ufcstats.com/fight-details/060987bb3025a0a8" TargetMode="External"/><Relationship Id="rId121" Type="http://schemas.openxmlformats.org/officeDocument/2006/relationships/hyperlink" Target="http://ufcstats.com/fight-details/d441715577c5934c" TargetMode="External"/><Relationship Id="rId142" Type="http://schemas.openxmlformats.org/officeDocument/2006/relationships/hyperlink" Target="http://ufcstats.com/fight-details/1bd52b0c01018f4a" TargetMode="External"/><Relationship Id="rId163" Type="http://schemas.openxmlformats.org/officeDocument/2006/relationships/hyperlink" Target="http://ufcstats.com/fight-details/95ead23dc0c73285" TargetMode="External"/><Relationship Id="rId184" Type="http://schemas.openxmlformats.org/officeDocument/2006/relationships/hyperlink" Target="http://ufcstats.com/fight-details/b4622ca7cf0e8506" TargetMode="External"/><Relationship Id="rId219" Type="http://schemas.openxmlformats.org/officeDocument/2006/relationships/hyperlink" Target="http://ufcstats.com/fight-details/24f2d2dd9fea5d79" TargetMode="External"/><Relationship Id="rId230" Type="http://schemas.openxmlformats.org/officeDocument/2006/relationships/hyperlink" Target="http://ufcstats.com/fight-details/e4549c57faca7a64" TargetMode="External"/><Relationship Id="rId251" Type="http://schemas.openxmlformats.org/officeDocument/2006/relationships/hyperlink" Target="http://ufcstats.com/fight-details/4f2501e804c84abe" TargetMode="External"/><Relationship Id="rId25" Type="http://schemas.openxmlformats.org/officeDocument/2006/relationships/hyperlink" Target="http://ufcstats.com/fight-details/0405e4446e8f239a" TargetMode="External"/><Relationship Id="rId46" Type="http://schemas.openxmlformats.org/officeDocument/2006/relationships/hyperlink" Target="http://ufcstats.com/fight-details/2aeb3ec2d8c05dc8" TargetMode="External"/><Relationship Id="rId67" Type="http://schemas.openxmlformats.org/officeDocument/2006/relationships/hyperlink" Target="http://ufcstats.com/fight-details/a5cf273faa3982b7" TargetMode="External"/><Relationship Id="rId272" Type="http://schemas.openxmlformats.org/officeDocument/2006/relationships/hyperlink" Target="http://ufcstats.com/fight-details/4403857f545ede75" TargetMode="External"/><Relationship Id="rId88" Type="http://schemas.openxmlformats.org/officeDocument/2006/relationships/hyperlink" Target="http://ufcstats.com/fight-details/27200d53ba9020b8" TargetMode="External"/><Relationship Id="rId111" Type="http://schemas.openxmlformats.org/officeDocument/2006/relationships/hyperlink" Target="http://ufcstats.com/fight-details/b70e72f23446520a" TargetMode="External"/><Relationship Id="rId132" Type="http://schemas.openxmlformats.org/officeDocument/2006/relationships/hyperlink" Target="http://ufcstats.com/fight-details/23b6ffc0223f8cce" TargetMode="External"/><Relationship Id="rId153" Type="http://schemas.openxmlformats.org/officeDocument/2006/relationships/hyperlink" Target="http://ufcstats.com/fight-details/4c05732d411d6412" TargetMode="External"/><Relationship Id="rId174" Type="http://schemas.openxmlformats.org/officeDocument/2006/relationships/hyperlink" Target="http://ufcstats.com/fight-details/e2b4130c7b1ff8bc" TargetMode="External"/><Relationship Id="rId195" Type="http://schemas.openxmlformats.org/officeDocument/2006/relationships/hyperlink" Target="http://ufcstats.com/fight-details/4305cb30533dac77" TargetMode="External"/><Relationship Id="rId209" Type="http://schemas.openxmlformats.org/officeDocument/2006/relationships/hyperlink" Target="http://ufcstats.com/fight-details/fd61e6146f3b2942" TargetMode="External"/><Relationship Id="rId220" Type="http://schemas.openxmlformats.org/officeDocument/2006/relationships/hyperlink" Target="http://ufcstats.com/fight-details/32b030138bfd4f88" TargetMode="External"/><Relationship Id="rId241" Type="http://schemas.openxmlformats.org/officeDocument/2006/relationships/hyperlink" Target="http://ufcstats.com/fight-details/b5274277ef6707c9" TargetMode="External"/><Relationship Id="rId15" Type="http://schemas.openxmlformats.org/officeDocument/2006/relationships/hyperlink" Target="http://ufcstats.com/fight-details/5e378c52f26935d6" TargetMode="External"/><Relationship Id="rId36" Type="http://schemas.openxmlformats.org/officeDocument/2006/relationships/hyperlink" Target="http://ufcstats.com/fight-details/e4c4c54a10e06973" TargetMode="External"/><Relationship Id="rId57" Type="http://schemas.openxmlformats.org/officeDocument/2006/relationships/hyperlink" Target="http://ufcstats.com/fight-details/dfc62aa72446e4a8" TargetMode="External"/><Relationship Id="rId262" Type="http://schemas.openxmlformats.org/officeDocument/2006/relationships/hyperlink" Target="http://ufcstats.com/fight-details/5ddf45e816a50fac" TargetMode="External"/><Relationship Id="rId78" Type="http://schemas.openxmlformats.org/officeDocument/2006/relationships/hyperlink" Target="http://ufcstats.com/fight-details/d84968d7e9fcb4f3" TargetMode="External"/><Relationship Id="rId99" Type="http://schemas.openxmlformats.org/officeDocument/2006/relationships/hyperlink" Target="http://ufcstats.com/fight-details/af5b940f2c686524" TargetMode="External"/><Relationship Id="rId101" Type="http://schemas.openxmlformats.org/officeDocument/2006/relationships/hyperlink" Target="http://ufcstats.com/fight-details/8ebd6e9d41a51e31" TargetMode="External"/><Relationship Id="rId122" Type="http://schemas.openxmlformats.org/officeDocument/2006/relationships/hyperlink" Target="http://ufcstats.com/fight-details/7fe2b6a9fc4748fa" TargetMode="External"/><Relationship Id="rId143" Type="http://schemas.openxmlformats.org/officeDocument/2006/relationships/hyperlink" Target="http://ufcstats.com/fight-details/bd4a648bebaefab3" TargetMode="External"/><Relationship Id="rId164" Type="http://schemas.openxmlformats.org/officeDocument/2006/relationships/hyperlink" Target="http://ufcstats.com/fight-details/0eab2845f901f8b6" TargetMode="External"/><Relationship Id="rId185" Type="http://schemas.openxmlformats.org/officeDocument/2006/relationships/hyperlink" Target="http://ufcstats.com/fight-details/f466cd99d02644e9" TargetMode="External"/><Relationship Id="rId9" Type="http://schemas.openxmlformats.org/officeDocument/2006/relationships/hyperlink" Target="http://ufcstats.com/fight-details/a0362d60d2e1db0d" TargetMode="External"/><Relationship Id="rId210" Type="http://schemas.openxmlformats.org/officeDocument/2006/relationships/hyperlink" Target="http://ufcstats.com/fight-details/a9184def876faec6" TargetMode="External"/><Relationship Id="rId26" Type="http://schemas.openxmlformats.org/officeDocument/2006/relationships/hyperlink" Target="http://ufcstats.com/fight-details/53abea410a0541c8" TargetMode="External"/><Relationship Id="rId231" Type="http://schemas.openxmlformats.org/officeDocument/2006/relationships/hyperlink" Target="http://ufcstats.com/fight-details/f526892a27b50576" TargetMode="External"/><Relationship Id="rId252" Type="http://schemas.openxmlformats.org/officeDocument/2006/relationships/hyperlink" Target="http://ufcstats.com/fight-details/8bfa9df5341c95c0" TargetMode="External"/><Relationship Id="rId273" Type="http://schemas.openxmlformats.org/officeDocument/2006/relationships/hyperlink" Target="http://ufcstats.com/fight-details/6ab9d2d334f613c8" TargetMode="External"/><Relationship Id="rId47" Type="http://schemas.openxmlformats.org/officeDocument/2006/relationships/hyperlink" Target="http://ufcstats.com/fight-details/c3986c1a56a6e94d" TargetMode="External"/><Relationship Id="rId68" Type="http://schemas.openxmlformats.org/officeDocument/2006/relationships/hyperlink" Target="http://ufcstats.com/fight-details/833d67f423315d18" TargetMode="External"/><Relationship Id="rId89" Type="http://schemas.openxmlformats.org/officeDocument/2006/relationships/hyperlink" Target="http://ufcstats.com/fight-details/34db1e0e2499e7ae" TargetMode="External"/><Relationship Id="rId112" Type="http://schemas.openxmlformats.org/officeDocument/2006/relationships/hyperlink" Target="http://ufcstats.com/fight-details/f5a038c18f7a44fc" TargetMode="External"/><Relationship Id="rId133" Type="http://schemas.openxmlformats.org/officeDocument/2006/relationships/hyperlink" Target="http://ufcstats.com/fight-details/5db3e2fdd18129a4" TargetMode="External"/><Relationship Id="rId154" Type="http://schemas.openxmlformats.org/officeDocument/2006/relationships/hyperlink" Target="http://ufcstats.com/fight-details/24411c5356903d11" TargetMode="External"/><Relationship Id="rId175" Type="http://schemas.openxmlformats.org/officeDocument/2006/relationships/hyperlink" Target="http://ufcstats.com/fight-details/cb9654746447b934" TargetMode="External"/><Relationship Id="rId196" Type="http://schemas.openxmlformats.org/officeDocument/2006/relationships/hyperlink" Target="http://ufcstats.com/fight-details/d8335b728604b222" TargetMode="External"/><Relationship Id="rId200" Type="http://schemas.openxmlformats.org/officeDocument/2006/relationships/hyperlink" Target="http://ufcstats.com/fight-details/dff2685afd98ed9e" TargetMode="External"/><Relationship Id="rId16" Type="http://schemas.openxmlformats.org/officeDocument/2006/relationships/hyperlink" Target="http://ufcstats.com/fight-details/9321b3c90ea5ca6c" TargetMode="External"/><Relationship Id="rId221" Type="http://schemas.openxmlformats.org/officeDocument/2006/relationships/hyperlink" Target="http://ufcstats.com/fight-details/5bfaa389a67139fd" TargetMode="External"/><Relationship Id="rId242" Type="http://schemas.openxmlformats.org/officeDocument/2006/relationships/hyperlink" Target="http://ufcstats.com/fight-details/652a956adab8ad0e" TargetMode="External"/><Relationship Id="rId263" Type="http://schemas.openxmlformats.org/officeDocument/2006/relationships/hyperlink" Target="http://ufcstats.com/fight-details/53ed3f8f653b37b2" TargetMode="External"/><Relationship Id="rId37" Type="http://schemas.openxmlformats.org/officeDocument/2006/relationships/hyperlink" Target="http://ufcstats.com/fight-details/ca9804845b010845" TargetMode="External"/><Relationship Id="rId58" Type="http://schemas.openxmlformats.org/officeDocument/2006/relationships/hyperlink" Target="http://ufcstats.com/fight-details/33007109c9ca1ede" TargetMode="External"/><Relationship Id="rId79" Type="http://schemas.openxmlformats.org/officeDocument/2006/relationships/hyperlink" Target="http://ufcstats.com/fight-details/1fe58cdab57d233b" TargetMode="External"/><Relationship Id="rId102" Type="http://schemas.openxmlformats.org/officeDocument/2006/relationships/hyperlink" Target="http://ufcstats.com/fight-details/d93b589bcec80ffe" TargetMode="External"/><Relationship Id="rId123" Type="http://schemas.openxmlformats.org/officeDocument/2006/relationships/hyperlink" Target="http://ufcstats.com/fight-details/c931097a857ed60c" TargetMode="External"/><Relationship Id="rId144" Type="http://schemas.openxmlformats.org/officeDocument/2006/relationships/hyperlink" Target="http://ufcstats.com/fight-details/2fd43be584ef522b" TargetMode="External"/><Relationship Id="rId90" Type="http://schemas.openxmlformats.org/officeDocument/2006/relationships/hyperlink" Target="http://ufcstats.com/fight-details/742dc4196d329db0" TargetMode="External"/><Relationship Id="rId165" Type="http://schemas.openxmlformats.org/officeDocument/2006/relationships/hyperlink" Target="http://ufcstats.com/fight-details/0f641756e99605ad" TargetMode="External"/><Relationship Id="rId186" Type="http://schemas.openxmlformats.org/officeDocument/2006/relationships/hyperlink" Target="http://ufcstats.com/fight-details/dbf786f9808c6a08" TargetMode="External"/><Relationship Id="rId211" Type="http://schemas.openxmlformats.org/officeDocument/2006/relationships/hyperlink" Target="http://ufcstats.com/fight-details/37ff18106c6e38fc" TargetMode="External"/><Relationship Id="rId232" Type="http://schemas.openxmlformats.org/officeDocument/2006/relationships/hyperlink" Target="http://ufcstats.com/fight-details/0f9679fda36f7f41" TargetMode="External"/><Relationship Id="rId253" Type="http://schemas.openxmlformats.org/officeDocument/2006/relationships/hyperlink" Target="http://ufcstats.com/fight-details/68c1b833ed8849a3" TargetMode="External"/><Relationship Id="rId274" Type="http://schemas.openxmlformats.org/officeDocument/2006/relationships/hyperlink" Target="http://ufcstats.com/fight-details/391d458db6dae33b" TargetMode="External"/><Relationship Id="rId27" Type="http://schemas.openxmlformats.org/officeDocument/2006/relationships/hyperlink" Target="http://ufcstats.com/fight-details/bd5efa4b53dc1642" TargetMode="External"/><Relationship Id="rId48" Type="http://schemas.openxmlformats.org/officeDocument/2006/relationships/hyperlink" Target="http://ufcstats.com/fight-details/7df5998eca143c04" TargetMode="External"/><Relationship Id="rId69" Type="http://schemas.openxmlformats.org/officeDocument/2006/relationships/hyperlink" Target="http://ufcstats.com/fight-details/b1af3bd0f8266a90" TargetMode="External"/><Relationship Id="rId113" Type="http://schemas.openxmlformats.org/officeDocument/2006/relationships/hyperlink" Target="http://ufcstats.com/fight-details/ec149b086b0e7fac" TargetMode="External"/><Relationship Id="rId134" Type="http://schemas.openxmlformats.org/officeDocument/2006/relationships/hyperlink" Target="http://ufcstats.com/fight-details/7006a98fe9944571" TargetMode="External"/><Relationship Id="rId80" Type="http://schemas.openxmlformats.org/officeDocument/2006/relationships/hyperlink" Target="http://ufcstats.com/fight-details/61d9eff5fa4c8578" TargetMode="External"/><Relationship Id="rId155" Type="http://schemas.openxmlformats.org/officeDocument/2006/relationships/hyperlink" Target="http://ufcstats.com/fight-details/52943c821416dc38" TargetMode="External"/><Relationship Id="rId176" Type="http://schemas.openxmlformats.org/officeDocument/2006/relationships/hyperlink" Target="http://ufcstats.com/fight-details/149d6b90f33634a4" TargetMode="External"/><Relationship Id="rId197" Type="http://schemas.openxmlformats.org/officeDocument/2006/relationships/hyperlink" Target="http://ufcstats.com/fight-details/5de3a1bbcf705b58" TargetMode="External"/><Relationship Id="rId201" Type="http://schemas.openxmlformats.org/officeDocument/2006/relationships/hyperlink" Target="http://ufcstats.com/fight-details/6fd67582d8adb1c7" TargetMode="External"/><Relationship Id="rId222" Type="http://schemas.openxmlformats.org/officeDocument/2006/relationships/hyperlink" Target="http://ufcstats.com/fight-details/3a3ac7b3987f6799" TargetMode="External"/><Relationship Id="rId243" Type="http://schemas.openxmlformats.org/officeDocument/2006/relationships/hyperlink" Target="http://ufcstats.com/fight-details/ec2358459ffbe7de" TargetMode="External"/><Relationship Id="rId264" Type="http://schemas.openxmlformats.org/officeDocument/2006/relationships/hyperlink" Target="http://ufcstats.com/fight-details/52311c2cd0c84d67" TargetMode="External"/><Relationship Id="rId17" Type="http://schemas.openxmlformats.org/officeDocument/2006/relationships/hyperlink" Target="http://ufcstats.com/fight-details/2e200563dd7c4922" TargetMode="External"/><Relationship Id="rId38" Type="http://schemas.openxmlformats.org/officeDocument/2006/relationships/hyperlink" Target="http://ufcstats.com/fight-details/314aea77cd24210f" TargetMode="External"/><Relationship Id="rId59" Type="http://schemas.openxmlformats.org/officeDocument/2006/relationships/hyperlink" Target="http://ufcstats.com/fight-details/5f44d6d9e6bbecff" TargetMode="External"/><Relationship Id="rId103" Type="http://schemas.openxmlformats.org/officeDocument/2006/relationships/hyperlink" Target="http://ufcstats.com/fight-details/2d42ef44ad2470e1" TargetMode="External"/><Relationship Id="rId124" Type="http://schemas.openxmlformats.org/officeDocument/2006/relationships/hyperlink" Target="http://ufcstats.com/fight-details/d80b0bea0e260b95" TargetMode="External"/><Relationship Id="rId70" Type="http://schemas.openxmlformats.org/officeDocument/2006/relationships/hyperlink" Target="http://ufcstats.com/fight-details/5eaff5c832430378" TargetMode="External"/><Relationship Id="rId91" Type="http://schemas.openxmlformats.org/officeDocument/2006/relationships/hyperlink" Target="http://ufcstats.com/fight-details/470391c4067bf49b" TargetMode="External"/><Relationship Id="rId145" Type="http://schemas.openxmlformats.org/officeDocument/2006/relationships/hyperlink" Target="http://ufcstats.com/fight-details/af2ef75664656957" TargetMode="External"/><Relationship Id="rId166" Type="http://schemas.openxmlformats.org/officeDocument/2006/relationships/hyperlink" Target="http://ufcstats.com/fight-details/475a41d83edd47dd" TargetMode="External"/><Relationship Id="rId187" Type="http://schemas.openxmlformats.org/officeDocument/2006/relationships/hyperlink" Target="http://ufcstats.com/fight-details/11a5a852313d1f5b" TargetMode="External"/><Relationship Id="rId1" Type="http://schemas.openxmlformats.org/officeDocument/2006/relationships/hyperlink" Target="http://ufcstats.com/fight-details/0daf776bd222daad" TargetMode="External"/><Relationship Id="rId212" Type="http://schemas.openxmlformats.org/officeDocument/2006/relationships/hyperlink" Target="http://ufcstats.com/fight-details/66873dde4077bd5d" TargetMode="External"/><Relationship Id="rId233" Type="http://schemas.openxmlformats.org/officeDocument/2006/relationships/hyperlink" Target="http://ufcstats.com/fight-details/f2336b7545f5f442" TargetMode="External"/><Relationship Id="rId254" Type="http://schemas.openxmlformats.org/officeDocument/2006/relationships/hyperlink" Target="http://ufcstats.com/fight-details/05d2534e0f2d5042" TargetMode="External"/><Relationship Id="rId28" Type="http://schemas.openxmlformats.org/officeDocument/2006/relationships/hyperlink" Target="http://ufcstats.com/fight-details/f20e742e6b0c0b3b" TargetMode="External"/><Relationship Id="rId49" Type="http://schemas.openxmlformats.org/officeDocument/2006/relationships/hyperlink" Target="http://ufcstats.com/fight-details/85a130a4b655c8f5" TargetMode="External"/><Relationship Id="rId114" Type="http://schemas.openxmlformats.org/officeDocument/2006/relationships/hyperlink" Target="http://ufcstats.com/fight-details/354425c41008a01f" TargetMode="External"/><Relationship Id="rId275" Type="http://schemas.openxmlformats.org/officeDocument/2006/relationships/hyperlink" Target="http://ufcstats.com/fight-details/357cf8a9b6737625" TargetMode="External"/><Relationship Id="rId60" Type="http://schemas.openxmlformats.org/officeDocument/2006/relationships/hyperlink" Target="http://ufcstats.com/fight-details/355a2f4090c0ca31" TargetMode="External"/><Relationship Id="rId81" Type="http://schemas.openxmlformats.org/officeDocument/2006/relationships/hyperlink" Target="http://ufcstats.com/fight-details/903d2c361d005b70" TargetMode="External"/><Relationship Id="rId135" Type="http://schemas.openxmlformats.org/officeDocument/2006/relationships/hyperlink" Target="http://ufcstats.com/fight-details/d71ad0033de24fff" TargetMode="External"/><Relationship Id="rId156" Type="http://schemas.openxmlformats.org/officeDocument/2006/relationships/hyperlink" Target="http://ufcstats.com/fight-details/afd53c8033f6ee82" TargetMode="External"/><Relationship Id="rId177" Type="http://schemas.openxmlformats.org/officeDocument/2006/relationships/hyperlink" Target="http://ufcstats.com/fight-details/f61f5adf7e0a80c4" TargetMode="External"/><Relationship Id="rId198" Type="http://schemas.openxmlformats.org/officeDocument/2006/relationships/hyperlink" Target="http://ufcstats.com/fight-details/e06f96f3484ad74a" TargetMode="External"/><Relationship Id="rId202" Type="http://schemas.openxmlformats.org/officeDocument/2006/relationships/hyperlink" Target="http://ufcstats.com/fight-details/2cec230248d7eb97" TargetMode="External"/><Relationship Id="rId223" Type="http://schemas.openxmlformats.org/officeDocument/2006/relationships/hyperlink" Target="http://ufcstats.com/fight-details/17616514e8fdacb9" TargetMode="External"/><Relationship Id="rId244" Type="http://schemas.openxmlformats.org/officeDocument/2006/relationships/hyperlink" Target="http://ufcstats.com/fight-details/e1e31a8dfa9c27f6" TargetMode="External"/><Relationship Id="rId18" Type="http://schemas.openxmlformats.org/officeDocument/2006/relationships/hyperlink" Target="http://ufcstats.com/fight-details/25d4376e00b16510" TargetMode="External"/><Relationship Id="rId39" Type="http://schemas.openxmlformats.org/officeDocument/2006/relationships/hyperlink" Target="http://ufcstats.com/fight-details/58c73a9562adcfe5" TargetMode="External"/><Relationship Id="rId265" Type="http://schemas.openxmlformats.org/officeDocument/2006/relationships/hyperlink" Target="http://ufcstats.com/fight-details/9d61012a6020516e" TargetMode="External"/><Relationship Id="rId50" Type="http://schemas.openxmlformats.org/officeDocument/2006/relationships/hyperlink" Target="http://ufcstats.com/fight-details/b6a6ba08898f3b6a" TargetMode="External"/><Relationship Id="rId104" Type="http://schemas.openxmlformats.org/officeDocument/2006/relationships/hyperlink" Target="http://ufcstats.com/fight-details/7fe0cec2b0f1c146" TargetMode="External"/><Relationship Id="rId125" Type="http://schemas.openxmlformats.org/officeDocument/2006/relationships/hyperlink" Target="http://ufcstats.com/fight-details/4d9d371b8db6fb91" TargetMode="External"/><Relationship Id="rId146" Type="http://schemas.openxmlformats.org/officeDocument/2006/relationships/hyperlink" Target="http://ufcstats.com/fight-details/c0c587cb52de929b" TargetMode="External"/><Relationship Id="rId167" Type="http://schemas.openxmlformats.org/officeDocument/2006/relationships/hyperlink" Target="http://ufcstats.com/fight-details/20b70a226f1c13fb" TargetMode="External"/><Relationship Id="rId188" Type="http://schemas.openxmlformats.org/officeDocument/2006/relationships/hyperlink" Target="http://ufcstats.com/fight-details/2d205cc1da2e7930" TargetMode="External"/><Relationship Id="rId71" Type="http://schemas.openxmlformats.org/officeDocument/2006/relationships/hyperlink" Target="http://ufcstats.com/fight-details/f549164690d723bb" TargetMode="External"/><Relationship Id="rId92" Type="http://schemas.openxmlformats.org/officeDocument/2006/relationships/hyperlink" Target="http://ufcstats.com/fight-details/b76590c02f86e705" TargetMode="External"/><Relationship Id="rId213" Type="http://schemas.openxmlformats.org/officeDocument/2006/relationships/hyperlink" Target="http://ufcstats.com/fight-details/5081319e58f9759f" TargetMode="External"/><Relationship Id="rId234" Type="http://schemas.openxmlformats.org/officeDocument/2006/relationships/hyperlink" Target="http://ufcstats.com/fight-details/ec381753e852cb63" TargetMode="External"/><Relationship Id="rId2" Type="http://schemas.openxmlformats.org/officeDocument/2006/relationships/hyperlink" Target="http://ufcstats.com/fight-details/3b8cac9910af1c61" TargetMode="External"/><Relationship Id="rId29" Type="http://schemas.openxmlformats.org/officeDocument/2006/relationships/hyperlink" Target="http://ufcstats.com/fight-details/c3425412e4f2f486" TargetMode="External"/><Relationship Id="rId255" Type="http://schemas.openxmlformats.org/officeDocument/2006/relationships/hyperlink" Target="http://ufcstats.com/fight-details/1b8d366ac0f110f3" TargetMode="External"/><Relationship Id="rId276" Type="http://schemas.openxmlformats.org/officeDocument/2006/relationships/hyperlink" Target="http://ufcstats.com/fight-details/6d8da45352344964" TargetMode="External"/><Relationship Id="rId40" Type="http://schemas.openxmlformats.org/officeDocument/2006/relationships/hyperlink" Target="http://ufcstats.com/fight-details/7f3763caa99a3486" TargetMode="External"/><Relationship Id="rId115" Type="http://schemas.openxmlformats.org/officeDocument/2006/relationships/hyperlink" Target="http://ufcstats.com/fight-details/d5577e3272ef3032" TargetMode="External"/><Relationship Id="rId136" Type="http://schemas.openxmlformats.org/officeDocument/2006/relationships/hyperlink" Target="http://ufcstats.com/fight-details/0f826e7bbb73b53f" TargetMode="External"/><Relationship Id="rId157" Type="http://schemas.openxmlformats.org/officeDocument/2006/relationships/hyperlink" Target="http://ufcstats.com/fight-details/c5990f9767b16c48" TargetMode="External"/><Relationship Id="rId178" Type="http://schemas.openxmlformats.org/officeDocument/2006/relationships/hyperlink" Target="http://ufcstats.com/fight-details/c9c79de21823d941" TargetMode="External"/><Relationship Id="rId61" Type="http://schemas.openxmlformats.org/officeDocument/2006/relationships/hyperlink" Target="http://ufcstats.com/fight-details/c960184a583f1861" TargetMode="External"/><Relationship Id="rId82" Type="http://schemas.openxmlformats.org/officeDocument/2006/relationships/hyperlink" Target="http://ufcstats.com/fight-details/96c51bc6316a4b47" TargetMode="External"/><Relationship Id="rId199" Type="http://schemas.openxmlformats.org/officeDocument/2006/relationships/hyperlink" Target="http://ufcstats.com/fight-details/16369fa06392f6a0" TargetMode="External"/><Relationship Id="rId203" Type="http://schemas.openxmlformats.org/officeDocument/2006/relationships/hyperlink" Target="http://ufcstats.com/fight-details/b88b170a7fe40544" TargetMode="External"/><Relationship Id="rId19" Type="http://schemas.openxmlformats.org/officeDocument/2006/relationships/hyperlink" Target="http://ufcstats.com/fight-details/5632f2364016e879" TargetMode="External"/><Relationship Id="rId224" Type="http://schemas.openxmlformats.org/officeDocument/2006/relationships/hyperlink" Target="http://ufcstats.com/fight-details/54f9e3e1fad7a589" TargetMode="External"/><Relationship Id="rId245" Type="http://schemas.openxmlformats.org/officeDocument/2006/relationships/hyperlink" Target="http://ufcstats.com/fight-details/e57bfadb506e4f51" TargetMode="External"/><Relationship Id="rId266" Type="http://schemas.openxmlformats.org/officeDocument/2006/relationships/hyperlink" Target="http://ufcstats.com/fight-details/19722043e7eb4e39" TargetMode="External"/><Relationship Id="rId30" Type="http://schemas.openxmlformats.org/officeDocument/2006/relationships/hyperlink" Target="http://ufcstats.com/fight-details/57d05d28e3fbee4f" TargetMode="External"/><Relationship Id="rId105" Type="http://schemas.openxmlformats.org/officeDocument/2006/relationships/hyperlink" Target="http://ufcstats.com/fight-details/6e9cf53cd87e1b7e" TargetMode="External"/><Relationship Id="rId126" Type="http://schemas.openxmlformats.org/officeDocument/2006/relationships/hyperlink" Target="http://ufcstats.com/fight-details/037c68d03c970609" TargetMode="External"/><Relationship Id="rId147" Type="http://schemas.openxmlformats.org/officeDocument/2006/relationships/hyperlink" Target="http://ufcstats.com/fight-details/4a2e7e2c8cfdaf5f" TargetMode="External"/><Relationship Id="rId168" Type="http://schemas.openxmlformats.org/officeDocument/2006/relationships/hyperlink" Target="http://ufcstats.com/fight-details/0bf405dabb25251a" TargetMode="External"/><Relationship Id="rId51" Type="http://schemas.openxmlformats.org/officeDocument/2006/relationships/hyperlink" Target="http://ufcstats.com/fight-details/5ee83e03aaff5fa1" TargetMode="External"/><Relationship Id="rId72" Type="http://schemas.openxmlformats.org/officeDocument/2006/relationships/hyperlink" Target="http://ufcstats.com/fight-details/88455c967a7ef6fc" TargetMode="External"/><Relationship Id="rId93" Type="http://schemas.openxmlformats.org/officeDocument/2006/relationships/hyperlink" Target="http://ufcstats.com/fight-details/87105c63df95f929" TargetMode="External"/><Relationship Id="rId189" Type="http://schemas.openxmlformats.org/officeDocument/2006/relationships/hyperlink" Target="http://ufcstats.com/fight-details/50ef636148fa6fac" TargetMode="External"/><Relationship Id="rId3" Type="http://schemas.openxmlformats.org/officeDocument/2006/relationships/hyperlink" Target="http://ufcstats.com/fight-details/b2cdb4c34f37ad37" TargetMode="External"/><Relationship Id="rId214" Type="http://schemas.openxmlformats.org/officeDocument/2006/relationships/hyperlink" Target="http://ufcstats.com/fight-details/16358c536d739017" TargetMode="External"/><Relationship Id="rId235" Type="http://schemas.openxmlformats.org/officeDocument/2006/relationships/hyperlink" Target="http://ufcstats.com/fight-details/52bc6927e80aca5d" TargetMode="External"/><Relationship Id="rId256" Type="http://schemas.openxmlformats.org/officeDocument/2006/relationships/hyperlink" Target="http://ufcstats.com/fight-details/95233ca23cdb02e6" TargetMode="External"/><Relationship Id="rId277" Type="http://schemas.openxmlformats.org/officeDocument/2006/relationships/hyperlink" Target="http://ufcstats.com/fight-details/fc29884851f9cebb" TargetMode="External"/><Relationship Id="rId116" Type="http://schemas.openxmlformats.org/officeDocument/2006/relationships/hyperlink" Target="http://ufcstats.com/fight-details/e8093d77f566fe51" TargetMode="External"/><Relationship Id="rId137" Type="http://schemas.openxmlformats.org/officeDocument/2006/relationships/hyperlink" Target="http://ufcstats.com/fight-details/e8d59c27b467d716" TargetMode="External"/><Relationship Id="rId158" Type="http://schemas.openxmlformats.org/officeDocument/2006/relationships/hyperlink" Target="http://ufcstats.com/fight-details/2c0ece9f70a62408" TargetMode="External"/><Relationship Id="rId20" Type="http://schemas.openxmlformats.org/officeDocument/2006/relationships/hyperlink" Target="http://ufcstats.com/fight-details/e16f42a666e163d8" TargetMode="External"/><Relationship Id="rId41" Type="http://schemas.openxmlformats.org/officeDocument/2006/relationships/hyperlink" Target="http://ufcstats.com/fight-details/0ffbf3096a13b47e" TargetMode="External"/><Relationship Id="rId62" Type="http://schemas.openxmlformats.org/officeDocument/2006/relationships/hyperlink" Target="http://ufcstats.com/fight-details/0c9faf26efe2cdcc" TargetMode="External"/><Relationship Id="rId83" Type="http://schemas.openxmlformats.org/officeDocument/2006/relationships/hyperlink" Target="http://ufcstats.com/fight-details/40ce202eaa78860c" TargetMode="External"/><Relationship Id="rId179" Type="http://schemas.openxmlformats.org/officeDocument/2006/relationships/hyperlink" Target="http://ufcstats.com/fight-details/ef270d8cf29d071b" TargetMode="External"/><Relationship Id="rId190" Type="http://schemas.openxmlformats.org/officeDocument/2006/relationships/hyperlink" Target="http://ufcstats.com/fight-details/0bf8bb9b4ef329f9" TargetMode="External"/><Relationship Id="rId204" Type="http://schemas.openxmlformats.org/officeDocument/2006/relationships/hyperlink" Target="http://ufcstats.com/fight-details/6c25f8fd66f16d7e" TargetMode="External"/><Relationship Id="rId225" Type="http://schemas.openxmlformats.org/officeDocument/2006/relationships/hyperlink" Target="http://ufcstats.com/fight-details/5840527835a8ffb2" TargetMode="External"/><Relationship Id="rId246" Type="http://schemas.openxmlformats.org/officeDocument/2006/relationships/hyperlink" Target="http://ufcstats.com/fight-details/e460bf4db340ca9e" TargetMode="External"/><Relationship Id="rId267" Type="http://schemas.openxmlformats.org/officeDocument/2006/relationships/hyperlink" Target="http://ufcstats.com/fight-details/cf0a6466b762c668" TargetMode="External"/><Relationship Id="rId106" Type="http://schemas.openxmlformats.org/officeDocument/2006/relationships/hyperlink" Target="http://ufcstats.com/fight-details/56403d0fd259c5d9" TargetMode="External"/><Relationship Id="rId127" Type="http://schemas.openxmlformats.org/officeDocument/2006/relationships/hyperlink" Target="http://ufcstats.com/fight-details/5a096f2acb44c776" TargetMode="External"/><Relationship Id="rId10" Type="http://schemas.openxmlformats.org/officeDocument/2006/relationships/hyperlink" Target="http://ufcstats.com/fight-details/95349402616097cd" TargetMode="External"/><Relationship Id="rId31" Type="http://schemas.openxmlformats.org/officeDocument/2006/relationships/hyperlink" Target="http://ufcstats.com/fight-details/5315bd4542b21c4b" TargetMode="External"/><Relationship Id="rId52" Type="http://schemas.openxmlformats.org/officeDocument/2006/relationships/hyperlink" Target="http://ufcstats.com/fight-details/adb411b0f418ce33" TargetMode="External"/><Relationship Id="rId73" Type="http://schemas.openxmlformats.org/officeDocument/2006/relationships/hyperlink" Target="http://ufcstats.com/fight-details/9e52a67410f2c879" TargetMode="External"/><Relationship Id="rId94" Type="http://schemas.openxmlformats.org/officeDocument/2006/relationships/hyperlink" Target="http://ufcstats.com/fight-details/0a3e48cdd97267f4" TargetMode="External"/><Relationship Id="rId148" Type="http://schemas.openxmlformats.org/officeDocument/2006/relationships/hyperlink" Target="http://ufcstats.com/fight-details/451525a1abe30a91" TargetMode="External"/><Relationship Id="rId169" Type="http://schemas.openxmlformats.org/officeDocument/2006/relationships/hyperlink" Target="http://ufcstats.com/fight-details/d45474993a750878" TargetMode="External"/><Relationship Id="rId4" Type="http://schemas.openxmlformats.org/officeDocument/2006/relationships/hyperlink" Target="http://ufcstats.com/fight-details/a7492cbfb9b5d4a3" TargetMode="External"/><Relationship Id="rId180" Type="http://schemas.openxmlformats.org/officeDocument/2006/relationships/hyperlink" Target="http://ufcstats.com/fight-details/c571ac76ca45c1cb" TargetMode="External"/><Relationship Id="rId215" Type="http://schemas.openxmlformats.org/officeDocument/2006/relationships/hyperlink" Target="http://ufcstats.com/fight-details/5a09a7a3f2792d1a" TargetMode="External"/><Relationship Id="rId236" Type="http://schemas.openxmlformats.org/officeDocument/2006/relationships/hyperlink" Target="http://ufcstats.com/fight-details/0992795fd0fa06d0" TargetMode="External"/><Relationship Id="rId257" Type="http://schemas.openxmlformats.org/officeDocument/2006/relationships/hyperlink" Target="http://ufcstats.com/fight-details/814d481e79e9a525" TargetMode="External"/><Relationship Id="rId278" Type="http://schemas.openxmlformats.org/officeDocument/2006/relationships/hyperlink" Target="http://ufcstats.com/fight-details/07c00213ec388e07" TargetMode="External"/><Relationship Id="rId42" Type="http://schemas.openxmlformats.org/officeDocument/2006/relationships/hyperlink" Target="http://ufcstats.com/fight-details/c84a29f426f1aab7" TargetMode="External"/><Relationship Id="rId84" Type="http://schemas.openxmlformats.org/officeDocument/2006/relationships/hyperlink" Target="http://ufcstats.com/fight-details/d6b5a6ad27a730ae" TargetMode="External"/><Relationship Id="rId138" Type="http://schemas.openxmlformats.org/officeDocument/2006/relationships/hyperlink" Target="http://ufcstats.com/fight-details/e80a8338d86e730b" TargetMode="External"/><Relationship Id="rId191" Type="http://schemas.openxmlformats.org/officeDocument/2006/relationships/hyperlink" Target="http://ufcstats.com/fight-details/cd08b68f0bafafbf" TargetMode="External"/><Relationship Id="rId205" Type="http://schemas.openxmlformats.org/officeDocument/2006/relationships/hyperlink" Target="http://ufcstats.com/fight-details/abfc03893551ae73" TargetMode="External"/><Relationship Id="rId247" Type="http://schemas.openxmlformats.org/officeDocument/2006/relationships/hyperlink" Target="http://ufcstats.com/fight-details/c3b9b97467f828d1" TargetMode="External"/><Relationship Id="rId107" Type="http://schemas.openxmlformats.org/officeDocument/2006/relationships/hyperlink" Target="http://ufcstats.com/fight-details/a4446299c1f85d74" TargetMode="External"/><Relationship Id="rId11" Type="http://schemas.openxmlformats.org/officeDocument/2006/relationships/hyperlink" Target="http://ufcstats.com/fight-details/780147f2ed2637d1" TargetMode="External"/><Relationship Id="rId53" Type="http://schemas.openxmlformats.org/officeDocument/2006/relationships/hyperlink" Target="http://ufcstats.com/fight-details/11318a7807cee8ca" TargetMode="External"/><Relationship Id="rId149" Type="http://schemas.openxmlformats.org/officeDocument/2006/relationships/hyperlink" Target="http://ufcstats.com/fight-details/ebe38ba75cbf2320" TargetMode="External"/><Relationship Id="rId95" Type="http://schemas.openxmlformats.org/officeDocument/2006/relationships/hyperlink" Target="http://ufcstats.com/fight-details/745bdd823161da89" TargetMode="External"/><Relationship Id="rId160" Type="http://schemas.openxmlformats.org/officeDocument/2006/relationships/hyperlink" Target="http://ufcstats.com/fight-details/1a0bf11582ae518b" TargetMode="External"/><Relationship Id="rId216" Type="http://schemas.openxmlformats.org/officeDocument/2006/relationships/hyperlink" Target="http://ufcstats.com/fight-details/4047c2e259529179" TargetMode="External"/><Relationship Id="rId258" Type="http://schemas.openxmlformats.org/officeDocument/2006/relationships/hyperlink" Target="http://ufcstats.com/fight-details/d1c4c06780cbd36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B967"/>
  <sheetViews>
    <sheetView topLeftCell="A292" workbookViewId="0">
      <selection activeCell="B311" sqref="B311"/>
    </sheetView>
  </sheetViews>
  <sheetFormatPr defaultColWidth="12.5703125" defaultRowHeight="15.75" customHeight="1"/>
  <cols>
    <col min="1" max="1" width="5.85546875" customWidth="1"/>
    <col min="2" max="2" width="20.5703125" customWidth="1"/>
    <col min="3" max="3" width="9.42578125" customWidth="1"/>
    <col min="4" max="4" width="20" customWidth="1"/>
    <col min="5" max="5" width="7.42578125" customWidth="1"/>
    <col min="6" max="6" width="19" customWidth="1"/>
    <col min="7" max="7" width="8.140625" customWidth="1"/>
    <col min="8" max="9" width="4.85546875" customWidth="1"/>
    <col min="10" max="10" width="9.5703125" customWidth="1"/>
    <col min="11" max="11" width="24.42578125" customWidth="1"/>
    <col min="12" max="12" width="7.5703125" customWidth="1"/>
    <col min="13" max="13" width="15.140625" customWidth="1"/>
    <col min="14" max="14" width="33.85546875" customWidth="1"/>
    <col min="15" max="15" width="36.140625" customWidth="1"/>
    <col min="17" max="17" width="27" customWidth="1"/>
    <col min="18" max="18" width="21.42578125" customWidth="1"/>
    <col min="19" max="19" width="4.140625" customWidth="1"/>
    <col min="20" max="20" width="7.28515625" customWidth="1"/>
    <col min="21" max="21" width="14.5703125" customWidth="1"/>
    <col min="22" max="22" width="18.7109375" customWidth="1"/>
    <col min="23" max="23" width="21" customWidth="1"/>
  </cols>
  <sheetData>
    <row r="1" spans="1:54" ht="14.25">
      <c r="A1" s="1"/>
      <c r="B1" s="1"/>
      <c r="C1" s="1"/>
      <c r="D1" s="1"/>
      <c r="E1" s="1"/>
      <c r="F1" s="1"/>
      <c r="G1" s="1"/>
      <c r="H1" s="2"/>
      <c r="I1" s="1"/>
      <c r="J1" s="1"/>
      <c r="K1" s="3"/>
      <c r="L1" s="1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3"/>
    </row>
    <row r="2" spans="1:54" ht="14.25">
      <c r="A2" s="1"/>
      <c r="B2" s="1"/>
      <c r="C2" s="5"/>
      <c r="D2" s="1"/>
      <c r="E2" s="6"/>
      <c r="F2" s="1"/>
      <c r="G2" s="6"/>
      <c r="H2" s="2"/>
      <c r="I2" s="1"/>
      <c r="J2" s="1"/>
      <c r="K2" s="3"/>
      <c r="L2" s="1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3"/>
    </row>
    <row r="3" spans="1:54" ht="14.25">
      <c r="A3" s="7"/>
      <c r="B3" s="7" t="s">
        <v>0</v>
      </c>
      <c r="C3" s="8">
        <f>COUNTIF(H2:H36, "win")</f>
        <v>24</v>
      </c>
      <c r="D3" s="7" t="s">
        <v>1</v>
      </c>
      <c r="E3" s="8">
        <f>COUNTIF(H2:H36, "loss")</f>
        <v>8</v>
      </c>
      <c r="F3" s="9" t="s">
        <v>2</v>
      </c>
      <c r="G3" s="10">
        <f>COUNTIF(H2:H36, "win") / (COUNTIF(H2:H36, "win") + COUNTIF(H2:H36, "loss"))</f>
        <v>0.75</v>
      </c>
      <c r="H3" s="11"/>
      <c r="I3" s="12"/>
      <c r="J3" s="12"/>
      <c r="K3" s="12"/>
      <c r="L3" s="12"/>
      <c r="M3" s="12"/>
      <c r="N3" s="13"/>
      <c r="O3" s="13"/>
      <c r="P3" s="13"/>
      <c r="Q3" s="13"/>
      <c r="R3" s="13"/>
      <c r="S3" s="14"/>
      <c r="T3" s="15"/>
      <c r="U3" s="13"/>
      <c r="V3" s="13"/>
      <c r="W3" s="13"/>
      <c r="X3" s="12"/>
      <c r="Y3" s="12"/>
      <c r="Z3" s="12"/>
      <c r="AA3" s="13"/>
      <c r="AB3" s="13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</row>
    <row r="4" spans="1:54" ht="14.25">
      <c r="A4" s="1"/>
      <c r="B4" s="1" t="s">
        <v>3</v>
      </c>
      <c r="C4" s="16">
        <v>-108</v>
      </c>
      <c r="D4" s="1" t="s">
        <v>4</v>
      </c>
      <c r="E4" s="17">
        <f>108</f>
        <v>108</v>
      </c>
      <c r="F4" s="1" t="s">
        <v>3</v>
      </c>
      <c r="G4" s="2">
        <v>-108</v>
      </c>
      <c r="H4" s="17" t="s">
        <v>5</v>
      </c>
      <c r="J4" s="3"/>
      <c r="K4" s="3"/>
      <c r="L4" s="3"/>
      <c r="M4" s="3"/>
      <c r="N4" s="4" t="s">
        <v>6</v>
      </c>
      <c r="O4" s="4" t="s">
        <v>7</v>
      </c>
      <c r="P4" s="4" t="s">
        <v>8</v>
      </c>
      <c r="Q4" s="18" t="s">
        <v>2</v>
      </c>
      <c r="R4" s="4" t="s">
        <v>9</v>
      </c>
      <c r="S4" s="19">
        <v>3</v>
      </c>
      <c r="T4" s="20">
        <v>0.20833333333333334</v>
      </c>
      <c r="U4" s="4" t="s">
        <v>10</v>
      </c>
      <c r="V4" s="4" t="s">
        <v>11</v>
      </c>
      <c r="W4" s="4" t="s">
        <v>12</v>
      </c>
      <c r="X4" s="3"/>
      <c r="AA4" s="21"/>
      <c r="AB4" s="21"/>
    </row>
    <row r="5" spans="1:54" ht="14.25">
      <c r="A5" s="1"/>
      <c r="B5" s="1" t="s">
        <v>13</v>
      </c>
      <c r="C5" s="22">
        <v>-158</v>
      </c>
      <c r="D5" s="1" t="s">
        <v>14</v>
      </c>
      <c r="E5" s="23">
        <f>138</f>
        <v>138</v>
      </c>
      <c r="F5" s="1" t="s">
        <v>13</v>
      </c>
      <c r="G5" s="23">
        <v>-158</v>
      </c>
      <c r="H5" s="2" t="s">
        <v>15</v>
      </c>
      <c r="I5" s="24">
        <v>8.5</v>
      </c>
      <c r="J5" s="25" t="s">
        <v>16</v>
      </c>
      <c r="K5" s="25" t="s">
        <v>17</v>
      </c>
      <c r="L5" s="25" t="s">
        <v>18</v>
      </c>
      <c r="M5" s="25" t="s">
        <v>19</v>
      </c>
      <c r="N5" s="4" t="s">
        <v>20</v>
      </c>
      <c r="O5" s="4" t="s">
        <v>21</v>
      </c>
      <c r="P5" s="4" t="s">
        <v>22</v>
      </c>
      <c r="Q5" s="4" t="s">
        <v>2</v>
      </c>
      <c r="R5" s="4" t="s">
        <v>9</v>
      </c>
      <c r="S5" s="19">
        <v>3</v>
      </c>
      <c r="T5" s="20">
        <v>0.20833333333333334</v>
      </c>
      <c r="U5" s="4" t="s">
        <v>10</v>
      </c>
      <c r="V5" s="4" t="s">
        <v>23</v>
      </c>
      <c r="W5" s="4" t="s">
        <v>24</v>
      </c>
      <c r="X5" s="26" t="s">
        <v>25</v>
      </c>
      <c r="Y5" s="21"/>
      <c r="Z5" s="21"/>
      <c r="AA5" s="21"/>
      <c r="AB5" s="21"/>
    </row>
    <row r="6" spans="1:54" ht="14.25">
      <c r="A6" s="1"/>
      <c r="B6" s="1" t="s">
        <v>26</v>
      </c>
      <c r="C6" s="27">
        <f>500</f>
        <v>500</v>
      </c>
      <c r="D6" s="1" t="s">
        <v>27</v>
      </c>
      <c r="E6" s="28">
        <v>-800</v>
      </c>
      <c r="F6" s="1" t="s">
        <v>27</v>
      </c>
      <c r="G6" s="28">
        <v>-800</v>
      </c>
      <c r="H6" s="2" t="s">
        <v>1</v>
      </c>
      <c r="I6" s="3"/>
      <c r="J6" s="3" t="s">
        <v>16</v>
      </c>
      <c r="K6" s="3" t="s">
        <v>28</v>
      </c>
      <c r="L6" s="3" t="s">
        <v>29</v>
      </c>
      <c r="M6" s="3" t="s">
        <v>30</v>
      </c>
      <c r="N6" s="4" t="s">
        <v>31</v>
      </c>
      <c r="O6" s="4" t="s">
        <v>32</v>
      </c>
      <c r="P6" s="4" t="s">
        <v>8</v>
      </c>
      <c r="Q6" s="4" t="s">
        <v>2</v>
      </c>
      <c r="R6" s="4" t="s">
        <v>9</v>
      </c>
      <c r="S6" s="19">
        <v>3</v>
      </c>
      <c r="T6" s="20">
        <v>0.20833333333333334</v>
      </c>
      <c r="U6" s="4" t="s">
        <v>10</v>
      </c>
      <c r="V6" s="4" t="s">
        <v>23</v>
      </c>
      <c r="W6" s="4" t="s">
        <v>33</v>
      </c>
      <c r="X6" s="26" t="s">
        <v>34</v>
      </c>
      <c r="Y6" s="21"/>
      <c r="Z6" s="21"/>
      <c r="AA6" s="21"/>
      <c r="AB6" s="21"/>
    </row>
    <row r="7" spans="1:54" ht="15">
      <c r="A7" s="1"/>
      <c r="B7" s="1" t="s">
        <v>35</v>
      </c>
      <c r="C7" s="16">
        <v>-175</v>
      </c>
      <c r="D7" s="1" t="s">
        <v>36</v>
      </c>
      <c r="E7" s="17">
        <f>150</f>
        <v>150</v>
      </c>
      <c r="F7" s="1" t="s">
        <v>35</v>
      </c>
      <c r="G7" s="28">
        <v>-175</v>
      </c>
      <c r="H7" s="29" t="s">
        <v>1</v>
      </c>
      <c r="I7" s="3"/>
      <c r="J7" s="3"/>
      <c r="K7" s="3"/>
      <c r="L7" s="3"/>
      <c r="M7" s="3"/>
      <c r="N7" s="4" t="s">
        <v>37</v>
      </c>
      <c r="O7" s="4" t="s">
        <v>38</v>
      </c>
      <c r="P7" s="4" t="s">
        <v>22</v>
      </c>
      <c r="Q7" s="4" t="s">
        <v>2</v>
      </c>
      <c r="R7" s="4" t="s">
        <v>9</v>
      </c>
      <c r="S7" s="19">
        <v>3</v>
      </c>
      <c r="T7" s="20">
        <v>0.20833333333333334</v>
      </c>
      <c r="U7" s="4" t="s">
        <v>10</v>
      </c>
      <c r="V7" s="4" t="s">
        <v>39</v>
      </c>
      <c r="W7" s="4" t="s">
        <v>40</v>
      </c>
      <c r="X7" s="26" t="s">
        <v>41</v>
      </c>
      <c r="Y7" s="21"/>
      <c r="Z7" s="21"/>
      <c r="AA7" s="21"/>
      <c r="AB7" s="21"/>
    </row>
    <row r="8" spans="1:54" ht="14.25">
      <c r="A8" s="1"/>
      <c r="B8" s="1" t="s">
        <v>42</v>
      </c>
      <c r="C8" s="16">
        <v>-202</v>
      </c>
      <c r="D8" s="1" t="s">
        <v>43</v>
      </c>
      <c r="E8" s="17">
        <f>172</f>
        <v>172</v>
      </c>
      <c r="F8" s="1" t="s">
        <v>42</v>
      </c>
      <c r="G8" s="28">
        <v>-202</v>
      </c>
      <c r="H8" s="2" t="s">
        <v>1</v>
      </c>
      <c r="I8" s="3"/>
      <c r="J8" s="3"/>
      <c r="K8" s="3"/>
      <c r="L8" s="3"/>
      <c r="M8" s="3"/>
      <c r="N8" s="4" t="s">
        <v>44</v>
      </c>
      <c r="O8" s="4" t="s">
        <v>45</v>
      </c>
      <c r="P8" s="4" t="s">
        <v>8</v>
      </c>
      <c r="Q8" s="4" t="s">
        <v>2</v>
      </c>
      <c r="R8" s="4" t="s">
        <v>46</v>
      </c>
      <c r="S8" s="19">
        <v>1</v>
      </c>
      <c r="T8" s="20">
        <v>0.15416666666666667</v>
      </c>
      <c r="U8" s="4" t="s">
        <v>10</v>
      </c>
      <c r="V8" s="4" t="s">
        <v>47</v>
      </c>
      <c r="W8" s="4" t="s">
        <v>48</v>
      </c>
      <c r="X8" s="26" t="s">
        <v>49</v>
      </c>
      <c r="Y8" s="21"/>
      <c r="Z8" s="21"/>
      <c r="AA8" s="21"/>
      <c r="AB8" s="21"/>
    </row>
    <row r="9" spans="1:54" ht="14.25">
      <c r="A9" s="1"/>
      <c r="B9" s="1" t="s">
        <v>50</v>
      </c>
      <c r="C9" s="16">
        <v>-350</v>
      </c>
      <c r="D9" s="1" t="s">
        <v>51</v>
      </c>
      <c r="E9" s="17">
        <f>275</f>
        <v>275</v>
      </c>
      <c r="F9" s="1" t="s">
        <v>51</v>
      </c>
      <c r="G9" s="16">
        <f>275</f>
        <v>275</v>
      </c>
      <c r="H9" s="2" t="s">
        <v>1</v>
      </c>
      <c r="I9" s="3"/>
      <c r="J9" s="3"/>
      <c r="K9" s="3"/>
      <c r="L9" s="3"/>
      <c r="M9" s="3"/>
      <c r="N9" s="4" t="s">
        <v>52</v>
      </c>
      <c r="O9" s="4" t="s">
        <v>53</v>
      </c>
      <c r="P9" s="4" t="s">
        <v>8</v>
      </c>
      <c r="Q9" s="4" t="s">
        <v>2</v>
      </c>
      <c r="R9" s="4" t="s">
        <v>9</v>
      </c>
      <c r="S9" s="19">
        <v>5</v>
      </c>
      <c r="T9" s="20">
        <v>0.20833333333333334</v>
      </c>
      <c r="U9" s="4" t="s">
        <v>54</v>
      </c>
      <c r="V9" s="4" t="s">
        <v>55</v>
      </c>
      <c r="W9" s="4" t="s">
        <v>56</v>
      </c>
      <c r="X9" s="26" t="s">
        <v>57</v>
      </c>
      <c r="Z9" s="21"/>
      <c r="AA9" s="21"/>
      <c r="AB9" s="21"/>
    </row>
    <row r="10" spans="1:54" ht="14.25">
      <c r="A10" s="1"/>
      <c r="B10" s="1" t="s">
        <v>58</v>
      </c>
      <c r="C10" s="16">
        <v>-214</v>
      </c>
      <c r="D10" s="1" t="s">
        <v>59</v>
      </c>
      <c r="E10" s="17">
        <f>184</f>
        <v>184</v>
      </c>
      <c r="F10" s="1" t="s">
        <v>58</v>
      </c>
      <c r="G10" s="16">
        <v>-214</v>
      </c>
      <c r="H10" s="2" t="s">
        <v>1</v>
      </c>
      <c r="I10" s="3"/>
      <c r="J10" s="3"/>
      <c r="K10" s="3"/>
      <c r="L10" s="3"/>
      <c r="M10" s="3"/>
      <c r="N10" s="4" t="s">
        <v>52</v>
      </c>
      <c r="O10" s="4" t="s">
        <v>60</v>
      </c>
      <c r="P10" s="4" t="s">
        <v>8</v>
      </c>
      <c r="Q10" s="4" t="s">
        <v>2</v>
      </c>
      <c r="R10" s="4" t="s">
        <v>61</v>
      </c>
      <c r="S10" s="19">
        <v>1</v>
      </c>
      <c r="T10" s="20">
        <v>0.16805555555555557</v>
      </c>
      <c r="U10" s="4" t="s">
        <v>10</v>
      </c>
      <c r="V10" s="4" t="s">
        <v>55</v>
      </c>
      <c r="W10" s="4" t="s">
        <v>62</v>
      </c>
      <c r="X10" s="26" t="s">
        <v>63</v>
      </c>
      <c r="Y10" s="21"/>
      <c r="Z10" s="21"/>
      <c r="AA10" s="21"/>
      <c r="AB10" s="21"/>
    </row>
    <row r="11" spans="1:54" ht="14.25">
      <c r="A11" s="1"/>
      <c r="B11" s="1" t="s">
        <v>14</v>
      </c>
      <c r="C11" s="16">
        <f>175</f>
        <v>175</v>
      </c>
      <c r="D11" s="1" t="s">
        <v>64</v>
      </c>
      <c r="E11" s="17">
        <v>-175</v>
      </c>
      <c r="F11" s="1" t="s">
        <v>14</v>
      </c>
      <c r="G11" s="16">
        <f>175</f>
        <v>175</v>
      </c>
      <c r="H11" s="2" t="s">
        <v>1</v>
      </c>
      <c r="I11" s="3"/>
      <c r="J11" s="3"/>
      <c r="K11" s="3"/>
      <c r="L11" s="3"/>
      <c r="M11" s="3"/>
      <c r="N11" s="4" t="s">
        <v>65</v>
      </c>
      <c r="O11" s="4" t="s">
        <v>66</v>
      </c>
      <c r="P11" s="4" t="s">
        <v>22</v>
      </c>
      <c r="Q11" s="4" t="s">
        <v>2</v>
      </c>
      <c r="R11" s="4" t="s">
        <v>61</v>
      </c>
      <c r="S11" s="19">
        <v>3</v>
      </c>
      <c r="T11" s="20">
        <v>0.20069444444444445</v>
      </c>
      <c r="U11" s="4" t="s">
        <v>10</v>
      </c>
      <c r="V11" s="4" t="s">
        <v>23</v>
      </c>
      <c r="W11" s="4" t="s">
        <v>67</v>
      </c>
      <c r="X11" s="26" t="s">
        <v>68</v>
      </c>
      <c r="Y11" s="21"/>
      <c r="Z11" s="21"/>
      <c r="AA11" s="21"/>
      <c r="AB11" s="21"/>
    </row>
    <row r="12" spans="1:54" ht="14.25">
      <c r="A12" s="1"/>
      <c r="B12" s="1" t="s">
        <v>69</v>
      </c>
      <c r="C12" s="16">
        <v>-108</v>
      </c>
      <c r="D12" s="1" t="s">
        <v>70</v>
      </c>
      <c r="E12" s="17">
        <f>108</f>
        <v>108</v>
      </c>
      <c r="F12" s="1" t="s">
        <v>70</v>
      </c>
      <c r="G12" s="17">
        <v>-108</v>
      </c>
      <c r="H12" s="2" t="s">
        <v>1</v>
      </c>
      <c r="I12" s="3"/>
      <c r="J12" s="3"/>
      <c r="K12" s="3"/>
      <c r="L12" s="3"/>
      <c r="M12" s="3"/>
      <c r="N12" s="4" t="s">
        <v>71</v>
      </c>
      <c r="O12" s="4" t="s">
        <v>72</v>
      </c>
      <c r="P12" s="4" t="s">
        <v>8</v>
      </c>
      <c r="Q12" s="4" t="s">
        <v>2</v>
      </c>
      <c r="R12" s="4" t="s">
        <v>46</v>
      </c>
      <c r="S12" s="19">
        <v>2</v>
      </c>
      <c r="T12" s="20">
        <v>0.10138888888888889</v>
      </c>
      <c r="U12" s="4" t="s">
        <v>10</v>
      </c>
      <c r="V12" s="4" t="s">
        <v>73</v>
      </c>
      <c r="W12" s="4" t="s">
        <v>74</v>
      </c>
      <c r="X12" s="3"/>
      <c r="AA12" s="21"/>
      <c r="AB12" s="21"/>
    </row>
    <row r="13" spans="1:54" ht="14.25">
      <c r="A13" s="1"/>
      <c r="B13" s="1" t="s">
        <v>75</v>
      </c>
      <c r="C13" s="22">
        <v>-156</v>
      </c>
      <c r="D13" s="1" t="s">
        <v>76</v>
      </c>
      <c r="E13" s="23">
        <f>136</f>
        <v>136</v>
      </c>
      <c r="F13" s="1" t="s">
        <v>75</v>
      </c>
      <c r="G13" s="22">
        <v>-156</v>
      </c>
      <c r="H13" s="30" t="s">
        <v>77</v>
      </c>
      <c r="I13" s="24">
        <v>7.2</v>
      </c>
      <c r="J13" s="1" t="s">
        <v>18</v>
      </c>
      <c r="K13" s="3"/>
      <c r="L13" s="1" t="s">
        <v>78</v>
      </c>
      <c r="M13" s="3"/>
      <c r="N13" s="4" t="s">
        <v>79</v>
      </c>
      <c r="O13" s="4" t="s">
        <v>80</v>
      </c>
      <c r="P13" s="4" t="s">
        <v>22</v>
      </c>
      <c r="Q13" s="4" t="s">
        <v>2</v>
      </c>
      <c r="R13" s="4" t="s">
        <v>9</v>
      </c>
      <c r="S13" s="19">
        <v>3</v>
      </c>
      <c r="T13" s="20">
        <v>0.20833333333333334</v>
      </c>
      <c r="U13" s="4" t="s">
        <v>10</v>
      </c>
      <c r="V13" s="4" t="s">
        <v>23</v>
      </c>
      <c r="W13" s="4" t="s">
        <v>81</v>
      </c>
      <c r="X13" s="26" t="s">
        <v>82</v>
      </c>
      <c r="Y13" s="21"/>
      <c r="Z13" s="21"/>
      <c r="AA13" s="21"/>
      <c r="AB13" s="21"/>
    </row>
    <row r="14" spans="1:54" ht="14.25">
      <c r="A14" s="1"/>
      <c r="B14" s="1" t="s">
        <v>69</v>
      </c>
      <c r="C14" s="22">
        <v>-157</v>
      </c>
      <c r="D14" s="1" t="s">
        <v>83</v>
      </c>
      <c r="E14" s="23">
        <f>137</f>
        <v>137</v>
      </c>
      <c r="F14" s="1" t="s">
        <v>84</v>
      </c>
      <c r="G14" s="23">
        <f>137</f>
        <v>137</v>
      </c>
      <c r="H14" s="2" t="s">
        <v>85</v>
      </c>
      <c r="I14" s="24">
        <v>6.5</v>
      </c>
      <c r="J14" s="1" t="s">
        <v>18</v>
      </c>
      <c r="K14" s="24">
        <v>-140</v>
      </c>
      <c r="L14" s="1" t="s">
        <v>86</v>
      </c>
      <c r="M14" s="3"/>
      <c r="N14" s="4" t="s">
        <v>87</v>
      </c>
      <c r="O14" s="4" t="s">
        <v>88</v>
      </c>
      <c r="P14" s="4" t="s">
        <v>8</v>
      </c>
      <c r="Q14" s="4" t="s">
        <v>2</v>
      </c>
      <c r="R14" s="4" t="s">
        <v>9</v>
      </c>
      <c r="S14" s="19">
        <v>3</v>
      </c>
      <c r="T14" s="20">
        <v>0.20833333333333334</v>
      </c>
      <c r="U14" s="4" t="s">
        <v>10</v>
      </c>
      <c r="V14" s="4" t="s">
        <v>89</v>
      </c>
      <c r="W14" s="4" t="s">
        <v>90</v>
      </c>
      <c r="X14" s="26" t="s">
        <v>91</v>
      </c>
      <c r="Y14" s="21"/>
      <c r="Z14" s="21"/>
      <c r="AA14" s="21"/>
      <c r="AB14" s="21"/>
    </row>
    <row r="15" spans="1:54" ht="14.25">
      <c r="A15" s="1"/>
      <c r="B15" s="1" t="s">
        <v>92</v>
      </c>
      <c r="C15" s="22">
        <f>355</f>
        <v>355</v>
      </c>
      <c r="D15" s="1" t="s">
        <v>93</v>
      </c>
      <c r="E15" s="23">
        <v>-455</v>
      </c>
      <c r="F15" s="1" t="s">
        <v>93</v>
      </c>
      <c r="G15" s="23">
        <v>-455</v>
      </c>
      <c r="H15" s="2" t="s">
        <v>5</v>
      </c>
      <c r="I15" s="24">
        <v>6.9</v>
      </c>
      <c r="J15" s="1" t="s">
        <v>18</v>
      </c>
      <c r="K15" s="24">
        <v>-145</v>
      </c>
      <c r="L15" s="1"/>
      <c r="M15" s="1"/>
      <c r="N15" s="4" t="s">
        <v>94</v>
      </c>
      <c r="O15" s="4" t="s">
        <v>95</v>
      </c>
      <c r="P15" s="4" t="s">
        <v>22</v>
      </c>
      <c r="Q15" s="4" t="s">
        <v>2</v>
      </c>
      <c r="R15" s="4" t="s">
        <v>46</v>
      </c>
      <c r="S15" s="19">
        <v>3</v>
      </c>
      <c r="T15" s="20">
        <v>0.10833333333333334</v>
      </c>
      <c r="U15" s="4" t="s">
        <v>10</v>
      </c>
      <c r="V15" s="4" t="s">
        <v>96</v>
      </c>
      <c r="W15" s="4" t="s">
        <v>97</v>
      </c>
      <c r="X15" s="26" t="s">
        <v>98</v>
      </c>
      <c r="Y15" s="21"/>
      <c r="Z15" s="21"/>
      <c r="AB15" s="21"/>
    </row>
    <row r="16" spans="1:54" ht="14.25">
      <c r="A16" s="1"/>
      <c r="B16" s="1" t="s">
        <v>99</v>
      </c>
      <c r="C16" s="22">
        <v>-300</v>
      </c>
      <c r="D16" s="1" t="s">
        <v>100</v>
      </c>
      <c r="E16" s="23">
        <f>250</f>
        <v>250</v>
      </c>
      <c r="F16" s="1" t="s">
        <v>99</v>
      </c>
      <c r="G16" s="22">
        <v>-300</v>
      </c>
      <c r="H16" s="2" t="s">
        <v>5</v>
      </c>
      <c r="I16" s="24">
        <v>7</v>
      </c>
      <c r="J16" s="1" t="s">
        <v>46</v>
      </c>
      <c r="K16" s="1" t="s">
        <v>101</v>
      </c>
      <c r="L16" s="1" t="s">
        <v>102</v>
      </c>
      <c r="M16" s="3"/>
      <c r="N16" s="4" t="s">
        <v>103</v>
      </c>
      <c r="O16" s="4" t="s">
        <v>104</v>
      </c>
      <c r="P16" s="4" t="s">
        <v>8</v>
      </c>
      <c r="Q16" s="4" t="s">
        <v>2</v>
      </c>
      <c r="R16" s="4" t="s">
        <v>61</v>
      </c>
      <c r="S16" s="19">
        <v>2</v>
      </c>
      <c r="T16" s="20">
        <v>0.16805555555555557</v>
      </c>
      <c r="U16" s="4" t="s">
        <v>10</v>
      </c>
      <c r="V16" s="4" t="s">
        <v>39</v>
      </c>
      <c r="W16" s="4" t="s">
        <v>67</v>
      </c>
      <c r="X16" s="26" t="s">
        <v>105</v>
      </c>
      <c r="Y16" s="21"/>
      <c r="Z16" s="21"/>
      <c r="AA16" s="21"/>
    </row>
    <row r="17" spans="1:54" ht="14.25">
      <c r="A17" s="3"/>
      <c r="B17" s="1" t="s">
        <v>106</v>
      </c>
      <c r="C17" s="22">
        <f>158</f>
        <v>158</v>
      </c>
      <c r="D17" s="1" t="s">
        <v>107</v>
      </c>
      <c r="E17" s="23">
        <v>-183</v>
      </c>
      <c r="F17" s="1" t="s">
        <v>107</v>
      </c>
      <c r="G17" s="22">
        <v>-183</v>
      </c>
      <c r="H17" s="30" t="s">
        <v>5</v>
      </c>
      <c r="I17" s="24">
        <v>7.5</v>
      </c>
      <c r="J17" s="1" t="s">
        <v>61</v>
      </c>
      <c r="K17" s="3"/>
      <c r="L17" s="1" t="s">
        <v>108</v>
      </c>
      <c r="M17" s="3"/>
      <c r="N17" s="4" t="s">
        <v>79</v>
      </c>
      <c r="O17" s="4" t="s">
        <v>109</v>
      </c>
      <c r="P17" s="4" t="s">
        <v>22</v>
      </c>
      <c r="Q17" s="4" t="s">
        <v>2</v>
      </c>
      <c r="R17" s="4" t="s">
        <v>61</v>
      </c>
      <c r="S17" s="19">
        <v>2</v>
      </c>
      <c r="T17" s="20">
        <v>0.2076388888888889</v>
      </c>
      <c r="U17" s="4" t="s">
        <v>10</v>
      </c>
      <c r="V17" s="4" t="s">
        <v>96</v>
      </c>
      <c r="W17" s="4" t="s">
        <v>110</v>
      </c>
      <c r="X17" s="26" t="s">
        <v>111</v>
      </c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</row>
    <row r="18" spans="1:54" ht="14.25">
      <c r="A18" s="3"/>
      <c r="B18" s="1" t="s">
        <v>112</v>
      </c>
      <c r="C18" s="22">
        <f>285</f>
        <v>285</v>
      </c>
      <c r="D18" s="1" t="s">
        <v>113</v>
      </c>
      <c r="E18" s="23">
        <v>-350</v>
      </c>
      <c r="F18" s="1" t="s">
        <v>113</v>
      </c>
      <c r="G18" s="23">
        <v>-350</v>
      </c>
      <c r="H18" s="30" t="s">
        <v>5</v>
      </c>
      <c r="I18" s="24">
        <v>6.5</v>
      </c>
      <c r="J18" s="1" t="s">
        <v>18</v>
      </c>
      <c r="K18" s="3"/>
      <c r="L18" s="1" t="s">
        <v>114</v>
      </c>
      <c r="M18" s="3"/>
      <c r="N18" s="4" t="s">
        <v>115</v>
      </c>
      <c r="O18" s="4" t="s">
        <v>116</v>
      </c>
      <c r="P18" s="4" t="s">
        <v>22</v>
      </c>
      <c r="Q18" s="4" t="s">
        <v>2</v>
      </c>
      <c r="R18" s="4" t="s">
        <v>9</v>
      </c>
      <c r="S18" s="19">
        <v>3</v>
      </c>
      <c r="T18" s="20">
        <v>0.20833333333333334</v>
      </c>
      <c r="U18" s="4" t="s">
        <v>10</v>
      </c>
      <c r="V18" s="4" t="s">
        <v>117</v>
      </c>
      <c r="W18" s="4" t="s">
        <v>118</v>
      </c>
      <c r="X18" s="26" t="s">
        <v>119</v>
      </c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</row>
    <row r="19" spans="1:54" ht="14.25">
      <c r="A19" s="3"/>
      <c r="B19" s="1" t="s">
        <v>120</v>
      </c>
      <c r="C19" s="22">
        <v>-150</v>
      </c>
      <c r="D19" s="1" t="s">
        <v>121</v>
      </c>
      <c r="E19" s="23">
        <f t="shared" ref="E19:E20" si="0">130</f>
        <v>130</v>
      </c>
      <c r="F19" s="1" t="s">
        <v>120</v>
      </c>
      <c r="G19" s="23">
        <v>-150</v>
      </c>
      <c r="H19" s="30" t="s">
        <v>122</v>
      </c>
      <c r="I19" s="3"/>
      <c r="J19" s="3" t="s">
        <v>16</v>
      </c>
      <c r="K19" s="3" t="s">
        <v>28</v>
      </c>
      <c r="L19" s="3" t="s">
        <v>123</v>
      </c>
      <c r="M19" s="3" t="s">
        <v>124</v>
      </c>
      <c r="N19" s="4" t="s">
        <v>125</v>
      </c>
      <c r="O19" s="4" t="s">
        <v>126</v>
      </c>
      <c r="P19" s="4" t="s">
        <v>8</v>
      </c>
      <c r="Q19" s="4" t="s">
        <v>2</v>
      </c>
      <c r="R19" s="4" t="s">
        <v>46</v>
      </c>
      <c r="S19" s="19">
        <v>2</v>
      </c>
      <c r="T19" s="20">
        <v>1.4583333333333334E-2</v>
      </c>
      <c r="U19" s="4" t="s">
        <v>10</v>
      </c>
      <c r="V19" s="4" t="s">
        <v>23</v>
      </c>
      <c r="W19" s="4" t="s">
        <v>127</v>
      </c>
      <c r="X19" s="26" t="s">
        <v>128</v>
      </c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</row>
    <row r="20" spans="1:54" ht="14.25">
      <c r="A20" s="3"/>
      <c r="B20" s="1" t="s">
        <v>129</v>
      </c>
      <c r="C20" s="22">
        <v>-150</v>
      </c>
      <c r="D20" s="1" t="s">
        <v>130</v>
      </c>
      <c r="E20" s="23">
        <f t="shared" si="0"/>
        <v>130</v>
      </c>
      <c r="F20" s="1" t="s">
        <v>129</v>
      </c>
      <c r="G20" s="22">
        <v>-150</v>
      </c>
      <c r="H20" s="30" t="s">
        <v>122</v>
      </c>
      <c r="I20" s="3"/>
      <c r="J20" s="3" t="s">
        <v>16</v>
      </c>
      <c r="K20" s="3" t="s">
        <v>28</v>
      </c>
      <c r="L20" s="3" t="s">
        <v>29</v>
      </c>
      <c r="M20" s="3" t="s">
        <v>30</v>
      </c>
      <c r="N20" s="4" t="s">
        <v>125</v>
      </c>
      <c r="O20" s="4" t="s">
        <v>131</v>
      </c>
      <c r="P20" s="4" t="s">
        <v>8</v>
      </c>
      <c r="Q20" s="4" t="s">
        <v>2</v>
      </c>
      <c r="R20" s="4" t="s">
        <v>9</v>
      </c>
      <c r="S20" s="19">
        <v>3</v>
      </c>
      <c r="T20" s="20">
        <v>0.20833333333333334</v>
      </c>
      <c r="U20" s="4" t="s">
        <v>10</v>
      </c>
      <c r="V20" s="4" t="s">
        <v>55</v>
      </c>
      <c r="W20" s="4" t="s">
        <v>132</v>
      </c>
      <c r="X20" s="26" t="s">
        <v>133</v>
      </c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</row>
    <row r="21" spans="1:54" ht="14.25">
      <c r="A21" s="3"/>
      <c r="B21" s="1" t="s">
        <v>134</v>
      </c>
      <c r="C21" s="22">
        <v>-113</v>
      </c>
      <c r="D21" s="1" t="s">
        <v>50</v>
      </c>
      <c r="E21" s="23">
        <v>-107</v>
      </c>
      <c r="F21" s="1" t="s">
        <v>134</v>
      </c>
      <c r="G21" s="23">
        <v>-113</v>
      </c>
      <c r="H21" s="2" t="s">
        <v>122</v>
      </c>
      <c r="I21" s="24">
        <v>8</v>
      </c>
      <c r="J21" s="3" t="s">
        <v>16</v>
      </c>
      <c r="K21" s="3" t="s">
        <v>28</v>
      </c>
      <c r="L21" s="3" t="s">
        <v>29</v>
      </c>
      <c r="M21" s="3" t="s">
        <v>30</v>
      </c>
      <c r="N21" s="4" t="s">
        <v>135</v>
      </c>
      <c r="O21" s="4" t="s">
        <v>136</v>
      </c>
      <c r="P21" s="4" t="s">
        <v>8</v>
      </c>
      <c r="Q21" s="4" t="s">
        <v>2</v>
      </c>
      <c r="R21" s="4" t="s">
        <v>9</v>
      </c>
      <c r="S21" s="19">
        <v>3</v>
      </c>
      <c r="T21" s="20">
        <v>0.20833333333333334</v>
      </c>
      <c r="U21" s="4" t="s">
        <v>10</v>
      </c>
      <c r="V21" s="4" t="s">
        <v>11</v>
      </c>
      <c r="W21" s="4" t="s">
        <v>137</v>
      </c>
      <c r="X21" s="26" t="s">
        <v>138</v>
      </c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</row>
    <row r="22" spans="1:54" ht="14.25">
      <c r="A22" s="3"/>
      <c r="B22" s="1" t="s">
        <v>139</v>
      </c>
      <c r="C22" s="22">
        <f>180</f>
        <v>180</v>
      </c>
      <c r="D22" s="1" t="s">
        <v>140</v>
      </c>
      <c r="E22" s="23">
        <v>-210</v>
      </c>
      <c r="F22" s="1" t="s">
        <v>140</v>
      </c>
      <c r="G22" s="22">
        <v>-210</v>
      </c>
      <c r="H22" s="2" t="s">
        <v>122</v>
      </c>
      <c r="I22" s="24">
        <v>7.3</v>
      </c>
      <c r="J22" s="3" t="s">
        <v>16</v>
      </c>
      <c r="K22" s="3" t="s">
        <v>28</v>
      </c>
      <c r="L22" s="3" t="s">
        <v>29</v>
      </c>
      <c r="M22" s="3" t="s">
        <v>30</v>
      </c>
      <c r="N22" s="4" t="s">
        <v>135</v>
      </c>
      <c r="O22" s="4" t="s">
        <v>141</v>
      </c>
      <c r="P22" s="4" t="s">
        <v>22</v>
      </c>
      <c r="Q22" s="4" t="s">
        <v>2</v>
      </c>
      <c r="R22" s="4" t="s">
        <v>9</v>
      </c>
      <c r="S22" s="19">
        <v>3</v>
      </c>
      <c r="T22" s="20">
        <v>0.20833333333333334</v>
      </c>
      <c r="U22" s="4" t="s">
        <v>10</v>
      </c>
      <c r="V22" s="4" t="s">
        <v>11</v>
      </c>
      <c r="W22" s="4" t="s">
        <v>142</v>
      </c>
      <c r="X22" s="26" t="s">
        <v>143</v>
      </c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</row>
    <row r="23" spans="1:54" ht="14.25">
      <c r="A23" s="3"/>
      <c r="B23" s="1" t="s">
        <v>144</v>
      </c>
      <c r="C23" s="27">
        <v>-1000</v>
      </c>
      <c r="D23" s="1" t="s">
        <v>145</v>
      </c>
      <c r="E23" s="28">
        <f>700</f>
        <v>700</v>
      </c>
      <c r="F23" s="1" t="s">
        <v>144</v>
      </c>
      <c r="G23" s="28">
        <v>-1000</v>
      </c>
      <c r="H23" s="2" t="s">
        <v>5</v>
      </c>
      <c r="I23" s="3"/>
      <c r="J23" s="3" t="s">
        <v>16</v>
      </c>
      <c r="K23" s="3" t="s">
        <v>28</v>
      </c>
      <c r="L23" s="3" t="s">
        <v>29</v>
      </c>
      <c r="M23" s="3" t="s">
        <v>30</v>
      </c>
      <c r="N23" s="4" t="s">
        <v>31</v>
      </c>
      <c r="O23" s="4" t="s">
        <v>146</v>
      </c>
      <c r="P23" s="4" t="s">
        <v>8</v>
      </c>
      <c r="Q23" s="4" t="s">
        <v>2</v>
      </c>
      <c r="R23" s="4" t="s">
        <v>9</v>
      </c>
      <c r="S23" s="19">
        <v>3</v>
      </c>
      <c r="T23" s="20">
        <v>0.20833333333333334</v>
      </c>
      <c r="U23" s="4" t="s">
        <v>10</v>
      </c>
      <c r="V23" s="4" t="s">
        <v>47</v>
      </c>
      <c r="W23" s="4" t="s">
        <v>147</v>
      </c>
      <c r="X23" s="26" t="s">
        <v>148</v>
      </c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</row>
    <row r="24" spans="1:54" ht="14.25">
      <c r="A24" s="3"/>
      <c r="B24" s="1" t="s">
        <v>149</v>
      </c>
      <c r="C24" s="27">
        <v>-144</v>
      </c>
      <c r="D24" s="1" t="s">
        <v>150</v>
      </c>
      <c r="E24" s="28">
        <f>124</f>
        <v>124</v>
      </c>
      <c r="F24" s="1" t="s">
        <v>149</v>
      </c>
      <c r="G24" s="28">
        <v>-144</v>
      </c>
      <c r="H24" s="2" t="s">
        <v>5</v>
      </c>
      <c r="I24" s="3"/>
      <c r="J24" s="3" t="s">
        <v>16</v>
      </c>
      <c r="K24" s="3" t="s">
        <v>28</v>
      </c>
      <c r="L24" s="3" t="s">
        <v>151</v>
      </c>
      <c r="M24" s="3" t="s">
        <v>152</v>
      </c>
      <c r="N24" s="4" t="s">
        <v>31</v>
      </c>
      <c r="O24" s="4" t="s">
        <v>153</v>
      </c>
      <c r="P24" s="4" t="s">
        <v>8</v>
      </c>
      <c r="Q24" s="4" t="s">
        <v>2</v>
      </c>
      <c r="R24" s="4" t="s">
        <v>46</v>
      </c>
      <c r="S24" s="19">
        <v>3</v>
      </c>
      <c r="T24" s="20">
        <v>0.19513888888888889</v>
      </c>
      <c r="U24" s="4" t="s">
        <v>10</v>
      </c>
      <c r="V24" s="4" t="s">
        <v>11</v>
      </c>
      <c r="W24" s="4" t="s">
        <v>154</v>
      </c>
      <c r="X24" s="26" t="s">
        <v>155</v>
      </c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</row>
    <row r="25" spans="1:54" ht="14.25">
      <c r="A25" s="3"/>
      <c r="B25" s="1" t="s">
        <v>156</v>
      </c>
      <c r="C25" s="27">
        <f>165</f>
        <v>165</v>
      </c>
      <c r="D25" s="1" t="s">
        <v>157</v>
      </c>
      <c r="E25" s="28">
        <v>-190</v>
      </c>
      <c r="F25" s="1" t="s">
        <v>157</v>
      </c>
      <c r="G25" s="28">
        <v>-190</v>
      </c>
      <c r="H25" s="2" t="s">
        <v>122</v>
      </c>
      <c r="I25" s="3"/>
      <c r="J25" s="3" t="s">
        <v>16</v>
      </c>
      <c r="K25" s="3" t="s">
        <v>28</v>
      </c>
      <c r="L25" s="3" t="s">
        <v>158</v>
      </c>
      <c r="M25" s="3" t="s">
        <v>159</v>
      </c>
      <c r="N25" s="4" t="s">
        <v>160</v>
      </c>
      <c r="O25" s="4" t="s">
        <v>161</v>
      </c>
      <c r="P25" s="4" t="s">
        <v>22</v>
      </c>
      <c r="Q25" s="4" t="s">
        <v>2</v>
      </c>
      <c r="R25" s="4" t="s">
        <v>61</v>
      </c>
      <c r="S25" s="19">
        <v>3</v>
      </c>
      <c r="T25" s="20">
        <v>8.611111111111111E-2</v>
      </c>
      <c r="U25" s="4" t="s">
        <v>10</v>
      </c>
      <c r="V25" s="4" t="s">
        <v>162</v>
      </c>
      <c r="W25" s="4" t="s">
        <v>67</v>
      </c>
      <c r="X25" s="26" t="s">
        <v>163</v>
      </c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</row>
    <row r="26" spans="1:54" ht="15">
      <c r="A26" s="3"/>
      <c r="B26" s="1" t="s">
        <v>164</v>
      </c>
      <c r="C26" s="27">
        <v>-210</v>
      </c>
      <c r="D26" s="1" t="s">
        <v>165</v>
      </c>
      <c r="E26" s="28">
        <f>180</f>
        <v>180</v>
      </c>
      <c r="F26" s="1" t="s">
        <v>164</v>
      </c>
      <c r="G26" s="31">
        <v>-240</v>
      </c>
      <c r="H26" s="2" t="s">
        <v>122</v>
      </c>
      <c r="I26" s="3"/>
      <c r="J26" s="3" t="s">
        <v>16</v>
      </c>
      <c r="K26" s="3" t="s">
        <v>28</v>
      </c>
      <c r="L26" s="3" t="s">
        <v>29</v>
      </c>
      <c r="M26" s="3" t="s">
        <v>30</v>
      </c>
      <c r="N26" s="4" t="s">
        <v>166</v>
      </c>
      <c r="O26" s="4" t="s">
        <v>167</v>
      </c>
      <c r="P26" s="4" t="s">
        <v>8</v>
      </c>
      <c r="Q26" s="4" t="s">
        <v>2</v>
      </c>
      <c r="R26" s="4" t="s">
        <v>9</v>
      </c>
      <c r="S26" s="19">
        <v>3</v>
      </c>
      <c r="T26" s="20">
        <v>0.20833333333333334</v>
      </c>
      <c r="U26" s="4" t="s">
        <v>10</v>
      </c>
      <c r="V26" s="4" t="s">
        <v>168</v>
      </c>
      <c r="W26" s="4" t="s">
        <v>169</v>
      </c>
      <c r="X26" s="26" t="s">
        <v>170</v>
      </c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</row>
    <row r="27" spans="1:54" ht="15">
      <c r="A27" s="3"/>
      <c r="B27" s="1" t="s">
        <v>171</v>
      </c>
      <c r="C27" s="27">
        <v>-1000</v>
      </c>
      <c r="D27" s="1" t="s">
        <v>172</v>
      </c>
      <c r="E27" s="28">
        <f>700</f>
        <v>700</v>
      </c>
      <c r="F27" s="1" t="s">
        <v>171</v>
      </c>
      <c r="G27" s="32">
        <v>-1400</v>
      </c>
      <c r="H27" s="2" t="s">
        <v>122</v>
      </c>
      <c r="I27" s="3"/>
      <c r="J27" s="3" t="s">
        <v>16</v>
      </c>
      <c r="K27" s="3" t="s">
        <v>28</v>
      </c>
      <c r="L27" s="3" t="s">
        <v>29</v>
      </c>
      <c r="M27" s="3" t="s">
        <v>30</v>
      </c>
      <c r="N27" s="4" t="s">
        <v>166</v>
      </c>
      <c r="O27" s="4" t="s">
        <v>173</v>
      </c>
      <c r="P27" s="4" t="s">
        <v>8</v>
      </c>
      <c r="Q27" s="4" t="s">
        <v>2</v>
      </c>
      <c r="R27" s="4" t="s">
        <v>9</v>
      </c>
      <c r="S27" s="19">
        <v>3</v>
      </c>
      <c r="T27" s="20">
        <v>0.20833333333333334</v>
      </c>
      <c r="U27" s="4" t="s">
        <v>10</v>
      </c>
      <c r="V27" s="4" t="s">
        <v>168</v>
      </c>
      <c r="W27" s="4" t="s">
        <v>174</v>
      </c>
      <c r="X27" s="26" t="s">
        <v>175</v>
      </c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</row>
    <row r="28" spans="1:54" ht="14.25">
      <c r="A28" s="3"/>
      <c r="B28" s="1" t="s">
        <v>176</v>
      </c>
      <c r="C28" s="27">
        <v>-230</v>
      </c>
      <c r="D28" s="1" t="s">
        <v>3</v>
      </c>
      <c r="E28" s="28">
        <f>195</f>
        <v>195</v>
      </c>
      <c r="F28" s="1" t="s">
        <v>176</v>
      </c>
      <c r="G28" s="27">
        <v>-230</v>
      </c>
      <c r="H28" s="2" t="s">
        <v>5</v>
      </c>
      <c r="I28" s="3"/>
      <c r="J28" s="3"/>
      <c r="K28" s="3"/>
      <c r="L28" s="3"/>
      <c r="M28" s="3"/>
      <c r="N28" s="4" t="s">
        <v>177</v>
      </c>
      <c r="O28" s="4" t="s">
        <v>178</v>
      </c>
      <c r="P28" s="4" t="s">
        <v>179</v>
      </c>
      <c r="Q28" s="4" t="s">
        <v>2</v>
      </c>
      <c r="R28" s="4" t="s">
        <v>180</v>
      </c>
      <c r="S28" s="19">
        <v>2</v>
      </c>
      <c r="T28" s="20">
        <v>0.14444444444444443</v>
      </c>
      <c r="U28" s="4" t="s">
        <v>10</v>
      </c>
      <c r="V28" s="4" t="s">
        <v>96</v>
      </c>
      <c r="W28" s="4" t="s">
        <v>181</v>
      </c>
      <c r="X28" s="26" t="s">
        <v>182</v>
      </c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</row>
    <row r="29" spans="1:54" ht="14.25">
      <c r="A29" s="3"/>
      <c r="B29" s="1" t="s">
        <v>183</v>
      </c>
      <c r="C29" s="27">
        <v>-178</v>
      </c>
      <c r="D29" s="33" t="s">
        <v>184</v>
      </c>
      <c r="E29" s="28">
        <f>153</f>
        <v>153</v>
      </c>
      <c r="F29" s="34" t="s">
        <v>184</v>
      </c>
      <c r="G29" s="28">
        <f>153</f>
        <v>153</v>
      </c>
      <c r="H29" s="2" t="s">
        <v>122</v>
      </c>
      <c r="I29" s="3"/>
      <c r="J29" s="3"/>
      <c r="K29" s="3"/>
      <c r="L29" s="3"/>
      <c r="M29" s="3"/>
      <c r="N29" s="4" t="s">
        <v>185</v>
      </c>
      <c r="O29" s="4" t="s">
        <v>186</v>
      </c>
      <c r="P29" s="4" t="s">
        <v>22</v>
      </c>
      <c r="Q29" s="4" t="s">
        <v>2</v>
      </c>
      <c r="R29" s="4" t="s">
        <v>9</v>
      </c>
      <c r="S29" s="19">
        <v>3</v>
      </c>
      <c r="T29" s="20">
        <v>0.20833333333333334</v>
      </c>
      <c r="U29" s="4" t="s">
        <v>10</v>
      </c>
      <c r="V29" s="4" t="s">
        <v>187</v>
      </c>
      <c r="W29" s="4" t="s">
        <v>188</v>
      </c>
      <c r="X29" s="26" t="s">
        <v>189</v>
      </c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</row>
    <row r="30" spans="1:54" ht="14.25">
      <c r="A30" s="3"/>
      <c r="B30" s="1" t="s">
        <v>190</v>
      </c>
      <c r="C30" s="27">
        <v>-183</v>
      </c>
      <c r="D30" s="33" t="s">
        <v>191</v>
      </c>
      <c r="E30" s="28">
        <f>158</f>
        <v>158</v>
      </c>
      <c r="F30" s="34" t="s">
        <v>191</v>
      </c>
      <c r="G30" s="27">
        <f>158</f>
        <v>158</v>
      </c>
      <c r="H30" s="2" t="s">
        <v>122</v>
      </c>
      <c r="I30" s="3"/>
      <c r="J30" s="3"/>
      <c r="K30" s="3"/>
      <c r="L30" s="3"/>
      <c r="M30" s="3"/>
      <c r="N30" s="4" t="s">
        <v>185</v>
      </c>
      <c r="O30" s="4" t="s">
        <v>192</v>
      </c>
      <c r="P30" s="4" t="s">
        <v>22</v>
      </c>
      <c r="Q30" s="4" t="s">
        <v>2</v>
      </c>
      <c r="R30" s="4" t="s">
        <v>193</v>
      </c>
      <c r="S30" s="19">
        <v>3</v>
      </c>
      <c r="T30" s="20">
        <v>0.20833333333333334</v>
      </c>
      <c r="U30" s="4" t="s">
        <v>10</v>
      </c>
      <c r="V30" s="4" t="s">
        <v>194</v>
      </c>
      <c r="W30" s="4" t="s">
        <v>195</v>
      </c>
      <c r="X30" s="26" t="s">
        <v>196</v>
      </c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</row>
    <row r="31" spans="1:54" ht="15">
      <c r="A31" s="3"/>
      <c r="B31" s="1" t="s">
        <v>197</v>
      </c>
      <c r="C31" s="16">
        <v>-260</v>
      </c>
      <c r="D31" s="1" t="s">
        <v>198</v>
      </c>
      <c r="E31" s="17">
        <f>220</f>
        <v>220</v>
      </c>
      <c r="F31" s="1" t="s">
        <v>197</v>
      </c>
      <c r="G31" s="27">
        <v>-260</v>
      </c>
      <c r="H31" s="29" t="s">
        <v>122</v>
      </c>
      <c r="I31" s="3"/>
      <c r="J31" s="3"/>
      <c r="K31" s="3"/>
      <c r="L31" s="3"/>
      <c r="M31" s="3"/>
      <c r="N31" s="4" t="s">
        <v>37</v>
      </c>
      <c r="O31" s="4" t="s">
        <v>199</v>
      </c>
      <c r="P31" s="4" t="s">
        <v>8</v>
      </c>
      <c r="Q31" s="4" t="s">
        <v>2</v>
      </c>
      <c r="R31" s="4" t="s">
        <v>46</v>
      </c>
      <c r="S31" s="19">
        <v>2</v>
      </c>
      <c r="T31" s="20">
        <v>0.1451388888888889</v>
      </c>
      <c r="U31" s="4" t="s">
        <v>10</v>
      </c>
      <c r="V31" s="4" t="s">
        <v>39</v>
      </c>
      <c r="W31" s="4" t="s">
        <v>97</v>
      </c>
      <c r="X31" s="26" t="s">
        <v>200</v>
      </c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</row>
    <row r="32" spans="1:54" ht="15">
      <c r="A32" s="3"/>
      <c r="B32" s="1" t="s">
        <v>201</v>
      </c>
      <c r="C32" s="16">
        <v>-300</v>
      </c>
      <c r="D32" s="1" t="s">
        <v>202</v>
      </c>
      <c r="E32" s="17">
        <f>250</f>
        <v>250</v>
      </c>
      <c r="F32" s="1" t="s">
        <v>201</v>
      </c>
      <c r="G32" s="28">
        <v>-300</v>
      </c>
      <c r="H32" s="29" t="s">
        <v>122</v>
      </c>
      <c r="I32" s="3"/>
      <c r="J32" s="3"/>
      <c r="K32" s="3"/>
      <c r="L32" s="3"/>
      <c r="M32" s="3"/>
      <c r="N32" s="4" t="s">
        <v>37</v>
      </c>
      <c r="O32" s="4" t="s">
        <v>203</v>
      </c>
      <c r="P32" s="4" t="s">
        <v>8</v>
      </c>
      <c r="Q32" s="4" t="s">
        <v>2</v>
      </c>
      <c r="R32" s="4" t="s">
        <v>9</v>
      </c>
      <c r="S32" s="19">
        <v>3</v>
      </c>
      <c r="T32" s="20">
        <v>0.20833333333333334</v>
      </c>
      <c r="U32" s="4" t="s">
        <v>10</v>
      </c>
      <c r="V32" s="4" t="s">
        <v>23</v>
      </c>
      <c r="W32" s="4" t="s">
        <v>204</v>
      </c>
      <c r="X32" s="26" t="s">
        <v>205</v>
      </c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</row>
    <row r="33" spans="1:54" ht="14.25">
      <c r="A33" s="3"/>
      <c r="B33" s="1" t="s">
        <v>206</v>
      </c>
      <c r="C33" s="16">
        <v>-141</v>
      </c>
      <c r="D33" s="1" t="s">
        <v>99</v>
      </c>
      <c r="E33" s="17">
        <f>121</f>
        <v>121</v>
      </c>
      <c r="F33" s="1" t="s">
        <v>99</v>
      </c>
      <c r="G33" s="17">
        <f>121</f>
        <v>121</v>
      </c>
      <c r="H33" s="2" t="s">
        <v>5</v>
      </c>
      <c r="I33" s="3"/>
      <c r="J33" s="3"/>
      <c r="K33" s="3"/>
      <c r="L33" s="3"/>
      <c r="M33" s="3"/>
      <c r="N33" s="4" t="s">
        <v>207</v>
      </c>
      <c r="O33" s="4" t="s">
        <v>208</v>
      </c>
      <c r="P33" s="4" t="s">
        <v>22</v>
      </c>
      <c r="Q33" s="4" t="s">
        <v>2</v>
      </c>
      <c r="R33" s="4" t="s">
        <v>9</v>
      </c>
      <c r="S33" s="19">
        <v>3</v>
      </c>
      <c r="T33" s="20">
        <v>0.20833333333333334</v>
      </c>
      <c r="U33" s="4" t="s">
        <v>10</v>
      </c>
      <c r="V33" s="4" t="s">
        <v>209</v>
      </c>
      <c r="W33" s="4" t="s">
        <v>210</v>
      </c>
      <c r="X33" s="26" t="s">
        <v>211</v>
      </c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</row>
    <row r="34" spans="1:54" ht="14.25">
      <c r="A34" s="3"/>
      <c r="B34" s="1" t="s">
        <v>120</v>
      </c>
      <c r="C34" s="16">
        <v>-700</v>
      </c>
      <c r="D34" s="1" t="s">
        <v>212</v>
      </c>
      <c r="E34" s="17">
        <f>700</f>
        <v>700</v>
      </c>
      <c r="F34" s="1" t="s">
        <v>120</v>
      </c>
      <c r="G34" s="16">
        <v>-700</v>
      </c>
      <c r="H34" s="2" t="s">
        <v>5</v>
      </c>
      <c r="I34" s="3"/>
      <c r="J34" s="3"/>
      <c r="K34" s="3"/>
      <c r="L34" s="3"/>
      <c r="M34" s="3"/>
      <c r="N34" s="4" t="s">
        <v>65</v>
      </c>
      <c r="O34" s="4" t="s">
        <v>213</v>
      </c>
      <c r="P34" s="4" t="s">
        <v>8</v>
      </c>
      <c r="Q34" s="4" t="s">
        <v>2</v>
      </c>
      <c r="R34" s="4" t="s">
        <v>61</v>
      </c>
      <c r="S34" s="19">
        <v>3</v>
      </c>
      <c r="T34" s="20">
        <v>4.027777777777778E-2</v>
      </c>
      <c r="U34" s="4" t="s">
        <v>10</v>
      </c>
      <c r="V34" s="4" t="s">
        <v>39</v>
      </c>
      <c r="W34" s="4" t="s">
        <v>67</v>
      </c>
      <c r="X34" s="26" t="s">
        <v>214</v>
      </c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</row>
    <row r="35" spans="1:54" ht="14.25">
      <c r="A35" s="3"/>
      <c r="B35" s="1" t="s">
        <v>215</v>
      </c>
      <c r="C35" s="16">
        <f>136</f>
        <v>136</v>
      </c>
      <c r="D35" s="1" t="s">
        <v>121</v>
      </c>
      <c r="E35" s="17">
        <v>-136</v>
      </c>
      <c r="F35" s="1" t="s">
        <v>121</v>
      </c>
      <c r="G35" s="17">
        <f>136</f>
        <v>136</v>
      </c>
      <c r="H35" s="2" t="s">
        <v>5</v>
      </c>
      <c r="I35" s="3"/>
      <c r="J35" s="3"/>
      <c r="K35" s="3"/>
      <c r="L35" s="3"/>
      <c r="M35" s="3"/>
      <c r="N35" s="4" t="s">
        <v>71</v>
      </c>
      <c r="O35" s="4" t="s">
        <v>216</v>
      </c>
      <c r="P35" s="4" t="s">
        <v>8</v>
      </c>
      <c r="Q35" s="4" t="s">
        <v>2</v>
      </c>
      <c r="R35" s="4" t="s">
        <v>9</v>
      </c>
      <c r="S35" s="19">
        <v>3</v>
      </c>
      <c r="T35" s="20">
        <v>0.20833333333333334</v>
      </c>
      <c r="U35" s="4" t="s">
        <v>10</v>
      </c>
      <c r="V35" s="4" t="s">
        <v>39</v>
      </c>
      <c r="W35" s="4" t="s">
        <v>217</v>
      </c>
      <c r="X35" s="3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</row>
    <row r="36" spans="1:54" ht="14.25">
      <c r="A36" s="3"/>
      <c r="B36" s="1" t="s">
        <v>51</v>
      </c>
      <c r="C36" s="16">
        <v>-325</v>
      </c>
      <c r="D36" s="1" t="s">
        <v>218</v>
      </c>
      <c r="E36" s="17">
        <f>325</f>
        <v>325</v>
      </c>
      <c r="F36" s="1" t="s">
        <v>51</v>
      </c>
      <c r="G36" s="17">
        <v>-325</v>
      </c>
      <c r="H36" s="2" t="s">
        <v>5</v>
      </c>
      <c r="I36" s="3"/>
      <c r="J36" s="3"/>
      <c r="K36" s="3"/>
      <c r="L36" s="3"/>
      <c r="M36" s="3"/>
      <c r="N36" s="4" t="s">
        <v>71</v>
      </c>
      <c r="O36" s="4" t="s">
        <v>219</v>
      </c>
      <c r="P36" s="4" t="s">
        <v>8</v>
      </c>
      <c r="Q36" s="4" t="s">
        <v>2</v>
      </c>
      <c r="R36" s="4" t="s">
        <v>9</v>
      </c>
      <c r="S36" s="19">
        <v>3</v>
      </c>
      <c r="T36" s="20">
        <v>0.20833333333333334</v>
      </c>
      <c r="U36" s="4" t="s">
        <v>10</v>
      </c>
      <c r="V36" s="4" t="s">
        <v>73</v>
      </c>
      <c r="W36" s="4" t="s">
        <v>220</v>
      </c>
      <c r="X36" s="3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</row>
    <row r="37" spans="1:54" ht="14.25">
      <c r="A37" s="12"/>
      <c r="B37" s="7"/>
      <c r="C37" s="35"/>
      <c r="D37" s="7"/>
      <c r="E37" s="36"/>
      <c r="F37" s="7"/>
      <c r="G37" s="37"/>
      <c r="H37" s="11"/>
      <c r="I37" s="12"/>
      <c r="J37" s="12"/>
      <c r="K37" s="12"/>
      <c r="L37" s="12"/>
      <c r="M37" s="12"/>
      <c r="N37" s="13"/>
      <c r="O37" s="13"/>
      <c r="P37" s="13"/>
      <c r="Q37" s="13"/>
      <c r="R37" s="13"/>
      <c r="S37" s="14"/>
      <c r="T37" s="15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</row>
    <row r="38" spans="1:54" ht="14.25">
      <c r="A38" s="3"/>
      <c r="B38" s="1" t="s">
        <v>221</v>
      </c>
      <c r="C38" s="16">
        <f>130</f>
        <v>130</v>
      </c>
      <c r="D38" s="1" t="s">
        <v>222</v>
      </c>
      <c r="E38" s="17">
        <v>-130</v>
      </c>
      <c r="F38" s="1" t="s">
        <v>221</v>
      </c>
      <c r="G38" s="16">
        <f>130</f>
        <v>130</v>
      </c>
      <c r="H38" s="2" t="s">
        <v>5</v>
      </c>
      <c r="I38" s="3"/>
      <c r="J38" s="3"/>
      <c r="K38" s="3"/>
      <c r="L38" s="3"/>
      <c r="M38" s="3"/>
      <c r="N38" s="4" t="s">
        <v>223</v>
      </c>
      <c r="O38" s="4" t="s">
        <v>224</v>
      </c>
      <c r="P38" s="4" t="s">
        <v>8</v>
      </c>
      <c r="Q38" s="4" t="s">
        <v>225</v>
      </c>
      <c r="R38" s="4" t="s">
        <v>9</v>
      </c>
      <c r="S38" s="19">
        <v>3</v>
      </c>
      <c r="T38" s="20">
        <v>0.20833333333333334</v>
      </c>
      <c r="U38" s="4" t="s">
        <v>10</v>
      </c>
      <c r="V38" s="4" t="s">
        <v>226</v>
      </c>
      <c r="W38" s="4" t="s">
        <v>227</v>
      </c>
      <c r="X38" s="26" t="s">
        <v>228</v>
      </c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</row>
    <row r="39" spans="1:54" ht="14.25">
      <c r="A39" s="3"/>
      <c r="B39" s="38" t="s">
        <v>229</v>
      </c>
      <c r="C39" s="39">
        <v>-161</v>
      </c>
      <c r="D39" s="38" t="s">
        <v>230</v>
      </c>
      <c r="E39" s="40">
        <f>161</f>
        <v>161</v>
      </c>
      <c r="F39" s="38" t="s">
        <v>230</v>
      </c>
      <c r="G39" s="40">
        <f>161</f>
        <v>161</v>
      </c>
      <c r="H39" s="41" t="s">
        <v>5</v>
      </c>
      <c r="I39" s="3"/>
      <c r="J39" s="3"/>
      <c r="K39" s="3"/>
      <c r="L39" s="3"/>
      <c r="M39" s="3"/>
      <c r="N39" s="4" t="s">
        <v>231</v>
      </c>
      <c r="O39" s="4" t="s">
        <v>232</v>
      </c>
      <c r="P39" s="4" t="s">
        <v>8</v>
      </c>
      <c r="Q39" s="4" t="s">
        <v>225</v>
      </c>
      <c r="R39" s="4" t="s">
        <v>46</v>
      </c>
      <c r="S39" s="19">
        <v>1</v>
      </c>
      <c r="T39" s="20">
        <v>0.1673611111111111</v>
      </c>
      <c r="U39" s="4" t="s">
        <v>10</v>
      </c>
      <c r="V39" s="4" t="s">
        <v>233</v>
      </c>
      <c r="W39" s="4" t="s">
        <v>48</v>
      </c>
      <c r="X39" s="3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</row>
    <row r="40" spans="1:54" ht="14.25">
      <c r="A40" s="12"/>
      <c r="B40" s="7"/>
      <c r="C40" s="35"/>
      <c r="D40" s="7"/>
      <c r="E40" s="36"/>
      <c r="F40" s="7"/>
      <c r="G40" s="36"/>
      <c r="H40" s="11"/>
      <c r="I40" s="12"/>
      <c r="J40" s="12"/>
      <c r="K40" s="12"/>
      <c r="L40" s="12"/>
      <c r="M40" s="12"/>
      <c r="N40" s="13"/>
      <c r="O40" s="13"/>
      <c r="P40" s="13"/>
      <c r="Q40" s="13"/>
      <c r="R40" s="13"/>
      <c r="S40" s="14"/>
      <c r="T40" s="15"/>
      <c r="U40" s="13"/>
      <c r="V40" s="13"/>
      <c r="W40" s="13"/>
      <c r="X40" s="12"/>
      <c r="Y40" s="12"/>
      <c r="Z40" s="12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</row>
    <row r="41" spans="1:54" ht="14.25">
      <c r="A41" s="3"/>
      <c r="B41" s="1" t="s">
        <v>234</v>
      </c>
      <c r="C41" s="16">
        <f>102</f>
        <v>102</v>
      </c>
      <c r="D41" s="1" t="s">
        <v>235</v>
      </c>
      <c r="E41" s="17">
        <v>-102</v>
      </c>
      <c r="F41" s="1" t="s">
        <v>235</v>
      </c>
      <c r="G41" s="2">
        <v>-102</v>
      </c>
      <c r="H41" s="17" t="s">
        <v>5</v>
      </c>
      <c r="J41" s="3"/>
      <c r="K41" s="3"/>
      <c r="L41" s="3"/>
      <c r="M41" s="3"/>
      <c r="N41" s="4" t="s">
        <v>6</v>
      </c>
      <c r="O41" s="4" t="s">
        <v>236</v>
      </c>
      <c r="P41" s="4" t="s">
        <v>22</v>
      </c>
      <c r="Q41" s="4" t="s">
        <v>237</v>
      </c>
      <c r="R41" s="4" t="s">
        <v>9</v>
      </c>
      <c r="S41" s="19">
        <v>3</v>
      </c>
      <c r="T41" s="20">
        <v>0.20833333333333334</v>
      </c>
      <c r="U41" s="4" t="s">
        <v>10</v>
      </c>
      <c r="V41" s="4" t="s">
        <v>11</v>
      </c>
      <c r="W41" s="4" t="s">
        <v>238</v>
      </c>
      <c r="X41" s="3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</row>
    <row r="42" spans="1:54" ht="14.25">
      <c r="A42" s="3"/>
      <c r="B42" s="1" t="s">
        <v>239</v>
      </c>
      <c r="C42" s="22">
        <f>118</f>
        <v>118</v>
      </c>
      <c r="D42" s="1" t="s">
        <v>240</v>
      </c>
      <c r="E42" s="23">
        <v>-138</v>
      </c>
      <c r="F42" s="1" t="s">
        <v>241</v>
      </c>
      <c r="G42" s="22">
        <f>118</f>
        <v>118</v>
      </c>
      <c r="H42" s="2" t="s">
        <v>1</v>
      </c>
      <c r="I42" s="24">
        <v>6.9</v>
      </c>
      <c r="J42" s="1" t="s">
        <v>61</v>
      </c>
      <c r="K42" s="24">
        <v>-160</v>
      </c>
      <c r="L42" s="1" t="s">
        <v>242</v>
      </c>
      <c r="M42" s="3"/>
      <c r="N42" s="4" t="s">
        <v>87</v>
      </c>
      <c r="O42" s="4" t="s">
        <v>243</v>
      </c>
      <c r="P42" s="4" t="s">
        <v>22</v>
      </c>
      <c r="Q42" s="4" t="s">
        <v>237</v>
      </c>
      <c r="R42" s="4" t="s">
        <v>244</v>
      </c>
      <c r="S42" s="19">
        <v>2</v>
      </c>
      <c r="T42" s="20">
        <v>0.14930555555555555</v>
      </c>
      <c r="U42" s="4" t="s">
        <v>10</v>
      </c>
      <c r="V42" s="4" t="s">
        <v>245</v>
      </c>
      <c r="W42" s="4" t="s">
        <v>246</v>
      </c>
      <c r="X42" s="26" t="s">
        <v>247</v>
      </c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</row>
    <row r="43" spans="1:54" ht="14.25">
      <c r="A43" s="3"/>
      <c r="B43" s="1" t="s">
        <v>248</v>
      </c>
      <c r="C43" s="22">
        <v>-170</v>
      </c>
      <c r="D43" s="1" t="s">
        <v>249</v>
      </c>
      <c r="E43" s="23">
        <f>145</f>
        <v>145</v>
      </c>
      <c r="F43" s="1" t="s">
        <v>248</v>
      </c>
      <c r="G43" s="22">
        <v>-170</v>
      </c>
      <c r="H43" s="2" t="s">
        <v>1</v>
      </c>
      <c r="I43" s="24">
        <v>7.5</v>
      </c>
      <c r="J43" s="1" t="s">
        <v>18</v>
      </c>
      <c r="K43" s="24">
        <v>-160</v>
      </c>
      <c r="L43" s="1"/>
      <c r="M43" s="1"/>
      <c r="N43" s="4" t="s">
        <v>94</v>
      </c>
      <c r="O43" s="4" t="s">
        <v>250</v>
      </c>
      <c r="P43" s="4" t="s">
        <v>22</v>
      </c>
      <c r="Q43" s="4" t="s">
        <v>237</v>
      </c>
      <c r="R43" s="4" t="s">
        <v>9</v>
      </c>
      <c r="S43" s="19">
        <v>3</v>
      </c>
      <c r="T43" s="20">
        <v>0.20833333333333334</v>
      </c>
      <c r="U43" s="4" t="s">
        <v>10</v>
      </c>
      <c r="V43" s="4" t="s">
        <v>23</v>
      </c>
      <c r="W43" s="4" t="s">
        <v>251</v>
      </c>
      <c r="X43" s="26" t="s">
        <v>252</v>
      </c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</row>
    <row r="44" spans="1:54" ht="14.25">
      <c r="A44" s="3"/>
      <c r="B44" s="1" t="s">
        <v>253</v>
      </c>
      <c r="C44" s="22">
        <f>115</f>
        <v>115</v>
      </c>
      <c r="D44" s="1" t="s">
        <v>254</v>
      </c>
      <c r="E44" s="23">
        <v>-135</v>
      </c>
      <c r="F44" s="1" t="s">
        <v>253</v>
      </c>
      <c r="G44" s="22">
        <f>115</f>
        <v>115</v>
      </c>
      <c r="H44" s="2" t="s">
        <v>1</v>
      </c>
      <c r="I44" s="24">
        <v>6.4</v>
      </c>
      <c r="J44" s="1" t="s">
        <v>18</v>
      </c>
      <c r="K44" s="1" t="s">
        <v>255</v>
      </c>
      <c r="L44" s="1" t="s">
        <v>256</v>
      </c>
      <c r="M44" s="3"/>
      <c r="N44" s="4" t="s">
        <v>103</v>
      </c>
      <c r="O44" s="4" t="s">
        <v>257</v>
      </c>
      <c r="P44" s="4" t="s">
        <v>22</v>
      </c>
      <c r="Q44" s="4" t="s">
        <v>237</v>
      </c>
      <c r="R44" s="4" t="s">
        <v>46</v>
      </c>
      <c r="S44" s="19">
        <v>1</v>
      </c>
      <c r="T44" s="20">
        <v>6.1805555555555558E-2</v>
      </c>
      <c r="U44" s="4" t="s">
        <v>10</v>
      </c>
      <c r="V44" s="4" t="s">
        <v>39</v>
      </c>
      <c r="W44" s="4" t="s">
        <v>258</v>
      </c>
      <c r="X44" s="26" t="s">
        <v>259</v>
      </c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</row>
    <row r="45" spans="1:54" ht="14.25">
      <c r="A45" s="3"/>
      <c r="B45" s="1" t="s">
        <v>235</v>
      </c>
      <c r="C45" s="42">
        <v>-235</v>
      </c>
      <c r="D45" s="1" t="s">
        <v>260</v>
      </c>
      <c r="E45" s="43">
        <f>200</f>
        <v>200</v>
      </c>
      <c r="F45" s="1" t="s">
        <v>235</v>
      </c>
      <c r="G45" s="43">
        <v>-235</v>
      </c>
      <c r="H45" s="30" t="s">
        <v>1</v>
      </c>
      <c r="I45" s="24">
        <v>7.3</v>
      </c>
      <c r="J45" s="1" t="s">
        <v>18</v>
      </c>
      <c r="K45" s="3"/>
      <c r="L45" s="1" t="s">
        <v>261</v>
      </c>
      <c r="M45" s="3"/>
      <c r="N45" s="4" t="s">
        <v>115</v>
      </c>
      <c r="O45" s="4" t="s">
        <v>262</v>
      </c>
      <c r="P45" s="4" t="s">
        <v>22</v>
      </c>
      <c r="Q45" s="4" t="s">
        <v>237</v>
      </c>
      <c r="R45" s="4" t="s">
        <v>46</v>
      </c>
      <c r="S45" s="19">
        <v>1</v>
      </c>
      <c r="T45" s="20">
        <v>0.16666666666666666</v>
      </c>
      <c r="U45" s="4" t="s">
        <v>10</v>
      </c>
      <c r="V45" s="4" t="s">
        <v>263</v>
      </c>
      <c r="W45" s="4" t="s">
        <v>97</v>
      </c>
      <c r="X45" s="26" t="s">
        <v>264</v>
      </c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</row>
    <row r="46" spans="1:54" ht="14.25">
      <c r="A46" s="3"/>
      <c r="B46" s="1" t="s">
        <v>265</v>
      </c>
      <c r="C46" s="44">
        <v>-127</v>
      </c>
      <c r="D46" s="1" t="s">
        <v>266</v>
      </c>
      <c r="E46" s="45">
        <f>107</f>
        <v>107</v>
      </c>
      <c r="F46" s="1" t="s">
        <v>266</v>
      </c>
      <c r="G46" s="44">
        <f>107</f>
        <v>107</v>
      </c>
      <c r="H46" s="30" t="s">
        <v>1</v>
      </c>
      <c r="I46" s="24">
        <v>7.4</v>
      </c>
      <c r="J46" s="1" t="s">
        <v>18</v>
      </c>
      <c r="K46" s="3"/>
      <c r="L46" s="1" t="s">
        <v>267</v>
      </c>
      <c r="M46" s="3"/>
      <c r="N46" s="4" t="s">
        <v>115</v>
      </c>
      <c r="O46" s="4" t="s">
        <v>268</v>
      </c>
      <c r="P46" s="4" t="s">
        <v>8</v>
      </c>
      <c r="Q46" s="4" t="s">
        <v>237</v>
      </c>
      <c r="R46" s="4" t="s">
        <v>46</v>
      </c>
      <c r="S46" s="19">
        <v>3</v>
      </c>
      <c r="T46" s="20">
        <v>1.5277777777777777E-2</v>
      </c>
      <c r="U46" s="4" t="s">
        <v>10</v>
      </c>
      <c r="V46" s="4" t="s">
        <v>11</v>
      </c>
      <c r="W46" s="4" t="s">
        <v>48</v>
      </c>
      <c r="X46" s="26" t="s">
        <v>269</v>
      </c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</row>
    <row r="47" spans="1:54" ht="14.25">
      <c r="A47" s="3"/>
      <c r="B47" s="1" t="s">
        <v>270</v>
      </c>
      <c r="C47" s="44">
        <v>-157</v>
      </c>
      <c r="D47" s="1" t="s">
        <v>271</v>
      </c>
      <c r="E47" s="45">
        <f t="shared" ref="E47:E48" si="1">137</f>
        <v>137</v>
      </c>
      <c r="F47" s="1" t="s">
        <v>270</v>
      </c>
      <c r="G47" s="45">
        <v>-157</v>
      </c>
      <c r="H47" s="30" t="s">
        <v>1</v>
      </c>
      <c r="I47" s="3"/>
      <c r="J47" s="3" t="s">
        <v>16</v>
      </c>
      <c r="K47" s="3" t="s">
        <v>272</v>
      </c>
      <c r="L47" s="3" t="s">
        <v>273</v>
      </c>
      <c r="M47" s="3" t="s">
        <v>274</v>
      </c>
      <c r="N47" s="4" t="s">
        <v>125</v>
      </c>
      <c r="O47" s="4" t="s">
        <v>275</v>
      </c>
      <c r="P47" s="4" t="s">
        <v>22</v>
      </c>
      <c r="Q47" s="4" t="s">
        <v>237</v>
      </c>
      <c r="R47" s="4" t="s">
        <v>61</v>
      </c>
      <c r="S47" s="19">
        <v>2</v>
      </c>
      <c r="T47" s="20">
        <v>7.6388888888888895E-2</v>
      </c>
      <c r="U47" s="4" t="s">
        <v>10</v>
      </c>
      <c r="V47" s="4" t="s">
        <v>55</v>
      </c>
      <c r="W47" s="4" t="s">
        <v>67</v>
      </c>
      <c r="X47" s="26" t="s">
        <v>276</v>
      </c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</row>
    <row r="48" spans="1:54" ht="14.25">
      <c r="A48" s="3"/>
      <c r="B48" s="1" t="s">
        <v>277</v>
      </c>
      <c r="C48" s="44">
        <v>-157</v>
      </c>
      <c r="D48" s="1" t="s">
        <v>278</v>
      </c>
      <c r="E48" s="45">
        <f t="shared" si="1"/>
        <v>137</v>
      </c>
      <c r="F48" s="1" t="s">
        <v>278</v>
      </c>
      <c r="G48" s="44">
        <f>137</f>
        <v>137</v>
      </c>
      <c r="H48" s="30" t="s">
        <v>1</v>
      </c>
      <c r="I48" s="3"/>
      <c r="J48" s="3" t="s">
        <v>16</v>
      </c>
      <c r="K48" s="3" t="s">
        <v>272</v>
      </c>
      <c r="L48" s="3" t="s">
        <v>279</v>
      </c>
      <c r="M48" s="3" t="s">
        <v>280</v>
      </c>
      <c r="N48" s="4" t="s">
        <v>125</v>
      </c>
      <c r="O48" s="4" t="s">
        <v>281</v>
      </c>
      <c r="P48" s="4" t="s">
        <v>8</v>
      </c>
      <c r="Q48" s="4" t="s">
        <v>237</v>
      </c>
      <c r="R48" s="4" t="s">
        <v>61</v>
      </c>
      <c r="S48" s="19">
        <v>1</v>
      </c>
      <c r="T48" s="20">
        <v>0.11458333333333333</v>
      </c>
      <c r="U48" s="4" t="s">
        <v>10</v>
      </c>
      <c r="V48" s="4" t="s">
        <v>96</v>
      </c>
      <c r="W48" s="4" t="s">
        <v>282</v>
      </c>
      <c r="X48" s="26" t="s">
        <v>283</v>
      </c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</row>
    <row r="49" spans="1:54" ht="14.25">
      <c r="A49" s="3"/>
      <c r="B49" s="1" t="s">
        <v>284</v>
      </c>
      <c r="C49" s="44">
        <f>165</f>
        <v>165</v>
      </c>
      <c r="D49" s="1" t="s">
        <v>285</v>
      </c>
      <c r="E49" s="45">
        <v>-190</v>
      </c>
      <c r="F49" s="1" t="s">
        <v>285</v>
      </c>
      <c r="G49" s="44">
        <v>-190</v>
      </c>
      <c r="H49" s="30" t="s">
        <v>1</v>
      </c>
      <c r="I49" s="3"/>
      <c r="J49" s="3" t="s">
        <v>16</v>
      </c>
      <c r="K49" s="3" t="s">
        <v>272</v>
      </c>
      <c r="L49" s="3" t="s">
        <v>29</v>
      </c>
      <c r="M49" s="3" t="s">
        <v>30</v>
      </c>
      <c r="N49" s="4" t="s">
        <v>125</v>
      </c>
      <c r="O49" s="4" t="s">
        <v>286</v>
      </c>
      <c r="P49" s="4" t="s">
        <v>8</v>
      </c>
      <c r="Q49" s="4" t="s">
        <v>237</v>
      </c>
      <c r="R49" s="4" t="s">
        <v>9</v>
      </c>
      <c r="S49" s="19">
        <v>3</v>
      </c>
      <c r="T49" s="20">
        <v>0.20833333333333334</v>
      </c>
      <c r="U49" s="4" t="s">
        <v>10</v>
      </c>
      <c r="V49" s="4" t="s">
        <v>39</v>
      </c>
      <c r="W49" s="4" t="s">
        <v>287</v>
      </c>
      <c r="X49" s="26" t="s">
        <v>288</v>
      </c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</row>
    <row r="50" spans="1:54" ht="14.25">
      <c r="A50" s="3"/>
      <c r="B50" s="1" t="s">
        <v>215</v>
      </c>
      <c r="C50" s="44">
        <f>159</f>
        <v>159</v>
      </c>
      <c r="D50" s="1" t="s">
        <v>289</v>
      </c>
      <c r="E50" s="45">
        <v>-184</v>
      </c>
      <c r="F50" s="1" t="s">
        <v>289</v>
      </c>
      <c r="G50" s="44">
        <v>-184</v>
      </c>
      <c r="H50" s="2" t="s">
        <v>1</v>
      </c>
      <c r="I50" s="24">
        <v>8</v>
      </c>
      <c r="J50" s="24" t="s">
        <v>16</v>
      </c>
      <c r="K50" s="24" t="s">
        <v>290</v>
      </c>
      <c r="L50" s="24" t="s">
        <v>18</v>
      </c>
      <c r="M50" s="24" t="s">
        <v>291</v>
      </c>
      <c r="N50" s="4" t="s">
        <v>20</v>
      </c>
      <c r="O50" s="4" t="s">
        <v>292</v>
      </c>
      <c r="P50" s="4" t="s">
        <v>8</v>
      </c>
      <c r="Q50" s="4" t="s">
        <v>237</v>
      </c>
      <c r="R50" s="4" t="s">
        <v>193</v>
      </c>
      <c r="S50" s="19">
        <v>3</v>
      </c>
      <c r="T50" s="20">
        <v>0.20833333333333334</v>
      </c>
      <c r="U50" s="4" t="s">
        <v>10</v>
      </c>
      <c r="V50" s="4" t="s">
        <v>23</v>
      </c>
      <c r="W50" s="4" t="s">
        <v>293</v>
      </c>
      <c r="X50" s="26" t="s">
        <v>294</v>
      </c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</row>
    <row r="51" spans="1:54" ht="14.25">
      <c r="A51" s="3"/>
      <c r="B51" s="1" t="s">
        <v>295</v>
      </c>
      <c r="C51" s="46">
        <v>-148</v>
      </c>
      <c r="D51" s="1" t="s">
        <v>296</v>
      </c>
      <c r="E51" s="47">
        <f>128</f>
        <v>128</v>
      </c>
      <c r="F51" s="1" t="s">
        <v>295</v>
      </c>
      <c r="G51" s="47">
        <v>-148</v>
      </c>
      <c r="H51" s="2" t="s">
        <v>1</v>
      </c>
      <c r="I51" s="3"/>
      <c r="J51" s="3" t="s">
        <v>16</v>
      </c>
      <c r="K51" s="3" t="s">
        <v>272</v>
      </c>
      <c r="L51" s="3" t="s">
        <v>297</v>
      </c>
      <c r="M51" s="3" t="s">
        <v>298</v>
      </c>
      <c r="N51" s="4" t="s">
        <v>160</v>
      </c>
      <c r="O51" s="4" t="s">
        <v>299</v>
      </c>
      <c r="P51" s="4" t="s">
        <v>22</v>
      </c>
      <c r="Q51" s="4" t="s">
        <v>237</v>
      </c>
      <c r="R51" s="4" t="s">
        <v>61</v>
      </c>
      <c r="S51" s="19">
        <v>3</v>
      </c>
      <c r="T51" s="20">
        <v>4.027777777777778E-2</v>
      </c>
      <c r="U51" s="4" t="s">
        <v>54</v>
      </c>
      <c r="V51" s="4" t="s">
        <v>47</v>
      </c>
      <c r="W51" s="4" t="s">
        <v>62</v>
      </c>
      <c r="X51" s="26" t="s">
        <v>300</v>
      </c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</row>
    <row r="52" spans="1:54" ht="15">
      <c r="A52" s="3"/>
      <c r="B52" s="1" t="s">
        <v>301</v>
      </c>
      <c r="C52" s="46">
        <f>300</f>
        <v>300</v>
      </c>
      <c r="D52" s="1" t="s">
        <v>302</v>
      </c>
      <c r="E52" s="47">
        <v>-400</v>
      </c>
      <c r="F52" s="1" t="s">
        <v>301</v>
      </c>
      <c r="G52" s="48">
        <v>400</v>
      </c>
      <c r="H52" s="2" t="s">
        <v>1</v>
      </c>
      <c r="I52" s="3"/>
      <c r="J52" s="3" t="s">
        <v>16</v>
      </c>
      <c r="K52" s="3" t="s">
        <v>272</v>
      </c>
      <c r="L52" s="3" t="s">
        <v>303</v>
      </c>
      <c r="M52" s="3" t="s">
        <v>304</v>
      </c>
      <c r="N52" s="4" t="s">
        <v>160</v>
      </c>
      <c r="O52" s="4" t="s">
        <v>305</v>
      </c>
      <c r="P52" s="4" t="s">
        <v>22</v>
      </c>
      <c r="Q52" s="4" t="s">
        <v>237</v>
      </c>
      <c r="R52" s="4" t="s">
        <v>46</v>
      </c>
      <c r="S52" s="19">
        <v>1</v>
      </c>
      <c r="T52" s="20">
        <v>3.0555555555555555E-2</v>
      </c>
      <c r="U52" s="4" t="s">
        <v>10</v>
      </c>
      <c r="V52" s="4" t="s">
        <v>306</v>
      </c>
      <c r="W52" s="4" t="s">
        <v>307</v>
      </c>
      <c r="X52" s="26" t="s">
        <v>308</v>
      </c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</row>
    <row r="53" spans="1:54" ht="14.25">
      <c r="A53" s="3"/>
      <c r="B53" s="1" t="s">
        <v>309</v>
      </c>
      <c r="C53" s="46">
        <f>125</f>
        <v>125</v>
      </c>
      <c r="D53" s="1" t="s">
        <v>310</v>
      </c>
      <c r="E53" s="47">
        <v>-145</v>
      </c>
      <c r="F53" s="1" t="s">
        <v>309</v>
      </c>
      <c r="G53" s="46">
        <f>125</f>
        <v>125</v>
      </c>
      <c r="H53" s="2" t="s">
        <v>1</v>
      </c>
      <c r="I53" s="3"/>
      <c r="J53" s="3"/>
      <c r="K53" s="3"/>
      <c r="L53" s="3"/>
      <c r="M53" s="3"/>
      <c r="N53" s="4" t="s">
        <v>311</v>
      </c>
      <c r="O53" s="4" t="s">
        <v>312</v>
      </c>
      <c r="P53" s="4" t="s">
        <v>8</v>
      </c>
      <c r="Q53" s="4" t="s">
        <v>237</v>
      </c>
      <c r="R53" s="4" t="s">
        <v>9</v>
      </c>
      <c r="S53" s="19">
        <v>3</v>
      </c>
      <c r="T53" s="20">
        <v>0.20833333333333334</v>
      </c>
      <c r="U53" s="4" t="s">
        <v>10</v>
      </c>
      <c r="V53" s="4" t="s">
        <v>39</v>
      </c>
      <c r="W53" s="4" t="s">
        <v>313</v>
      </c>
      <c r="X53" s="26" t="s">
        <v>314</v>
      </c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</row>
    <row r="54" spans="1:54" ht="14.25">
      <c r="A54" s="3"/>
      <c r="B54" s="1" t="s">
        <v>315</v>
      </c>
      <c r="C54" s="49">
        <f>200</f>
        <v>200</v>
      </c>
      <c r="D54" s="1" t="s">
        <v>316</v>
      </c>
      <c r="E54" s="50">
        <v>-235</v>
      </c>
      <c r="F54" s="1" t="s">
        <v>316</v>
      </c>
      <c r="G54" s="46">
        <v>-235</v>
      </c>
      <c r="H54" s="2" t="s">
        <v>1</v>
      </c>
      <c r="I54" s="3"/>
      <c r="J54" s="3"/>
      <c r="K54" s="3"/>
      <c r="L54" s="3"/>
      <c r="M54" s="3"/>
      <c r="N54" s="4" t="s">
        <v>44</v>
      </c>
      <c r="O54" s="4" t="s">
        <v>317</v>
      </c>
      <c r="P54" s="4" t="s">
        <v>8</v>
      </c>
      <c r="Q54" s="4" t="s">
        <v>237</v>
      </c>
      <c r="R54" s="4" t="s">
        <v>46</v>
      </c>
      <c r="S54" s="19">
        <v>1</v>
      </c>
      <c r="T54" s="20">
        <v>8.1250000000000003E-2</v>
      </c>
      <c r="U54" s="4" t="s">
        <v>10</v>
      </c>
      <c r="V54" s="4" t="s">
        <v>55</v>
      </c>
      <c r="W54" s="4" t="s">
        <v>48</v>
      </c>
      <c r="X54" s="26" t="s">
        <v>318</v>
      </c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</row>
    <row r="55" spans="1:54" ht="14.25">
      <c r="A55" s="3"/>
      <c r="B55" s="1" t="s">
        <v>319</v>
      </c>
      <c r="C55" s="49">
        <v>-173</v>
      </c>
      <c r="D55" s="1" t="s">
        <v>320</v>
      </c>
      <c r="E55" s="50">
        <f>148</f>
        <v>148</v>
      </c>
      <c r="F55" s="1" t="s">
        <v>320</v>
      </c>
      <c r="G55" s="46">
        <f>148</f>
        <v>148</v>
      </c>
      <c r="H55" s="2" t="s">
        <v>1</v>
      </c>
      <c r="I55" s="3"/>
      <c r="J55" s="3"/>
      <c r="K55" s="3"/>
      <c r="L55" s="3"/>
      <c r="M55" s="3"/>
      <c r="N55" s="4" t="s">
        <v>44</v>
      </c>
      <c r="O55" s="4" t="s">
        <v>321</v>
      </c>
      <c r="P55" s="4" t="s">
        <v>8</v>
      </c>
      <c r="Q55" s="4" t="s">
        <v>237</v>
      </c>
      <c r="R55" s="4" t="s">
        <v>46</v>
      </c>
      <c r="S55" s="19">
        <v>1</v>
      </c>
      <c r="T55" s="20">
        <v>0.14722222222222223</v>
      </c>
      <c r="U55" s="4" t="s">
        <v>10</v>
      </c>
      <c r="V55" s="4" t="s">
        <v>96</v>
      </c>
      <c r="W55" s="4" t="s">
        <v>48</v>
      </c>
      <c r="X55" s="26" t="s">
        <v>322</v>
      </c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</row>
    <row r="56" spans="1:54" ht="14.25">
      <c r="A56" s="3"/>
      <c r="B56" s="1" t="s">
        <v>248</v>
      </c>
      <c r="C56" s="49">
        <v>-130</v>
      </c>
      <c r="D56" s="1" t="s">
        <v>240</v>
      </c>
      <c r="E56" s="50">
        <f>130</f>
        <v>130</v>
      </c>
      <c r="F56" s="1" t="s">
        <v>248</v>
      </c>
      <c r="G56" s="49">
        <v>-130</v>
      </c>
      <c r="H56" s="2" t="s">
        <v>1</v>
      </c>
      <c r="I56" s="3"/>
      <c r="J56" s="3"/>
      <c r="K56" s="3"/>
      <c r="L56" s="3"/>
      <c r="M56" s="3"/>
      <c r="N56" s="4" t="s">
        <v>65</v>
      </c>
      <c r="O56" s="4" t="s">
        <v>323</v>
      </c>
      <c r="P56" s="4" t="s">
        <v>22</v>
      </c>
      <c r="Q56" s="4" t="s">
        <v>237</v>
      </c>
      <c r="R56" s="4" t="s">
        <v>61</v>
      </c>
      <c r="S56" s="19">
        <v>2</v>
      </c>
      <c r="T56" s="20">
        <v>0.16250000000000001</v>
      </c>
      <c r="U56" s="4" t="s">
        <v>10</v>
      </c>
      <c r="V56" s="4" t="s">
        <v>55</v>
      </c>
      <c r="W56" s="4" t="s">
        <v>324</v>
      </c>
      <c r="X56" s="26" t="s">
        <v>325</v>
      </c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</row>
    <row r="57" spans="1:54" ht="14.25">
      <c r="A57" s="3"/>
      <c r="B57" s="1" t="s">
        <v>326</v>
      </c>
      <c r="C57" s="49">
        <v>-520</v>
      </c>
      <c r="D57" s="1" t="s">
        <v>327</v>
      </c>
      <c r="E57" s="50">
        <f>520</f>
        <v>520</v>
      </c>
      <c r="F57" s="1" t="s">
        <v>327</v>
      </c>
      <c r="G57" s="49">
        <f>520</f>
        <v>520</v>
      </c>
      <c r="H57" s="2" t="s">
        <v>1</v>
      </c>
      <c r="I57" s="3"/>
      <c r="J57" s="3"/>
      <c r="K57" s="3"/>
      <c r="L57" s="3"/>
      <c r="M57" s="3"/>
      <c r="N57" s="4" t="s">
        <v>65</v>
      </c>
      <c r="O57" s="4" t="s">
        <v>328</v>
      </c>
      <c r="P57" s="4" t="s">
        <v>8</v>
      </c>
      <c r="Q57" s="4" t="s">
        <v>237</v>
      </c>
      <c r="R57" s="4" t="s">
        <v>46</v>
      </c>
      <c r="S57" s="19">
        <v>1</v>
      </c>
      <c r="T57" s="20">
        <v>6.3194444444444442E-2</v>
      </c>
      <c r="U57" s="4" t="s">
        <v>10</v>
      </c>
      <c r="V57" s="4" t="s">
        <v>55</v>
      </c>
      <c r="W57" s="4" t="s">
        <v>48</v>
      </c>
      <c r="X57" s="26" t="s">
        <v>329</v>
      </c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</row>
    <row r="58" spans="1:54" ht="14.25">
      <c r="A58" s="3"/>
      <c r="B58" s="1" t="s">
        <v>254</v>
      </c>
      <c r="C58" s="16">
        <f>104</f>
        <v>104</v>
      </c>
      <c r="D58" s="1" t="s">
        <v>330</v>
      </c>
      <c r="E58" s="17">
        <v>-104</v>
      </c>
      <c r="F58" s="1" t="s">
        <v>330</v>
      </c>
      <c r="G58" s="16">
        <v>-104</v>
      </c>
      <c r="H58" s="2" t="s">
        <v>1</v>
      </c>
      <c r="I58" s="3"/>
      <c r="J58" s="3"/>
      <c r="K58" s="3"/>
      <c r="L58" s="3"/>
      <c r="M58" s="3"/>
      <c r="N58" s="4" t="s">
        <v>223</v>
      </c>
      <c r="O58" s="4" t="s">
        <v>331</v>
      </c>
      <c r="P58" s="4" t="s">
        <v>8</v>
      </c>
      <c r="Q58" s="4" t="s">
        <v>237</v>
      </c>
      <c r="R58" s="4" t="s">
        <v>46</v>
      </c>
      <c r="S58" s="19">
        <v>1</v>
      </c>
      <c r="T58" s="20">
        <v>6.25E-2</v>
      </c>
      <c r="U58" s="4" t="s">
        <v>10</v>
      </c>
      <c r="V58" s="4" t="s">
        <v>11</v>
      </c>
      <c r="W58" s="4" t="s">
        <v>97</v>
      </c>
      <c r="X58" s="26" t="s">
        <v>332</v>
      </c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</row>
    <row r="59" spans="1:54" ht="14.25">
      <c r="A59" s="3"/>
      <c r="B59" s="1" t="s">
        <v>253</v>
      </c>
      <c r="C59" s="16">
        <v>-166</v>
      </c>
      <c r="D59" s="1" t="s">
        <v>333</v>
      </c>
      <c r="E59" s="17">
        <f>166</f>
        <v>166</v>
      </c>
      <c r="F59" s="1" t="s">
        <v>253</v>
      </c>
      <c r="G59" s="17">
        <v>-166</v>
      </c>
      <c r="H59" s="2" t="s">
        <v>1</v>
      </c>
      <c r="I59" s="3"/>
      <c r="J59" s="3"/>
      <c r="K59" s="3"/>
      <c r="L59" s="3"/>
      <c r="M59" s="3"/>
      <c r="N59" s="4" t="s">
        <v>71</v>
      </c>
      <c r="O59" s="4" t="s">
        <v>334</v>
      </c>
      <c r="P59" s="4" t="s">
        <v>22</v>
      </c>
      <c r="Q59" s="4" t="s">
        <v>237</v>
      </c>
      <c r="R59" s="4" t="s">
        <v>9</v>
      </c>
      <c r="S59" s="19">
        <v>5</v>
      </c>
      <c r="T59" s="20">
        <v>0.20833333333333334</v>
      </c>
      <c r="U59" s="4" t="s">
        <v>54</v>
      </c>
      <c r="V59" s="4" t="s">
        <v>55</v>
      </c>
      <c r="W59" s="4" t="s">
        <v>335</v>
      </c>
      <c r="X59" s="3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</row>
    <row r="60" spans="1:54" ht="14.25">
      <c r="A60" s="3"/>
      <c r="B60" s="1" t="s">
        <v>336</v>
      </c>
      <c r="C60" s="22">
        <f>170</f>
        <v>170</v>
      </c>
      <c r="D60" s="1" t="s">
        <v>337</v>
      </c>
      <c r="E60" s="23">
        <v>-195</v>
      </c>
      <c r="F60" s="1" t="s">
        <v>337</v>
      </c>
      <c r="G60" s="23">
        <v>-195</v>
      </c>
      <c r="H60" s="2" t="s">
        <v>5</v>
      </c>
      <c r="I60" s="24">
        <v>6.2</v>
      </c>
      <c r="J60" s="1" t="s">
        <v>18</v>
      </c>
      <c r="K60" s="24">
        <v>-160</v>
      </c>
      <c r="L60" s="1" t="s">
        <v>338</v>
      </c>
      <c r="M60" s="3"/>
      <c r="N60" s="4" t="s">
        <v>339</v>
      </c>
      <c r="O60" s="4" t="s">
        <v>340</v>
      </c>
      <c r="P60" s="4" t="s">
        <v>22</v>
      </c>
      <c r="Q60" s="4" t="s">
        <v>237</v>
      </c>
      <c r="R60" s="4" t="s">
        <v>9</v>
      </c>
      <c r="S60" s="19">
        <v>3</v>
      </c>
      <c r="T60" s="20">
        <v>0.20833333333333334</v>
      </c>
      <c r="U60" s="4" t="s">
        <v>10</v>
      </c>
      <c r="V60" s="4" t="s">
        <v>96</v>
      </c>
      <c r="W60" s="4" t="s">
        <v>341</v>
      </c>
      <c r="X60" s="26" t="s">
        <v>342</v>
      </c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</row>
    <row r="61" spans="1:54" ht="14.25">
      <c r="A61" s="3"/>
      <c r="B61" s="1" t="s">
        <v>343</v>
      </c>
      <c r="C61" s="22">
        <f>140</f>
        <v>140</v>
      </c>
      <c r="D61" s="1" t="s">
        <v>344</v>
      </c>
      <c r="E61" s="23">
        <v>-160</v>
      </c>
      <c r="F61" s="1" t="s">
        <v>344</v>
      </c>
      <c r="G61" s="22">
        <v>-160</v>
      </c>
      <c r="H61" s="2" t="s">
        <v>5</v>
      </c>
      <c r="I61" s="24">
        <v>5.9</v>
      </c>
      <c r="J61" s="1" t="s">
        <v>18</v>
      </c>
      <c r="K61" s="1" t="s">
        <v>345</v>
      </c>
      <c r="L61" s="1" t="s">
        <v>346</v>
      </c>
      <c r="M61" s="3"/>
      <c r="N61" s="4" t="s">
        <v>103</v>
      </c>
      <c r="O61" s="4" t="s">
        <v>347</v>
      </c>
      <c r="P61" s="4" t="s">
        <v>22</v>
      </c>
      <c r="Q61" s="4" t="s">
        <v>237</v>
      </c>
      <c r="R61" s="4" t="s">
        <v>9</v>
      </c>
      <c r="S61" s="19">
        <v>3</v>
      </c>
      <c r="T61" s="20">
        <v>0.20833333333333334</v>
      </c>
      <c r="U61" s="4" t="s">
        <v>10</v>
      </c>
      <c r="V61" s="4" t="s">
        <v>96</v>
      </c>
      <c r="W61" s="4" t="s">
        <v>348</v>
      </c>
      <c r="X61" s="26" t="s">
        <v>349</v>
      </c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</row>
    <row r="62" spans="1:54" ht="14.25">
      <c r="A62" s="3"/>
      <c r="B62" s="1" t="s">
        <v>234</v>
      </c>
      <c r="C62" s="22">
        <v>-200</v>
      </c>
      <c r="D62" s="1" t="s">
        <v>350</v>
      </c>
      <c r="E62" s="23">
        <f>170</f>
        <v>170</v>
      </c>
      <c r="F62" s="1" t="s">
        <v>350</v>
      </c>
      <c r="G62" s="22">
        <f>170</f>
        <v>170</v>
      </c>
      <c r="H62" s="30" t="s">
        <v>5</v>
      </c>
      <c r="I62" s="24">
        <v>6.2</v>
      </c>
      <c r="J62" s="1" t="s">
        <v>61</v>
      </c>
      <c r="K62" s="3"/>
      <c r="L62" s="1" t="s">
        <v>351</v>
      </c>
      <c r="M62" s="3"/>
      <c r="N62" s="4" t="s">
        <v>79</v>
      </c>
      <c r="O62" s="4" t="s">
        <v>352</v>
      </c>
      <c r="P62" s="4" t="s">
        <v>22</v>
      </c>
      <c r="Q62" s="4" t="s">
        <v>237</v>
      </c>
      <c r="R62" s="4" t="s">
        <v>193</v>
      </c>
      <c r="S62" s="19">
        <v>3</v>
      </c>
      <c r="T62" s="20">
        <v>0.20833333333333334</v>
      </c>
      <c r="U62" s="4" t="s">
        <v>10</v>
      </c>
      <c r="V62" s="4" t="s">
        <v>96</v>
      </c>
      <c r="W62" s="4" t="s">
        <v>353</v>
      </c>
      <c r="X62" s="26" t="s">
        <v>354</v>
      </c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</row>
    <row r="63" spans="1:54" ht="14.25">
      <c r="A63" s="3"/>
      <c r="B63" s="1" t="s">
        <v>355</v>
      </c>
      <c r="C63" s="22">
        <v>-122</v>
      </c>
      <c r="D63" s="1" t="s">
        <v>356</v>
      </c>
      <c r="E63" s="23">
        <f>102</f>
        <v>102</v>
      </c>
      <c r="F63" s="1" t="s">
        <v>356</v>
      </c>
      <c r="G63" s="23">
        <f>102</f>
        <v>102</v>
      </c>
      <c r="H63" s="30" t="s">
        <v>5</v>
      </c>
      <c r="I63" s="24">
        <v>6.8</v>
      </c>
      <c r="J63" s="1" t="s">
        <v>18</v>
      </c>
      <c r="K63" s="3"/>
      <c r="L63" s="1" t="s">
        <v>357</v>
      </c>
      <c r="M63" s="3"/>
      <c r="N63" s="4" t="s">
        <v>79</v>
      </c>
      <c r="O63" s="4" t="s">
        <v>358</v>
      </c>
      <c r="P63" s="4" t="s">
        <v>22</v>
      </c>
      <c r="Q63" s="4" t="s">
        <v>237</v>
      </c>
      <c r="R63" s="4" t="s">
        <v>193</v>
      </c>
      <c r="S63" s="19">
        <v>3</v>
      </c>
      <c r="T63" s="20">
        <v>0.20833333333333334</v>
      </c>
      <c r="U63" s="4" t="s">
        <v>10</v>
      </c>
      <c r="V63" s="4" t="s">
        <v>11</v>
      </c>
      <c r="W63" s="4" t="s">
        <v>359</v>
      </c>
      <c r="X63" s="26" t="s">
        <v>360</v>
      </c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</row>
    <row r="64" spans="1:54" ht="14.25">
      <c r="A64" s="3"/>
      <c r="B64" s="1" t="s">
        <v>361</v>
      </c>
      <c r="C64" s="22">
        <f>186</f>
        <v>186</v>
      </c>
      <c r="D64" s="1" t="s">
        <v>362</v>
      </c>
      <c r="E64" s="23">
        <v>-221</v>
      </c>
      <c r="F64" s="1" t="s">
        <v>361</v>
      </c>
      <c r="G64" s="23">
        <f>186</f>
        <v>186</v>
      </c>
      <c r="H64" s="30" t="s">
        <v>5</v>
      </c>
      <c r="I64" s="24">
        <v>7.2</v>
      </c>
      <c r="J64" s="1" t="s">
        <v>18</v>
      </c>
      <c r="K64" s="3"/>
      <c r="L64" s="1" t="s">
        <v>363</v>
      </c>
      <c r="M64" s="3"/>
      <c r="N64" s="4" t="s">
        <v>115</v>
      </c>
      <c r="O64" s="4" t="s">
        <v>364</v>
      </c>
      <c r="P64" s="4" t="s">
        <v>8</v>
      </c>
      <c r="Q64" s="4" t="s">
        <v>237</v>
      </c>
      <c r="R64" s="4" t="s">
        <v>46</v>
      </c>
      <c r="S64" s="19">
        <v>1</v>
      </c>
      <c r="T64" s="20">
        <v>0.19652777777777777</v>
      </c>
      <c r="U64" s="4" t="s">
        <v>10</v>
      </c>
      <c r="V64" s="4" t="s">
        <v>11</v>
      </c>
      <c r="W64" s="4" t="s">
        <v>48</v>
      </c>
      <c r="X64" s="26" t="s">
        <v>365</v>
      </c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</row>
    <row r="65" spans="1:54" ht="14.25">
      <c r="A65" s="3"/>
      <c r="B65" s="1" t="s">
        <v>366</v>
      </c>
      <c r="C65" s="22">
        <v>-400</v>
      </c>
      <c r="D65" s="1" t="s">
        <v>367</v>
      </c>
      <c r="E65" s="23">
        <f>300</f>
        <v>300</v>
      </c>
      <c r="F65" s="1" t="s">
        <v>366</v>
      </c>
      <c r="G65" s="23">
        <v>-400</v>
      </c>
      <c r="H65" s="30" t="s">
        <v>5</v>
      </c>
      <c r="I65" s="24">
        <v>7</v>
      </c>
      <c r="J65" s="1" t="s">
        <v>18</v>
      </c>
      <c r="K65" s="3"/>
      <c r="L65" s="1" t="s">
        <v>368</v>
      </c>
      <c r="M65" s="3"/>
      <c r="N65" s="4" t="s">
        <v>115</v>
      </c>
      <c r="O65" s="4" t="s">
        <v>369</v>
      </c>
      <c r="P65" s="4" t="s">
        <v>8</v>
      </c>
      <c r="Q65" s="4" t="s">
        <v>237</v>
      </c>
      <c r="R65" s="4" t="s">
        <v>46</v>
      </c>
      <c r="S65" s="19">
        <v>2</v>
      </c>
      <c r="T65" s="20">
        <v>8.3333333333333329E-2</v>
      </c>
      <c r="U65" s="4" t="s">
        <v>10</v>
      </c>
      <c r="V65" s="4" t="s">
        <v>263</v>
      </c>
      <c r="W65" s="4" t="s">
        <v>48</v>
      </c>
      <c r="X65" s="26" t="s">
        <v>370</v>
      </c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</row>
    <row r="66" spans="1:54" ht="14.25">
      <c r="A66" s="3"/>
      <c r="B66" s="1" t="s">
        <v>371</v>
      </c>
      <c r="C66" s="22">
        <v>-152</v>
      </c>
      <c r="D66" s="1" t="s">
        <v>372</v>
      </c>
      <c r="E66" s="23">
        <f>132</f>
        <v>132</v>
      </c>
      <c r="F66" s="1" t="s">
        <v>372</v>
      </c>
      <c r="G66" s="22">
        <f>132</f>
        <v>132</v>
      </c>
      <c r="H66" s="30" t="s">
        <v>122</v>
      </c>
      <c r="I66" s="3"/>
      <c r="J66" s="3" t="s">
        <v>16</v>
      </c>
      <c r="K66" s="3" t="s">
        <v>272</v>
      </c>
      <c r="L66" s="3" t="s">
        <v>373</v>
      </c>
      <c r="M66" s="3" t="s">
        <v>374</v>
      </c>
      <c r="N66" s="4" t="s">
        <v>125</v>
      </c>
      <c r="O66" s="4" t="s">
        <v>375</v>
      </c>
      <c r="P66" s="4" t="s">
        <v>22</v>
      </c>
      <c r="Q66" s="4" t="s">
        <v>237</v>
      </c>
      <c r="R66" s="4" t="s">
        <v>61</v>
      </c>
      <c r="S66" s="19">
        <v>1</v>
      </c>
      <c r="T66" s="20">
        <v>9.375E-2</v>
      </c>
      <c r="U66" s="4" t="s">
        <v>10</v>
      </c>
      <c r="V66" s="4" t="s">
        <v>23</v>
      </c>
      <c r="W66" s="4" t="s">
        <v>376</v>
      </c>
      <c r="X66" s="26" t="s">
        <v>377</v>
      </c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</row>
    <row r="67" spans="1:54" ht="14.25">
      <c r="A67" s="3"/>
      <c r="B67" s="1" t="s">
        <v>378</v>
      </c>
      <c r="C67" s="22">
        <v>-425</v>
      </c>
      <c r="D67" s="1" t="s">
        <v>379</v>
      </c>
      <c r="E67" s="23">
        <f>325</f>
        <v>325</v>
      </c>
      <c r="F67" s="1" t="s">
        <v>378</v>
      </c>
      <c r="G67" s="23">
        <f>325</f>
        <v>325</v>
      </c>
      <c r="H67" s="2" t="s">
        <v>5</v>
      </c>
      <c r="I67" s="24">
        <v>7.7</v>
      </c>
      <c r="J67" s="25" t="s">
        <v>16</v>
      </c>
      <c r="K67" s="25" t="s">
        <v>380</v>
      </c>
      <c r="L67" s="25" t="s">
        <v>381</v>
      </c>
      <c r="M67" s="25" t="s">
        <v>382</v>
      </c>
      <c r="N67" s="4" t="s">
        <v>20</v>
      </c>
      <c r="O67" s="4" t="s">
        <v>383</v>
      </c>
      <c r="P67" s="4" t="s">
        <v>22</v>
      </c>
      <c r="Q67" s="4" t="s">
        <v>237</v>
      </c>
      <c r="R67" s="4" t="s">
        <v>193</v>
      </c>
      <c r="S67" s="19">
        <v>3</v>
      </c>
      <c r="T67" s="20">
        <v>0.20833333333333334</v>
      </c>
      <c r="U67" s="4" t="s">
        <v>10</v>
      </c>
      <c r="V67" s="4" t="s">
        <v>39</v>
      </c>
      <c r="W67" s="4" t="s">
        <v>384</v>
      </c>
      <c r="X67" s="26" t="s">
        <v>385</v>
      </c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</row>
    <row r="68" spans="1:54" ht="14.25">
      <c r="A68" s="3"/>
      <c r="B68" s="1" t="s">
        <v>386</v>
      </c>
      <c r="C68" s="27">
        <v>-163</v>
      </c>
      <c r="D68" s="1" t="s">
        <v>319</v>
      </c>
      <c r="E68" s="28">
        <f>143</f>
        <v>143</v>
      </c>
      <c r="F68" s="1" t="s">
        <v>386</v>
      </c>
      <c r="G68" s="28">
        <v>-163</v>
      </c>
      <c r="H68" s="2" t="s">
        <v>5</v>
      </c>
      <c r="I68" s="3"/>
      <c r="J68" s="3"/>
      <c r="K68" s="3"/>
      <c r="L68" s="3"/>
      <c r="M68" s="3"/>
      <c r="N68" s="4" t="s">
        <v>177</v>
      </c>
      <c r="O68" s="4" t="s">
        <v>387</v>
      </c>
      <c r="P68" s="4" t="s">
        <v>8</v>
      </c>
      <c r="Q68" s="4" t="s">
        <v>237</v>
      </c>
      <c r="R68" s="4" t="s">
        <v>46</v>
      </c>
      <c r="S68" s="19">
        <v>1</v>
      </c>
      <c r="T68" s="20">
        <v>0.11319444444444444</v>
      </c>
      <c r="U68" s="4" t="s">
        <v>10</v>
      </c>
      <c r="V68" s="4" t="s">
        <v>96</v>
      </c>
      <c r="W68" s="4" t="s">
        <v>48</v>
      </c>
      <c r="X68" s="26" t="s">
        <v>388</v>
      </c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</row>
    <row r="69" spans="1:54" ht="14.25">
      <c r="A69" s="3"/>
      <c r="B69" s="1" t="s">
        <v>389</v>
      </c>
      <c r="C69" s="27">
        <f>147</f>
        <v>147</v>
      </c>
      <c r="D69" s="1" t="s">
        <v>390</v>
      </c>
      <c r="E69" s="28">
        <v>-172</v>
      </c>
      <c r="F69" s="1" t="s">
        <v>390</v>
      </c>
      <c r="G69" s="27">
        <f>147</f>
        <v>147</v>
      </c>
      <c r="H69" s="2" t="s">
        <v>5</v>
      </c>
      <c r="I69" s="3"/>
      <c r="J69" s="3"/>
      <c r="K69" s="3"/>
      <c r="L69" s="3"/>
      <c r="M69" s="3"/>
      <c r="N69" s="4" t="s">
        <v>177</v>
      </c>
      <c r="O69" s="4" t="s">
        <v>391</v>
      </c>
      <c r="P69" s="4" t="s">
        <v>22</v>
      </c>
      <c r="Q69" s="4" t="s">
        <v>237</v>
      </c>
      <c r="R69" s="4" t="s">
        <v>46</v>
      </c>
      <c r="S69" s="19">
        <v>2</v>
      </c>
      <c r="T69" s="20">
        <v>9.166666666666666E-2</v>
      </c>
      <c r="U69" s="4" t="s">
        <v>10</v>
      </c>
      <c r="V69" s="4" t="s">
        <v>39</v>
      </c>
      <c r="W69" s="4" t="s">
        <v>97</v>
      </c>
      <c r="X69" s="26" t="s">
        <v>392</v>
      </c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</row>
    <row r="70" spans="1:54" ht="14.25">
      <c r="A70" s="3"/>
      <c r="B70" s="1" t="s">
        <v>393</v>
      </c>
      <c r="C70" s="27">
        <f>156</f>
        <v>156</v>
      </c>
      <c r="D70" s="1" t="s">
        <v>394</v>
      </c>
      <c r="E70" s="28">
        <v>-181</v>
      </c>
      <c r="F70" s="1" t="s">
        <v>394</v>
      </c>
      <c r="G70" s="27">
        <v>-181</v>
      </c>
      <c r="H70" s="2" t="s">
        <v>122</v>
      </c>
      <c r="I70" s="51"/>
      <c r="J70" s="3"/>
      <c r="K70" s="3"/>
      <c r="L70" s="3"/>
      <c r="M70" s="3"/>
      <c r="N70" s="4" t="s">
        <v>185</v>
      </c>
      <c r="O70" s="4" t="s">
        <v>395</v>
      </c>
      <c r="P70" s="4" t="s">
        <v>22</v>
      </c>
      <c r="Q70" s="4" t="s">
        <v>237</v>
      </c>
      <c r="R70" s="4" t="s">
        <v>9</v>
      </c>
      <c r="S70" s="19">
        <v>3</v>
      </c>
      <c r="T70" s="20">
        <v>0.20833333333333334</v>
      </c>
      <c r="U70" s="4" t="s">
        <v>10</v>
      </c>
      <c r="V70" s="4" t="s">
        <v>47</v>
      </c>
      <c r="W70" s="4" t="s">
        <v>396</v>
      </c>
      <c r="X70" s="26" t="s">
        <v>397</v>
      </c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</row>
    <row r="71" spans="1:54" ht="14.25">
      <c r="A71" s="3"/>
      <c r="B71" s="1" t="s">
        <v>398</v>
      </c>
      <c r="C71" s="27">
        <v>-180</v>
      </c>
      <c r="D71" s="33" t="s">
        <v>337</v>
      </c>
      <c r="E71" s="28">
        <f>155</f>
        <v>155</v>
      </c>
      <c r="F71" s="34" t="s">
        <v>337</v>
      </c>
      <c r="G71" s="27">
        <f>155</f>
        <v>155</v>
      </c>
      <c r="H71" s="2" t="s">
        <v>122</v>
      </c>
      <c r="I71" s="51"/>
      <c r="J71" s="3"/>
      <c r="K71" s="3"/>
      <c r="L71" s="3"/>
      <c r="M71" s="3"/>
      <c r="N71" s="4" t="s">
        <v>185</v>
      </c>
      <c r="O71" s="4" t="s">
        <v>399</v>
      </c>
      <c r="P71" s="4" t="s">
        <v>22</v>
      </c>
      <c r="Q71" s="4" t="s">
        <v>237</v>
      </c>
      <c r="R71" s="4" t="s">
        <v>193</v>
      </c>
      <c r="S71" s="19">
        <v>3</v>
      </c>
      <c r="T71" s="20">
        <v>0.20833333333333334</v>
      </c>
      <c r="U71" s="4" t="s">
        <v>10</v>
      </c>
      <c r="V71" s="4" t="s">
        <v>400</v>
      </c>
      <c r="W71" s="4" t="s">
        <v>401</v>
      </c>
      <c r="X71" s="26" t="s">
        <v>402</v>
      </c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</row>
    <row r="72" spans="1:54" ht="15">
      <c r="A72" s="3"/>
      <c r="B72" s="1" t="s">
        <v>403</v>
      </c>
      <c r="C72" s="16">
        <v>-900</v>
      </c>
      <c r="D72" s="1" t="s">
        <v>404</v>
      </c>
      <c r="E72" s="17">
        <f>600</f>
        <v>600</v>
      </c>
      <c r="F72" s="1" t="s">
        <v>403</v>
      </c>
      <c r="G72" s="28">
        <v>-900</v>
      </c>
      <c r="H72" s="29" t="s">
        <v>122</v>
      </c>
      <c r="I72" s="51"/>
      <c r="J72" s="3"/>
      <c r="K72" s="3"/>
      <c r="L72" s="3"/>
      <c r="M72" s="3"/>
      <c r="N72" s="4" t="s">
        <v>37</v>
      </c>
      <c r="O72" s="4" t="s">
        <v>405</v>
      </c>
      <c r="P72" s="4" t="s">
        <v>22</v>
      </c>
      <c r="Q72" s="4" t="s">
        <v>237</v>
      </c>
      <c r="R72" s="4" t="s">
        <v>46</v>
      </c>
      <c r="S72" s="19">
        <v>1</v>
      </c>
      <c r="T72" s="20">
        <v>0.17499999999999999</v>
      </c>
      <c r="U72" s="4" t="s">
        <v>10</v>
      </c>
      <c r="V72" s="4" t="s">
        <v>47</v>
      </c>
      <c r="W72" s="4" t="s">
        <v>406</v>
      </c>
      <c r="X72" s="26" t="s">
        <v>407</v>
      </c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</row>
    <row r="73" spans="1:54" ht="14.25">
      <c r="A73" s="3"/>
      <c r="B73" s="1" t="s">
        <v>265</v>
      </c>
      <c r="C73" s="16">
        <v>-225</v>
      </c>
      <c r="D73" s="1" t="s">
        <v>362</v>
      </c>
      <c r="E73" s="17">
        <f>225</f>
        <v>225</v>
      </c>
      <c r="F73" s="1" t="s">
        <v>265</v>
      </c>
      <c r="G73" s="16">
        <v>-225</v>
      </c>
      <c r="H73" s="2" t="s">
        <v>5</v>
      </c>
      <c r="I73" s="51"/>
      <c r="J73" s="3"/>
      <c r="K73" s="3"/>
      <c r="L73" s="3"/>
      <c r="M73" s="3"/>
      <c r="N73" s="4" t="s">
        <v>223</v>
      </c>
      <c r="O73" s="4" t="s">
        <v>408</v>
      </c>
      <c r="P73" s="4" t="s">
        <v>22</v>
      </c>
      <c r="Q73" s="4" t="s">
        <v>237</v>
      </c>
      <c r="R73" s="4" t="s">
        <v>46</v>
      </c>
      <c r="S73" s="19">
        <v>1</v>
      </c>
      <c r="T73" s="20">
        <v>3.4027777777777775E-2</v>
      </c>
      <c r="U73" s="4" t="s">
        <v>10</v>
      </c>
      <c r="V73" s="4" t="s">
        <v>11</v>
      </c>
      <c r="W73" s="4" t="s">
        <v>48</v>
      </c>
      <c r="X73" s="26" t="s">
        <v>409</v>
      </c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</row>
    <row r="74" spans="1:54" ht="14.25">
      <c r="A74" s="3"/>
      <c r="B74" s="1" t="s">
        <v>410</v>
      </c>
      <c r="C74" s="16">
        <f>170</f>
        <v>170</v>
      </c>
      <c r="D74" s="1" t="s">
        <v>411</v>
      </c>
      <c r="E74" s="17">
        <v>-170</v>
      </c>
      <c r="F74" s="1" t="s">
        <v>410</v>
      </c>
      <c r="G74" s="16">
        <f>170</f>
        <v>170</v>
      </c>
      <c r="H74" s="2" t="s">
        <v>5</v>
      </c>
      <c r="I74" s="51"/>
      <c r="J74" s="3"/>
      <c r="K74" s="3"/>
      <c r="L74" s="3"/>
      <c r="M74" s="3"/>
      <c r="N74" s="4" t="s">
        <v>71</v>
      </c>
      <c r="O74" s="4" t="s">
        <v>412</v>
      </c>
      <c r="P74" s="4" t="s">
        <v>8</v>
      </c>
      <c r="Q74" s="4" t="s">
        <v>237</v>
      </c>
      <c r="R74" s="4" t="s">
        <v>61</v>
      </c>
      <c r="S74" s="19">
        <v>3</v>
      </c>
      <c r="T74" s="20">
        <v>9.930555555555555E-2</v>
      </c>
      <c r="U74" s="4" t="s">
        <v>10</v>
      </c>
      <c r="V74" s="4" t="s">
        <v>73</v>
      </c>
      <c r="W74" s="4" t="s">
        <v>67</v>
      </c>
      <c r="X74" s="3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</row>
    <row r="75" spans="1:54" ht="14.25">
      <c r="A75" s="12"/>
      <c r="B75" s="7"/>
      <c r="C75" s="35"/>
      <c r="D75" s="7"/>
      <c r="E75" s="36"/>
      <c r="F75" s="7"/>
      <c r="G75" s="35"/>
      <c r="H75" s="11"/>
      <c r="I75" s="52"/>
      <c r="J75" s="12"/>
      <c r="K75" s="12"/>
      <c r="L75" s="12"/>
      <c r="M75" s="12"/>
      <c r="N75" s="13"/>
      <c r="O75" s="13"/>
      <c r="P75" s="13"/>
      <c r="Q75" s="13"/>
      <c r="R75" s="13"/>
      <c r="S75" s="14"/>
      <c r="T75" s="15"/>
      <c r="U75" s="13"/>
      <c r="V75" s="13"/>
      <c r="W75" s="13"/>
      <c r="X75" s="12"/>
      <c r="Y75" s="12"/>
      <c r="Z75" s="12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</row>
    <row r="76" spans="1:54" ht="14.25">
      <c r="A76" s="3"/>
      <c r="B76" s="1" t="s">
        <v>413</v>
      </c>
      <c r="C76" s="16">
        <f>235</f>
        <v>235</v>
      </c>
      <c r="D76" s="1" t="s">
        <v>414</v>
      </c>
      <c r="E76" s="17">
        <v>-235</v>
      </c>
      <c r="F76" s="1" t="s">
        <v>413</v>
      </c>
      <c r="G76" s="2">
        <f>235</f>
        <v>235</v>
      </c>
      <c r="H76" s="16" t="s">
        <v>5</v>
      </c>
      <c r="J76" s="3"/>
      <c r="K76" s="3"/>
      <c r="L76" s="3"/>
      <c r="M76" s="3"/>
      <c r="N76" s="4" t="s">
        <v>6</v>
      </c>
      <c r="O76" s="4" t="s">
        <v>415</v>
      </c>
      <c r="P76" s="4" t="s">
        <v>8</v>
      </c>
      <c r="Q76" s="4" t="s">
        <v>416</v>
      </c>
      <c r="R76" s="4" t="s">
        <v>46</v>
      </c>
      <c r="S76" s="19">
        <v>1</v>
      </c>
      <c r="T76" s="20">
        <v>0.19444444444444445</v>
      </c>
      <c r="U76" s="4" t="s">
        <v>10</v>
      </c>
      <c r="V76" s="4" t="s">
        <v>23</v>
      </c>
      <c r="W76" s="4" t="s">
        <v>417</v>
      </c>
      <c r="X76" s="3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</row>
    <row r="77" spans="1:54" ht="14.25">
      <c r="A77" s="3"/>
      <c r="B77" s="1" t="s">
        <v>418</v>
      </c>
      <c r="C77" s="22">
        <f>144</f>
        <v>144</v>
      </c>
      <c r="D77" s="1" t="s">
        <v>419</v>
      </c>
      <c r="E77" s="23">
        <v>-164</v>
      </c>
      <c r="F77" s="1" t="s">
        <v>419</v>
      </c>
      <c r="G77" s="22">
        <v>-164</v>
      </c>
      <c r="H77" s="2" t="s">
        <v>1</v>
      </c>
      <c r="I77" s="53">
        <v>6.7</v>
      </c>
      <c r="J77" s="1" t="s">
        <v>61</v>
      </c>
      <c r="K77" s="24">
        <v>-165</v>
      </c>
      <c r="L77" s="1" t="s">
        <v>420</v>
      </c>
      <c r="M77" s="3"/>
      <c r="N77" s="4" t="s">
        <v>339</v>
      </c>
      <c r="O77" s="4" t="s">
        <v>421</v>
      </c>
      <c r="P77" s="4" t="s">
        <v>8</v>
      </c>
      <c r="Q77" s="4" t="s">
        <v>416</v>
      </c>
      <c r="R77" s="4" t="s">
        <v>9</v>
      </c>
      <c r="S77" s="19">
        <v>3</v>
      </c>
      <c r="T77" s="20">
        <v>0.20833333333333334</v>
      </c>
      <c r="U77" s="4" t="s">
        <v>10</v>
      </c>
      <c r="V77" s="4" t="s">
        <v>263</v>
      </c>
      <c r="W77" s="4" t="s">
        <v>422</v>
      </c>
      <c r="X77" s="26" t="s">
        <v>423</v>
      </c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</row>
    <row r="78" spans="1:54" ht="14.25">
      <c r="A78" s="3"/>
      <c r="B78" s="1" t="s">
        <v>424</v>
      </c>
      <c r="C78" s="22">
        <v>-133</v>
      </c>
      <c r="D78" s="1" t="s">
        <v>425</v>
      </c>
      <c r="E78" s="23">
        <f>113</f>
        <v>113</v>
      </c>
      <c r="F78" s="1" t="s">
        <v>426</v>
      </c>
      <c r="G78" s="22">
        <f>113</f>
        <v>113</v>
      </c>
      <c r="H78" s="2" t="s">
        <v>1</v>
      </c>
      <c r="I78" s="53">
        <v>6.3</v>
      </c>
      <c r="J78" s="1" t="s">
        <v>427</v>
      </c>
      <c r="K78" s="24">
        <v>-150</v>
      </c>
      <c r="L78" s="1" t="s">
        <v>428</v>
      </c>
      <c r="M78" s="3"/>
      <c r="N78" s="4" t="s">
        <v>87</v>
      </c>
      <c r="O78" s="4" t="s">
        <v>429</v>
      </c>
      <c r="P78" s="4" t="s">
        <v>8</v>
      </c>
      <c r="Q78" s="4" t="s">
        <v>416</v>
      </c>
      <c r="R78" s="4" t="s">
        <v>46</v>
      </c>
      <c r="S78" s="19">
        <v>2</v>
      </c>
      <c r="T78" s="20">
        <v>6.5972222222222224E-2</v>
      </c>
      <c r="U78" s="4" t="s">
        <v>10</v>
      </c>
      <c r="V78" s="4" t="s">
        <v>245</v>
      </c>
      <c r="W78" s="4" t="s">
        <v>430</v>
      </c>
      <c r="X78" s="26" t="s">
        <v>431</v>
      </c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</row>
    <row r="79" spans="1:54" ht="14.25">
      <c r="A79" s="3"/>
      <c r="B79" s="1" t="s">
        <v>432</v>
      </c>
      <c r="C79" s="22">
        <v>-192</v>
      </c>
      <c r="D79" s="1" t="s">
        <v>433</v>
      </c>
      <c r="E79" s="23">
        <f>167</f>
        <v>167</v>
      </c>
      <c r="F79" s="1" t="s">
        <v>432</v>
      </c>
      <c r="G79" s="22">
        <v>-192</v>
      </c>
      <c r="H79" s="2" t="s">
        <v>1</v>
      </c>
      <c r="I79" s="53">
        <v>7.2</v>
      </c>
      <c r="J79" s="1" t="s">
        <v>18</v>
      </c>
      <c r="K79" s="24">
        <v>-150</v>
      </c>
      <c r="L79" s="1"/>
      <c r="M79" s="1"/>
      <c r="N79" s="4" t="s">
        <v>94</v>
      </c>
      <c r="O79" s="4" t="s">
        <v>434</v>
      </c>
      <c r="P79" s="4" t="s">
        <v>22</v>
      </c>
      <c r="Q79" s="4" t="s">
        <v>416</v>
      </c>
      <c r="R79" s="4" t="s">
        <v>46</v>
      </c>
      <c r="S79" s="19">
        <v>2</v>
      </c>
      <c r="T79" s="20">
        <v>9.4444444444444442E-2</v>
      </c>
      <c r="U79" s="4" t="s">
        <v>54</v>
      </c>
      <c r="V79" s="4" t="s">
        <v>39</v>
      </c>
      <c r="W79" s="4" t="s">
        <v>48</v>
      </c>
      <c r="X79" s="26" t="s">
        <v>435</v>
      </c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</row>
    <row r="80" spans="1:54" ht="14.25">
      <c r="A80" s="3"/>
      <c r="B80" s="1" t="s">
        <v>436</v>
      </c>
      <c r="C80" s="22">
        <v>-178</v>
      </c>
      <c r="D80" s="1" t="s">
        <v>437</v>
      </c>
      <c r="E80" s="23">
        <f>153</f>
        <v>153</v>
      </c>
      <c r="F80" s="1" t="s">
        <v>437</v>
      </c>
      <c r="G80" s="23">
        <f>153</f>
        <v>153</v>
      </c>
      <c r="H80" s="2" t="s">
        <v>1</v>
      </c>
      <c r="I80" s="53">
        <v>7.6</v>
      </c>
      <c r="J80" s="25" t="s">
        <v>16</v>
      </c>
      <c r="K80" s="25" t="s">
        <v>438</v>
      </c>
      <c r="L80" s="25" t="s">
        <v>439</v>
      </c>
      <c r="M80" s="25" t="s">
        <v>440</v>
      </c>
      <c r="N80" s="4" t="s">
        <v>20</v>
      </c>
      <c r="O80" s="4" t="s">
        <v>441</v>
      </c>
      <c r="P80" s="4" t="s">
        <v>8</v>
      </c>
      <c r="Q80" s="4" t="s">
        <v>416</v>
      </c>
      <c r="R80" s="4" t="s">
        <v>61</v>
      </c>
      <c r="S80" s="19">
        <v>1</v>
      </c>
      <c r="T80" s="20">
        <v>0.18541666666666667</v>
      </c>
      <c r="U80" s="4" t="s">
        <v>10</v>
      </c>
      <c r="V80" s="4" t="s">
        <v>55</v>
      </c>
      <c r="W80" s="4" t="s">
        <v>67</v>
      </c>
      <c r="X80" s="26" t="s">
        <v>442</v>
      </c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</row>
    <row r="81" spans="1:54" ht="14.25">
      <c r="A81" s="3"/>
      <c r="B81" s="1" t="s">
        <v>443</v>
      </c>
      <c r="C81" s="27">
        <v>-275</v>
      </c>
      <c r="D81" s="1" t="s">
        <v>444</v>
      </c>
      <c r="E81" s="28">
        <f>235</f>
        <v>235</v>
      </c>
      <c r="F81" s="1" t="s">
        <v>443</v>
      </c>
      <c r="G81" s="27">
        <v>-275</v>
      </c>
      <c r="H81" s="2" t="s">
        <v>1</v>
      </c>
      <c r="I81" s="51"/>
      <c r="J81" s="3" t="s">
        <v>16</v>
      </c>
      <c r="K81" s="3" t="s">
        <v>445</v>
      </c>
      <c r="L81" s="3" t="s">
        <v>446</v>
      </c>
      <c r="M81" s="3" t="s">
        <v>447</v>
      </c>
      <c r="N81" s="4" t="s">
        <v>160</v>
      </c>
      <c r="O81" s="4" t="s">
        <v>448</v>
      </c>
      <c r="P81" s="4" t="s">
        <v>22</v>
      </c>
      <c r="Q81" s="4" t="s">
        <v>416</v>
      </c>
      <c r="R81" s="4" t="s">
        <v>193</v>
      </c>
      <c r="S81" s="19">
        <v>5</v>
      </c>
      <c r="T81" s="20">
        <v>0.20833333333333334</v>
      </c>
      <c r="U81" s="4" t="s">
        <v>54</v>
      </c>
      <c r="V81" s="4" t="s">
        <v>55</v>
      </c>
      <c r="W81" s="4" t="s">
        <v>449</v>
      </c>
      <c r="X81" s="26" t="s">
        <v>450</v>
      </c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</row>
    <row r="82" spans="1:54" ht="14.25">
      <c r="A82" s="3"/>
      <c r="B82" s="1" t="s">
        <v>451</v>
      </c>
      <c r="C82" s="27">
        <v>-130</v>
      </c>
      <c r="D82" s="1" t="s">
        <v>452</v>
      </c>
      <c r="E82" s="28">
        <f>110</f>
        <v>110</v>
      </c>
      <c r="F82" s="1" t="s">
        <v>452</v>
      </c>
      <c r="G82" s="27">
        <f>110</f>
        <v>110</v>
      </c>
      <c r="H82" s="2" t="s">
        <v>1</v>
      </c>
      <c r="I82" s="51"/>
      <c r="J82" s="3" t="s">
        <v>16</v>
      </c>
      <c r="K82" s="3" t="s">
        <v>445</v>
      </c>
      <c r="L82" s="3" t="s">
        <v>453</v>
      </c>
      <c r="M82" s="3" t="s">
        <v>159</v>
      </c>
      <c r="N82" s="4" t="s">
        <v>160</v>
      </c>
      <c r="O82" s="4" t="s">
        <v>454</v>
      </c>
      <c r="P82" s="4" t="s">
        <v>8</v>
      </c>
      <c r="Q82" s="4" t="s">
        <v>416</v>
      </c>
      <c r="R82" s="4" t="s">
        <v>61</v>
      </c>
      <c r="S82" s="19">
        <v>2</v>
      </c>
      <c r="T82" s="20">
        <v>0.2076388888888889</v>
      </c>
      <c r="U82" s="4" t="s">
        <v>10</v>
      </c>
      <c r="V82" s="4" t="s">
        <v>89</v>
      </c>
      <c r="W82" s="4" t="s">
        <v>67</v>
      </c>
      <c r="X82" s="26" t="s">
        <v>455</v>
      </c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</row>
    <row r="83" spans="1:54" ht="14.25">
      <c r="A83" s="3"/>
      <c r="B83" s="1" t="s">
        <v>456</v>
      </c>
      <c r="C83" s="27">
        <f>245</f>
        <v>245</v>
      </c>
      <c r="D83" s="1" t="s">
        <v>457</v>
      </c>
      <c r="E83" s="28">
        <v>-285</v>
      </c>
      <c r="F83" s="1" t="s">
        <v>456</v>
      </c>
      <c r="G83" s="28">
        <f>245</f>
        <v>245</v>
      </c>
      <c r="H83" s="2" t="s">
        <v>1</v>
      </c>
      <c r="I83" s="51"/>
      <c r="J83" s="3" t="s">
        <v>16</v>
      </c>
      <c r="K83" s="3" t="s">
        <v>445</v>
      </c>
      <c r="L83" s="3" t="s">
        <v>29</v>
      </c>
      <c r="M83" s="3" t="s">
        <v>447</v>
      </c>
      <c r="N83" s="4" t="s">
        <v>160</v>
      </c>
      <c r="O83" s="4" t="s">
        <v>458</v>
      </c>
      <c r="P83" s="4" t="s">
        <v>22</v>
      </c>
      <c r="Q83" s="4" t="s">
        <v>416</v>
      </c>
      <c r="R83" s="4" t="s">
        <v>193</v>
      </c>
      <c r="S83" s="19">
        <v>3</v>
      </c>
      <c r="T83" s="20">
        <v>0.20833333333333334</v>
      </c>
      <c r="U83" s="4" t="s">
        <v>10</v>
      </c>
      <c r="V83" s="4" t="s">
        <v>162</v>
      </c>
      <c r="W83" s="4" t="s">
        <v>459</v>
      </c>
      <c r="X83" s="26" t="s">
        <v>460</v>
      </c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</row>
    <row r="84" spans="1:54" ht="14.25">
      <c r="A84" s="3"/>
      <c r="B84" s="1" t="s">
        <v>461</v>
      </c>
      <c r="C84" s="44">
        <f>150</f>
        <v>150</v>
      </c>
      <c r="D84" s="1" t="s">
        <v>462</v>
      </c>
      <c r="E84" s="43">
        <v>-175</v>
      </c>
      <c r="F84" s="54" t="s">
        <v>461</v>
      </c>
      <c r="G84" s="23">
        <f>150</f>
        <v>150</v>
      </c>
      <c r="H84" s="30" t="s">
        <v>77</v>
      </c>
      <c r="I84" s="3"/>
      <c r="J84" s="3" t="s">
        <v>16</v>
      </c>
      <c r="K84" s="3" t="s">
        <v>445</v>
      </c>
      <c r="L84" s="3" t="s">
        <v>463</v>
      </c>
      <c r="M84" s="3" t="s">
        <v>464</v>
      </c>
      <c r="N84" s="4" t="s">
        <v>125</v>
      </c>
      <c r="O84" s="4" t="s">
        <v>465</v>
      </c>
      <c r="P84" s="4" t="s">
        <v>22</v>
      </c>
      <c r="Q84" s="4" t="s">
        <v>416</v>
      </c>
      <c r="R84" s="4" t="s">
        <v>466</v>
      </c>
      <c r="S84" s="19">
        <v>2</v>
      </c>
      <c r="T84" s="20">
        <v>0.11944444444444445</v>
      </c>
      <c r="U84" s="4" t="s">
        <v>10</v>
      </c>
      <c r="V84" s="4" t="s">
        <v>23</v>
      </c>
      <c r="W84" s="4" t="s">
        <v>467</v>
      </c>
      <c r="X84" s="26" t="s">
        <v>468</v>
      </c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</row>
    <row r="85" spans="1:54" ht="14.25">
      <c r="A85" s="3"/>
      <c r="B85" s="1" t="s">
        <v>469</v>
      </c>
      <c r="C85" s="44">
        <f>185</f>
        <v>185</v>
      </c>
      <c r="D85" s="1" t="s">
        <v>470</v>
      </c>
      <c r="E85" s="45">
        <v>-220</v>
      </c>
      <c r="F85" s="54" t="s">
        <v>470</v>
      </c>
      <c r="G85" s="22">
        <v>-220</v>
      </c>
      <c r="H85" s="2" t="s">
        <v>122</v>
      </c>
      <c r="I85" s="24">
        <v>7.9</v>
      </c>
      <c r="J85" s="3" t="s">
        <v>16</v>
      </c>
      <c r="K85" s="3" t="s">
        <v>471</v>
      </c>
      <c r="L85" s="3" t="s">
        <v>29</v>
      </c>
      <c r="M85" s="3" t="s">
        <v>30</v>
      </c>
      <c r="N85" s="4" t="s">
        <v>135</v>
      </c>
      <c r="O85" s="4" t="s">
        <v>472</v>
      </c>
      <c r="P85" s="4" t="s">
        <v>22</v>
      </c>
      <c r="Q85" s="4" t="s">
        <v>416</v>
      </c>
      <c r="R85" s="4" t="s">
        <v>9</v>
      </c>
      <c r="S85" s="19">
        <v>3</v>
      </c>
      <c r="T85" s="20">
        <v>0.20833333333333334</v>
      </c>
      <c r="U85" s="4" t="s">
        <v>10</v>
      </c>
      <c r="V85" s="4" t="s">
        <v>11</v>
      </c>
      <c r="W85" s="4" t="s">
        <v>473</v>
      </c>
      <c r="X85" s="26" t="s">
        <v>474</v>
      </c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</row>
    <row r="86" spans="1:54" ht="14.25">
      <c r="A86" s="3"/>
      <c r="B86" s="1" t="s">
        <v>433</v>
      </c>
      <c r="C86" s="46">
        <f>290</f>
        <v>290</v>
      </c>
      <c r="D86" s="1" t="s">
        <v>475</v>
      </c>
      <c r="E86" s="47">
        <v>-355</v>
      </c>
      <c r="F86" s="54" t="s">
        <v>475</v>
      </c>
      <c r="G86" s="27">
        <v>-355</v>
      </c>
      <c r="H86" s="2" t="s">
        <v>5</v>
      </c>
      <c r="I86" s="3"/>
      <c r="J86" s="3" t="s">
        <v>16</v>
      </c>
      <c r="K86" s="3" t="s">
        <v>445</v>
      </c>
      <c r="L86" s="3" t="s">
        <v>29</v>
      </c>
      <c r="M86" s="3" t="s">
        <v>30</v>
      </c>
      <c r="N86" s="4" t="s">
        <v>31</v>
      </c>
      <c r="O86" s="4" t="s">
        <v>476</v>
      </c>
      <c r="P86" s="4" t="s">
        <v>22</v>
      </c>
      <c r="Q86" s="4" t="s">
        <v>416</v>
      </c>
      <c r="R86" s="4" t="s">
        <v>9</v>
      </c>
      <c r="S86" s="19">
        <v>3</v>
      </c>
      <c r="T86" s="20">
        <v>0.20833333333333334</v>
      </c>
      <c r="U86" s="4" t="s">
        <v>10</v>
      </c>
      <c r="V86" s="4" t="s">
        <v>11</v>
      </c>
      <c r="W86" s="4" t="s">
        <v>477</v>
      </c>
      <c r="X86" s="26" t="s">
        <v>478</v>
      </c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</row>
    <row r="87" spans="1:54" ht="14.25">
      <c r="A87" s="3"/>
      <c r="B87" s="1" t="s">
        <v>479</v>
      </c>
      <c r="C87" s="46">
        <f>255</f>
        <v>255</v>
      </c>
      <c r="D87" s="1" t="s">
        <v>480</v>
      </c>
      <c r="E87" s="47">
        <v>-305</v>
      </c>
      <c r="F87" s="54" t="s">
        <v>480</v>
      </c>
      <c r="G87" s="27">
        <v>-305</v>
      </c>
      <c r="H87" s="2" t="s">
        <v>5</v>
      </c>
      <c r="I87" s="3"/>
      <c r="J87" s="3" t="s">
        <v>16</v>
      </c>
      <c r="K87" s="3" t="s">
        <v>445</v>
      </c>
      <c r="L87" s="3" t="s">
        <v>481</v>
      </c>
      <c r="M87" s="3" t="s">
        <v>482</v>
      </c>
      <c r="N87" s="4" t="s">
        <v>31</v>
      </c>
      <c r="O87" s="4" t="s">
        <v>483</v>
      </c>
      <c r="P87" s="4" t="s">
        <v>22</v>
      </c>
      <c r="Q87" s="4" t="s">
        <v>416</v>
      </c>
      <c r="R87" s="4" t="s">
        <v>46</v>
      </c>
      <c r="S87" s="19">
        <v>2</v>
      </c>
      <c r="T87" s="20">
        <v>1.8055555555555554E-2</v>
      </c>
      <c r="U87" s="4" t="s">
        <v>10</v>
      </c>
      <c r="V87" s="4" t="s">
        <v>23</v>
      </c>
      <c r="W87" s="4" t="s">
        <v>48</v>
      </c>
      <c r="X87" s="26" t="s">
        <v>484</v>
      </c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</row>
    <row r="88" spans="1:54" ht="14.25">
      <c r="A88" s="3"/>
      <c r="B88" s="1" t="s">
        <v>485</v>
      </c>
      <c r="C88" s="46">
        <f>135</f>
        <v>135</v>
      </c>
      <c r="D88" s="1" t="s">
        <v>414</v>
      </c>
      <c r="E88" s="47">
        <v>-155</v>
      </c>
      <c r="F88" s="54" t="s">
        <v>485</v>
      </c>
      <c r="G88" s="27">
        <f>135</f>
        <v>135</v>
      </c>
      <c r="H88" s="2" t="s">
        <v>122</v>
      </c>
      <c r="I88" s="3"/>
      <c r="J88" s="3" t="s">
        <v>16</v>
      </c>
      <c r="K88" s="3" t="s">
        <v>445</v>
      </c>
      <c r="L88" s="3" t="s">
        <v>29</v>
      </c>
      <c r="M88" s="3" t="s">
        <v>447</v>
      </c>
      <c r="N88" s="4" t="s">
        <v>160</v>
      </c>
      <c r="O88" s="4" t="s">
        <v>486</v>
      </c>
      <c r="P88" s="4" t="s">
        <v>8</v>
      </c>
      <c r="Q88" s="4" t="s">
        <v>416</v>
      </c>
      <c r="R88" s="4" t="s">
        <v>193</v>
      </c>
      <c r="S88" s="19">
        <v>3</v>
      </c>
      <c r="T88" s="20">
        <v>0.20833333333333334</v>
      </c>
      <c r="U88" s="4" t="s">
        <v>10</v>
      </c>
      <c r="V88" s="4" t="s">
        <v>306</v>
      </c>
      <c r="W88" s="4" t="s">
        <v>487</v>
      </c>
      <c r="X88" s="26" t="s">
        <v>488</v>
      </c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</row>
    <row r="89" spans="1:54" ht="14.25">
      <c r="A89" s="3"/>
      <c r="B89" s="1" t="s">
        <v>489</v>
      </c>
      <c r="C89" s="46">
        <v>-365</v>
      </c>
      <c r="D89" s="1" t="s">
        <v>490</v>
      </c>
      <c r="E89" s="47">
        <f>290</f>
        <v>290</v>
      </c>
      <c r="F89" s="54" t="s">
        <v>490</v>
      </c>
      <c r="G89" s="28">
        <f>290</f>
        <v>290</v>
      </c>
      <c r="H89" s="2" t="s">
        <v>122</v>
      </c>
      <c r="I89" s="3"/>
      <c r="J89" s="3" t="s">
        <v>16</v>
      </c>
      <c r="K89" s="3" t="s">
        <v>491</v>
      </c>
      <c r="L89" s="3" t="s">
        <v>492</v>
      </c>
      <c r="M89" s="3" t="s">
        <v>493</v>
      </c>
      <c r="N89" s="4" t="s">
        <v>160</v>
      </c>
      <c r="O89" s="4" t="s">
        <v>494</v>
      </c>
      <c r="P89" s="4" t="s">
        <v>8</v>
      </c>
      <c r="Q89" s="4" t="s">
        <v>416</v>
      </c>
      <c r="R89" s="4" t="s">
        <v>61</v>
      </c>
      <c r="S89" s="19">
        <v>1</v>
      </c>
      <c r="T89" s="20">
        <v>9.5138888888888884E-2</v>
      </c>
      <c r="U89" s="4" t="s">
        <v>10</v>
      </c>
      <c r="V89" s="4" t="s">
        <v>47</v>
      </c>
      <c r="W89" s="4" t="s">
        <v>495</v>
      </c>
      <c r="X89" s="26" t="s">
        <v>496</v>
      </c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</row>
    <row r="90" spans="1:54" ht="14.25">
      <c r="A90" s="3"/>
      <c r="B90" s="1" t="s">
        <v>418</v>
      </c>
      <c r="C90" s="46">
        <f>170</f>
        <v>170</v>
      </c>
      <c r="D90" s="1" t="s">
        <v>497</v>
      </c>
      <c r="E90" s="47">
        <v>-200</v>
      </c>
      <c r="F90" s="54" t="s">
        <v>418</v>
      </c>
      <c r="G90" s="27">
        <f>170</f>
        <v>170</v>
      </c>
      <c r="H90" s="2" t="s">
        <v>5</v>
      </c>
      <c r="I90" s="3"/>
      <c r="J90" s="3"/>
      <c r="K90" s="3"/>
      <c r="L90" s="3"/>
      <c r="M90" s="3"/>
      <c r="N90" s="4" t="s">
        <v>311</v>
      </c>
      <c r="O90" s="4" t="s">
        <v>498</v>
      </c>
      <c r="P90" s="4" t="s">
        <v>22</v>
      </c>
      <c r="Q90" s="4" t="s">
        <v>416</v>
      </c>
      <c r="R90" s="4" t="s">
        <v>9</v>
      </c>
      <c r="S90" s="19">
        <v>3</v>
      </c>
      <c r="T90" s="20">
        <v>0.20833333333333334</v>
      </c>
      <c r="U90" s="4" t="s">
        <v>10</v>
      </c>
      <c r="V90" s="4" t="s">
        <v>499</v>
      </c>
      <c r="W90" s="4" t="s">
        <v>500</v>
      </c>
      <c r="X90" s="26" t="s">
        <v>501</v>
      </c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</row>
    <row r="91" spans="1:54" ht="14.25">
      <c r="A91" s="3"/>
      <c r="B91" s="33" t="s">
        <v>502</v>
      </c>
      <c r="C91" s="46">
        <v>-135</v>
      </c>
      <c r="D91" s="33" t="s">
        <v>503</v>
      </c>
      <c r="E91" s="47">
        <v>115</v>
      </c>
      <c r="F91" s="55" t="s">
        <v>503</v>
      </c>
      <c r="G91" s="28">
        <v>115</v>
      </c>
      <c r="H91" s="2" t="s">
        <v>122</v>
      </c>
      <c r="I91" s="3"/>
      <c r="J91" s="3"/>
      <c r="K91" s="3"/>
      <c r="L91" s="3"/>
      <c r="M91" s="3"/>
      <c r="N91" s="4" t="s">
        <v>185</v>
      </c>
      <c r="O91" s="4" t="s">
        <v>504</v>
      </c>
      <c r="P91" s="4" t="s">
        <v>22</v>
      </c>
      <c r="Q91" s="4" t="s">
        <v>416</v>
      </c>
      <c r="R91" s="4" t="s">
        <v>61</v>
      </c>
      <c r="S91" s="19">
        <v>2</v>
      </c>
      <c r="T91" s="20">
        <v>5.347222222222222E-2</v>
      </c>
      <c r="U91" s="4" t="s">
        <v>10</v>
      </c>
      <c r="V91" s="4" t="s">
        <v>194</v>
      </c>
      <c r="W91" s="4" t="s">
        <v>505</v>
      </c>
      <c r="X91" s="26" t="s">
        <v>506</v>
      </c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</row>
    <row r="92" spans="1:54" ht="15">
      <c r="A92" s="3"/>
      <c r="B92" s="1" t="s">
        <v>507</v>
      </c>
      <c r="C92" s="49">
        <v>-210</v>
      </c>
      <c r="D92" s="1" t="s">
        <v>508</v>
      </c>
      <c r="E92" s="50">
        <f>180</f>
        <v>180</v>
      </c>
      <c r="F92" s="54" t="s">
        <v>507</v>
      </c>
      <c r="G92" s="27">
        <v>-210</v>
      </c>
      <c r="H92" s="29" t="s">
        <v>122</v>
      </c>
      <c r="I92" s="3"/>
      <c r="J92" s="3"/>
      <c r="K92" s="3"/>
      <c r="L92" s="3"/>
      <c r="M92" s="3"/>
      <c r="N92" s="4" t="s">
        <v>37</v>
      </c>
      <c r="O92" s="4" t="s">
        <v>509</v>
      </c>
      <c r="P92" s="4" t="s">
        <v>8</v>
      </c>
      <c r="Q92" s="4" t="s">
        <v>416</v>
      </c>
      <c r="R92" s="4" t="s">
        <v>46</v>
      </c>
      <c r="S92" s="19">
        <v>2</v>
      </c>
      <c r="T92" s="20">
        <v>0.18819444444444444</v>
      </c>
      <c r="U92" s="4" t="s">
        <v>10</v>
      </c>
      <c r="V92" s="4" t="s">
        <v>39</v>
      </c>
      <c r="W92" s="4" t="s">
        <v>417</v>
      </c>
      <c r="X92" s="26" t="s">
        <v>510</v>
      </c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</row>
    <row r="93" spans="1:54" ht="14.25">
      <c r="A93" s="3"/>
      <c r="B93" s="1" t="s">
        <v>511</v>
      </c>
      <c r="C93" s="49">
        <v>-170</v>
      </c>
      <c r="D93" s="1" t="s">
        <v>512</v>
      </c>
      <c r="E93" s="50">
        <f>145</f>
        <v>145</v>
      </c>
      <c r="F93" s="54" t="s">
        <v>511</v>
      </c>
      <c r="G93" s="28">
        <v>-170</v>
      </c>
      <c r="H93" s="2" t="s">
        <v>5</v>
      </c>
      <c r="I93" s="3"/>
      <c r="J93" s="3"/>
      <c r="K93" s="3"/>
      <c r="L93" s="3"/>
      <c r="M93" s="3"/>
      <c r="N93" s="4" t="s">
        <v>44</v>
      </c>
      <c r="O93" s="4" t="s">
        <v>513</v>
      </c>
      <c r="P93" s="4" t="s">
        <v>8</v>
      </c>
      <c r="Q93" s="4" t="s">
        <v>416</v>
      </c>
      <c r="R93" s="4" t="s">
        <v>61</v>
      </c>
      <c r="S93" s="19">
        <v>2</v>
      </c>
      <c r="T93" s="20">
        <v>0.18402777777777779</v>
      </c>
      <c r="U93" s="4" t="s">
        <v>10</v>
      </c>
      <c r="V93" s="4" t="s">
        <v>23</v>
      </c>
      <c r="W93" s="4" t="s">
        <v>67</v>
      </c>
      <c r="X93" s="26" t="s">
        <v>514</v>
      </c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</row>
    <row r="94" spans="1:54" ht="14.25">
      <c r="A94" s="3"/>
      <c r="B94" s="1" t="s">
        <v>515</v>
      </c>
      <c r="C94" s="49">
        <v>-500</v>
      </c>
      <c r="D94" s="1" t="s">
        <v>516</v>
      </c>
      <c r="E94" s="50">
        <f>375</f>
        <v>375</v>
      </c>
      <c r="F94" s="54" t="s">
        <v>515</v>
      </c>
      <c r="G94" s="16">
        <v>-500</v>
      </c>
      <c r="H94" s="2" t="s">
        <v>5</v>
      </c>
      <c r="I94" s="3"/>
      <c r="J94" s="3"/>
      <c r="K94" s="3"/>
      <c r="L94" s="3"/>
      <c r="M94" s="3"/>
      <c r="N94" s="4" t="s">
        <v>52</v>
      </c>
      <c r="O94" s="4" t="s">
        <v>517</v>
      </c>
      <c r="P94" s="4" t="s">
        <v>8</v>
      </c>
      <c r="Q94" s="4" t="s">
        <v>416</v>
      </c>
      <c r="R94" s="4" t="s">
        <v>46</v>
      </c>
      <c r="S94" s="19">
        <v>2</v>
      </c>
      <c r="T94" s="20">
        <v>0.16597222222222222</v>
      </c>
      <c r="U94" s="4" t="s">
        <v>10</v>
      </c>
      <c r="V94" s="4" t="s">
        <v>11</v>
      </c>
      <c r="W94" s="4" t="s">
        <v>518</v>
      </c>
      <c r="X94" s="26" t="s">
        <v>519</v>
      </c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</row>
    <row r="95" spans="1:54" ht="14.25">
      <c r="A95" s="3"/>
      <c r="B95" s="1" t="s">
        <v>520</v>
      </c>
      <c r="C95" s="49">
        <v>-155</v>
      </c>
      <c r="D95" s="1" t="s">
        <v>521</v>
      </c>
      <c r="E95" s="50">
        <f>135</f>
        <v>135</v>
      </c>
      <c r="F95" s="54" t="s">
        <v>521</v>
      </c>
      <c r="G95" s="16">
        <f>135</f>
        <v>135</v>
      </c>
      <c r="H95" s="2" t="s">
        <v>5</v>
      </c>
      <c r="I95" s="3"/>
      <c r="J95" s="3"/>
      <c r="K95" s="3"/>
      <c r="L95" s="3"/>
      <c r="M95" s="3"/>
      <c r="N95" s="4" t="s">
        <v>52</v>
      </c>
      <c r="O95" s="4" t="s">
        <v>522</v>
      </c>
      <c r="P95" s="4" t="s">
        <v>8</v>
      </c>
      <c r="Q95" s="4" t="s">
        <v>416</v>
      </c>
      <c r="R95" s="4" t="s">
        <v>46</v>
      </c>
      <c r="S95" s="19">
        <v>2</v>
      </c>
      <c r="T95" s="20">
        <v>3.8194444444444448E-2</v>
      </c>
      <c r="U95" s="4" t="s">
        <v>10</v>
      </c>
      <c r="V95" s="4" t="s">
        <v>39</v>
      </c>
      <c r="W95" s="4" t="s">
        <v>127</v>
      </c>
      <c r="X95" s="26" t="s">
        <v>523</v>
      </c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</row>
    <row r="96" spans="1:54" ht="14.25">
      <c r="A96" s="3"/>
      <c r="B96" s="1" t="s">
        <v>418</v>
      </c>
      <c r="C96" s="49">
        <v>-155</v>
      </c>
      <c r="D96" s="1" t="s">
        <v>524</v>
      </c>
      <c r="E96" s="50">
        <f>155</f>
        <v>155</v>
      </c>
      <c r="F96" s="54" t="s">
        <v>524</v>
      </c>
      <c r="G96" s="17">
        <f>155</f>
        <v>155</v>
      </c>
      <c r="H96" s="2" t="s">
        <v>5</v>
      </c>
      <c r="I96" s="3"/>
      <c r="J96" s="3"/>
      <c r="K96" s="3"/>
      <c r="L96" s="3"/>
      <c r="M96" s="3"/>
      <c r="N96" s="4" t="s">
        <v>65</v>
      </c>
      <c r="O96" s="4" t="s">
        <v>525</v>
      </c>
      <c r="P96" s="4" t="s">
        <v>22</v>
      </c>
      <c r="Q96" s="4" t="s">
        <v>416</v>
      </c>
      <c r="R96" s="4" t="s">
        <v>9</v>
      </c>
      <c r="S96" s="19">
        <v>3</v>
      </c>
      <c r="T96" s="20">
        <v>0.20833333333333334</v>
      </c>
      <c r="U96" s="4" t="s">
        <v>10</v>
      </c>
      <c r="V96" s="4" t="s">
        <v>23</v>
      </c>
      <c r="W96" s="4" t="s">
        <v>526</v>
      </c>
      <c r="X96" s="26" t="s">
        <v>527</v>
      </c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</row>
    <row r="97" spans="1:54" ht="14.25">
      <c r="A97" s="3"/>
      <c r="B97" s="1" t="s">
        <v>480</v>
      </c>
      <c r="C97" s="16">
        <f>200</f>
        <v>200</v>
      </c>
      <c r="D97" s="1" t="s">
        <v>424</v>
      </c>
      <c r="E97" s="17">
        <v>-200</v>
      </c>
      <c r="F97" s="1" t="s">
        <v>480</v>
      </c>
      <c r="G97" s="56">
        <f>200</f>
        <v>200</v>
      </c>
      <c r="H97" s="2" t="s">
        <v>5</v>
      </c>
      <c r="I97" s="3"/>
      <c r="J97" s="3"/>
      <c r="K97" s="3"/>
      <c r="L97" s="3"/>
      <c r="M97" s="3"/>
      <c r="N97" s="4" t="s">
        <v>223</v>
      </c>
      <c r="O97" s="4" t="s">
        <v>528</v>
      </c>
      <c r="P97" s="4" t="s">
        <v>8</v>
      </c>
      <c r="Q97" s="4" t="s">
        <v>416</v>
      </c>
      <c r="R97" s="4" t="s">
        <v>9</v>
      </c>
      <c r="S97" s="19">
        <v>3</v>
      </c>
      <c r="T97" s="20">
        <v>0.20833333333333334</v>
      </c>
      <c r="U97" s="4" t="s">
        <v>10</v>
      </c>
      <c r="V97" s="4" t="s">
        <v>47</v>
      </c>
      <c r="W97" s="4" t="s">
        <v>529</v>
      </c>
      <c r="X97" s="26" t="s">
        <v>530</v>
      </c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</row>
    <row r="98" spans="1:54" ht="14.25">
      <c r="A98" s="3"/>
      <c r="B98" s="1" t="s">
        <v>507</v>
      </c>
      <c r="C98" s="16">
        <f>225</f>
        <v>225</v>
      </c>
      <c r="D98" s="1" t="s">
        <v>425</v>
      </c>
      <c r="E98" s="17">
        <v>-225</v>
      </c>
      <c r="F98" s="1" t="s">
        <v>507</v>
      </c>
      <c r="G98" s="16">
        <f>225</f>
        <v>225</v>
      </c>
      <c r="H98" s="2" t="s">
        <v>5</v>
      </c>
      <c r="I98" s="3"/>
      <c r="J98" s="3"/>
      <c r="K98" s="3"/>
      <c r="L98" s="3"/>
      <c r="M98" s="3"/>
      <c r="N98" s="4" t="s">
        <v>223</v>
      </c>
      <c r="O98" s="4" t="s">
        <v>531</v>
      </c>
      <c r="P98" s="4" t="s">
        <v>8</v>
      </c>
      <c r="Q98" s="4" t="s">
        <v>416</v>
      </c>
      <c r="R98" s="4" t="s">
        <v>9</v>
      </c>
      <c r="S98" s="19">
        <v>3</v>
      </c>
      <c r="T98" s="20">
        <v>0.20833333333333334</v>
      </c>
      <c r="U98" s="4" t="s">
        <v>10</v>
      </c>
      <c r="V98" s="4" t="s">
        <v>89</v>
      </c>
      <c r="W98" s="4" t="s">
        <v>532</v>
      </c>
      <c r="X98" s="26" t="s">
        <v>533</v>
      </c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</row>
    <row r="99" spans="1:54" ht="14.25">
      <c r="A99" s="12"/>
      <c r="B99" s="7"/>
      <c r="C99" s="57"/>
      <c r="D99" s="7"/>
      <c r="E99" s="58"/>
      <c r="F99" s="7"/>
      <c r="G99" s="59"/>
      <c r="H99" s="11"/>
      <c r="I99" s="60"/>
      <c r="J99" s="7"/>
      <c r="K99" s="60"/>
      <c r="L99" s="7"/>
      <c r="M99" s="12"/>
      <c r="N99" s="13"/>
      <c r="O99" s="13"/>
      <c r="P99" s="13"/>
      <c r="Q99" s="13"/>
      <c r="R99" s="13"/>
      <c r="S99" s="14"/>
      <c r="T99" s="15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</row>
    <row r="100" spans="1:54" ht="14.25">
      <c r="A100" s="3"/>
      <c r="B100" s="1" t="s">
        <v>534</v>
      </c>
      <c r="C100" s="22">
        <v>-150</v>
      </c>
      <c r="D100" s="1" t="s">
        <v>535</v>
      </c>
      <c r="E100" s="23">
        <f>130</f>
        <v>130</v>
      </c>
      <c r="F100" s="1" t="s">
        <v>535</v>
      </c>
      <c r="G100" s="23">
        <f>130</f>
        <v>130</v>
      </c>
      <c r="H100" s="2" t="s">
        <v>1</v>
      </c>
      <c r="I100" s="24">
        <v>7.2</v>
      </c>
      <c r="J100" s="1" t="s">
        <v>18</v>
      </c>
      <c r="K100" s="24">
        <v>-180</v>
      </c>
      <c r="L100" s="1" t="s">
        <v>536</v>
      </c>
      <c r="M100" s="3"/>
      <c r="N100" s="4" t="s">
        <v>339</v>
      </c>
      <c r="O100" s="4" t="s">
        <v>537</v>
      </c>
      <c r="P100" s="4" t="s">
        <v>8</v>
      </c>
      <c r="Q100" s="4" t="s">
        <v>538</v>
      </c>
      <c r="R100" s="4" t="s">
        <v>46</v>
      </c>
      <c r="S100" s="19">
        <v>3</v>
      </c>
      <c r="T100" s="20">
        <v>3.4027777777777775E-2</v>
      </c>
      <c r="U100" s="4" t="s">
        <v>54</v>
      </c>
      <c r="V100" s="4" t="s">
        <v>96</v>
      </c>
      <c r="W100" s="4" t="s">
        <v>48</v>
      </c>
      <c r="X100" s="26" t="s">
        <v>539</v>
      </c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</row>
    <row r="101" spans="1:54" ht="14.25">
      <c r="A101" s="3"/>
      <c r="B101" s="1" t="s">
        <v>540</v>
      </c>
      <c r="C101" s="22">
        <v>-107</v>
      </c>
      <c r="D101" s="1" t="s">
        <v>541</v>
      </c>
      <c r="E101" s="23">
        <v>-113</v>
      </c>
      <c r="F101" s="1" t="s">
        <v>541</v>
      </c>
      <c r="G101" s="23">
        <v>-113</v>
      </c>
      <c r="H101" s="2" t="s">
        <v>1</v>
      </c>
      <c r="I101" s="24">
        <v>7.3</v>
      </c>
      <c r="J101" s="1" t="s">
        <v>427</v>
      </c>
      <c r="K101" s="24">
        <v>-175</v>
      </c>
      <c r="L101" s="1"/>
      <c r="M101" s="1"/>
      <c r="N101" s="4" t="s">
        <v>94</v>
      </c>
      <c r="O101" s="4" t="s">
        <v>542</v>
      </c>
      <c r="P101" s="4" t="s">
        <v>8</v>
      </c>
      <c r="Q101" s="4" t="s">
        <v>538</v>
      </c>
      <c r="R101" s="4" t="s">
        <v>9</v>
      </c>
      <c r="S101" s="19">
        <v>3</v>
      </c>
      <c r="T101" s="20">
        <v>0.20833333333333334</v>
      </c>
      <c r="U101" s="4" t="s">
        <v>10</v>
      </c>
      <c r="V101" s="4" t="s">
        <v>39</v>
      </c>
      <c r="W101" s="4" t="s">
        <v>543</v>
      </c>
      <c r="X101" s="26" t="s">
        <v>544</v>
      </c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</row>
    <row r="102" spans="1:54" ht="14.25">
      <c r="A102" s="3"/>
      <c r="B102" s="1" t="s">
        <v>545</v>
      </c>
      <c r="C102" s="27">
        <f>140</f>
        <v>140</v>
      </c>
      <c r="D102" s="1" t="s">
        <v>546</v>
      </c>
      <c r="E102" s="28">
        <v>-160</v>
      </c>
      <c r="F102" s="1" t="s">
        <v>546</v>
      </c>
      <c r="G102" s="28">
        <v>-160</v>
      </c>
      <c r="H102" s="2" t="s">
        <v>1</v>
      </c>
      <c r="I102" s="3"/>
      <c r="J102" s="3" t="s">
        <v>16</v>
      </c>
      <c r="K102" s="3" t="s">
        <v>547</v>
      </c>
      <c r="L102" s="3" t="s">
        <v>548</v>
      </c>
      <c r="M102" s="3" t="s">
        <v>549</v>
      </c>
      <c r="N102" s="4" t="s">
        <v>31</v>
      </c>
      <c r="O102" s="4" t="s">
        <v>550</v>
      </c>
      <c r="P102" s="4" t="s">
        <v>8</v>
      </c>
      <c r="Q102" s="4" t="s">
        <v>538</v>
      </c>
      <c r="R102" s="4" t="s">
        <v>46</v>
      </c>
      <c r="S102" s="19">
        <v>4</v>
      </c>
      <c r="T102" s="20">
        <v>0.20833333333333334</v>
      </c>
      <c r="U102" s="4" t="s">
        <v>54</v>
      </c>
      <c r="V102" s="4" t="s">
        <v>47</v>
      </c>
      <c r="W102" s="4" t="s">
        <v>551</v>
      </c>
      <c r="X102" s="26" t="s">
        <v>552</v>
      </c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</row>
    <row r="103" spans="1:54" ht="14.25">
      <c r="A103" s="3"/>
      <c r="B103" s="1" t="s">
        <v>553</v>
      </c>
      <c r="C103" s="27">
        <v>-170</v>
      </c>
      <c r="D103" s="1" t="s">
        <v>554</v>
      </c>
      <c r="E103" s="28">
        <v>145</v>
      </c>
      <c r="F103" s="1" t="s">
        <v>553</v>
      </c>
      <c r="G103" s="27">
        <v>-170</v>
      </c>
      <c r="H103" s="2" t="s">
        <v>1</v>
      </c>
      <c r="I103" s="3"/>
      <c r="J103" s="3"/>
      <c r="K103" s="3"/>
      <c r="L103" s="3"/>
      <c r="M103" s="3"/>
      <c r="N103" s="4" t="s">
        <v>311</v>
      </c>
      <c r="O103" s="4" t="s">
        <v>555</v>
      </c>
      <c r="P103" s="4" t="s">
        <v>22</v>
      </c>
      <c r="Q103" s="4" t="s">
        <v>538</v>
      </c>
      <c r="R103" s="4" t="s">
        <v>9</v>
      </c>
      <c r="S103" s="19">
        <v>3</v>
      </c>
      <c r="T103" s="20">
        <v>0.20833333333333334</v>
      </c>
      <c r="U103" s="4" t="s">
        <v>10</v>
      </c>
      <c r="V103" s="4" t="s">
        <v>499</v>
      </c>
      <c r="W103" s="4" t="s">
        <v>556</v>
      </c>
      <c r="X103" s="26" t="s">
        <v>557</v>
      </c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</row>
    <row r="104" spans="1:54" ht="15">
      <c r="A104" s="3"/>
      <c r="B104" s="1" t="s">
        <v>558</v>
      </c>
      <c r="C104" s="16">
        <f>475</f>
        <v>475</v>
      </c>
      <c r="D104" s="1" t="s">
        <v>559</v>
      </c>
      <c r="E104" s="17">
        <v>-650</v>
      </c>
      <c r="F104" s="1" t="s">
        <v>558</v>
      </c>
      <c r="G104" s="28">
        <f>475</f>
        <v>475</v>
      </c>
      <c r="H104" s="29" t="s">
        <v>1</v>
      </c>
      <c r="I104" s="3"/>
      <c r="J104" s="3"/>
      <c r="K104" s="3"/>
      <c r="L104" s="3"/>
      <c r="M104" s="3"/>
      <c r="N104" s="4" t="s">
        <v>37</v>
      </c>
      <c r="O104" s="4" t="s">
        <v>560</v>
      </c>
      <c r="P104" s="4" t="s">
        <v>22</v>
      </c>
      <c r="Q104" s="4" t="s">
        <v>538</v>
      </c>
      <c r="R104" s="4" t="s">
        <v>9</v>
      </c>
      <c r="S104" s="19">
        <v>3</v>
      </c>
      <c r="T104" s="20">
        <v>0.20833333333333334</v>
      </c>
      <c r="U104" s="4" t="s">
        <v>10</v>
      </c>
      <c r="V104" s="4" t="s">
        <v>47</v>
      </c>
      <c r="W104" s="4" t="s">
        <v>500</v>
      </c>
      <c r="X104" s="26" t="s">
        <v>561</v>
      </c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</row>
    <row r="105" spans="1:54" ht="14.25">
      <c r="A105" s="3"/>
      <c r="B105" s="1" t="s">
        <v>562</v>
      </c>
      <c r="C105" s="16">
        <v>-143</v>
      </c>
      <c r="D105" s="1" t="s">
        <v>546</v>
      </c>
      <c r="E105" s="17">
        <f>123</f>
        <v>123</v>
      </c>
      <c r="F105" s="1" t="s">
        <v>562</v>
      </c>
      <c r="G105" s="27">
        <v>-143</v>
      </c>
      <c r="H105" s="2" t="s">
        <v>1</v>
      </c>
      <c r="I105" s="3"/>
      <c r="J105" s="3"/>
      <c r="K105" s="3"/>
      <c r="L105" s="3"/>
      <c r="M105" s="3"/>
      <c r="N105" s="4" t="s">
        <v>44</v>
      </c>
      <c r="O105" s="4" t="s">
        <v>563</v>
      </c>
      <c r="P105" s="4" t="s">
        <v>22</v>
      </c>
      <c r="Q105" s="4" t="s">
        <v>538</v>
      </c>
      <c r="R105" s="4" t="s">
        <v>46</v>
      </c>
      <c r="S105" s="19">
        <v>2</v>
      </c>
      <c r="T105" s="20">
        <v>3.888888888888889E-2</v>
      </c>
      <c r="U105" s="4" t="s">
        <v>10</v>
      </c>
      <c r="V105" s="4" t="s">
        <v>39</v>
      </c>
      <c r="W105" s="4" t="s">
        <v>97</v>
      </c>
      <c r="X105" s="26" t="s">
        <v>564</v>
      </c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</row>
    <row r="106" spans="1:54" ht="14.25">
      <c r="A106" s="3"/>
      <c r="B106" s="1" t="s">
        <v>565</v>
      </c>
      <c r="C106" s="16">
        <f>285</f>
        <v>285</v>
      </c>
      <c r="D106" s="1" t="s">
        <v>541</v>
      </c>
      <c r="E106" s="17">
        <v>-285</v>
      </c>
      <c r="F106" s="1" t="s">
        <v>541</v>
      </c>
      <c r="G106" s="17">
        <v>-285</v>
      </c>
      <c r="H106" s="2" t="s">
        <v>1</v>
      </c>
      <c r="I106" s="3"/>
      <c r="J106" s="3"/>
      <c r="K106" s="3"/>
      <c r="L106" s="3"/>
      <c r="M106" s="3"/>
      <c r="N106" s="4" t="s">
        <v>65</v>
      </c>
      <c r="O106" s="4" t="s">
        <v>566</v>
      </c>
      <c r="P106" s="4" t="s">
        <v>8</v>
      </c>
      <c r="Q106" s="4" t="s">
        <v>538</v>
      </c>
      <c r="R106" s="4" t="s">
        <v>9</v>
      </c>
      <c r="S106" s="19">
        <v>3</v>
      </c>
      <c r="T106" s="20">
        <v>0.20833333333333334</v>
      </c>
      <c r="U106" s="4" t="s">
        <v>10</v>
      </c>
      <c r="V106" s="4" t="s">
        <v>39</v>
      </c>
      <c r="W106" s="4" t="s">
        <v>567</v>
      </c>
      <c r="X106" s="26" t="s">
        <v>568</v>
      </c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</row>
    <row r="107" spans="1:54" ht="14.25">
      <c r="A107" s="3"/>
      <c r="B107" s="1" t="s">
        <v>559</v>
      </c>
      <c r="C107" s="22">
        <f>174</f>
        <v>174</v>
      </c>
      <c r="D107" s="1" t="s">
        <v>569</v>
      </c>
      <c r="E107" s="23">
        <v>-204</v>
      </c>
      <c r="F107" s="1" t="s">
        <v>559</v>
      </c>
      <c r="G107" s="23">
        <f>174</f>
        <v>174</v>
      </c>
      <c r="H107" s="2" t="s">
        <v>5</v>
      </c>
      <c r="I107" s="24">
        <v>5.8</v>
      </c>
      <c r="J107" s="1" t="s">
        <v>46</v>
      </c>
      <c r="K107" s="24">
        <v>-140</v>
      </c>
      <c r="L107" s="1" t="s">
        <v>570</v>
      </c>
      <c r="M107" s="3"/>
      <c r="N107" s="4" t="s">
        <v>339</v>
      </c>
      <c r="O107" s="4" t="s">
        <v>571</v>
      </c>
      <c r="P107" s="4" t="s">
        <v>8</v>
      </c>
      <c r="Q107" s="4" t="s">
        <v>538</v>
      </c>
      <c r="R107" s="4" t="s">
        <v>9</v>
      </c>
      <c r="S107" s="19">
        <v>3</v>
      </c>
      <c r="T107" s="20">
        <v>0.20833333333333334</v>
      </c>
      <c r="U107" s="4" t="s">
        <v>10</v>
      </c>
      <c r="V107" s="4" t="s">
        <v>572</v>
      </c>
      <c r="W107" s="4" t="s">
        <v>573</v>
      </c>
      <c r="X107" s="26" t="s">
        <v>574</v>
      </c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</row>
    <row r="108" spans="1:54" ht="14.25">
      <c r="A108" s="3"/>
      <c r="B108" s="1" t="s">
        <v>575</v>
      </c>
      <c r="C108" s="22">
        <f>205</f>
        <v>205</v>
      </c>
      <c r="D108" s="1" t="s">
        <v>576</v>
      </c>
      <c r="E108" s="23">
        <v>-240</v>
      </c>
      <c r="F108" s="1" t="s">
        <v>576</v>
      </c>
      <c r="G108" s="23">
        <v>-240</v>
      </c>
      <c r="H108" s="2" t="s">
        <v>5</v>
      </c>
      <c r="I108" s="24">
        <v>8.4</v>
      </c>
      <c r="J108" s="1" t="s">
        <v>427</v>
      </c>
      <c r="K108" s="24">
        <v>-200</v>
      </c>
      <c r="L108" s="1"/>
      <c r="M108" s="1"/>
      <c r="N108" s="4" t="s">
        <v>94</v>
      </c>
      <c r="O108" s="4" t="s">
        <v>577</v>
      </c>
      <c r="P108" s="4" t="s">
        <v>22</v>
      </c>
      <c r="Q108" s="4" t="s">
        <v>538</v>
      </c>
      <c r="R108" s="4" t="s">
        <v>46</v>
      </c>
      <c r="S108" s="19">
        <v>2</v>
      </c>
      <c r="T108" s="20">
        <v>9.166666666666666E-2</v>
      </c>
      <c r="U108" s="4" t="s">
        <v>10</v>
      </c>
      <c r="V108" s="4" t="s">
        <v>39</v>
      </c>
      <c r="W108" s="4" t="s">
        <v>48</v>
      </c>
      <c r="X108" s="26" t="s">
        <v>578</v>
      </c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</row>
    <row r="109" spans="1:54" ht="14.25">
      <c r="A109" s="3"/>
      <c r="B109" s="1" t="s">
        <v>579</v>
      </c>
      <c r="C109" s="22">
        <f>245</f>
        <v>245</v>
      </c>
      <c r="D109" s="1" t="s">
        <v>580</v>
      </c>
      <c r="E109" s="23">
        <v>-290</v>
      </c>
      <c r="F109" s="1" t="s">
        <v>580</v>
      </c>
      <c r="G109" s="22">
        <v>-290</v>
      </c>
      <c r="H109" s="30" t="s">
        <v>5</v>
      </c>
      <c r="I109" s="24">
        <v>6.4</v>
      </c>
      <c r="J109" s="1" t="s">
        <v>18</v>
      </c>
      <c r="K109" s="3"/>
      <c r="L109" s="1" t="s">
        <v>581</v>
      </c>
      <c r="M109" s="3"/>
      <c r="N109" s="4" t="s">
        <v>79</v>
      </c>
      <c r="O109" s="4" t="s">
        <v>582</v>
      </c>
      <c r="P109" s="4" t="s">
        <v>22</v>
      </c>
      <c r="Q109" s="4" t="s">
        <v>538</v>
      </c>
      <c r="R109" s="4" t="s">
        <v>9</v>
      </c>
      <c r="S109" s="19">
        <v>3</v>
      </c>
      <c r="T109" s="20">
        <v>0.20833333333333334</v>
      </c>
      <c r="U109" s="4" t="s">
        <v>10</v>
      </c>
      <c r="V109" s="4" t="s">
        <v>39</v>
      </c>
      <c r="W109" s="4" t="s">
        <v>583</v>
      </c>
      <c r="X109" s="26" t="s">
        <v>584</v>
      </c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</row>
    <row r="110" spans="1:54" ht="14.25">
      <c r="A110" s="3"/>
      <c r="B110" s="1" t="s">
        <v>585</v>
      </c>
      <c r="C110" s="22">
        <v>-180</v>
      </c>
      <c r="D110" s="1" t="s">
        <v>586</v>
      </c>
      <c r="E110" s="23">
        <f>155</f>
        <v>155</v>
      </c>
      <c r="F110" s="1" t="s">
        <v>585</v>
      </c>
      <c r="G110" s="22">
        <v>-180</v>
      </c>
      <c r="H110" s="30" t="s">
        <v>122</v>
      </c>
      <c r="I110" s="3"/>
      <c r="J110" s="3" t="s">
        <v>16</v>
      </c>
      <c r="K110" s="3" t="s">
        <v>547</v>
      </c>
      <c r="L110" s="3" t="s">
        <v>29</v>
      </c>
      <c r="M110" s="3" t="s">
        <v>30</v>
      </c>
      <c r="N110" s="4" t="s">
        <v>125</v>
      </c>
      <c r="O110" s="4" t="s">
        <v>587</v>
      </c>
      <c r="P110" s="4" t="s">
        <v>8</v>
      </c>
      <c r="Q110" s="4" t="s">
        <v>538</v>
      </c>
      <c r="R110" s="4" t="s">
        <v>9</v>
      </c>
      <c r="S110" s="19">
        <v>3</v>
      </c>
      <c r="T110" s="20">
        <v>0.20833333333333334</v>
      </c>
      <c r="U110" s="4" t="s">
        <v>10</v>
      </c>
      <c r="V110" s="4" t="s">
        <v>55</v>
      </c>
      <c r="W110" s="4" t="s">
        <v>588</v>
      </c>
      <c r="X110" s="26" t="s">
        <v>589</v>
      </c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</row>
    <row r="111" spans="1:54" ht="14.25">
      <c r="A111" s="3"/>
      <c r="B111" s="1" t="s">
        <v>590</v>
      </c>
      <c r="C111" s="22">
        <f>118</f>
        <v>118</v>
      </c>
      <c r="D111" s="1" t="s">
        <v>565</v>
      </c>
      <c r="E111" s="23">
        <v>-138</v>
      </c>
      <c r="F111" s="1" t="s">
        <v>565</v>
      </c>
      <c r="G111" s="22">
        <v>-138</v>
      </c>
      <c r="H111" s="30" t="s">
        <v>122</v>
      </c>
      <c r="I111" s="3"/>
      <c r="J111" s="3" t="s">
        <v>16</v>
      </c>
      <c r="K111" s="3" t="s">
        <v>547</v>
      </c>
      <c r="L111" s="3" t="s">
        <v>29</v>
      </c>
      <c r="M111" s="3" t="s">
        <v>30</v>
      </c>
      <c r="N111" s="4" t="s">
        <v>125</v>
      </c>
      <c r="O111" s="4" t="s">
        <v>591</v>
      </c>
      <c r="P111" s="4" t="s">
        <v>22</v>
      </c>
      <c r="Q111" s="4" t="s">
        <v>538</v>
      </c>
      <c r="R111" s="4" t="s">
        <v>9</v>
      </c>
      <c r="S111" s="19">
        <v>3</v>
      </c>
      <c r="T111" s="20">
        <v>0.20833333333333334</v>
      </c>
      <c r="U111" s="4" t="s">
        <v>10</v>
      </c>
      <c r="V111" s="4" t="s">
        <v>39</v>
      </c>
      <c r="W111" s="4" t="s">
        <v>592</v>
      </c>
      <c r="X111" s="26" t="s">
        <v>593</v>
      </c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</row>
    <row r="112" spans="1:54" ht="14.25">
      <c r="A112" s="3"/>
      <c r="B112" s="1" t="s">
        <v>594</v>
      </c>
      <c r="C112" s="22">
        <v>-125</v>
      </c>
      <c r="D112" s="1" t="s">
        <v>595</v>
      </c>
      <c r="E112" s="23">
        <f>105</f>
        <v>105</v>
      </c>
      <c r="F112" s="1" t="s">
        <v>595</v>
      </c>
      <c r="G112" s="22">
        <f>105</f>
        <v>105</v>
      </c>
      <c r="H112" s="30" t="s">
        <v>122</v>
      </c>
      <c r="I112" s="24">
        <v>8.1999999999999993</v>
      </c>
      <c r="J112" s="24" t="s">
        <v>16</v>
      </c>
      <c r="K112" s="24" t="s">
        <v>596</v>
      </c>
      <c r="L112" s="24" t="s">
        <v>597</v>
      </c>
      <c r="M112" s="24" t="s">
        <v>440</v>
      </c>
      <c r="N112" s="4" t="s">
        <v>20</v>
      </c>
      <c r="O112" s="4" t="s">
        <v>598</v>
      </c>
      <c r="P112" s="4" t="s">
        <v>22</v>
      </c>
      <c r="Q112" s="4" t="s">
        <v>538</v>
      </c>
      <c r="R112" s="4" t="s">
        <v>61</v>
      </c>
      <c r="S112" s="19">
        <v>1</v>
      </c>
      <c r="T112" s="20">
        <v>0.17222222222222222</v>
      </c>
      <c r="U112" s="4" t="s">
        <v>54</v>
      </c>
      <c r="V112" s="4" t="s">
        <v>55</v>
      </c>
      <c r="W112" s="4" t="s">
        <v>67</v>
      </c>
      <c r="X112" s="26" t="s">
        <v>599</v>
      </c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</row>
    <row r="113" spans="1:54" ht="14.25">
      <c r="A113" s="3"/>
      <c r="B113" s="1" t="s">
        <v>600</v>
      </c>
      <c r="C113" s="22">
        <v>-108</v>
      </c>
      <c r="D113" s="1" t="s">
        <v>601</v>
      </c>
      <c r="E113" s="23">
        <v>-112</v>
      </c>
      <c r="F113" s="1" t="s">
        <v>600</v>
      </c>
      <c r="G113" s="23">
        <v>-108</v>
      </c>
      <c r="H113" s="2" t="s">
        <v>122</v>
      </c>
      <c r="I113" s="24">
        <v>7.7</v>
      </c>
      <c r="J113" s="3" t="s">
        <v>16</v>
      </c>
      <c r="K113" s="3" t="s">
        <v>547</v>
      </c>
      <c r="L113" s="3" t="s">
        <v>602</v>
      </c>
      <c r="M113" s="3" t="s">
        <v>603</v>
      </c>
      <c r="N113" s="4" t="s">
        <v>135</v>
      </c>
      <c r="O113" s="4" t="s">
        <v>604</v>
      </c>
      <c r="P113" s="4" t="s">
        <v>8</v>
      </c>
      <c r="Q113" s="4" t="s">
        <v>538</v>
      </c>
      <c r="R113" s="4" t="s">
        <v>46</v>
      </c>
      <c r="S113" s="19">
        <v>2</v>
      </c>
      <c r="T113" s="20">
        <v>2.5000000000000001E-2</v>
      </c>
      <c r="U113" s="4" t="s">
        <v>10</v>
      </c>
      <c r="V113" s="4" t="s">
        <v>89</v>
      </c>
      <c r="W113" s="4" t="s">
        <v>127</v>
      </c>
      <c r="X113" s="26" t="s">
        <v>605</v>
      </c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</row>
    <row r="114" spans="1:54" ht="14.25">
      <c r="A114" s="3"/>
      <c r="B114" s="1" t="s">
        <v>569</v>
      </c>
      <c r="C114" s="22">
        <f>425</f>
        <v>425</v>
      </c>
      <c r="D114" s="1" t="s">
        <v>606</v>
      </c>
      <c r="E114" s="23">
        <v>-575</v>
      </c>
      <c r="F114" s="1" t="s">
        <v>569</v>
      </c>
      <c r="G114" s="23">
        <f>425</f>
        <v>425</v>
      </c>
      <c r="H114" s="2" t="s">
        <v>122</v>
      </c>
      <c r="I114" s="24">
        <v>6.5</v>
      </c>
      <c r="J114" s="3" t="s">
        <v>16</v>
      </c>
      <c r="K114" s="3" t="s">
        <v>547</v>
      </c>
      <c r="L114" s="3" t="s">
        <v>607</v>
      </c>
      <c r="M114" s="3" t="s">
        <v>124</v>
      </c>
      <c r="N114" s="4" t="s">
        <v>135</v>
      </c>
      <c r="O114" s="4" t="s">
        <v>608</v>
      </c>
      <c r="P114" s="4" t="s">
        <v>8</v>
      </c>
      <c r="Q114" s="4" t="s">
        <v>538</v>
      </c>
      <c r="R114" s="4" t="s">
        <v>46</v>
      </c>
      <c r="S114" s="19">
        <v>1</v>
      </c>
      <c r="T114" s="20">
        <v>1.2500000000000001E-2</v>
      </c>
      <c r="U114" s="4" t="s">
        <v>10</v>
      </c>
      <c r="V114" s="4" t="s">
        <v>609</v>
      </c>
      <c r="W114" s="4" t="s">
        <v>48</v>
      </c>
      <c r="X114" s="26" t="s">
        <v>610</v>
      </c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</row>
    <row r="115" spans="1:54" ht="15">
      <c r="A115" s="3"/>
      <c r="B115" s="1" t="s">
        <v>611</v>
      </c>
      <c r="C115" s="27">
        <v>-140</v>
      </c>
      <c r="D115" s="1" t="s">
        <v>586</v>
      </c>
      <c r="E115" s="28">
        <f>120</f>
        <v>120</v>
      </c>
      <c r="F115" s="1" t="s">
        <v>611</v>
      </c>
      <c r="G115" s="31">
        <v>-220</v>
      </c>
      <c r="H115" s="2" t="s">
        <v>122</v>
      </c>
      <c r="I115" s="3"/>
      <c r="J115" s="3" t="s">
        <v>16</v>
      </c>
      <c r="K115" s="3" t="s">
        <v>547</v>
      </c>
      <c r="L115" s="3" t="s">
        <v>612</v>
      </c>
      <c r="M115" s="3" t="s">
        <v>613</v>
      </c>
      <c r="N115" s="4" t="s">
        <v>166</v>
      </c>
      <c r="O115" s="4" t="s">
        <v>614</v>
      </c>
      <c r="P115" s="4" t="s">
        <v>8</v>
      </c>
      <c r="Q115" s="4" t="s">
        <v>538</v>
      </c>
      <c r="R115" s="4" t="s">
        <v>46</v>
      </c>
      <c r="S115" s="19">
        <v>2</v>
      </c>
      <c r="T115" s="20">
        <v>5.1388888888888887E-2</v>
      </c>
      <c r="U115" s="4" t="s">
        <v>10</v>
      </c>
      <c r="V115" s="4" t="s">
        <v>615</v>
      </c>
      <c r="W115" s="4" t="s">
        <v>616</v>
      </c>
      <c r="X115" s="26" t="s">
        <v>617</v>
      </c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</row>
    <row r="116" spans="1:54" ht="14.25">
      <c r="A116" s="3"/>
      <c r="B116" s="38" t="s">
        <v>601</v>
      </c>
      <c r="C116" s="39">
        <f>500</f>
        <v>500</v>
      </c>
      <c r="D116" s="38" t="s">
        <v>534</v>
      </c>
      <c r="E116" s="40">
        <v>-500</v>
      </c>
      <c r="F116" s="38" t="s">
        <v>601</v>
      </c>
      <c r="G116" s="39">
        <f>500</f>
        <v>500</v>
      </c>
      <c r="H116" s="41" t="s">
        <v>5</v>
      </c>
      <c r="I116" s="3"/>
      <c r="J116" s="3"/>
      <c r="K116" s="3"/>
      <c r="L116" s="3"/>
      <c r="M116" s="3"/>
      <c r="N116" s="4" t="s">
        <v>231</v>
      </c>
      <c r="O116" s="4" t="s">
        <v>618</v>
      </c>
      <c r="P116" s="4" t="s">
        <v>8</v>
      </c>
      <c r="Q116" s="4" t="s">
        <v>538</v>
      </c>
      <c r="R116" s="4" t="s">
        <v>9</v>
      </c>
      <c r="S116" s="19">
        <v>5</v>
      </c>
      <c r="T116" s="20">
        <v>0.20833333333333334</v>
      </c>
      <c r="U116" s="4" t="s">
        <v>54</v>
      </c>
      <c r="V116" s="4" t="s">
        <v>47</v>
      </c>
      <c r="W116" s="4" t="s">
        <v>619</v>
      </c>
      <c r="X116" s="3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</row>
    <row r="117" spans="1:54" ht="14.25">
      <c r="A117" s="3"/>
      <c r="B117" s="38" t="s">
        <v>535</v>
      </c>
      <c r="C117" s="39">
        <f>190</f>
        <v>190</v>
      </c>
      <c r="D117" s="38" t="s">
        <v>540</v>
      </c>
      <c r="E117" s="40">
        <v>-190</v>
      </c>
      <c r="F117" s="38" t="s">
        <v>535</v>
      </c>
      <c r="G117" s="40">
        <f>190</f>
        <v>190</v>
      </c>
      <c r="H117" s="41" t="s">
        <v>5</v>
      </c>
      <c r="I117" s="3"/>
      <c r="J117" s="3"/>
      <c r="K117" s="3"/>
      <c r="L117" s="3"/>
      <c r="M117" s="3"/>
      <c r="N117" s="4" t="s">
        <v>231</v>
      </c>
      <c r="O117" s="4" t="s">
        <v>620</v>
      </c>
      <c r="P117" s="4" t="s">
        <v>8</v>
      </c>
      <c r="Q117" s="4" t="s">
        <v>538</v>
      </c>
      <c r="R117" s="4" t="s">
        <v>9</v>
      </c>
      <c r="S117" s="19">
        <v>3</v>
      </c>
      <c r="T117" s="20">
        <v>0.20833333333333334</v>
      </c>
      <c r="U117" s="4" t="s">
        <v>10</v>
      </c>
      <c r="V117" s="4" t="s">
        <v>233</v>
      </c>
      <c r="W117" s="4" t="s">
        <v>621</v>
      </c>
      <c r="X117" s="3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</row>
    <row r="118" spans="1:54" ht="14.25">
      <c r="A118" s="12"/>
      <c r="B118" s="7"/>
      <c r="C118" s="57"/>
      <c r="D118" s="7"/>
      <c r="E118" s="58"/>
      <c r="F118" s="7"/>
      <c r="G118" s="59"/>
      <c r="H118" s="11"/>
      <c r="I118" s="60"/>
      <c r="J118" s="7"/>
      <c r="K118" s="60"/>
      <c r="L118" s="7"/>
      <c r="M118" s="12"/>
      <c r="N118" s="13"/>
      <c r="O118" s="13"/>
      <c r="P118" s="13"/>
      <c r="Q118" s="13"/>
      <c r="R118" s="13"/>
      <c r="S118" s="14"/>
      <c r="T118" s="15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</row>
    <row r="119" spans="1:54" ht="14.25">
      <c r="A119" s="3"/>
      <c r="B119" s="1" t="s">
        <v>622</v>
      </c>
      <c r="C119" s="22">
        <f>400</f>
        <v>400</v>
      </c>
      <c r="D119" s="1" t="s">
        <v>623</v>
      </c>
      <c r="E119" s="23">
        <v>-550</v>
      </c>
      <c r="F119" s="1" t="s">
        <v>624</v>
      </c>
      <c r="G119" s="22">
        <v>-550</v>
      </c>
      <c r="H119" s="2" t="s">
        <v>1</v>
      </c>
      <c r="I119" s="24">
        <v>8.1</v>
      </c>
      <c r="J119" s="1" t="s">
        <v>427</v>
      </c>
      <c r="K119" s="24">
        <v>-190</v>
      </c>
      <c r="L119" s="1" t="s">
        <v>625</v>
      </c>
      <c r="M119" s="3"/>
      <c r="N119" s="4" t="s">
        <v>87</v>
      </c>
      <c r="O119" s="4" t="s">
        <v>626</v>
      </c>
      <c r="P119" s="4" t="s">
        <v>8</v>
      </c>
      <c r="Q119" s="4" t="s">
        <v>627</v>
      </c>
      <c r="R119" s="4" t="s">
        <v>61</v>
      </c>
      <c r="S119" s="19">
        <v>1</v>
      </c>
      <c r="T119" s="20">
        <v>8.3333333333333329E-2</v>
      </c>
      <c r="U119" s="4" t="s">
        <v>10</v>
      </c>
      <c r="V119" s="4" t="s">
        <v>233</v>
      </c>
      <c r="W119" s="4" t="s">
        <v>324</v>
      </c>
      <c r="X119" s="26" t="s">
        <v>628</v>
      </c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</row>
    <row r="120" spans="1:54" ht="14.25">
      <c r="A120" s="3"/>
      <c r="B120" s="1" t="s">
        <v>629</v>
      </c>
      <c r="C120" s="22">
        <v>-200</v>
      </c>
      <c r="D120" s="1" t="s">
        <v>630</v>
      </c>
      <c r="E120" s="23">
        <f>170</f>
        <v>170</v>
      </c>
      <c r="F120" s="1" t="s">
        <v>629</v>
      </c>
      <c r="G120" s="23">
        <v>-200</v>
      </c>
      <c r="H120" s="2" t="s">
        <v>1</v>
      </c>
      <c r="I120" s="24">
        <v>6.8</v>
      </c>
      <c r="J120" s="1" t="s">
        <v>427</v>
      </c>
      <c r="K120" s="24">
        <v>-140</v>
      </c>
      <c r="L120" s="1"/>
      <c r="M120" s="1"/>
      <c r="N120" s="4" t="s">
        <v>94</v>
      </c>
      <c r="O120" s="4" t="s">
        <v>631</v>
      </c>
      <c r="P120" s="4" t="s">
        <v>22</v>
      </c>
      <c r="Q120" s="4" t="s">
        <v>627</v>
      </c>
      <c r="R120" s="4" t="s">
        <v>46</v>
      </c>
      <c r="S120" s="19">
        <v>2</v>
      </c>
      <c r="T120" s="20">
        <v>0.1361111111111111</v>
      </c>
      <c r="U120" s="4" t="s">
        <v>10</v>
      </c>
      <c r="V120" s="4" t="s">
        <v>55</v>
      </c>
      <c r="W120" s="4" t="s">
        <v>417</v>
      </c>
      <c r="X120" s="26" t="s">
        <v>632</v>
      </c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</row>
    <row r="121" spans="1:54" ht="14.25">
      <c r="A121" s="3"/>
      <c r="B121" s="1" t="s">
        <v>633</v>
      </c>
      <c r="C121" s="22">
        <f>385</f>
        <v>385</v>
      </c>
      <c r="D121" s="1" t="s">
        <v>634</v>
      </c>
      <c r="E121" s="23">
        <v>-510</v>
      </c>
      <c r="F121" s="1" t="s">
        <v>634</v>
      </c>
      <c r="G121" s="22">
        <v>-510</v>
      </c>
      <c r="H121" s="2" t="s">
        <v>1</v>
      </c>
      <c r="I121" s="24">
        <v>7.5</v>
      </c>
      <c r="J121" s="25" t="s">
        <v>16</v>
      </c>
      <c r="K121" s="25" t="s">
        <v>635</v>
      </c>
      <c r="L121" s="25" t="s">
        <v>18</v>
      </c>
      <c r="M121" s="25" t="s">
        <v>291</v>
      </c>
      <c r="N121" s="4" t="s">
        <v>20</v>
      </c>
      <c r="O121" s="4" t="s">
        <v>636</v>
      </c>
      <c r="P121" s="4" t="s">
        <v>8</v>
      </c>
      <c r="Q121" s="4" t="s">
        <v>627</v>
      </c>
      <c r="R121" s="4" t="s">
        <v>193</v>
      </c>
      <c r="S121" s="19">
        <v>3</v>
      </c>
      <c r="T121" s="20">
        <v>0.20833333333333334</v>
      </c>
      <c r="U121" s="4" t="s">
        <v>10</v>
      </c>
      <c r="V121" s="4" t="s">
        <v>39</v>
      </c>
      <c r="W121" s="4" t="s">
        <v>637</v>
      </c>
      <c r="X121" s="26" t="s">
        <v>638</v>
      </c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</row>
    <row r="122" spans="1:54" ht="14.25">
      <c r="A122" s="3"/>
      <c r="B122" s="1" t="s">
        <v>639</v>
      </c>
      <c r="C122" s="22">
        <v>-145</v>
      </c>
      <c r="D122" s="1" t="s">
        <v>640</v>
      </c>
      <c r="E122" s="23">
        <f>125</f>
        <v>125</v>
      </c>
      <c r="F122" s="1" t="s">
        <v>639</v>
      </c>
      <c r="G122" s="22">
        <v>-145</v>
      </c>
      <c r="H122" s="2" t="s">
        <v>1</v>
      </c>
      <c r="I122" s="24">
        <v>7.2</v>
      </c>
      <c r="J122" s="3" t="s">
        <v>16</v>
      </c>
      <c r="K122" s="3" t="s">
        <v>641</v>
      </c>
      <c r="L122" s="3" t="s">
        <v>29</v>
      </c>
      <c r="M122" s="3" t="s">
        <v>30</v>
      </c>
      <c r="N122" s="4" t="s">
        <v>135</v>
      </c>
      <c r="O122" s="4" t="s">
        <v>642</v>
      </c>
      <c r="P122" s="4" t="s">
        <v>22</v>
      </c>
      <c r="Q122" s="4" t="s">
        <v>627</v>
      </c>
      <c r="R122" s="4" t="s">
        <v>9</v>
      </c>
      <c r="S122" s="19">
        <v>3</v>
      </c>
      <c r="T122" s="20">
        <v>0.20833333333333334</v>
      </c>
      <c r="U122" s="4" t="s">
        <v>10</v>
      </c>
      <c r="V122" s="4" t="s">
        <v>89</v>
      </c>
      <c r="W122" s="4" t="s">
        <v>643</v>
      </c>
      <c r="X122" s="26" t="s">
        <v>644</v>
      </c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</row>
    <row r="123" spans="1:54" ht="14.25">
      <c r="A123" s="3"/>
      <c r="B123" s="1" t="s">
        <v>645</v>
      </c>
      <c r="C123" s="27">
        <v>-135</v>
      </c>
      <c r="D123" s="1" t="s">
        <v>630</v>
      </c>
      <c r="E123" s="28">
        <f>115</f>
        <v>115</v>
      </c>
      <c r="F123" s="1" t="s">
        <v>645</v>
      </c>
      <c r="G123" s="27">
        <v>-135</v>
      </c>
      <c r="H123" s="2" t="s">
        <v>1</v>
      </c>
      <c r="I123" s="3"/>
      <c r="J123" s="3"/>
      <c r="K123" s="3"/>
      <c r="L123" s="3"/>
      <c r="M123" s="3"/>
      <c r="N123" s="4" t="s">
        <v>177</v>
      </c>
      <c r="O123" s="4" t="s">
        <v>646</v>
      </c>
      <c r="P123" s="4" t="s">
        <v>22</v>
      </c>
      <c r="Q123" s="4" t="s">
        <v>627</v>
      </c>
      <c r="R123" s="4" t="s">
        <v>46</v>
      </c>
      <c r="S123" s="19">
        <v>1</v>
      </c>
      <c r="T123" s="20">
        <v>0.15138888888888888</v>
      </c>
      <c r="U123" s="4" t="s">
        <v>10</v>
      </c>
      <c r="V123" s="4" t="s">
        <v>89</v>
      </c>
      <c r="W123" s="4" t="s">
        <v>97</v>
      </c>
      <c r="X123" s="26" t="s">
        <v>647</v>
      </c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</row>
    <row r="124" spans="1:54" ht="14.25">
      <c r="A124" s="3"/>
      <c r="B124" s="1" t="s">
        <v>622</v>
      </c>
      <c r="C124" s="16">
        <f>205</f>
        <v>205</v>
      </c>
      <c r="D124" s="1" t="s">
        <v>648</v>
      </c>
      <c r="E124" s="17">
        <v>-240</v>
      </c>
      <c r="F124" s="1" t="s">
        <v>622</v>
      </c>
      <c r="G124" s="17">
        <f>205</f>
        <v>205</v>
      </c>
      <c r="H124" s="2" t="s">
        <v>1</v>
      </c>
      <c r="I124" s="3"/>
      <c r="J124" s="3"/>
      <c r="K124" s="3"/>
      <c r="L124" s="3"/>
      <c r="M124" s="3"/>
      <c r="N124" s="4" t="s">
        <v>52</v>
      </c>
      <c r="O124" s="4" t="s">
        <v>649</v>
      </c>
      <c r="P124" s="4" t="s">
        <v>22</v>
      </c>
      <c r="Q124" s="4" t="s">
        <v>627</v>
      </c>
      <c r="R124" s="4" t="s">
        <v>46</v>
      </c>
      <c r="S124" s="19">
        <v>3</v>
      </c>
      <c r="T124" s="20">
        <v>3.888888888888889E-2</v>
      </c>
      <c r="U124" s="4" t="s">
        <v>10</v>
      </c>
      <c r="V124" s="4" t="s">
        <v>39</v>
      </c>
      <c r="W124" s="4" t="s">
        <v>48</v>
      </c>
      <c r="X124" s="26" t="s">
        <v>650</v>
      </c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</row>
    <row r="125" spans="1:54" ht="14.25">
      <c r="A125" s="3"/>
      <c r="B125" s="1" t="s">
        <v>651</v>
      </c>
      <c r="C125" s="16">
        <v>-400</v>
      </c>
      <c r="D125" s="1" t="s">
        <v>652</v>
      </c>
      <c r="E125" s="17">
        <f>300</f>
        <v>300</v>
      </c>
      <c r="F125" s="1" t="s">
        <v>652</v>
      </c>
      <c r="G125" s="16">
        <f>300</f>
        <v>300</v>
      </c>
      <c r="H125" s="2" t="s">
        <v>1</v>
      </c>
      <c r="I125" s="3"/>
      <c r="J125" s="3"/>
      <c r="K125" s="3"/>
      <c r="L125" s="3"/>
      <c r="M125" s="3"/>
      <c r="N125" s="4" t="s">
        <v>207</v>
      </c>
      <c r="O125" s="4" t="s">
        <v>653</v>
      </c>
      <c r="P125" s="4" t="s">
        <v>8</v>
      </c>
      <c r="Q125" s="4" t="s">
        <v>627</v>
      </c>
      <c r="R125" s="4" t="s">
        <v>46</v>
      </c>
      <c r="S125" s="19">
        <v>2</v>
      </c>
      <c r="T125" s="20">
        <v>0.17847222222222223</v>
      </c>
      <c r="U125" s="4" t="s">
        <v>10</v>
      </c>
      <c r="V125" s="4" t="s">
        <v>654</v>
      </c>
      <c r="W125" s="4" t="s">
        <v>430</v>
      </c>
      <c r="X125" s="26" t="s">
        <v>655</v>
      </c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</row>
    <row r="126" spans="1:54" ht="14.25">
      <c r="A126" s="3"/>
      <c r="B126" s="54" t="s">
        <v>656</v>
      </c>
      <c r="C126" s="22">
        <f>214</f>
        <v>214</v>
      </c>
      <c r="D126" s="54" t="s">
        <v>657</v>
      </c>
      <c r="E126" s="23">
        <v>-254</v>
      </c>
      <c r="F126" s="61" t="s">
        <v>657</v>
      </c>
      <c r="G126" s="62">
        <v>-254</v>
      </c>
      <c r="H126" s="2" t="s">
        <v>5</v>
      </c>
      <c r="I126" s="24">
        <v>8</v>
      </c>
      <c r="J126" s="1" t="s">
        <v>46</v>
      </c>
      <c r="K126" s="24">
        <v>-220</v>
      </c>
      <c r="L126" s="1" t="s">
        <v>658</v>
      </c>
      <c r="M126" s="3"/>
      <c r="N126" s="4" t="s">
        <v>339</v>
      </c>
      <c r="O126" s="4" t="s">
        <v>659</v>
      </c>
      <c r="P126" s="4" t="s">
        <v>22</v>
      </c>
      <c r="Q126" s="4" t="s">
        <v>627</v>
      </c>
      <c r="R126" s="4" t="s">
        <v>46</v>
      </c>
      <c r="S126" s="19">
        <v>1</v>
      </c>
      <c r="T126" s="20">
        <v>8.3333333333333332E-3</v>
      </c>
      <c r="U126" s="4" t="s">
        <v>10</v>
      </c>
      <c r="V126" s="4" t="s">
        <v>660</v>
      </c>
      <c r="W126" s="4" t="s">
        <v>97</v>
      </c>
      <c r="X126" s="26" t="s">
        <v>661</v>
      </c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</row>
    <row r="127" spans="1:54" ht="14.25">
      <c r="A127" s="3"/>
      <c r="B127" s="54" t="s">
        <v>662</v>
      </c>
      <c r="C127" s="22">
        <f>103</f>
        <v>103</v>
      </c>
      <c r="D127" s="54" t="s">
        <v>663</v>
      </c>
      <c r="E127" s="23">
        <v>-123</v>
      </c>
      <c r="F127" s="61" t="s">
        <v>662</v>
      </c>
      <c r="G127" s="62">
        <f>103</f>
        <v>103</v>
      </c>
      <c r="H127" s="2" t="s">
        <v>5</v>
      </c>
      <c r="I127" s="24">
        <v>6.5</v>
      </c>
      <c r="J127" s="1" t="s">
        <v>46</v>
      </c>
      <c r="K127" s="1" t="s">
        <v>664</v>
      </c>
      <c r="L127" s="1" t="s">
        <v>665</v>
      </c>
      <c r="M127" s="3"/>
      <c r="N127" s="4" t="s">
        <v>103</v>
      </c>
      <c r="O127" s="4" t="s">
        <v>666</v>
      </c>
      <c r="P127" s="4" t="s">
        <v>8</v>
      </c>
      <c r="Q127" s="4" t="s">
        <v>627</v>
      </c>
      <c r="R127" s="4" t="s">
        <v>46</v>
      </c>
      <c r="S127" s="19">
        <v>2</v>
      </c>
      <c r="T127" s="20">
        <v>0.13680555555555557</v>
      </c>
      <c r="U127" s="4" t="s">
        <v>10</v>
      </c>
      <c r="V127" s="4" t="s">
        <v>55</v>
      </c>
      <c r="W127" s="4" t="s">
        <v>127</v>
      </c>
      <c r="X127" s="26" t="s">
        <v>667</v>
      </c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</row>
    <row r="128" spans="1:54" ht="14.25">
      <c r="A128" s="3"/>
      <c r="B128" s="54" t="s">
        <v>668</v>
      </c>
      <c r="C128" s="22">
        <v>-130</v>
      </c>
      <c r="D128" s="54" t="s">
        <v>669</v>
      </c>
      <c r="E128" s="23">
        <f>110</f>
        <v>110</v>
      </c>
      <c r="F128" s="61" t="s">
        <v>668</v>
      </c>
      <c r="G128" s="62">
        <v>-130</v>
      </c>
      <c r="H128" s="30" t="s">
        <v>5</v>
      </c>
      <c r="I128" s="24">
        <v>8.6</v>
      </c>
      <c r="J128" s="1" t="s">
        <v>46</v>
      </c>
      <c r="K128" s="3"/>
      <c r="L128" s="1" t="s">
        <v>670</v>
      </c>
      <c r="M128" s="3"/>
      <c r="N128" s="4" t="s">
        <v>115</v>
      </c>
      <c r="O128" s="4" t="s">
        <v>671</v>
      </c>
      <c r="P128" s="4" t="s">
        <v>8</v>
      </c>
      <c r="Q128" s="4" t="s">
        <v>627</v>
      </c>
      <c r="R128" s="4" t="s">
        <v>46</v>
      </c>
      <c r="S128" s="19">
        <v>3</v>
      </c>
      <c r="T128" s="20">
        <v>6.3888888888888884E-2</v>
      </c>
      <c r="U128" s="4" t="s">
        <v>10</v>
      </c>
      <c r="V128" s="4" t="s">
        <v>263</v>
      </c>
      <c r="W128" s="4" t="s">
        <v>48</v>
      </c>
      <c r="X128" s="26" t="s">
        <v>672</v>
      </c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</row>
    <row r="129" spans="1:54" ht="14.25">
      <c r="A129" s="3"/>
      <c r="B129" s="54" t="s">
        <v>623</v>
      </c>
      <c r="C129" s="27">
        <v>-319</v>
      </c>
      <c r="D129" s="54" t="s">
        <v>673</v>
      </c>
      <c r="E129" s="28">
        <f>269</f>
        <v>269</v>
      </c>
      <c r="F129" s="61" t="s">
        <v>623</v>
      </c>
      <c r="G129" s="63">
        <v>-319</v>
      </c>
      <c r="H129" s="2" t="s">
        <v>5</v>
      </c>
      <c r="I129" s="3"/>
      <c r="J129" s="3" t="s">
        <v>16</v>
      </c>
      <c r="K129" s="3" t="s">
        <v>641</v>
      </c>
      <c r="L129" s="3" t="s">
        <v>29</v>
      </c>
      <c r="M129" s="3" t="s">
        <v>30</v>
      </c>
      <c r="N129" s="4" t="s">
        <v>31</v>
      </c>
      <c r="O129" s="4" t="s">
        <v>674</v>
      </c>
      <c r="P129" s="4" t="s">
        <v>8</v>
      </c>
      <c r="Q129" s="4" t="s">
        <v>627</v>
      </c>
      <c r="R129" s="4" t="s">
        <v>9</v>
      </c>
      <c r="S129" s="19">
        <v>3</v>
      </c>
      <c r="T129" s="20">
        <v>0.20833333333333334</v>
      </c>
      <c r="U129" s="4" t="s">
        <v>10</v>
      </c>
      <c r="V129" s="4" t="s">
        <v>39</v>
      </c>
      <c r="W129" s="4" t="s">
        <v>675</v>
      </c>
      <c r="X129" s="26" t="s">
        <v>676</v>
      </c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</row>
    <row r="130" spans="1:54" ht="15">
      <c r="A130" s="3"/>
      <c r="B130" s="54" t="s">
        <v>677</v>
      </c>
      <c r="C130" s="27">
        <v>-121</v>
      </c>
      <c r="D130" s="54" t="s">
        <v>678</v>
      </c>
      <c r="E130" s="28">
        <f>101</f>
        <v>101</v>
      </c>
      <c r="F130" s="61" t="s">
        <v>677</v>
      </c>
      <c r="G130" s="64">
        <v>-125</v>
      </c>
      <c r="H130" s="2" t="s">
        <v>122</v>
      </c>
      <c r="I130" s="3"/>
      <c r="J130" s="3" t="s">
        <v>16</v>
      </c>
      <c r="K130" s="3" t="s">
        <v>641</v>
      </c>
      <c r="L130" s="3" t="s">
        <v>679</v>
      </c>
      <c r="M130" s="3" t="s">
        <v>603</v>
      </c>
      <c r="N130" s="4" t="s">
        <v>166</v>
      </c>
      <c r="O130" s="4" t="s">
        <v>680</v>
      </c>
      <c r="P130" s="4" t="s">
        <v>8</v>
      </c>
      <c r="Q130" s="4" t="s">
        <v>627</v>
      </c>
      <c r="R130" s="4" t="s">
        <v>46</v>
      </c>
      <c r="S130" s="19">
        <v>1</v>
      </c>
      <c r="T130" s="20">
        <v>7.013888888888889E-2</v>
      </c>
      <c r="U130" s="4" t="s">
        <v>10</v>
      </c>
      <c r="V130" s="4" t="s">
        <v>89</v>
      </c>
      <c r="W130" s="4" t="s">
        <v>48</v>
      </c>
      <c r="X130" s="26" t="s">
        <v>681</v>
      </c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</row>
    <row r="131" spans="1:54" ht="14.25">
      <c r="A131" s="3"/>
      <c r="B131" s="54" t="s">
        <v>682</v>
      </c>
      <c r="C131" s="27">
        <v>-210</v>
      </c>
      <c r="D131" s="54" t="s">
        <v>683</v>
      </c>
      <c r="E131" s="28">
        <f>180</f>
        <v>180</v>
      </c>
      <c r="F131" s="61" t="s">
        <v>683</v>
      </c>
      <c r="G131" s="63">
        <f>180</f>
        <v>180</v>
      </c>
      <c r="H131" s="2" t="s">
        <v>5</v>
      </c>
      <c r="I131" s="3"/>
      <c r="J131" s="3"/>
      <c r="K131" s="3"/>
      <c r="L131" s="3"/>
      <c r="M131" s="3"/>
      <c r="N131" s="4" t="s">
        <v>177</v>
      </c>
      <c r="O131" s="4" t="s">
        <v>684</v>
      </c>
      <c r="P131" s="4" t="s">
        <v>22</v>
      </c>
      <c r="Q131" s="4" t="s">
        <v>627</v>
      </c>
      <c r="R131" s="4" t="s">
        <v>9</v>
      </c>
      <c r="S131" s="19">
        <v>3</v>
      </c>
      <c r="T131" s="20">
        <v>0.20833333333333334</v>
      </c>
      <c r="U131" s="4" t="s">
        <v>10</v>
      </c>
      <c r="V131" s="4" t="s">
        <v>39</v>
      </c>
      <c r="W131" s="4" t="s">
        <v>685</v>
      </c>
      <c r="X131" s="26" t="s">
        <v>686</v>
      </c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</row>
    <row r="132" spans="1:54" ht="15">
      <c r="A132" s="3"/>
      <c r="B132" s="54" t="s">
        <v>687</v>
      </c>
      <c r="C132" s="16">
        <v>-500</v>
      </c>
      <c r="D132" s="54" t="s">
        <v>688</v>
      </c>
      <c r="E132" s="17">
        <f>375</f>
        <v>375</v>
      </c>
      <c r="F132" s="61" t="s">
        <v>687</v>
      </c>
      <c r="G132" s="63">
        <v>-500</v>
      </c>
      <c r="H132" s="29" t="s">
        <v>122</v>
      </c>
      <c r="I132" s="3"/>
      <c r="J132" s="3"/>
      <c r="K132" s="3"/>
      <c r="L132" s="3"/>
      <c r="M132" s="3"/>
      <c r="N132" s="4" t="s">
        <v>37</v>
      </c>
      <c r="O132" s="4" t="s">
        <v>689</v>
      </c>
      <c r="P132" s="4" t="s">
        <v>8</v>
      </c>
      <c r="Q132" s="4" t="s">
        <v>627</v>
      </c>
      <c r="R132" s="4" t="s">
        <v>46</v>
      </c>
      <c r="S132" s="19">
        <v>2</v>
      </c>
      <c r="T132" s="20">
        <v>0.1125</v>
      </c>
      <c r="U132" s="4" t="s">
        <v>54</v>
      </c>
      <c r="V132" s="4" t="s">
        <v>47</v>
      </c>
      <c r="W132" s="4" t="s">
        <v>48</v>
      </c>
      <c r="X132" s="26" t="s">
        <v>690</v>
      </c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</row>
    <row r="133" spans="1:54" ht="14.25">
      <c r="A133" s="3"/>
      <c r="B133" s="54" t="s">
        <v>691</v>
      </c>
      <c r="C133" s="16">
        <v>-220</v>
      </c>
      <c r="D133" s="54" t="s">
        <v>692</v>
      </c>
      <c r="E133" s="17">
        <f>185</f>
        <v>185</v>
      </c>
      <c r="F133" s="61" t="s">
        <v>691</v>
      </c>
      <c r="G133" s="63">
        <v>-220</v>
      </c>
      <c r="H133" s="2" t="s">
        <v>5</v>
      </c>
      <c r="I133" s="3"/>
      <c r="J133" s="3"/>
      <c r="K133" s="3"/>
      <c r="L133" s="3"/>
      <c r="M133" s="3"/>
      <c r="N133" s="4" t="s">
        <v>44</v>
      </c>
      <c r="O133" s="4" t="s">
        <v>693</v>
      </c>
      <c r="P133" s="4" t="s">
        <v>8</v>
      </c>
      <c r="Q133" s="4" t="s">
        <v>627</v>
      </c>
      <c r="R133" s="4" t="s">
        <v>9</v>
      </c>
      <c r="S133" s="19">
        <v>3</v>
      </c>
      <c r="T133" s="20">
        <v>0.20833333333333334</v>
      </c>
      <c r="U133" s="4" t="s">
        <v>10</v>
      </c>
      <c r="V133" s="4" t="s">
        <v>23</v>
      </c>
      <c r="W133" s="4" t="s">
        <v>694</v>
      </c>
      <c r="X133" s="26" t="s">
        <v>695</v>
      </c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</row>
    <row r="134" spans="1:54" ht="16.5" customHeight="1">
      <c r="A134" s="3"/>
      <c r="B134" s="65" t="s">
        <v>623</v>
      </c>
      <c r="C134" s="39">
        <f>236</f>
        <v>236</v>
      </c>
      <c r="D134" s="65" t="s">
        <v>696</v>
      </c>
      <c r="E134" s="40">
        <v>-236</v>
      </c>
      <c r="F134" s="66" t="s">
        <v>623</v>
      </c>
      <c r="G134" s="67">
        <f>236</f>
        <v>236</v>
      </c>
      <c r="H134" s="41" t="s">
        <v>5</v>
      </c>
      <c r="I134" s="3"/>
      <c r="J134" s="3"/>
      <c r="K134" s="3"/>
      <c r="L134" s="3"/>
      <c r="M134" s="3"/>
      <c r="N134" s="4" t="s">
        <v>231</v>
      </c>
      <c r="O134" s="4" t="s">
        <v>697</v>
      </c>
      <c r="P134" s="4" t="s">
        <v>8</v>
      </c>
      <c r="Q134" s="4" t="s">
        <v>627</v>
      </c>
      <c r="R134" s="4" t="s">
        <v>46</v>
      </c>
      <c r="S134" s="19">
        <v>2</v>
      </c>
      <c r="T134" s="20">
        <v>4.3749999999999997E-2</v>
      </c>
      <c r="U134" s="4" t="s">
        <v>10</v>
      </c>
      <c r="V134" s="4" t="s">
        <v>47</v>
      </c>
      <c r="W134" s="4" t="s">
        <v>48</v>
      </c>
      <c r="X134" s="3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</row>
    <row r="135" spans="1:54" ht="14.25">
      <c r="A135" s="12"/>
      <c r="B135" s="68"/>
      <c r="C135" s="35"/>
      <c r="D135" s="68"/>
      <c r="E135" s="36"/>
      <c r="F135" s="69"/>
      <c r="G135" s="70"/>
      <c r="H135" s="11"/>
      <c r="I135" s="12"/>
      <c r="J135" s="12"/>
      <c r="K135" s="12"/>
      <c r="L135" s="12"/>
      <c r="M135" s="12"/>
      <c r="N135" s="13"/>
      <c r="O135" s="13"/>
      <c r="P135" s="13"/>
      <c r="Q135" s="13"/>
      <c r="R135" s="13"/>
      <c r="S135" s="14"/>
      <c r="T135" s="15"/>
      <c r="U135" s="13"/>
      <c r="V135" s="13"/>
      <c r="W135" s="13"/>
      <c r="X135" s="12"/>
      <c r="Y135" s="12"/>
      <c r="Z135" s="12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</row>
    <row r="136" spans="1:54" ht="14.25">
      <c r="A136" s="3"/>
      <c r="B136" s="54" t="s">
        <v>698</v>
      </c>
      <c r="C136" s="16">
        <v>-395</v>
      </c>
      <c r="D136" s="54" t="s">
        <v>699</v>
      </c>
      <c r="E136" s="17">
        <f>395</f>
        <v>395</v>
      </c>
      <c r="F136" s="61" t="s">
        <v>698</v>
      </c>
      <c r="G136" s="2">
        <v>-395</v>
      </c>
      <c r="H136" s="71" t="s">
        <v>5</v>
      </c>
      <c r="I136" s="3"/>
      <c r="K136" s="3"/>
      <c r="L136" s="3"/>
      <c r="M136" s="3"/>
      <c r="N136" s="4" t="s">
        <v>6</v>
      </c>
      <c r="O136" s="4" t="s">
        <v>700</v>
      </c>
      <c r="P136" s="4" t="s">
        <v>8</v>
      </c>
      <c r="Q136" s="4" t="s">
        <v>701</v>
      </c>
      <c r="R136" s="4" t="s">
        <v>46</v>
      </c>
      <c r="S136" s="19">
        <v>1</v>
      </c>
      <c r="T136" s="20">
        <v>0.10833333333333334</v>
      </c>
      <c r="U136" s="4" t="s">
        <v>10</v>
      </c>
      <c r="V136" s="4" t="s">
        <v>23</v>
      </c>
      <c r="W136" s="4" t="s">
        <v>97</v>
      </c>
      <c r="X136" s="3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</row>
    <row r="137" spans="1:54" ht="14.25">
      <c r="A137" s="3"/>
      <c r="B137" s="54" t="s">
        <v>702</v>
      </c>
      <c r="C137" s="16">
        <f>380</f>
        <v>380</v>
      </c>
      <c r="D137" s="54" t="s">
        <v>703</v>
      </c>
      <c r="E137" s="17">
        <v>-380</v>
      </c>
      <c r="F137" s="61" t="s">
        <v>703</v>
      </c>
      <c r="G137" s="2">
        <v>-380</v>
      </c>
      <c r="H137" s="71" t="s">
        <v>5</v>
      </c>
      <c r="I137" s="3"/>
      <c r="K137" s="3"/>
      <c r="L137" s="3"/>
      <c r="M137" s="3"/>
      <c r="N137" s="4" t="s">
        <v>6</v>
      </c>
      <c r="O137" s="4" t="s">
        <v>704</v>
      </c>
      <c r="P137" s="4" t="s">
        <v>22</v>
      </c>
      <c r="Q137" s="4" t="s">
        <v>701</v>
      </c>
      <c r="R137" s="4" t="s">
        <v>46</v>
      </c>
      <c r="S137" s="19">
        <v>1</v>
      </c>
      <c r="T137" s="20">
        <v>2.2916666666666665E-2</v>
      </c>
      <c r="U137" s="4" t="s">
        <v>54</v>
      </c>
      <c r="V137" s="4" t="s">
        <v>11</v>
      </c>
      <c r="W137" s="4" t="s">
        <v>48</v>
      </c>
      <c r="X137" s="3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</row>
    <row r="138" spans="1:54" ht="14.25">
      <c r="A138" s="3"/>
      <c r="B138" s="54" t="s">
        <v>705</v>
      </c>
      <c r="C138" s="16">
        <f>130</f>
        <v>130</v>
      </c>
      <c r="D138" s="54" t="s">
        <v>706</v>
      </c>
      <c r="E138" s="17">
        <v>-130</v>
      </c>
      <c r="F138" s="54" t="s">
        <v>705</v>
      </c>
      <c r="G138" s="16">
        <f>130</f>
        <v>130</v>
      </c>
      <c r="H138" s="2" t="s">
        <v>707</v>
      </c>
      <c r="I138" s="3"/>
      <c r="J138" s="3"/>
      <c r="K138" s="3"/>
      <c r="L138" s="3"/>
      <c r="M138" s="3"/>
      <c r="N138" s="4" t="s">
        <v>223</v>
      </c>
      <c r="O138" s="4" t="s">
        <v>708</v>
      </c>
      <c r="P138" s="4" t="s">
        <v>709</v>
      </c>
      <c r="Q138" s="4" t="s">
        <v>701</v>
      </c>
      <c r="R138" s="4" t="s">
        <v>710</v>
      </c>
      <c r="S138" s="19">
        <v>3</v>
      </c>
      <c r="T138" s="20">
        <v>0.20833333333333334</v>
      </c>
      <c r="U138" s="4" t="s">
        <v>10</v>
      </c>
      <c r="V138" s="4" t="s">
        <v>11</v>
      </c>
      <c r="W138" s="4" t="s">
        <v>711</v>
      </c>
      <c r="X138" s="26" t="s">
        <v>712</v>
      </c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</row>
    <row r="139" spans="1:54" ht="14.25">
      <c r="A139" s="3"/>
      <c r="B139" s="54" t="s">
        <v>713</v>
      </c>
      <c r="C139" s="22">
        <f>295</f>
        <v>295</v>
      </c>
      <c r="D139" s="54" t="s">
        <v>714</v>
      </c>
      <c r="E139" s="23">
        <v>-360</v>
      </c>
      <c r="F139" s="54" t="s">
        <v>714</v>
      </c>
      <c r="G139" s="22">
        <v>-360</v>
      </c>
      <c r="H139" s="2" t="s">
        <v>1</v>
      </c>
      <c r="I139" s="24">
        <v>7.8</v>
      </c>
      <c r="J139" s="1" t="s">
        <v>61</v>
      </c>
      <c r="K139" s="24">
        <v>-200</v>
      </c>
      <c r="L139" s="1" t="s">
        <v>715</v>
      </c>
      <c r="M139" s="3"/>
      <c r="N139" s="4" t="s">
        <v>339</v>
      </c>
      <c r="O139" s="4" t="s">
        <v>716</v>
      </c>
      <c r="P139" s="4" t="s">
        <v>8</v>
      </c>
      <c r="Q139" s="4" t="s">
        <v>701</v>
      </c>
      <c r="R139" s="4" t="s">
        <v>46</v>
      </c>
      <c r="S139" s="19">
        <v>3</v>
      </c>
      <c r="T139" s="20">
        <v>0.20208333333333334</v>
      </c>
      <c r="U139" s="4" t="s">
        <v>10</v>
      </c>
      <c r="V139" s="4" t="s">
        <v>263</v>
      </c>
      <c r="W139" s="4" t="s">
        <v>430</v>
      </c>
      <c r="X139" s="26" t="s">
        <v>717</v>
      </c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</row>
    <row r="140" spans="1:54" ht="14.25">
      <c r="A140" s="3"/>
      <c r="B140" s="54" t="s">
        <v>718</v>
      </c>
      <c r="C140" s="22">
        <f>148</f>
        <v>148</v>
      </c>
      <c r="D140" s="54" t="s">
        <v>719</v>
      </c>
      <c r="E140" s="23">
        <v>-168</v>
      </c>
      <c r="F140" s="54" t="s">
        <v>718</v>
      </c>
      <c r="G140" s="22">
        <f>148</f>
        <v>148</v>
      </c>
      <c r="H140" s="2" t="s">
        <v>1</v>
      </c>
      <c r="I140" s="24">
        <v>7.5</v>
      </c>
      <c r="J140" s="1" t="s">
        <v>61</v>
      </c>
      <c r="K140" s="24">
        <v>-190</v>
      </c>
      <c r="L140" s="1" t="s">
        <v>720</v>
      </c>
      <c r="M140" s="3"/>
      <c r="N140" s="4" t="s">
        <v>339</v>
      </c>
      <c r="O140" s="4" t="s">
        <v>721</v>
      </c>
      <c r="P140" s="4" t="s">
        <v>22</v>
      </c>
      <c r="Q140" s="4" t="s">
        <v>701</v>
      </c>
      <c r="R140" s="4" t="s">
        <v>46</v>
      </c>
      <c r="S140" s="19">
        <v>1</v>
      </c>
      <c r="T140" s="20">
        <v>2.5694444444444443E-2</v>
      </c>
      <c r="U140" s="4" t="s">
        <v>10</v>
      </c>
      <c r="V140" s="4" t="s">
        <v>263</v>
      </c>
      <c r="W140" s="4" t="s">
        <v>722</v>
      </c>
      <c r="X140" s="26" t="s">
        <v>723</v>
      </c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</row>
    <row r="141" spans="1:54" ht="14.25">
      <c r="A141" s="3"/>
      <c r="B141" s="54" t="s">
        <v>724</v>
      </c>
      <c r="C141" s="22">
        <v>-350</v>
      </c>
      <c r="D141" s="54" t="s">
        <v>725</v>
      </c>
      <c r="E141" s="23">
        <f>285</f>
        <v>285</v>
      </c>
      <c r="F141" s="54" t="s">
        <v>724</v>
      </c>
      <c r="G141" s="22">
        <v>-350</v>
      </c>
      <c r="H141" s="2" t="s">
        <v>1</v>
      </c>
      <c r="I141" s="24">
        <v>8.5</v>
      </c>
      <c r="J141" s="1" t="s">
        <v>18</v>
      </c>
      <c r="K141" s="24">
        <v>-190</v>
      </c>
      <c r="L141" s="1"/>
      <c r="M141" s="1"/>
      <c r="N141" s="4" t="s">
        <v>94</v>
      </c>
      <c r="O141" s="4" t="s">
        <v>726</v>
      </c>
      <c r="P141" s="4" t="s">
        <v>22</v>
      </c>
      <c r="Q141" s="4" t="s">
        <v>701</v>
      </c>
      <c r="R141" s="4" t="s">
        <v>61</v>
      </c>
      <c r="S141" s="19">
        <v>1</v>
      </c>
      <c r="T141" s="20">
        <v>0.18958333333333333</v>
      </c>
      <c r="U141" s="4" t="s">
        <v>10</v>
      </c>
      <c r="V141" s="4" t="s">
        <v>55</v>
      </c>
      <c r="W141" s="4" t="s">
        <v>67</v>
      </c>
      <c r="X141" s="26" t="s">
        <v>727</v>
      </c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</row>
    <row r="142" spans="1:54" ht="14.25">
      <c r="A142" s="3"/>
      <c r="B142" s="54" t="s">
        <v>728</v>
      </c>
      <c r="C142" s="22">
        <f>167</f>
        <v>167</v>
      </c>
      <c r="D142" s="54" t="s">
        <v>729</v>
      </c>
      <c r="E142" s="23">
        <v>-192</v>
      </c>
      <c r="F142" s="54" t="s">
        <v>728</v>
      </c>
      <c r="G142" s="22">
        <f>167</f>
        <v>167</v>
      </c>
      <c r="H142" s="2" t="s">
        <v>1</v>
      </c>
      <c r="I142" s="24">
        <v>6.1</v>
      </c>
      <c r="J142" s="1" t="s">
        <v>18</v>
      </c>
      <c r="K142" s="24">
        <v>-115</v>
      </c>
      <c r="L142" s="1"/>
      <c r="M142" s="1"/>
      <c r="N142" s="4" t="s">
        <v>94</v>
      </c>
      <c r="O142" s="4" t="s">
        <v>730</v>
      </c>
      <c r="P142" s="4" t="s">
        <v>22</v>
      </c>
      <c r="Q142" s="4" t="s">
        <v>701</v>
      </c>
      <c r="R142" s="4" t="s">
        <v>193</v>
      </c>
      <c r="S142" s="19">
        <v>3</v>
      </c>
      <c r="T142" s="20">
        <v>0.20833333333333334</v>
      </c>
      <c r="U142" s="4" t="s">
        <v>10</v>
      </c>
      <c r="V142" s="4" t="s">
        <v>96</v>
      </c>
      <c r="W142" s="4" t="s">
        <v>731</v>
      </c>
      <c r="X142" s="26" t="s">
        <v>732</v>
      </c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</row>
    <row r="143" spans="1:54" ht="14.25">
      <c r="A143" s="3"/>
      <c r="B143" s="54" t="s">
        <v>733</v>
      </c>
      <c r="C143" s="22">
        <f>190</f>
        <v>190</v>
      </c>
      <c r="D143" s="54" t="s">
        <v>734</v>
      </c>
      <c r="E143" s="23">
        <v>-225</v>
      </c>
      <c r="F143" s="1" t="s">
        <v>733</v>
      </c>
      <c r="G143" s="23">
        <f>190</f>
        <v>190</v>
      </c>
      <c r="H143" s="2" t="s">
        <v>1</v>
      </c>
      <c r="I143" s="24">
        <v>8.1999999999999993</v>
      </c>
      <c r="J143" s="1" t="s">
        <v>61</v>
      </c>
      <c r="K143" s="1" t="s">
        <v>735</v>
      </c>
      <c r="L143" s="1" t="s">
        <v>736</v>
      </c>
      <c r="M143" s="3"/>
      <c r="N143" s="4" t="s">
        <v>103</v>
      </c>
      <c r="O143" s="4" t="s">
        <v>737</v>
      </c>
      <c r="P143" s="4" t="s">
        <v>22</v>
      </c>
      <c r="Q143" s="4" t="s">
        <v>701</v>
      </c>
      <c r="R143" s="4" t="s">
        <v>193</v>
      </c>
      <c r="S143" s="19">
        <v>3</v>
      </c>
      <c r="T143" s="20">
        <v>0.20833333333333334</v>
      </c>
      <c r="U143" s="4" t="s">
        <v>10</v>
      </c>
      <c r="V143" s="4" t="s">
        <v>39</v>
      </c>
      <c r="W143" s="4" t="s">
        <v>738</v>
      </c>
      <c r="X143" s="26" t="s">
        <v>739</v>
      </c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</row>
    <row r="144" spans="1:54" ht="14.25">
      <c r="A144" s="3"/>
      <c r="B144" s="54" t="s">
        <v>740</v>
      </c>
      <c r="C144" s="22">
        <v>-230</v>
      </c>
      <c r="D144" s="54" t="s">
        <v>741</v>
      </c>
      <c r="E144" s="23">
        <f>195</f>
        <v>195</v>
      </c>
      <c r="F144" s="54" t="s">
        <v>740</v>
      </c>
      <c r="G144" s="22">
        <v>-230</v>
      </c>
      <c r="H144" s="2" t="s">
        <v>1</v>
      </c>
      <c r="I144" s="24">
        <v>6.2</v>
      </c>
      <c r="J144" s="1" t="s">
        <v>61</v>
      </c>
      <c r="K144" s="1" t="s">
        <v>742</v>
      </c>
      <c r="L144" s="1" t="s">
        <v>743</v>
      </c>
      <c r="M144" s="3"/>
      <c r="N144" s="4" t="s">
        <v>103</v>
      </c>
      <c r="O144" s="4" t="s">
        <v>744</v>
      </c>
      <c r="P144" s="4" t="s">
        <v>22</v>
      </c>
      <c r="Q144" s="4" t="s">
        <v>701</v>
      </c>
      <c r="R144" s="4" t="s">
        <v>46</v>
      </c>
      <c r="S144" s="19">
        <v>2</v>
      </c>
      <c r="T144" s="20">
        <v>0.17430555555555555</v>
      </c>
      <c r="U144" s="4" t="s">
        <v>10</v>
      </c>
      <c r="V144" s="4" t="s">
        <v>55</v>
      </c>
      <c r="W144" s="4" t="s">
        <v>430</v>
      </c>
      <c r="X144" s="26" t="s">
        <v>745</v>
      </c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</row>
    <row r="145" spans="1:54" ht="14.25">
      <c r="A145" s="3"/>
      <c r="B145" s="54" t="s">
        <v>746</v>
      </c>
      <c r="C145" s="22">
        <v>-300</v>
      </c>
      <c r="D145" s="54" t="s">
        <v>747</v>
      </c>
      <c r="E145" s="23">
        <f>250</f>
        <v>250</v>
      </c>
      <c r="F145" s="1" t="s">
        <v>746</v>
      </c>
      <c r="G145" s="23">
        <v>-300</v>
      </c>
      <c r="H145" s="30" t="s">
        <v>1</v>
      </c>
      <c r="I145" s="24">
        <v>8</v>
      </c>
      <c r="J145" s="1" t="s">
        <v>427</v>
      </c>
      <c r="K145" s="3"/>
      <c r="L145" s="1" t="s">
        <v>748</v>
      </c>
      <c r="M145" s="3"/>
      <c r="N145" s="4" t="s">
        <v>79</v>
      </c>
      <c r="O145" s="4" t="s">
        <v>749</v>
      </c>
      <c r="P145" s="4" t="s">
        <v>22</v>
      </c>
      <c r="Q145" s="4" t="s">
        <v>701</v>
      </c>
      <c r="R145" s="4" t="s">
        <v>9</v>
      </c>
      <c r="S145" s="19">
        <v>3</v>
      </c>
      <c r="T145" s="20">
        <v>0.20833333333333334</v>
      </c>
      <c r="U145" s="4" t="s">
        <v>10</v>
      </c>
      <c r="V145" s="4" t="s">
        <v>11</v>
      </c>
      <c r="W145" s="4" t="s">
        <v>750</v>
      </c>
      <c r="X145" s="26" t="s">
        <v>751</v>
      </c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</row>
    <row r="146" spans="1:54" ht="14.25">
      <c r="A146" s="3"/>
      <c r="B146" s="54" t="s">
        <v>752</v>
      </c>
      <c r="C146" s="22">
        <f>135</f>
        <v>135</v>
      </c>
      <c r="D146" s="54" t="s">
        <v>753</v>
      </c>
      <c r="E146" s="23">
        <v>-155</v>
      </c>
      <c r="F146" s="1" t="s">
        <v>752</v>
      </c>
      <c r="G146" s="22">
        <f>135</f>
        <v>135</v>
      </c>
      <c r="H146" s="30" t="s">
        <v>1</v>
      </c>
      <c r="I146" s="3"/>
      <c r="J146" s="3" t="s">
        <v>16</v>
      </c>
      <c r="K146" s="3" t="s">
        <v>754</v>
      </c>
      <c r="L146" s="3" t="s">
        <v>29</v>
      </c>
      <c r="M146" s="3" t="s">
        <v>30</v>
      </c>
      <c r="N146" s="4" t="s">
        <v>125</v>
      </c>
      <c r="O146" s="4" t="s">
        <v>755</v>
      </c>
      <c r="P146" s="4" t="s">
        <v>22</v>
      </c>
      <c r="Q146" s="4" t="s">
        <v>701</v>
      </c>
      <c r="R146" s="4" t="s">
        <v>9</v>
      </c>
      <c r="S146" s="19">
        <v>3</v>
      </c>
      <c r="T146" s="20">
        <v>0.20833333333333334</v>
      </c>
      <c r="U146" s="4" t="s">
        <v>10</v>
      </c>
      <c r="V146" s="4" t="s">
        <v>39</v>
      </c>
      <c r="W146" s="4" t="s">
        <v>756</v>
      </c>
      <c r="X146" s="26" t="s">
        <v>757</v>
      </c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</row>
    <row r="147" spans="1:54" ht="14.25">
      <c r="A147" s="3"/>
      <c r="B147" s="54" t="s">
        <v>758</v>
      </c>
      <c r="C147" s="27">
        <v>-182</v>
      </c>
      <c r="D147" s="54" t="s">
        <v>759</v>
      </c>
      <c r="E147" s="28">
        <f>157</f>
        <v>157</v>
      </c>
      <c r="F147" s="54" t="s">
        <v>758</v>
      </c>
      <c r="G147" s="28">
        <v>-182</v>
      </c>
      <c r="H147" s="2" t="s">
        <v>1</v>
      </c>
      <c r="I147" s="3"/>
      <c r="J147" s="3" t="s">
        <v>16</v>
      </c>
      <c r="K147" s="3" t="s">
        <v>754</v>
      </c>
      <c r="L147" s="3" t="s">
        <v>760</v>
      </c>
      <c r="M147" s="3" t="s">
        <v>603</v>
      </c>
      <c r="N147" s="4" t="s">
        <v>31</v>
      </c>
      <c r="O147" s="4" t="s">
        <v>761</v>
      </c>
      <c r="P147" s="4" t="s">
        <v>22</v>
      </c>
      <c r="Q147" s="4" t="s">
        <v>701</v>
      </c>
      <c r="R147" s="4" t="s">
        <v>46</v>
      </c>
      <c r="S147" s="19">
        <v>3</v>
      </c>
      <c r="T147" s="20">
        <v>3.4027777777777775E-2</v>
      </c>
      <c r="U147" s="4" t="s">
        <v>10</v>
      </c>
      <c r="V147" s="4" t="s">
        <v>23</v>
      </c>
      <c r="W147" s="4" t="s">
        <v>48</v>
      </c>
      <c r="X147" s="26" t="s">
        <v>762</v>
      </c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</row>
    <row r="148" spans="1:54" ht="14.25">
      <c r="A148" s="3"/>
      <c r="B148" s="54" t="s">
        <v>763</v>
      </c>
      <c r="C148" s="16">
        <f>270</f>
        <v>270</v>
      </c>
      <c r="D148" s="54" t="s">
        <v>764</v>
      </c>
      <c r="E148" s="17">
        <v>-330</v>
      </c>
      <c r="F148" s="54" t="s">
        <v>764</v>
      </c>
      <c r="G148" s="27">
        <v>-330</v>
      </c>
      <c r="H148" s="2" t="s">
        <v>1</v>
      </c>
      <c r="I148" s="3"/>
      <c r="J148" s="3"/>
      <c r="K148" s="3"/>
      <c r="L148" s="3"/>
      <c r="M148" s="3"/>
      <c r="N148" s="4" t="s">
        <v>37</v>
      </c>
      <c r="O148" s="4" t="s">
        <v>765</v>
      </c>
      <c r="P148" s="4" t="s">
        <v>8</v>
      </c>
      <c r="Q148" s="4" t="s">
        <v>701</v>
      </c>
      <c r="R148" s="4" t="s">
        <v>46</v>
      </c>
      <c r="S148" s="19">
        <v>1</v>
      </c>
      <c r="T148" s="20">
        <v>4.3749999999999997E-2</v>
      </c>
      <c r="U148" s="4" t="s">
        <v>10</v>
      </c>
      <c r="V148" s="4" t="s">
        <v>226</v>
      </c>
      <c r="W148" s="4" t="s">
        <v>127</v>
      </c>
      <c r="X148" s="26" t="s">
        <v>766</v>
      </c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</row>
    <row r="149" spans="1:54" ht="14.25">
      <c r="A149" s="3"/>
      <c r="B149" s="54" t="s">
        <v>767</v>
      </c>
      <c r="C149" s="16">
        <f>275</f>
        <v>275</v>
      </c>
      <c r="D149" s="54" t="s">
        <v>768</v>
      </c>
      <c r="E149" s="17">
        <v>-325</v>
      </c>
      <c r="F149" s="54" t="s">
        <v>767</v>
      </c>
      <c r="G149" s="16">
        <f>275</f>
        <v>275</v>
      </c>
      <c r="H149" s="2" t="s">
        <v>1</v>
      </c>
      <c r="I149" s="3"/>
      <c r="J149" s="3"/>
      <c r="K149" s="3"/>
      <c r="L149" s="3"/>
      <c r="M149" s="3"/>
      <c r="N149" s="4" t="s">
        <v>52</v>
      </c>
      <c r="O149" s="4" t="s">
        <v>769</v>
      </c>
      <c r="P149" s="4" t="s">
        <v>8</v>
      </c>
      <c r="Q149" s="4" t="s">
        <v>701</v>
      </c>
      <c r="R149" s="4" t="s">
        <v>46</v>
      </c>
      <c r="S149" s="19">
        <v>1</v>
      </c>
      <c r="T149" s="20">
        <v>7.2222222222222215E-2</v>
      </c>
      <c r="U149" s="4" t="s">
        <v>10</v>
      </c>
      <c r="V149" s="4" t="s">
        <v>11</v>
      </c>
      <c r="W149" s="4" t="s">
        <v>97</v>
      </c>
      <c r="X149" s="26" t="s">
        <v>770</v>
      </c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</row>
    <row r="150" spans="1:54" ht="14.25">
      <c r="A150" s="3"/>
      <c r="B150" s="54" t="s">
        <v>771</v>
      </c>
      <c r="C150" s="16">
        <v>-125</v>
      </c>
      <c r="D150" s="54" t="s">
        <v>772</v>
      </c>
      <c r="E150" s="17">
        <f>105</f>
        <v>105</v>
      </c>
      <c r="F150" s="1" t="s">
        <v>772</v>
      </c>
      <c r="G150" s="16">
        <f>105</f>
        <v>105</v>
      </c>
      <c r="H150" s="2" t="s">
        <v>1</v>
      </c>
      <c r="I150" s="3"/>
      <c r="J150" s="3"/>
      <c r="K150" s="3"/>
      <c r="L150" s="3"/>
      <c r="M150" s="3"/>
      <c r="N150" s="4" t="s">
        <v>207</v>
      </c>
      <c r="O150" s="4" t="s">
        <v>773</v>
      </c>
      <c r="P150" s="4" t="s">
        <v>8</v>
      </c>
      <c r="Q150" s="4" t="s">
        <v>701</v>
      </c>
      <c r="R150" s="4" t="s">
        <v>46</v>
      </c>
      <c r="S150" s="19">
        <v>1</v>
      </c>
      <c r="T150" s="20">
        <v>7.013888888888889E-2</v>
      </c>
      <c r="U150" s="4" t="s">
        <v>10</v>
      </c>
      <c r="V150" s="4" t="s">
        <v>39</v>
      </c>
      <c r="W150" s="4" t="s">
        <v>774</v>
      </c>
      <c r="X150" s="26" t="s">
        <v>775</v>
      </c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</row>
    <row r="151" spans="1:54" ht="14.25">
      <c r="A151" s="3"/>
      <c r="B151" s="54" t="s">
        <v>776</v>
      </c>
      <c r="C151" s="16">
        <f>180</f>
        <v>180</v>
      </c>
      <c r="D151" s="54" t="s">
        <v>777</v>
      </c>
      <c r="E151" s="17">
        <v>-180</v>
      </c>
      <c r="F151" s="1" t="s">
        <v>777</v>
      </c>
      <c r="G151" s="16">
        <f>180</f>
        <v>180</v>
      </c>
      <c r="H151" s="2" t="s">
        <v>1</v>
      </c>
      <c r="I151" s="3"/>
      <c r="J151" s="3"/>
      <c r="K151" s="3"/>
      <c r="L151" s="3"/>
      <c r="M151" s="3"/>
      <c r="N151" s="4" t="s">
        <v>65</v>
      </c>
      <c r="O151" s="4" t="s">
        <v>778</v>
      </c>
      <c r="P151" s="4" t="s">
        <v>8</v>
      </c>
      <c r="Q151" s="4" t="s">
        <v>701</v>
      </c>
      <c r="R151" s="4" t="s">
        <v>61</v>
      </c>
      <c r="S151" s="19">
        <v>1</v>
      </c>
      <c r="T151" s="20">
        <v>0.12361111111111112</v>
      </c>
      <c r="U151" s="4" t="s">
        <v>10</v>
      </c>
      <c r="V151" s="4" t="s">
        <v>89</v>
      </c>
      <c r="W151" s="4" t="s">
        <v>67</v>
      </c>
      <c r="X151" s="26" t="s">
        <v>779</v>
      </c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</row>
    <row r="152" spans="1:54" ht="14.25">
      <c r="A152" s="3"/>
      <c r="B152" s="54" t="s">
        <v>776</v>
      </c>
      <c r="C152" s="22">
        <f>130</f>
        <v>130</v>
      </c>
      <c r="D152" s="54" t="s">
        <v>706</v>
      </c>
      <c r="E152" s="23">
        <v>-150</v>
      </c>
      <c r="F152" s="1" t="s">
        <v>776</v>
      </c>
      <c r="G152" s="23">
        <f>130</f>
        <v>130</v>
      </c>
      <c r="H152" s="2" t="s">
        <v>5</v>
      </c>
      <c r="I152" s="24">
        <v>6.9</v>
      </c>
      <c r="J152" s="1" t="s">
        <v>61</v>
      </c>
      <c r="K152" s="24">
        <v>-170</v>
      </c>
      <c r="L152" s="1" t="s">
        <v>780</v>
      </c>
      <c r="M152" s="3"/>
      <c r="N152" s="4" t="s">
        <v>339</v>
      </c>
      <c r="O152" s="4" t="s">
        <v>781</v>
      </c>
      <c r="P152" s="4" t="s">
        <v>8</v>
      </c>
      <c r="Q152" s="4" t="s">
        <v>701</v>
      </c>
      <c r="R152" s="4" t="s">
        <v>61</v>
      </c>
      <c r="S152" s="19">
        <v>2</v>
      </c>
      <c r="T152" s="20">
        <v>0.125</v>
      </c>
      <c r="U152" s="4" t="s">
        <v>10</v>
      </c>
      <c r="V152" s="4" t="s">
        <v>11</v>
      </c>
      <c r="W152" s="4" t="s">
        <v>782</v>
      </c>
      <c r="X152" s="26" t="s">
        <v>783</v>
      </c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</row>
    <row r="153" spans="1:54" ht="14.25">
      <c r="A153" s="3"/>
      <c r="B153" s="54" t="s">
        <v>229</v>
      </c>
      <c r="C153" s="22">
        <f>225</f>
        <v>225</v>
      </c>
      <c r="D153" s="54" t="s">
        <v>784</v>
      </c>
      <c r="E153" s="23">
        <v>-265</v>
      </c>
      <c r="F153" s="1" t="s">
        <v>785</v>
      </c>
      <c r="G153" s="22">
        <v>-265</v>
      </c>
      <c r="H153" s="2" t="s">
        <v>85</v>
      </c>
      <c r="I153" s="24">
        <v>5.7</v>
      </c>
      <c r="J153" s="1" t="s">
        <v>61</v>
      </c>
      <c r="K153" s="24">
        <v>-135</v>
      </c>
      <c r="L153" s="1" t="s">
        <v>786</v>
      </c>
      <c r="M153" s="3"/>
      <c r="N153" s="4" t="s">
        <v>87</v>
      </c>
      <c r="O153" s="4" t="s">
        <v>787</v>
      </c>
      <c r="P153" s="4" t="s">
        <v>22</v>
      </c>
      <c r="Q153" s="4" t="s">
        <v>701</v>
      </c>
      <c r="R153" s="4" t="s">
        <v>9</v>
      </c>
      <c r="S153" s="19">
        <v>3</v>
      </c>
      <c r="T153" s="20">
        <v>0.20833333333333334</v>
      </c>
      <c r="U153" s="4" t="s">
        <v>10</v>
      </c>
      <c r="V153" s="4" t="s">
        <v>788</v>
      </c>
      <c r="W153" s="4" t="s">
        <v>789</v>
      </c>
      <c r="X153" s="26" t="s">
        <v>790</v>
      </c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</row>
    <row r="154" spans="1:54" ht="14.25">
      <c r="A154" s="3"/>
      <c r="B154" s="54" t="s">
        <v>791</v>
      </c>
      <c r="C154" s="22">
        <f>133</f>
        <v>133</v>
      </c>
      <c r="D154" s="54" t="s">
        <v>771</v>
      </c>
      <c r="E154" s="23">
        <v>-153</v>
      </c>
      <c r="F154" s="1" t="s">
        <v>792</v>
      </c>
      <c r="G154" s="22">
        <v>-153</v>
      </c>
      <c r="H154" s="2" t="s">
        <v>85</v>
      </c>
      <c r="I154" s="24">
        <v>6.1</v>
      </c>
      <c r="J154" s="1" t="s">
        <v>18</v>
      </c>
      <c r="K154" s="24">
        <v>-145</v>
      </c>
      <c r="L154" s="1" t="s">
        <v>793</v>
      </c>
      <c r="M154" s="3"/>
      <c r="N154" s="4" t="s">
        <v>87</v>
      </c>
      <c r="O154" s="4" t="s">
        <v>794</v>
      </c>
      <c r="P154" s="4" t="s">
        <v>22</v>
      </c>
      <c r="Q154" s="4" t="s">
        <v>701</v>
      </c>
      <c r="R154" s="4" t="s">
        <v>9</v>
      </c>
      <c r="S154" s="19">
        <v>3</v>
      </c>
      <c r="T154" s="20">
        <v>0.20833333333333334</v>
      </c>
      <c r="U154" s="4" t="s">
        <v>10</v>
      </c>
      <c r="V154" s="4" t="s">
        <v>47</v>
      </c>
      <c r="W154" s="4" t="s">
        <v>795</v>
      </c>
      <c r="X154" s="26" t="s">
        <v>796</v>
      </c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</row>
    <row r="155" spans="1:54" ht="14.25">
      <c r="A155" s="3"/>
      <c r="B155" s="54" t="s">
        <v>797</v>
      </c>
      <c r="C155" s="22">
        <v>-173</v>
      </c>
      <c r="D155" s="54" t="s">
        <v>59</v>
      </c>
      <c r="E155" s="23">
        <f>148</f>
        <v>148</v>
      </c>
      <c r="F155" s="1" t="s">
        <v>798</v>
      </c>
      <c r="G155" s="23">
        <v>-173</v>
      </c>
      <c r="H155" s="2" t="s">
        <v>85</v>
      </c>
      <c r="I155" s="24">
        <v>8.5</v>
      </c>
      <c r="J155" s="1" t="s">
        <v>427</v>
      </c>
      <c r="K155" s="24">
        <v>-210</v>
      </c>
      <c r="L155" s="1" t="s">
        <v>799</v>
      </c>
      <c r="M155" s="3"/>
      <c r="N155" s="4" t="s">
        <v>87</v>
      </c>
      <c r="O155" s="4" t="s">
        <v>800</v>
      </c>
      <c r="P155" s="4" t="s">
        <v>8</v>
      </c>
      <c r="Q155" s="4" t="s">
        <v>701</v>
      </c>
      <c r="R155" s="4" t="s">
        <v>46</v>
      </c>
      <c r="S155" s="19">
        <v>1</v>
      </c>
      <c r="T155" s="20">
        <v>0.19583333333333333</v>
      </c>
      <c r="U155" s="4" t="s">
        <v>10</v>
      </c>
      <c r="V155" s="4" t="s">
        <v>233</v>
      </c>
      <c r="W155" s="4" t="s">
        <v>97</v>
      </c>
      <c r="X155" s="26" t="s">
        <v>801</v>
      </c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</row>
    <row r="156" spans="1:54" ht="14.25">
      <c r="A156" s="3"/>
      <c r="B156" s="54" t="s">
        <v>802</v>
      </c>
      <c r="C156" s="22">
        <v>-550</v>
      </c>
      <c r="D156" s="54" t="s">
        <v>803</v>
      </c>
      <c r="E156" s="23">
        <f>400</f>
        <v>400</v>
      </c>
      <c r="F156" s="1" t="s">
        <v>804</v>
      </c>
      <c r="G156" s="22">
        <v>-550</v>
      </c>
      <c r="H156" s="2" t="s">
        <v>85</v>
      </c>
      <c r="I156" s="24">
        <v>7.1</v>
      </c>
      <c r="J156" s="1" t="s">
        <v>18</v>
      </c>
      <c r="K156" s="24">
        <v>-165</v>
      </c>
      <c r="L156" s="1" t="s">
        <v>805</v>
      </c>
      <c r="M156" s="3"/>
      <c r="N156" s="4" t="s">
        <v>87</v>
      </c>
      <c r="O156" s="4" t="s">
        <v>806</v>
      </c>
      <c r="P156" s="4" t="s">
        <v>8</v>
      </c>
      <c r="Q156" s="4" t="s">
        <v>701</v>
      </c>
      <c r="R156" s="4" t="s">
        <v>9</v>
      </c>
      <c r="S156" s="19">
        <v>3</v>
      </c>
      <c r="T156" s="20">
        <v>0.20833333333333334</v>
      </c>
      <c r="U156" s="4" t="s">
        <v>10</v>
      </c>
      <c r="V156" s="4" t="s">
        <v>89</v>
      </c>
      <c r="W156" s="4" t="s">
        <v>90</v>
      </c>
      <c r="X156" s="26" t="s">
        <v>807</v>
      </c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</row>
    <row r="157" spans="1:54" ht="14.25">
      <c r="A157" s="3"/>
      <c r="B157" s="54" t="s">
        <v>808</v>
      </c>
      <c r="C157" s="22">
        <f>145</f>
        <v>145</v>
      </c>
      <c r="D157" s="54" t="s">
        <v>809</v>
      </c>
      <c r="E157" s="23">
        <v>-170</v>
      </c>
      <c r="F157" s="1" t="s">
        <v>808</v>
      </c>
      <c r="G157" s="22">
        <f>145</f>
        <v>145</v>
      </c>
      <c r="H157" s="2" t="s">
        <v>5</v>
      </c>
      <c r="I157" s="24">
        <v>6.2</v>
      </c>
      <c r="J157" s="1" t="s">
        <v>18</v>
      </c>
      <c r="K157" s="24">
        <v>-120</v>
      </c>
      <c r="L157" s="1"/>
      <c r="M157" s="1"/>
      <c r="N157" s="4" t="s">
        <v>94</v>
      </c>
      <c r="O157" s="4" t="s">
        <v>810</v>
      </c>
      <c r="P157" s="4" t="s">
        <v>8</v>
      </c>
      <c r="Q157" s="4" t="s">
        <v>701</v>
      </c>
      <c r="R157" s="4" t="s">
        <v>9</v>
      </c>
      <c r="S157" s="19">
        <v>3</v>
      </c>
      <c r="T157" s="20">
        <v>0.20833333333333334</v>
      </c>
      <c r="U157" s="4" t="s">
        <v>10</v>
      </c>
      <c r="V157" s="4" t="s">
        <v>23</v>
      </c>
      <c r="W157" s="4" t="s">
        <v>811</v>
      </c>
      <c r="X157" s="26" t="s">
        <v>812</v>
      </c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</row>
    <row r="158" spans="1:54" ht="14.25">
      <c r="A158" s="3"/>
      <c r="B158" s="54" t="s">
        <v>813</v>
      </c>
      <c r="C158" s="22">
        <v>-175</v>
      </c>
      <c r="D158" s="54" t="s">
        <v>814</v>
      </c>
      <c r="E158" s="23">
        <f t="shared" ref="E158:E159" si="2">150</f>
        <v>150</v>
      </c>
      <c r="F158" s="1" t="s">
        <v>814</v>
      </c>
      <c r="G158" s="22">
        <f>150</f>
        <v>150</v>
      </c>
      <c r="H158" s="2" t="s">
        <v>5</v>
      </c>
      <c r="I158" s="24">
        <v>6.8</v>
      </c>
      <c r="J158" s="1" t="s">
        <v>18</v>
      </c>
      <c r="K158" s="1" t="s">
        <v>815</v>
      </c>
      <c r="L158" s="1" t="s">
        <v>816</v>
      </c>
      <c r="M158" s="3"/>
      <c r="N158" s="4" t="s">
        <v>103</v>
      </c>
      <c r="O158" s="4" t="s">
        <v>817</v>
      </c>
      <c r="P158" s="4" t="s">
        <v>22</v>
      </c>
      <c r="Q158" s="4" t="s">
        <v>701</v>
      </c>
      <c r="R158" s="4" t="s">
        <v>46</v>
      </c>
      <c r="S158" s="19">
        <v>5</v>
      </c>
      <c r="T158" s="20">
        <v>0.2076388888888889</v>
      </c>
      <c r="U158" s="4" t="s">
        <v>54</v>
      </c>
      <c r="V158" s="4" t="s">
        <v>47</v>
      </c>
      <c r="W158" s="4" t="s">
        <v>48</v>
      </c>
      <c r="X158" s="26" t="s">
        <v>818</v>
      </c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</row>
    <row r="159" spans="1:54" ht="14.25">
      <c r="A159" s="3"/>
      <c r="B159" s="54" t="s">
        <v>703</v>
      </c>
      <c r="C159" s="22">
        <v>-175</v>
      </c>
      <c r="D159" s="54" t="s">
        <v>819</v>
      </c>
      <c r="E159" s="23">
        <f t="shared" si="2"/>
        <v>150</v>
      </c>
      <c r="F159" s="1" t="s">
        <v>703</v>
      </c>
      <c r="G159" s="23">
        <v>-175</v>
      </c>
      <c r="H159" s="2" t="s">
        <v>5</v>
      </c>
      <c r="I159" s="24">
        <v>6.6</v>
      </c>
      <c r="J159" s="1" t="s">
        <v>18</v>
      </c>
      <c r="K159" s="1" t="s">
        <v>820</v>
      </c>
      <c r="L159" s="1" t="s">
        <v>821</v>
      </c>
      <c r="M159" s="3"/>
      <c r="N159" s="4" t="s">
        <v>103</v>
      </c>
      <c r="O159" s="4" t="s">
        <v>822</v>
      </c>
      <c r="P159" s="4" t="s">
        <v>8</v>
      </c>
      <c r="Q159" s="4" t="s">
        <v>701</v>
      </c>
      <c r="R159" s="4" t="s">
        <v>9</v>
      </c>
      <c r="S159" s="19">
        <v>3</v>
      </c>
      <c r="T159" s="20">
        <v>0.20833333333333334</v>
      </c>
      <c r="U159" s="4" t="s">
        <v>10</v>
      </c>
      <c r="V159" s="4" t="s">
        <v>47</v>
      </c>
      <c r="W159" s="4" t="s">
        <v>823</v>
      </c>
      <c r="X159" s="26" t="s">
        <v>824</v>
      </c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</row>
    <row r="160" spans="1:54" ht="14.25">
      <c r="A160" s="3"/>
      <c r="B160" s="54" t="s">
        <v>825</v>
      </c>
      <c r="C160" s="22">
        <v>-330</v>
      </c>
      <c r="D160" s="54" t="s">
        <v>826</v>
      </c>
      <c r="E160" s="23">
        <f>270</f>
        <v>270</v>
      </c>
      <c r="F160" s="1" t="s">
        <v>825</v>
      </c>
      <c r="G160" s="22">
        <v>-330</v>
      </c>
      <c r="H160" s="30" t="s">
        <v>5</v>
      </c>
      <c r="I160" s="24">
        <v>7.8</v>
      </c>
      <c r="J160" s="1" t="s">
        <v>427</v>
      </c>
      <c r="K160" s="3"/>
      <c r="L160" s="1" t="s">
        <v>827</v>
      </c>
      <c r="M160" s="3"/>
      <c r="N160" s="4" t="s">
        <v>79</v>
      </c>
      <c r="O160" s="4" t="s">
        <v>828</v>
      </c>
      <c r="P160" s="4" t="s">
        <v>8</v>
      </c>
      <c r="Q160" s="4" t="s">
        <v>701</v>
      </c>
      <c r="R160" s="4" t="s">
        <v>46</v>
      </c>
      <c r="S160" s="19">
        <v>1</v>
      </c>
      <c r="T160" s="20">
        <v>0.14861111111111111</v>
      </c>
      <c r="U160" s="4" t="s">
        <v>10</v>
      </c>
      <c r="V160" s="4" t="s">
        <v>23</v>
      </c>
      <c r="W160" s="4" t="s">
        <v>722</v>
      </c>
      <c r="X160" s="26" t="s">
        <v>829</v>
      </c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</row>
    <row r="161" spans="1:54" ht="14.25">
      <c r="A161" s="3"/>
      <c r="B161" s="54" t="s">
        <v>830</v>
      </c>
      <c r="C161" s="22">
        <f>265</f>
        <v>265</v>
      </c>
      <c r="D161" s="54" t="s">
        <v>831</v>
      </c>
      <c r="E161" s="23">
        <v>-315</v>
      </c>
      <c r="F161" s="1" t="s">
        <v>831</v>
      </c>
      <c r="G161" s="23">
        <v>-315</v>
      </c>
      <c r="H161" s="2" t="s">
        <v>5</v>
      </c>
      <c r="I161" s="24">
        <v>8.3000000000000007</v>
      </c>
      <c r="J161" s="25" t="s">
        <v>16</v>
      </c>
      <c r="K161" s="25" t="s">
        <v>832</v>
      </c>
      <c r="L161" s="25" t="s">
        <v>833</v>
      </c>
      <c r="M161" s="25" t="s">
        <v>834</v>
      </c>
      <c r="N161" s="4" t="s">
        <v>20</v>
      </c>
      <c r="O161" s="4" t="s">
        <v>835</v>
      </c>
      <c r="P161" s="4" t="s">
        <v>22</v>
      </c>
      <c r="Q161" s="4" t="s">
        <v>701</v>
      </c>
      <c r="R161" s="4" t="s">
        <v>61</v>
      </c>
      <c r="S161" s="19">
        <v>2</v>
      </c>
      <c r="T161" s="20">
        <v>7.1527777777777773E-2</v>
      </c>
      <c r="U161" s="4" t="s">
        <v>10</v>
      </c>
      <c r="V161" s="4" t="s">
        <v>89</v>
      </c>
      <c r="W161" s="4" t="s">
        <v>836</v>
      </c>
      <c r="X161" s="26" t="s">
        <v>837</v>
      </c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</row>
    <row r="162" spans="1:54" ht="14.25">
      <c r="A162" s="3"/>
      <c r="B162" s="54" t="s">
        <v>838</v>
      </c>
      <c r="C162" s="22">
        <f>109</f>
        <v>109</v>
      </c>
      <c r="D162" s="54" t="s">
        <v>839</v>
      </c>
      <c r="E162" s="23">
        <v>-129</v>
      </c>
      <c r="F162" s="54" t="s">
        <v>838</v>
      </c>
      <c r="G162" s="23">
        <f>109</f>
        <v>109</v>
      </c>
      <c r="H162" s="2" t="s">
        <v>122</v>
      </c>
      <c r="I162" s="24">
        <v>9.4</v>
      </c>
      <c r="J162" s="25" t="s">
        <v>840</v>
      </c>
      <c r="K162" s="25" t="s">
        <v>841</v>
      </c>
      <c r="L162" s="25" t="s">
        <v>842</v>
      </c>
      <c r="M162" s="25" t="s">
        <v>843</v>
      </c>
      <c r="N162" s="4" t="s">
        <v>20</v>
      </c>
      <c r="O162" s="4" t="s">
        <v>844</v>
      </c>
      <c r="P162" s="4" t="s">
        <v>8</v>
      </c>
      <c r="Q162" s="4" t="s">
        <v>701</v>
      </c>
      <c r="R162" s="4" t="s">
        <v>46</v>
      </c>
      <c r="S162" s="19">
        <v>3</v>
      </c>
      <c r="T162" s="20">
        <v>1.0416666666666666E-2</v>
      </c>
      <c r="U162" s="4" t="s">
        <v>10</v>
      </c>
      <c r="V162" s="4" t="s">
        <v>39</v>
      </c>
      <c r="W162" s="4" t="s">
        <v>616</v>
      </c>
      <c r="X162" s="26" t="s">
        <v>845</v>
      </c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</row>
    <row r="163" spans="1:54" ht="14.25">
      <c r="A163" s="3"/>
      <c r="B163" s="54" t="s">
        <v>846</v>
      </c>
      <c r="C163" s="22">
        <f>170</f>
        <v>170</v>
      </c>
      <c r="D163" s="54" t="s">
        <v>847</v>
      </c>
      <c r="E163" s="23">
        <v>-200</v>
      </c>
      <c r="F163" s="54" t="s">
        <v>846</v>
      </c>
      <c r="G163" s="22">
        <f>170</f>
        <v>170</v>
      </c>
      <c r="H163" s="2" t="s">
        <v>122</v>
      </c>
      <c r="I163" s="24">
        <v>8.1999999999999993</v>
      </c>
      <c r="J163" s="3" t="s">
        <v>16</v>
      </c>
      <c r="K163" s="3" t="s">
        <v>754</v>
      </c>
      <c r="L163" s="3" t="s">
        <v>848</v>
      </c>
      <c r="M163" s="3" t="s">
        <v>603</v>
      </c>
      <c r="N163" s="4" t="s">
        <v>135</v>
      </c>
      <c r="O163" s="4" t="s">
        <v>849</v>
      </c>
      <c r="P163" s="4" t="s">
        <v>8</v>
      </c>
      <c r="Q163" s="4" t="s">
        <v>701</v>
      </c>
      <c r="R163" s="4" t="s">
        <v>46</v>
      </c>
      <c r="S163" s="19">
        <v>2</v>
      </c>
      <c r="T163" s="20">
        <v>0.10555555555555556</v>
      </c>
      <c r="U163" s="4" t="s">
        <v>54</v>
      </c>
      <c r="V163" s="4" t="s">
        <v>89</v>
      </c>
      <c r="W163" s="4" t="s">
        <v>48</v>
      </c>
      <c r="X163" s="26" t="s">
        <v>850</v>
      </c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</row>
    <row r="164" spans="1:54" ht="14.25">
      <c r="A164" s="3"/>
      <c r="B164" s="54" t="s">
        <v>851</v>
      </c>
      <c r="C164" s="22">
        <v>-455</v>
      </c>
      <c r="D164" s="54" t="s">
        <v>852</v>
      </c>
      <c r="E164" s="23">
        <f>355</f>
        <v>355</v>
      </c>
      <c r="F164" s="54" t="s">
        <v>851</v>
      </c>
      <c r="G164" s="23">
        <v>-455</v>
      </c>
      <c r="H164" s="2" t="s">
        <v>122</v>
      </c>
      <c r="I164" s="24">
        <v>7</v>
      </c>
      <c r="J164" s="3" t="s">
        <v>16</v>
      </c>
      <c r="K164" s="3" t="s">
        <v>754</v>
      </c>
      <c r="L164" s="3" t="s">
        <v>29</v>
      </c>
      <c r="M164" s="3" t="s">
        <v>30</v>
      </c>
      <c r="N164" s="4" t="s">
        <v>135</v>
      </c>
      <c r="O164" s="4" t="s">
        <v>853</v>
      </c>
      <c r="P164" s="4" t="s">
        <v>8</v>
      </c>
      <c r="Q164" s="4" t="s">
        <v>701</v>
      </c>
      <c r="R164" s="4" t="s">
        <v>9</v>
      </c>
      <c r="S164" s="19">
        <v>3</v>
      </c>
      <c r="T164" s="20">
        <v>0.20833333333333334</v>
      </c>
      <c r="U164" s="4" t="s">
        <v>10</v>
      </c>
      <c r="V164" s="4" t="s">
        <v>226</v>
      </c>
      <c r="W164" s="4" t="s">
        <v>854</v>
      </c>
      <c r="X164" s="26" t="s">
        <v>855</v>
      </c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</row>
    <row r="165" spans="1:54" ht="14.25">
      <c r="A165" s="3"/>
      <c r="B165" s="54" t="s">
        <v>856</v>
      </c>
      <c r="C165" s="27">
        <v>-800</v>
      </c>
      <c r="D165" s="54" t="s">
        <v>857</v>
      </c>
      <c r="E165" s="28">
        <f>575</f>
        <v>575</v>
      </c>
      <c r="F165" s="54" t="s">
        <v>856</v>
      </c>
      <c r="G165" s="28">
        <v>-800</v>
      </c>
      <c r="H165" s="2" t="s">
        <v>5</v>
      </c>
      <c r="I165" s="3"/>
      <c r="J165" s="3" t="s">
        <v>16</v>
      </c>
      <c r="K165" s="3" t="s">
        <v>754</v>
      </c>
      <c r="L165" s="3" t="s">
        <v>858</v>
      </c>
      <c r="M165" s="3" t="s">
        <v>859</v>
      </c>
      <c r="N165" s="4" t="s">
        <v>31</v>
      </c>
      <c r="O165" s="4" t="s">
        <v>860</v>
      </c>
      <c r="P165" s="4" t="s">
        <v>8</v>
      </c>
      <c r="Q165" s="4" t="s">
        <v>701</v>
      </c>
      <c r="R165" s="4" t="s">
        <v>46</v>
      </c>
      <c r="S165" s="19">
        <v>1</v>
      </c>
      <c r="T165" s="20">
        <v>0.19166666666666668</v>
      </c>
      <c r="U165" s="4" t="s">
        <v>10</v>
      </c>
      <c r="V165" s="4" t="s">
        <v>11</v>
      </c>
      <c r="W165" s="4" t="s">
        <v>861</v>
      </c>
      <c r="X165" s="26" t="s">
        <v>862</v>
      </c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</row>
    <row r="166" spans="1:54" ht="14.25">
      <c r="A166" s="3"/>
      <c r="B166" s="54" t="s">
        <v>863</v>
      </c>
      <c r="C166" s="27">
        <v>-260</v>
      </c>
      <c r="D166" s="54" t="s">
        <v>864</v>
      </c>
      <c r="E166" s="28">
        <f>220</f>
        <v>220</v>
      </c>
      <c r="F166" s="54" t="s">
        <v>863</v>
      </c>
      <c r="G166" s="27">
        <v>-260</v>
      </c>
      <c r="H166" s="2" t="s">
        <v>122</v>
      </c>
      <c r="I166" s="3"/>
      <c r="J166" s="3" t="s">
        <v>16</v>
      </c>
      <c r="K166" s="3" t="s">
        <v>754</v>
      </c>
      <c r="L166" s="3" t="s">
        <v>29</v>
      </c>
      <c r="M166" s="3" t="s">
        <v>30</v>
      </c>
      <c r="N166" s="4" t="s">
        <v>160</v>
      </c>
      <c r="O166" s="4" t="s">
        <v>865</v>
      </c>
      <c r="P166" s="4" t="s">
        <v>8</v>
      </c>
      <c r="Q166" s="4" t="s">
        <v>701</v>
      </c>
      <c r="R166" s="4" t="s">
        <v>9</v>
      </c>
      <c r="S166" s="19">
        <v>3</v>
      </c>
      <c r="T166" s="20">
        <v>0.20833333333333334</v>
      </c>
      <c r="U166" s="4" t="s">
        <v>10</v>
      </c>
      <c r="V166" s="4" t="s">
        <v>89</v>
      </c>
      <c r="W166" s="4" t="s">
        <v>866</v>
      </c>
      <c r="X166" s="26" t="s">
        <v>867</v>
      </c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</row>
    <row r="167" spans="1:54" ht="14.25">
      <c r="A167" s="3"/>
      <c r="B167" s="54" t="s">
        <v>868</v>
      </c>
      <c r="C167" s="27">
        <v>-170</v>
      </c>
      <c r="D167" s="54" t="s">
        <v>869</v>
      </c>
      <c r="E167" s="28">
        <f>145</f>
        <v>145</v>
      </c>
      <c r="F167" s="54" t="s">
        <v>868</v>
      </c>
      <c r="G167" s="27">
        <v>-170</v>
      </c>
      <c r="H167" s="2" t="s">
        <v>122</v>
      </c>
      <c r="I167" s="3"/>
      <c r="J167" s="3" t="s">
        <v>16</v>
      </c>
      <c r="K167" s="3" t="s">
        <v>754</v>
      </c>
      <c r="L167" s="3" t="s">
        <v>870</v>
      </c>
      <c r="M167" s="3" t="s">
        <v>159</v>
      </c>
      <c r="N167" s="4" t="s">
        <v>160</v>
      </c>
      <c r="O167" s="4" t="s">
        <v>871</v>
      </c>
      <c r="P167" s="4" t="s">
        <v>8</v>
      </c>
      <c r="Q167" s="4" t="s">
        <v>701</v>
      </c>
      <c r="R167" s="4" t="s">
        <v>61</v>
      </c>
      <c r="S167" s="19">
        <v>1</v>
      </c>
      <c r="T167" s="20">
        <v>7.3611111111111113E-2</v>
      </c>
      <c r="U167" s="4" t="s">
        <v>10</v>
      </c>
      <c r="V167" s="4" t="s">
        <v>89</v>
      </c>
      <c r="W167" s="4" t="s">
        <v>67</v>
      </c>
      <c r="X167" s="26" t="s">
        <v>872</v>
      </c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</row>
    <row r="168" spans="1:54" ht="14.25">
      <c r="A168" s="3"/>
      <c r="B168" s="54" t="s">
        <v>873</v>
      </c>
      <c r="C168" s="27">
        <f>185</f>
        <v>185</v>
      </c>
      <c r="D168" s="54" t="s">
        <v>874</v>
      </c>
      <c r="E168" s="28">
        <v>-220</v>
      </c>
      <c r="F168" s="54" t="s">
        <v>873</v>
      </c>
      <c r="G168" s="28">
        <f>185</f>
        <v>185</v>
      </c>
      <c r="H168" s="2" t="s">
        <v>122</v>
      </c>
      <c r="I168" s="3"/>
      <c r="J168" s="3" t="s">
        <v>16</v>
      </c>
      <c r="K168" s="3" t="s">
        <v>754</v>
      </c>
      <c r="L168" s="3" t="s">
        <v>29</v>
      </c>
      <c r="M168" s="3" t="s">
        <v>447</v>
      </c>
      <c r="N168" s="4" t="s">
        <v>160</v>
      </c>
      <c r="O168" s="4" t="s">
        <v>875</v>
      </c>
      <c r="P168" s="4" t="s">
        <v>22</v>
      </c>
      <c r="Q168" s="4" t="s">
        <v>701</v>
      </c>
      <c r="R168" s="4" t="s">
        <v>193</v>
      </c>
      <c r="S168" s="19">
        <v>3</v>
      </c>
      <c r="T168" s="20">
        <v>0.20833333333333334</v>
      </c>
      <c r="U168" s="4" t="s">
        <v>10</v>
      </c>
      <c r="V168" s="4" t="s">
        <v>55</v>
      </c>
      <c r="W168" s="4" t="s">
        <v>876</v>
      </c>
      <c r="X168" s="26" t="s">
        <v>877</v>
      </c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</row>
    <row r="169" spans="1:54" ht="14.25">
      <c r="A169" s="3"/>
      <c r="B169" s="54" t="s">
        <v>878</v>
      </c>
      <c r="C169" s="27">
        <v>-121</v>
      </c>
      <c r="D169" s="54" t="s">
        <v>879</v>
      </c>
      <c r="E169" s="28">
        <f>101</f>
        <v>101</v>
      </c>
      <c r="F169" s="54" t="s">
        <v>878</v>
      </c>
      <c r="G169" s="28">
        <v>-121</v>
      </c>
      <c r="H169" s="2" t="s">
        <v>5</v>
      </c>
      <c r="I169" s="3"/>
      <c r="J169" s="3"/>
      <c r="K169" s="3"/>
      <c r="L169" s="3"/>
      <c r="M169" s="3"/>
      <c r="N169" s="4" t="s">
        <v>177</v>
      </c>
      <c r="O169" s="4" t="s">
        <v>880</v>
      </c>
      <c r="P169" s="4" t="s">
        <v>8</v>
      </c>
      <c r="Q169" s="4" t="s">
        <v>701</v>
      </c>
      <c r="R169" s="4" t="s">
        <v>9</v>
      </c>
      <c r="S169" s="19">
        <v>3</v>
      </c>
      <c r="T169" s="20">
        <v>0.20833333333333334</v>
      </c>
      <c r="U169" s="4" t="s">
        <v>10</v>
      </c>
      <c r="V169" s="4" t="s">
        <v>23</v>
      </c>
      <c r="W169" s="4" t="s">
        <v>881</v>
      </c>
      <c r="X169" s="26" t="s">
        <v>882</v>
      </c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</row>
    <row r="170" spans="1:54" ht="14.25">
      <c r="A170" s="3"/>
      <c r="B170" s="54" t="s">
        <v>883</v>
      </c>
      <c r="C170" s="27">
        <f>245</f>
        <v>245</v>
      </c>
      <c r="D170" s="54" t="s">
        <v>884</v>
      </c>
      <c r="E170" s="28">
        <v>-285</v>
      </c>
      <c r="F170" s="54" t="s">
        <v>884</v>
      </c>
      <c r="G170" s="27">
        <v>-285</v>
      </c>
      <c r="H170" s="2" t="s">
        <v>5</v>
      </c>
      <c r="I170" s="3"/>
      <c r="J170" s="3"/>
      <c r="K170" s="3"/>
      <c r="L170" s="3"/>
      <c r="M170" s="3"/>
      <c r="N170" s="4" t="s">
        <v>177</v>
      </c>
      <c r="O170" s="4" t="s">
        <v>885</v>
      </c>
      <c r="P170" s="4" t="s">
        <v>8</v>
      </c>
      <c r="Q170" s="4" t="s">
        <v>701</v>
      </c>
      <c r="R170" s="4" t="s">
        <v>193</v>
      </c>
      <c r="S170" s="19">
        <v>3</v>
      </c>
      <c r="T170" s="20">
        <v>0.20833333333333334</v>
      </c>
      <c r="U170" s="4" t="s">
        <v>10</v>
      </c>
      <c r="V170" s="4" t="s">
        <v>23</v>
      </c>
      <c r="W170" s="4" t="s">
        <v>886</v>
      </c>
      <c r="X170" s="26" t="s">
        <v>887</v>
      </c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</row>
    <row r="171" spans="1:54" ht="14.25">
      <c r="A171" s="3"/>
      <c r="B171" s="54" t="s">
        <v>741</v>
      </c>
      <c r="C171" s="27">
        <v>-145</v>
      </c>
      <c r="D171" s="54" t="s">
        <v>698</v>
      </c>
      <c r="E171" s="28">
        <f>125</f>
        <v>125</v>
      </c>
      <c r="F171" s="54" t="s">
        <v>741</v>
      </c>
      <c r="G171" s="28">
        <v>-145</v>
      </c>
      <c r="H171" s="2" t="s">
        <v>5</v>
      </c>
      <c r="I171" s="3"/>
      <c r="J171" s="3"/>
      <c r="K171" s="3"/>
      <c r="L171" s="3"/>
      <c r="M171" s="3"/>
      <c r="N171" s="4" t="s">
        <v>311</v>
      </c>
      <c r="O171" s="4" t="s">
        <v>888</v>
      </c>
      <c r="P171" s="4" t="s">
        <v>8</v>
      </c>
      <c r="Q171" s="4" t="s">
        <v>701</v>
      </c>
      <c r="R171" s="4" t="s">
        <v>9</v>
      </c>
      <c r="S171" s="19">
        <v>3</v>
      </c>
      <c r="T171" s="20">
        <v>0.20833333333333334</v>
      </c>
      <c r="U171" s="4" t="s">
        <v>10</v>
      </c>
      <c r="V171" s="4" t="s">
        <v>39</v>
      </c>
      <c r="W171" s="4" t="s">
        <v>889</v>
      </c>
      <c r="X171" s="26" t="s">
        <v>890</v>
      </c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</row>
    <row r="172" spans="1:54" ht="14.25">
      <c r="A172" s="3"/>
      <c r="B172" s="72" t="s">
        <v>891</v>
      </c>
      <c r="C172" s="27">
        <v>-142</v>
      </c>
      <c r="D172" s="54" t="s">
        <v>892</v>
      </c>
      <c r="E172" s="28">
        <f>122</f>
        <v>122</v>
      </c>
      <c r="F172" s="72" t="s">
        <v>891</v>
      </c>
      <c r="G172" s="28">
        <v>-142</v>
      </c>
      <c r="H172" s="2" t="s">
        <v>5</v>
      </c>
      <c r="I172" s="3"/>
      <c r="J172" s="3"/>
      <c r="K172" s="3"/>
      <c r="L172" s="3"/>
      <c r="M172" s="3"/>
      <c r="N172" s="4" t="s">
        <v>311</v>
      </c>
      <c r="O172" s="4" t="s">
        <v>893</v>
      </c>
      <c r="P172" s="4" t="s">
        <v>22</v>
      </c>
      <c r="Q172" s="4" t="s">
        <v>701</v>
      </c>
      <c r="R172" s="4" t="s">
        <v>9</v>
      </c>
      <c r="S172" s="19">
        <v>3</v>
      </c>
      <c r="T172" s="20">
        <v>0.20833333333333334</v>
      </c>
      <c r="U172" s="4" t="s">
        <v>10</v>
      </c>
      <c r="V172" s="4" t="s">
        <v>73</v>
      </c>
      <c r="W172" s="4" t="s">
        <v>894</v>
      </c>
      <c r="X172" s="26" t="s">
        <v>895</v>
      </c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</row>
    <row r="173" spans="1:54" ht="15">
      <c r="A173" s="3"/>
      <c r="B173" s="54" t="s">
        <v>819</v>
      </c>
      <c r="C173" s="16">
        <v>-119</v>
      </c>
      <c r="D173" s="54" t="s">
        <v>728</v>
      </c>
      <c r="E173" s="17">
        <v>-101</v>
      </c>
      <c r="F173" s="54" t="s">
        <v>819</v>
      </c>
      <c r="G173" s="27">
        <v>-119</v>
      </c>
      <c r="H173" s="29" t="s">
        <v>122</v>
      </c>
      <c r="I173" s="3"/>
      <c r="J173" s="3"/>
      <c r="K173" s="3"/>
      <c r="L173" s="3"/>
      <c r="M173" s="3"/>
      <c r="N173" s="4" t="s">
        <v>37</v>
      </c>
      <c r="O173" s="4" t="s">
        <v>896</v>
      </c>
      <c r="P173" s="4" t="s">
        <v>8</v>
      </c>
      <c r="Q173" s="4" t="s">
        <v>701</v>
      </c>
      <c r="R173" s="4" t="s">
        <v>61</v>
      </c>
      <c r="S173" s="19">
        <v>3</v>
      </c>
      <c r="T173" s="20">
        <v>0.1423611111111111</v>
      </c>
      <c r="U173" s="4" t="s">
        <v>10</v>
      </c>
      <c r="V173" s="4" t="s">
        <v>226</v>
      </c>
      <c r="W173" s="4" t="s">
        <v>897</v>
      </c>
      <c r="X173" s="26" t="s">
        <v>898</v>
      </c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</row>
    <row r="174" spans="1:54" ht="14.25">
      <c r="A174" s="3"/>
      <c r="B174" s="54" t="s">
        <v>899</v>
      </c>
      <c r="C174" s="16">
        <f>226</f>
        <v>226</v>
      </c>
      <c r="D174" s="54" t="s">
        <v>900</v>
      </c>
      <c r="E174" s="17">
        <v>-286</v>
      </c>
      <c r="F174" s="54" t="s">
        <v>900</v>
      </c>
      <c r="G174" s="27">
        <v>-286</v>
      </c>
      <c r="H174" s="2" t="s">
        <v>5</v>
      </c>
      <c r="I174" s="3"/>
      <c r="J174" s="3"/>
      <c r="K174" s="3"/>
      <c r="L174" s="3"/>
      <c r="M174" s="3"/>
      <c r="N174" s="4" t="s">
        <v>44</v>
      </c>
      <c r="O174" s="4" t="s">
        <v>901</v>
      </c>
      <c r="P174" s="4" t="s">
        <v>22</v>
      </c>
      <c r="Q174" s="4" t="s">
        <v>701</v>
      </c>
      <c r="R174" s="4" t="s">
        <v>9</v>
      </c>
      <c r="S174" s="19">
        <v>3</v>
      </c>
      <c r="T174" s="20">
        <v>0.20833333333333334</v>
      </c>
      <c r="U174" s="4" t="s">
        <v>10</v>
      </c>
      <c r="V174" s="4" t="s">
        <v>39</v>
      </c>
      <c r="W174" s="4" t="s">
        <v>902</v>
      </c>
      <c r="X174" s="26" t="s">
        <v>903</v>
      </c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</row>
    <row r="175" spans="1:54" ht="14.25">
      <c r="A175" s="3"/>
      <c r="B175" s="54" t="s">
        <v>904</v>
      </c>
      <c r="C175" s="16">
        <v>-173</v>
      </c>
      <c r="D175" s="54" t="s">
        <v>905</v>
      </c>
      <c r="E175" s="17">
        <f>148</f>
        <v>148</v>
      </c>
      <c r="F175" s="54" t="s">
        <v>904</v>
      </c>
      <c r="G175" s="16">
        <v>-173</v>
      </c>
      <c r="H175" s="2" t="s">
        <v>5</v>
      </c>
      <c r="I175" s="3"/>
      <c r="J175" s="3"/>
      <c r="K175" s="3"/>
      <c r="L175" s="3"/>
      <c r="M175" s="3"/>
      <c r="N175" s="4" t="s">
        <v>52</v>
      </c>
      <c r="O175" s="4" t="s">
        <v>906</v>
      </c>
      <c r="P175" s="4" t="s">
        <v>8</v>
      </c>
      <c r="Q175" s="4" t="s">
        <v>701</v>
      </c>
      <c r="R175" s="4" t="s">
        <v>46</v>
      </c>
      <c r="S175" s="19">
        <v>2</v>
      </c>
      <c r="T175" s="20">
        <v>4.2361111111111113E-2</v>
      </c>
      <c r="U175" s="4" t="s">
        <v>10</v>
      </c>
      <c r="V175" s="4" t="s">
        <v>23</v>
      </c>
      <c r="W175" s="4" t="s">
        <v>907</v>
      </c>
      <c r="X175" s="26" t="s">
        <v>908</v>
      </c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</row>
    <row r="176" spans="1:54" ht="14.25">
      <c r="A176" s="3"/>
      <c r="B176" s="73" t="s">
        <v>909</v>
      </c>
      <c r="C176" s="71">
        <f>250</f>
        <v>250</v>
      </c>
      <c r="D176" s="73" t="s">
        <v>734</v>
      </c>
      <c r="E176" s="71">
        <v>-300</v>
      </c>
      <c r="F176" s="73" t="s">
        <v>734</v>
      </c>
      <c r="G176" s="71">
        <v>-300</v>
      </c>
      <c r="H176" s="2" t="s">
        <v>5</v>
      </c>
      <c r="I176" s="3"/>
      <c r="J176" s="3"/>
      <c r="K176" s="3"/>
      <c r="L176" s="3"/>
      <c r="M176" s="3"/>
      <c r="N176" s="4" t="s">
        <v>207</v>
      </c>
      <c r="O176" s="4" t="s">
        <v>910</v>
      </c>
      <c r="P176" s="4" t="s">
        <v>22</v>
      </c>
      <c r="Q176" s="4" t="s">
        <v>701</v>
      </c>
      <c r="R176" s="4" t="s">
        <v>46</v>
      </c>
      <c r="S176" s="19">
        <v>1</v>
      </c>
      <c r="T176" s="20">
        <v>4.4444444444444446E-2</v>
      </c>
      <c r="U176" s="4" t="s">
        <v>54</v>
      </c>
      <c r="V176" s="4" t="s">
        <v>39</v>
      </c>
      <c r="W176" s="4" t="s">
        <v>48</v>
      </c>
      <c r="X176" s="26" t="s">
        <v>911</v>
      </c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</row>
    <row r="177" spans="1:54" ht="14.25">
      <c r="A177" s="3"/>
      <c r="B177" s="73" t="s">
        <v>740</v>
      </c>
      <c r="C177" s="71">
        <v>-194</v>
      </c>
      <c r="D177" s="73" t="s">
        <v>703</v>
      </c>
      <c r="E177" s="71">
        <f>169</f>
        <v>169</v>
      </c>
      <c r="F177" s="73" t="s">
        <v>703</v>
      </c>
      <c r="G177" s="71">
        <f>169</f>
        <v>169</v>
      </c>
      <c r="H177" s="2" t="s">
        <v>5</v>
      </c>
      <c r="I177" s="3"/>
      <c r="J177" s="3"/>
      <c r="K177" s="3"/>
      <c r="L177" s="3"/>
      <c r="M177" s="3"/>
      <c r="N177" s="4" t="s">
        <v>207</v>
      </c>
      <c r="O177" s="4" t="s">
        <v>912</v>
      </c>
      <c r="P177" s="4" t="s">
        <v>8</v>
      </c>
      <c r="Q177" s="4" t="s">
        <v>701</v>
      </c>
      <c r="R177" s="4" t="s">
        <v>46</v>
      </c>
      <c r="S177" s="19">
        <v>1</v>
      </c>
      <c r="T177" s="20">
        <v>0.11736111111111111</v>
      </c>
      <c r="U177" s="4" t="s">
        <v>10</v>
      </c>
      <c r="V177" s="4" t="s">
        <v>73</v>
      </c>
      <c r="W177" s="4" t="s">
        <v>127</v>
      </c>
      <c r="X177" s="26" t="s">
        <v>913</v>
      </c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</row>
    <row r="178" spans="1:54" ht="14.25">
      <c r="A178" s="3"/>
      <c r="B178" s="73" t="s">
        <v>914</v>
      </c>
      <c r="C178" s="71">
        <v>-310</v>
      </c>
      <c r="D178" s="73" t="s">
        <v>915</v>
      </c>
      <c r="E178" s="71">
        <f>260</f>
        <v>260</v>
      </c>
      <c r="F178" s="73" t="s">
        <v>915</v>
      </c>
      <c r="G178" s="71">
        <f>260</f>
        <v>260</v>
      </c>
      <c r="H178" s="2" t="s">
        <v>5</v>
      </c>
      <c r="I178" s="3"/>
      <c r="J178" s="3"/>
      <c r="K178" s="3"/>
      <c r="L178" s="3"/>
      <c r="M178" s="3"/>
      <c r="N178" s="4" t="s">
        <v>207</v>
      </c>
      <c r="O178" s="4" t="s">
        <v>916</v>
      </c>
      <c r="P178" s="4" t="s">
        <v>22</v>
      </c>
      <c r="Q178" s="4" t="s">
        <v>701</v>
      </c>
      <c r="R178" s="4" t="s">
        <v>9</v>
      </c>
      <c r="S178" s="19">
        <v>3</v>
      </c>
      <c r="T178" s="20">
        <v>0.20833333333333334</v>
      </c>
      <c r="U178" s="4" t="s">
        <v>10</v>
      </c>
      <c r="V178" s="4" t="s">
        <v>39</v>
      </c>
      <c r="W178" s="4" t="s">
        <v>917</v>
      </c>
      <c r="X178" s="26" t="s">
        <v>918</v>
      </c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</row>
    <row r="179" spans="1:54" ht="14.25">
      <c r="A179" s="3"/>
      <c r="B179" s="73" t="s">
        <v>753</v>
      </c>
      <c r="C179" s="71">
        <f>110</f>
        <v>110</v>
      </c>
      <c r="D179" s="73" t="s">
        <v>763</v>
      </c>
      <c r="E179" s="71">
        <v>-110</v>
      </c>
      <c r="F179" s="73" t="s">
        <v>753</v>
      </c>
      <c r="G179" s="71">
        <f>110</f>
        <v>110</v>
      </c>
      <c r="H179" s="2" t="s">
        <v>5</v>
      </c>
      <c r="I179" s="3"/>
      <c r="J179" s="3"/>
      <c r="K179" s="3"/>
      <c r="L179" s="3"/>
      <c r="M179" s="3"/>
      <c r="N179" s="4" t="s">
        <v>65</v>
      </c>
      <c r="O179" s="4" t="s">
        <v>919</v>
      </c>
      <c r="P179" s="4" t="s">
        <v>179</v>
      </c>
      <c r="Q179" s="4" t="s">
        <v>701</v>
      </c>
      <c r="R179" s="4" t="s">
        <v>920</v>
      </c>
      <c r="S179" s="19">
        <v>3</v>
      </c>
      <c r="T179" s="20">
        <v>0.13263888888888889</v>
      </c>
      <c r="U179" s="4" t="s">
        <v>10</v>
      </c>
      <c r="V179" s="4" t="s">
        <v>89</v>
      </c>
      <c r="W179" s="4" t="s">
        <v>921</v>
      </c>
      <c r="X179" s="26" t="s">
        <v>922</v>
      </c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</row>
    <row r="180" spans="1:54" ht="14.25">
      <c r="A180" s="3"/>
      <c r="B180" s="73" t="s">
        <v>923</v>
      </c>
      <c r="C180" s="71">
        <v>-186</v>
      </c>
      <c r="D180" s="73" t="s">
        <v>847</v>
      </c>
      <c r="E180" s="71">
        <f>186</f>
        <v>186</v>
      </c>
      <c r="F180" s="73" t="s">
        <v>847</v>
      </c>
      <c r="G180" s="71">
        <f>186</f>
        <v>186</v>
      </c>
      <c r="H180" s="2" t="s">
        <v>5</v>
      </c>
      <c r="I180" s="3"/>
      <c r="J180" s="3"/>
      <c r="K180" s="3"/>
      <c r="L180" s="3"/>
      <c r="M180" s="3"/>
      <c r="N180" s="4" t="s">
        <v>223</v>
      </c>
      <c r="O180" s="4" t="s">
        <v>924</v>
      </c>
      <c r="P180" s="4" t="s">
        <v>22</v>
      </c>
      <c r="Q180" s="4" t="s">
        <v>701</v>
      </c>
      <c r="R180" s="4" t="s">
        <v>46</v>
      </c>
      <c r="S180" s="19">
        <v>1</v>
      </c>
      <c r="T180" s="20">
        <v>6.3194444444444442E-2</v>
      </c>
      <c r="U180" s="4" t="s">
        <v>10</v>
      </c>
      <c r="V180" s="4" t="s">
        <v>89</v>
      </c>
      <c r="W180" s="4" t="s">
        <v>722</v>
      </c>
      <c r="X180" s="26" t="s">
        <v>925</v>
      </c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</row>
    <row r="181" spans="1:54" ht="14.25">
      <c r="A181" s="3"/>
      <c r="B181" s="73" t="s">
        <v>714</v>
      </c>
      <c r="C181" s="71">
        <f>650</f>
        <v>650</v>
      </c>
      <c r="D181" s="73" t="s">
        <v>926</v>
      </c>
      <c r="E181" s="71">
        <v>-650</v>
      </c>
      <c r="F181" s="73" t="s">
        <v>926</v>
      </c>
      <c r="G181" s="71">
        <v>-650</v>
      </c>
      <c r="H181" s="2" t="s">
        <v>5</v>
      </c>
      <c r="I181" s="3"/>
      <c r="J181" s="3"/>
      <c r="K181" s="3"/>
      <c r="L181" s="3"/>
      <c r="M181" s="3"/>
      <c r="N181" s="4" t="s">
        <v>223</v>
      </c>
      <c r="O181" s="4" t="s">
        <v>927</v>
      </c>
      <c r="P181" s="4" t="s">
        <v>8</v>
      </c>
      <c r="Q181" s="4" t="s">
        <v>701</v>
      </c>
      <c r="R181" s="4" t="s">
        <v>61</v>
      </c>
      <c r="S181" s="19">
        <v>1</v>
      </c>
      <c r="T181" s="20">
        <v>0.13055555555555556</v>
      </c>
      <c r="U181" s="4" t="s">
        <v>10</v>
      </c>
      <c r="V181" s="4" t="s">
        <v>89</v>
      </c>
      <c r="W181" s="4" t="s">
        <v>928</v>
      </c>
      <c r="X181" s="26" t="s">
        <v>929</v>
      </c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</row>
    <row r="182" spans="1:54" ht="14.25">
      <c r="A182" s="3"/>
      <c r="B182" s="73" t="s">
        <v>930</v>
      </c>
      <c r="C182" s="71">
        <f>220</f>
        <v>220</v>
      </c>
      <c r="D182" s="73" t="s">
        <v>931</v>
      </c>
      <c r="E182" s="71">
        <v>-220</v>
      </c>
      <c r="F182" s="73" t="s">
        <v>930</v>
      </c>
      <c r="G182" s="71">
        <f>220</f>
        <v>220</v>
      </c>
      <c r="H182" s="2" t="s">
        <v>5</v>
      </c>
      <c r="I182" s="3"/>
      <c r="J182" s="3"/>
      <c r="K182" s="3"/>
      <c r="L182" s="3"/>
      <c r="M182" s="3"/>
      <c r="N182" s="4" t="s">
        <v>223</v>
      </c>
      <c r="O182" s="4" t="s">
        <v>932</v>
      </c>
      <c r="P182" s="4" t="s">
        <v>8</v>
      </c>
      <c r="Q182" s="4" t="s">
        <v>701</v>
      </c>
      <c r="R182" s="4" t="s">
        <v>46</v>
      </c>
      <c r="S182" s="19">
        <v>1</v>
      </c>
      <c r="T182" s="20">
        <v>0.19583333333333333</v>
      </c>
      <c r="U182" s="4" t="s">
        <v>10</v>
      </c>
      <c r="V182" s="4" t="s">
        <v>47</v>
      </c>
      <c r="W182" s="4" t="s">
        <v>406</v>
      </c>
      <c r="X182" s="26" t="s">
        <v>933</v>
      </c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</row>
    <row r="183" spans="1:54" ht="14.25">
      <c r="A183" s="3"/>
      <c r="B183" s="74" t="s">
        <v>934</v>
      </c>
      <c r="C183" s="67">
        <f>175</f>
        <v>175</v>
      </c>
      <c r="D183" s="74" t="s">
        <v>935</v>
      </c>
      <c r="E183" s="67">
        <v>-175</v>
      </c>
      <c r="F183" s="74" t="s">
        <v>935</v>
      </c>
      <c r="G183" s="67">
        <v>-175</v>
      </c>
      <c r="H183" s="41" t="s">
        <v>5</v>
      </c>
      <c r="I183" s="3"/>
      <c r="J183" s="3"/>
      <c r="K183" s="3"/>
      <c r="L183" s="3"/>
      <c r="M183" s="3"/>
      <c r="N183" s="4" t="s">
        <v>231</v>
      </c>
      <c r="O183" s="4" t="s">
        <v>936</v>
      </c>
      <c r="P183" s="4" t="s">
        <v>22</v>
      </c>
      <c r="Q183" s="4" t="s">
        <v>701</v>
      </c>
      <c r="R183" s="4" t="s">
        <v>193</v>
      </c>
      <c r="S183" s="19">
        <v>3</v>
      </c>
      <c r="T183" s="20">
        <v>0.20833333333333334</v>
      </c>
      <c r="U183" s="4" t="s">
        <v>10</v>
      </c>
      <c r="V183" s="4" t="s">
        <v>96</v>
      </c>
      <c r="W183" s="4" t="s">
        <v>937</v>
      </c>
      <c r="X183" s="3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</row>
    <row r="184" spans="1:54" ht="14.25">
      <c r="A184" s="3"/>
      <c r="B184" s="73" t="s">
        <v>718</v>
      </c>
      <c r="C184" s="71">
        <v>-500</v>
      </c>
      <c r="D184" s="73" t="s">
        <v>938</v>
      </c>
      <c r="E184" s="71">
        <f>500</f>
        <v>500</v>
      </c>
      <c r="F184" s="73" t="s">
        <v>718</v>
      </c>
      <c r="G184" s="71">
        <v>-500</v>
      </c>
      <c r="H184" s="2" t="s">
        <v>5</v>
      </c>
      <c r="I184" s="3"/>
      <c r="J184" s="3"/>
      <c r="K184" s="3"/>
      <c r="L184" s="3"/>
      <c r="M184" s="3"/>
      <c r="N184" s="4" t="s">
        <v>71</v>
      </c>
      <c r="O184" s="4" t="s">
        <v>939</v>
      </c>
      <c r="P184" s="4" t="s">
        <v>8</v>
      </c>
      <c r="Q184" s="4" t="s">
        <v>701</v>
      </c>
      <c r="R184" s="4" t="s">
        <v>46</v>
      </c>
      <c r="S184" s="19">
        <v>1</v>
      </c>
      <c r="T184" s="20">
        <v>1.3888888888888888E-2</v>
      </c>
      <c r="U184" s="4" t="s">
        <v>10</v>
      </c>
      <c r="V184" s="4" t="s">
        <v>55</v>
      </c>
      <c r="W184" s="4" t="s">
        <v>940</v>
      </c>
      <c r="X184" s="3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</row>
    <row r="185" spans="1:54" ht="14.25">
      <c r="A185" s="12"/>
      <c r="B185" s="75"/>
      <c r="C185" s="70"/>
      <c r="D185" s="75"/>
      <c r="E185" s="70"/>
      <c r="F185" s="75"/>
      <c r="G185" s="70"/>
      <c r="H185" s="11"/>
      <c r="I185" s="12"/>
      <c r="J185" s="12"/>
      <c r="K185" s="12"/>
      <c r="L185" s="12"/>
      <c r="M185" s="12"/>
      <c r="N185" s="13"/>
      <c r="O185" s="13"/>
      <c r="P185" s="13"/>
      <c r="Q185" s="13"/>
      <c r="R185" s="13"/>
      <c r="S185" s="14"/>
      <c r="T185" s="15"/>
      <c r="U185" s="13"/>
      <c r="V185" s="13"/>
      <c r="W185" s="13"/>
      <c r="X185" s="12"/>
      <c r="Y185" s="12"/>
      <c r="Z185" s="12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</row>
    <row r="186" spans="1:54" ht="14.25">
      <c r="A186" s="3"/>
      <c r="B186" s="73" t="s">
        <v>941</v>
      </c>
      <c r="C186" s="71">
        <v>-345</v>
      </c>
      <c r="D186" s="73" t="s">
        <v>942</v>
      </c>
      <c r="E186" s="71">
        <f>345</f>
        <v>345</v>
      </c>
      <c r="F186" s="73" t="s">
        <v>941</v>
      </c>
      <c r="G186" s="2">
        <v>-345</v>
      </c>
      <c r="H186" s="71" t="s">
        <v>5</v>
      </c>
      <c r="I186" s="3"/>
      <c r="K186" s="3"/>
      <c r="L186" s="3"/>
      <c r="M186" s="3"/>
      <c r="N186" s="4" t="s">
        <v>6</v>
      </c>
      <c r="O186" s="4" t="s">
        <v>943</v>
      </c>
      <c r="P186" s="4" t="s">
        <v>8</v>
      </c>
      <c r="Q186" s="4" t="s">
        <v>944</v>
      </c>
      <c r="R186" s="4" t="s">
        <v>61</v>
      </c>
      <c r="S186" s="19">
        <v>2</v>
      </c>
      <c r="T186" s="20">
        <v>8.6805555555555552E-2</v>
      </c>
      <c r="U186" s="4" t="s">
        <v>10</v>
      </c>
      <c r="V186" s="4" t="s">
        <v>39</v>
      </c>
      <c r="W186" s="4" t="s">
        <v>62</v>
      </c>
      <c r="X186" s="3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</row>
    <row r="187" spans="1:54" ht="14.25">
      <c r="A187" s="3"/>
      <c r="B187" s="73" t="s">
        <v>945</v>
      </c>
      <c r="C187" s="62">
        <f>230</f>
        <v>230</v>
      </c>
      <c r="D187" s="73" t="s">
        <v>946</v>
      </c>
      <c r="E187" s="62">
        <v>-270</v>
      </c>
      <c r="F187" s="73" t="s">
        <v>946</v>
      </c>
      <c r="G187" s="62">
        <v>-270</v>
      </c>
      <c r="H187" s="30" t="s">
        <v>1</v>
      </c>
      <c r="I187" s="24">
        <v>6.4</v>
      </c>
      <c r="J187" s="1" t="s">
        <v>46</v>
      </c>
      <c r="K187" s="3"/>
      <c r="L187" s="1" t="s">
        <v>947</v>
      </c>
      <c r="M187" s="3"/>
      <c r="N187" s="4" t="s">
        <v>115</v>
      </c>
      <c r="O187" s="4" t="s">
        <v>948</v>
      </c>
      <c r="P187" s="4" t="s">
        <v>8</v>
      </c>
      <c r="Q187" s="4" t="s">
        <v>944</v>
      </c>
      <c r="R187" s="4" t="s">
        <v>9</v>
      </c>
      <c r="S187" s="19">
        <v>3</v>
      </c>
      <c r="T187" s="20">
        <v>9.583333333333334E-2</v>
      </c>
      <c r="U187" s="4" t="s">
        <v>10</v>
      </c>
      <c r="V187" s="4" t="s">
        <v>263</v>
      </c>
      <c r="W187" s="4" t="s">
        <v>949</v>
      </c>
      <c r="X187" s="26" t="s">
        <v>950</v>
      </c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</row>
    <row r="188" spans="1:54" ht="14.25">
      <c r="A188" s="3"/>
      <c r="B188" s="73" t="s">
        <v>951</v>
      </c>
      <c r="C188" s="62">
        <f>199</f>
        <v>199</v>
      </c>
      <c r="D188" s="73" t="s">
        <v>952</v>
      </c>
      <c r="E188" s="62">
        <v>-234</v>
      </c>
      <c r="F188" s="73" t="s">
        <v>951</v>
      </c>
      <c r="G188" s="62">
        <f>199</f>
        <v>199</v>
      </c>
      <c r="H188" s="30" t="s">
        <v>1</v>
      </c>
      <c r="I188" s="24">
        <v>7.8</v>
      </c>
      <c r="J188" s="1" t="s">
        <v>61</v>
      </c>
      <c r="K188" s="3"/>
      <c r="L188" s="1" t="s">
        <v>953</v>
      </c>
      <c r="M188" s="3"/>
      <c r="N188" s="4" t="s">
        <v>115</v>
      </c>
      <c r="O188" s="4" t="s">
        <v>954</v>
      </c>
      <c r="P188" s="4" t="s">
        <v>22</v>
      </c>
      <c r="Q188" s="4" t="s">
        <v>944</v>
      </c>
      <c r="R188" s="4" t="s">
        <v>46</v>
      </c>
      <c r="S188" s="19">
        <v>2</v>
      </c>
      <c r="T188" s="20">
        <v>2.7083333333333334E-2</v>
      </c>
      <c r="U188" s="4" t="s">
        <v>10</v>
      </c>
      <c r="V188" s="4" t="s">
        <v>263</v>
      </c>
      <c r="W188" s="4" t="s">
        <v>955</v>
      </c>
      <c r="X188" s="26" t="s">
        <v>956</v>
      </c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</row>
    <row r="189" spans="1:54" ht="14.25">
      <c r="A189" s="3"/>
      <c r="B189" s="1" t="s">
        <v>957</v>
      </c>
      <c r="C189" s="27">
        <f>205</f>
        <v>205</v>
      </c>
      <c r="D189" s="1" t="s">
        <v>941</v>
      </c>
      <c r="E189" s="28">
        <v>-240</v>
      </c>
      <c r="F189" s="1" t="s">
        <v>941</v>
      </c>
      <c r="G189" s="27">
        <v>-240</v>
      </c>
      <c r="H189" s="2" t="s">
        <v>1</v>
      </c>
      <c r="I189" s="3"/>
      <c r="J189" s="3"/>
      <c r="K189" s="3"/>
      <c r="L189" s="3"/>
      <c r="M189" s="3"/>
      <c r="N189" s="4" t="s">
        <v>177</v>
      </c>
      <c r="O189" s="4" t="s">
        <v>958</v>
      </c>
      <c r="P189" s="4" t="s">
        <v>8</v>
      </c>
      <c r="Q189" s="4" t="s">
        <v>944</v>
      </c>
      <c r="R189" s="4" t="s">
        <v>9</v>
      </c>
      <c r="S189" s="19">
        <v>5</v>
      </c>
      <c r="T189" s="20">
        <v>0.20833333333333334</v>
      </c>
      <c r="U189" s="4" t="s">
        <v>54</v>
      </c>
      <c r="V189" s="4" t="s">
        <v>39</v>
      </c>
      <c r="W189" s="4" t="s">
        <v>959</v>
      </c>
      <c r="X189" s="26" t="s">
        <v>960</v>
      </c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</row>
    <row r="190" spans="1:54" ht="14.25">
      <c r="A190" s="3"/>
      <c r="B190" s="1" t="s">
        <v>961</v>
      </c>
      <c r="C190" s="27">
        <v>-170</v>
      </c>
      <c r="D190" s="33" t="s">
        <v>962</v>
      </c>
      <c r="E190" s="28">
        <f>145</f>
        <v>145</v>
      </c>
      <c r="F190" s="34" t="s">
        <v>962</v>
      </c>
      <c r="G190" s="27">
        <f>145</f>
        <v>145</v>
      </c>
      <c r="H190" s="2" t="s">
        <v>1</v>
      </c>
      <c r="I190" s="3"/>
      <c r="J190" s="3"/>
      <c r="K190" s="3"/>
      <c r="L190" s="3"/>
      <c r="M190" s="3"/>
      <c r="N190" s="4" t="s">
        <v>185</v>
      </c>
      <c r="O190" s="4" t="s">
        <v>963</v>
      </c>
      <c r="P190" s="4" t="s">
        <v>8</v>
      </c>
      <c r="Q190" s="4" t="s">
        <v>944</v>
      </c>
      <c r="R190" s="4" t="s">
        <v>193</v>
      </c>
      <c r="S190" s="19">
        <v>3</v>
      </c>
      <c r="T190" s="20">
        <v>0.20833333333333334</v>
      </c>
      <c r="U190" s="4" t="s">
        <v>10</v>
      </c>
      <c r="V190" s="4" t="s">
        <v>194</v>
      </c>
      <c r="W190" s="4" t="s">
        <v>964</v>
      </c>
      <c r="X190" s="26" t="s">
        <v>965</v>
      </c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</row>
    <row r="191" spans="1:54" ht="15">
      <c r="A191" s="3"/>
      <c r="B191" s="1" t="s">
        <v>966</v>
      </c>
      <c r="C191" s="16">
        <f>105</f>
        <v>105</v>
      </c>
      <c r="D191" s="1" t="s">
        <v>967</v>
      </c>
      <c r="E191" s="17">
        <v>-125</v>
      </c>
      <c r="F191" s="1" t="s">
        <v>966</v>
      </c>
      <c r="G191" s="27">
        <f>105</f>
        <v>105</v>
      </c>
      <c r="H191" s="29" t="s">
        <v>1</v>
      </c>
      <c r="I191" s="3"/>
      <c r="J191" s="3"/>
      <c r="K191" s="3"/>
      <c r="L191" s="3"/>
      <c r="M191" s="3"/>
      <c r="N191" s="4" t="s">
        <v>37</v>
      </c>
      <c r="O191" s="4" t="s">
        <v>968</v>
      </c>
      <c r="P191" s="4" t="s">
        <v>22</v>
      </c>
      <c r="Q191" s="4" t="s">
        <v>944</v>
      </c>
      <c r="R191" s="4" t="s">
        <v>46</v>
      </c>
      <c r="S191" s="19">
        <v>1</v>
      </c>
      <c r="T191" s="20">
        <v>0.2048611111111111</v>
      </c>
      <c r="U191" s="4" t="s">
        <v>10</v>
      </c>
      <c r="V191" s="4" t="s">
        <v>23</v>
      </c>
      <c r="W191" s="4" t="s">
        <v>48</v>
      </c>
      <c r="X191" s="26" t="s">
        <v>969</v>
      </c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</row>
    <row r="192" spans="1:54" ht="14.25">
      <c r="A192" s="3"/>
      <c r="B192" s="1" t="s">
        <v>970</v>
      </c>
      <c r="C192" s="22">
        <v>-600</v>
      </c>
      <c r="D192" s="1" t="s">
        <v>652</v>
      </c>
      <c r="E192" s="23">
        <f>425</f>
        <v>425</v>
      </c>
      <c r="F192" s="1" t="s">
        <v>971</v>
      </c>
      <c r="G192" s="23">
        <v>-600</v>
      </c>
      <c r="H192" s="2" t="s">
        <v>85</v>
      </c>
      <c r="I192" s="24">
        <v>7.8</v>
      </c>
      <c r="J192" s="1" t="s">
        <v>18</v>
      </c>
      <c r="K192" s="24">
        <v>-175</v>
      </c>
      <c r="L192" s="1" t="s">
        <v>972</v>
      </c>
      <c r="M192" s="3"/>
      <c r="N192" s="4" t="s">
        <v>87</v>
      </c>
      <c r="O192" s="4" t="s">
        <v>973</v>
      </c>
      <c r="P192" s="4" t="s">
        <v>8</v>
      </c>
      <c r="Q192" s="4" t="s">
        <v>944</v>
      </c>
      <c r="R192" s="4" t="s">
        <v>61</v>
      </c>
      <c r="S192" s="19">
        <v>1</v>
      </c>
      <c r="T192" s="20">
        <v>3.7499999999999999E-2</v>
      </c>
      <c r="U192" s="4" t="s">
        <v>10</v>
      </c>
      <c r="V192" s="4" t="s">
        <v>788</v>
      </c>
      <c r="W192" s="4" t="s">
        <v>974</v>
      </c>
      <c r="X192" s="26" t="s">
        <v>975</v>
      </c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</row>
    <row r="193" spans="1:54" ht="14.25">
      <c r="A193" s="3"/>
      <c r="B193" s="1" t="s">
        <v>976</v>
      </c>
      <c r="C193" s="22">
        <f>425</f>
        <v>425</v>
      </c>
      <c r="D193" s="1" t="s">
        <v>977</v>
      </c>
      <c r="E193" s="23">
        <v>-600</v>
      </c>
      <c r="F193" s="1" t="s">
        <v>978</v>
      </c>
      <c r="G193" s="23">
        <v>-600</v>
      </c>
      <c r="H193" s="2" t="s">
        <v>85</v>
      </c>
      <c r="I193" s="24">
        <v>6.8</v>
      </c>
      <c r="J193" s="1" t="s">
        <v>18</v>
      </c>
      <c r="K193" s="24">
        <v>-155</v>
      </c>
      <c r="L193" s="1" t="s">
        <v>979</v>
      </c>
      <c r="M193" s="3"/>
      <c r="N193" s="4" t="s">
        <v>87</v>
      </c>
      <c r="O193" s="4" t="s">
        <v>980</v>
      </c>
      <c r="P193" s="4" t="s">
        <v>22</v>
      </c>
      <c r="Q193" s="4" t="s">
        <v>944</v>
      </c>
      <c r="R193" s="4" t="s">
        <v>46</v>
      </c>
      <c r="S193" s="19">
        <v>2</v>
      </c>
      <c r="T193" s="20">
        <v>9.0277777777777776E-2</v>
      </c>
      <c r="U193" s="4" t="s">
        <v>10</v>
      </c>
      <c r="V193" s="4" t="s">
        <v>47</v>
      </c>
      <c r="W193" s="4" t="s">
        <v>97</v>
      </c>
      <c r="X193" s="26" t="s">
        <v>981</v>
      </c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</row>
    <row r="194" spans="1:54" ht="14.25">
      <c r="A194" s="3"/>
      <c r="B194" s="1" t="s">
        <v>982</v>
      </c>
      <c r="C194" s="22">
        <v>-2300</v>
      </c>
      <c r="D194" s="1" t="s">
        <v>983</v>
      </c>
      <c r="E194" s="23">
        <f>1100</f>
        <v>1100</v>
      </c>
      <c r="F194" s="54" t="s">
        <v>982</v>
      </c>
      <c r="G194" s="23">
        <v>-2300</v>
      </c>
      <c r="H194" s="2" t="s">
        <v>5</v>
      </c>
      <c r="I194" s="24">
        <v>9</v>
      </c>
      <c r="J194" s="1" t="s">
        <v>61</v>
      </c>
      <c r="K194" s="1" t="s">
        <v>984</v>
      </c>
      <c r="L194" s="1" t="s">
        <v>985</v>
      </c>
      <c r="M194" s="3"/>
      <c r="N194" s="4" t="s">
        <v>103</v>
      </c>
      <c r="O194" s="4" t="s">
        <v>986</v>
      </c>
      <c r="P194" s="4" t="s">
        <v>8</v>
      </c>
      <c r="Q194" s="4" t="s">
        <v>944</v>
      </c>
      <c r="R194" s="4" t="s">
        <v>61</v>
      </c>
      <c r="S194" s="19">
        <v>2</v>
      </c>
      <c r="T194" s="20">
        <v>0.15138888888888888</v>
      </c>
      <c r="U194" s="4" t="s">
        <v>10</v>
      </c>
      <c r="V194" s="4" t="s">
        <v>23</v>
      </c>
      <c r="W194" s="4" t="s">
        <v>67</v>
      </c>
      <c r="X194" s="26" t="s">
        <v>987</v>
      </c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</row>
    <row r="195" spans="1:54" ht="14.25">
      <c r="A195" s="3"/>
      <c r="B195" s="1" t="s">
        <v>988</v>
      </c>
      <c r="C195" s="22">
        <v>-212</v>
      </c>
      <c r="D195" s="1" t="s">
        <v>961</v>
      </c>
      <c r="E195" s="23">
        <f>182</f>
        <v>182</v>
      </c>
      <c r="F195" s="54" t="s">
        <v>988</v>
      </c>
      <c r="G195" s="23">
        <v>-212</v>
      </c>
      <c r="H195" s="30" t="s">
        <v>5</v>
      </c>
      <c r="I195" s="24">
        <v>7.5</v>
      </c>
      <c r="J195" s="1" t="s">
        <v>18</v>
      </c>
      <c r="K195" s="3"/>
      <c r="L195" s="1" t="s">
        <v>989</v>
      </c>
      <c r="M195" s="3"/>
      <c r="N195" s="4" t="s">
        <v>79</v>
      </c>
      <c r="O195" s="4" t="s">
        <v>990</v>
      </c>
      <c r="P195" s="4" t="s">
        <v>8</v>
      </c>
      <c r="Q195" s="4" t="s">
        <v>944</v>
      </c>
      <c r="R195" s="4" t="s">
        <v>193</v>
      </c>
      <c r="S195" s="19">
        <v>5</v>
      </c>
      <c r="T195" s="20">
        <v>0.20833333333333334</v>
      </c>
      <c r="U195" s="4" t="s">
        <v>54</v>
      </c>
      <c r="V195" s="4" t="s">
        <v>39</v>
      </c>
      <c r="W195" s="4" t="s">
        <v>991</v>
      </c>
      <c r="X195" s="26" t="s">
        <v>992</v>
      </c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</row>
    <row r="196" spans="1:54" ht="14.25">
      <c r="A196" s="3"/>
      <c r="B196" s="1" t="s">
        <v>993</v>
      </c>
      <c r="C196" s="22">
        <v>-140</v>
      </c>
      <c r="D196" s="1" t="s">
        <v>994</v>
      </c>
      <c r="E196" s="23">
        <f>120</f>
        <v>120</v>
      </c>
      <c r="F196" s="54" t="s">
        <v>994</v>
      </c>
      <c r="G196" s="23">
        <f>120</f>
        <v>120</v>
      </c>
      <c r="H196" s="30" t="s">
        <v>5</v>
      </c>
      <c r="I196" s="24">
        <v>6.9</v>
      </c>
      <c r="J196" s="1" t="s">
        <v>427</v>
      </c>
      <c r="K196" s="3"/>
      <c r="L196" s="1" t="s">
        <v>995</v>
      </c>
      <c r="M196" s="3"/>
      <c r="N196" s="4" t="s">
        <v>79</v>
      </c>
      <c r="O196" s="4" t="s">
        <v>996</v>
      </c>
      <c r="P196" s="4" t="s">
        <v>22</v>
      </c>
      <c r="Q196" s="4" t="s">
        <v>944</v>
      </c>
      <c r="R196" s="4" t="s">
        <v>46</v>
      </c>
      <c r="S196" s="19">
        <v>2</v>
      </c>
      <c r="T196" s="20">
        <v>9.2361111111111116E-2</v>
      </c>
      <c r="U196" s="4" t="s">
        <v>10</v>
      </c>
      <c r="V196" s="4" t="s">
        <v>39</v>
      </c>
      <c r="W196" s="4" t="s">
        <v>997</v>
      </c>
      <c r="X196" s="26" t="s">
        <v>998</v>
      </c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</row>
    <row r="197" spans="1:54" ht="14.25">
      <c r="A197" s="3"/>
      <c r="B197" s="1" t="s">
        <v>999</v>
      </c>
      <c r="C197" s="22">
        <v>-250</v>
      </c>
      <c r="D197" s="1" t="s">
        <v>1000</v>
      </c>
      <c r="E197" s="23">
        <f>210</f>
        <v>210</v>
      </c>
      <c r="F197" s="1" t="s">
        <v>999</v>
      </c>
      <c r="G197" s="22">
        <v>-250</v>
      </c>
      <c r="H197" s="30" t="s">
        <v>5</v>
      </c>
      <c r="I197" s="24">
        <v>8.9</v>
      </c>
      <c r="J197" s="1" t="s">
        <v>61</v>
      </c>
      <c r="K197" s="3"/>
      <c r="L197" s="1" t="s">
        <v>1001</v>
      </c>
      <c r="M197" s="3"/>
      <c r="N197" s="4" t="s">
        <v>115</v>
      </c>
      <c r="O197" s="4" t="s">
        <v>1002</v>
      </c>
      <c r="P197" s="4" t="s">
        <v>8</v>
      </c>
      <c r="Q197" s="4" t="s">
        <v>944</v>
      </c>
      <c r="R197" s="4" t="s">
        <v>46</v>
      </c>
      <c r="S197" s="19">
        <v>1</v>
      </c>
      <c r="T197" s="20">
        <v>0.13750000000000001</v>
      </c>
      <c r="U197" s="4" t="s">
        <v>10</v>
      </c>
      <c r="V197" s="4" t="s">
        <v>117</v>
      </c>
      <c r="W197" s="4" t="s">
        <v>48</v>
      </c>
      <c r="X197" s="26" t="s">
        <v>1003</v>
      </c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</row>
    <row r="198" spans="1:54" ht="14.25">
      <c r="A198" s="3"/>
      <c r="B198" s="1" t="s">
        <v>1004</v>
      </c>
      <c r="C198" s="22">
        <v>-185</v>
      </c>
      <c r="D198" s="1" t="s">
        <v>1005</v>
      </c>
      <c r="E198" s="23">
        <f>160</f>
        <v>160</v>
      </c>
      <c r="F198" s="54" t="s">
        <v>1004</v>
      </c>
      <c r="G198" s="22">
        <v>-185</v>
      </c>
      <c r="H198" s="30" t="s">
        <v>122</v>
      </c>
      <c r="I198" s="3"/>
      <c r="J198" s="3" t="s">
        <v>16</v>
      </c>
      <c r="K198" s="3" t="s">
        <v>1006</v>
      </c>
      <c r="L198" s="3" t="s">
        <v>1007</v>
      </c>
      <c r="M198" s="3" t="s">
        <v>603</v>
      </c>
      <c r="N198" s="4" t="s">
        <v>125</v>
      </c>
      <c r="O198" s="4" t="s">
        <v>1008</v>
      </c>
      <c r="P198" s="4" t="s">
        <v>8</v>
      </c>
      <c r="Q198" s="4" t="s">
        <v>944</v>
      </c>
      <c r="R198" s="4" t="s">
        <v>46</v>
      </c>
      <c r="S198" s="19">
        <v>1</v>
      </c>
      <c r="T198" s="20">
        <v>0.18958333333333333</v>
      </c>
      <c r="U198" s="4" t="s">
        <v>10</v>
      </c>
      <c r="V198" s="4" t="s">
        <v>39</v>
      </c>
      <c r="W198" s="4" t="s">
        <v>127</v>
      </c>
      <c r="X198" s="26" t="s">
        <v>1009</v>
      </c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</row>
    <row r="199" spans="1:54" ht="14.25">
      <c r="A199" s="3"/>
      <c r="B199" s="1" t="s">
        <v>1010</v>
      </c>
      <c r="C199" s="22">
        <v>-238</v>
      </c>
      <c r="D199" s="1" t="s">
        <v>1011</v>
      </c>
      <c r="E199" s="23">
        <f>203</f>
        <v>203</v>
      </c>
      <c r="F199" s="1" t="s">
        <v>1010</v>
      </c>
      <c r="G199" s="22">
        <v>-238</v>
      </c>
      <c r="H199" s="2" t="s">
        <v>5</v>
      </c>
      <c r="I199" s="24">
        <v>7.4</v>
      </c>
      <c r="J199" s="25" t="s">
        <v>16</v>
      </c>
      <c r="K199" s="25" t="s">
        <v>1012</v>
      </c>
      <c r="L199" s="25" t="s">
        <v>1013</v>
      </c>
      <c r="M199" s="25" t="s">
        <v>1014</v>
      </c>
      <c r="N199" s="4" t="s">
        <v>20</v>
      </c>
      <c r="O199" s="4" t="s">
        <v>1015</v>
      </c>
      <c r="P199" s="4" t="s">
        <v>8</v>
      </c>
      <c r="Q199" s="4" t="s">
        <v>944</v>
      </c>
      <c r="R199" s="4" t="s">
        <v>61</v>
      </c>
      <c r="S199" s="19">
        <v>2</v>
      </c>
      <c r="T199" s="20">
        <v>0.18263888888888888</v>
      </c>
      <c r="U199" s="4" t="s">
        <v>10</v>
      </c>
      <c r="V199" s="4" t="s">
        <v>55</v>
      </c>
      <c r="W199" s="4" t="s">
        <v>67</v>
      </c>
      <c r="X199" s="26" t="s">
        <v>1016</v>
      </c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</row>
    <row r="200" spans="1:54" ht="14.25">
      <c r="A200" s="3"/>
      <c r="B200" s="1" t="s">
        <v>970</v>
      </c>
      <c r="C200" s="22">
        <v>-326</v>
      </c>
      <c r="D200" s="1" t="s">
        <v>1017</v>
      </c>
      <c r="E200" s="23">
        <f>251</f>
        <v>251</v>
      </c>
      <c r="F200" s="1" t="s">
        <v>970</v>
      </c>
      <c r="G200" s="23">
        <v>-326</v>
      </c>
      <c r="H200" s="2" t="s">
        <v>122</v>
      </c>
      <c r="I200" s="24">
        <v>7.6</v>
      </c>
      <c r="J200" s="3" t="s">
        <v>16</v>
      </c>
      <c r="K200" s="3" t="s">
        <v>1006</v>
      </c>
      <c r="L200" s="3" t="s">
        <v>1018</v>
      </c>
      <c r="M200" s="3" t="s">
        <v>1019</v>
      </c>
      <c r="N200" s="4" t="s">
        <v>135</v>
      </c>
      <c r="O200" s="4" t="s">
        <v>1020</v>
      </c>
      <c r="P200" s="4" t="s">
        <v>8</v>
      </c>
      <c r="Q200" s="4" t="s">
        <v>944</v>
      </c>
      <c r="R200" s="4" t="s">
        <v>61</v>
      </c>
      <c r="S200" s="19">
        <v>1</v>
      </c>
      <c r="T200" s="20">
        <v>4.2361111111111113E-2</v>
      </c>
      <c r="U200" s="4" t="s">
        <v>10</v>
      </c>
      <c r="V200" s="4" t="s">
        <v>226</v>
      </c>
      <c r="W200" s="4" t="s">
        <v>67</v>
      </c>
      <c r="X200" s="26" t="s">
        <v>1021</v>
      </c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</row>
    <row r="201" spans="1:54" ht="14.25">
      <c r="A201" s="3"/>
      <c r="B201" s="1" t="s">
        <v>1022</v>
      </c>
      <c r="C201" s="76">
        <v>-450</v>
      </c>
      <c r="D201" s="1" t="s">
        <v>1023</v>
      </c>
      <c r="E201" s="77">
        <f>350</f>
        <v>350</v>
      </c>
      <c r="F201" s="1" t="s">
        <v>1022</v>
      </c>
      <c r="G201" s="27">
        <v>-450</v>
      </c>
      <c r="H201" s="2" t="s">
        <v>5</v>
      </c>
      <c r="I201" s="3"/>
      <c r="J201" s="3" t="s">
        <v>16</v>
      </c>
      <c r="K201" s="3" t="s">
        <v>1006</v>
      </c>
      <c r="L201" s="3" t="s">
        <v>29</v>
      </c>
      <c r="M201" s="3" t="s">
        <v>30</v>
      </c>
      <c r="N201" s="4" t="s">
        <v>31</v>
      </c>
      <c r="O201" s="4" t="s">
        <v>1024</v>
      </c>
      <c r="P201" s="4" t="s">
        <v>8</v>
      </c>
      <c r="Q201" s="4" t="s">
        <v>944</v>
      </c>
      <c r="R201" s="4" t="s">
        <v>9</v>
      </c>
      <c r="S201" s="19">
        <v>3</v>
      </c>
      <c r="T201" s="20">
        <v>0.20833333333333334</v>
      </c>
      <c r="U201" s="4" t="s">
        <v>10</v>
      </c>
      <c r="V201" s="4" t="s">
        <v>39</v>
      </c>
      <c r="W201" s="4" t="s">
        <v>1025</v>
      </c>
      <c r="X201" s="26" t="s">
        <v>1026</v>
      </c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</row>
    <row r="202" spans="1:54" ht="14.25">
      <c r="A202" s="3"/>
      <c r="B202" s="1" t="s">
        <v>1027</v>
      </c>
      <c r="C202" s="76">
        <v>-300</v>
      </c>
      <c r="D202" s="1" t="s">
        <v>1028</v>
      </c>
      <c r="E202" s="76">
        <f>250</f>
        <v>250</v>
      </c>
      <c r="F202" s="1" t="s">
        <v>1027</v>
      </c>
      <c r="G202" s="27">
        <v>-300</v>
      </c>
      <c r="H202" s="2" t="s">
        <v>5</v>
      </c>
      <c r="I202" s="3"/>
      <c r="J202" s="3" t="s">
        <v>16</v>
      </c>
      <c r="K202" s="3" t="s">
        <v>1006</v>
      </c>
      <c r="L202" s="3" t="s">
        <v>1029</v>
      </c>
      <c r="M202" s="3" t="s">
        <v>1030</v>
      </c>
      <c r="N202" s="4" t="s">
        <v>31</v>
      </c>
      <c r="O202" s="4" t="s">
        <v>1031</v>
      </c>
      <c r="P202" s="4" t="s">
        <v>8</v>
      </c>
      <c r="Q202" s="4" t="s">
        <v>944</v>
      </c>
      <c r="R202" s="4" t="s">
        <v>46</v>
      </c>
      <c r="S202" s="19">
        <v>2</v>
      </c>
      <c r="T202" s="20">
        <v>8.1250000000000003E-2</v>
      </c>
      <c r="U202" s="4" t="s">
        <v>10</v>
      </c>
      <c r="V202" s="4" t="s">
        <v>39</v>
      </c>
      <c r="W202" s="4" t="s">
        <v>258</v>
      </c>
      <c r="X202" s="26" t="s">
        <v>1032</v>
      </c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</row>
    <row r="203" spans="1:54" ht="15">
      <c r="A203" s="3"/>
      <c r="B203" s="1" t="s">
        <v>1033</v>
      </c>
      <c r="C203" s="76">
        <v>-225</v>
      </c>
      <c r="D203" s="1" t="s">
        <v>1034</v>
      </c>
      <c r="E203" s="76">
        <f>190</f>
        <v>190</v>
      </c>
      <c r="F203" s="1" t="s">
        <v>1033</v>
      </c>
      <c r="G203" s="31">
        <v>-230</v>
      </c>
      <c r="H203" s="2" t="s">
        <v>122</v>
      </c>
      <c r="I203" s="3"/>
      <c r="J203" s="3" t="s">
        <v>16</v>
      </c>
      <c r="K203" s="3" t="s">
        <v>1006</v>
      </c>
      <c r="L203" s="3" t="s">
        <v>29</v>
      </c>
      <c r="M203" s="3" t="s">
        <v>30</v>
      </c>
      <c r="N203" s="4" t="s">
        <v>166</v>
      </c>
      <c r="O203" s="4" t="s">
        <v>1035</v>
      </c>
      <c r="P203" s="4" t="s">
        <v>8</v>
      </c>
      <c r="Q203" s="4" t="s">
        <v>944</v>
      </c>
      <c r="R203" s="4" t="s">
        <v>9</v>
      </c>
      <c r="S203" s="19">
        <v>3</v>
      </c>
      <c r="T203" s="20">
        <v>0.20833333333333334</v>
      </c>
      <c r="U203" s="4" t="s">
        <v>10</v>
      </c>
      <c r="V203" s="4" t="s">
        <v>89</v>
      </c>
      <c r="W203" s="4" t="s">
        <v>1036</v>
      </c>
      <c r="X203" s="26" t="s">
        <v>1037</v>
      </c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</row>
    <row r="204" spans="1:54" ht="14.25">
      <c r="A204" s="3"/>
      <c r="B204" s="1" t="s">
        <v>1038</v>
      </c>
      <c r="C204" s="76">
        <v>-210</v>
      </c>
      <c r="D204" s="1" t="s">
        <v>1039</v>
      </c>
      <c r="E204" s="76">
        <f>180</f>
        <v>180</v>
      </c>
      <c r="F204" s="1" t="s">
        <v>1038</v>
      </c>
      <c r="G204" s="27">
        <v>-210</v>
      </c>
      <c r="H204" s="2" t="s">
        <v>122</v>
      </c>
      <c r="I204" s="3"/>
      <c r="J204" s="3" t="s">
        <v>16</v>
      </c>
      <c r="K204" s="3" t="s">
        <v>1006</v>
      </c>
      <c r="L204" s="3" t="s">
        <v>1040</v>
      </c>
      <c r="M204" s="3" t="s">
        <v>1041</v>
      </c>
      <c r="N204" s="4" t="s">
        <v>166</v>
      </c>
      <c r="O204" s="4" t="s">
        <v>1042</v>
      </c>
      <c r="P204" s="4" t="s">
        <v>8</v>
      </c>
      <c r="Q204" s="4" t="s">
        <v>944</v>
      </c>
      <c r="R204" s="4" t="s">
        <v>61</v>
      </c>
      <c r="S204" s="19">
        <v>2</v>
      </c>
      <c r="T204" s="20">
        <v>0.14097222222222222</v>
      </c>
      <c r="U204" s="4" t="s">
        <v>10</v>
      </c>
      <c r="V204" s="4" t="s">
        <v>96</v>
      </c>
      <c r="W204" s="4" t="s">
        <v>67</v>
      </c>
      <c r="X204" s="26" t="s">
        <v>1043</v>
      </c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</row>
    <row r="205" spans="1:54" ht="14.25">
      <c r="A205" s="3"/>
      <c r="B205" s="1" t="s">
        <v>1044</v>
      </c>
      <c r="C205" s="76">
        <v>-190</v>
      </c>
      <c r="D205" s="1" t="s">
        <v>652</v>
      </c>
      <c r="E205" s="76">
        <f>165</f>
        <v>165</v>
      </c>
      <c r="F205" s="1" t="s">
        <v>652</v>
      </c>
      <c r="G205" s="28">
        <f>165</f>
        <v>165</v>
      </c>
      <c r="H205" s="2" t="s">
        <v>5</v>
      </c>
      <c r="I205" s="3"/>
      <c r="J205" s="3"/>
      <c r="K205" s="3"/>
      <c r="L205" s="3"/>
      <c r="M205" s="3"/>
      <c r="N205" s="4" t="s">
        <v>177</v>
      </c>
      <c r="O205" s="4" t="s">
        <v>1045</v>
      </c>
      <c r="P205" s="4" t="s">
        <v>22</v>
      </c>
      <c r="Q205" s="4" t="s">
        <v>944</v>
      </c>
      <c r="R205" s="4" t="s">
        <v>9</v>
      </c>
      <c r="S205" s="19">
        <v>3</v>
      </c>
      <c r="T205" s="20">
        <v>0.20833333333333334</v>
      </c>
      <c r="U205" s="4" t="s">
        <v>10</v>
      </c>
      <c r="V205" s="4" t="s">
        <v>89</v>
      </c>
      <c r="W205" s="4" t="s">
        <v>1046</v>
      </c>
      <c r="X205" s="26" t="s">
        <v>1047</v>
      </c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</row>
    <row r="206" spans="1:54" ht="14.25">
      <c r="A206" s="3"/>
      <c r="B206" s="1" t="s">
        <v>1048</v>
      </c>
      <c r="C206" s="76">
        <f>195</f>
        <v>195</v>
      </c>
      <c r="D206" s="1" t="s">
        <v>1049</v>
      </c>
      <c r="E206" s="76">
        <v>-230</v>
      </c>
      <c r="F206" s="1" t="s">
        <v>1049</v>
      </c>
      <c r="G206" s="28">
        <v>-230</v>
      </c>
      <c r="H206" s="2" t="s">
        <v>5</v>
      </c>
      <c r="I206" s="3"/>
      <c r="J206" s="3"/>
      <c r="K206" s="3"/>
      <c r="L206" s="3"/>
      <c r="M206" s="3"/>
      <c r="N206" s="4" t="s">
        <v>177</v>
      </c>
      <c r="O206" s="4" t="s">
        <v>1050</v>
      </c>
      <c r="P206" s="4" t="s">
        <v>22</v>
      </c>
      <c r="Q206" s="4" t="s">
        <v>944</v>
      </c>
      <c r="R206" s="4" t="s">
        <v>46</v>
      </c>
      <c r="S206" s="19">
        <v>3</v>
      </c>
      <c r="T206" s="20">
        <v>3.8194444444444448E-2</v>
      </c>
      <c r="U206" s="4" t="s">
        <v>10</v>
      </c>
      <c r="V206" s="4" t="s">
        <v>96</v>
      </c>
      <c r="W206" s="4" t="s">
        <v>97</v>
      </c>
      <c r="X206" s="26" t="s">
        <v>1051</v>
      </c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</row>
    <row r="207" spans="1:54" ht="14.25">
      <c r="A207" s="3"/>
      <c r="B207" s="1" t="s">
        <v>1052</v>
      </c>
      <c r="C207" s="76">
        <v>-119</v>
      </c>
      <c r="D207" s="1" t="s">
        <v>1053</v>
      </c>
      <c r="E207" s="76">
        <v>-101</v>
      </c>
      <c r="F207" s="1" t="s">
        <v>1052</v>
      </c>
      <c r="G207" s="28">
        <v>-119</v>
      </c>
      <c r="H207" s="2" t="s">
        <v>5</v>
      </c>
      <c r="I207" s="3"/>
      <c r="J207" s="3"/>
      <c r="K207" s="3"/>
      <c r="L207" s="3"/>
      <c r="M207" s="3"/>
      <c r="N207" s="4" t="s">
        <v>177</v>
      </c>
      <c r="O207" s="4" t="s">
        <v>1054</v>
      </c>
      <c r="P207" s="4" t="s">
        <v>8</v>
      </c>
      <c r="Q207" s="4" t="s">
        <v>944</v>
      </c>
      <c r="R207" s="4" t="s">
        <v>61</v>
      </c>
      <c r="S207" s="19">
        <v>1</v>
      </c>
      <c r="T207" s="20">
        <v>0.2</v>
      </c>
      <c r="U207" s="4" t="s">
        <v>10</v>
      </c>
      <c r="V207" s="4" t="s">
        <v>39</v>
      </c>
      <c r="W207" s="4" t="s">
        <v>836</v>
      </c>
      <c r="X207" s="26" t="s">
        <v>1055</v>
      </c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</row>
    <row r="208" spans="1:54" ht="14.25">
      <c r="A208" s="3"/>
      <c r="B208" s="1" t="s">
        <v>1056</v>
      </c>
      <c r="C208" s="76">
        <v>-159</v>
      </c>
      <c r="D208" s="1" t="s">
        <v>1057</v>
      </c>
      <c r="E208" s="76">
        <f>139</f>
        <v>139</v>
      </c>
      <c r="F208" s="1" t="s">
        <v>1056</v>
      </c>
      <c r="G208" s="28">
        <v>-159</v>
      </c>
      <c r="H208" s="2" t="s">
        <v>5</v>
      </c>
      <c r="I208" s="3"/>
      <c r="J208" s="3"/>
      <c r="K208" s="3"/>
      <c r="L208" s="3"/>
      <c r="M208" s="3"/>
      <c r="N208" s="4" t="s">
        <v>311</v>
      </c>
      <c r="O208" s="4" t="s">
        <v>1058</v>
      </c>
      <c r="P208" s="4" t="s">
        <v>22</v>
      </c>
      <c r="Q208" s="4" t="s">
        <v>944</v>
      </c>
      <c r="R208" s="4" t="s">
        <v>710</v>
      </c>
      <c r="S208" s="19">
        <v>5</v>
      </c>
      <c r="T208" s="20">
        <v>0.20833333333333334</v>
      </c>
      <c r="U208" s="4" t="s">
        <v>54</v>
      </c>
      <c r="V208" s="4" t="s">
        <v>55</v>
      </c>
      <c r="W208" s="4" t="s">
        <v>1059</v>
      </c>
      <c r="X208" s="26" t="s">
        <v>1060</v>
      </c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</row>
    <row r="209" spans="1:54" ht="14.25">
      <c r="A209" s="3"/>
      <c r="B209" s="1" t="s">
        <v>1061</v>
      </c>
      <c r="C209" s="24">
        <v>-180</v>
      </c>
      <c r="D209" s="1" t="s">
        <v>1062</v>
      </c>
      <c r="E209" s="24">
        <f>155</f>
        <v>155</v>
      </c>
      <c r="F209" s="1" t="s">
        <v>1062</v>
      </c>
      <c r="G209" s="16">
        <f>155</f>
        <v>155</v>
      </c>
      <c r="H209" s="2" t="s">
        <v>5</v>
      </c>
      <c r="I209" s="3"/>
      <c r="J209" s="3"/>
      <c r="K209" s="3"/>
      <c r="L209" s="3"/>
      <c r="M209" s="3"/>
      <c r="N209" s="4" t="s">
        <v>52</v>
      </c>
      <c r="O209" s="4" t="s">
        <v>1063</v>
      </c>
      <c r="P209" s="4" t="s">
        <v>22</v>
      </c>
      <c r="Q209" s="4" t="s">
        <v>944</v>
      </c>
      <c r="R209" s="4" t="s">
        <v>193</v>
      </c>
      <c r="S209" s="19">
        <v>3</v>
      </c>
      <c r="T209" s="20">
        <v>0.20833333333333334</v>
      </c>
      <c r="U209" s="4" t="s">
        <v>10</v>
      </c>
      <c r="V209" s="4" t="s">
        <v>23</v>
      </c>
      <c r="W209" s="4" t="s">
        <v>1064</v>
      </c>
      <c r="X209" s="26" t="s">
        <v>1065</v>
      </c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</row>
    <row r="210" spans="1:54" ht="14.25">
      <c r="A210" s="3"/>
      <c r="B210" s="1" t="s">
        <v>1066</v>
      </c>
      <c r="C210" s="24">
        <f>250</f>
        <v>250</v>
      </c>
      <c r="D210" s="1" t="s">
        <v>791</v>
      </c>
      <c r="E210" s="24">
        <v>-300</v>
      </c>
      <c r="F210" s="1" t="s">
        <v>791</v>
      </c>
      <c r="G210" s="17">
        <v>-300</v>
      </c>
      <c r="H210" s="2" t="s">
        <v>5</v>
      </c>
      <c r="I210" s="3"/>
      <c r="J210" s="3"/>
      <c r="K210" s="3"/>
      <c r="L210" s="3"/>
      <c r="M210" s="3"/>
      <c r="N210" s="4" t="s">
        <v>207</v>
      </c>
      <c r="O210" s="4" t="s">
        <v>1067</v>
      </c>
      <c r="P210" s="4" t="s">
        <v>22</v>
      </c>
      <c r="Q210" s="4" t="s">
        <v>944</v>
      </c>
      <c r="R210" s="4" t="s">
        <v>61</v>
      </c>
      <c r="S210" s="19">
        <v>2</v>
      </c>
      <c r="T210" s="20">
        <v>0.1736111111111111</v>
      </c>
      <c r="U210" s="4" t="s">
        <v>10</v>
      </c>
      <c r="V210" s="4" t="s">
        <v>73</v>
      </c>
      <c r="W210" s="4" t="s">
        <v>67</v>
      </c>
      <c r="X210" s="26" t="s">
        <v>1068</v>
      </c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</row>
    <row r="211" spans="1:54" ht="14.25">
      <c r="A211" s="3"/>
      <c r="B211" s="1" t="s">
        <v>1069</v>
      </c>
      <c r="C211" s="24">
        <f>195</f>
        <v>195</v>
      </c>
      <c r="D211" s="1" t="s">
        <v>983</v>
      </c>
      <c r="E211" s="24">
        <v>-230</v>
      </c>
      <c r="F211" s="1" t="s">
        <v>983</v>
      </c>
      <c r="G211" s="16">
        <v>-230</v>
      </c>
      <c r="H211" s="2" t="s">
        <v>5</v>
      </c>
      <c r="I211" s="3"/>
      <c r="J211" s="3"/>
      <c r="K211" s="3"/>
      <c r="L211" s="3"/>
      <c r="M211" s="3"/>
      <c r="N211" s="4" t="s">
        <v>207</v>
      </c>
      <c r="O211" s="4" t="s">
        <v>1070</v>
      </c>
      <c r="P211" s="4" t="s">
        <v>22</v>
      </c>
      <c r="Q211" s="4" t="s">
        <v>944</v>
      </c>
      <c r="R211" s="4" t="s">
        <v>46</v>
      </c>
      <c r="S211" s="19">
        <v>1</v>
      </c>
      <c r="T211" s="20">
        <v>7.5694444444444439E-2</v>
      </c>
      <c r="U211" s="4" t="s">
        <v>10</v>
      </c>
      <c r="V211" s="4" t="s">
        <v>209</v>
      </c>
      <c r="W211" s="4" t="s">
        <v>774</v>
      </c>
      <c r="X211" s="26" t="s">
        <v>1071</v>
      </c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</row>
    <row r="212" spans="1:54" ht="14.25">
      <c r="A212" s="3"/>
      <c r="B212" s="1" t="s">
        <v>988</v>
      </c>
      <c r="C212" s="24">
        <v>-440</v>
      </c>
      <c r="D212" s="1" t="s">
        <v>976</v>
      </c>
      <c r="E212" s="24">
        <f>440</f>
        <v>440</v>
      </c>
      <c r="F212" s="1" t="s">
        <v>988</v>
      </c>
      <c r="G212" s="78">
        <v>-440</v>
      </c>
      <c r="H212" s="2" t="s">
        <v>5</v>
      </c>
      <c r="I212" s="3"/>
      <c r="J212" s="3"/>
      <c r="K212" s="3"/>
      <c r="L212" s="3"/>
      <c r="M212" s="3"/>
      <c r="N212" s="4" t="s">
        <v>65</v>
      </c>
      <c r="O212" s="4" t="s">
        <v>1072</v>
      </c>
      <c r="P212" s="4" t="s">
        <v>8</v>
      </c>
      <c r="Q212" s="4" t="s">
        <v>944</v>
      </c>
      <c r="R212" s="4" t="s">
        <v>61</v>
      </c>
      <c r="S212" s="19">
        <v>3</v>
      </c>
      <c r="T212" s="20">
        <v>2.6388888888888889E-2</v>
      </c>
      <c r="U212" s="4" t="s">
        <v>54</v>
      </c>
      <c r="V212" s="4" t="s">
        <v>39</v>
      </c>
      <c r="W212" s="4" t="s">
        <v>67</v>
      </c>
      <c r="X212" s="26" t="s">
        <v>1073</v>
      </c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</row>
    <row r="213" spans="1:54" ht="14.25">
      <c r="A213" s="3"/>
      <c r="B213" s="1" t="s">
        <v>1074</v>
      </c>
      <c r="C213" s="24">
        <v>-500</v>
      </c>
      <c r="D213" s="1" t="s">
        <v>1027</v>
      </c>
      <c r="E213" s="24">
        <f>500</f>
        <v>500</v>
      </c>
      <c r="F213" s="1" t="s">
        <v>1027</v>
      </c>
      <c r="G213" s="79">
        <f>500</f>
        <v>500</v>
      </c>
      <c r="H213" s="2" t="s">
        <v>5</v>
      </c>
      <c r="I213" s="3"/>
      <c r="J213" s="3"/>
      <c r="K213" s="3"/>
      <c r="L213" s="3"/>
      <c r="M213" s="3"/>
      <c r="N213" s="4" t="s">
        <v>65</v>
      </c>
      <c r="O213" s="4" t="s">
        <v>1075</v>
      </c>
      <c r="P213" s="4" t="s">
        <v>8</v>
      </c>
      <c r="Q213" s="4" t="s">
        <v>944</v>
      </c>
      <c r="R213" s="4" t="s">
        <v>46</v>
      </c>
      <c r="S213" s="19">
        <v>2</v>
      </c>
      <c r="T213" s="20">
        <v>0.18333333333333332</v>
      </c>
      <c r="U213" s="4" t="s">
        <v>10</v>
      </c>
      <c r="V213" s="4" t="s">
        <v>89</v>
      </c>
      <c r="W213" s="4" t="s">
        <v>1076</v>
      </c>
      <c r="X213" s="26" t="s">
        <v>1077</v>
      </c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</row>
    <row r="214" spans="1:54" ht="14.25">
      <c r="A214" s="3"/>
      <c r="B214" s="38" t="s">
        <v>977</v>
      </c>
      <c r="C214" s="80">
        <f>300</f>
        <v>300</v>
      </c>
      <c r="D214" s="38" t="s">
        <v>1078</v>
      </c>
      <c r="E214" s="80">
        <v>-300</v>
      </c>
      <c r="F214" s="38" t="s">
        <v>977</v>
      </c>
      <c r="G214" s="81">
        <f>300</f>
        <v>300</v>
      </c>
      <c r="H214" s="41" t="s">
        <v>5</v>
      </c>
      <c r="I214" s="3"/>
      <c r="K214" s="3"/>
      <c r="L214" s="3"/>
      <c r="M214" s="3"/>
      <c r="N214" s="4" t="s">
        <v>231</v>
      </c>
      <c r="O214" s="4" t="s">
        <v>1079</v>
      </c>
      <c r="P214" s="4" t="s">
        <v>8</v>
      </c>
      <c r="Q214" s="4" t="s">
        <v>944</v>
      </c>
      <c r="R214" s="4" t="s">
        <v>9</v>
      </c>
      <c r="S214" s="19">
        <v>3</v>
      </c>
      <c r="T214" s="20">
        <v>0.20833333333333334</v>
      </c>
      <c r="U214" s="4" t="s">
        <v>10</v>
      </c>
      <c r="V214" s="4" t="s">
        <v>47</v>
      </c>
      <c r="W214" s="4" t="s">
        <v>1080</v>
      </c>
      <c r="X214" s="3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</row>
    <row r="215" spans="1:54" ht="14.25">
      <c r="A215" s="3"/>
      <c r="B215" s="1" t="s">
        <v>951</v>
      </c>
      <c r="C215" s="24">
        <v>-125</v>
      </c>
      <c r="D215" s="1" t="s">
        <v>970</v>
      </c>
      <c r="E215" s="24">
        <f>125</f>
        <v>125</v>
      </c>
      <c r="F215" s="1" t="s">
        <v>970</v>
      </c>
      <c r="G215" s="78">
        <v>-125</v>
      </c>
      <c r="H215" s="2" t="s">
        <v>5</v>
      </c>
      <c r="I215" s="3"/>
      <c r="J215" s="3"/>
      <c r="K215" s="3"/>
      <c r="L215" s="3"/>
      <c r="M215" s="3"/>
      <c r="N215" s="4" t="s">
        <v>71</v>
      </c>
      <c r="O215" s="4" t="s">
        <v>1081</v>
      </c>
      <c r="P215" s="4" t="s">
        <v>22</v>
      </c>
      <c r="Q215" s="4" t="s">
        <v>944</v>
      </c>
      <c r="R215" s="4" t="s">
        <v>46</v>
      </c>
      <c r="S215" s="19">
        <v>1</v>
      </c>
      <c r="T215" s="20">
        <v>4.583333333333333E-2</v>
      </c>
      <c r="U215" s="4" t="s">
        <v>10</v>
      </c>
      <c r="V215" s="4" t="s">
        <v>23</v>
      </c>
      <c r="W215" s="4" t="s">
        <v>48</v>
      </c>
      <c r="X215" s="3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</row>
    <row r="216" spans="1:54" ht="14.25">
      <c r="A216" s="12"/>
      <c r="B216" s="7"/>
      <c r="C216" s="82"/>
      <c r="D216" s="7"/>
      <c r="E216" s="82"/>
      <c r="F216" s="7"/>
      <c r="G216" s="83"/>
      <c r="H216" s="11"/>
      <c r="I216" s="60"/>
      <c r="J216" s="12"/>
      <c r="K216" s="12"/>
      <c r="L216" s="12"/>
      <c r="M216" s="12"/>
      <c r="N216" s="13"/>
      <c r="O216" s="13"/>
      <c r="P216" s="13"/>
      <c r="Q216" s="13"/>
      <c r="R216" s="13"/>
      <c r="S216" s="14"/>
      <c r="T216" s="15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</row>
    <row r="217" spans="1:54" ht="14.25">
      <c r="A217" s="3"/>
      <c r="B217" s="1" t="s">
        <v>1082</v>
      </c>
      <c r="C217" s="84">
        <v>-275</v>
      </c>
      <c r="D217" s="1" t="s">
        <v>1083</v>
      </c>
      <c r="E217" s="84">
        <f>235</f>
        <v>235</v>
      </c>
      <c r="F217" s="1" t="s">
        <v>1082</v>
      </c>
      <c r="G217" s="85">
        <v>-275</v>
      </c>
      <c r="H217" s="2" t="s">
        <v>122</v>
      </c>
      <c r="I217" s="24">
        <v>7.4</v>
      </c>
      <c r="J217" s="3" t="s">
        <v>16</v>
      </c>
      <c r="K217" s="3" t="s">
        <v>28</v>
      </c>
      <c r="L217" s="3" t="s">
        <v>446</v>
      </c>
      <c r="M217" s="3" t="s">
        <v>30</v>
      </c>
      <c r="N217" s="4" t="s">
        <v>135</v>
      </c>
      <c r="O217" s="4" t="s">
        <v>1084</v>
      </c>
      <c r="P217" s="4" t="s">
        <v>8</v>
      </c>
      <c r="Q217" s="4" t="s">
        <v>1085</v>
      </c>
      <c r="R217" s="4" t="s">
        <v>9</v>
      </c>
      <c r="S217" s="19">
        <v>5</v>
      </c>
      <c r="T217" s="20">
        <v>0.20833333333333334</v>
      </c>
      <c r="U217" s="4" t="s">
        <v>54</v>
      </c>
      <c r="V217" s="4" t="s">
        <v>11</v>
      </c>
      <c r="W217" s="4" t="s">
        <v>1086</v>
      </c>
      <c r="X217" s="26" t="s">
        <v>1087</v>
      </c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</row>
    <row r="218" spans="1:54" ht="15">
      <c r="A218" s="3"/>
      <c r="B218" s="1" t="s">
        <v>1088</v>
      </c>
      <c r="C218" s="76">
        <v>-132</v>
      </c>
      <c r="D218" s="1" t="s">
        <v>1089</v>
      </c>
      <c r="E218" s="76">
        <f>112</f>
        <v>112</v>
      </c>
      <c r="F218" s="1" t="s">
        <v>1088</v>
      </c>
      <c r="G218" s="86">
        <v>-130</v>
      </c>
      <c r="H218" s="2" t="s">
        <v>1</v>
      </c>
      <c r="I218" s="3"/>
      <c r="J218" s="3" t="s">
        <v>16</v>
      </c>
      <c r="K218" s="3" t="s">
        <v>272</v>
      </c>
      <c r="L218" s="3" t="s">
        <v>1090</v>
      </c>
      <c r="M218" s="3" t="s">
        <v>482</v>
      </c>
      <c r="N218" s="4" t="s">
        <v>166</v>
      </c>
      <c r="O218" s="4" t="s">
        <v>1091</v>
      </c>
      <c r="P218" s="4" t="s">
        <v>22</v>
      </c>
      <c r="Q218" s="4" t="s">
        <v>1092</v>
      </c>
      <c r="R218" s="4" t="s">
        <v>46</v>
      </c>
      <c r="S218" s="19">
        <v>2</v>
      </c>
      <c r="T218" s="20">
        <v>0.14722222222222223</v>
      </c>
      <c r="U218" s="4" t="s">
        <v>54</v>
      </c>
      <c r="V218" s="4" t="s">
        <v>96</v>
      </c>
      <c r="W218" s="4" t="s">
        <v>48</v>
      </c>
      <c r="X218" s="26" t="s">
        <v>1093</v>
      </c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</row>
    <row r="219" spans="1:54" ht="14.25">
      <c r="A219" s="3"/>
      <c r="B219" s="1" t="s">
        <v>1094</v>
      </c>
      <c r="C219" s="84">
        <v>-188</v>
      </c>
      <c r="D219" s="1" t="s">
        <v>480</v>
      </c>
      <c r="E219" s="84">
        <f>163</f>
        <v>163</v>
      </c>
      <c r="F219" s="1" t="s">
        <v>1095</v>
      </c>
      <c r="G219" s="87">
        <v>-188</v>
      </c>
      <c r="H219" s="2" t="s">
        <v>5</v>
      </c>
      <c r="I219" s="24">
        <v>7.2</v>
      </c>
      <c r="J219" s="1" t="s">
        <v>18</v>
      </c>
      <c r="K219" s="24">
        <v>-160</v>
      </c>
      <c r="L219" s="1" t="s">
        <v>1096</v>
      </c>
      <c r="M219" s="3"/>
      <c r="N219" s="4" t="s">
        <v>87</v>
      </c>
      <c r="O219" s="4" t="s">
        <v>1097</v>
      </c>
      <c r="P219" s="4" t="s">
        <v>8</v>
      </c>
      <c r="Q219" s="4" t="s">
        <v>1098</v>
      </c>
      <c r="R219" s="4" t="s">
        <v>9</v>
      </c>
      <c r="S219" s="19">
        <v>5</v>
      </c>
      <c r="T219" s="20">
        <v>0.20833333333333334</v>
      </c>
      <c r="U219" s="4" t="s">
        <v>54</v>
      </c>
      <c r="V219" s="4" t="s">
        <v>47</v>
      </c>
      <c r="W219" s="4" t="s">
        <v>1099</v>
      </c>
      <c r="X219" s="26" t="s">
        <v>1100</v>
      </c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</row>
    <row r="220" spans="1:54" ht="14.25">
      <c r="A220" s="3"/>
      <c r="B220" s="1" t="s">
        <v>1094</v>
      </c>
      <c r="C220" s="24">
        <v>-190</v>
      </c>
      <c r="D220" s="1" t="s">
        <v>444</v>
      </c>
      <c r="E220" s="24">
        <f>160</f>
        <v>160</v>
      </c>
      <c r="F220" s="1" t="s">
        <v>1094</v>
      </c>
      <c r="G220" s="88">
        <v>-190</v>
      </c>
      <c r="H220" s="2" t="s">
        <v>5</v>
      </c>
      <c r="I220" s="3"/>
      <c r="J220" s="3"/>
      <c r="K220" s="3"/>
      <c r="L220" s="3"/>
      <c r="M220" s="3"/>
      <c r="N220" s="4" t="s">
        <v>44</v>
      </c>
      <c r="O220" s="4" t="s">
        <v>1101</v>
      </c>
      <c r="P220" s="4" t="s">
        <v>8</v>
      </c>
      <c r="Q220" s="4" t="s">
        <v>1098</v>
      </c>
      <c r="R220" s="4" t="s">
        <v>9</v>
      </c>
      <c r="S220" s="19">
        <v>5</v>
      </c>
      <c r="T220" s="20">
        <v>0.20833333333333334</v>
      </c>
      <c r="U220" s="4" t="s">
        <v>54</v>
      </c>
      <c r="V220" s="4" t="s">
        <v>47</v>
      </c>
      <c r="W220" s="4" t="s">
        <v>1102</v>
      </c>
      <c r="X220" s="26" t="s">
        <v>1103</v>
      </c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</row>
    <row r="221" spans="1:54" ht="14.25">
      <c r="A221" s="3"/>
      <c r="B221" s="1" t="s">
        <v>1104</v>
      </c>
      <c r="C221" s="24">
        <f>119</f>
        <v>119</v>
      </c>
      <c r="D221" s="1" t="s">
        <v>1105</v>
      </c>
      <c r="E221" s="24">
        <v>-119</v>
      </c>
      <c r="F221" s="1" t="s">
        <v>1105</v>
      </c>
      <c r="G221" s="78">
        <v>-119</v>
      </c>
      <c r="H221" s="2" t="s">
        <v>5</v>
      </c>
      <c r="I221" s="3"/>
      <c r="J221" s="3"/>
      <c r="K221" s="3"/>
      <c r="L221" s="3"/>
      <c r="M221" s="3"/>
      <c r="N221" s="4" t="s">
        <v>223</v>
      </c>
      <c r="O221" s="4" t="s">
        <v>1106</v>
      </c>
      <c r="P221" s="4" t="s">
        <v>22</v>
      </c>
      <c r="Q221" s="4" t="s">
        <v>1107</v>
      </c>
      <c r="R221" s="4" t="s">
        <v>46</v>
      </c>
      <c r="S221" s="19">
        <v>1</v>
      </c>
      <c r="T221" s="20">
        <v>4.791666666666667E-2</v>
      </c>
      <c r="U221" s="4" t="s">
        <v>54</v>
      </c>
      <c r="V221" s="4" t="s">
        <v>226</v>
      </c>
      <c r="W221" s="4" t="s">
        <v>48</v>
      </c>
      <c r="X221" s="26" t="s">
        <v>1108</v>
      </c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</row>
    <row r="222" spans="1:54" ht="14.25">
      <c r="A222" s="3"/>
      <c r="B222" s="1" t="s">
        <v>1109</v>
      </c>
      <c r="C222" s="84">
        <v>-130</v>
      </c>
      <c r="D222" s="1" t="s">
        <v>1110</v>
      </c>
      <c r="E222" s="84">
        <f>110</f>
        <v>110</v>
      </c>
      <c r="F222" s="1" t="s">
        <v>1110</v>
      </c>
      <c r="G222" s="87">
        <f>110</f>
        <v>110</v>
      </c>
      <c r="H222" s="2" t="s">
        <v>1</v>
      </c>
      <c r="I222" s="24">
        <v>6.3</v>
      </c>
      <c r="J222" s="1" t="s">
        <v>18</v>
      </c>
      <c r="K222" s="1" t="s">
        <v>1111</v>
      </c>
      <c r="L222" s="1" t="s">
        <v>1112</v>
      </c>
      <c r="M222" s="3"/>
      <c r="N222" s="4" t="s">
        <v>103</v>
      </c>
      <c r="O222" s="4" t="s">
        <v>1113</v>
      </c>
      <c r="P222" s="4" t="s">
        <v>8</v>
      </c>
      <c r="Q222" s="4" t="s">
        <v>1114</v>
      </c>
      <c r="R222" s="4" t="s">
        <v>46</v>
      </c>
      <c r="S222" s="19">
        <v>1</v>
      </c>
      <c r="T222" s="20">
        <v>0.13472222222222222</v>
      </c>
      <c r="U222" s="4" t="s">
        <v>54</v>
      </c>
      <c r="V222" s="4" t="s">
        <v>96</v>
      </c>
      <c r="W222" s="4" t="s">
        <v>48</v>
      </c>
      <c r="X222" s="26" t="s">
        <v>1115</v>
      </c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</row>
    <row r="223" spans="1:54" ht="14.25">
      <c r="A223" s="3"/>
      <c r="B223" s="1" t="s">
        <v>662</v>
      </c>
      <c r="C223" s="24">
        <v>-105</v>
      </c>
      <c r="D223" s="1" t="s">
        <v>1109</v>
      </c>
      <c r="E223" s="24">
        <f>105</f>
        <v>105</v>
      </c>
      <c r="F223" s="1" t="s">
        <v>1109</v>
      </c>
      <c r="G223" s="78">
        <f>105</f>
        <v>105</v>
      </c>
      <c r="H223" s="2" t="s">
        <v>5</v>
      </c>
      <c r="I223" s="3"/>
      <c r="J223" s="3"/>
      <c r="K223" s="3"/>
      <c r="L223" s="3"/>
      <c r="M223" s="3"/>
      <c r="N223" s="4" t="s">
        <v>223</v>
      </c>
      <c r="O223" s="4" t="s">
        <v>1116</v>
      </c>
      <c r="P223" s="4" t="s">
        <v>22</v>
      </c>
      <c r="Q223" s="4" t="s">
        <v>1114</v>
      </c>
      <c r="R223" s="4" t="s">
        <v>46</v>
      </c>
      <c r="S223" s="19">
        <v>2</v>
      </c>
      <c r="T223" s="20">
        <v>0.17222222222222222</v>
      </c>
      <c r="U223" s="4" t="s">
        <v>54</v>
      </c>
      <c r="V223" s="4" t="s">
        <v>47</v>
      </c>
      <c r="W223" s="4" t="s">
        <v>1117</v>
      </c>
      <c r="X223" s="26" t="s">
        <v>1118</v>
      </c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</row>
    <row r="224" spans="1:54" ht="14.25">
      <c r="A224" s="3"/>
      <c r="B224" s="1" t="s">
        <v>1119</v>
      </c>
      <c r="C224" s="76">
        <v>-145</v>
      </c>
      <c r="D224" s="1" t="s">
        <v>1120</v>
      </c>
      <c r="E224" s="76">
        <f>125</f>
        <v>125</v>
      </c>
      <c r="F224" s="1" t="s">
        <v>1119</v>
      </c>
      <c r="G224" s="88">
        <v>-145</v>
      </c>
      <c r="H224" s="2" t="s">
        <v>1</v>
      </c>
      <c r="I224" s="3"/>
      <c r="J224" s="3"/>
      <c r="K224" s="3"/>
      <c r="L224" s="3"/>
      <c r="M224" s="3"/>
      <c r="N224" s="4" t="s">
        <v>185</v>
      </c>
      <c r="O224" s="4" t="s">
        <v>1121</v>
      </c>
      <c r="P224" s="4" t="s">
        <v>22</v>
      </c>
      <c r="Q224" s="4" t="s">
        <v>1122</v>
      </c>
      <c r="R224" s="4" t="s">
        <v>193</v>
      </c>
      <c r="S224" s="19">
        <v>5</v>
      </c>
      <c r="T224" s="20">
        <v>0.20833333333333334</v>
      </c>
      <c r="U224" s="4" t="s">
        <v>54</v>
      </c>
      <c r="V224" s="4" t="s">
        <v>47</v>
      </c>
      <c r="W224" s="4" t="s">
        <v>1123</v>
      </c>
      <c r="X224" s="26" t="s">
        <v>1124</v>
      </c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</row>
    <row r="225" spans="1:54" ht="14.25">
      <c r="A225" s="3"/>
      <c r="B225" s="1" t="s">
        <v>1125</v>
      </c>
      <c r="C225" s="24">
        <v>-159</v>
      </c>
      <c r="D225" s="1" t="s">
        <v>1126</v>
      </c>
      <c r="E225" s="24">
        <f>139</f>
        <v>139</v>
      </c>
      <c r="F225" s="1" t="s">
        <v>1126</v>
      </c>
      <c r="G225" s="76">
        <f>139</f>
        <v>139</v>
      </c>
      <c r="H225" s="2" t="s">
        <v>1</v>
      </c>
      <c r="I225" s="3"/>
      <c r="J225" s="3"/>
      <c r="K225" s="3"/>
      <c r="L225" s="3"/>
      <c r="M225" s="3"/>
      <c r="N225" s="4" t="s">
        <v>44</v>
      </c>
      <c r="O225" s="4" t="s">
        <v>1127</v>
      </c>
      <c r="P225" s="4" t="s">
        <v>8</v>
      </c>
      <c r="Q225" s="4" t="s">
        <v>1128</v>
      </c>
      <c r="R225" s="4" t="s">
        <v>9</v>
      </c>
      <c r="S225" s="19">
        <v>5</v>
      </c>
      <c r="T225" s="20">
        <v>0.20833333333333334</v>
      </c>
      <c r="U225" s="4" t="s">
        <v>54</v>
      </c>
      <c r="V225" s="4" t="s">
        <v>55</v>
      </c>
      <c r="W225" s="4" t="s">
        <v>1129</v>
      </c>
      <c r="X225" s="26" t="s">
        <v>1130</v>
      </c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</row>
    <row r="226" spans="1:54" ht="14.25">
      <c r="A226" s="3"/>
      <c r="B226" s="1" t="s">
        <v>1131</v>
      </c>
      <c r="C226" s="76">
        <f>140</f>
        <v>140</v>
      </c>
      <c r="D226" s="33" t="s">
        <v>1132</v>
      </c>
      <c r="E226" s="76">
        <v>-160</v>
      </c>
      <c r="F226" s="34" t="s">
        <v>1131</v>
      </c>
      <c r="G226" s="76">
        <f>140</f>
        <v>140</v>
      </c>
      <c r="H226" s="2" t="s">
        <v>122</v>
      </c>
      <c r="I226" s="3"/>
      <c r="J226" s="3"/>
      <c r="K226" s="3"/>
      <c r="L226" s="3"/>
      <c r="M226" s="3"/>
      <c r="N226" s="4" t="s">
        <v>185</v>
      </c>
      <c r="O226" s="4" t="s">
        <v>1133</v>
      </c>
      <c r="P226" s="4" t="s">
        <v>8</v>
      </c>
      <c r="Q226" s="4" t="s">
        <v>1134</v>
      </c>
      <c r="R226" s="4" t="s">
        <v>9</v>
      </c>
      <c r="S226" s="19">
        <v>5</v>
      </c>
      <c r="T226" s="20">
        <v>0.20833333333333334</v>
      </c>
      <c r="U226" s="4" t="s">
        <v>54</v>
      </c>
      <c r="V226" s="4" t="s">
        <v>400</v>
      </c>
      <c r="W226" s="4" t="s">
        <v>1135</v>
      </c>
      <c r="X226" s="26" t="s">
        <v>1136</v>
      </c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</row>
    <row r="227" spans="1:54" ht="14.25">
      <c r="A227" s="3"/>
      <c r="B227" s="1" t="s">
        <v>1137</v>
      </c>
      <c r="C227" s="84">
        <v>-500</v>
      </c>
      <c r="D227" s="1" t="s">
        <v>1138</v>
      </c>
      <c r="E227" s="84">
        <f>375</f>
        <v>375</v>
      </c>
      <c r="F227" s="1" t="s">
        <v>1137</v>
      </c>
      <c r="G227" s="84">
        <v>-500</v>
      </c>
      <c r="H227" s="2" t="s">
        <v>5</v>
      </c>
      <c r="I227" s="24">
        <v>7.5</v>
      </c>
      <c r="J227" s="1" t="s">
        <v>46</v>
      </c>
      <c r="K227" s="1" t="s">
        <v>1139</v>
      </c>
      <c r="L227" s="1" t="s">
        <v>1140</v>
      </c>
      <c r="M227" s="3"/>
      <c r="N227" s="4" t="s">
        <v>103</v>
      </c>
      <c r="O227" s="4" t="s">
        <v>1141</v>
      </c>
      <c r="P227" s="4" t="s">
        <v>8</v>
      </c>
      <c r="Q227" s="4" t="s">
        <v>1142</v>
      </c>
      <c r="R227" s="4" t="s">
        <v>9</v>
      </c>
      <c r="S227" s="19">
        <v>5</v>
      </c>
      <c r="T227" s="20">
        <v>0.20833333333333334</v>
      </c>
      <c r="U227" s="4" t="s">
        <v>54</v>
      </c>
      <c r="V227" s="4" t="s">
        <v>96</v>
      </c>
      <c r="W227" s="4" t="s">
        <v>1143</v>
      </c>
      <c r="X227" s="26" t="s">
        <v>1144</v>
      </c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</row>
    <row r="228" spans="1:54" ht="14.25">
      <c r="A228" s="12"/>
      <c r="B228" s="7"/>
      <c r="C228" s="60"/>
      <c r="D228" s="7"/>
      <c r="E228" s="60"/>
      <c r="F228" s="7"/>
      <c r="G228" s="60"/>
      <c r="H228" s="11"/>
      <c r="I228" s="12"/>
      <c r="J228" s="12"/>
      <c r="K228" s="12"/>
      <c r="L228" s="12"/>
      <c r="M228" s="12"/>
      <c r="N228" s="13"/>
      <c r="O228" s="13"/>
      <c r="P228" s="13"/>
      <c r="Q228" s="13"/>
      <c r="R228" s="13"/>
      <c r="S228" s="14"/>
      <c r="T228" s="15"/>
      <c r="U228" s="13"/>
      <c r="V228" s="13"/>
      <c r="W228" s="13"/>
      <c r="X228" s="12"/>
      <c r="Y228" s="12"/>
      <c r="Z228" s="12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</row>
    <row r="229" spans="1:54" ht="14.25">
      <c r="A229" s="3"/>
      <c r="B229" s="1"/>
      <c r="C229" s="24"/>
      <c r="D229" s="1"/>
      <c r="E229" s="24"/>
      <c r="F229" s="1"/>
      <c r="G229" s="24"/>
      <c r="H229" s="2"/>
      <c r="I229" s="3"/>
      <c r="J229" s="3"/>
      <c r="K229" s="3"/>
      <c r="L229" s="3"/>
      <c r="M229" s="3"/>
      <c r="N229" s="4"/>
      <c r="O229" s="4"/>
      <c r="P229" s="4"/>
      <c r="Q229" s="4"/>
      <c r="R229" s="4"/>
      <c r="S229" s="19"/>
      <c r="T229" s="20"/>
      <c r="U229" s="4"/>
      <c r="V229" s="4"/>
      <c r="W229" s="4"/>
      <c r="X229" s="3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</row>
    <row r="230" spans="1:54" ht="14.25">
      <c r="A230" s="3"/>
      <c r="B230" s="1" t="s">
        <v>580</v>
      </c>
      <c r="C230" s="24">
        <f>154</f>
        <v>154</v>
      </c>
      <c r="D230" s="1" t="s">
        <v>1145</v>
      </c>
      <c r="E230" s="24">
        <v>-154</v>
      </c>
      <c r="F230" s="1" t="s">
        <v>580</v>
      </c>
      <c r="G230" s="24" t="s">
        <v>1</v>
      </c>
      <c r="H230" s="2">
        <f>154</f>
        <v>154</v>
      </c>
      <c r="I230" s="3"/>
      <c r="J230" s="3"/>
      <c r="K230" s="3"/>
      <c r="L230" s="3"/>
      <c r="M230" s="3"/>
      <c r="N230" s="4" t="s">
        <v>6</v>
      </c>
      <c r="O230" s="4" t="s">
        <v>1146</v>
      </c>
      <c r="P230" s="4" t="s">
        <v>22</v>
      </c>
      <c r="Q230" s="4" t="s">
        <v>1147</v>
      </c>
      <c r="R230" s="4" t="s">
        <v>9</v>
      </c>
      <c r="S230" s="19">
        <v>3</v>
      </c>
      <c r="T230" s="20">
        <v>0.20833333333333334</v>
      </c>
      <c r="U230" s="4" t="s">
        <v>10</v>
      </c>
      <c r="V230" s="4" t="s">
        <v>73</v>
      </c>
      <c r="W230" s="4" t="s">
        <v>1148</v>
      </c>
      <c r="X230" s="3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</row>
    <row r="231" spans="1:54" ht="14.25">
      <c r="A231" s="3"/>
      <c r="B231" s="38" t="s">
        <v>1149</v>
      </c>
      <c r="C231" s="80">
        <f>400</f>
        <v>400</v>
      </c>
      <c r="D231" s="38" t="s">
        <v>1150</v>
      </c>
      <c r="E231" s="80">
        <v>-400</v>
      </c>
      <c r="F231" s="38" t="s">
        <v>1150</v>
      </c>
      <c r="G231" s="80">
        <v>-400</v>
      </c>
      <c r="H231" s="41" t="s">
        <v>1151</v>
      </c>
      <c r="I231" s="3"/>
      <c r="J231" s="3"/>
      <c r="K231" s="3"/>
      <c r="L231" s="3"/>
      <c r="M231" s="3"/>
      <c r="N231" s="4" t="s">
        <v>231</v>
      </c>
      <c r="O231" s="4" t="s">
        <v>1152</v>
      </c>
      <c r="P231" s="4" t="s">
        <v>709</v>
      </c>
      <c r="Q231" s="4" t="s">
        <v>1147</v>
      </c>
      <c r="R231" s="4" t="s">
        <v>710</v>
      </c>
      <c r="S231" s="19">
        <v>3</v>
      </c>
      <c r="T231" s="20">
        <v>0.20833333333333334</v>
      </c>
      <c r="U231" s="4" t="s">
        <v>10</v>
      </c>
      <c r="V231" s="4" t="s">
        <v>788</v>
      </c>
      <c r="W231" s="4" t="s">
        <v>1153</v>
      </c>
      <c r="X231" s="3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</row>
    <row r="232" spans="1:54" ht="14.25">
      <c r="A232" s="3"/>
      <c r="B232" s="1" t="s">
        <v>1145</v>
      </c>
      <c r="C232" s="84">
        <v>-156</v>
      </c>
      <c r="D232" s="1" t="s">
        <v>999</v>
      </c>
      <c r="E232" s="84">
        <f>136</f>
        <v>136</v>
      </c>
      <c r="F232" s="1" t="s">
        <v>999</v>
      </c>
      <c r="G232" s="84">
        <f>136</f>
        <v>136</v>
      </c>
      <c r="H232" s="2" t="s">
        <v>1</v>
      </c>
      <c r="I232" s="24">
        <v>6.5</v>
      </c>
      <c r="J232" s="1" t="s">
        <v>18</v>
      </c>
      <c r="K232" s="24">
        <v>-150</v>
      </c>
      <c r="L232" s="1" t="s">
        <v>1154</v>
      </c>
      <c r="M232" s="3"/>
      <c r="N232" s="4" t="s">
        <v>339</v>
      </c>
      <c r="O232" s="4" t="s">
        <v>1155</v>
      </c>
      <c r="P232" s="4" t="s">
        <v>8</v>
      </c>
      <c r="Q232" s="4" t="s">
        <v>1147</v>
      </c>
      <c r="R232" s="4" t="s">
        <v>9</v>
      </c>
      <c r="S232" s="19">
        <v>3</v>
      </c>
      <c r="T232" s="20">
        <v>0.20833333333333334</v>
      </c>
      <c r="U232" s="4" t="s">
        <v>10</v>
      </c>
      <c r="V232" s="4" t="s">
        <v>11</v>
      </c>
      <c r="W232" s="4" t="s">
        <v>1156</v>
      </c>
      <c r="X232" s="26" t="s">
        <v>1157</v>
      </c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</row>
    <row r="233" spans="1:54" ht="14.25">
      <c r="A233" s="3"/>
      <c r="B233" s="1" t="s">
        <v>1158</v>
      </c>
      <c r="C233" s="84">
        <f>135</f>
        <v>135</v>
      </c>
      <c r="D233" s="1" t="s">
        <v>1159</v>
      </c>
      <c r="E233" s="84">
        <v>-155</v>
      </c>
      <c r="F233" s="1" t="s">
        <v>1158</v>
      </c>
      <c r="G233" s="84">
        <f>135</f>
        <v>135</v>
      </c>
      <c r="H233" s="2" t="s">
        <v>1</v>
      </c>
      <c r="I233" s="24">
        <v>7.3</v>
      </c>
      <c r="J233" s="1" t="s">
        <v>46</v>
      </c>
      <c r="K233" s="24">
        <v>-180</v>
      </c>
      <c r="L233" s="1" t="s">
        <v>1160</v>
      </c>
      <c r="M233" s="3"/>
      <c r="N233" s="4" t="s">
        <v>339</v>
      </c>
      <c r="O233" s="4" t="s">
        <v>1161</v>
      </c>
      <c r="P233" s="4" t="s">
        <v>22</v>
      </c>
      <c r="Q233" s="4" t="s">
        <v>1147</v>
      </c>
      <c r="R233" s="4" t="s">
        <v>9</v>
      </c>
      <c r="S233" s="19">
        <v>3</v>
      </c>
      <c r="T233" s="20">
        <v>0.20833333333333334</v>
      </c>
      <c r="U233" s="4" t="s">
        <v>10</v>
      </c>
      <c r="V233" s="4" t="s">
        <v>572</v>
      </c>
      <c r="W233" s="4" t="s">
        <v>1162</v>
      </c>
      <c r="X233" s="26" t="s">
        <v>1163</v>
      </c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</row>
    <row r="234" spans="1:54" ht="14.25">
      <c r="A234" s="3"/>
      <c r="B234" s="1" t="s">
        <v>1164</v>
      </c>
      <c r="C234" s="84">
        <v>-122</v>
      </c>
      <c r="D234" s="1" t="s">
        <v>1145</v>
      </c>
      <c r="E234" s="84">
        <f>102</f>
        <v>102</v>
      </c>
      <c r="F234" s="1" t="s">
        <v>1164</v>
      </c>
      <c r="G234" s="84">
        <v>-122</v>
      </c>
      <c r="H234" s="30" t="s">
        <v>1</v>
      </c>
      <c r="I234" s="24">
        <v>8.1999999999999993</v>
      </c>
      <c r="J234" s="1" t="s">
        <v>46</v>
      </c>
      <c r="K234" s="3"/>
      <c r="L234" s="1" t="s">
        <v>1165</v>
      </c>
      <c r="M234" s="3"/>
      <c r="N234" s="4" t="s">
        <v>115</v>
      </c>
      <c r="O234" s="4" t="s">
        <v>1166</v>
      </c>
      <c r="P234" s="4" t="s">
        <v>22</v>
      </c>
      <c r="Q234" s="4" t="s">
        <v>1147</v>
      </c>
      <c r="R234" s="4" t="s">
        <v>46</v>
      </c>
      <c r="S234" s="19">
        <v>2</v>
      </c>
      <c r="T234" s="20">
        <v>0.13680555555555557</v>
      </c>
      <c r="U234" s="4" t="s">
        <v>10</v>
      </c>
      <c r="V234" s="4" t="s">
        <v>11</v>
      </c>
      <c r="W234" s="4" t="s">
        <v>417</v>
      </c>
      <c r="X234" s="26" t="s">
        <v>1167</v>
      </c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</row>
    <row r="235" spans="1:54" ht="14.25">
      <c r="A235" s="3"/>
      <c r="B235" s="1" t="s">
        <v>1168</v>
      </c>
      <c r="C235" s="76">
        <f>145</f>
        <v>145</v>
      </c>
      <c r="D235" s="1" t="s">
        <v>1169</v>
      </c>
      <c r="E235" s="76">
        <v>-170</v>
      </c>
      <c r="F235" s="1" t="s">
        <v>1169</v>
      </c>
      <c r="G235" s="76">
        <v>-170</v>
      </c>
      <c r="H235" s="2" t="s">
        <v>1</v>
      </c>
      <c r="I235" s="3"/>
      <c r="J235" s="3"/>
      <c r="K235" s="3"/>
      <c r="L235" s="3"/>
      <c r="M235" s="3"/>
      <c r="N235" s="4" t="s">
        <v>177</v>
      </c>
      <c r="O235" s="4" t="s">
        <v>1170</v>
      </c>
      <c r="P235" s="4" t="s">
        <v>8</v>
      </c>
      <c r="Q235" s="4" t="s">
        <v>1147</v>
      </c>
      <c r="R235" s="4" t="s">
        <v>193</v>
      </c>
      <c r="S235" s="19">
        <v>3</v>
      </c>
      <c r="T235" s="20">
        <v>0.20833333333333334</v>
      </c>
      <c r="U235" s="4" t="s">
        <v>10</v>
      </c>
      <c r="V235" s="4" t="s">
        <v>23</v>
      </c>
      <c r="W235" s="4" t="s">
        <v>1171</v>
      </c>
      <c r="X235" s="26" t="s">
        <v>1172</v>
      </c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</row>
    <row r="236" spans="1:54" ht="14.25">
      <c r="A236" s="3"/>
      <c r="B236" s="1" t="s">
        <v>1173</v>
      </c>
      <c r="C236" s="76">
        <v>-203</v>
      </c>
      <c r="D236" s="1" t="s">
        <v>1174</v>
      </c>
      <c r="E236" s="76">
        <f>173</f>
        <v>173</v>
      </c>
      <c r="F236" s="1" t="s">
        <v>1173</v>
      </c>
      <c r="G236" s="76">
        <v>-203</v>
      </c>
      <c r="H236" s="2" t="s">
        <v>1</v>
      </c>
      <c r="I236" s="3"/>
      <c r="J236" s="3"/>
      <c r="K236" s="3"/>
      <c r="L236" s="3"/>
      <c r="M236" s="3"/>
      <c r="N236" s="4" t="s">
        <v>311</v>
      </c>
      <c r="O236" s="4" t="s">
        <v>1175</v>
      </c>
      <c r="P236" s="4" t="s">
        <v>22</v>
      </c>
      <c r="Q236" s="4" t="s">
        <v>1147</v>
      </c>
      <c r="R236" s="4" t="s">
        <v>46</v>
      </c>
      <c r="S236" s="19">
        <v>1</v>
      </c>
      <c r="T236" s="20">
        <v>0.19930555555555557</v>
      </c>
      <c r="U236" s="4" t="s">
        <v>10</v>
      </c>
      <c r="V236" s="4" t="s">
        <v>39</v>
      </c>
      <c r="W236" s="4" t="s">
        <v>48</v>
      </c>
      <c r="X236" s="26" t="s">
        <v>1176</v>
      </c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</row>
    <row r="237" spans="1:54" ht="14.25">
      <c r="A237" s="3"/>
      <c r="B237" s="89" t="s">
        <v>1177</v>
      </c>
      <c r="C237" s="76">
        <f>200</f>
        <v>200</v>
      </c>
      <c r="D237" s="1" t="s">
        <v>1178</v>
      </c>
      <c r="E237" s="76">
        <v>-235</v>
      </c>
      <c r="F237" s="89" t="s">
        <v>1177</v>
      </c>
      <c r="G237" s="76">
        <f>200</f>
        <v>200</v>
      </c>
      <c r="H237" s="2" t="s">
        <v>1</v>
      </c>
      <c r="I237" s="3"/>
      <c r="J237" s="3"/>
      <c r="K237" s="3"/>
      <c r="L237" s="3"/>
      <c r="M237" s="3"/>
      <c r="N237" s="4" t="s">
        <v>311</v>
      </c>
      <c r="O237" s="4" t="s">
        <v>1179</v>
      </c>
      <c r="P237" s="4" t="s">
        <v>8</v>
      </c>
      <c r="Q237" s="4" t="s">
        <v>1147</v>
      </c>
      <c r="R237" s="4" t="s">
        <v>46</v>
      </c>
      <c r="S237" s="19">
        <v>1</v>
      </c>
      <c r="T237" s="20">
        <v>2.2222222222222223E-2</v>
      </c>
      <c r="U237" s="4" t="s">
        <v>10</v>
      </c>
      <c r="V237" s="4" t="s">
        <v>55</v>
      </c>
      <c r="W237" s="4" t="s">
        <v>48</v>
      </c>
      <c r="X237" s="26" t="s">
        <v>1180</v>
      </c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</row>
    <row r="238" spans="1:54" ht="14.25">
      <c r="A238" s="3"/>
      <c r="B238" s="33" t="s">
        <v>1181</v>
      </c>
      <c r="C238" s="76">
        <v>-140</v>
      </c>
      <c r="D238" s="34" t="s">
        <v>1182</v>
      </c>
      <c r="E238" s="76">
        <f>120</f>
        <v>120</v>
      </c>
      <c r="F238" s="1" t="s">
        <v>1181</v>
      </c>
      <c r="G238" s="76">
        <v>-140</v>
      </c>
      <c r="H238" s="2" t="s">
        <v>1</v>
      </c>
      <c r="I238" s="3"/>
      <c r="J238" s="3"/>
      <c r="K238" s="3"/>
      <c r="L238" s="3"/>
      <c r="M238" s="3"/>
      <c r="N238" s="4" t="s">
        <v>185</v>
      </c>
      <c r="O238" s="4" t="s">
        <v>1183</v>
      </c>
      <c r="P238" s="4" t="s">
        <v>22</v>
      </c>
      <c r="Q238" s="4" t="s">
        <v>1147</v>
      </c>
      <c r="R238" s="4" t="s">
        <v>61</v>
      </c>
      <c r="S238" s="19">
        <v>1</v>
      </c>
      <c r="T238" s="20">
        <v>8.5416666666666669E-2</v>
      </c>
      <c r="U238" s="4" t="s">
        <v>10</v>
      </c>
      <c r="V238" s="4" t="s">
        <v>1184</v>
      </c>
      <c r="W238" s="4" t="s">
        <v>67</v>
      </c>
      <c r="X238" s="26" t="s">
        <v>1185</v>
      </c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</row>
    <row r="239" spans="1:54" ht="15">
      <c r="A239" s="3"/>
      <c r="B239" s="1" t="s">
        <v>1186</v>
      </c>
      <c r="C239" s="24">
        <v>-132</v>
      </c>
      <c r="D239" s="1" t="s">
        <v>1187</v>
      </c>
      <c r="E239" s="24">
        <f>112</f>
        <v>112</v>
      </c>
      <c r="F239" s="1" t="s">
        <v>1186</v>
      </c>
      <c r="G239" s="76">
        <v>-132</v>
      </c>
      <c r="H239" s="29" t="s">
        <v>1</v>
      </c>
      <c r="I239" s="3"/>
      <c r="J239" s="3"/>
      <c r="K239" s="3"/>
      <c r="L239" s="3"/>
      <c r="M239" s="3"/>
      <c r="N239" s="4" t="s">
        <v>37</v>
      </c>
      <c r="O239" s="4" t="s">
        <v>1188</v>
      </c>
      <c r="P239" s="4" t="s">
        <v>22</v>
      </c>
      <c r="Q239" s="4" t="s">
        <v>1147</v>
      </c>
      <c r="R239" s="4" t="s">
        <v>9</v>
      </c>
      <c r="S239" s="19">
        <v>3</v>
      </c>
      <c r="T239" s="20">
        <v>0.20833333333333334</v>
      </c>
      <c r="U239" s="4" t="s">
        <v>10</v>
      </c>
      <c r="V239" s="4" t="s">
        <v>226</v>
      </c>
      <c r="W239" s="4" t="s">
        <v>1189</v>
      </c>
      <c r="X239" s="26" t="s">
        <v>1190</v>
      </c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</row>
    <row r="240" spans="1:54" ht="14.25">
      <c r="A240" s="3"/>
      <c r="B240" s="1" t="s">
        <v>1191</v>
      </c>
      <c r="C240" s="24">
        <v>-120</v>
      </c>
      <c r="D240" s="1" t="s">
        <v>1192</v>
      </c>
      <c r="E240" s="24">
        <f>100</f>
        <v>100</v>
      </c>
      <c r="F240" s="1" t="s">
        <v>1192</v>
      </c>
      <c r="G240" s="24">
        <f>100</f>
        <v>100</v>
      </c>
      <c r="H240" s="2" t="s">
        <v>1</v>
      </c>
      <c r="I240" s="3"/>
      <c r="J240" s="3"/>
      <c r="K240" s="3"/>
      <c r="L240" s="3"/>
      <c r="M240" s="3"/>
      <c r="N240" s="4" t="s">
        <v>207</v>
      </c>
      <c r="O240" s="4" t="s">
        <v>1193</v>
      </c>
      <c r="P240" s="4" t="s">
        <v>8</v>
      </c>
      <c r="Q240" s="4" t="s">
        <v>1147</v>
      </c>
      <c r="R240" s="4" t="s">
        <v>61</v>
      </c>
      <c r="S240" s="19">
        <v>3</v>
      </c>
      <c r="T240" s="20">
        <v>7.1527777777777773E-2</v>
      </c>
      <c r="U240" s="4" t="s">
        <v>10</v>
      </c>
      <c r="V240" s="4" t="s">
        <v>654</v>
      </c>
      <c r="W240" s="4" t="s">
        <v>1194</v>
      </c>
      <c r="X240" s="26" t="s">
        <v>1195</v>
      </c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</row>
    <row r="241" spans="1:54" ht="14.25">
      <c r="A241" s="3"/>
      <c r="B241" s="1" t="s">
        <v>1196</v>
      </c>
      <c r="C241" s="24">
        <f>123</f>
        <v>123</v>
      </c>
      <c r="D241" s="1" t="s">
        <v>1197</v>
      </c>
      <c r="E241" s="24">
        <v>-123</v>
      </c>
      <c r="F241" s="1" t="s">
        <v>1197</v>
      </c>
      <c r="G241" s="24">
        <v>-123</v>
      </c>
      <c r="H241" s="2" t="s">
        <v>1</v>
      </c>
      <c r="I241" s="3"/>
      <c r="J241" s="3"/>
      <c r="K241" s="3"/>
      <c r="L241" s="3"/>
      <c r="M241" s="3"/>
      <c r="N241" s="4" t="s">
        <v>65</v>
      </c>
      <c r="O241" s="4" t="s">
        <v>1198</v>
      </c>
      <c r="P241" s="4" t="s">
        <v>22</v>
      </c>
      <c r="Q241" s="4" t="s">
        <v>1147</v>
      </c>
      <c r="R241" s="4" t="s">
        <v>61</v>
      </c>
      <c r="S241" s="19">
        <v>2</v>
      </c>
      <c r="T241" s="20">
        <v>0.17499999999999999</v>
      </c>
      <c r="U241" s="4" t="s">
        <v>10</v>
      </c>
      <c r="V241" s="4" t="s">
        <v>89</v>
      </c>
      <c r="W241" s="4" t="s">
        <v>897</v>
      </c>
      <c r="X241" s="26" t="s">
        <v>1199</v>
      </c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</row>
    <row r="242" spans="1:54" ht="14.25">
      <c r="A242" s="3"/>
      <c r="B242" s="38" t="s">
        <v>1200</v>
      </c>
      <c r="C242" s="80">
        <f>550</f>
        <v>550</v>
      </c>
      <c r="D242" s="38" t="s">
        <v>1201</v>
      </c>
      <c r="E242" s="80">
        <v>-550</v>
      </c>
      <c r="F242" s="38" t="s">
        <v>1200</v>
      </c>
      <c r="G242" s="80">
        <f>550</f>
        <v>550</v>
      </c>
      <c r="H242" s="41" t="s">
        <v>1</v>
      </c>
      <c r="I242" s="3"/>
      <c r="J242" s="3"/>
      <c r="K242" s="3"/>
      <c r="L242" s="3"/>
      <c r="M242" s="3"/>
      <c r="N242" s="4" t="s">
        <v>231</v>
      </c>
      <c r="O242" s="4" t="s">
        <v>1202</v>
      </c>
      <c r="P242" s="4" t="s">
        <v>22</v>
      </c>
      <c r="Q242" s="4" t="s">
        <v>1147</v>
      </c>
      <c r="R242" s="4" t="s">
        <v>46</v>
      </c>
      <c r="S242" s="19">
        <v>2</v>
      </c>
      <c r="T242" s="20">
        <v>0.18958333333333333</v>
      </c>
      <c r="U242" s="4" t="s">
        <v>10</v>
      </c>
      <c r="V242" s="4" t="s">
        <v>96</v>
      </c>
      <c r="W242" s="4" t="s">
        <v>1203</v>
      </c>
      <c r="X242" s="3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</row>
    <row r="243" spans="1:54" ht="14.25">
      <c r="A243" s="3"/>
      <c r="B243" s="1" t="s">
        <v>1204</v>
      </c>
      <c r="C243" s="84">
        <v>-180</v>
      </c>
      <c r="D243" s="1" t="s">
        <v>1205</v>
      </c>
      <c r="E243" s="84">
        <f>155</f>
        <v>155</v>
      </c>
      <c r="F243" s="1" t="s">
        <v>1204</v>
      </c>
      <c r="G243" s="84">
        <v>-180</v>
      </c>
      <c r="H243" s="30" t="s">
        <v>77</v>
      </c>
      <c r="I243" s="24">
        <v>9.1</v>
      </c>
      <c r="J243" s="24" t="s">
        <v>16</v>
      </c>
      <c r="K243" s="24"/>
      <c r="L243" s="24" t="s">
        <v>1206</v>
      </c>
      <c r="M243" s="24" t="s">
        <v>1207</v>
      </c>
      <c r="N243" s="4" t="s">
        <v>20</v>
      </c>
      <c r="O243" s="4" t="s">
        <v>1208</v>
      </c>
      <c r="P243" s="4" t="s">
        <v>179</v>
      </c>
      <c r="Q243" s="4" t="s">
        <v>1147</v>
      </c>
      <c r="R243" s="4" t="s">
        <v>180</v>
      </c>
      <c r="S243" s="19">
        <v>2</v>
      </c>
      <c r="T243" s="20">
        <v>4.1666666666666664E-2</v>
      </c>
      <c r="U243" s="4" t="s">
        <v>10</v>
      </c>
      <c r="V243" s="4" t="s">
        <v>89</v>
      </c>
      <c r="W243" s="4" t="s">
        <v>1209</v>
      </c>
      <c r="X243" s="26" t="s">
        <v>1210</v>
      </c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</row>
    <row r="244" spans="1:54" ht="14.25">
      <c r="A244" s="3"/>
      <c r="B244" s="1" t="s">
        <v>1211</v>
      </c>
      <c r="C244" s="84">
        <f>260</f>
        <v>260</v>
      </c>
      <c r="D244" s="1" t="s">
        <v>1197</v>
      </c>
      <c r="E244" s="84">
        <v>-310</v>
      </c>
      <c r="F244" s="1" t="s">
        <v>1197</v>
      </c>
      <c r="G244" s="84">
        <v>-310</v>
      </c>
      <c r="H244" s="2" t="s">
        <v>5</v>
      </c>
      <c r="I244" s="24">
        <v>6.5</v>
      </c>
      <c r="J244" s="1" t="s">
        <v>427</v>
      </c>
      <c r="K244" s="24">
        <v>-130</v>
      </c>
      <c r="L244" s="1"/>
      <c r="M244" s="1"/>
      <c r="N244" s="4" t="s">
        <v>94</v>
      </c>
      <c r="O244" s="4" t="s">
        <v>1212</v>
      </c>
      <c r="P244" s="4" t="s">
        <v>22</v>
      </c>
      <c r="Q244" s="4" t="s">
        <v>1147</v>
      </c>
      <c r="R244" s="4" t="s">
        <v>46</v>
      </c>
      <c r="S244" s="19">
        <v>1</v>
      </c>
      <c r="T244" s="20">
        <v>8.9583333333333334E-2</v>
      </c>
      <c r="U244" s="4" t="s">
        <v>10</v>
      </c>
      <c r="V244" s="4" t="s">
        <v>55</v>
      </c>
      <c r="W244" s="4" t="s">
        <v>48</v>
      </c>
      <c r="X244" s="26" t="s">
        <v>1213</v>
      </c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</row>
    <row r="245" spans="1:54" ht="14.25">
      <c r="A245" s="3"/>
      <c r="B245" s="1" t="s">
        <v>1214</v>
      </c>
      <c r="C245" s="84">
        <f>182</f>
        <v>182</v>
      </c>
      <c r="D245" s="1" t="s">
        <v>1215</v>
      </c>
      <c r="E245" s="84">
        <v>-212</v>
      </c>
      <c r="F245" s="1" t="s">
        <v>1215</v>
      </c>
      <c r="G245" s="84">
        <v>-212</v>
      </c>
      <c r="H245" s="30" t="s">
        <v>5</v>
      </c>
      <c r="I245" s="24">
        <v>6.5</v>
      </c>
      <c r="J245" s="1" t="s">
        <v>427</v>
      </c>
      <c r="K245" s="3"/>
      <c r="L245" s="1" t="s">
        <v>1216</v>
      </c>
      <c r="M245" s="3"/>
      <c r="N245" s="4" t="s">
        <v>79</v>
      </c>
      <c r="O245" s="4" t="s">
        <v>1217</v>
      </c>
      <c r="P245" s="4" t="s">
        <v>22</v>
      </c>
      <c r="Q245" s="4" t="s">
        <v>1147</v>
      </c>
      <c r="R245" s="4" t="s">
        <v>9</v>
      </c>
      <c r="S245" s="19">
        <v>3</v>
      </c>
      <c r="T245" s="20">
        <v>0.20833333333333334</v>
      </c>
      <c r="U245" s="4" t="s">
        <v>10</v>
      </c>
      <c r="V245" s="4" t="s">
        <v>96</v>
      </c>
      <c r="W245" s="4" t="s">
        <v>1218</v>
      </c>
      <c r="X245" s="26" t="s">
        <v>1219</v>
      </c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</row>
    <row r="246" spans="1:54" ht="14.25">
      <c r="A246" s="3"/>
      <c r="B246" s="1" t="s">
        <v>1220</v>
      </c>
      <c r="C246" s="84">
        <v>-145</v>
      </c>
      <c r="D246" s="1" t="s">
        <v>1221</v>
      </c>
      <c r="E246" s="84">
        <f>125</f>
        <v>125</v>
      </c>
      <c r="F246" s="1" t="s">
        <v>1220</v>
      </c>
      <c r="G246" s="84">
        <v>-145</v>
      </c>
      <c r="H246" s="30" t="s">
        <v>5</v>
      </c>
      <c r="I246" s="24">
        <v>7.8</v>
      </c>
      <c r="J246" s="1" t="s">
        <v>46</v>
      </c>
      <c r="K246" s="3"/>
      <c r="L246" s="1" t="s">
        <v>1222</v>
      </c>
      <c r="M246" s="3"/>
      <c r="N246" s="4" t="s">
        <v>115</v>
      </c>
      <c r="O246" s="4" t="s">
        <v>1223</v>
      </c>
      <c r="P246" s="4" t="s">
        <v>8</v>
      </c>
      <c r="Q246" s="4" t="s">
        <v>1147</v>
      </c>
      <c r="R246" s="4" t="s">
        <v>193</v>
      </c>
      <c r="S246" s="19">
        <v>3</v>
      </c>
      <c r="T246" s="20">
        <v>0.20833333333333334</v>
      </c>
      <c r="U246" s="4" t="s">
        <v>10</v>
      </c>
      <c r="V246" s="4" t="s">
        <v>11</v>
      </c>
      <c r="W246" s="4" t="s">
        <v>1224</v>
      </c>
      <c r="X246" s="26" t="s">
        <v>1225</v>
      </c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</row>
    <row r="247" spans="1:54" ht="14.25">
      <c r="A247" s="3"/>
      <c r="B247" s="1" t="s">
        <v>1226</v>
      </c>
      <c r="C247" s="84">
        <v>-132</v>
      </c>
      <c r="D247" s="1" t="s">
        <v>1227</v>
      </c>
      <c r="E247" s="84">
        <f>112</f>
        <v>112</v>
      </c>
      <c r="F247" s="1" t="s">
        <v>1227</v>
      </c>
      <c r="G247" s="84">
        <f>112</f>
        <v>112</v>
      </c>
      <c r="H247" s="2" t="s">
        <v>122</v>
      </c>
      <c r="I247" s="24">
        <v>7.8</v>
      </c>
      <c r="J247" s="3" t="s">
        <v>16</v>
      </c>
      <c r="K247" s="3" t="s">
        <v>1228</v>
      </c>
      <c r="L247" s="3" t="s">
        <v>29</v>
      </c>
      <c r="M247" s="3" t="s">
        <v>30</v>
      </c>
      <c r="N247" s="4" t="s">
        <v>135</v>
      </c>
      <c r="O247" s="4" t="s">
        <v>1229</v>
      </c>
      <c r="P247" s="4" t="s">
        <v>22</v>
      </c>
      <c r="Q247" s="4" t="s">
        <v>1147</v>
      </c>
      <c r="R247" s="4" t="s">
        <v>9</v>
      </c>
      <c r="S247" s="19">
        <v>3</v>
      </c>
      <c r="T247" s="20">
        <v>0.20833333333333334</v>
      </c>
      <c r="U247" s="4" t="s">
        <v>10</v>
      </c>
      <c r="V247" s="4" t="s">
        <v>226</v>
      </c>
      <c r="W247" s="4" t="s">
        <v>1230</v>
      </c>
      <c r="X247" s="26" t="s">
        <v>1231</v>
      </c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</row>
    <row r="248" spans="1:54" ht="14.25">
      <c r="A248" s="3"/>
      <c r="B248" s="1" t="s">
        <v>1232</v>
      </c>
      <c r="C248" s="84">
        <f>144</f>
        <v>144</v>
      </c>
      <c r="D248" s="1" t="s">
        <v>1233</v>
      </c>
      <c r="E248" s="84">
        <v>-164</v>
      </c>
      <c r="F248" s="1" t="s">
        <v>1233</v>
      </c>
      <c r="G248" s="84">
        <v>-164</v>
      </c>
      <c r="H248" s="2" t="s">
        <v>122</v>
      </c>
      <c r="I248" s="24">
        <v>7.5</v>
      </c>
      <c r="J248" s="3" t="s">
        <v>16</v>
      </c>
      <c r="K248" s="3" t="s">
        <v>1228</v>
      </c>
      <c r="L248" s="3" t="s">
        <v>1234</v>
      </c>
      <c r="M248" s="3" t="s">
        <v>1235</v>
      </c>
      <c r="N248" s="4" t="s">
        <v>135</v>
      </c>
      <c r="O248" s="4" t="s">
        <v>1236</v>
      </c>
      <c r="P248" s="4" t="s">
        <v>22</v>
      </c>
      <c r="Q248" s="4" t="s">
        <v>1147</v>
      </c>
      <c r="R248" s="4" t="s">
        <v>46</v>
      </c>
      <c r="S248" s="19">
        <v>3</v>
      </c>
      <c r="T248" s="20">
        <v>0.15486111111111112</v>
      </c>
      <c r="U248" s="4" t="s">
        <v>10</v>
      </c>
      <c r="V248" s="4" t="s">
        <v>226</v>
      </c>
      <c r="W248" s="4" t="s">
        <v>1117</v>
      </c>
      <c r="X248" s="26" t="s">
        <v>1237</v>
      </c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</row>
    <row r="249" spans="1:54" ht="15">
      <c r="A249" s="3"/>
      <c r="B249" s="1" t="s">
        <v>1238</v>
      </c>
      <c r="C249" s="76">
        <f>180</f>
        <v>180</v>
      </c>
      <c r="D249" s="1" t="s">
        <v>1239</v>
      </c>
      <c r="E249" s="76">
        <v>-210</v>
      </c>
      <c r="F249" s="1" t="s">
        <v>1239</v>
      </c>
      <c r="G249" s="48">
        <v>-225</v>
      </c>
      <c r="H249" s="2" t="s">
        <v>122</v>
      </c>
      <c r="I249" s="3"/>
      <c r="J249" s="3" t="s">
        <v>16</v>
      </c>
      <c r="K249" s="3" t="s">
        <v>1228</v>
      </c>
      <c r="L249" s="3" t="s">
        <v>29</v>
      </c>
      <c r="M249" s="3" t="s">
        <v>447</v>
      </c>
      <c r="N249" s="4" t="s">
        <v>166</v>
      </c>
      <c r="O249" s="4" t="s">
        <v>1240</v>
      </c>
      <c r="P249" s="4" t="s">
        <v>22</v>
      </c>
      <c r="Q249" s="4" t="s">
        <v>1147</v>
      </c>
      <c r="R249" s="4" t="s">
        <v>193</v>
      </c>
      <c r="S249" s="19">
        <v>3</v>
      </c>
      <c r="T249" s="20">
        <v>0.20833333333333334</v>
      </c>
      <c r="U249" s="4" t="s">
        <v>10</v>
      </c>
      <c r="V249" s="4" t="s">
        <v>615</v>
      </c>
      <c r="W249" s="4" t="s">
        <v>1241</v>
      </c>
      <c r="X249" s="26" t="s">
        <v>1242</v>
      </c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</row>
    <row r="250" spans="1:54" ht="15">
      <c r="A250" s="3"/>
      <c r="B250" s="1" t="s">
        <v>1243</v>
      </c>
      <c r="C250" s="76">
        <f>158</f>
        <v>158</v>
      </c>
      <c r="D250" s="1" t="s">
        <v>1244</v>
      </c>
      <c r="E250" s="76">
        <v>-183</v>
      </c>
      <c r="F250" s="1" t="s">
        <v>1244</v>
      </c>
      <c r="G250" s="48">
        <v>-210</v>
      </c>
      <c r="H250" s="2" t="s">
        <v>122</v>
      </c>
      <c r="I250" s="3"/>
      <c r="J250" s="3" t="s">
        <v>16</v>
      </c>
      <c r="K250" s="3" t="s">
        <v>1228</v>
      </c>
      <c r="L250" s="3" t="s">
        <v>1245</v>
      </c>
      <c r="M250" s="3" t="s">
        <v>124</v>
      </c>
      <c r="N250" s="4" t="s">
        <v>166</v>
      </c>
      <c r="O250" s="4" t="s">
        <v>1246</v>
      </c>
      <c r="P250" s="4" t="s">
        <v>22</v>
      </c>
      <c r="Q250" s="4" t="s">
        <v>1147</v>
      </c>
      <c r="R250" s="4" t="s">
        <v>46</v>
      </c>
      <c r="S250" s="19">
        <v>3</v>
      </c>
      <c r="T250" s="20">
        <v>5.4166666666666669E-2</v>
      </c>
      <c r="U250" s="4" t="s">
        <v>10</v>
      </c>
      <c r="V250" s="4" t="s">
        <v>96</v>
      </c>
      <c r="W250" s="4" t="s">
        <v>97</v>
      </c>
      <c r="X250" s="26" t="s">
        <v>1247</v>
      </c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</row>
    <row r="251" spans="1:54" ht="15">
      <c r="A251" s="3"/>
      <c r="B251" s="1" t="s">
        <v>1248</v>
      </c>
      <c r="C251" s="76">
        <v>-310</v>
      </c>
      <c r="D251" s="1" t="s">
        <v>1249</v>
      </c>
      <c r="E251" s="76">
        <f>260</f>
        <v>260</v>
      </c>
      <c r="F251" s="1" t="s">
        <v>1248</v>
      </c>
      <c r="G251" s="48">
        <v>-300</v>
      </c>
      <c r="H251" s="2" t="s">
        <v>122</v>
      </c>
      <c r="I251" s="3"/>
      <c r="J251" s="3" t="s">
        <v>16</v>
      </c>
      <c r="K251" s="3" t="s">
        <v>1228</v>
      </c>
      <c r="L251" s="3" t="s">
        <v>29</v>
      </c>
      <c r="M251" s="3" t="s">
        <v>30</v>
      </c>
      <c r="N251" s="4" t="s">
        <v>166</v>
      </c>
      <c r="O251" s="4" t="s">
        <v>1250</v>
      </c>
      <c r="P251" s="4" t="s">
        <v>8</v>
      </c>
      <c r="Q251" s="4" t="s">
        <v>1147</v>
      </c>
      <c r="R251" s="4" t="s">
        <v>9</v>
      </c>
      <c r="S251" s="19">
        <v>3</v>
      </c>
      <c r="T251" s="20">
        <v>0.20833333333333334</v>
      </c>
      <c r="U251" s="4" t="s">
        <v>10</v>
      </c>
      <c r="V251" s="4" t="s">
        <v>168</v>
      </c>
      <c r="W251" s="4" t="s">
        <v>1251</v>
      </c>
      <c r="X251" s="26" t="s">
        <v>1252</v>
      </c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</row>
    <row r="252" spans="1:54" ht="14.25">
      <c r="A252" s="3"/>
      <c r="B252" s="1" t="s">
        <v>1253</v>
      </c>
      <c r="C252" s="76">
        <f>208</f>
        <v>208</v>
      </c>
      <c r="D252" s="1" t="s">
        <v>1254</v>
      </c>
      <c r="E252" s="76">
        <v>-243</v>
      </c>
      <c r="F252" s="1" t="s">
        <v>1254</v>
      </c>
      <c r="G252" s="76">
        <v>-243</v>
      </c>
      <c r="H252" s="2" t="s">
        <v>5</v>
      </c>
      <c r="I252" s="3"/>
      <c r="J252" s="3"/>
      <c r="K252" s="3"/>
      <c r="L252" s="3"/>
      <c r="M252" s="3"/>
      <c r="N252" s="4" t="s">
        <v>177</v>
      </c>
      <c r="O252" s="4" t="s">
        <v>1255</v>
      </c>
      <c r="P252" s="4" t="s">
        <v>22</v>
      </c>
      <c r="Q252" s="4" t="s">
        <v>1147</v>
      </c>
      <c r="R252" s="4" t="s">
        <v>46</v>
      </c>
      <c r="S252" s="19">
        <v>2</v>
      </c>
      <c r="T252" s="20">
        <v>0.16875000000000001</v>
      </c>
      <c r="U252" s="4" t="s">
        <v>10</v>
      </c>
      <c r="V252" s="4" t="s">
        <v>89</v>
      </c>
      <c r="W252" s="4" t="s">
        <v>48</v>
      </c>
      <c r="X252" s="26" t="s">
        <v>1256</v>
      </c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</row>
    <row r="253" spans="1:54" ht="14.25">
      <c r="A253" s="3"/>
      <c r="B253" s="89" t="s">
        <v>1257</v>
      </c>
      <c r="C253" s="76">
        <v>-230</v>
      </c>
      <c r="D253" s="1" t="s">
        <v>1258</v>
      </c>
      <c r="E253" s="76">
        <f>195</f>
        <v>195</v>
      </c>
      <c r="F253" s="89" t="s">
        <v>1257</v>
      </c>
      <c r="G253" s="76">
        <v>-230</v>
      </c>
      <c r="H253" s="2" t="s">
        <v>5</v>
      </c>
      <c r="I253" s="3"/>
      <c r="J253" s="3"/>
      <c r="K253" s="3"/>
      <c r="L253" s="3"/>
      <c r="M253" s="3"/>
      <c r="N253" s="4" t="s">
        <v>311</v>
      </c>
      <c r="O253" s="4" t="s">
        <v>1259</v>
      </c>
      <c r="P253" s="4" t="s">
        <v>8</v>
      </c>
      <c r="Q253" s="4" t="s">
        <v>1147</v>
      </c>
      <c r="R253" s="4" t="s">
        <v>46</v>
      </c>
      <c r="S253" s="19">
        <v>1</v>
      </c>
      <c r="T253" s="20">
        <v>0.13680555555555557</v>
      </c>
      <c r="U253" s="4" t="s">
        <v>10</v>
      </c>
      <c r="V253" s="4" t="s">
        <v>73</v>
      </c>
      <c r="W253" s="4" t="s">
        <v>48</v>
      </c>
      <c r="X253" s="26" t="s">
        <v>1260</v>
      </c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</row>
    <row r="254" spans="1:54" ht="14.25">
      <c r="A254" s="3"/>
      <c r="B254" s="1" t="s">
        <v>1261</v>
      </c>
      <c r="C254" s="76">
        <f>290</f>
        <v>290</v>
      </c>
      <c r="D254" s="33" t="s">
        <v>1262</v>
      </c>
      <c r="E254" s="76">
        <v>-365</v>
      </c>
      <c r="F254" s="34" t="s">
        <v>1261</v>
      </c>
      <c r="G254" s="76">
        <f>290</f>
        <v>290</v>
      </c>
      <c r="H254" s="2" t="s">
        <v>122</v>
      </c>
      <c r="I254" s="3"/>
      <c r="J254" s="3"/>
      <c r="K254" s="3"/>
      <c r="L254" s="3"/>
      <c r="M254" s="3"/>
      <c r="N254" s="4" t="s">
        <v>185</v>
      </c>
      <c r="O254" s="4" t="s">
        <v>1263</v>
      </c>
      <c r="P254" s="4" t="s">
        <v>8</v>
      </c>
      <c r="Q254" s="4" t="s">
        <v>1147</v>
      </c>
      <c r="R254" s="4" t="s">
        <v>46</v>
      </c>
      <c r="S254" s="19">
        <v>3</v>
      </c>
      <c r="T254" s="20">
        <v>0.19791666666666666</v>
      </c>
      <c r="U254" s="4" t="s">
        <v>10</v>
      </c>
      <c r="V254" s="4" t="s">
        <v>187</v>
      </c>
      <c r="W254" s="4" t="s">
        <v>430</v>
      </c>
      <c r="X254" s="26" t="s">
        <v>1264</v>
      </c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</row>
    <row r="255" spans="1:54" ht="14.25">
      <c r="A255" s="3"/>
      <c r="B255" s="1" t="s">
        <v>1265</v>
      </c>
      <c r="C255" s="24">
        <v>-650</v>
      </c>
      <c r="D255" s="1" t="s">
        <v>1266</v>
      </c>
      <c r="E255" s="24">
        <f>475</f>
        <v>475</v>
      </c>
      <c r="F255" s="1" t="s">
        <v>1265</v>
      </c>
      <c r="G255" s="76">
        <v>-650</v>
      </c>
      <c r="H255" s="2" t="s">
        <v>5</v>
      </c>
      <c r="I255" s="3"/>
      <c r="J255" s="3"/>
      <c r="K255" s="3"/>
      <c r="L255" s="3"/>
      <c r="M255" s="3"/>
      <c r="N255" s="4" t="s">
        <v>44</v>
      </c>
      <c r="O255" s="4" t="s">
        <v>1267</v>
      </c>
      <c r="P255" s="4" t="s">
        <v>8</v>
      </c>
      <c r="Q255" s="4" t="s">
        <v>1147</v>
      </c>
      <c r="R255" s="4" t="s">
        <v>61</v>
      </c>
      <c r="S255" s="19">
        <v>2</v>
      </c>
      <c r="T255" s="20">
        <v>0.20555555555555555</v>
      </c>
      <c r="U255" s="4" t="s">
        <v>10</v>
      </c>
      <c r="V255" s="4" t="s">
        <v>96</v>
      </c>
      <c r="W255" s="4" t="s">
        <v>67</v>
      </c>
      <c r="X255" s="26" t="s">
        <v>1268</v>
      </c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</row>
    <row r="256" spans="1:54" ht="14.25">
      <c r="A256" s="3"/>
      <c r="B256" s="1" t="s">
        <v>1269</v>
      </c>
      <c r="C256" s="24">
        <f>135</f>
        <v>135</v>
      </c>
      <c r="D256" s="1" t="s">
        <v>1270</v>
      </c>
      <c r="E256" s="24">
        <v>-155</v>
      </c>
      <c r="F256" s="1" t="s">
        <v>1270</v>
      </c>
      <c r="G256" s="24">
        <v>-155</v>
      </c>
      <c r="H256" s="2" t="s">
        <v>5</v>
      </c>
      <c r="I256" s="3"/>
      <c r="J256" s="3"/>
      <c r="K256" s="3"/>
      <c r="L256" s="3"/>
      <c r="M256" s="3"/>
      <c r="N256" s="4" t="s">
        <v>52</v>
      </c>
      <c r="O256" s="4" t="s">
        <v>1271</v>
      </c>
      <c r="P256" s="4" t="s">
        <v>22</v>
      </c>
      <c r="Q256" s="4" t="s">
        <v>1147</v>
      </c>
      <c r="R256" s="4" t="s">
        <v>9</v>
      </c>
      <c r="S256" s="19">
        <v>3</v>
      </c>
      <c r="T256" s="20">
        <v>0.20833333333333334</v>
      </c>
      <c r="U256" s="4" t="s">
        <v>10</v>
      </c>
      <c r="V256" s="4" t="s">
        <v>39</v>
      </c>
      <c r="W256" s="4" t="s">
        <v>1272</v>
      </c>
      <c r="X256" s="26" t="s">
        <v>1273</v>
      </c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</row>
    <row r="257" spans="1:54" ht="14.25">
      <c r="A257" s="3"/>
      <c r="B257" s="1" t="s">
        <v>1274</v>
      </c>
      <c r="C257" s="24">
        <v>-190</v>
      </c>
      <c r="D257" s="1" t="s">
        <v>1275</v>
      </c>
      <c r="E257" s="24">
        <f>165</f>
        <v>165</v>
      </c>
      <c r="F257" s="1" t="s">
        <v>1275</v>
      </c>
      <c r="G257" s="24">
        <f>165</f>
        <v>165</v>
      </c>
      <c r="H257" s="2" t="s">
        <v>5</v>
      </c>
      <c r="I257" s="3"/>
      <c r="J257" s="3"/>
      <c r="K257" s="3"/>
      <c r="L257" s="3"/>
      <c r="M257" s="3"/>
      <c r="N257" s="4" t="s">
        <v>207</v>
      </c>
      <c r="O257" s="4" t="s">
        <v>1276</v>
      </c>
      <c r="P257" s="4" t="s">
        <v>22</v>
      </c>
      <c r="Q257" s="4" t="s">
        <v>1147</v>
      </c>
      <c r="R257" s="4" t="s">
        <v>61</v>
      </c>
      <c r="S257" s="19">
        <v>2</v>
      </c>
      <c r="T257" s="20">
        <v>4.9305555555555554E-2</v>
      </c>
      <c r="U257" s="4" t="s">
        <v>10</v>
      </c>
      <c r="V257" s="4" t="s">
        <v>209</v>
      </c>
      <c r="W257" s="4" t="s">
        <v>67</v>
      </c>
      <c r="X257" s="26" t="s">
        <v>1277</v>
      </c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</row>
    <row r="258" spans="1:54" ht="14.25">
      <c r="A258" s="3"/>
      <c r="B258" s="1" t="s">
        <v>1278</v>
      </c>
      <c r="C258" s="24">
        <v>-300</v>
      </c>
      <c r="D258" s="1" t="s">
        <v>1279</v>
      </c>
      <c r="E258" s="24">
        <f>300</f>
        <v>300</v>
      </c>
      <c r="F258" s="1" t="s">
        <v>1278</v>
      </c>
      <c r="G258" s="24">
        <v>-300</v>
      </c>
      <c r="H258" s="2" t="s">
        <v>5</v>
      </c>
      <c r="I258" s="3"/>
      <c r="J258" s="3"/>
      <c r="K258" s="3"/>
      <c r="L258" s="3"/>
      <c r="M258" s="3"/>
      <c r="N258" s="4" t="s">
        <v>65</v>
      </c>
      <c r="O258" s="4" t="s">
        <v>1280</v>
      </c>
      <c r="P258" s="4" t="s">
        <v>8</v>
      </c>
      <c r="Q258" s="4" t="s">
        <v>1147</v>
      </c>
      <c r="R258" s="4" t="s">
        <v>9</v>
      </c>
      <c r="S258" s="19">
        <v>3</v>
      </c>
      <c r="T258" s="20">
        <v>0.20833333333333334</v>
      </c>
      <c r="U258" s="4" t="s">
        <v>10</v>
      </c>
      <c r="V258" s="4" t="s">
        <v>55</v>
      </c>
      <c r="W258" s="4" t="s">
        <v>1281</v>
      </c>
      <c r="X258" s="26" t="s">
        <v>1282</v>
      </c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</row>
    <row r="259" spans="1:54" ht="12.75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</row>
    <row r="260" spans="1:54" ht="12.7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 spans="1:54" ht="12.7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 spans="1:54" ht="12.7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 spans="1:54" ht="12.7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 spans="1:54" ht="12.7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 spans="1:54" ht="12.7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 spans="1:54" ht="12.7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 spans="1:54" ht="12.7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 spans="1:54" ht="12.7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 spans="1:54" ht="12.7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 spans="1:54" ht="12.7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 spans="1:54" ht="12.7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 spans="1:54" ht="12.7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 spans="1:24" ht="12.7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 spans="1:24" ht="12.7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 spans="1:24" ht="12.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 spans="1:24" ht="12.7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 spans="1:24" ht="12.7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 spans="1:24" ht="12.7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 spans="1:24" ht="12.7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 spans="1:24" ht="12.7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 spans="1:24" ht="12.7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 spans="1:24" ht="12.7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 spans="1:24" ht="12.7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 spans="1:24" ht="12.7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 spans="1:24" ht="12.7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 spans="1:24" ht="12.7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 spans="1:24" ht="12.7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 spans="1:24" ht="12.7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 spans="1:24" ht="12.7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 spans="1:24" ht="12.7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 spans="1:24" ht="12.7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 spans="1:24" ht="12.7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 spans="1:24" ht="12.7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 spans="1:24" ht="12.7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 spans="1:24" ht="12.7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 spans="1:24" ht="12.7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 spans="1:24" ht="12.7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 spans="1:24" ht="12.7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 spans="1:24" ht="12.7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 spans="1:24" ht="12.7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 spans="1:24" ht="12.7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 spans="1:24" ht="12.7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 spans="1:24" ht="12.7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 spans="1:24" ht="12.7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 spans="1:54" ht="12.7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 spans="1:54" ht="12.7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 spans="1:54" ht="12.7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 spans="1:54" ht="12.75">
      <c r="A308" s="3"/>
      <c r="B308" s="3" t="s">
        <v>1283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 spans="1:54" ht="12.7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 spans="1:54" ht="14.25">
      <c r="A310" s="3"/>
      <c r="B310" s="1" t="s">
        <v>1284</v>
      </c>
      <c r="C310" s="84">
        <v>-171</v>
      </c>
      <c r="D310" s="1" t="s">
        <v>1285</v>
      </c>
      <c r="E310" s="84">
        <f>146</f>
        <v>146</v>
      </c>
      <c r="F310" s="1" t="s">
        <v>1285</v>
      </c>
      <c r="G310" s="84">
        <f>146</f>
        <v>146</v>
      </c>
      <c r="H310" s="30" t="s">
        <v>1</v>
      </c>
      <c r="I310" s="24">
        <v>7.1</v>
      </c>
      <c r="J310" s="1" t="s">
        <v>18</v>
      </c>
      <c r="K310" s="3"/>
      <c r="L310" s="1" t="s">
        <v>1286</v>
      </c>
      <c r="M310" s="3"/>
      <c r="N310" s="4" t="s">
        <v>79</v>
      </c>
      <c r="O310" s="4" t="s">
        <v>1287</v>
      </c>
      <c r="P310" s="4" t="s">
        <v>8</v>
      </c>
      <c r="Q310" s="4" t="s">
        <v>1288</v>
      </c>
      <c r="R310" s="4" t="s">
        <v>9</v>
      </c>
      <c r="S310" s="19">
        <v>3</v>
      </c>
      <c r="T310" s="20">
        <v>0.20833333333333334</v>
      </c>
      <c r="U310" s="4" t="s">
        <v>10</v>
      </c>
      <c r="V310" s="4" t="s">
        <v>11</v>
      </c>
      <c r="W310" s="4" t="s">
        <v>1289</v>
      </c>
      <c r="X310" s="26" t="s">
        <v>1290</v>
      </c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</row>
    <row r="311" spans="1:54" ht="14.25">
      <c r="A311" s="3"/>
      <c r="B311" s="1" t="s">
        <v>1291</v>
      </c>
      <c r="C311" s="84">
        <f>180</f>
        <v>180</v>
      </c>
      <c r="D311" s="1" t="s">
        <v>1292</v>
      </c>
      <c r="E311" s="84">
        <v>-210</v>
      </c>
      <c r="F311" s="1" t="s">
        <v>1291</v>
      </c>
      <c r="G311" s="84">
        <f>180</f>
        <v>180</v>
      </c>
      <c r="H311" s="30" t="s">
        <v>1</v>
      </c>
      <c r="I311" s="3"/>
      <c r="J311" s="3" t="s">
        <v>840</v>
      </c>
      <c r="K311" s="3" t="s">
        <v>1293</v>
      </c>
      <c r="L311" s="3" t="s">
        <v>29</v>
      </c>
      <c r="M311" s="3" t="s">
        <v>30</v>
      </c>
      <c r="N311" s="4" t="s">
        <v>125</v>
      </c>
      <c r="O311" s="4" t="s">
        <v>1294</v>
      </c>
      <c r="P311" s="4" t="s">
        <v>22</v>
      </c>
      <c r="Q311" s="4" t="s">
        <v>1288</v>
      </c>
      <c r="R311" s="4" t="s">
        <v>9</v>
      </c>
      <c r="S311" s="19">
        <v>3</v>
      </c>
      <c r="T311" s="20">
        <v>0.20833333333333334</v>
      </c>
      <c r="U311" s="4" t="s">
        <v>10</v>
      </c>
      <c r="V311" s="4" t="s">
        <v>96</v>
      </c>
      <c r="W311" s="4" t="s">
        <v>1295</v>
      </c>
      <c r="X311" s="26" t="s">
        <v>1296</v>
      </c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</row>
    <row r="312" spans="1:54" ht="14.25">
      <c r="A312" s="3"/>
      <c r="B312" s="1" t="s">
        <v>1297</v>
      </c>
      <c r="C312" s="84">
        <f>205</f>
        <v>205</v>
      </c>
      <c r="D312" s="1" t="s">
        <v>1298</v>
      </c>
      <c r="E312" s="84">
        <v>-240</v>
      </c>
      <c r="F312" s="1" t="s">
        <v>1299</v>
      </c>
      <c r="G312" s="84">
        <v>-240</v>
      </c>
      <c r="H312" s="2" t="s">
        <v>1</v>
      </c>
      <c r="I312" s="24">
        <v>7.3</v>
      </c>
      <c r="J312" s="25" t="s">
        <v>840</v>
      </c>
      <c r="K312" s="25" t="s">
        <v>1300</v>
      </c>
      <c r="L312" s="25" t="s">
        <v>1301</v>
      </c>
      <c r="M312" s="25" t="s">
        <v>440</v>
      </c>
      <c r="N312" s="4" t="s">
        <v>20</v>
      </c>
      <c r="O312" s="4" t="s">
        <v>1302</v>
      </c>
      <c r="P312" s="4" t="s">
        <v>22</v>
      </c>
      <c r="Q312" s="4" t="s">
        <v>1288</v>
      </c>
      <c r="R312" s="4" t="s">
        <v>61</v>
      </c>
      <c r="S312" s="19">
        <v>1</v>
      </c>
      <c r="T312" s="20">
        <v>0.16250000000000001</v>
      </c>
      <c r="U312" s="4" t="s">
        <v>10</v>
      </c>
      <c r="V312" s="4" t="s">
        <v>39</v>
      </c>
      <c r="W312" s="4" t="s">
        <v>67</v>
      </c>
      <c r="X312" s="26" t="s">
        <v>1303</v>
      </c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</row>
    <row r="313" spans="1:54" ht="14.25">
      <c r="A313" s="3"/>
      <c r="B313" s="1" t="s">
        <v>1304</v>
      </c>
      <c r="C313" s="84">
        <v>-143</v>
      </c>
      <c r="D313" s="1" t="s">
        <v>1305</v>
      </c>
      <c r="E313" s="84">
        <f>123</f>
        <v>123</v>
      </c>
      <c r="F313" s="1" t="s">
        <v>1304</v>
      </c>
      <c r="G313" s="84">
        <v>-143</v>
      </c>
      <c r="H313" s="2" t="s">
        <v>1</v>
      </c>
      <c r="I313" s="24">
        <v>9</v>
      </c>
      <c r="J313" s="25" t="s">
        <v>840</v>
      </c>
      <c r="K313" s="25" t="s">
        <v>1306</v>
      </c>
      <c r="L313" s="25" t="s">
        <v>18</v>
      </c>
      <c r="M313" s="25" t="s">
        <v>19</v>
      </c>
      <c r="N313" s="4" t="s">
        <v>20</v>
      </c>
      <c r="O313" s="4" t="s">
        <v>1307</v>
      </c>
      <c r="P313" s="4" t="s">
        <v>22</v>
      </c>
      <c r="Q313" s="4" t="s">
        <v>1288</v>
      </c>
      <c r="R313" s="4" t="s">
        <v>9</v>
      </c>
      <c r="S313" s="19">
        <v>3</v>
      </c>
      <c r="T313" s="20">
        <v>0.20833333333333334</v>
      </c>
      <c r="U313" s="4" t="s">
        <v>10</v>
      </c>
      <c r="V313" s="4" t="s">
        <v>23</v>
      </c>
      <c r="W313" s="4" t="s">
        <v>1218</v>
      </c>
      <c r="X313" s="26" t="s">
        <v>1308</v>
      </c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</row>
    <row r="314" spans="1:54" ht="14.25">
      <c r="A314" s="3"/>
      <c r="B314" s="1" t="s">
        <v>1309</v>
      </c>
      <c r="C314" s="24">
        <f>128</f>
        <v>128</v>
      </c>
      <c r="D314" s="1" t="s">
        <v>1310</v>
      </c>
      <c r="E314" s="24">
        <v>-148</v>
      </c>
      <c r="F314" s="1" t="s">
        <v>1310</v>
      </c>
      <c r="G314" s="24">
        <v>-148</v>
      </c>
      <c r="H314" s="2" t="s">
        <v>1</v>
      </c>
      <c r="I314" s="3"/>
      <c r="J314" s="3"/>
      <c r="K314" s="3"/>
      <c r="L314" s="3"/>
      <c r="M314" s="3"/>
      <c r="N314" s="4" t="s">
        <v>207</v>
      </c>
      <c r="O314" s="4" t="s">
        <v>1311</v>
      </c>
      <c r="P314" s="4" t="s">
        <v>8</v>
      </c>
      <c r="Q314" s="4" t="s">
        <v>1288</v>
      </c>
      <c r="R314" s="4" t="s">
        <v>61</v>
      </c>
      <c r="S314" s="19">
        <v>3</v>
      </c>
      <c r="T314" s="20">
        <v>5.2083333333333336E-2</v>
      </c>
      <c r="U314" s="4" t="s">
        <v>10</v>
      </c>
      <c r="V314" s="4" t="s">
        <v>654</v>
      </c>
      <c r="W314" s="4" t="s">
        <v>67</v>
      </c>
      <c r="X314" s="26" t="s">
        <v>1312</v>
      </c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</row>
    <row r="315" spans="1:54" ht="14.25">
      <c r="A315" s="3"/>
      <c r="B315" s="1" t="s">
        <v>1313</v>
      </c>
      <c r="C315" s="24">
        <v>-225</v>
      </c>
      <c r="D315" s="1" t="s">
        <v>1314</v>
      </c>
      <c r="E315" s="24">
        <f>225</f>
        <v>225</v>
      </c>
      <c r="F315" s="90" t="s">
        <v>1313</v>
      </c>
      <c r="G315" s="24">
        <v>-225</v>
      </c>
      <c r="H315" s="91" t="s">
        <v>1</v>
      </c>
      <c r="I315" s="3"/>
      <c r="J315" s="3"/>
      <c r="K315" s="3"/>
      <c r="L315" s="3"/>
      <c r="M315" s="3"/>
      <c r="N315" s="4" t="s">
        <v>71</v>
      </c>
      <c r="O315" s="4" t="s">
        <v>1315</v>
      </c>
      <c r="P315" s="4" t="s">
        <v>22</v>
      </c>
      <c r="Q315" s="4" t="s">
        <v>1288</v>
      </c>
      <c r="R315" s="4" t="s">
        <v>9</v>
      </c>
      <c r="S315" s="19">
        <v>3</v>
      </c>
      <c r="T315" s="20">
        <v>0.20833333333333334</v>
      </c>
      <c r="U315" s="4" t="s">
        <v>10</v>
      </c>
      <c r="V315" s="4" t="s">
        <v>39</v>
      </c>
      <c r="W315" s="4" t="s">
        <v>1316</v>
      </c>
      <c r="X315" s="3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</row>
    <row r="316" spans="1:54" ht="14.25">
      <c r="A316" s="3"/>
      <c r="B316" s="92" t="s">
        <v>1317</v>
      </c>
      <c r="C316" s="84">
        <f>285</f>
        <v>285</v>
      </c>
      <c r="D316" s="90" t="s">
        <v>1318</v>
      </c>
      <c r="E316" s="93">
        <v>-350</v>
      </c>
      <c r="F316" s="90" t="s">
        <v>1317</v>
      </c>
      <c r="G316" s="84">
        <f>285</f>
        <v>285</v>
      </c>
      <c r="H316" s="94" t="s">
        <v>5</v>
      </c>
      <c r="I316" s="24">
        <v>7.3</v>
      </c>
      <c r="J316" s="1" t="s">
        <v>427</v>
      </c>
      <c r="K316" s="3"/>
      <c r="L316" s="1" t="s">
        <v>1319</v>
      </c>
      <c r="M316" s="3"/>
      <c r="N316" s="4" t="s">
        <v>79</v>
      </c>
      <c r="O316" s="4" t="s">
        <v>1320</v>
      </c>
      <c r="P316" s="4" t="s">
        <v>22</v>
      </c>
      <c r="Q316" s="4" t="s">
        <v>1288</v>
      </c>
      <c r="R316" s="4" t="s">
        <v>46</v>
      </c>
      <c r="S316" s="19">
        <v>2</v>
      </c>
      <c r="T316" s="20">
        <v>0.12916666666666668</v>
      </c>
      <c r="U316" s="4" t="s">
        <v>10</v>
      </c>
      <c r="V316" s="4" t="s">
        <v>23</v>
      </c>
      <c r="W316" s="4" t="s">
        <v>1321</v>
      </c>
      <c r="X316" s="26" t="s">
        <v>1322</v>
      </c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</row>
    <row r="317" spans="1:54" ht="14.25">
      <c r="A317" s="3"/>
      <c r="B317" s="92" t="s">
        <v>1323</v>
      </c>
      <c r="C317" s="76">
        <v>-370</v>
      </c>
      <c r="D317" s="95" t="s">
        <v>1324</v>
      </c>
      <c r="E317" s="96">
        <v>295</v>
      </c>
      <c r="F317" s="97" t="s">
        <v>1323</v>
      </c>
      <c r="G317" s="76">
        <v>-370</v>
      </c>
      <c r="H317" s="91" t="s">
        <v>122</v>
      </c>
      <c r="I317" s="3"/>
      <c r="J317" s="3"/>
      <c r="K317" s="3"/>
      <c r="L317" s="3"/>
      <c r="M317" s="3"/>
      <c r="N317" s="4" t="s">
        <v>185</v>
      </c>
      <c r="O317" s="4" t="s">
        <v>1325</v>
      </c>
      <c r="P317" s="4" t="s">
        <v>8</v>
      </c>
      <c r="Q317" s="4" t="s">
        <v>1288</v>
      </c>
      <c r="R317" s="4" t="s">
        <v>61</v>
      </c>
      <c r="S317" s="19">
        <v>3</v>
      </c>
      <c r="T317" s="20">
        <v>0.18124999999999999</v>
      </c>
      <c r="U317" s="4" t="s">
        <v>10</v>
      </c>
      <c r="V317" s="4" t="s">
        <v>1326</v>
      </c>
      <c r="W317" s="4" t="s">
        <v>1327</v>
      </c>
      <c r="X317" s="26" t="s">
        <v>1328</v>
      </c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</row>
    <row r="318" spans="1:54" ht="14.25">
      <c r="A318" s="3"/>
      <c r="B318" s="92" t="s">
        <v>100</v>
      </c>
      <c r="C318" s="24">
        <v>-213</v>
      </c>
      <c r="D318" s="90" t="s">
        <v>1329</v>
      </c>
      <c r="E318" s="98">
        <f>178</f>
        <v>178</v>
      </c>
      <c r="F318" s="90" t="s">
        <v>100</v>
      </c>
      <c r="G318" s="76">
        <v>-213</v>
      </c>
      <c r="H318" s="91" t="s">
        <v>5</v>
      </c>
      <c r="I318" s="3"/>
      <c r="J318" s="3"/>
      <c r="K318" s="3"/>
      <c r="L318" s="3"/>
      <c r="M318" s="3"/>
      <c r="N318" s="4" t="s">
        <v>44</v>
      </c>
      <c r="O318" s="4" t="s">
        <v>1330</v>
      </c>
      <c r="P318" s="4" t="s">
        <v>8</v>
      </c>
      <c r="Q318" s="4" t="s">
        <v>1288</v>
      </c>
      <c r="R318" s="4" t="s">
        <v>9</v>
      </c>
      <c r="S318" s="19">
        <v>3</v>
      </c>
      <c r="T318" s="20">
        <v>0.20833333333333334</v>
      </c>
      <c r="U318" s="4" t="s">
        <v>10</v>
      </c>
      <c r="V318" s="4" t="s">
        <v>96</v>
      </c>
      <c r="W318" s="4" t="s">
        <v>1331</v>
      </c>
      <c r="X318" s="26" t="s">
        <v>1332</v>
      </c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</row>
    <row r="319" spans="1:54" ht="14.25">
      <c r="A319" s="3"/>
      <c r="B319" s="92" t="s">
        <v>1333</v>
      </c>
      <c r="C319" s="24">
        <v>-500</v>
      </c>
      <c r="D319" s="90" t="s">
        <v>1334</v>
      </c>
      <c r="E319" s="98">
        <f>385</f>
        <v>385</v>
      </c>
      <c r="F319" s="90" t="s">
        <v>1333</v>
      </c>
      <c r="G319" s="24">
        <v>-500</v>
      </c>
      <c r="H319" s="91" t="s">
        <v>5</v>
      </c>
      <c r="I319" s="3"/>
      <c r="J319" s="3"/>
      <c r="K319" s="3"/>
      <c r="L319" s="3"/>
      <c r="M319" s="3"/>
      <c r="N319" s="4" t="s">
        <v>52</v>
      </c>
      <c r="O319" s="4" t="s">
        <v>1335</v>
      </c>
      <c r="P319" s="4" t="s">
        <v>8</v>
      </c>
      <c r="Q319" s="4" t="s">
        <v>1288</v>
      </c>
      <c r="R319" s="4" t="s">
        <v>9</v>
      </c>
      <c r="S319" s="19">
        <v>3</v>
      </c>
      <c r="T319" s="20">
        <v>0.20833333333333334</v>
      </c>
      <c r="U319" s="4" t="s">
        <v>10</v>
      </c>
      <c r="V319" s="4" t="s">
        <v>55</v>
      </c>
      <c r="W319" s="4" t="s">
        <v>1336</v>
      </c>
      <c r="X319" s="26" t="s">
        <v>1337</v>
      </c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</row>
    <row r="320" spans="1:54" ht="14.25">
      <c r="A320" s="3"/>
      <c r="B320" s="92" t="s">
        <v>1338</v>
      </c>
      <c r="C320" s="24">
        <v>-175</v>
      </c>
      <c r="D320" s="90" t="s">
        <v>1339</v>
      </c>
      <c r="E320" s="98">
        <f>175</f>
        <v>175</v>
      </c>
      <c r="F320" s="90" t="s">
        <v>1339</v>
      </c>
      <c r="G320" s="24">
        <f>175</f>
        <v>175</v>
      </c>
      <c r="H320" s="91" t="s">
        <v>5</v>
      </c>
      <c r="I320" s="3"/>
      <c r="J320" s="3"/>
      <c r="K320" s="3"/>
      <c r="L320" s="3"/>
      <c r="M320" s="3"/>
      <c r="N320" s="4" t="s">
        <v>65</v>
      </c>
      <c r="O320" s="4" t="s">
        <v>1340</v>
      </c>
      <c r="P320" s="4" t="s">
        <v>22</v>
      </c>
      <c r="Q320" s="4" t="s">
        <v>1288</v>
      </c>
      <c r="R320" s="4" t="s">
        <v>9</v>
      </c>
      <c r="S320" s="19">
        <v>3</v>
      </c>
      <c r="T320" s="20">
        <v>0.20833333333333334</v>
      </c>
      <c r="U320" s="4" t="s">
        <v>10</v>
      </c>
      <c r="V320" s="4" t="s">
        <v>23</v>
      </c>
      <c r="W320" s="4" t="s">
        <v>1341</v>
      </c>
      <c r="X320" s="26" t="s">
        <v>1342</v>
      </c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</row>
    <row r="321" spans="1:54" ht="14.25">
      <c r="A321" s="3"/>
      <c r="B321" s="92" t="s">
        <v>1343</v>
      </c>
      <c r="C321" s="24">
        <v>-450</v>
      </c>
      <c r="D321" s="90" t="s">
        <v>1344</v>
      </c>
      <c r="E321" s="98">
        <f>450</f>
        <v>450</v>
      </c>
      <c r="F321" s="90" t="s">
        <v>1343</v>
      </c>
      <c r="G321" s="24">
        <v>-450</v>
      </c>
      <c r="H321" s="91" t="s">
        <v>5</v>
      </c>
      <c r="I321" s="3"/>
      <c r="J321" s="3"/>
      <c r="K321" s="3"/>
      <c r="L321" s="3"/>
      <c r="M321" s="3"/>
      <c r="N321" s="4" t="s">
        <v>71</v>
      </c>
      <c r="O321" s="4" t="s">
        <v>1345</v>
      </c>
      <c r="P321" s="4" t="s">
        <v>8</v>
      </c>
      <c r="Q321" s="4" t="s">
        <v>1288</v>
      </c>
      <c r="R321" s="4" t="s">
        <v>9</v>
      </c>
      <c r="S321" s="19">
        <v>3</v>
      </c>
      <c r="T321" s="20">
        <v>0.20833333333333334</v>
      </c>
      <c r="U321" s="4" t="s">
        <v>10</v>
      </c>
      <c r="V321" s="4" t="s">
        <v>23</v>
      </c>
      <c r="W321" s="4" t="s">
        <v>1346</v>
      </c>
      <c r="X321" s="3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</row>
    <row r="322" spans="1:54" ht="14.25">
      <c r="A322" s="3"/>
      <c r="B322" s="92" t="s">
        <v>1347</v>
      </c>
      <c r="C322" s="84">
        <f>300</f>
        <v>300</v>
      </c>
      <c r="D322" s="90" t="s">
        <v>1348</v>
      </c>
      <c r="E322" s="93">
        <v>-400</v>
      </c>
      <c r="F322" s="90" t="s">
        <v>1349</v>
      </c>
      <c r="G322" s="1"/>
      <c r="H322" s="91"/>
      <c r="I322" s="24">
        <v>5.0999999999999996</v>
      </c>
      <c r="J322" s="1" t="s">
        <v>18</v>
      </c>
      <c r="K322" s="1" t="s">
        <v>1350</v>
      </c>
      <c r="L322" s="1" t="s">
        <v>1351</v>
      </c>
      <c r="M322" s="3"/>
      <c r="N322" s="4" t="s">
        <v>103</v>
      </c>
      <c r="O322" s="4" t="s">
        <v>1352</v>
      </c>
      <c r="P322" s="4" t="s">
        <v>22</v>
      </c>
      <c r="Q322" s="4" t="s">
        <v>1288</v>
      </c>
      <c r="R322" s="4" t="s">
        <v>61</v>
      </c>
      <c r="S322" s="19">
        <v>2</v>
      </c>
      <c r="T322" s="20">
        <v>7.4305555555555555E-2</v>
      </c>
      <c r="U322" s="4" t="s">
        <v>10</v>
      </c>
      <c r="V322" s="4" t="s">
        <v>47</v>
      </c>
      <c r="W322" s="4" t="s">
        <v>67</v>
      </c>
      <c r="X322" s="26" t="s">
        <v>1353</v>
      </c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</row>
    <row r="323" spans="1:54" ht="14.25">
      <c r="A323" s="3"/>
      <c r="B323" s="92" t="s">
        <v>1354</v>
      </c>
      <c r="C323" s="24">
        <f>110</f>
        <v>110</v>
      </c>
      <c r="D323" s="90" t="s">
        <v>1355</v>
      </c>
      <c r="E323" s="98">
        <v>-110</v>
      </c>
      <c r="F323" s="90" t="s">
        <v>1355</v>
      </c>
      <c r="G323" s="24" t="s">
        <v>5</v>
      </c>
      <c r="H323" s="91">
        <v>-110</v>
      </c>
      <c r="I323" s="3"/>
      <c r="J323" s="3"/>
      <c r="K323" s="3"/>
      <c r="L323" s="3"/>
      <c r="M323" s="3"/>
      <c r="N323" s="4" t="s">
        <v>6</v>
      </c>
      <c r="O323" s="4" t="s">
        <v>1356</v>
      </c>
      <c r="P323" s="4" t="s">
        <v>22</v>
      </c>
      <c r="Q323" s="4" t="s">
        <v>1357</v>
      </c>
      <c r="R323" s="4" t="s">
        <v>9</v>
      </c>
      <c r="S323" s="19">
        <v>3</v>
      </c>
      <c r="T323" s="20">
        <v>0.20833333333333334</v>
      </c>
      <c r="U323" s="4" t="s">
        <v>10</v>
      </c>
      <c r="V323" s="4" t="s">
        <v>654</v>
      </c>
      <c r="W323" s="4" t="s">
        <v>1358</v>
      </c>
      <c r="X323" s="3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</row>
    <row r="324" spans="1:54" ht="14.25">
      <c r="A324" s="3"/>
      <c r="B324" s="92" t="s">
        <v>1355</v>
      </c>
      <c r="C324" s="84">
        <f>120</f>
        <v>120</v>
      </c>
      <c r="D324" s="90" t="s">
        <v>1359</v>
      </c>
      <c r="E324" s="93">
        <v>-140</v>
      </c>
      <c r="F324" s="90" t="s">
        <v>1355</v>
      </c>
      <c r="G324" s="84">
        <f>120</f>
        <v>120</v>
      </c>
      <c r="H324" s="91" t="s">
        <v>1</v>
      </c>
      <c r="I324" s="24">
        <v>5.9</v>
      </c>
      <c r="J324" s="1" t="s">
        <v>18</v>
      </c>
      <c r="K324" s="24">
        <v>-150</v>
      </c>
      <c r="L324" s="1" t="s">
        <v>1360</v>
      </c>
      <c r="M324" s="3"/>
      <c r="N324" s="4" t="s">
        <v>339</v>
      </c>
      <c r="O324" s="4" t="s">
        <v>1361</v>
      </c>
      <c r="P324" s="4" t="s">
        <v>22</v>
      </c>
      <c r="Q324" s="4" t="s">
        <v>1357</v>
      </c>
      <c r="R324" s="4" t="s">
        <v>9</v>
      </c>
      <c r="S324" s="19">
        <v>3</v>
      </c>
      <c r="T324" s="20">
        <v>0.20833333333333334</v>
      </c>
      <c r="U324" s="4" t="s">
        <v>10</v>
      </c>
      <c r="V324" s="4" t="s">
        <v>572</v>
      </c>
      <c r="W324" s="4" t="s">
        <v>1362</v>
      </c>
      <c r="X324" s="26" t="s">
        <v>1363</v>
      </c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</row>
    <row r="325" spans="1:54" ht="14.25">
      <c r="A325" s="3"/>
      <c r="B325" s="92" t="s">
        <v>1364</v>
      </c>
      <c r="C325" s="84">
        <v>-200</v>
      </c>
      <c r="D325" s="90" t="s">
        <v>1365</v>
      </c>
      <c r="E325" s="93">
        <f>170</f>
        <v>170</v>
      </c>
      <c r="F325" s="90" t="s">
        <v>1366</v>
      </c>
      <c r="G325" s="84">
        <f>170</f>
        <v>170</v>
      </c>
      <c r="H325" s="91" t="s">
        <v>1</v>
      </c>
      <c r="I325" s="24">
        <v>5.4</v>
      </c>
      <c r="J325" s="1" t="s">
        <v>18</v>
      </c>
      <c r="K325" s="24">
        <v>-125</v>
      </c>
      <c r="L325" s="1" t="s">
        <v>1367</v>
      </c>
      <c r="M325" s="3"/>
      <c r="N325" s="4" t="s">
        <v>87</v>
      </c>
      <c r="O325" s="4" t="s">
        <v>1368</v>
      </c>
      <c r="P325" s="4" t="s">
        <v>8</v>
      </c>
      <c r="Q325" s="4" t="s">
        <v>1357</v>
      </c>
      <c r="R325" s="4" t="s">
        <v>9</v>
      </c>
      <c r="S325" s="19">
        <v>3</v>
      </c>
      <c r="T325" s="20">
        <v>0.20833333333333334</v>
      </c>
      <c r="U325" s="4" t="s">
        <v>10</v>
      </c>
      <c r="V325" s="4" t="s">
        <v>788</v>
      </c>
      <c r="W325" s="4" t="s">
        <v>1369</v>
      </c>
      <c r="X325" s="26" t="s">
        <v>1370</v>
      </c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</row>
    <row r="326" spans="1:54" ht="14.25">
      <c r="A326" s="3"/>
      <c r="B326" s="92" t="s">
        <v>1371</v>
      </c>
      <c r="C326" s="84">
        <v>-180</v>
      </c>
      <c r="D326" s="90" t="s">
        <v>1372</v>
      </c>
      <c r="E326" s="93">
        <f>155</f>
        <v>155</v>
      </c>
      <c r="F326" s="90" t="s">
        <v>1371</v>
      </c>
      <c r="G326" s="84">
        <v>-180</v>
      </c>
      <c r="H326" s="94" t="s">
        <v>1</v>
      </c>
      <c r="I326" s="24">
        <v>7.5</v>
      </c>
      <c r="J326" s="1" t="s">
        <v>18</v>
      </c>
      <c r="K326" s="3"/>
      <c r="L326" s="1" t="s">
        <v>1373</v>
      </c>
      <c r="M326" s="3"/>
      <c r="N326" s="4" t="s">
        <v>115</v>
      </c>
      <c r="O326" s="4" t="s">
        <v>1374</v>
      </c>
      <c r="P326" s="4" t="s">
        <v>22</v>
      </c>
      <c r="Q326" s="4" t="s">
        <v>1357</v>
      </c>
      <c r="R326" s="4" t="s">
        <v>9</v>
      </c>
      <c r="S326" s="19">
        <v>5</v>
      </c>
      <c r="T326" s="20">
        <v>0.20833333333333334</v>
      </c>
      <c r="U326" s="4" t="s">
        <v>54</v>
      </c>
      <c r="V326" s="4" t="s">
        <v>117</v>
      </c>
      <c r="W326" s="4" t="s">
        <v>1375</v>
      </c>
      <c r="X326" s="26" t="s">
        <v>1376</v>
      </c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</row>
    <row r="327" spans="1:54" ht="14.25">
      <c r="A327" s="3"/>
      <c r="B327" s="92" t="s">
        <v>1377</v>
      </c>
      <c r="C327" s="24">
        <f>230</f>
        <v>230</v>
      </c>
      <c r="D327" s="90" t="s">
        <v>656</v>
      </c>
      <c r="E327" s="98">
        <v>-270</v>
      </c>
      <c r="F327" s="90" t="s">
        <v>1377</v>
      </c>
      <c r="G327" s="76">
        <f>230</f>
        <v>230</v>
      </c>
      <c r="H327" s="91" t="s">
        <v>1</v>
      </c>
      <c r="I327" s="3"/>
      <c r="J327" s="3"/>
      <c r="K327" s="3"/>
      <c r="L327" s="3"/>
      <c r="M327" s="3"/>
      <c r="N327" s="4" t="s">
        <v>44</v>
      </c>
      <c r="O327" s="4" t="s">
        <v>1378</v>
      </c>
      <c r="P327" s="4" t="s">
        <v>22</v>
      </c>
      <c r="Q327" s="4" t="s">
        <v>1357</v>
      </c>
      <c r="R327" s="4" t="s">
        <v>61</v>
      </c>
      <c r="S327" s="19">
        <v>2</v>
      </c>
      <c r="T327" s="20">
        <v>5.4166666666666669E-2</v>
      </c>
      <c r="U327" s="4" t="s">
        <v>10</v>
      </c>
      <c r="V327" s="4" t="s">
        <v>39</v>
      </c>
      <c r="W327" s="4" t="s">
        <v>1379</v>
      </c>
      <c r="X327" s="26" t="s">
        <v>1380</v>
      </c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</row>
    <row r="328" spans="1:54" ht="14.25">
      <c r="A328" s="3"/>
      <c r="B328" s="1" t="s">
        <v>1359</v>
      </c>
      <c r="C328" s="24">
        <f>145</f>
        <v>145</v>
      </c>
      <c r="D328" s="1" t="s">
        <v>1381</v>
      </c>
      <c r="E328" s="24">
        <v>-170</v>
      </c>
      <c r="F328" s="1" t="s">
        <v>1381</v>
      </c>
      <c r="G328" s="24">
        <v>-170</v>
      </c>
      <c r="H328" s="2" t="s">
        <v>1</v>
      </c>
      <c r="I328" s="3"/>
      <c r="J328" s="3"/>
      <c r="K328" s="3"/>
      <c r="L328" s="3"/>
      <c r="M328" s="3"/>
      <c r="N328" s="4" t="s">
        <v>207</v>
      </c>
      <c r="O328" s="4" t="s">
        <v>1382</v>
      </c>
      <c r="P328" s="4" t="s">
        <v>8</v>
      </c>
      <c r="Q328" s="4" t="s">
        <v>1357</v>
      </c>
      <c r="R328" s="4" t="s">
        <v>193</v>
      </c>
      <c r="S328" s="19">
        <v>3</v>
      </c>
      <c r="T328" s="20">
        <v>0.20833333333333334</v>
      </c>
      <c r="U328" s="4" t="s">
        <v>10</v>
      </c>
      <c r="V328" s="4" t="s">
        <v>39</v>
      </c>
      <c r="W328" s="4" t="s">
        <v>1383</v>
      </c>
      <c r="X328" s="26" t="s">
        <v>1384</v>
      </c>
      <c r="Y328" s="21"/>
      <c r="Z328" s="21"/>
    </row>
    <row r="329" spans="1:54" ht="14.25">
      <c r="A329" s="3"/>
      <c r="B329" s="1" t="s">
        <v>1385</v>
      </c>
      <c r="C329" s="24">
        <v>-155</v>
      </c>
      <c r="D329" s="1" t="s">
        <v>1386</v>
      </c>
      <c r="E329" s="24">
        <f>155</f>
        <v>155</v>
      </c>
      <c r="F329" s="1" t="s">
        <v>1385</v>
      </c>
      <c r="G329" s="24">
        <v>-155</v>
      </c>
      <c r="H329" s="2" t="s">
        <v>1</v>
      </c>
      <c r="I329" s="3"/>
      <c r="J329" s="3"/>
      <c r="K329" s="3"/>
      <c r="L329" s="3"/>
      <c r="M329" s="3"/>
      <c r="N329" s="4" t="s">
        <v>71</v>
      </c>
      <c r="O329" s="4" t="s">
        <v>1387</v>
      </c>
      <c r="P329" s="4" t="s">
        <v>22</v>
      </c>
      <c r="Q329" s="4" t="s">
        <v>1357</v>
      </c>
      <c r="R329" s="4" t="s">
        <v>9</v>
      </c>
      <c r="S329" s="19">
        <v>3</v>
      </c>
      <c r="T329" s="20">
        <v>0.20833333333333334</v>
      </c>
      <c r="U329" s="4" t="s">
        <v>10</v>
      </c>
      <c r="V329" s="4" t="s">
        <v>39</v>
      </c>
      <c r="W329" s="4" t="s">
        <v>1388</v>
      </c>
      <c r="X329" s="3"/>
    </row>
    <row r="330" spans="1:54" ht="14.25">
      <c r="A330" s="3"/>
      <c r="B330" s="1" t="s">
        <v>43</v>
      </c>
      <c r="C330" s="84">
        <f>125</f>
        <v>125</v>
      </c>
      <c r="D330" s="1" t="s">
        <v>1389</v>
      </c>
      <c r="E330" s="84">
        <v>-145</v>
      </c>
      <c r="F330" s="1" t="s">
        <v>1389</v>
      </c>
      <c r="G330" s="84">
        <v>-145</v>
      </c>
      <c r="H330" s="2" t="s">
        <v>5</v>
      </c>
      <c r="I330" s="24">
        <v>7</v>
      </c>
      <c r="J330" s="1" t="s">
        <v>61</v>
      </c>
      <c r="K330" s="24">
        <v>-165</v>
      </c>
      <c r="L330" s="1"/>
      <c r="M330" s="1"/>
      <c r="N330" s="4" t="s">
        <v>94</v>
      </c>
      <c r="O330" s="4" t="s">
        <v>1390</v>
      </c>
      <c r="P330" s="4" t="s">
        <v>22</v>
      </c>
      <c r="Q330" s="4" t="s">
        <v>1357</v>
      </c>
      <c r="R330" s="4" t="s">
        <v>9</v>
      </c>
      <c r="S330" s="19">
        <v>3</v>
      </c>
      <c r="T330" s="20">
        <v>0.20833333333333334</v>
      </c>
      <c r="U330" s="4" t="s">
        <v>10</v>
      </c>
      <c r="V330" s="4" t="s">
        <v>96</v>
      </c>
      <c r="W330" s="4" t="s">
        <v>1391</v>
      </c>
      <c r="X330" s="26" t="s">
        <v>1392</v>
      </c>
      <c r="Y330" s="21"/>
      <c r="Z330" s="21"/>
    </row>
    <row r="331" spans="1:54" ht="14.25">
      <c r="A331" s="3"/>
      <c r="B331" s="1" t="s">
        <v>1393</v>
      </c>
      <c r="C331" s="84">
        <v>-465</v>
      </c>
      <c r="D331" s="1" t="s">
        <v>1394</v>
      </c>
      <c r="E331" s="84">
        <f>365</f>
        <v>365</v>
      </c>
      <c r="F331" s="1" t="s">
        <v>1393</v>
      </c>
      <c r="G331" s="84">
        <v>-465</v>
      </c>
      <c r="H331" s="2" t="s">
        <v>5</v>
      </c>
      <c r="I331" s="24">
        <v>6.7</v>
      </c>
      <c r="J331" s="1" t="s">
        <v>61</v>
      </c>
      <c r="K331" s="24">
        <v>-150</v>
      </c>
      <c r="L331" s="1"/>
      <c r="M331" s="1"/>
      <c r="N331" s="4" t="s">
        <v>94</v>
      </c>
      <c r="O331" s="4" t="s">
        <v>1395</v>
      </c>
      <c r="P331" s="4" t="s">
        <v>8</v>
      </c>
      <c r="Q331" s="4" t="s">
        <v>1357</v>
      </c>
      <c r="R331" s="4" t="s">
        <v>61</v>
      </c>
      <c r="S331" s="19">
        <v>3</v>
      </c>
      <c r="T331" s="20">
        <v>6.1805555555555558E-2</v>
      </c>
      <c r="U331" s="4" t="s">
        <v>10</v>
      </c>
      <c r="V331" s="4" t="s">
        <v>23</v>
      </c>
      <c r="W331" s="4" t="s">
        <v>836</v>
      </c>
      <c r="X331" s="26" t="s">
        <v>1396</v>
      </c>
      <c r="Y331" s="21"/>
      <c r="Z331" s="21"/>
    </row>
    <row r="332" spans="1:54" ht="14.25">
      <c r="A332" s="3"/>
      <c r="B332" s="1" t="s">
        <v>1397</v>
      </c>
      <c r="C332" s="84">
        <f>200</f>
        <v>200</v>
      </c>
      <c r="D332" s="1" t="s">
        <v>1398</v>
      </c>
      <c r="E332" s="84">
        <v>-235</v>
      </c>
      <c r="F332" s="1" t="s">
        <v>1398</v>
      </c>
      <c r="G332" s="84">
        <v>-235</v>
      </c>
      <c r="H332" s="30" t="s">
        <v>122</v>
      </c>
      <c r="I332" s="3"/>
      <c r="J332" s="3" t="s">
        <v>840</v>
      </c>
      <c r="K332" s="3" t="s">
        <v>1399</v>
      </c>
      <c r="L332" s="3" t="s">
        <v>446</v>
      </c>
      <c r="M332" s="3" t="s">
        <v>30</v>
      </c>
      <c r="N332" s="4" t="s">
        <v>125</v>
      </c>
      <c r="O332" s="4" t="s">
        <v>1400</v>
      </c>
      <c r="P332" s="4" t="s">
        <v>22</v>
      </c>
      <c r="Q332" s="4" t="s">
        <v>1357</v>
      </c>
      <c r="R332" s="4" t="s">
        <v>9</v>
      </c>
      <c r="S332" s="19">
        <v>5</v>
      </c>
      <c r="T332" s="20">
        <v>0.20833333333333334</v>
      </c>
      <c r="U332" s="4" t="s">
        <v>54</v>
      </c>
      <c r="V332" s="4" t="s">
        <v>96</v>
      </c>
      <c r="W332" s="4" t="s">
        <v>1401</v>
      </c>
      <c r="X332" s="26" t="s">
        <v>1402</v>
      </c>
      <c r="Y332" s="21"/>
      <c r="Z332" s="21"/>
    </row>
    <row r="333" spans="1:54" ht="14.25">
      <c r="A333" s="3"/>
      <c r="B333" s="1" t="s">
        <v>1403</v>
      </c>
      <c r="C333" s="84">
        <f>170</f>
        <v>170</v>
      </c>
      <c r="D333" s="1" t="s">
        <v>1404</v>
      </c>
      <c r="E333" s="84">
        <v>-200</v>
      </c>
      <c r="F333" s="1" t="s">
        <v>1404</v>
      </c>
      <c r="G333" s="84">
        <v>-200</v>
      </c>
      <c r="H333" s="2" t="s">
        <v>122</v>
      </c>
      <c r="I333" s="24">
        <v>7.1</v>
      </c>
      <c r="J333" s="3" t="s">
        <v>840</v>
      </c>
      <c r="K333" s="3" t="s">
        <v>1399</v>
      </c>
      <c r="L333" s="3" t="s">
        <v>29</v>
      </c>
      <c r="M333" s="3" t="s">
        <v>30</v>
      </c>
      <c r="N333" s="4" t="s">
        <v>135</v>
      </c>
      <c r="O333" s="4" t="s">
        <v>1405</v>
      </c>
      <c r="P333" s="4" t="s">
        <v>22</v>
      </c>
      <c r="Q333" s="4" t="s">
        <v>1357</v>
      </c>
      <c r="R333" s="4" t="s">
        <v>9</v>
      </c>
      <c r="S333" s="19">
        <v>3</v>
      </c>
      <c r="T333" s="20">
        <v>0.20833333333333334</v>
      </c>
      <c r="U333" s="4" t="s">
        <v>10</v>
      </c>
      <c r="V333" s="4" t="s">
        <v>609</v>
      </c>
      <c r="W333" s="4" t="s">
        <v>1406</v>
      </c>
      <c r="X333" s="26" t="s">
        <v>1407</v>
      </c>
      <c r="Y333" s="21"/>
      <c r="Z333" s="21"/>
    </row>
    <row r="334" spans="1:54" ht="14.25">
      <c r="A334" s="3"/>
      <c r="B334" s="1" t="s">
        <v>1408</v>
      </c>
      <c r="C334" s="84">
        <v>-133</v>
      </c>
      <c r="D334" s="1" t="s">
        <v>1409</v>
      </c>
      <c r="E334" s="84">
        <f>113</f>
        <v>113</v>
      </c>
      <c r="F334" s="1" t="s">
        <v>1408</v>
      </c>
      <c r="G334" s="84">
        <v>-133</v>
      </c>
      <c r="H334" s="2" t="s">
        <v>122</v>
      </c>
      <c r="I334" s="24">
        <v>7</v>
      </c>
      <c r="J334" s="3" t="s">
        <v>840</v>
      </c>
      <c r="K334" s="3" t="s">
        <v>1399</v>
      </c>
      <c r="L334" s="3" t="s">
        <v>29</v>
      </c>
      <c r="M334" s="3" t="s">
        <v>447</v>
      </c>
      <c r="N334" s="4" t="s">
        <v>135</v>
      </c>
      <c r="O334" s="4" t="s">
        <v>1410</v>
      </c>
      <c r="P334" s="4" t="s">
        <v>8</v>
      </c>
      <c r="Q334" s="4" t="s">
        <v>1357</v>
      </c>
      <c r="R334" s="4" t="s">
        <v>193</v>
      </c>
      <c r="S334" s="19">
        <v>3</v>
      </c>
      <c r="T334" s="20">
        <v>0.20833333333333334</v>
      </c>
      <c r="U334" s="4" t="s">
        <v>10</v>
      </c>
      <c r="V334" s="4" t="s">
        <v>89</v>
      </c>
      <c r="W334" s="4" t="s">
        <v>1411</v>
      </c>
      <c r="X334" s="26" t="s">
        <v>1412</v>
      </c>
      <c r="Y334" s="21"/>
      <c r="Z334" s="21"/>
    </row>
    <row r="335" spans="1:54" ht="15">
      <c r="A335" s="3"/>
      <c r="B335" s="1" t="s">
        <v>1413</v>
      </c>
      <c r="C335" s="76">
        <f>145</f>
        <v>145</v>
      </c>
      <c r="D335" s="1" t="s">
        <v>1414</v>
      </c>
      <c r="E335" s="76">
        <v>-170</v>
      </c>
      <c r="F335" s="1" t="s">
        <v>1414</v>
      </c>
      <c r="G335" s="48">
        <v>-180</v>
      </c>
      <c r="H335" s="2" t="s">
        <v>122</v>
      </c>
      <c r="I335" s="3"/>
      <c r="J335" s="3" t="s">
        <v>840</v>
      </c>
      <c r="K335" s="3" t="s">
        <v>1399</v>
      </c>
      <c r="L335" s="3" t="s">
        <v>29</v>
      </c>
      <c r="M335" s="3" t="s">
        <v>30</v>
      </c>
      <c r="N335" s="4" t="s">
        <v>166</v>
      </c>
      <c r="O335" s="4" t="s">
        <v>1415</v>
      </c>
      <c r="P335" s="4" t="s">
        <v>22</v>
      </c>
      <c r="Q335" s="4" t="s">
        <v>1357</v>
      </c>
      <c r="R335" s="4" t="s">
        <v>9</v>
      </c>
      <c r="S335" s="19">
        <v>3</v>
      </c>
      <c r="T335" s="20">
        <v>0.20833333333333334</v>
      </c>
      <c r="U335" s="4" t="s">
        <v>10</v>
      </c>
      <c r="V335" s="4" t="s">
        <v>615</v>
      </c>
      <c r="W335" s="4" t="s">
        <v>1416</v>
      </c>
      <c r="X335" s="26" t="s">
        <v>1417</v>
      </c>
      <c r="Y335" s="21"/>
      <c r="Z335" s="21"/>
    </row>
    <row r="336" spans="1:54" ht="14.25">
      <c r="A336" s="3"/>
      <c r="B336" s="89" t="s">
        <v>1418</v>
      </c>
      <c r="C336" s="76">
        <v>-350</v>
      </c>
      <c r="D336" s="1" t="s">
        <v>1386</v>
      </c>
      <c r="E336" s="76">
        <f>285</f>
        <v>285</v>
      </c>
      <c r="F336" s="89" t="s">
        <v>1418</v>
      </c>
      <c r="G336" s="76">
        <v>-350</v>
      </c>
      <c r="H336" s="2" t="s">
        <v>5</v>
      </c>
      <c r="I336" s="3"/>
      <c r="J336" s="3"/>
      <c r="K336" s="3"/>
      <c r="L336" s="3"/>
      <c r="M336" s="3"/>
      <c r="N336" s="4" t="s">
        <v>311</v>
      </c>
      <c r="O336" s="4" t="s">
        <v>1419</v>
      </c>
      <c r="P336" s="4" t="s">
        <v>22</v>
      </c>
      <c r="Q336" s="4" t="s">
        <v>1357</v>
      </c>
      <c r="R336" s="4" t="s">
        <v>9</v>
      </c>
      <c r="S336" s="19">
        <v>3</v>
      </c>
      <c r="T336" s="20">
        <v>0.20833333333333334</v>
      </c>
      <c r="U336" s="4" t="s">
        <v>10</v>
      </c>
      <c r="V336" s="4" t="s">
        <v>39</v>
      </c>
      <c r="W336" s="4" t="s">
        <v>1420</v>
      </c>
      <c r="X336" s="26" t="s">
        <v>1421</v>
      </c>
      <c r="Y336" s="21"/>
      <c r="Z336" s="21"/>
    </row>
    <row r="337" spans="1:26" ht="14.25">
      <c r="A337" s="3"/>
      <c r="B337" s="1" t="s">
        <v>1422</v>
      </c>
      <c r="C337" s="76">
        <v>-101</v>
      </c>
      <c r="D337" s="1" t="s">
        <v>1423</v>
      </c>
      <c r="E337" s="76">
        <v>-119</v>
      </c>
      <c r="F337" s="1" t="s">
        <v>1422</v>
      </c>
      <c r="G337" s="76">
        <v>-101</v>
      </c>
      <c r="H337" s="2" t="s">
        <v>5</v>
      </c>
      <c r="I337" s="3"/>
      <c r="J337" s="3"/>
      <c r="K337" s="3"/>
      <c r="L337" s="3"/>
      <c r="M337" s="3"/>
      <c r="N337" s="4" t="s">
        <v>311</v>
      </c>
      <c r="O337" s="4" t="s">
        <v>1424</v>
      </c>
      <c r="P337" s="4" t="s">
        <v>8</v>
      </c>
      <c r="Q337" s="4" t="s">
        <v>1357</v>
      </c>
      <c r="R337" s="4" t="s">
        <v>46</v>
      </c>
      <c r="S337" s="19">
        <v>3</v>
      </c>
      <c r="T337" s="20">
        <v>0.20277777777777778</v>
      </c>
      <c r="U337" s="4" t="s">
        <v>10</v>
      </c>
      <c r="V337" s="4" t="s">
        <v>499</v>
      </c>
      <c r="W337" s="4" t="s">
        <v>1425</v>
      </c>
      <c r="X337" s="26" t="s">
        <v>1426</v>
      </c>
      <c r="Y337" s="21"/>
      <c r="Z337" s="21"/>
    </row>
    <row r="338" spans="1:26" ht="14.25">
      <c r="A338" s="3"/>
      <c r="B338" s="1" t="s">
        <v>1427</v>
      </c>
      <c r="C338" s="24">
        <v>-142</v>
      </c>
      <c r="D338" s="1" t="s">
        <v>1428</v>
      </c>
      <c r="E338" s="24">
        <f>142</f>
        <v>142</v>
      </c>
      <c r="F338" s="1" t="s">
        <v>1428</v>
      </c>
      <c r="G338" s="24" t="s">
        <v>1</v>
      </c>
      <c r="H338" s="2">
        <f>142</f>
        <v>142</v>
      </c>
      <c r="I338" s="3"/>
      <c r="J338" s="3"/>
      <c r="K338" s="3"/>
      <c r="L338" s="3"/>
      <c r="M338" s="3"/>
      <c r="N338" s="4" t="s">
        <v>6</v>
      </c>
      <c r="O338" s="4" t="s">
        <v>1429</v>
      </c>
      <c r="P338" s="4" t="s">
        <v>8</v>
      </c>
      <c r="Q338" s="4" t="s">
        <v>1430</v>
      </c>
      <c r="R338" s="4" t="s">
        <v>9</v>
      </c>
      <c r="S338" s="19">
        <v>3</v>
      </c>
      <c r="T338" s="20">
        <v>0.20833333333333334</v>
      </c>
      <c r="U338" s="4" t="s">
        <v>10</v>
      </c>
      <c r="V338" s="4" t="s">
        <v>73</v>
      </c>
      <c r="W338" s="4" t="s">
        <v>1431</v>
      </c>
      <c r="X338" s="3"/>
    </row>
    <row r="339" spans="1:26" ht="14.25">
      <c r="A339" s="3"/>
      <c r="B339" s="1" t="s">
        <v>1432</v>
      </c>
      <c r="C339" s="24">
        <f>300</f>
        <v>300</v>
      </c>
      <c r="D339" s="1" t="s">
        <v>1433</v>
      </c>
      <c r="E339" s="24">
        <v>-300</v>
      </c>
      <c r="F339" s="1" t="s">
        <v>1432</v>
      </c>
      <c r="G339" s="24" t="s">
        <v>5</v>
      </c>
      <c r="H339" s="2">
        <f>300</f>
        <v>300</v>
      </c>
      <c r="I339" s="3"/>
      <c r="J339" s="3"/>
      <c r="K339" s="3"/>
      <c r="L339" s="3"/>
      <c r="M339" s="3"/>
      <c r="N339" s="4" t="s">
        <v>6</v>
      </c>
      <c r="O339" s="4" t="s">
        <v>1434</v>
      </c>
      <c r="P339" s="4" t="s">
        <v>8</v>
      </c>
      <c r="Q339" s="4" t="s">
        <v>1430</v>
      </c>
      <c r="R339" s="4" t="s">
        <v>9</v>
      </c>
      <c r="S339" s="19">
        <v>3</v>
      </c>
      <c r="T339" s="20">
        <v>0.20833333333333334</v>
      </c>
      <c r="U339" s="4" t="s">
        <v>10</v>
      </c>
      <c r="V339" s="4" t="s">
        <v>39</v>
      </c>
      <c r="W339" s="4" t="s">
        <v>1435</v>
      </c>
      <c r="X339" s="3"/>
    </row>
    <row r="340" spans="1:26" ht="14.25">
      <c r="A340" s="3"/>
      <c r="B340" s="1" t="s">
        <v>1436</v>
      </c>
      <c r="C340" s="84">
        <v>-135</v>
      </c>
      <c r="D340" s="1" t="s">
        <v>1437</v>
      </c>
      <c r="E340" s="84">
        <f>115</f>
        <v>115</v>
      </c>
      <c r="F340" s="1" t="s">
        <v>1437</v>
      </c>
      <c r="G340" s="84">
        <f>115</f>
        <v>115</v>
      </c>
      <c r="H340" s="2" t="s">
        <v>1</v>
      </c>
      <c r="I340" s="24">
        <v>5.5</v>
      </c>
      <c r="J340" s="1" t="s">
        <v>18</v>
      </c>
      <c r="K340" s="24">
        <v>-130</v>
      </c>
      <c r="L340" s="1" t="s">
        <v>1438</v>
      </c>
      <c r="M340" s="3"/>
      <c r="N340" s="4" t="s">
        <v>339</v>
      </c>
      <c r="O340" s="4" t="s">
        <v>1439</v>
      </c>
      <c r="P340" s="4" t="s">
        <v>8</v>
      </c>
      <c r="Q340" s="4" t="s">
        <v>1430</v>
      </c>
      <c r="R340" s="4" t="s">
        <v>193</v>
      </c>
      <c r="S340" s="19">
        <v>3</v>
      </c>
      <c r="T340" s="20">
        <v>0.20833333333333334</v>
      </c>
      <c r="U340" s="4" t="s">
        <v>10</v>
      </c>
      <c r="V340" s="4" t="s">
        <v>660</v>
      </c>
      <c r="W340" s="4" t="s">
        <v>1440</v>
      </c>
      <c r="X340" s="26" t="s">
        <v>1441</v>
      </c>
      <c r="Y340" s="21"/>
      <c r="Z340" s="21"/>
    </row>
    <row r="341" spans="1:26" ht="14.25">
      <c r="A341" s="3"/>
      <c r="B341" s="1" t="s">
        <v>1428</v>
      </c>
      <c r="C341" s="76">
        <f>255</f>
        <v>255</v>
      </c>
      <c r="D341" s="1" t="s">
        <v>1442</v>
      </c>
      <c r="E341" s="76">
        <v>-305</v>
      </c>
      <c r="F341" s="1" t="s">
        <v>1428</v>
      </c>
      <c r="G341" s="76">
        <f>255</f>
        <v>255</v>
      </c>
      <c r="H341" s="2" t="s">
        <v>1</v>
      </c>
      <c r="I341" s="3"/>
      <c r="J341" s="3"/>
      <c r="K341" s="3"/>
      <c r="L341" s="3"/>
      <c r="M341" s="3"/>
      <c r="N341" s="4" t="s">
        <v>311</v>
      </c>
      <c r="O341" s="4" t="s">
        <v>1443</v>
      </c>
      <c r="P341" s="4" t="s">
        <v>8</v>
      </c>
      <c r="Q341" s="4" t="s">
        <v>1430</v>
      </c>
      <c r="R341" s="4" t="s">
        <v>61</v>
      </c>
      <c r="S341" s="19">
        <v>1</v>
      </c>
      <c r="T341" s="20">
        <v>0.2076388888888889</v>
      </c>
      <c r="U341" s="4" t="s">
        <v>10</v>
      </c>
      <c r="V341" s="4" t="s">
        <v>73</v>
      </c>
      <c r="W341" s="4" t="s">
        <v>1444</v>
      </c>
      <c r="X341" s="26" t="s">
        <v>1445</v>
      </c>
      <c r="Y341" s="21"/>
      <c r="Z341" s="21"/>
    </row>
    <row r="342" spans="1:26" ht="14.25">
      <c r="A342" s="3"/>
      <c r="B342" s="1" t="s">
        <v>1446</v>
      </c>
      <c r="C342" s="24">
        <v>-170</v>
      </c>
      <c r="D342" s="1" t="s">
        <v>1447</v>
      </c>
      <c r="E342" s="24">
        <f>170</f>
        <v>170</v>
      </c>
      <c r="F342" s="1" t="s">
        <v>1447</v>
      </c>
      <c r="G342" s="24">
        <f>170</f>
        <v>170</v>
      </c>
      <c r="H342" s="2" t="s">
        <v>1</v>
      </c>
      <c r="I342" s="3"/>
      <c r="J342" s="3"/>
      <c r="K342" s="3"/>
      <c r="L342" s="3"/>
      <c r="M342" s="3"/>
      <c r="N342" s="4" t="s">
        <v>223</v>
      </c>
      <c r="O342" s="4" t="s">
        <v>1448</v>
      </c>
      <c r="P342" s="4" t="s">
        <v>8</v>
      </c>
      <c r="Q342" s="4" t="s">
        <v>1430</v>
      </c>
      <c r="R342" s="4" t="s">
        <v>46</v>
      </c>
      <c r="S342" s="19">
        <v>2</v>
      </c>
      <c r="T342" s="20">
        <v>0.13541666666666666</v>
      </c>
      <c r="U342" s="4" t="s">
        <v>10</v>
      </c>
      <c r="V342" s="4" t="s">
        <v>11</v>
      </c>
      <c r="W342" s="4" t="s">
        <v>48</v>
      </c>
      <c r="X342" s="26" t="s">
        <v>1449</v>
      </c>
      <c r="Y342" s="21"/>
      <c r="Z342" s="21"/>
    </row>
    <row r="343" spans="1:26" ht="14.25">
      <c r="A343" s="3"/>
      <c r="B343" s="1" t="s">
        <v>1436</v>
      </c>
      <c r="C343" s="24">
        <v>-145</v>
      </c>
      <c r="D343" s="1" t="s">
        <v>1450</v>
      </c>
      <c r="E343" s="24">
        <f>145</f>
        <v>145</v>
      </c>
      <c r="F343" s="1" t="s">
        <v>1436</v>
      </c>
      <c r="G343" s="24">
        <v>-145</v>
      </c>
      <c r="H343" s="2" t="s">
        <v>1</v>
      </c>
      <c r="I343" s="3"/>
      <c r="J343" s="3"/>
      <c r="K343" s="3"/>
      <c r="L343" s="3"/>
      <c r="M343" s="3"/>
      <c r="N343" s="4" t="s">
        <v>223</v>
      </c>
      <c r="O343" s="4" t="s">
        <v>1451</v>
      </c>
      <c r="P343" s="4" t="s">
        <v>22</v>
      </c>
      <c r="Q343" s="4" t="s">
        <v>1430</v>
      </c>
      <c r="R343" s="4" t="s">
        <v>193</v>
      </c>
      <c r="S343" s="19">
        <v>3</v>
      </c>
      <c r="T343" s="20">
        <v>0.20833333333333334</v>
      </c>
      <c r="U343" s="4" t="s">
        <v>10</v>
      </c>
      <c r="V343" s="4" t="s">
        <v>226</v>
      </c>
      <c r="W343" s="4" t="s">
        <v>1452</v>
      </c>
      <c r="X343" s="26" t="s">
        <v>1453</v>
      </c>
      <c r="Y343" s="21"/>
      <c r="Z343" s="21"/>
    </row>
    <row r="344" spans="1:26" ht="14.25">
      <c r="A344" s="3"/>
      <c r="B344" s="38" t="s">
        <v>1454</v>
      </c>
      <c r="C344" s="80">
        <f>141</f>
        <v>141</v>
      </c>
      <c r="D344" s="38" t="s">
        <v>1455</v>
      </c>
      <c r="E344" s="80">
        <v>-141</v>
      </c>
      <c r="F344" s="38" t="s">
        <v>1455</v>
      </c>
      <c r="G344" s="80">
        <v>-141</v>
      </c>
      <c r="H344" s="41" t="s">
        <v>1</v>
      </c>
      <c r="I344" s="3"/>
      <c r="J344" s="3"/>
      <c r="K344" s="3"/>
      <c r="L344" s="3"/>
      <c r="M344" s="3"/>
      <c r="N344" s="4" t="s">
        <v>231</v>
      </c>
      <c r="O344" s="4" t="s">
        <v>1456</v>
      </c>
      <c r="P344" s="4" t="s">
        <v>8</v>
      </c>
      <c r="Q344" s="4" t="s">
        <v>1430</v>
      </c>
      <c r="R344" s="4" t="s">
        <v>9</v>
      </c>
      <c r="S344" s="19">
        <v>3</v>
      </c>
      <c r="T344" s="20">
        <v>0.20833333333333334</v>
      </c>
      <c r="U344" s="4" t="s">
        <v>10</v>
      </c>
      <c r="V344" s="4" t="s">
        <v>788</v>
      </c>
      <c r="W344" s="4" t="s">
        <v>1457</v>
      </c>
      <c r="X344" s="3"/>
    </row>
    <row r="345" spans="1:26" ht="14.25">
      <c r="A345" s="3"/>
      <c r="B345" s="1" t="s">
        <v>1427</v>
      </c>
      <c r="C345" s="84">
        <f>355</f>
        <v>355</v>
      </c>
      <c r="D345" s="1" t="s">
        <v>1458</v>
      </c>
      <c r="E345" s="84">
        <v>-425</v>
      </c>
      <c r="F345" s="1" t="s">
        <v>1459</v>
      </c>
      <c r="G345" s="84">
        <v>-425</v>
      </c>
      <c r="H345" s="2" t="s">
        <v>85</v>
      </c>
      <c r="I345" s="24">
        <v>5.5</v>
      </c>
      <c r="J345" s="1" t="s">
        <v>18</v>
      </c>
      <c r="K345" s="24">
        <v>-130</v>
      </c>
      <c r="L345" s="1" t="s">
        <v>1460</v>
      </c>
      <c r="M345" s="3"/>
      <c r="N345" s="4" t="s">
        <v>87</v>
      </c>
      <c r="O345" s="4" t="s">
        <v>1461</v>
      </c>
      <c r="P345" s="4" t="s">
        <v>22</v>
      </c>
      <c r="Q345" s="4" t="s">
        <v>1430</v>
      </c>
      <c r="R345" s="4" t="s">
        <v>9</v>
      </c>
      <c r="S345" s="19">
        <v>3</v>
      </c>
      <c r="T345" s="20">
        <v>0.20833333333333334</v>
      </c>
      <c r="U345" s="4" t="s">
        <v>10</v>
      </c>
      <c r="V345" s="4" t="s">
        <v>233</v>
      </c>
      <c r="W345" s="4" t="s">
        <v>1462</v>
      </c>
      <c r="X345" s="26" t="s">
        <v>1463</v>
      </c>
      <c r="Y345" s="21"/>
      <c r="Z345" s="21"/>
    </row>
    <row r="346" spans="1:26" ht="14.25">
      <c r="A346" s="3"/>
      <c r="B346" s="1" t="s">
        <v>1464</v>
      </c>
      <c r="C346" s="84">
        <f>275</f>
        <v>275</v>
      </c>
      <c r="D346" s="1" t="s">
        <v>1465</v>
      </c>
      <c r="E346" s="84">
        <v>-335</v>
      </c>
      <c r="F346" s="1" t="s">
        <v>1465</v>
      </c>
      <c r="G346" s="84">
        <v>-335</v>
      </c>
      <c r="H346" s="2" t="s">
        <v>5</v>
      </c>
      <c r="I346" s="24">
        <v>7.8</v>
      </c>
      <c r="J346" s="1" t="s">
        <v>427</v>
      </c>
      <c r="K346" s="24">
        <v>-210</v>
      </c>
      <c r="L346" s="1"/>
      <c r="M346" s="1"/>
      <c r="N346" s="4" t="s">
        <v>94</v>
      </c>
      <c r="O346" s="4" t="s">
        <v>1466</v>
      </c>
      <c r="P346" s="4" t="s">
        <v>22</v>
      </c>
      <c r="Q346" s="4" t="s">
        <v>1430</v>
      </c>
      <c r="R346" s="4" t="s">
        <v>9</v>
      </c>
      <c r="S346" s="19">
        <v>3</v>
      </c>
      <c r="T346" s="20">
        <v>0.20833333333333334</v>
      </c>
      <c r="U346" s="4" t="s">
        <v>10</v>
      </c>
      <c r="V346" s="4" t="s">
        <v>96</v>
      </c>
      <c r="W346" s="4" t="s">
        <v>1467</v>
      </c>
      <c r="X346" s="26" t="s">
        <v>1468</v>
      </c>
      <c r="Y346" s="21"/>
      <c r="Z346" s="21"/>
    </row>
    <row r="347" spans="1:26" ht="14.25">
      <c r="A347" s="3"/>
      <c r="B347" s="1" t="s">
        <v>1446</v>
      </c>
      <c r="C347" s="84">
        <v>-137</v>
      </c>
      <c r="D347" s="1" t="s">
        <v>1469</v>
      </c>
      <c r="E347" s="84">
        <f>117</f>
        <v>117</v>
      </c>
      <c r="F347" s="1" t="s">
        <v>1446</v>
      </c>
      <c r="G347" s="84">
        <v>-137</v>
      </c>
      <c r="H347" s="2" t="s">
        <v>5</v>
      </c>
      <c r="I347" s="24">
        <v>7.3</v>
      </c>
      <c r="J347" s="1" t="s">
        <v>18</v>
      </c>
      <c r="K347" s="1" t="s">
        <v>1470</v>
      </c>
      <c r="L347" s="1" t="s">
        <v>1471</v>
      </c>
      <c r="M347" s="3"/>
      <c r="N347" s="4" t="s">
        <v>103</v>
      </c>
      <c r="O347" s="4" t="s">
        <v>1472</v>
      </c>
      <c r="P347" s="4" t="s">
        <v>8</v>
      </c>
      <c r="Q347" s="4" t="s">
        <v>1430</v>
      </c>
      <c r="R347" s="4" t="s">
        <v>193</v>
      </c>
      <c r="S347" s="19">
        <v>3</v>
      </c>
      <c r="T347" s="20">
        <v>0.20833333333333334</v>
      </c>
      <c r="U347" s="4" t="s">
        <v>10</v>
      </c>
      <c r="V347" s="4" t="s">
        <v>23</v>
      </c>
      <c r="W347" s="4" t="s">
        <v>1473</v>
      </c>
      <c r="X347" s="26" t="s">
        <v>1474</v>
      </c>
      <c r="Y347" s="21"/>
      <c r="Z347" s="21"/>
    </row>
    <row r="348" spans="1:26" ht="14.25">
      <c r="A348" s="3"/>
      <c r="B348" s="1" t="s">
        <v>1475</v>
      </c>
      <c r="C348" s="84">
        <f>170</f>
        <v>170</v>
      </c>
      <c r="D348" s="1" t="s">
        <v>1450</v>
      </c>
      <c r="E348" s="84">
        <v>-200</v>
      </c>
      <c r="F348" s="1" t="s">
        <v>1475</v>
      </c>
      <c r="G348" s="84">
        <f>170</f>
        <v>170</v>
      </c>
      <c r="H348" s="30" t="s">
        <v>5</v>
      </c>
      <c r="I348" s="24">
        <v>6.9</v>
      </c>
      <c r="J348" s="1" t="s">
        <v>61</v>
      </c>
      <c r="K348" s="3"/>
      <c r="L348" s="1" t="s">
        <v>1476</v>
      </c>
      <c r="M348" s="3"/>
      <c r="N348" s="4" t="s">
        <v>115</v>
      </c>
      <c r="O348" s="4" t="s">
        <v>1477</v>
      </c>
      <c r="P348" s="4" t="s">
        <v>8</v>
      </c>
      <c r="Q348" s="4" t="s">
        <v>1430</v>
      </c>
      <c r="R348" s="4" t="s">
        <v>9</v>
      </c>
      <c r="S348" s="19">
        <v>3</v>
      </c>
      <c r="T348" s="20">
        <v>0.20833333333333334</v>
      </c>
      <c r="U348" s="4" t="s">
        <v>10</v>
      </c>
      <c r="V348" s="4" t="s">
        <v>117</v>
      </c>
      <c r="W348" s="4" t="s">
        <v>1478</v>
      </c>
      <c r="X348" s="26" t="s">
        <v>1479</v>
      </c>
      <c r="Y348" s="21"/>
      <c r="Z348" s="21"/>
    </row>
    <row r="349" spans="1:26" ht="14.25">
      <c r="A349" s="3"/>
      <c r="B349" s="1" t="s">
        <v>1480</v>
      </c>
      <c r="C349" s="84">
        <v>-186</v>
      </c>
      <c r="D349" s="1" t="s">
        <v>1481</v>
      </c>
      <c r="E349" s="84">
        <f>161</f>
        <v>161</v>
      </c>
      <c r="F349" s="1" t="s">
        <v>1481</v>
      </c>
      <c r="G349" s="84">
        <f>161</f>
        <v>161</v>
      </c>
      <c r="H349" s="2" t="s">
        <v>122</v>
      </c>
      <c r="I349" s="24">
        <v>9.1999999999999993</v>
      </c>
      <c r="J349" s="25" t="s">
        <v>16</v>
      </c>
      <c r="K349" s="25" t="s">
        <v>1482</v>
      </c>
      <c r="L349" s="25" t="s">
        <v>18</v>
      </c>
      <c r="M349" s="25" t="s">
        <v>291</v>
      </c>
      <c r="N349" s="4" t="s">
        <v>20</v>
      </c>
      <c r="O349" s="4" t="s">
        <v>1483</v>
      </c>
      <c r="P349" s="4" t="s">
        <v>8</v>
      </c>
      <c r="Q349" s="4" t="s">
        <v>1430</v>
      </c>
      <c r="R349" s="4" t="s">
        <v>61</v>
      </c>
      <c r="S349" s="19">
        <v>1</v>
      </c>
      <c r="T349" s="20">
        <v>6.805555555555555E-2</v>
      </c>
      <c r="U349" s="4" t="s">
        <v>10</v>
      </c>
      <c r="V349" s="4" t="s">
        <v>89</v>
      </c>
      <c r="W349" s="4" t="s">
        <v>1379</v>
      </c>
      <c r="X349" s="26" t="s">
        <v>1484</v>
      </c>
      <c r="Y349" s="21"/>
      <c r="Z349" s="21"/>
    </row>
    <row r="350" spans="1:26" ht="14.25">
      <c r="A350" s="3"/>
      <c r="B350" s="1" t="s">
        <v>1485</v>
      </c>
      <c r="C350" s="76">
        <v>-525</v>
      </c>
      <c r="D350" s="1" t="s">
        <v>1486</v>
      </c>
      <c r="E350" s="76">
        <f>400</f>
        <v>400</v>
      </c>
      <c r="F350" s="1" t="s">
        <v>1485</v>
      </c>
      <c r="G350" s="76">
        <v>-525</v>
      </c>
      <c r="H350" s="2" t="s">
        <v>122</v>
      </c>
      <c r="I350" s="3"/>
      <c r="J350" s="3" t="s">
        <v>840</v>
      </c>
      <c r="K350" s="3" t="s">
        <v>1487</v>
      </c>
      <c r="L350" s="3" t="s">
        <v>29</v>
      </c>
      <c r="M350" s="3" t="s">
        <v>30</v>
      </c>
      <c r="N350" s="4" t="s">
        <v>160</v>
      </c>
      <c r="O350" s="4" t="s">
        <v>1488</v>
      </c>
      <c r="P350" s="4" t="s">
        <v>8</v>
      </c>
      <c r="Q350" s="4" t="s">
        <v>1430</v>
      </c>
      <c r="R350" s="4" t="s">
        <v>9</v>
      </c>
      <c r="S350" s="19">
        <v>3</v>
      </c>
      <c r="T350" s="20">
        <v>0.20833333333333334</v>
      </c>
      <c r="U350" s="4" t="s">
        <v>10</v>
      </c>
      <c r="V350" s="4" t="s">
        <v>55</v>
      </c>
      <c r="W350" s="4" t="s">
        <v>1489</v>
      </c>
      <c r="X350" s="26" t="s">
        <v>1490</v>
      </c>
      <c r="Y350" s="21"/>
      <c r="Z350" s="21"/>
    </row>
    <row r="351" spans="1:26" ht="15">
      <c r="A351" s="3"/>
      <c r="B351" s="1" t="s">
        <v>1491</v>
      </c>
      <c r="C351" s="76">
        <v>-135</v>
      </c>
      <c r="D351" s="1" t="s">
        <v>1447</v>
      </c>
      <c r="E351" s="76">
        <f>115</f>
        <v>115</v>
      </c>
      <c r="F351" s="1" t="s">
        <v>1491</v>
      </c>
      <c r="G351" s="48">
        <v>-140</v>
      </c>
      <c r="H351" s="2" t="s">
        <v>122</v>
      </c>
      <c r="I351" s="3"/>
      <c r="J351" s="3" t="s">
        <v>840</v>
      </c>
      <c r="K351" s="3" t="s">
        <v>1487</v>
      </c>
      <c r="L351" s="3" t="s">
        <v>29</v>
      </c>
      <c r="M351" s="3" t="s">
        <v>30</v>
      </c>
      <c r="N351" s="4" t="s">
        <v>166</v>
      </c>
      <c r="O351" s="4" t="s">
        <v>1492</v>
      </c>
      <c r="P351" s="4" t="s">
        <v>8</v>
      </c>
      <c r="Q351" s="4" t="s">
        <v>1430</v>
      </c>
      <c r="R351" s="4" t="s">
        <v>9</v>
      </c>
      <c r="S351" s="19">
        <v>3</v>
      </c>
      <c r="T351" s="20">
        <v>0.20833333333333334</v>
      </c>
      <c r="U351" s="4" t="s">
        <v>10</v>
      </c>
      <c r="V351" s="4" t="s">
        <v>89</v>
      </c>
      <c r="W351" s="4" t="s">
        <v>1420</v>
      </c>
      <c r="X351" s="26" t="s">
        <v>1493</v>
      </c>
      <c r="Y351" s="21"/>
      <c r="Z351" s="21"/>
    </row>
    <row r="352" spans="1:26" ht="14.25">
      <c r="A352" s="3"/>
      <c r="B352" s="1" t="s">
        <v>1494</v>
      </c>
      <c r="C352" s="76">
        <v>-260</v>
      </c>
      <c r="D352" s="1" t="s">
        <v>1495</v>
      </c>
      <c r="E352" s="76">
        <f>220</f>
        <v>220</v>
      </c>
      <c r="F352" s="1" t="s">
        <v>1494</v>
      </c>
      <c r="G352" s="76">
        <v>-260</v>
      </c>
      <c r="H352" s="2" t="s">
        <v>5</v>
      </c>
      <c r="I352" s="3"/>
      <c r="J352" s="3"/>
      <c r="K352" s="3"/>
      <c r="L352" s="3"/>
      <c r="M352" s="3"/>
      <c r="N352" s="4" t="s">
        <v>177</v>
      </c>
      <c r="O352" s="4" t="s">
        <v>1496</v>
      </c>
      <c r="P352" s="4" t="s">
        <v>8</v>
      </c>
      <c r="Q352" s="4" t="s">
        <v>1430</v>
      </c>
      <c r="R352" s="4" t="s">
        <v>9</v>
      </c>
      <c r="S352" s="19">
        <v>3</v>
      </c>
      <c r="T352" s="20">
        <v>0.20833333333333334</v>
      </c>
      <c r="U352" s="4" t="s">
        <v>10</v>
      </c>
      <c r="V352" s="4" t="s">
        <v>96</v>
      </c>
      <c r="W352" s="4" t="s">
        <v>1497</v>
      </c>
      <c r="X352" s="26" t="s">
        <v>1498</v>
      </c>
      <c r="Y352" s="21"/>
      <c r="Z352" s="21"/>
    </row>
    <row r="353" spans="1:26" ht="14.25">
      <c r="A353" s="3"/>
      <c r="B353" s="1" t="s">
        <v>1499</v>
      </c>
      <c r="C353" s="76">
        <v>-230</v>
      </c>
      <c r="D353" s="33" t="s">
        <v>1500</v>
      </c>
      <c r="E353" s="76">
        <f>195</f>
        <v>195</v>
      </c>
      <c r="F353" s="34" t="s">
        <v>1499</v>
      </c>
      <c r="G353" s="76">
        <v>-230</v>
      </c>
      <c r="H353" s="2" t="s">
        <v>122</v>
      </c>
      <c r="I353" s="3"/>
      <c r="J353" s="3"/>
      <c r="K353" s="3"/>
      <c r="L353" s="3"/>
      <c r="M353" s="3"/>
      <c r="N353" s="4" t="s">
        <v>185</v>
      </c>
      <c r="O353" s="4" t="s">
        <v>1501</v>
      </c>
      <c r="P353" s="4" t="s">
        <v>8</v>
      </c>
      <c r="Q353" s="4" t="s">
        <v>1430</v>
      </c>
      <c r="R353" s="4" t="s">
        <v>46</v>
      </c>
      <c r="S353" s="19">
        <v>2</v>
      </c>
      <c r="T353" s="20">
        <v>0.13333333333333333</v>
      </c>
      <c r="U353" s="4" t="s">
        <v>10</v>
      </c>
      <c r="V353" s="4" t="s">
        <v>187</v>
      </c>
      <c r="W353" s="4" t="s">
        <v>258</v>
      </c>
      <c r="X353" s="26" t="s">
        <v>1502</v>
      </c>
      <c r="Y353" s="21"/>
      <c r="Z353" s="21"/>
    </row>
    <row r="354" spans="1:26" ht="14.25">
      <c r="A354" s="3"/>
      <c r="B354" s="1" t="s">
        <v>1503</v>
      </c>
      <c r="C354" s="24">
        <f>230</f>
        <v>230</v>
      </c>
      <c r="D354" s="1" t="s">
        <v>1504</v>
      </c>
      <c r="E354" s="24">
        <v>-270</v>
      </c>
      <c r="F354" s="1" t="s">
        <v>1503</v>
      </c>
      <c r="G354" s="24">
        <f t="shared" ref="G354:G355" si="3">230</f>
        <v>230</v>
      </c>
      <c r="H354" s="2" t="s">
        <v>5</v>
      </c>
      <c r="I354" s="3"/>
      <c r="J354" s="3"/>
      <c r="K354" s="3"/>
      <c r="L354" s="3"/>
      <c r="M354" s="3"/>
      <c r="N354" s="4" t="s">
        <v>52</v>
      </c>
      <c r="O354" s="4" t="s">
        <v>1505</v>
      </c>
      <c r="P354" s="4" t="s">
        <v>22</v>
      </c>
      <c r="Q354" s="4" t="s">
        <v>1430</v>
      </c>
      <c r="R354" s="4" t="s">
        <v>193</v>
      </c>
      <c r="S354" s="19">
        <v>3</v>
      </c>
      <c r="T354" s="20">
        <v>0.20833333333333334</v>
      </c>
      <c r="U354" s="4" t="s">
        <v>10</v>
      </c>
      <c r="V354" s="4" t="s">
        <v>11</v>
      </c>
      <c r="W354" s="4" t="s">
        <v>1506</v>
      </c>
      <c r="X354" s="26" t="s">
        <v>1507</v>
      </c>
      <c r="Y354" s="21"/>
      <c r="Z354" s="21"/>
    </row>
    <row r="355" spans="1:26" ht="14.25">
      <c r="A355" s="3"/>
      <c r="B355" s="1" t="s">
        <v>1508</v>
      </c>
      <c r="C355" s="24">
        <v>-230</v>
      </c>
      <c r="D355" s="1" t="s">
        <v>1397</v>
      </c>
      <c r="E355" s="24">
        <f>230</f>
        <v>230</v>
      </c>
      <c r="F355" s="1" t="s">
        <v>1397</v>
      </c>
      <c r="G355" s="24">
        <f t="shared" si="3"/>
        <v>230</v>
      </c>
      <c r="H355" s="2" t="s">
        <v>5</v>
      </c>
      <c r="I355" s="3"/>
      <c r="J355" s="3"/>
      <c r="K355" s="3"/>
      <c r="L355" s="3"/>
      <c r="M355" s="3"/>
      <c r="N355" s="4" t="s">
        <v>65</v>
      </c>
      <c r="O355" s="4" t="s">
        <v>1509</v>
      </c>
      <c r="P355" s="4" t="s">
        <v>22</v>
      </c>
      <c r="Q355" s="4" t="s">
        <v>1430</v>
      </c>
      <c r="R355" s="4" t="s">
        <v>46</v>
      </c>
      <c r="S355" s="19">
        <v>3</v>
      </c>
      <c r="T355" s="20">
        <v>0.16180555555555556</v>
      </c>
      <c r="U355" s="4" t="s">
        <v>10</v>
      </c>
      <c r="V355" s="4" t="s">
        <v>23</v>
      </c>
      <c r="W355" s="4" t="s">
        <v>97</v>
      </c>
      <c r="X355" s="26" t="s">
        <v>1510</v>
      </c>
      <c r="Y355" s="21"/>
      <c r="Z355" s="21"/>
    </row>
    <row r="356" spans="1:26" ht="14.25">
      <c r="A356" s="3"/>
      <c r="B356" s="38" t="s">
        <v>1511</v>
      </c>
      <c r="C356" s="80">
        <f>600</f>
        <v>600</v>
      </c>
      <c r="D356" s="38" t="s">
        <v>1512</v>
      </c>
      <c r="E356" s="80">
        <v>-600</v>
      </c>
      <c r="F356" s="38" t="s">
        <v>1511</v>
      </c>
      <c r="G356" s="80">
        <f>600</f>
        <v>600</v>
      </c>
      <c r="H356" s="41" t="s">
        <v>5</v>
      </c>
      <c r="I356" s="3"/>
      <c r="J356" s="3"/>
      <c r="K356" s="3"/>
      <c r="L356" s="3"/>
      <c r="M356" s="3"/>
      <c r="N356" s="4" t="s">
        <v>231</v>
      </c>
      <c r="O356" s="4" t="s">
        <v>1513</v>
      </c>
      <c r="P356" s="4" t="s">
        <v>8</v>
      </c>
      <c r="Q356" s="4" t="s">
        <v>1430</v>
      </c>
      <c r="R356" s="4" t="s">
        <v>46</v>
      </c>
      <c r="S356" s="19">
        <v>2</v>
      </c>
      <c r="T356" s="20">
        <v>9.3055555555555558E-2</v>
      </c>
      <c r="U356" s="4" t="s">
        <v>10</v>
      </c>
      <c r="V356" s="4" t="s">
        <v>245</v>
      </c>
      <c r="W356" s="4" t="s">
        <v>430</v>
      </c>
      <c r="X356" s="3"/>
    </row>
    <row r="357" spans="1:26" ht="14.25">
      <c r="A357" s="3"/>
      <c r="B357" s="1" t="s">
        <v>1514</v>
      </c>
      <c r="C357" s="24">
        <v>-360</v>
      </c>
      <c r="D357" s="1" t="s">
        <v>1515</v>
      </c>
      <c r="E357" s="24">
        <f>360</f>
        <v>360</v>
      </c>
      <c r="F357" s="1" t="s">
        <v>1515</v>
      </c>
      <c r="G357" s="24">
        <f>360</f>
        <v>360</v>
      </c>
      <c r="H357" s="2" t="s">
        <v>5</v>
      </c>
      <c r="I357" s="3"/>
      <c r="J357" s="3"/>
      <c r="K357" s="3"/>
      <c r="L357" s="3"/>
      <c r="M357" s="3"/>
      <c r="N357" s="4" t="s">
        <v>71</v>
      </c>
      <c r="O357" s="4" t="s">
        <v>1516</v>
      </c>
      <c r="P357" s="4" t="s">
        <v>22</v>
      </c>
      <c r="Q357" s="4" t="s">
        <v>1430</v>
      </c>
      <c r="R357" s="4" t="s">
        <v>9</v>
      </c>
      <c r="S357" s="19">
        <v>3</v>
      </c>
      <c r="T357" s="20">
        <v>0.20833333333333334</v>
      </c>
      <c r="U357" s="4" t="s">
        <v>10</v>
      </c>
      <c r="V357" s="4" t="s">
        <v>23</v>
      </c>
      <c r="W357" s="4" t="s">
        <v>1517</v>
      </c>
      <c r="X357" s="3"/>
    </row>
    <row r="358" spans="1:26" ht="14.25">
      <c r="A358" s="3"/>
      <c r="B358" s="1" t="s">
        <v>1275</v>
      </c>
      <c r="C358" s="84">
        <f>170</f>
        <v>170</v>
      </c>
      <c r="D358" s="1" t="s">
        <v>1270</v>
      </c>
      <c r="E358" s="84">
        <v>-200</v>
      </c>
      <c r="F358" s="1" t="s">
        <v>1270</v>
      </c>
      <c r="G358" s="84">
        <v>-200</v>
      </c>
      <c r="H358" s="2" t="s">
        <v>77</v>
      </c>
      <c r="I358" s="24">
        <v>6</v>
      </c>
      <c r="J358" s="1" t="s">
        <v>18</v>
      </c>
      <c r="K358" s="24">
        <v>-155</v>
      </c>
      <c r="L358" s="1" t="s">
        <v>1518</v>
      </c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 spans="1:26" ht="12.7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 spans="1:26" ht="12.7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 spans="1:26" ht="12.7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 spans="1:26" ht="12.7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 spans="1:26" ht="12.7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 spans="1:26" ht="12.7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 spans="1:26" ht="12.7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 spans="1:26" ht="12.7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 spans="1:26" ht="12.7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 spans="1:26" ht="12.7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 spans="1:24" ht="12.7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 spans="1:24" ht="12.7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 spans="1:24" ht="12.7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 spans="1:24" ht="12.7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 spans="1:24" ht="12.7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 spans="1:24" ht="12.7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 spans="1:24" ht="12.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 spans="1:24" ht="12.7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 spans="1:24" ht="12.7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 spans="1:24" ht="12.7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 spans="1:24" ht="12.7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 spans="1:24" ht="12.7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 spans="1:24" ht="12.7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 spans="1:24" ht="12.7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 spans="1:24" ht="12.7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 spans="1:24" ht="12.7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 spans="1:24" ht="12.7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 spans="1:24" ht="12.7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 spans="1:24" ht="12.7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 spans="1:24" ht="12.7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 spans="1:24" ht="12.7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 spans="1:24" ht="12.7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 spans="1:24" ht="12.7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 spans="1:24" ht="12.7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 spans="1:24" ht="12.7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 spans="1:24" ht="12.7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 spans="1:24" ht="12.7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 spans="1:24" ht="12.7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 spans="1:24" ht="12.7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 spans="1:24" ht="12.7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 spans="1:24" ht="12.7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 spans="1:24" ht="12.7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 spans="1:24" ht="12.7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 spans="1:24" ht="12.7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 spans="1:24" ht="12.7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 spans="1:24" ht="12.7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 spans="1:24" ht="12.7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 spans="1:24" ht="12.7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 spans="1:24" ht="12.7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 spans="1:24" ht="12.7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 spans="1:24" ht="12.7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 spans="1:24" ht="12.7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 spans="1:24" ht="12.7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 spans="1:24" ht="12.7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 spans="1:24" ht="12.7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 spans="1:24" ht="12.7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 spans="1:24" ht="12.7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 spans="1:24" ht="12.7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 spans="1:24" ht="12.7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 spans="1:24" ht="12.7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 spans="1:24" ht="12.7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 spans="1:24" ht="12.7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 spans="1:24" ht="12.7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 spans="1:24" ht="12.7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 spans="1:24" ht="12.7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 spans="1:24" ht="12.7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 spans="1:24" ht="12.7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 spans="1:24" ht="12.7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 spans="1:24" ht="12.7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 spans="1:24" ht="12.7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 spans="1:24" ht="12.7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 spans="1:24" ht="12.7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 spans="1:24" ht="12.7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 spans="1:24" ht="12.7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 spans="1:24" ht="12.7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 spans="1:24" ht="12.7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 spans="1:24" ht="12.7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 spans="1:24" ht="12.7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 spans="1:24" ht="12.7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 spans="1:24" ht="12.7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 spans="1:24" ht="12.7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 spans="1:24" ht="12.7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 spans="1:24" ht="12.7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 spans="1:24" ht="12.7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 spans="1:24" ht="12.7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 spans="1:24" ht="12.7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 spans="1:24" ht="12.7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 spans="1:24" ht="12.7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 spans="1:24" ht="12.7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 spans="1:24" ht="12.7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 spans="1:24" ht="12.7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 spans="1:24" ht="12.7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 spans="1:24" ht="12.7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 spans="1:24" ht="12.7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 spans="1:24" ht="12.7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 spans="1:24" ht="12.7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 spans="1:24" ht="12.7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 spans="1:24" ht="12.7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 spans="1:24" ht="12.7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 spans="1:24" ht="12.7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 spans="1:24" ht="12.7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 spans="1:24" ht="12.7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 spans="1:24" ht="12.7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 spans="1:24" ht="12.7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 spans="1:24" ht="12.7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 spans="1:24" ht="12.7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 spans="1:24" ht="12.7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 spans="1:24" ht="12.7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 spans="1:24" ht="12.7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 spans="1:24" ht="12.7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 spans="1:24" ht="12.7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 spans="1:24" ht="12.7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 spans="1:24" ht="12.7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 spans="1:24" ht="12.7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 spans="1:24" ht="12.7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 spans="1:24" ht="12.7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 spans="1:24" ht="12.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 spans="1:24" ht="12.7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 spans="1:24" ht="12.7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 spans="1:24" ht="12.7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 spans="1:24" ht="12.7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 spans="1:24" ht="12.7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 spans="1:24" ht="12.7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 spans="1:24" ht="12.7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 spans="1:24" ht="12.7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 spans="1:24" ht="12.7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 spans="1:24" ht="12.7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 spans="1:24" ht="12.7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 spans="1:24" ht="12.7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 spans="1:24" ht="12.7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 spans="1:24" ht="12.7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 spans="1:24" ht="12.7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 spans="1:24" ht="12.7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 spans="1:24" ht="12.7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 spans="1:24" ht="12.7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 spans="1:24" ht="12.7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 spans="1:24" ht="12.7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 spans="1:24" ht="12.7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 spans="1:24" ht="12.7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 spans="1:24" ht="12.7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 spans="1:24" ht="12.7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 spans="1:24" ht="12.7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 spans="1:24" ht="12.7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 spans="1:24" ht="12.7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 spans="1:24" ht="12.7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 spans="1:24" ht="12.7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 spans="1:24" ht="12.7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 spans="1:24" ht="12.7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 spans="1:24" ht="12.7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 spans="1:24" ht="12.7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 spans="1:24" ht="12.7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 spans="1:24" ht="12.7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 spans="1:24" ht="12.7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 spans="1:24" ht="12.7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 spans="1:24" ht="12.7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 spans="1:24" ht="12.7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 spans="1:24" ht="12.7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 spans="1:24" ht="12.7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 spans="1:24" ht="12.7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 spans="1:24" ht="12.7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 spans="1:24" ht="12.7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 spans="1:24" ht="12.7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 spans="1:24" ht="12.7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 spans="1:24" ht="12.7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 spans="1:24" ht="12.7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 spans="1:24" ht="12.7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 spans="1:24" ht="12.7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 spans="1:24" ht="12.7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 spans="1:24" ht="12.7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 spans="1:24" ht="12.7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 spans="1:24" ht="12.7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 spans="1:24" ht="12.7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 spans="1:24" ht="12.7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 spans="1:24" ht="12.7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 spans="1:24" ht="12.7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 spans="1:24" ht="12.7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 spans="1:24" ht="12.7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 spans="1:24" ht="12.7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 spans="1:24" ht="12.7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 spans="1:24" ht="12.7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 spans="1:24" ht="12.7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 spans="1:24" ht="12.7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 spans="1:24" ht="12.7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 spans="1:24" ht="12.7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 spans="1:24" ht="12.7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 spans="1:24" ht="12.7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 spans="1:24" ht="12.7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 spans="1:24" ht="12.7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 spans="1:24" ht="12.7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 spans="1:24" ht="12.7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 spans="1:24" ht="12.7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 spans="1:24" ht="12.7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 spans="1:24" ht="12.7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 spans="1:24" ht="12.7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 spans="1:24" ht="12.7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 spans="1:24" ht="12.7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 spans="1:24" ht="12.7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 spans="1:24" ht="12.7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 spans="1:24" ht="12.7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 spans="1:24" ht="12.7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 spans="1:24" ht="12.7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 spans="1:24" ht="12.7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 spans="1:24" ht="12.7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 spans="1:24" ht="12.7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 spans="1:24" ht="12.7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 spans="1:24" ht="12.7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 spans="1:24" ht="12.7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 spans="1:24" ht="12.7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 spans="1:24" ht="12.7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 spans="1:24" ht="12.7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 spans="1:24" ht="12.7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 spans="1:24" ht="12.7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 spans="1:24" ht="12.7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 spans="1:24" ht="12.7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 spans="1:24" ht="12.7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 spans="1:24" ht="12.7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 spans="1:24" ht="12.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 spans="1:24" ht="12.7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 spans="1:24" ht="12.7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 spans="1:24" ht="12.7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 spans="1:24" ht="12.7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 spans="1:24" ht="12.7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 spans="1:24" ht="12.7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 spans="1:24" ht="12.7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 spans="1:24" ht="12.7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 spans="1:24" ht="12.7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 spans="1:24" ht="12.7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 spans="1:24" ht="12.7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 spans="1:24" ht="12.7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 spans="1:24" ht="12.7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 spans="1:24" ht="12.7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 spans="1:24" ht="12.7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 spans="1:24" ht="12.7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 spans="1:24" ht="12.7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 spans="1:24" ht="12.7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 spans="1:24" ht="12.7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 spans="1:24" ht="12.7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 spans="1:24" ht="12.7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 spans="1:24" ht="12.7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 spans="1:24" ht="12.7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 spans="1:24" ht="12.7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 spans="1:24" ht="12.7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 spans="1:24" ht="12.7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 spans="1:24" ht="12.7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 spans="1:24" ht="12.7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 spans="1:24" ht="12.7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 spans="1:24" ht="12.7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 spans="1:24" ht="12.7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 spans="1:24" ht="12.7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 spans="1:24" ht="12.7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 spans="1:24" ht="12.7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 spans="1:24" ht="12.7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 spans="1:24" ht="12.7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 spans="1:24" ht="12.7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 spans="1:24" ht="12.7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 spans="1:24" ht="12.7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 spans="1:24" ht="12.7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 spans="1:24" ht="12.7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 spans="1:24" ht="12.7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 spans="1:24" ht="12.7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 spans="1:24" ht="12.7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 spans="1:24" ht="12.7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 spans="1:24" ht="12.7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 spans="1:24" ht="12.7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 spans="1:24" ht="12.7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 spans="1:24" ht="12.7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 spans="1:24" ht="12.7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 spans="1:24" ht="12.7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 spans="1:24" ht="12.7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 spans="1:24" ht="12.7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 spans="1:24" ht="12.7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 spans="1:24" ht="12.7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 spans="1:24" ht="12.7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 spans="1:24" ht="12.7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 spans="1:24" ht="12.7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 spans="1:24" ht="12.7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 spans="1:24" ht="12.7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 spans="1:24" ht="12.7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 spans="1:24" ht="12.7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 spans="1:24" ht="12.7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 spans="1:24" ht="12.7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 spans="1:24" ht="12.7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 spans="1:24" ht="12.7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 spans="1:24" ht="12.7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 spans="1:24" ht="12.7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 spans="1:24" ht="12.7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 spans="1:24" ht="12.7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 spans="1:24" ht="12.7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 spans="1:24" ht="12.7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 spans="1:24" ht="12.7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 spans="1:24" ht="12.7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 spans="1:24" ht="12.7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 spans="1:24" ht="12.7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 spans="1:24" ht="12.7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 spans="1:24" ht="12.7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 spans="1:24" ht="12.7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 spans="1:24" ht="12.7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 spans="1:24" ht="12.7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 spans="1:24" ht="12.7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 spans="1:24" ht="12.7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 spans="1:24" ht="12.7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 spans="1:24" ht="12.7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 spans="1:24" ht="12.7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 spans="1:24" ht="12.7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 spans="1:24" ht="12.7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 spans="1:24" ht="12.7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 spans="1:24" ht="12.7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 spans="1:24" ht="12.7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 spans="1:24" ht="12.7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 spans="1:24" ht="12.7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 spans="1:24" ht="12.7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 spans="1:24" ht="12.7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 spans="1:24" ht="12.7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 spans="1:24" ht="12.7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 spans="1:24" ht="12.7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 spans="1:24" ht="12.7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 spans="1:24" ht="12.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 spans="1:24" ht="12.7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 spans="1:24" ht="12.7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 spans="1:24" ht="12.7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 spans="1:24" ht="12.7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 spans="1:24" ht="12.7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 spans="1:24" ht="12.7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 spans="1:24" ht="12.7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 spans="1:24" ht="12.7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 spans="1:24" ht="12.7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 spans="1:24" ht="12.7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 spans="1:24" ht="12.7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 spans="1:24" ht="12.7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 spans="1:24" ht="12.7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 spans="1:24" ht="12.7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 spans="1:24" ht="12.7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 spans="1:24" ht="12.7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 spans="1:24" ht="12.7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 spans="1:24" ht="12.7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 spans="1:24" ht="12.7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 spans="1:24" ht="12.7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 spans="1:24" ht="12.7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 spans="1:24" ht="12.7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 spans="1:24" ht="12.7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 spans="1:24" ht="12.7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 spans="1:24" ht="12.7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 spans="1:24" ht="12.7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 spans="1:24" ht="12.7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 spans="1:24" ht="12.7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 spans="1:24" ht="12.7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 spans="1:24" ht="12.7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 spans="1:24" ht="12.7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 spans="1:24" ht="12.7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 spans="1:24" ht="12.7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 spans="1:24" ht="12.7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 spans="1:24" ht="12.7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 spans="1:24" ht="12.7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 spans="1:24" ht="12.7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 spans="1:24" ht="12.7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 spans="1:24" ht="12.7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 spans="1:24" ht="12.7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 spans="1:24" ht="12.7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 spans="1:24" ht="12.7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 spans="1:24" ht="12.7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 spans="1:24" ht="12.7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 spans="1:24" ht="12.7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 spans="1:24" ht="12.7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 spans="1:24" ht="12.7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 spans="1:24" ht="12.7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 spans="1:24" ht="12.7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 spans="1:24" ht="12.7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 spans="1:24" ht="12.7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 spans="1:24" ht="12.7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 spans="1:24" ht="12.7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 spans="1:24" ht="12.7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 spans="1:24" ht="12.7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 spans="1:24" ht="12.7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 spans="1:24" ht="12.7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 spans="1:24" ht="12.7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 spans="1:24" ht="12.7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 spans="1:24" ht="12.7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 spans="1:24" ht="12.7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 spans="1:24" ht="12.7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 spans="1:24" ht="12.7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 spans="1:24" ht="12.7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 spans="1:24" ht="12.7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 spans="1:24" ht="12.7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 spans="1:24" ht="12.7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 spans="1:24" ht="12.7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 spans="1:24" ht="12.7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 spans="1:24" ht="12.7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 spans="1:24" ht="12.7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 spans="1:24" ht="12.7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 spans="1:24" ht="12.7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 spans="1:24" ht="12.7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 spans="1:24" ht="12.7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 spans="1:24" ht="12.7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 spans="1:24" ht="12.7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 spans="1:24" ht="12.7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 spans="1:24" ht="12.7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 spans="1:24" ht="12.7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 spans="1:24" ht="12.7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 spans="1:24" ht="12.7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 spans="1:24" ht="12.7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 spans="1:24" ht="12.7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 spans="1:24" ht="12.7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 spans="1:24" ht="12.7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 spans="1:24" ht="12.7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 spans="1:24" ht="12.7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 spans="1:24" ht="12.7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 spans="1:24" ht="12.7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 spans="1:24" ht="12.7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 spans="1:24" ht="12.7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 spans="1:24" ht="12.7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 spans="1:24" ht="12.7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 spans="1:24" ht="12.7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 spans="1:24" ht="12.7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 spans="1:24" ht="12.7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 spans="1:24" ht="12.7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 spans="1:24" ht="12.7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 spans="1:24" ht="12.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 spans="1:24" ht="12.7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 spans="1:24" ht="12.7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 spans="1:24" ht="12.7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 spans="1:24" ht="12.7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 spans="1:24" ht="12.7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 spans="1:24" ht="12.7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 spans="1:24" ht="12.7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 spans="1:24" ht="12.7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 spans="1:24" ht="12.7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 spans="1:24" ht="12.7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 spans="1:24" ht="12.7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 spans="1:24" ht="12.7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 spans="1:24" ht="12.7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 spans="1:24" ht="12.7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 spans="1:24" ht="12.7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 spans="1:24" ht="12.7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 spans="1:24" ht="12.7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 spans="1:24" ht="12.7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 spans="1:24" ht="12.7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 spans="1:24" ht="12.7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 spans="1:24" ht="12.7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 spans="1:24" ht="12.7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 spans="1:24" ht="12.7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 spans="1:24" ht="12.7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 spans="1:24" ht="12.7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 spans="1:24" ht="12.7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 spans="1:24" ht="12.7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 spans="1:24" ht="12.7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 spans="1:24" ht="12.7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 spans="1:24" ht="12.7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 spans="1:24" ht="12.7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 spans="1:24" ht="12.7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 spans="1:24" ht="12.7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 spans="1:24" ht="12.7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 spans="1:24" ht="12.7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 spans="1:24" ht="12.7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 spans="1:24" ht="12.7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 spans="1:24" ht="12.7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 spans="1:24" ht="12.7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 spans="1:24" ht="12.7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 spans="1:24" ht="12.7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 spans="1:24" ht="12.7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 spans="1:24" ht="12.7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 spans="1:24" ht="12.7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 spans="1:24" ht="12.7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 spans="1:24" ht="12.7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 spans="1:24" ht="12.7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 spans="1:24" ht="12.7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 spans="1:24" ht="12.7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 spans="1:24" ht="12.7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 spans="1:24" ht="12.7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 spans="1:24" ht="12.7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 spans="1:24" ht="12.7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 spans="1:24" ht="12.7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 spans="1:24" ht="12.7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 spans="1:24" ht="12.7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 spans="1:24" ht="12.7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 spans="1:24" ht="12.7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 spans="1:24" ht="12.7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 spans="1:24" ht="12.7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 spans="1:24" ht="12.7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 spans="1:24" ht="12.7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 spans="1:24" ht="12.7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 spans="1:24" ht="12.7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 spans="1:24" ht="12.7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 spans="1:24" ht="12.7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 spans="1:24" ht="12.7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 spans="1:24" ht="12.7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 spans="1:24" ht="12.7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 spans="1:24" ht="12.7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 spans="1:24" ht="12.7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 spans="1:24" ht="12.7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 spans="1:24" ht="12.7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 spans="1:24" ht="12.7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 spans="1:24" ht="12.7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 spans="1:24" ht="12.7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 spans="1:24" ht="12.7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 spans="1:24" ht="12.7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 spans="1:24" ht="12.7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 spans="1:24" ht="12.7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 spans="1:24" ht="12.7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 spans="1:24" ht="12.7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 spans="1:24" ht="12.7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 spans="1:24" ht="12.7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 spans="1:24" ht="12.7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 spans="1:24" ht="12.7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 spans="1:24" ht="12.7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 spans="1:24" ht="12.7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 spans="1:24" ht="12.7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 spans="1:24" ht="12.7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 spans="1:24" ht="12.7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 spans="1:24" ht="12.7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 spans="1:24" ht="12.7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 spans="1:24" ht="12.7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 spans="1:24" ht="12.7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 spans="1:24" ht="12.7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 spans="1:24" ht="12.7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 spans="1:24" ht="12.7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 spans="1:24" ht="12.7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 spans="1:24" ht="12.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 spans="1:24" ht="12.7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 spans="1:24" ht="12.7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 spans="1:24" ht="12.7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 spans="1:24" ht="12.7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 spans="1:24" ht="12.7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 spans="1:24" ht="12.7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 spans="1:24" ht="12.7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 spans="1:24" ht="12.7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 spans="1:24" ht="12.7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 spans="1:24" ht="12.7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 spans="1:24" ht="12.7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 spans="1:24" ht="12.7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 spans="1:24" ht="12.7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 spans="1:24" ht="12.7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 spans="1:24" ht="12.7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 spans="1:24" ht="12.7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 spans="1:24" ht="12.7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 spans="1:24" ht="12.7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 spans="1:24" ht="12.7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 spans="1:24" ht="12.7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 spans="1:24" ht="12.7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 spans="1:24" ht="12.7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 spans="1:24" ht="12.7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 spans="1:24" ht="12.7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 spans="1:24" ht="12.7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 spans="1:24" ht="12.7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 spans="1:24" ht="12.7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 spans="1:24" ht="12.7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 spans="1:24" ht="12.7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 spans="1:24" ht="12.7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 spans="1:24" ht="12.7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 spans="1:24" ht="12.7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 spans="1:24" ht="12.7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 spans="1:24" ht="12.7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 spans="1:24" ht="12.7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 spans="1:24" ht="12.7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 spans="1:24" ht="12.7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 spans="1:24" ht="12.7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 spans="1:24" ht="12.7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 spans="1:24" ht="12.7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 spans="1:24" ht="12.7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 spans="1:24" ht="12.7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 spans="1:24" ht="12.7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 spans="1:24" ht="12.7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 spans="1:24" ht="12.7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 spans="1:24" ht="12.7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 spans="1:24" ht="12.7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 spans="1:24" ht="12.7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 spans="1:24" ht="12.7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 spans="1:24" ht="12.7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 spans="1:24" ht="12.7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 spans="1:24" ht="12.7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 spans="1:24" ht="12.7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 spans="1:24" ht="12.7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 spans="1:24" ht="12.7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 spans="1:24" ht="12.7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 spans="1:24" ht="12.7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 spans="1:24" ht="12.7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 spans="1:24" ht="12.7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 spans="1:24" ht="12.7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 spans="1:24" ht="12.7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 spans="1:24" ht="12.7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 spans="1:24" ht="12.7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 spans="1:24" ht="12.7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 spans="1:24" ht="12.7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 spans="1:24" ht="12.7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 spans="1:24" ht="12.7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 spans="1:24" ht="12.7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 spans="1:24" ht="12.7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 spans="1:24" ht="12.7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 spans="1:24" ht="12.7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 spans="1:24" ht="12.7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 spans="1:24" ht="12.7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 spans="1:24" ht="12.7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 spans="1:24" ht="12.7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 spans="1:24" ht="12.7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 spans="1:24" ht="12.7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 spans="1:24" ht="12.7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 spans="1:24" ht="12.7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 spans="1:24" ht="12.7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 spans="1:24" ht="12.7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 spans="1:24" ht="12.7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 spans="1:24" ht="12.7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 spans="1:24" ht="12.7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 spans="1:24" ht="12.7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 spans="1:24" ht="12.7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 spans="1:24" ht="12.7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 spans="1:24" ht="12.7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 spans="1:24" ht="12.7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 spans="1:24" ht="12.7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 spans="1:24" ht="12.7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 spans="1:24" ht="12.7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</sheetData>
  <hyperlinks>
    <hyperlink ref="X5" r:id="rId1" xr:uid="{00000000-0004-0000-0000-000000000000}"/>
    <hyperlink ref="X6" r:id="rId2" xr:uid="{00000000-0004-0000-0000-000001000000}"/>
    <hyperlink ref="X7" r:id="rId3" xr:uid="{00000000-0004-0000-0000-000002000000}"/>
    <hyperlink ref="X8" r:id="rId4" xr:uid="{00000000-0004-0000-0000-000003000000}"/>
    <hyperlink ref="X9" r:id="rId5" xr:uid="{00000000-0004-0000-0000-000004000000}"/>
    <hyperlink ref="X10" r:id="rId6" xr:uid="{00000000-0004-0000-0000-000005000000}"/>
    <hyperlink ref="X11" r:id="rId7" xr:uid="{00000000-0004-0000-0000-000006000000}"/>
    <hyperlink ref="X13" r:id="rId8" xr:uid="{00000000-0004-0000-0000-000007000000}"/>
    <hyperlink ref="X14" r:id="rId9" xr:uid="{00000000-0004-0000-0000-000008000000}"/>
    <hyperlink ref="X15" r:id="rId10" xr:uid="{00000000-0004-0000-0000-000009000000}"/>
    <hyperlink ref="X16" r:id="rId11" xr:uid="{00000000-0004-0000-0000-00000A000000}"/>
    <hyperlink ref="X17" r:id="rId12" xr:uid="{00000000-0004-0000-0000-00000B000000}"/>
    <hyperlink ref="X18" r:id="rId13" xr:uid="{00000000-0004-0000-0000-00000C000000}"/>
    <hyperlink ref="X19" r:id="rId14" xr:uid="{00000000-0004-0000-0000-00000D000000}"/>
    <hyperlink ref="X20" r:id="rId15" xr:uid="{00000000-0004-0000-0000-00000E000000}"/>
    <hyperlink ref="X21" r:id="rId16" xr:uid="{00000000-0004-0000-0000-00000F000000}"/>
    <hyperlink ref="X22" r:id="rId17" xr:uid="{00000000-0004-0000-0000-000010000000}"/>
    <hyperlink ref="X23" r:id="rId18" xr:uid="{00000000-0004-0000-0000-000011000000}"/>
    <hyperlink ref="X24" r:id="rId19" xr:uid="{00000000-0004-0000-0000-000012000000}"/>
    <hyperlink ref="X25" r:id="rId20" xr:uid="{00000000-0004-0000-0000-000013000000}"/>
    <hyperlink ref="X26" r:id="rId21" xr:uid="{00000000-0004-0000-0000-000014000000}"/>
    <hyperlink ref="X27" r:id="rId22" xr:uid="{00000000-0004-0000-0000-000015000000}"/>
    <hyperlink ref="X28" r:id="rId23" xr:uid="{00000000-0004-0000-0000-000016000000}"/>
    <hyperlink ref="D29" r:id="rId24" xr:uid="{00000000-0004-0000-0000-000017000000}"/>
    <hyperlink ref="F29" r:id="rId25" xr:uid="{00000000-0004-0000-0000-000018000000}"/>
    <hyperlink ref="X29" r:id="rId26" xr:uid="{00000000-0004-0000-0000-000019000000}"/>
    <hyperlink ref="D30" r:id="rId27" xr:uid="{00000000-0004-0000-0000-00001A000000}"/>
    <hyperlink ref="F30" r:id="rId28" xr:uid="{00000000-0004-0000-0000-00001B000000}"/>
    <hyperlink ref="X30" r:id="rId29" xr:uid="{00000000-0004-0000-0000-00001C000000}"/>
    <hyperlink ref="X31" r:id="rId30" xr:uid="{00000000-0004-0000-0000-00001D000000}"/>
    <hyperlink ref="X32" r:id="rId31" xr:uid="{00000000-0004-0000-0000-00001E000000}"/>
    <hyperlink ref="X33" r:id="rId32" xr:uid="{00000000-0004-0000-0000-00001F000000}"/>
    <hyperlink ref="X34" r:id="rId33" xr:uid="{00000000-0004-0000-0000-000020000000}"/>
    <hyperlink ref="X38" r:id="rId34" xr:uid="{00000000-0004-0000-0000-000021000000}"/>
    <hyperlink ref="X42" r:id="rId35" xr:uid="{00000000-0004-0000-0000-000022000000}"/>
    <hyperlink ref="X43" r:id="rId36" xr:uid="{00000000-0004-0000-0000-000023000000}"/>
    <hyperlink ref="X44" r:id="rId37" xr:uid="{00000000-0004-0000-0000-000024000000}"/>
    <hyperlink ref="X45" r:id="rId38" xr:uid="{00000000-0004-0000-0000-000025000000}"/>
    <hyperlink ref="X46" r:id="rId39" xr:uid="{00000000-0004-0000-0000-000026000000}"/>
    <hyperlink ref="X47" r:id="rId40" xr:uid="{00000000-0004-0000-0000-000027000000}"/>
    <hyperlink ref="X48" r:id="rId41" xr:uid="{00000000-0004-0000-0000-000028000000}"/>
    <hyperlink ref="X49" r:id="rId42" xr:uid="{00000000-0004-0000-0000-000029000000}"/>
    <hyperlink ref="X50" r:id="rId43" xr:uid="{00000000-0004-0000-0000-00002A000000}"/>
    <hyperlink ref="X51" r:id="rId44" xr:uid="{00000000-0004-0000-0000-00002B000000}"/>
    <hyperlink ref="X52" r:id="rId45" xr:uid="{00000000-0004-0000-0000-00002C000000}"/>
    <hyperlink ref="X53" r:id="rId46" xr:uid="{00000000-0004-0000-0000-00002D000000}"/>
    <hyperlink ref="X54" r:id="rId47" xr:uid="{00000000-0004-0000-0000-00002E000000}"/>
    <hyperlink ref="X55" r:id="rId48" xr:uid="{00000000-0004-0000-0000-00002F000000}"/>
    <hyperlink ref="X56" r:id="rId49" xr:uid="{00000000-0004-0000-0000-000030000000}"/>
    <hyperlink ref="X57" r:id="rId50" xr:uid="{00000000-0004-0000-0000-000031000000}"/>
    <hyperlink ref="X58" r:id="rId51" xr:uid="{00000000-0004-0000-0000-000032000000}"/>
    <hyperlink ref="X60" r:id="rId52" xr:uid="{00000000-0004-0000-0000-000033000000}"/>
    <hyperlink ref="X61" r:id="rId53" xr:uid="{00000000-0004-0000-0000-000034000000}"/>
    <hyperlink ref="X62" r:id="rId54" xr:uid="{00000000-0004-0000-0000-000035000000}"/>
    <hyperlink ref="X63" r:id="rId55" xr:uid="{00000000-0004-0000-0000-000036000000}"/>
    <hyperlink ref="X64" r:id="rId56" xr:uid="{00000000-0004-0000-0000-000037000000}"/>
    <hyperlink ref="X65" r:id="rId57" xr:uid="{00000000-0004-0000-0000-000038000000}"/>
    <hyperlink ref="X66" r:id="rId58" xr:uid="{00000000-0004-0000-0000-000039000000}"/>
    <hyperlink ref="X67" r:id="rId59" xr:uid="{00000000-0004-0000-0000-00003A000000}"/>
    <hyperlink ref="X68" r:id="rId60" xr:uid="{00000000-0004-0000-0000-00003B000000}"/>
    <hyperlink ref="X69" r:id="rId61" xr:uid="{00000000-0004-0000-0000-00003C000000}"/>
    <hyperlink ref="X70" r:id="rId62" xr:uid="{00000000-0004-0000-0000-00003D000000}"/>
    <hyperlink ref="D71" r:id="rId63" xr:uid="{00000000-0004-0000-0000-00003E000000}"/>
    <hyperlink ref="F71" r:id="rId64" xr:uid="{00000000-0004-0000-0000-00003F000000}"/>
    <hyperlink ref="X71" r:id="rId65" xr:uid="{00000000-0004-0000-0000-000040000000}"/>
    <hyperlink ref="X72" r:id="rId66" xr:uid="{00000000-0004-0000-0000-000041000000}"/>
    <hyperlink ref="X73" r:id="rId67" xr:uid="{00000000-0004-0000-0000-000042000000}"/>
    <hyperlink ref="X77" r:id="rId68" xr:uid="{00000000-0004-0000-0000-000043000000}"/>
    <hyperlink ref="X78" r:id="rId69" xr:uid="{00000000-0004-0000-0000-000044000000}"/>
    <hyperlink ref="X79" r:id="rId70" xr:uid="{00000000-0004-0000-0000-000045000000}"/>
    <hyperlink ref="X80" r:id="rId71" xr:uid="{00000000-0004-0000-0000-000046000000}"/>
    <hyperlink ref="X81" r:id="rId72" xr:uid="{00000000-0004-0000-0000-000047000000}"/>
    <hyperlink ref="X82" r:id="rId73" xr:uid="{00000000-0004-0000-0000-000048000000}"/>
    <hyperlink ref="X83" r:id="rId74" xr:uid="{00000000-0004-0000-0000-000049000000}"/>
    <hyperlink ref="X84" r:id="rId75" xr:uid="{00000000-0004-0000-0000-00004A000000}"/>
    <hyperlink ref="X85" r:id="rId76" xr:uid="{00000000-0004-0000-0000-00004B000000}"/>
    <hyperlink ref="X86" r:id="rId77" xr:uid="{00000000-0004-0000-0000-00004C000000}"/>
    <hyperlink ref="X87" r:id="rId78" xr:uid="{00000000-0004-0000-0000-00004D000000}"/>
    <hyperlink ref="X88" r:id="rId79" xr:uid="{00000000-0004-0000-0000-00004E000000}"/>
    <hyperlink ref="X89" r:id="rId80" xr:uid="{00000000-0004-0000-0000-00004F000000}"/>
    <hyperlink ref="X90" r:id="rId81" xr:uid="{00000000-0004-0000-0000-000050000000}"/>
    <hyperlink ref="B91" r:id="rId82" xr:uid="{00000000-0004-0000-0000-000051000000}"/>
    <hyperlink ref="D91" r:id="rId83" xr:uid="{00000000-0004-0000-0000-000052000000}"/>
    <hyperlink ref="F91" r:id="rId84" xr:uid="{00000000-0004-0000-0000-000053000000}"/>
    <hyperlink ref="X91" r:id="rId85" xr:uid="{00000000-0004-0000-0000-000054000000}"/>
    <hyperlink ref="X92" r:id="rId86" xr:uid="{00000000-0004-0000-0000-000055000000}"/>
    <hyperlink ref="X93" r:id="rId87" xr:uid="{00000000-0004-0000-0000-000056000000}"/>
    <hyperlink ref="X94" r:id="rId88" xr:uid="{00000000-0004-0000-0000-000057000000}"/>
    <hyperlink ref="X95" r:id="rId89" xr:uid="{00000000-0004-0000-0000-000058000000}"/>
    <hyperlink ref="X96" r:id="rId90" xr:uid="{00000000-0004-0000-0000-000059000000}"/>
    <hyperlink ref="X97" r:id="rId91" xr:uid="{00000000-0004-0000-0000-00005A000000}"/>
    <hyperlink ref="X98" r:id="rId92" xr:uid="{00000000-0004-0000-0000-00005B000000}"/>
    <hyperlink ref="X100" r:id="rId93" xr:uid="{00000000-0004-0000-0000-00005C000000}"/>
    <hyperlink ref="X101" r:id="rId94" xr:uid="{00000000-0004-0000-0000-00005D000000}"/>
    <hyperlink ref="X102" r:id="rId95" xr:uid="{00000000-0004-0000-0000-00005E000000}"/>
    <hyperlink ref="X103" r:id="rId96" xr:uid="{00000000-0004-0000-0000-00005F000000}"/>
    <hyperlink ref="X104" r:id="rId97" xr:uid="{00000000-0004-0000-0000-000060000000}"/>
    <hyperlink ref="X105" r:id="rId98" xr:uid="{00000000-0004-0000-0000-000061000000}"/>
    <hyperlink ref="X106" r:id="rId99" xr:uid="{00000000-0004-0000-0000-000062000000}"/>
    <hyperlink ref="X107" r:id="rId100" xr:uid="{00000000-0004-0000-0000-000063000000}"/>
    <hyperlink ref="X108" r:id="rId101" xr:uid="{00000000-0004-0000-0000-000064000000}"/>
    <hyperlink ref="X109" r:id="rId102" xr:uid="{00000000-0004-0000-0000-000065000000}"/>
    <hyperlink ref="X110" r:id="rId103" xr:uid="{00000000-0004-0000-0000-000066000000}"/>
    <hyperlink ref="X111" r:id="rId104" xr:uid="{00000000-0004-0000-0000-000067000000}"/>
    <hyperlink ref="X112" r:id="rId105" xr:uid="{00000000-0004-0000-0000-000068000000}"/>
    <hyperlink ref="X113" r:id="rId106" xr:uid="{00000000-0004-0000-0000-000069000000}"/>
    <hyperlink ref="X114" r:id="rId107" xr:uid="{00000000-0004-0000-0000-00006A000000}"/>
    <hyperlink ref="X115" r:id="rId108" xr:uid="{00000000-0004-0000-0000-00006B000000}"/>
    <hyperlink ref="X119" r:id="rId109" xr:uid="{00000000-0004-0000-0000-00006C000000}"/>
    <hyperlink ref="X120" r:id="rId110" xr:uid="{00000000-0004-0000-0000-00006D000000}"/>
    <hyperlink ref="X121" r:id="rId111" xr:uid="{00000000-0004-0000-0000-00006E000000}"/>
    <hyperlink ref="X122" r:id="rId112" xr:uid="{00000000-0004-0000-0000-00006F000000}"/>
    <hyperlink ref="X123" r:id="rId113" xr:uid="{00000000-0004-0000-0000-000070000000}"/>
    <hyperlink ref="X124" r:id="rId114" xr:uid="{00000000-0004-0000-0000-000071000000}"/>
    <hyperlink ref="X125" r:id="rId115" xr:uid="{00000000-0004-0000-0000-000072000000}"/>
    <hyperlink ref="X126" r:id="rId116" xr:uid="{00000000-0004-0000-0000-000073000000}"/>
    <hyperlink ref="X127" r:id="rId117" xr:uid="{00000000-0004-0000-0000-000074000000}"/>
    <hyperlink ref="X128" r:id="rId118" xr:uid="{00000000-0004-0000-0000-000075000000}"/>
    <hyperlink ref="X129" r:id="rId119" xr:uid="{00000000-0004-0000-0000-000076000000}"/>
    <hyperlink ref="X130" r:id="rId120" xr:uid="{00000000-0004-0000-0000-000077000000}"/>
    <hyperlink ref="X131" r:id="rId121" xr:uid="{00000000-0004-0000-0000-000078000000}"/>
    <hyperlink ref="X132" r:id="rId122" xr:uid="{00000000-0004-0000-0000-000079000000}"/>
    <hyperlink ref="X133" r:id="rId123" xr:uid="{00000000-0004-0000-0000-00007A000000}"/>
    <hyperlink ref="X138" r:id="rId124" xr:uid="{00000000-0004-0000-0000-00007B000000}"/>
    <hyperlink ref="X139" r:id="rId125" xr:uid="{00000000-0004-0000-0000-00007C000000}"/>
    <hyperlink ref="X140" r:id="rId126" xr:uid="{00000000-0004-0000-0000-00007D000000}"/>
    <hyperlink ref="X141" r:id="rId127" xr:uid="{00000000-0004-0000-0000-00007E000000}"/>
    <hyperlink ref="X142" r:id="rId128" xr:uid="{00000000-0004-0000-0000-00007F000000}"/>
    <hyperlink ref="X143" r:id="rId129" xr:uid="{00000000-0004-0000-0000-000080000000}"/>
    <hyperlink ref="X144" r:id="rId130" xr:uid="{00000000-0004-0000-0000-000081000000}"/>
    <hyperlink ref="X145" r:id="rId131" xr:uid="{00000000-0004-0000-0000-000082000000}"/>
    <hyperlink ref="X146" r:id="rId132" xr:uid="{00000000-0004-0000-0000-000083000000}"/>
    <hyperlink ref="X147" r:id="rId133" xr:uid="{00000000-0004-0000-0000-000084000000}"/>
    <hyperlink ref="X148" r:id="rId134" xr:uid="{00000000-0004-0000-0000-000085000000}"/>
    <hyperlink ref="X149" r:id="rId135" xr:uid="{00000000-0004-0000-0000-000086000000}"/>
    <hyperlink ref="X150" r:id="rId136" xr:uid="{00000000-0004-0000-0000-000087000000}"/>
    <hyperlink ref="X151" r:id="rId137" xr:uid="{00000000-0004-0000-0000-000088000000}"/>
    <hyperlink ref="X152" r:id="rId138" xr:uid="{00000000-0004-0000-0000-000089000000}"/>
    <hyperlink ref="X153" r:id="rId139" xr:uid="{00000000-0004-0000-0000-00008A000000}"/>
    <hyperlink ref="X154" r:id="rId140" xr:uid="{00000000-0004-0000-0000-00008B000000}"/>
    <hyperlink ref="X155" r:id="rId141" xr:uid="{00000000-0004-0000-0000-00008C000000}"/>
    <hyperlink ref="X156" r:id="rId142" xr:uid="{00000000-0004-0000-0000-00008D000000}"/>
    <hyperlink ref="X157" r:id="rId143" xr:uid="{00000000-0004-0000-0000-00008E000000}"/>
    <hyperlink ref="X158" r:id="rId144" xr:uid="{00000000-0004-0000-0000-00008F000000}"/>
    <hyperlink ref="X159" r:id="rId145" xr:uid="{00000000-0004-0000-0000-000090000000}"/>
    <hyperlink ref="X160" r:id="rId146" xr:uid="{00000000-0004-0000-0000-000091000000}"/>
    <hyperlink ref="X161" r:id="rId147" xr:uid="{00000000-0004-0000-0000-000092000000}"/>
    <hyperlink ref="X162" r:id="rId148" xr:uid="{00000000-0004-0000-0000-000093000000}"/>
    <hyperlink ref="X163" r:id="rId149" xr:uid="{00000000-0004-0000-0000-000094000000}"/>
    <hyperlink ref="X164" r:id="rId150" xr:uid="{00000000-0004-0000-0000-000095000000}"/>
    <hyperlink ref="X165" r:id="rId151" xr:uid="{00000000-0004-0000-0000-000096000000}"/>
    <hyperlink ref="X166" r:id="rId152" xr:uid="{00000000-0004-0000-0000-000097000000}"/>
    <hyperlink ref="X167" r:id="rId153" xr:uid="{00000000-0004-0000-0000-000098000000}"/>
    <hyperlink ref="X168" r:id="rId154" xr:uid="{00000000-0004-0000-0000-000099000000}"/>
    <hyperlink ref="X169" r:id="rId155" xr:uid="{00000000-0004-0000-0000-00009A000000}"/>
    <hyperlink ref="X170" r:id="rId156" xr:uid="{00000000-0004-0000-0000-00009B000000}"/>
    <hyperlink ref="X171" r:id="rId157" xr:uid="{00000000-0004-0000-0000-00009C000000}"/>
    <hyperlink ref="X172" r:id="rId158" xr:uid="{00000000-0004-0000-0000-00009D000000}"/>
    <hyperlink ref="X173" r:id="rId159" xr:uid="{00000000-0004-0000-0000-00009E000000}"/>
    <hyperlink ref="X174" r:id="rId160" xr:uid="{00000000-0004-0000-0000-00009F000000}"/>
    <hyperlink ref="X175" r:id="rId161" xr:uid="{00000000-0004-0000-0000-0000A0000000}"/>
    <hyperlink ref="X176" r:id="rId162" xr:uid="{00000000-0004-0000-0000-0000A1000000}"/>
    <hyperlink ref="X177" r:id="rId163" xr:uid="{00000000-0004-0000-0000-0000A2000000}"/>
    <hyperlink ref="X178" r:id="rId164" xr:uid="{00000000-0004-0000-0000-0000A3000000}"/>
    <hyperlink ref="X179" r:id="rId165" xr:uid="{00000000-0004-0000-0000-0000A4000000}"/>
    <hyperlink ref="X180" r:id="rId166" xr:uid="{00000000-0004-0000-0000-0000A5000000}"/>
    <hyperlink ref="X181" r:id="rId167" xr:uid="{00000000-0004-0000-0000-0000A6000000}"/>
    <hyperlink ref="X182" r:id="rId168" xr:uid="{00000000-0004-0000-0000-0000A7000000}"/>
    <hyperlink ref="X187" r:id="rId169" xr:uid="{00000000-0004-0000-0000-0000A8000000}"/>
    <hyperlink ref="X188" r:id="rId170" xr:uid="{00000000-0004-0000-0000-0000A9000000}"/>
    <hyperlink ref="X189" r:id="rId171" xr:uid="{00000000-0004-0000-0000-0000AA000000}"/>
    <hyperlink ref="D190" r:id="rId172" xr:uid="{00000000-0004-0000-0000-0000AB000000}"/>
    <hyperlink ref="F190" r:id="rId173" xr:uid="{00000000-0004-0000-0000-0000AC000000}"/>
    <hyperlink ref="X190" r:id="rId174" xr:uid="{00000000-0004-0000-0000-0000AD000000}"/>
    <hyperlink ref="X191" r:id="rId175" xr:uid="{00000000-0004-0000-0000-0000AE000000}"/>
    <hyperlink ref="X192" r:id="rId176" xr:uid="{00000000-0004-0000-0000-0000AF000000}"/>
    <hyperlink ref="X193" r:id="rId177" xr:uid="{00000000-0004-0000-0000-0000B0000000}"/>
    <hyperlink ref="X194" r:id="rId178" xr:uid="{00000000-0004-0000-0000-0000B1000000}"/>
    <hyperlink ref="X195" r:id="rId179" xr:uid="{00000000-0004-0000-0000-0000B2000000}"/>
    <hyperlink ref="X196" r:id="rId180" xr:uid="{00000000-0004-0000-0000-0000B3000000}"/>
    <hyperlink ref="X197" r:id="rId181" xr:uid="{00000000-0004-0000-0000-0000B4000000}"/>
    <hyperlink ref="X198" r:id="rId182" xr:uid="{00000000-0004-0000-0000-0000B5000000}"/>
    <hyperlink ref="X199" r:id="rId183" xr:uid="{00000000-0004-0000-0000-0000B6000000}"/>
    <hyperlink ref="X200" r:id="rId184" xr:uid="{00000000-0004-0000-0000-0000B7000000}"/>
    <hyperlink ref="X201" r:id="rId185" xr:uid="{00000000-0004-0000-0000-0000B8000000}"/>
    <hyperlink ref="X202" r:id="rId186" xr:uid="{00000000-0004-0000-0000-0000B9000000}"/>
    <hyperlink ref="X203" r:id="rId187" xr:uid="{00000000-0004-0000-0000-0000BA000000}"/>
    <hyperlink ref="X204" r:id="rId188" xr:uid="{00000000-0004-0000-0000-0000BB000000}"/>
    <hyperlink ref="X205" r:id="rId189" xr:uid="{00000000-0004-0000-0000-0000BC000000}"/>
    <hyperlink ref="X206" r:id="rId190" xr:uid="{00000000-0004-0000-0000-0000BD000000}"/>
    <hyperlink ref="X207" r:id="rId191" xr:uid="{00000000-0004-0000-0000-0000BE000000}"/>
    <hyperlink ref="X208" r:id="rId192" xr:uid="{00000000-0004-0000-0000-0000BF000000}"/>
    <hyperlink ref="X209" r:id="rId193" xr:uid="{00000000-0004-0000-0000-0000C0000000}"/>
    <hyperlink ref="X210" r:id="rId194" xr:uid="{00000000-0004-0000-0000-0000C1000000}"/>
    <hyperlink ref="X211" r:id="rId195" xr:uid="{00000000-0004-0000-0000-0000C2000000}"/>
    <hyperlink ref="X212" r:id="rId196" xr:uid="{00000000-0004-0000-0000-0000C3000000}"/>
    <hyperlink ref="X213" r:id="rId197" xr:uid="{00000000-0004-0000-0000-0000C4000000}"/>
    <hyperlink ref="X217" r:id="rId198" xr:uid="{00000000-0004-0000-0000-0000C5000000}"/>
    <hyperlink ref="X218" r:id="rId199" xr:uid="{00000000-0004-0000-0000-0000C6000000}"/>
    <hyperlink ref="X219" r:id="rId200" xr:uid="{00000000-0004-0000-0000-0000C7000000}"/>
    <hyperlink ref="X220" r:id="rId201" xr:uid="{00000000-0004-0000-0000-0000C8000000}"/>
    <hyperlink ref="X221" r:id="rId202" xr:uid="{00000000-0004-0000-0000-0000C9000000}"/>
    <hyperlink ref="X222" r:id="rId203" xr:uid="{00000000-0004-0000-0000-0000CA000000}"/>
    <hyperlink ref="X223" r:id="rId204" xr:uid="{00000000-0004-0000-0000-0000CB000000}"/>
    <hyperlink ref="X224" r:id="rId205" xr:uid="{00000000-0004-0000-0000-0000CC000000}"/>
    <hyperlink ref="X225" r:id="rId206" xr:uid="{00000000-0004-0000-0000-0000CD000000}"/>
    <hyperlink ref="D226" r:id="rId207" xr:uid="{00000000-0004-0000-0000-0000CE000000}"/>
    <hyperlink ref="F226" r:id="rId208" xr:uid="{00000000-0004-0000-0000-0000CF000000}"/>
    <hyperlink ref="X226" r:id="rId209" xr:uid="{00000000-0004-0000-0000-0000D0000000}"/>
    <hyperlink ref="X227" r:id="rId210" xr:uid="{00000000-0004-0000-0000-0000D1000000}"/>
    <hyperlink ref="X232" r:id="rId211" xr:uid="{00000000-0004-0000-0000-0000D2000000}"/>
    <hyperlink ref="X233" r:id="rId212" xr:uid="{00000000-0004-0000-0000-0000D3000000}"/>
    <hyperlink ref="X234" r:id="rId213" xr:uid="{00000000-0004-0000-0000-0000D4000000}"/>
    <hyperlink ref="X235" r:id="rId214" xr:uid="{00000000-0004-0000-0000-0000D5000000}"/>
    <hyperlink ref="X236" r:id="rId215" xr:uid="{00000000-0004-0000-0000-0000D6000000}"/>
    <hyperlink ref="X237" r:id="rId216" xr:uid="{00000000-0004-0000-0000-0000D7000000}"/>
    <hyperlink ref="B238" r:id="rId217" xr:uid="{00000000-0004-0000-0000-0000D8000000}"/>
    <hyperlink ref="D238" r:id="rId218" xr:uid="{00000000-0004-0000-0000-0000D9000000}"/>
    <hyperlink ref="X238" r:id="rId219" xr:uid="{00000000-0004-0000-0000-0000DA000000}"/>
    <hyperlink ref="X239" r:id="rId220" xr:uid="{00000000-0004-0000-0000-0000DB000000}"/>
    <hyperlink ref="X240" r:id="rId221" xr:uid="{00000000-0004-0000-0000-0000DC000000}"/>
    <hyperlink ref="X241" r:id="rId222" xr:uid="{00000000-0004-0000-0000-0000DD000000}"/>
    <hyperlink ref="X243" r:id="rId223" xr:uid="{00000000-0004-0000-0000-0000DE000000}"/>
    <hyperlink ref="X244" r:id="rId224" xr:uid="{00000000-0004-0000-0000-0000DF000000}"/>
    <hyperlink ref="X245" r:id="rId225" xr:uid="{00000000-0004-0000-0000-0000E0000000}"/>
    <hyperlink ref="X246" r:id="rId226" xr:uid="{00000000-0004-0000-0000-0000E1000000}"/>
    <hyperlink ref="X247" r:id="rId227" xr:uid="{00000000-0004-0000-0000-0000E2000000}"/>
    <hyperlink ref="X248" r:id="rId228" xr:uid="{00000000-0004-0000-0000-0000E3000000}"/>
    <hyperlink ref="X249" r:id="rId229" xr:uid="{00000000-0004-0000-0000-0000E4000000}"/>
    <hyperlink ref="X250" r:id="rId230" xr:uid="{00000000-0004-0000-0000-0000E5000000}"/>
    <hyperlink ref="X251" r:id="rId231" xr:uid="{00000000-0004-0000-0000-0000E6000000}"/>
    <hyperlink ref="X252" r:id="rId232" xr:uid="{00000000-0004-0000-0000-0000E7000000}"/>
    <hyperlink ref="X253" r:id="rId233" xr:uid="{00000000-0004-0000-0000-0000E8000000}"/>
    <hyperlink ref="D254" r:id="rId234" xr:uid="{00000000-0004-0000-0000-0000E9000000}"/>
    <hyperlink ref="F254" r:id="rId235" xr:uid="{00000000-0004-0000-0000-0000EA000000}"/>
    <hyperlink ref="X254" r:id="rId236" xr:uid="{00000000-0004-0000-0000-0000EB000000}"/>
    <hyperlink ref="X255" r:id="rId237" xr:uid="{00000000-0004-0000-0000-0000EC000000}"/>
    <hyperlink ref="X256" r:id="rId238" xr:uid="{00000000-0004-0000-0000-0000ED000000}"/>
    <hyperlink ref="X257" r:id="rId239" xr:uid="{00000000-0004-0000-0000-0000EE000000}"/>
    <hyperlink ref="X258" r:id="rId240" xr:uid="{00000000-0004-0000-0000-0000EF000000}"/>
    <hyperlink ref="X310" r:id="rId241" xr:uid="{00000000-0004-0000-0000-0000F0000000}"/>
    <hyperlink ref="X311" r:id="rId242" xr:uid="{00000000-0004-0000-0000-0000F1000000}"/>
    <hyperlink ref="X312" r:id="rId243" xr:uid="{00000000-0004-0000-0000-0000F2000000}"/>
    <hyperlink ref="X313" r:id="rId244" xr:uid="{00000000-0004-0000-0000-0000F3000000}"/>
    <hyperlink ref="X314" r:id="rId245" xr:uid="{00000000-0004-0000-0000-0000F4000000}"/>
    <hyperlink ref="X316" r:id="rId246" xr:uid="{00000000-0004-0000-0000-0000F5000000}"/>
    <hyperlink ref="D317" r:id="rId247" xr:uid="{00000000-0004-0000-0000-0000F6000000}"/>
    <hyperlink ref="F317" r:id="rId248" xr:uid="{00000000-0004-0000-0000-0000F7000000}"/>
    <hyperlink ref="X317" r:id="rId249" xr:uid="{00000000-0004-0000-0000-0000F8000000}"/>
    <hyperlink ref="X318" r:id="rId250" xr:uid="{00000000-0004-0000-0000-0000F9000000}"/>
    <hyperlink ref="X319" r:id="rId251" xr:uid="{00000000-0004-0000-0000-0000FA000000}"/>
    <hyperlink ref="X320" r:id="rId252" xr:uid="{00000000-0004-0000-0000-0000FB000000}"/>
    <hyperlink ref="X322" r:id="rId253" xr:uid="{00000000-0004-0000-0000-0000FC000000}"/>
    <hyperlink ref="X324" r:id="rId254" xr:uid="{00000000-0004-0000-0000-0000FD000000}"/>
    <hyperlink ref="X325" r:id="rId255" xr:uid="{00000000-0004-0000-0000-0000FE000000}"/>
    <hyperlink ref="X326" r:id="rId256" xr:uid="{00000000-0004-0000-0000-0000FF000000}"/>
    <hyperlink ref="X327" r:id="rId257" xr:uid="{00000000-0004-0000-0000-000000010000}"/>
    <hyperlink ref="X328" r:id="rId258" xr:uid="{00000000-0004-0000-0000-000001010000}"/>
    <hyperlink ref="X330" r:id="rId259" xr:uid="{00000000-0004-0000-0000-000002010000}"/>
    <hyperlink ref="X331" r:id="rId260" xr:uid="{00000000-0004-0000-0000-000003010000}"/>
    <hyperlink ref="X332" r:id="rId261" xr:uid="{00000000-0004-0000-0000-000004010000}"/>
    <hyperlink ref="X333" r:id="rId262" xr:uid="{00000000-0004-0000-0000-000005010000}"/>
    <hyperlink ref="X334" r:id="rId263" xr:uid="{00000000-0004-0000-0000-000006010000}"/>
    <hyperlink ref="X335" r:id="rId264" xr:uid="{00000000-0004-0000-0000-000007010000}"/>
    <hyperlink ref="X336" r:id="rId265" xr:uid="{00000000-0004-0000-0000-000008010000}"/>
    <hyperlink ref="X337" r:id="rId266" xr:uid="{00000000-0004-0000-0000-000009010000}"/>
    <hyperlink ref="X340" r:id="rId267" xr:uid="{00000000-0004-0000-0000-00000A010000}"/>
    <hyperlink ref="X341" r:id="rId268" xr:uid="{00000000-0004-0000-0000-00000B010000}"/>
    <hyperlink ref="X342" r:id="rId269" xr:uid="{00000000-0004-0000-0000-00000C010000}"/>
    <hyperlink ref="X343" r:id="rId270" xr:uid="{00000000-0004-0000-0000-00000D010000}"/>
    <hyperlink ref="X345" r:id="rId271" xr:uid="{00000000-0004-0000-0000-00000E010000}"/>
    <hyperlink ref="X346" r:id="rId272" xr:uid="{00000000-0004-0000-0000-00000F010000}"/>
    <hyperlink ref="X347" r:id="rId273" xr:uid="{00000000-0004-0000-0000-000010010000}"/>
    <hyperlink ref="X348" r:id="rId274" xr:uid="{00000000-0004-0000-0000-000011010000}"/>
    <hyperlink ref="X349" r:id="rId275" xr:uid="{00000000-0004-0000-0000-000012010000}"/>
    <hyperlink ref="X350" r:id="rId276" xr:uid="{00000000-0004-0000-0000-000013010000}"/>
    <hyperlink ref="X351" r:id="rId277" xr:uid="{00000000-0004-0000-0000-000014010000}"/>
    <hyperlink ref="X352" r:id="rId278" xr:uid="{00000000-0004-0000-0000-000015010000}"/>
    <hyperlink ref="D353" r:id="rId279" xr:uid="{00000000-0004-0000-0000-000016010000}"/>
    <hyperlink ref="F353" r:id="rId280" xr:uid="{00000000-0004-0000-0000-000017010000}"/>
    <hyperlink ref="X353" r:id="rId281" xr:uid="{00000000-0004-0000-0000-000018010000}"/>
    <hyperlink ref="X354" r:id="rId282" xr:uid="{00000000-0004-0000-0000-000019010000}"/>
    <hyperlink ref="X355" r:id="rId283" xr:uid="{00000000-0004-0000-0000-00001A01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D21"/>
  <sheetViews>
    <sheetView workbookViewId="0">
      <selection activeCell="J22" sqref="J22"/>
    </sheetView>
  </sheetViews>
  <sheetFormatPr defaultColWidth="12.5703125" defaultRowHeight="15.75" customHeight="1"/>
  <cols>
    <col min="1" max="1" width="5" customWidth="1"/>
    <col min="6" max="6" width="19.140625" customWidth="1"/>
  </cols>
  <sheetData>
    <row r="1" spans="1:56" ht="12.75">
      <c r="A1" s="99"/>
      <c r="B1" s="99"/>
      <c r="C1" s="100" t="s">
        <v>5</v>
      </c>
      <c r="D1" s="99"/>
      <c r="E1" s="100" t="s">
        <v>1</v>
      </c>
      <c r="F1" s="99"/>
      <c r="G1" s="101" t="s">
        <v>1519</v>
      </c>
      <c r="H1" s="99" t="s">
        <v>1520</v>
      </c>
      <c r="I1" s="99" t="s">
        <v>13066</v>
      </c>
      <c r="J1" s="99" t="s">
        <v>13067</v>
      </c>
      <c r="K1" s="99" t="s">
        <v>1521</v>
      </c>
      <c r="L1" s="99" t="s">
        <v>1522</v>
      </c>
      <c r="M1" s="99" t="s">
        <v>1523</v>
      </c>
      <c r="N1" s="99" t="s">
        <v>46</v>
      </c>
      <c r="O1" s="99"/>
      <c r="P1" s="99"/>
      <c r="Q1" s="99"/>
      <c r="R1" s="99"/>
      <c r="S1" s="99"/>
      <c r="T1" s="99"/>
      <c r="U1" s="99"/>
      <c r="V1" s="102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</row>
    <row r="2" spans="1:56" ht="12.75">
      <c r="A2" s="7"/>
      <c r="B2" s="7"/>
      <c r="C2" s="8">
        <f>COUNTIF(H3:H102, "win")</f>
        <v>11</v>
      </c>
      <c r="D2" s="7"/>
      <c r="E2" s="8">
        <f>COUNTIF(H3:H102, "loss")</f>
        <v>7</v>
      </c>
      <c r="F2" s="103" t="s">
        <v>2</v>
      </c>
      <c r="G2" s="104">
        <f>COUNTIF(H3:H102, "win") / (COUNTIF(H3:H102, "win") + COUNTIF(H3:H102, "loss"))</f>
        <v>0.61111111111111116</v>
      </c>
      <c r="H2" s="7"/>
      <c r="I2" s="7"/>
      <c r="J2" s="104">
        <f>COUNTIF(J3:J102, "Win") / (COUNTIF(J3:J102, "Win") + COUNTIF(J3:J102, "Loss"))</f>
        <v>0.88888888888888884</v>
      </c>
      <c r="K2" s="60">
        <f>COUNTIF(R2:R100, "Decision - split")</f>
        <v>0</v>
      </c>
      <c r="L2" s="60">
        <f>COUNTIF(R2:R100, "Decision - Unanimous")</f>
        <v>2</v>
      </c>
      <c r="M2" s="60">
        <f>COUNTIF(R2:R100, "Submission")</f>
        <v>0</v>
      </c>
      <c r="N2" s="60">
        <f>COUNTIF(R2:R100, "KO/TKO")</f>
        <v>1</v>
      </c>
      <c r="O2" s="7"/>
      <c r="P2" s="7"/>
      <c r="Q2" s="7"/>
      <c r="R2" s="7"/>
      <c r="S2" s="7"/>
      <c r="T2" s="7"/>
      <c r="U2" s="7"/>
      <c r="V2" s="105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</row>
    <row r="3" spans="1:56" ht="14.25">
      <c r="A3" s="3"/>
      <c r="B3" s="1"/>
      <c r="C3" s="84"/>
      <c r="D3" s="1"/>
      <c r="E3" s="84"/>
      <c r="F3" s="1"/>
      <c r="G3" s="84"/>
      <c r="H3" s="2"/>
      <c r="K3" s="24"/>
      <c r="L3" s="1"/>
      <c r="M3" s="24"/>
      <c r="N3" s="1"/>
      <c r="O3" s="3"/>
      <c r="P3" s="4"/>
      <c r="Q3" s="4"/>
      <c r="R3" s="4"/>
      <c r="S3" s="4"/>
      <c r="T3" s="4"/>
      <c r="U3" s="19"/>
      <c r="V3" s="20"/>
      <c r="W3" s="4"/>
      <c r="X3" s="4"/>
      <c r="Y3" s="4"/>
      <c r="Z3" s="4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</row>
    <row r="4" spans="1:56" ht="14.25">
      <c r="A4" s="3"/>
      <c r="B4" s="1" t="s">
        <v>534</v>
      </c>
      <c r="C4" s="22">
        <v>-150</v>
      </c>
      <c r="D4" s="1" t="s">
        <v>535</v>
      </c>
      <c r="E4" s="23">
        <f>130</f>
        <v>130</v>
      </c>
      <c r="F4" s="1" t="s">
        <v>535</v>
      </c>
      <c r="G4" s="23">
        <f>130</f>
        <v>130</v>
      </c>
      <c r="H4" s="2" t="s">
        <v>1</v>
      </c>
      <c r="I4" t="s">
        <v>534</v>
      </c>
      <c r="J4" t="s">
        <v>5</v>
      </c>
      <c r="K4" s="24">
        <v>7.2</v>
      </c>
      <c r="L4" s="1" t="s">
        <v>18</v>
      </c>
      <c r="M4" s="24">
        <v>-180</v>
      </c>
      <c r="N4" s="1" t="s">
        <v>536</v>
      </c>
      <c r="O4" s="3"/>
      <c r="P4" s="4" t="s">
        <v>339</v>
      </c>
      <c r="Q4" s="4" t="s">
        <v>537</v>
      </c>
      <c r="R4" s="4" t="s">
        <v>8</v>
      </c>
      <c r="S4" s="4" t="s">
        <v>538</v>
      </c>
      <c r="T4" s="4" t="s">
        <v>46</v>
      </c>
      <c r="U4" s="19">
        <v>3</v>
      </c>
      <c r="V4" s="20">
        <v>3.4027777777777775E-2</v>
      </c>
      <c r="W4" s="4" t="s">
        <v>54</v>
      </c>
      <c r="X4" s="4" t="s">
        <v>96</v>
      </c>
      <c r="Y4" s="4" t="s">
        <v>48</v>
      </c>
      <c r="Z4" s="26" t="s">
        <v>539</v>
      </c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</row>
    <row r="5" spans="1:56" ht="14.25">
      <c r="A5" s="3"/>
      <c r="B5" s="1" t="s">
        <v>540</v>
      </c>
      <c r="C5" s="22">
        <v>-107</v>
      </c>
      <c r="D5" s="1" t="s">
        <v>541</v>
      </c>
      <c r="E5" s="23">
        <v>-113</v>
      </c>
      <c r="F5" s="1" t="s">
        <v>541</v>
      </c>
      <c r="G5" s="23">
        <v>-113</v>
      </c>
      <c r="H5" s="2" t="s">
        <v>1</v>
      </c>
      <c r="I5" t="s">
        <v>540</v>
      </c>
      <c r="J5" t="s">
        <v>5</v>
      </c>
      <c r="K5" s="24">
        <v>7.3</v>
      </c>
      <c r="L5" s="1" t="s">
        <v>427</v>
      </c>
      <c r="M5" s="24">
        <v>-175</v>
      </c>
      <c r="N5" s="1"/>
      <c r="O5" s="1"/>
      <c r="P5" s="4" t="s">
        <v>94</v>
      </c>
      <c r="Q5" s="4" t="s">
        <v>542</v>
      </c>
      <c r="R5" s="4" t="s">
        <v>8</v>
      </c>
      <c r="S5" s="4" t="s">
        <v>538</v>
      </c>
      <c r="T5" s="4" t="s">
        <v>9</v>
      </c>
      <c r="U5" s="19">
        <v>3</v>
      </c>
      <c r="V5" s="20">
        <v>0.20833333333333334</v>
      </c>
      <c r="W5" s="4" t="s">
        <v>10</v>
      </c>
      <c r="X5" s="4" t="s">
        <v>39</v>
      </c>
      <c r="Y5" s="4" t="s">
        <v>543</v>
      </c>
      <c r="Z5" s="26" t="s">
        <v>544</v>
      </c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</row>
    <row r="6" spans="1:56" ht="14.25">
      <c r="A6" s="3"/>
      <c r="B6" s="1" t="s">
        <v>545</v>
      </c>
      <c r="C6" s="27">
        <f>140</f>
        <v>140</v>
      </c>
      <c r="D6" s="1" t="s">
        <v>546</v>
      </c>
      <c r="E6" s="28">
        <v>-160</v>
      </c>
      <c r="F6" s="1" t="s">
        <v>546</v>
      </c>
      <c r="G6" s="28">
        <v>-160</v>
      </c>
      <c r="H6" s="2" t="s">
        <v>1</v>
      </c>
      <c r="I6" t="s">
        <v>545</v>
      </c>
      <c r="J6" t="s">
        <v>5</v>
      </c>
      <c r="K6" s="3"/>
      <c r="L6" s="3" t="s">
        <v>16</v>
      </c>
      <c r="M6" s="3" t="s">
        <v>547</v>
      </c>
      <c r="N6" s="3" t="s">
        <v>548</v>
      </c>
      <c r="O6" s="3" t="s">
        <v>549</v>
      </c>
      <c r="P6" s="4" t="s">
        <v>31</v>
      </c>
      <c r="Q6" s="4" t="s">
        <v>550</v>
      </c>
      <c r="R6" s="4" t="s">
        <v>8</v>
      </c>
      <c r="S6" s="4" t="s">
        <v>538</v>
      </c>
      <c r="T6" s="4" t="s">
        <v>46</v>
      </c>
      <c r="U6" s="19">
        <v>4</v>
      </c>
      <c r="V6" s="20">
        <v>0.20833333333333334</v>
      </c>
      <c r="W6" s="4" t="s">
        <v>54</v>
      </c>
      <c r="X6" s="4" t="s">
        <v>47</v>
      </c>
      <c r="Y6" s="4" t="s">
        <v>551</v>
      </c>
      <c r="Z6" s="26" t="s">
        <v>552</v>
      </c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</row>
    <row r="7" spans="1:56" ht="14.25">
      <c r="A7" s="3"/>
      <c r="B7" s="1" t="s">
        <v>553</v>
      </c>
      <c r="C7" s="27">
        <v>-170</v>
      </c>
      <c r="D7" s="1" t="s">
        <v>554</v>
      </c>
      <c r="E7" s="28">
        <v>145</v>
      </c>
      <c r="F7" s="1" t="s">
        <v>553</v>
      </c>
      <c r="G7" s="27">
        <v>-170</v>
      </c>
      <c r="H7" s="2" t="s">
        <v>1</v>
      </c>
      <c r="I7" s="1" t="s">
        <v>554</v>
      </c>
      <c r="J7" t="s">
        <v>1</v>
      </c>
      <c r="K7" s="3"/>
      <c r="L7" s="3"/>
      <c r="M7" s="3"/>
      <c r="N7" s="3"/>
      <c r="O7" s="3"/>
      <c r="P7" s="4" t="s">
        <v>311</v>
      </c>
      <c r="Q7" s="4" t="s">
        <v>555</v>
      </c>
      <c r="R7" s="4" t="s">
        <v>22</v>
      </c>
      <c r="S7" s="4" t="s">
        <v>538</v>
      </c>
      <c r="T7" s="4" t="s">
        <v>9</v>
      </c>
      <c r="U7" s="19">
        <v>3</v>
      </c>
      <c r="V7" s="20">
        <v>0.20833333333333334</v>
      </c>
      <c r="W7" s="4" t="s">
        <v>10</v>
      </c>
      <c r="X7" s="4" t="s">
        <v>499</v>
      </c>
      <c r="Y7" s="4" t="s">
        <v>556</v>
      </c>
      <c r="Z7" s="26" t="s">
        <v>557</v>
      </c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</row>
    <row r="8" spans="1:56" ht="15.75" customHeight="1">
      <c r="A8" s="3"/>
      <c r="B8" s="1" t="s">
        <v>558</v>
      </c>
      <c r="C8" s="16">
        <f>475</f>
        <v>475</v>
      </c>
      <c r="D8" s="1" t="s">
        <v>559</v>
      </c>
      <c r="E8" s="17">
        <v>-650</v>
      </c>
      <c r="F8" s="1" t="s">
        <v>558</v>
      </c>
      <c r="G8" s="28">
        <f>475</f>
        <v>475</v>
      </c>
      <c r="H8" s="29" t="s">
        <v>1</v>
      </c>
      <c r="I8" t="s">
        <v>559</v>
      </c>
      <c r="J8" t="s">
        <v>5</v>
      </c>
      <c r="K8" s="3"/>
      <c r="L8" s="3"/>
      <c r="M8" s="3"/>
      <c r="N8" s="3"/>
      <c r="O8" s="3"/>
      <c r="P8" s="4" t="s">
        <v>37</v>
      </c>
      <c r="Q8" s="4" t="s">
        <v>560</v>
      </c>
      <c r="R8" s="4" t="s">
        <v>22</v>
      </c>
      <c r="S8" s="4" t="s">
        <v>538</v>
      </c>
      <c r="T8" s="4" t="s">
        <v>9</v>
      </c>
      <c r="U8" s="19">
        <v>3</v>
      </c>
      <c r="V8" s="20">
        <v>0.20833333333333334</v>
      </c>
      <c r="W8" s="4" t="s">
        <v>10</v>
      </c>
      <c r="X8" s="4" t="s">
        <v>47</v>
      </c>
      <c r="Y8" s="4" t="s">
        <v>500</v>
      </c>
      <c r="Z8" s="26" t="s">
        <v>561</v>
      </c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</row>
    <row r="9" spans="1:56" ht="14.25">
      <c r="A9" s="3"/>
      <c r="B9" s="1" t="s">
        <v>562</v>
      </c>
      <c r="C9" s="16">
        <v>-143</v>
      </c>
      <c r="D9" s="1" t="s">
        <v>546</v>
      </c>
      <c r="E9" s="17">
        <f>123</f>
        <v>123</v>
      </c>
      <c r="F9" s="1" t="s">
        <v>562</v>
      </c>
      <c r="G9" s="27">
        <v>-143</v>
      </c>
      <c r="H9" s="2" t="s">
        <v>1</v>
      </c>
      <c r="I9" t="s">
        <v>546</v>
      </c>
      <c r="J9" t="s">
        <v>5</v>
      </c>
      <c r="K9" s="3"/>
      <c r="L9" s="3"/>
      <c r="M9" s="3"/>
      <c r="N9" s="3"/>
      <c r="O9" s="3"/>
      <c r="P9" s="4" t="s">
        <v>44</v>
      </c>
      <c r="Q9" s="4" t="s">
        <v>563</v>
      </c>
      <c r="R9" s="4" t="s">
        <v>22</v>
      </c>
      <c r="S9" s="4" t="s">
        <v>538</v>
      </c>
      <c r="T9" s="4" t="s">
        <v>46</v>
      </c>
      <c r="U9" s="19">
        <v>2</v>
      </c>
      <c r="V9" s="20">
        <v>3.888888888888889E-2</v>
      </c>
      <c r="W9" s="4" t="s">
        <v>10</v>
      </c>
      <c r="X9" s="4" t="s">
        <v>39</v>
      </c>
      <c r="Y9" s="4" t="s">
        <v>97</v>
      </c>
      <c r="Z9" s="26" t="s">
        <v>564</v>
      </c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</row>
    <row r="10" spans="1:56" ht="14.25">
      <c r="A10" s="3"/>
      <c r="B10" s="1" t="s">
        <v>565</v>
      </c>
      <c r="C10" s="16">
        <f>285</f>
        <v>285</v>
      </c>
      <c r="D10" s="1" t="s">
        <v>541</v>
      </c>
      <c r="E10" s="17">
        <v>-285</v>
      </c>
      <c r="F10" s="1" t="s">
        <v>541</v>
      </c>
      <c r="G10" s="17">
        <v>-285</v>
      </c>
      <c r="H10" s="2" t="s">
        <v>1</v>
      </c>
      <c r="I10" s="1" t="s">
        <v>541</v>
      </c>
      <c r="J10" t="s">
        <v>1</v>
      </c>
      <c r="K10" s="3"/>
      <c r="L10" s="3"/>
      <c r="M10" s="3"/>
      <c r="N10" s="3"/>
      <c r="O10" s="3"/>
      <c r="P10" s="4" t="s">
        <v>65</v>
      </c>
      <c r="Q10" s="4" t="s">
        <v>566</v>
      </c>
      <c r="R10" s="4" t="s">
        <v>8</v>
      </c>
      <c r="S10" s="4" t="s">
        <v>538</v>
      </c>
      <c r="T10" s="4" t="s">
        <v>9</v>
      </c>
      <c r="U10" s="19">
        <v>3</v>
      </c>
      <c r="V10" s="20">
        <v>0.20833333333333334</v>
      </c>
      <c r="W10" s="4" t="s">
        <v>10</v>
      </c>
      <c r="X10" s="4" t="s">
        <v>39</v>
      </c>
      <c r="Y10" s="4" t="s">
        <v>567</v>
      </c>
      <c r="Z10" s="26" t="s">
        <v>568</v>
      </c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</row>
    <row r="11" spans="1:56" ht="14.25">
      <c r="A11" s="3"/>
      <c r="B11" s="1" t="s">
        <v>559</v>
      </c>
      <c r="C11" s="22">
        <f>174</f>
        <v>174</v>
      </c>
      <c r="D11" s="1" t="s">
        <v>569</v>
      </c>
      <c r="E11" s="23">
        <v>-204</v>
      </c>
      <c r="F11" s="1" t="s">
        <v>559</v>
      </c>
      <c r="G11" s="23">
        <f>174</f>
        <v>174</v>
      </c>
      <c r="H11" s="2" t="s">
        <v>5</v>
      </c>
      <c r="I11" t="s">
        <v>559</v>
      </c>
      <c r="J11" t="s">
        <v>5</v>
      </c>
      <c r="K11" s="24">
        <v>5.8</v>
      </c>
      <c r="L11" s="1" t="s">
        <v>46</v>
      </c>
      <c r="M11" s="24">
        <v>-140</v>
      </c>
      <c r="N11" s="1" t="s">
        <v>570</v>
      </c>
      <c r="O11" s="3"/>
      <c r="P11" s="4" t="s">
        <v>339</v>
      </c>
      <c r="Q11" s="4" t="s">
        <v>571</v>
      </c>
      <c r="R11" s="4" t="s">
        <v>8</v>
      </c>
      <c r="S11" s="4" t="s">
        <v>538</v>
      </c>
      <c r="T11" s="4" t="s">
        <v>9</v>
      </c>
      <c r="U11" s="19">
        <v>3</v>
      </c>
      <c r="V11" s="20">
        <v>0.20833333333333334</v>
      </c>
      <c r="W11" s="4" t="s">
        <v>10</v>
      </c>
      <c r="X11" s="4" t="s">
        <v>572</v>
      </c>
      <c r="Y11" s="4" t="s">
        <v>573</v>
      </c>
      <c r="Z11" s="26" t="s">
        <v>574</v>
      </c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</row>
    <row r="12" spans="1:56" ht="14.25">
      <c r="A12" s="3"/>
      <c r="B12" s="1" t="s">
        <v>575</v>
      </c>
      <c r="C12" s="22">
        <f>205</f>
        <v>205</v>
      </c>
      <c r="D12" s="1" t="s">
        <v>576</v>
      </c>
      <c r="E12" s="23">
        <v>-240</v>
      </c>
      <c r="F12" s="1" t="s">
        <v>576</v>
      </c>
      <c r="G12" s="23">
        <v>-240</v>
      </c>
      <c r="H12" s="2" t="s">
        <v>5</v>
      </c>
      <c r="I12" t="s">
        <v>576</v>
      </c>
      <c r="J12" t="s">
        <v>5</v>
      </c>
      <c r="K12" s="24">
        <v>8.4</v>
      </c>
      <c r="L12" s="1" t="s">
        <v>427</v>
      </c>
      <c r="M12" s="24">
        <v>-200</v>
      </c>
      <c r="N12" s="1"/>
      <c r="O12" s="1"/>
      <c r="P12" s="4" t="s">
        <v>94</v>
      </c>
      <c r="Q12" s="4" t="s">
        <v>577</v>
      </c>
      <c r="R12" s="4" t="s">
        <v>22</v>
      </c>
      <c r="S12" s="4" t="s">
        <v>538</v>
      </c>
      <c r="T12" s="4" t="s">
        <v>46</v>
      </c>
      <c r="U12" s="19">
        <v>2</v>
      </c>
      <c r="V12" s="20">
        <v>9.166666666666666E-2</v>
      </c>
      <c r="W12" s="4" t="s">
        <v>10</v>
      </c>
      <c r="X12" s="4" t="s">
        <v>39</v>
      </c>
      <c r="Y12" s="4" t="s">
        <v>48</v>
      </c>
      <c r="Z12" s="26" t="s">
        <v>578</v>
      </c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</row>
    <row r="13" spans="1:56" ht="14.25">
      <c r="A13" s="3"/>
      <c r="B13" s="1" t="s">
        <v>579</v>
      </c>
      <c r="C13" s="22">
        <f>245</f>
        <v>245</v>
      </c>
      <c r="D13" s="1" t="s">
        <v>580</v>
      </c>
      <c r="E13" s="23">
        <v>-290</v>
      </c>
      <c r="F13" s="1" t="s">
        <v>580</v>
      </c>
      <c r="G13" s="22">
        <v>-290</v>
      </c>
      <c r="H13" s="30" t="s">
        <v>5</v>
      </c>
      <c r="I13" t="s">
        <v>580</v>
      </c>
      <c r="J13" t="s">
        <v>5</v>
      </c>
      <c r="K13" s="24">
        <v>6.4</v>
      </c>
      <c r="L13" s="1" t="s">
        <v>18</v>
      </c>
      <c r="M13" s="3"/>
      <c r="N13" s="1" t="s">
        <v>581</v>
      </c>
      <c r="O13" s="3"/>
      <c r="P13" s="4" t="s">
        <v>79</v>
      </c>
      <c r="Q13" s="4" t="s">
        <v>582</v>
      </c>
      <c r="R13" s="4" t="s">
        <v>22</v>
      </c>
      <c r="S13" s="4" t="s">
        <v>538</v>
      </c>
      <c r="T13" s="18" t="s">
        <v>9</v>
      </c>
      <c r="U13" s="19">
        <v>3</v>
      </c>
      <c r="V13" s="20">
        <v>0.20833333333333334</v>
      </c>
      <c r="W13" s="4" t="s">
        <v>10</v>
      </c>
      <c r="X13" s="4" t="s">
        <v>39</v>
      </c>
      <c r="Y13" s="4" t="s">
        <v>583</v>
      </c>
      <c r="Z13" s="26" t="s">
        <v>584</v>
      </c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</row>
    <row r="14" spans="1:56" ht="14.25">
      <c r="A14" s="3"/>
      <c r="B14" s="1" t="s">
        <v>585</v>
      </c>
      <c r="C14" s="22">
        <v>-180</v>
      </c>
      <c r="D14" s="1" t="s">
        <v>586</v>
      </c>
      <c r="E14" s="23">
        <f>155</f>
        <v>155</v>
      </c>
      <c r="F14" s="1" t="s">
        <v>585</v>
      </c>
      <c r="G14" s="22">
        <v>-180</v>
      </c>
      <c r="H14" s="30" t="s">
        <v>122</v>
      </c>
      <c r="I14" t="s">
        <v>585</v>
      </c>
      <c r="J14" t="s">
        <v>5</v>
      </c>
      <c r="K14" s="3"/>
      <c r="L14" s="3" t="s">
        <v>16</v>
      </c>
      <c r="M14" s="3" t="s">
        <v>547</v>
      </c>
      <c r="N14" s="3" t="s">
        <v>29</v>
      </c>
      <c r="O14" s="3" t="s">
        <v>30</v>
      </c>
      <c r="P14" s="4" t="s">
        <v>125</v>
      </c>
      <c r="Q14" s="4" t="s">
        <v>587</v>
      </c>
      <c r="R14" s="4" t="s">
        <v>8</v>
      </c>
      <c r="S14" s="4" t="s">
        <v>538</v>
      </c>
      <c r="T14" s="18" t="s">
        <v>9</v>
      </c>
      <c r="U14" s="19">
        <v>3</v>
      </c>
      <c r="V14" s="20">
        <v>0.20833333333333334</v>
      </c>
      <c r="W14" s="4" t="s">
        <v>10</v>
      </c>
      <c r="X14" s="4" t="s">
        <v>55</v>
      </c>
      <c r="Y14" s="4" t="s">
        <v>588</v>
      </c>
      <c r="Z14" s="26" t="s">
        <v>589</v>
      </c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</row>
    <row r="15" spans="1:56" ht="14.25">
      <c r="A15" s="3"/>
      <c r="B15" s="1" t="s">
        <v>590</v>
      </c>
      <c r="C15" s="22">
        <f>118</f>
        <v>118</v>
      </c>
      <c r="D15" s="1" t="s">
        <v>565</v>
      </c>
      <c r="E15" s="23">
        <v>-138</v>
      </c>
      <c r="F15" s="1" t="s">
        <v>565</v>
      </c>
      <c r="G15" s="22">
        <v>-138</v>
      </c>
      <c r="H15" s="30" t="s">
        <v>122</v>
      </c>
      <c r="I15" t="s">
        <v>565</v>
      </c>
      <c r="J15" t="s">
        <v>5</v>
      </c>
      <c r="K15" s="3"/>
      <c r="L15" s="3" t="s">
        <v>16</v>
      </c>
      <c r="M15" s="3" t="s">
        <v>547</v>
      </c>
      <c r="N15" s="3" t="s">
        <v>29</v>
      </c>
      <c r="O15" s="3" t="s">
        <v>30</v>
      </c>
      <c r="P15" s="4" t="s">
        <v>125</v>
      </c>
      <c r="Q15" s="4" t="s">
        <v>591</v>
      </c>
      <c r="R15" s="4" t="s">
        <v>22</v>
      </c>
      <c r="S15" s="4" t="s">
        <v>538</v>
      </c>
      <c r="T15" s="4" t="s">
        <v>9</v>
      </c>
      <c r="U15" s="19">
        <v>3</v>
      </c>
      <c r="V15" s="20">
        <v>0.20833333333333334</v>
      </c>
      <c r="W15" s="4" t="s">
        <v>10</v>
      </c>
      <c r="X15" s="4" t="s">
        <v>39</v>
      </c>
      <c r="Y15" s="4" t="s">
        <v>592</v>
      </c>
      <c r="Z15" s="26" t="s">
        <v>593</v>
      </c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</row>
    <row r="16" spans="1:56" ht="14.25">
      <c r="A16" s="3"/>
      <c r="B16" s="1" t="s">
        <v>594</v>
      </c>
      <c r="C16" s="22">
        <v>-125</v>
      </c>
      <c r="D16" s="1" t="s">
        <v>595</v>
      </c>
      <c r="E16" s="23">
        <f>105</f>
        <v>105</v>
      </c>
      <c r="F16" s="1" t="s">
        <v>595</v>
      </c>
      <c r="G16" s="22">
        <f>105</f>
        <v>105</v>
      </c>
      <c r="H16" s="30" t="s">
        <v>122</v>
      </c>
      <c r="I16" t="s">
        <v>595</v>
      </c>
      <c r="J16" t="s">
        <v>5</v>
      </c>
      <c r="K16" s="24">
        <v>8.1999999999999993</v>
      </c>
      <c r="L16" s="24" t="s">
        <v>16</v>
      </c>
      <c r="M16" s="24" t="s">
        <v>596</v>
      </c>
      <c r="N16" s="24" t="s">
        <v>597</v>
      </c>
      <c r="O16" s="24" t="s">
        <v>440</v>
      </c>
      <c r="P16" s="4" t="s">
        <v>20</v>
      </c>
      <c r="Q16" s="4" t="s">
        <v>598</v>
      </c>
      <c r="R16" s="4" t="s">
        <v>22</v>
      </c>
      <c r="S16" s="4" t="s">
        <v>538</v>
      </c>
      <c r="T16" s="18" t="s">
        <v>61</v>
      </c>
      <c r="U16" s="19">
        <v>1</v>
      </c>
      <c r="V16" s="20">
        <v>0.17222222222222222</v>
      </c>
      <c r="W16" s="4" t="s">
        <v>54</v>
      </c>
      <c r="X16" s="4" t="s">
        <v>55</v>
      </c>
      <c r="Y16" s="4" t="s">
        <v>67</v>
      </c>
      <c r="Z16" s="26" t="s">
        <v>599</v>
      </c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</row>
    <row r="17" spans="1:56" ht="14.25">
      <c r="A17" s="3"/>
      <c r="B17" s="1" t="s">
        <v>600</v>
      </c>
      <c r="C17" s="22">
        <v>-108</v>
      </c>
      <c r="D17" s="1" t="s">
        <v>601</v>
      </c>
      <c r="E17" s="23">
        <v>-112</v>
      </c>
      <c r="F17" s="1" t="s">
        <v>600</v>
      </c>
      <c r="G17" s="23">
        <v>-108</v>
      </c>
      <c r="H17" s="2" t="s">
        <v>122</v>
      </c>
      <c r="I17" t="s">
        <v>600</v>
      </c>
      <c r="J17" t="s">
        <v>5</v>
      </c>
      <c r="K17" s="24">
        <v>7.7</v>
      </c>
      <c r="L17" s="3" t="s">
        <v>16</v>
      </c>
      <c r="M17" s="3" t="s">
        <v>547</v>
      </c>
      <c r="N17" s="3" t="s">
        <v>602</v>
      </c>
      <c r="O17" s="3" t="s">
        <v>603</v>
      </c>
      <c r="P17" s="4" t="s">
        <v>135</v>
      </c>
      <c r="Q17" s="4" t="s">
        <v>604</v>
      </c>
      <c r="R17" s="4" t="s">
        <v>8</v>
      </c>
      <c r="S17" s="4" t="s">
        <v>538</v>
      </c>
      <c r="T17" s="4" t="s">
        <v>46</v>
      </c>
      <c r="U17" s="19">
        <v>2</v>
      </c>
      <c r="V17" s="20">
        <v>2.5000000000000001E-2</v>
      </c>
      <c r="W17" s="4" t="s">
        <v>10</v>
      </c>
      <c r="X17" s="4" t="s">
        <v>89</v>
      </c>
      <c r="Y17" s="4" t="s">
        <v>127</v>
      </c>
      <c r="Z17" s="26" t="s">
        <v>605</v>
      </c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</row>
    <row r="18" spans="1:56" ht="14.25">
      <c r="A18" s="3"/>
      <c r="B18" s="1" t="s">
        <v>569</v>
      </c>
      <c r="C18" s="22">
        <f>425</f>
        <v>425</v>
      </c>
      <c r="D18" s="1" t="s">
        <v>606</v>
      </c>
      <c r="E18" s="23">
        <v>-575</v>
      </c>
      <c r="F18" s="1" t="s">
        <v>569</v>
      </c>
      <c r="G18" s="23">
        <f>425</f>
        <v>425</v>
      </c>
      <c r="H18" s="2" t="s">
        <v>122</v>
      </c>
      <c r="I18" t="s">
        <v>569</v>
      </c>
      <c r="J18" t="s">
        <v>5</v>
      </c>
      <c r="K18" s="24">
        <v>6.5</v>
      </c>
      <c r="L18" s="3" t="s">
        <v>16</v>
      </c>
      <c r="M18" s="3" t="s">
        <v>547</v>
      </c>
      <c r="N18" s="3" t="s">
        <v>607</v>
      </c>
      <c r="O18" s="3" t="s">
        <v>124</v>
      </c>
      <c r="P18" s="4" t="s">
        <v>135</v>
      </c>
      <c r="Q18" s="4" t="s">
        <v>608</v>
      </c>
      <c r="R18" s="4" t="s">
        <v>8</v>
      </c>
      <c r="S18" s="4" t="s">
        <v>538</v>
      </c>
      <c r="T18" s="4" t="s">
        <v>46</v>
      </c>
      <c r="U18" s="19">
        <v>1</v>
      </c>
      <c r="V18" s="20">
        <v>1.2500000000000001E-2</v>
      </c>
      <c r="W18" s="4" t="s">
        <v>10</v>
      </c>
      <c r="X18" s="4" t="s">
        <v>609</v>
      </c>
      <c r="Y18" s="4" t="s">
        <v>48</v>
      </c>
      <c r="Z18" s="26" t="s">
        <v>610</v>
      </c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</row>
    <row r="19" spans="1:56" ht="15.75" customHeight="1">
      <c r="A19" s="3"/>
      <c r="B19" s="1" t="s">
        <v>611</v>
      </c>
      <c r="C19" s="27">
        <v>-140</v>
      </c>
      <c r="D19" s="1" t="s">
        <v>586</v>
      </c>
      <c r="E19" s="28">
        <f>120</f>
        <v>120</v>
      </c>
      <c r="F19" s="1" t="s">
        <v>611</v>
      </c>
      <c r="G19" s="31">
        <v>-220</v>
      </c>
      <c r="H19" s="2" t="s">
        <v>122</v>
      </c>
      <c r="I19" t="s">
        <v>611</v>
      </c>
      <c r="J19" t="s">
        <v>5</v>
      </c>
      <c r="K19" s="3" t="s">
        <v>547</v>
      </c>
      <c r="L19" s="3" t="s">
        <v>612</v>
      </c>
      <c r="M19" s="3" t="s">
        <v>613</v>
      </c>
      <c r="N19" s="4" t="s">
        <v>166</v>
      </c>
      <c r="O19" s="4" t="s">
        <v>614</v>
      </c>
      <c r="P19" s="4" t="s">
        <v>8</v>
      </c>
      <c r="Q19" s="4" t="s">
        <v>538</v>
      </c>
      <c r="R19" s="4" t="s">
        <v>46</v>
      </c>
      <c r="S19" s="19">
        <v>2</v>
      </c>
      <c r="T19" s="20">
        <v>5.1388888888888887E-2</v>
      </c>
      <c r="U19" s="4" t="s">
        <v>10</v>
      </c>
      <c r="V19" s="4" t="s">
        <v>615</v>
      </c>
      <c r="W19" s="4" t="s">
        <v>616</v>
      </c>
      <c r="X19" s="26" t="s">
        <v>617</v>
      </c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</row>
    <row r="20" spans="1:56" ht="14.25">
      <c r="A20" s="3"/>
      <c r="B20" s="38" t="s">
        <v>601</v>
      </c>
      <c r="C20" s="39">
        <f>500</f>
        <v>500</v>
      </c>
      <c r="D20" s="38" t="s">
        <v>534</v>
      </c>
      <c r="E20" s="40">
        <v>-500</v>
      </c>
      <c r="F20" s="38" t="s">
        <v>601</v>
      </c>
      <c r="G20" s="39">
        <f>500</f>
        <v>500</v>
      </c>
      <c r="H20" s="41" t="s">
        <v>5</v>
      </c>
      <c r="I20" t="s">
        <v>601</v>
      </c>
      <c r="J20" t="s">
        <v>5</v>
      </c>
      <c r="K20" s="3"/>
      <c r="L20" s="3"/>
      <c r="M20" s="3"/>
      <c r="N20" s="4" t="s">
        <v>231</v>
      </c>
      <c r="O20" s="4" t="s">
        <v>618</v>
      </c>
      <c r="P20" s="4" t="s">
        <v>8</v>
      </c>
      <c r="Q20" s="4" t="s">
        <v>538</v>
      </c>
      <c r="R20" s="4" t="s">
        <v>9</v>
      </c>
      <c r="S20" s="19">
        <v>5</v>
      </c>
      <c r="T20" s="20">
        <v>0.20833333333333334</v>
      </c>
      <c r="U20" s="4" t="s">
        <v>54</v>
      </c>
      <c r="V20" s="4" t="s">
        <v>47</v>
      </c>
      <c r="W20" s="4" t="s">
        <v>619</v>
      </c>
      <c r="X20" s="3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</row>
    <row r="21" spans="1:56" ht="14.25">
      <c r="A21" s="3"/>
      <c r="B21" s="38" t="s">
        <v>535</v>
      </c>
      <c r="C21" s="39">
        <f>190</f>
        <v>190</v>
      </c>
      <c r="D21" s="38" t="s">
        <v>540</v>
      </c>
      <c r="E21" s="40">
        <v>-190</v>
      </c>
      <c r="F21" s="38" t="s">
        <v>535</v>
      </c>
      <c r="G21" s="40">
        <f>190</f>
        <v>190</v>
      </c>
      <c r="H21" s="41" t="s">
        <v>5</v>
      </c>
      <c r="I21" t="s">
        <v>535</v>
      </c>
      <c r="J21" t="s">
        <v>5</v>
      </c>
      <c r="K21" s="3"/>
      <c r="L21" s="3"/>
      <c r="M21" s="3"/>
      <c r="N21" s="4" t="s">
        <v>231</v>
      </c>
      <c r="O21" s="4" t="s">
        <v>620</v>
      </c>
      <c r="P21" s="4" t="s">
        <v>8</v>
      </c>
      <c r="Q21" s="4" t="s">
        <v>538</v>
      </c>
      <c r="R21" s="4" t="s">
        <v>9</v>
      </c>
      <c r="S21" s="19">
        <v>3</v>
      </c>
      <c r="T21" s="20">
        <v>0.20833333333333334</v>
      </c>
      <c r="U21" s="4" t="s">
        <v>10</v>
      </c>
      <c r="V21" s="4" t="s">
        <v>233</v>
      </c>
      <c r="W21" s="4" t="s">
        <v>621</v>
      </c>
      <c r="X21" s="3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</row>
  </sheetData>
  <hyperlinks>
    <hyperlink ref="Z4" r:id="rId1" xr:uid="{00000000-0004-0000-0100-000000000000}"/>
    <hyperlink ref="Z5" r:id="rId2" xr:uid="{00000000-0004-0000-0100-000001000000}"/>
    <hyperlink ref="Z6" r:id="rId3" xr:uid="{00000000-0004-0000-0100-000002000000}"/>
    <hyperlink ref="Z7" r:id="rId4" xr:uid="{00000000-0004-0000-0100-000003000000}"/>
    <hyperlink ref="Z8" r:id="rId5" xr:uid="{00000000-0004-0000-0100-000004000000}"/>
    <hyperlink ref="Z9" r:id="rId6" xr:uid="{00000000-0004-0000-0100-000005000000}"/>
    <hyperlink ref="Z10" r:id="rId7" xr:uid="{00000000-0004-0000-0100-000006000000}"/>
    <hyperlink ref="Z11" r:id="rId8" xr:uid="{00000000-0004-0000-0100-000007000000}"/>
    <hyperlink ref="Z12" r:id="rId9" xr:uid="{00000000-0004-0000-0100-000008000000}"/>
    <hyperlink ref="Z13" r:id="rId10" xr:uid="{00000000-0004-0000-0100-000009000000}"/>
    <hyperlink ref="Z14" r:id="rId11" xr:uid="{00000000-0004-0000-0100-00000A000000}"/>
    <hyperlink ref="Z15" r:id="rId12" xr:uid="{00000000-0004-0000-0100-00000B000000}"/>
    <hyperlink ref="Z16" r:id="rId13" xr:uid="{00000000-0004-0000-0100-00000C000000}"/>
    <hyperlink ref="Z17" r:id="rId14" xr:uid="{00000000-0004-0000-0100-00000D000000}"/>
    <hyperlink ref="Z18" r:id="rId15" xr:uid="{00000000-0004-0000-0100-00000E000000}"/>
    <hyperlink ref="X19" r:id="rId16" xr:uid="{00000000-0004-0000-0100-00000F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D18"/>
  <sheetViews>
    <sheetView workbookViewId="0">
      <selection activeCell="I19" sqref="I19"/>
    </sheetView>
  </sheetViews>
  <sheetFormatPr defaultColWidth="12.5703125" defaultRowHeight="15.75" customHeight="1"/>
  <sheetData>
    <row r="1" spans="1:56" ht="12.75">
      <c r="A1" s="99"/>
      <c r="B1" s="99"/>
      <c r="C1" s="100" t="s">
        <v>5</v>
      </c>
      <c r="D1" s="99"/>
      <c r="E1" s="100" t="s">
        <v>1</v>
      </c>
      <c r="F1" s="99"/>
      <c r="G1" s="101" t="s">
        <v>1519</v>
      </c>
      <c r="H1" s="99" t="s">
        <v>1520</v>
      </c>
      <c r="I1" s="99" t="s">
        <v>13066</v>
      </c>
      <c r="J1" s="99" t="s">
        <v>13067</v>
      </c>
      <c r="K1" s="99" t="s">
        <v>1521</v>
      </c>
      <c r="L1" s="99" t="s">
        <v>1522</v>
      </c>
      <c r="M1" s="99" t="s">
        <v>1523</v>
      </c>
      <c r="N1" s="99" t="s">
        <v>46</v>
      </c>
      <c r="O1" s="99"/>
      <c r="P1" s="99"/>
      <c r="Q1" s="99"/>
      <c r="R1" s="99"/>
      <c r="S1" s="99"/>
      <c r="T1" s="99"/>
      <c r="U1" s="99"/>
      <c r="V1" s="102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</row>
    <row r="2" spans="1:56" ht="12.75">
      <c r="A2" s="7"/>
      <c r="B2" s="7"/>
      <c r="C2" s="8">
        <f>COUNTIF(H3:H102, "win")</f>
        <v>9</v>
      </c>
      <c r="D2" s="7"/>
      <c r="E2" s="8">
        <f>COUNTIF(H3:H102, "loss")</f>
        <v>7</v>
      </c>
      <c r="F2" s="103" t="s">
        <v>2</v>
      </c>
      <c r="G2" s="104">
        <f>COUNTIF(H3:H102, "win") / (COUNTIF(H3:H102, "win") + COUNTIF(H3:H102, "loss"))</f>
        <v>0.5625</v>
      </c>
      <c r="H2" s="7"/>
      <c r="I2" s="7"/>
      <c r="J2" s="104">
        <f>COUNTIF(J3:J102, "Win") / (COUNTIF(J3:J102, "Win") + COUNTIF(J3:J102, "Loss"))</f>
        <v>0.8666666666666667</v>
      </c>
      <c r="K2" s="60">
        <f>COUNTIF(R2:R100, "Decision - split")</f>
        <v>0</v>
      </c>
      <c r="L2" s="60">
        <f>COUNTIF(R2:R100, "Decision - Unanimous")</f>
        <v>1</v>
      </c>
      <c r="M2" s="60">
        <f>COUNTIF(R2:R100, "Submission")</f>
        <v>0</v>
      </c>
      <c r="N2" s="60">
        <f>COUNTIF(R2:R100, "KO/TKO")</f>
        <v>2</v>
      </c>
      <c r="O2" s="7"/>
      <c r="P2" s="7"/>
      <c r="Q2" s="7"/>
      <c r="R2" s="7"/>
      <c r="S2" s="7"/>
      <c r="T2" s="7"/>
      <c r="U2" s="7"/>
      <c r="V2" s="105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</row>
    <row r="3" spans="1:56" ht="14.25">
      <c r="A3" s="3"/>
      <c r="B3" s="1" t="s">
        <v>622</v>
      </c>
      <c r="C3" s="22">
        <f>400</f>
        <v>400</v>
      </c>
      <c r="D3" s="1" t="s">
        <v>623</v>
      </c>
      <c r="E3" s="23">
        <v>-550</v>
      </c>
      <c r="F3" s="1" t="s">
        <v>624</v>
      </c>
      <c r="G3" s="22">
        <v>-550</v>
      </c>
      <c r="H3" s="2" t="s">
        <v>1</v>
      </c>
      <c r="I3" t="s">
        <v>622</v>
      </c>
      <c r="J3" t="s">
        <v>5</v>
      </c>
      <c r="K3" s="24">
        <v>8.1</v>
      </c>
      <c r="L3" s="1" t="s">
        <v>427</v>
      </c>
      <c r="M3" s="24">
        <v>-190</v>
      </c>
      <c r="N3" s="1" t="s">
        <v>625</v>
      </c>
      <c r="O3" s="3"/>
      <c r="P3" s="4" t="s">
        <v>87</v>
      </c>
      <c r="Q3" s="4" t="s">
        <v>626</v>
      </c>
      <c r="R3" s="4" t="s">
        <v>8</v>
      </c>
      <c r="S3" s="4" t="s">
        <v>627</v>
      </c>
      <c r="T3" s="4" t="s">
        <v>61</v>
      </c>
      <c r="U3" s="19">
        <v>1</v>
      </c>
      <c r="V3" s="20">
        <v>8.3333333333333329E-2</v>
      </c>
      <c r="W3" s="4" t="s">
        <v>10</v>
      </c>
      <c r="X3" s="4" t="s">
        <v>233</v>
      </c>
      <c r="Y3" s="4" t="s">
        <v>324</v>
      </c>
      <c r="Z3" s="26" t="s">
        <v>628</v>
      </c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</row>
    <row r="4" spans="1:56" ht="14.25">
      <c r="A4" s="3"/>
      <c r="B4" s="1" t="s">
        <v>629</v>
      </c>
      <c r="C4" s="22">
        <v>-200</v>
      </c>
      <c r="D4" s="1" t="s">
        <v>630</v>
      </c>
      <c r="E4" s="23">
        <f>170</f>
        <v>170</v>
      </c>
      <c r="F4" s="1" t="s">
        <v>629</v>
      </c>
      <c r="G4" s="23">
        <v>-200</v>
      </c>
      <c r="H4" s="2" t="s">
        <v>1</v>
      </c>
      <c r="I4" t="s">
        <v>630</v>
      </c>
      <c r="J4" t="s">
        <v>5</v>
      </c>
      <c r="K4" s="24">
        <v>6.8</v>
      </c>
      <c r="L4" s="1" t="s">
        <v>427</v>
      </c>
      <c r="M4" s="24">
        <v>-140</v>
      </c>
      <c r="N4" s="1"/>
      <c r="O4" s="1"/>
      <c r="P4" s="4" t="s">
        <v>94</v>
      </c>
      <c r="Q4" s="4" t="s">
        <v>631</v>
      </c>
      <c r="R4" s="4" t="s">
        <v>22</v>
      </c>
      <c r="S4" s="4" t="s">
        <v>627</v>
      </c>
      <c r="T4" s="4" t="s">
        <v>46</v>
      </c>
      <c r="U4" s="19">
        <v>2</v>
      </c>
      <c r="V4" s="20">
        <v>0.1361111111111111</v>
      </c>
      <c r="W4" s="4" t="s">
        <v>10</v>
      </c>
      <c r="X4" s="4" t="s">
        <v>55</v>
      </c>
      <c r="Y4" s="4" t="s">
        <v>417</v>
      </c>
      <c r="Z4" s="26" t="s">
        <v>632</v>
      </c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</row>
    <row r="5" spans="1:56" ht="14.25">
      <c r="A5" s="3"/>
      <c r="B5" s="1" t="s">
        <v>633</v>
      </c>
      <c r="C5" s="22">
        <f>385</f>
        <v>385</v>
      </c>
      <c r="D5" s="1" t="s">
        <v>634</v>
      </c>
      <c r="E5" s="23">
        <v>-510</v>
      </c>
      <c r="F5" s="1" t="s">
        <v>634</v>
      </c>
      <c r="G5" s="22">
        <v>-510</v>
      </c>
      <c r="H5" s="2" t="s">
        <v>1</v>
      </c>
      <c r="I5" t="s">
        <v>633</v>
      </c>
      <c r="J5" t="s">
        <v>5</v>
      </c>
      <c r="K5" s="24">
        <v>7.5</v>
      </c>
      <c r="L5" s="25" t="s">
        <v>16</v>
      </c>
      <c r="M5" s="25" t="s">
        <v>635</v>
      </c>
      <c r="N5" s="25" t="s">
        <v>18</v>
      </c>
      <c r="O5" s="25" t="s">
        <v>291</v>
      </c>
      <c r="P5" s="4" t="s">
        <v>20</v>
      </c>
      <c r="Q5" s="4" t="s">
        <v>636</v>
      </c>
      <c r="R5" s="4" t="s">
        <v>8</v>
      </c>
      <c r="S5" s="4" t="s">
        <v>627</v>
      </c>
      <c r="T5" s="4" t="s">
        <v>193</v>
      </c>
      <c r="U5" s="19">
        <v>3</v>
      </c>
      <c r="V5" s="20">
        <v>0.20833333333333334</v>
      </c>
      <c r="W5" s="4" t="s">
        <v>10</v>
      </c>
      <c r="X5" s="4" t="s">
        <v>39</v>
      </c>
      <c r="Y5" s="4" t="s">
        <v>637</v>
      </c>
      <c r="Z5" s="26" t="s">
        <v>638</v>
      </c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</row>
    <row r="6" spans="1:56" ht="14.25">
      <c r="A6" s="3"/>
      <c r="B6" s="1" t="s">
        <v>639</v>
      </c>
      <c r="C6" s="22">
        <v>-145</v>
      </c>
      <c r="D6" s="1" t="s">
        <v>640</v>
      </c>
      <c r="E6" s="23">
        <f>125</f>
        <v>125</v>
      </c>
      <c r="F6" s="1" t="s">
        <v>639</v>
      </c>
      <c r="G6" s="22">
        <v>-145</v>
      </c>
      <c r="H6" s="2" t="s">
        <v>1</v>
      </c>
      <c r="I6" t="s">
        <v>640</v>
      </c>
      <c r="J6" t="s">
        <v>5</v>
      </c>
      <c r="K6" s="24">
        <v>7.2</v>
      </c>
      <c r="L6" s="3" t="s">
        <v>16</v>
      </c>
      <c r="M6" s="3" t="s">
        <v>641</v>
      </c>
      <c r="N6" s="3" t="s">
        <v>29</v>
      </c>
      <c r="O6" s="3" t="s">
        <v>30</v>
      </c>
      <c r="P6" s="4" t="s">
        <v>135</v>
      </c>
      <c r="Q6" s="4" t="s">
        <v>642</v>
      </c>
      <c r="R6" s="4" t="s">
        <v>22</v>
      </c>
      <c r="S6" s="4" t="s">
        <v>627</v>
      </c>
      <c r="T6" s="4" t="s">
        <v>9</v>
      </c>
      <c r="U6" s="19">
        <v>3</v>
      </c>
      <c r="V6" s="20">
        <v>0.20833333333333334</v>
      </c>
      <c r="W6" s="4" t="s">
        <v>10</v>
      </c>
      <c r="X6" s="4" t="s">
        <v>89</v>
      </c>
      <c r="Y6" s="4" t="s">
        <v>643</v>
      </c>
      <c r="Z6" s="26" t="s">
        <v>644</v>
      </c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</row>
    <row r="7" spans="1:56" ht="14.25">
      <c r="A7" s="3"/>
      <c r="B7" s="1" t="s">
        <v>645</v>
      </c>
      <c r="C7" s="27">
        <v>-135</v>
      </c>
      <c r="D7" s="1" t="s">
        <v>630</v>
      </c>
      <c r="E7" s="28">
        <f>115</f>
        <v>115</v>
      </c>
      <c r="F7" s="1" t="s">
        <v>645</v>
      </c>
      <c r="G7" s="27">
        <v>-135</v>
      </c>
      <c r="H7" s="2" t="s">
        <v>1</v>
      </c>
      <c r="I7" t="s">
        <v>630</v>
      </c>
      <c r="J7" t="s">
        <v>5</v>
      </c>
      <c r="K7" s="3"/>
      <c r="L7" s="3"/>
      <c r="M7" s="3"/>
      <c r="N7" s="3"/>
      <c r="O7" s="3"/>
      <c r="P7" s="4" t="s">
        <v>177</v>
      </c>
      <c r="Q7" s="4" t="s">
        <v>646</v>
      </c>
      <c r="R7" s="4" t="s">
        <v>22</v>
      </c>
      <c r="S7" s="4" t="s">
        <v>627</v>
      </c>
      <c r="T7" s="4" t="s">
        <v>46</v>
      </c>
      <c r="U7" s="19">
        <v>1</v>
      </c>
      <c r="V7" s="20">
        <v>0.15138888888888888</v>
      </c>
      <c r="W7" s="4" t="s">
        <v>10</v>
      </c>
      <c r="X7" s="4" t="s">
        <v>89</v>
      </c>
      <c r="Y7" s="4" t="s">
        <v>97</v>
      </c>
      <c r="Z7" s="26" t="s">
        <v>647</v>
      </c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</row>
    <row r="8" spans="1:56" ht="14.25">
      <c r="A8" s="3"/>
      <c r="B8" s="1" t="s">
        <v>622</v>
      </c>
      <c r="C8" s="16">
        <f>205</f>
        <v>205</v>
      </c>
      <c r="D8" s="1" t="s">
        <v>648</v>
      </c>
      <c r="E8" s="17">
        <v>-240</v>
      </c>
      <c r="F8" s="1" t="s">
        <v>622</v>
      </c>
      <c r="G8" s="17">
        <f>205</f>
        <v>205</v>
      </c>
      <c r="H8" s="2" t="s">
        <v>1</v>
      </c>
      <c r="I8" t="s">
        <v>648</v>
      </c>
      <c r="J8" t="s">
        <v>5</v>
      </c>
      <c r="K8" s="3"/>
      <c r="L8" s="3"/>
      <c r="M8" s="3"/>
      <c r="N8" s="3"/>
      <c r="O8" s="3"/>
      <c r="P8" s="4" t="s">
        <v>52</v>
      </c>
      <c r="Q8" s="4" t="s">
        <v>649</v>
      </c>
      <c r="R8" s="4" t="s">
        <v>22</v>
      </c>
      <c r="S8" s="4" t="s">
        <v>627</v>
      </c>
      <c r="T8" s="4" t="s">
        <v>46</v>
      </c>
      <c r="U8" s="19">
        <v>3</v>
      </c>
      <c r="V8" s="20">
        <v>3.888888888888889E-2</v>
      </c>
      <c r="W8" s="4" t="s">
        <v>10</v>
      </c>
      <c r="X8" s="4" t="s">
        <v>39</v>
      </c>
      <c r="Y8" s="4" t="s">
        <v>48</v>
      </c>
      <c r="Z8" s="26" t="s">
        <v>650</v>
      </c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</row>
    <row r="9" spans="1:56" ht="14.25">
      <c r="A9" s="3"/>
      <c r="B9" s="1" t="s">
        <v>651</v>
      </c>
      <c r="C9" s="16">
        <v>-400</v>
      </c>
      <c r="D9" s="1" t="s">
        <v>652</v>
      </c>
      <c r="E9" s="17">
        <f>300</f>
        <v>300</v>
      </c>
      <c r="F9" s="1" t="s">
        <v>652</v>
      </c>
      <c r="G9" s="16">
        <f>300</f>
        <v>300</v>
      </c>
      <c r="H9" s="2" t="s">
        <v>1</v>
      </c>
      <c r="I9" s="1" t="s">
        <v>652</v>
      </c>
      <c r="J9" t="s">
        <v>1</v>
      </c>
      <c r="K9" s="3"/>
      <c r="L9" s="3"/>
      <c r="M9" s="3"/>
      <c r="N9" s="3"/>
      <c r="O9" s="3"/>
      <c r="P9" s="4" t="s">
        <v>207</v>
      </c>
      <c r="Q9" s="4" t="s">
        <v>653</v>
      </c>
      <c r="R9" s="4" t="s">
        <v>8</v>
      </c>
      <c r="S9" s="4" t="s">
        <v>627</v>
      </c>
      <c r="T9" s="4" t="s">
        <v>46</v>
      </c>
      <c r="U9" s="19">
        <v>2</v>
      </c>
      <c r="V9" s="20">
        <v>0.17847222222222223</v>
      </c>
      <c r="W9" s="4" t="s">
        <v>10</v>
      </c>
      <c r="X9" s="4" t="s">
        <v>654</v>
      </c>
      <c r="Y9" s="4" t="s">
        <v>430</v>
      </c>
      <c r="Z9" s="26" t="s">
        <v>655</v>
      </c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</row>
    <row r="10" spans="1:56" ht="14.25">
      <c r="A10" s="3"/>
      <c r="B10" s="54" t="s">
        <v>656</v>
      </c>
      <c r="C10" s="22">
        <f>214</f>
        <v>214</v>
      </c>
      <c r="D10" s="54" t="s">
        <v>657</v>
      </c>
      <c r="E10" s="23">
        <v>-254</v>
      </c>
      <c r="F10" s="61" t="s">
        <v>657</v>
      </c>
      <c r="G10" s="62">
        <v>-254</v>
      </c>
      <c r="H10" s="2" t="s">
        <v>5</v>
      </c>
      <c r="I10" t="s">
        <v>657</v>
      </c>
      <c r="J10" t="s">
        <v>5</v>
      </c>
      <c r="K10" s="24">
        <v>8</v>
      </c>
      <c r="L10" s="1" t="s">
        <v>46</v>
      </c>
      <c r="M10" s="24">
        <v>-220</v>
      </c>
      <c r="N10" s="1" t="s">
        <v>658</v>
      </c>
      <c r="O10" s="3"/>
      <c r="P10" s="4" t="s">
        <v>339</v>
      </c>
      <c r="Q10" s="4" t="s">
        <v>659</v>
      </c>
      <c r="R10" s="4" t="s">
        <v>22</v>
      </c>
      <c r="S10" s="4" t="s">
        <v>627</v>
      </c>
      <c r="T10" s="4" t="s">
        <v>46</v>
      </c>
      <c r="U10" s="19">
        <v>1</v>
      </c>
      <c r="V10" s="20">
        <v>8.3333333333333332E-3</v>
      </c>
      <c r="W10" s="4" t="s">
        <v>10</v>
      </c>
      <c r="X10" s="4" t="s">
        <v>660</v>
      </c>
      <c r="Y10" s="4" t="s">
        <v>97</v>
      </c>
      <c r="Z10" s="26" t="s">
        <v>661</v>
      </c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</row>
    <row r="11" spans="1:56" ht="14.25">
      <c r="A11" s="3"/>
      <c r="B11" s="54" t="s">
        <v>662</v>
      </c>
      <c r="C11" s="22">
        <f>103</f>
        <v>103</v>
      </c>
      <c r="D11" s="54" t="s">
        <v>663</v>
      </c>
      <c r="E11" s="23">
        <v>-123</v>
      </c>
      <c r="F11" s="61" t="s">
        <v>662</v>
      </c>
      <c r="G11" s="62">
        <f>103</f>
        <v>103</v>
      </c>
      <c r="H11" s="2" t="s">
        <v>5</v>
      </c>
      <c r="I11" t="s">
        <v>662</v>
      </c>
      <c r="J11" t="s">
        <v>5</v>
      </c>
      <c r="K11" s="24">
        <v>6.5</v>
      </c>
      <c r="L11" s="1" t="s">
        <v>46</v>
      </c>
      <c r="M11" s="1" t="s">
        <v>664</v>
      </c>
      <c r="N11" s="1" t="s">
        <v>665</v>
      </c>
      <c r="O11" s="3"/>
      <c r="P11" s="4" t="s">
        <v>103</v>
      </c>
      <c r="Q11" s="4" t="s">
        <v>666</v>
      </c>
      <c r="R11" s="4" t="s">
        <v>8</v>
      </c>
      <c r="S11" s="4" t="s">
        <v>627</v>
      </c>
      <c r="T11" s="4" t="s">
        <v>46</v>
      </c>
      <c r="U11" s="19">
        <v>2</v>
      </c>
      <c r="V11" s="20">
        <v>0.13680555555555557</v>
      </c>
      <c r="W11" s="4" t="s">
        <v>10</v>
      </c>
      <c r="X11" s="4" t="s">
        <v>55</v>
      </c>
      <c r="Y11" s="4" t="s">
        <v>127</v>
      </c>
      <c r="Z11" s="26" t="s">
        <v>667</v>
      </c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</row>
    <row r="12" spans="1:56" ht="14.25">
      <c r="A12" s="3"/>
      <c r="B12" s="54" t="s">
        <v>668</v>
      </c>
      <c r="C12" s="22">
        <v>-130</v>
      </c>
      <c r="D12" s="54" t="s">
        <v>669</v>
      </c>
      <c r="E12" s="23">
        <f>110</f>
        <v>110</v>
      </c>
      <c r="F12" s="61" t="s">
        <v>668</v>
      </c>
      <c r="G12" s="62">
        <v>-130</v>
      </c>
      <c r="H12" s="30" t="s">
        <v>5</v>
      </c>
      <c r="I12" t="s">
        <v>668</v>
      </c>
      <c r="J12" t="s">
        <v>5</v>
      </c>
      <c r="K12" s="24">
        <v>8.6</v>
      </c>
      <c r="L12" s="1" t="s">
        <v>46</v>
      </c>
      <c r="M12" s="3"/>
      <c r="N12" s="1" t="s">
        <v>670</v>
      </c>
      <c r="O12" s="3"/>
      <c r="P12" s="4" t="s">
        <v>115</v>
      </c>
      <c r="Q12" s="4" t="s">
        <v>671</v>
      </c>
      <c r="R12" s="4" t="s">
        <v>8</v>
      </c>
      <c r="S12" s="4" t="s">
        <v>627</v>
      </c>
      <c r="T12" s="4" t="s">
        <v>46</v>
      </c>
      <c r="U12" s="19">
        <v>3</v>
      </c>
      <c r="V12" s="20">
        <v>6.3888888888888884E-2</v>
      </c>
      <c r="W12" s="4" t="s">
        <v>10</v>
      </c>
      <c r="X12" s="4" t="s">
        <v>263</v>
      </c>
      <c r="Y12" s="4" t="s">
        <v>48</v>
      </c>
      <c r="Z12" s="26" t="s">
        <v>672</v>
      </c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</row>
    <row r="13" spans="1:56" ht="14.25">
      <c r="A13" s="3"/>
      <c r="B13" s="54" t="s">
        <v>623</v>
      </c>
      <c r="C13" s="27">
        <v>-319</v>
      </c>
      <c r="D13" s="54" t="s">
        <v>673</v>
      </c>
      <c r="E13" s="28">
        <f>269</f>
        <v>269</v>
      </c>
      <c r="F13" s="61" t="s">
        <v>623</v>
      </c>
      <c r="G13" s="63">
        <v>-319</v>
      </c>
      <c r="H13" s="2" t="s">
        <v>5</v>
      </c>
      <c r="I13" t="s">
        <v>623</v>
      </c>
      <c r="J13" t="s">
        <v>5</v>
      </c>
      <c r="K13" s="3"/>
      <c r="L13" s="3" t="s">
        <v>16</v>
      </c>
      <c r="M13" s="3" t="s">
        <v>641</v>
      </c>
      <c r="N13" s="3" t="s">
        <v>29</v>
      </c>
      <c r="O13" s="3" t="s">
        <v>30</v>
      </c>
      <c r="P13" s="4" t="s">
        <v>31</v>
      </c>
      <c r="Q13" s="4" t="s">
        <v>674</v>
      </c>
      <c r="R13" s="4" t="s">
        <v>8</v>
      </c>
      <c r="S13" s="4" t="s">
        <v>627</v>
      </c>
      <c r="T13" s="4" t="s">
        <v>9</v>
      </c>
      <c r="U13" s="19">
        <v>3</v>
      </c>
      <c r="V13" s="20">
        <v>0.20833333333333334</v>
      </c>
      <c r="W13" s="4" t="s">
        <v>10</v>
      </c>
      <c r="X13" s="4" t="s">
        <v>39</v>
      </c>
      <c r="Y13" s="4" t="s">
        <v>675</v>
      </c>
      <c r="Z13" s="26" t="s">
        <v>676</v>
      </c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</row>
    <row r="14" spans="1:56" ht="15">
      <c r="A14" s="3"/>
      <c r="B14" s="54" t="s">
        <v>677</v>
      </c>
      <c r="C14" s="27">
        <v>-121</v>
      </c>
      <c r="D14" s="54" t="s">
        <v>678</v>
      </c>
      <c r="E14" s="28">
        <f>101</f>
        <v>101</v>
      </c>
      <c r="F14" s="61" t="s">
        <v>677</v>
      </c>
      <c r="G14" s="64">
        <v>-125</v>
      </c>
      <c r="H14" s="2" t="s">
        <v>122</v>
      </c>
      <c r="I14" t="s">
        <v>677</v>
      </c>
      <c r="J14" t="s">
        <v>5</v>
      </c>
      <c r="K14" s="3"/>
      <c r="L14" s="3" t="s">
        <v>16</v>
      </c>
      <c r="M14" s="3" t="s">
        <v>641</v>
      </c>
      <c r="N14" s="3" t="s">
        <v>679</v>
      </c>
      <c r="O14" s="3" t="s">
        <v>603</v>
      </c>
      <c r="P14" s="4" t="s">
        <v>166</v>
      </c>
      <c r="Q14" s="4" t="s">
        <v>680</v>
      </c>
      <c r="R14" s="4" t="s">
        <v>8</v>
      </c>
      <c r="S14" s="4" t="s">
        <v>627</v>
      </c>
      <c r="T14" s="4" t="s">
        <v>46</v>
      </c>
      <c r="U14" s="19">
        <v>1</v>
      </c>
      <c r="V14" s="20">
        <v>7.013888888888889E-2</v>
      </c>
      <c r="W14" s="4" t="s">
        <v>10</v>
      </c>
      <c r="X14" s="4" t="s">
        <v>89</v>
      </c>
      <c r="Y14" s="4" t="s">
        <v>48</v>
      </c>
      <c r="Z14" s="26" t="s">
        <v>681</v>
      </c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</row>
    <row r="15" spans="1:56" ht="14.25">
      <c r="A15" s="3"/>
      <c r="B15" s="54" t="s">
        <v>682</v>
      </c>
      <c r="C15" s="27">
        <v>-210</v>
      </c>
      <c r="D15" s="54" t="s">
        <v>683</v>
      </c>
      <c r="E15" s="28">
        <f>180</f>
        <v>180</v>
      </c>
      <c r="F15" s="61" t="s">
        <v>683</v>
      </c>
      <c r="G15" s="63">
        <f>180</f>
        <v>180</v>
      </c>
      <c r="H15" s="2" t="s">
        <v>5</v>
      </c>
      <c r="I15" t="s">
        <v>683</v>
      </c>
      <c r="J15" t="s">
        <v>5</v>
      </c>
      <c r="K15" s="3"/>
      <c r="L15" s="3"/>
      <c r="M15" s="3"/>
      <c r="N15" s="3"/>
      <c r="O15" s="3"/>
      <c r="P15" s="4" t="s">
        <v>177</v>
      </c>
      <c r="Q15" s="4" t="s">
        <v>684</v>
      </c>
      <c r="R15" s="4" t="s">
        <v>22</v>
      </c>
      <c r="S15" s="4" t="s">
        <v>627</v>
      </c>
      <c r="T15" s="4" t="s">
        <v>9</v>
      </c>
      <c r="U15" s="19">
        <v>3</v>
      </c>
      <c r="V15" s="20">
        <v>0.20833333333333334</v>
      </c>
      <c r="W15" s="4" t="s">
        <v>10</v>
      </c>
      <c r="X15" s="4" t="s">
        <v>39</v>
      </c>
      <c r="Y15" s="4" t="s">
        <v>685</v>
      </c>
      <c r="Z15" s="26" t="s">
        <v>686</v>
      </c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</row>
    <row r="16" spans="1:56" ht="15">
      <c r="A16" s="3"/>
      <c r="B16" s="54" t="s">
        <v>687</v>
      </c>
      <c r="C16" s="16">
        <v>-500</v>
      </c>
      <c r="D16" s="54" t="s">
        <v>688</v>
      </c>
      <c r="E16" s="17">
        <f>375</f>
        <v>375</v>
      </c>
      <c r="F16" s="61" t="s">
        <v>687</v>
      </c>
      <c r="G16" s="63">
        <v>-500</v>
      </c>
      <c r="H16" s="29" t="s">
        <v>122</v>
      </c>
      <c r="I16" t="s">
        <v>687</v>
      </c>
      <c r="J16" t="s">
        <v>5</v>
      </c>
      <c r="K16" s="3"/>
      <c r="L16" s="3"/>
      <c r="M16" s="3"/>
      <c r="N16" s="4" t="s">
        <v>37</v>
      </c>
      <c r="O16" s="4" t="s">
        <v>689</v>
      </c>
      <c r="P16" s="4" t="s">
        <v>8</v>
      </c>
      <c r="Q16" s="4" t="s">
        <v>627</v>
      </c>
      <c r="R16" s="4" t="s">
        <v>46</v>
      </c>
      <c r="S16" s="19">
        <v>2</v>
      </c>
      <c r="T16" s="20">
        <v>0.1125</v>
      </c>
      <c r="U16" s="4" t="s">
        <v>54</v>
      </c>
      <c r="V16" s="4" t="s">
        <v>47</v>
      </c>
      <c r="W16" s="4" t="s">
        <v>48</v>
      </c>
      <c r="X16" s="26" t="s">
        <v>690</v>
      </c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</row>
    <row r="17" spans="1:54" ht="14.25">
      <c r="A17" s="3"/>
      <c r="B17" s="54" t="s">
        <v>691</v>
      </c>
      <c r="C17" s="16">
        <v>-220</v>
      </c>
      <c r="D17" s="54" t="s">
        <v>692</v>
      </c>
      <c r="E17" s="17">
        <f>185</f>
        <v>185</v>
      </c>
      <c r="F17" s="61" t="s">
        <v>691</v>
      </c>
      <c r="G17" s="63">
        <v>-220</v>
      </c>
      <c r="H17" s="2" t="s">
        <v>5</v>
      </c>
      <c r="I17" t="s">
        <v>692</v>
      </c>
      <c r="J17" t="s">
        <v>1</v>
      </c>
      <c r="K17" s="3"/>
      <c r="L17" s="3"/>
      <c r="M17" s="3"/>
      <c r="N17" s="4" t="s">
        <v>44</v>
      </c>
      <c r="O17" s="4" t="s">
        <v>693</v>
      </c>
      <c r="P17" s="4" t="s">
        <v>8</v>
      </c>
      <c r="Q17" s="4" t="s">
        <v>627</v>
      </c>
      <c r="R17" s="4" t="s">
        <v>9</v>
      </c>
      <c r="S17" s="19">
        <v>3</v>
      </c>
      <c r="T17" s="20">
        <v>0.20833333333333334</v>
      </c>
      <c r="U17" s="4" t="s">
        <v>10</v>
      </c>
      <c r="V17" s="4" t="s">
        <v>23</v>
      </c>
      <c r="W17" s="4" t="s">
        <v>694</v>
      </c>
      <c r="X17" s="26" t="s">
        <v>695</v>
      </c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</row>
    <row r="18" spans="1:54" ht="16.5" customHeight="1">
      <c r="A18" s="3"/>
      <c r="B18" s="65" t="s">
        <v>623</v>
      </c>
      <c r="C18" s="39">
        <f>236</f>
        <v>236</v>
      </c>
      <c r="D18" s="65" t="s">
        <v>696</v>
      </c>
      <c r="E18" s="40">
        <v>-236</v>
      </c>
      <c r="F18" s="66" t="s">
        <v>623</v>
      </c>
      <c r="G18" s="67">
        <f>236</f>
        <v>236</v>
      </c>
      <c r="H18" s="41" t="s">
        <v>5</v>
      </c>
      <c r="I18" s="3" t="s">
        <v>13068</v>
      </c>
      <c r="J18" s="3" t="s">
        <v>13070</v>
      </c>
      <c r="K18" s="3"/>
      <c r="L18" s="3"/>
      <c r="M18" s="3"/>
      <c r="N18" s="4" t="s">
        <v>231</v>
      </c>
      <c r="O18" s="4" t="s">
        <v>697</v>
      </c>
      <c r="P18" s="4" t="s">
        <v>8</v>
      </c>
      <c r="Q18" s="4" t="s">
        <v>627</v>
      </c>
      <c r="R18" s="4" t="s">
        <v>46</v>
      </c>
      <c r="S18" s="19">
        <v>2</v>
      </c>
      <c r="T18" s="20">
        <v>4.3749999999999997E-2</v>
      </c>
      <c r="U18" s="4" t="s">
        <v>10</v>
      </c>
      <c r="V18" s="4" t="s">
        <v>47</v>
      </c>
      <c r="W18" s="4" t="s">
        <v>48</v>
      </c>
      <c r="X18" s="3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</row>
  </sheetData>
  <hyperlinks>
    <hyperlink ref="Z3" r:id="rId1" xr:uid="{00000000-0004-0000-0200-000000000000}"/>
    <hyperlink ref="Z4" r:id="rId2" xr:uid="{00000000-0004-0000-0200-000001000000}"/>
    <hyperlink ref="Z5" r:id="rId3" xr:uid="{00000000-0004-0000-0200-000002000000}"/>
    <hyperlink ref="Z6" r:id="rId4" xr:uid="{00000000-0004-0000-0200-000003000000}"/>
    <hyperlink ref="Z7" r:id="rId5" xr:uid="{00000000-0004-0000-0200-000004000000}"/>
    <hyperlink ref="Z8" r:id="rId6" xr:uid="{00000000-0004-0000-0200-000005000000}"/>
    <hyperlink ref="Z9" r:id="rId7" xr:uid="{00000000-0004-0000-0200-000006000000}"/>
    <hyperlink ref="Z10" r:id="rId8" xr:uid="{00000000-0004-0000-0200-000007000000}"/>
    <hyperlink ref="Z11" r:id="rId9" xr:uid="{00000000-0004-0000-0200-000008000000}"/>
    <hyperlink ref="Z12" r:id="rId10" xr:uid="{00000000-0004-0000-0200-000009000000}"/>
    <hyperlink ref="Z13" r:id="rId11" xr:uid="{00000000-0004-0000-0200-00000A000000}"/>
    <hyperlink ref="Z14" r:id="rId12" xr:uid="{00000000-0004-0000-0200-00000B000000}"/>
    <hyperlink ref="Z15" r:id="rId13" xr:uid="{00000000-0004-0000-0200-00000C000000}"/>
    <hyperlink ref="X16" r:id="rId14" xr:uid="{00000000-0004-0000-0200-00000D000000}"/>
    <hyperlink ref="X17" r:id="rId15" xr:uid="{00000000-0004-0000-0200-00000E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D17"/>
  <sheetViews>
    <sheetView workbookViewId="0">
      <selection activeCell="I22" sqref="I22"/>
    </sheetView>
  </sheetViews>
  <sheetFormatPr defaultColWidth="12.5703125" defaultRowHeight="15.75" customHeight="1"/>
  <cols>
    <col min="17" max="17" width="23.42578125" customWidth="1"/>
  </cols>
  <sheetData>
    <row r="1" spans="1:56" ht="12.75">
      <c r="A1" s="99"/>
      <c r="B1" s="99"/>
      <c r="C1" s="100" t="s">
        <v>5</v>
      </c>
      <c r="D1" s="99"/>
      <c r="E1" s="100" t="s">
        <v>1</v>
      </c>
      <c r="F1" s="99"/>
      <c r="G1" s="101" t="s">
        <v>1519</v>
      </c>
      <c r="H1" s="99" t="s">
        <v>1520</v>
      </c>
      <c r="I1" s="99" t="s">
        <v>13066</v>
      </c>
      <c r="J1" s="99" t="s">
        <v>13067</v>
      </c>
      <c r="K1" s="99" t="s">
        <v>1521</v>
      </c>
      <c r="L1" s="99" t="s">
        <v>1522</v>
      </c>
      <c r="M1" s="99" t="s">
        <v>1523</v>
      </c>
      <c r="N1" s="99" t="s">
        <v>46</v>
      </c>
      <c r="O1" s="99"/>
      <c r="P1" s="99"/>
      <c r="Q1" s="99"/>
      <c r="R1" s="99"/>
      <c r="S1" s="99"/>
      <c r="T1" s="99"/>
      <c r="U1" s="99"/>
      <c r="V1" s="102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</row>
    <row r="2" spans="1:56" ht="12.75">
      <c r="A2" s="7"/>
      <c r="B2" s="7"/>
      <c r="C2" s="8">
        <f>COUNTIF(H3:H102, "win")</f>
        <v>9</v>
      </c>
      <c r="D2" s="7"/>
      <c r="E2" s="8">
        <f>COUNTIF(H3:H102, "loss")</f>
        <v>6</v>
      </c>
      <c r="F2" s="103" t="s">
        <v>2</v>
      </c>
      <c r="G2" s="104">
        <f>COUNTIF(H3:H102, "win") / (COUNTIF(H3:H102, "win") + COUNTIF(H3:H102, "loss"))</f>
        <v>0.6</v>
      </c>
      <c r="H2" s="7"/>
      <c r="I2" s="7"/>
      <c r="J2" s="104">
        <f>COUNTIF(J3:J102, "Win") / (COUNTIF(J3:J102, "Win") + COUNTIF(J3:J102, "Loss"))</f>
        <v>0.84615384615384615</v>
      </c>
      <c r="K2" s="60">
        <f>COUNTIF(R2:R100, "Decision - split")</f>
        <v>1</v>
      </c>
      <c r="L2" s="60">
        <f>COUNTIF(R2:R100, "Decision - Unanimous")</f>
        <v>2</v>
      </c>
      <c r="M2" s="60">
        <f>COUNTIF(R2:R100, "Submission")</f>
        <v>0</v>
      </c>
      <c r="N2" s="60">
        <f>COUNTIF(R2:R100, "KO/TKO")</f>
        <v>1</v>
      </c>
      <c r="O2" s="7"/>
      <c r="P2" s="7"/>
      <c r="Q2" s="7"/>
      <c r="R2" s="7"/>
      <c r="S2" s="7"/>
      <c r="T2" s="7"/>
      <c r="U2" s="7"/>
      <c r="V2" s="105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</row>
    <row r="3" spans="1:56" ht="14.25">
      <c r="A3" s="3"/>
      <c r="B3" s="92" t="s">
        <v>1354</v>
      </c>
      <c r="C3" s="24">
        <f>110</f>
        <v>110</v>
      </c>
      <c r="D3" s="90" t="s">
        <v>1355</v>
      </c>
      <c r="E3" s="98">
        <v>-110</v>
      </c>
      <c r="F3" s="90" t="s">
        <v>1355</v>
      </c>
      <c r="G3" s="24">
        <v>-110</v>
      </c>
      <c r="H3" s="91" t="s">
        <v>5</v>
      </c>
      <c r="I3" t="s">
        <v>13068</v>
      </c>
      <c r="J3" t="s">
        <v>13069</v>
      </c>
      <c r="K3" s="3"/>
      <c r="L3" s="3"/>
      <c r="M3" s="3"/>
      <c r="N3" s="3"/>
      <c r="O3" s="3"/>
      <c r="P3" s="4" t="s">
        <v>6</v>
      </c>
      <c r="Q3" s="4" t="s">
        <v>1356</v>
      </c>
      <c r="R3" s="4" t="s">
        <v>22</v>
      </c>
      <c r="S3" s="4" t="s">
        <v>1357</v>
      </c>
      <c r="T3" s="4" t="s">
        <v>9</v>
      </c>
      <c r="U3" s="19">
        <v>3</v>
      </c>
      <c r="V3" s="20">
        <v>0.20833333333333334</v>
      </c>
      <c r="W3" s="4" t="s">
        <v>10</v>
      </c>
      <c r="X3" s="4" t="s">
        <v>654</v>
      </c>
      <c r="Y3" s="4" t="s">
        <v>1358</v>
      </c>
      <c r="Z3" s="3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</row>
    <row r="4" spans="1:56" ht="14.25">
      <c r="A4" s="3"/>
      <c r="B4" s="92" t="s">
        <v>1355</v>
      </c>
      <c r="C4" s="84">
        <f>120</f>
        <v>120</v>
      </c>
      <c r="D4" s="90" t="s">
        <v>1359</v>
      </c>
      <c r="E4" s="93">
        <v>-140</v>
      </c>
      <c r="F4" s="90" t="s">
        <v>1355</v>
      </c>
      <c r="G4" s="84">
        <f>120</f>
        <v>120</v>
      </c>
      <c r="H4" s="91" t="s">
        <v>1</v>
      </c>
      <c r="I4" t="s">
        <v>1359</v>
      </c>
      <c r="J4" t="s">
        <v>5</v>
      </c>
      <c r="K4" s="24">
        <v>5.9</v>
      </c>
      <c r="L4" s="1" t="s">
        <v>18</v>
      </c>
      <c r="M4" s="24">
        <v>-150</v>
      </c>
      <c r="N4" s="1" t="s">
        <v>1360</v>
      </c>
      <c r="O4" s="3"/>
      <c r="P4" s="4" t="s">
        <v>339</v>
      </c>
      <c r="Q4" s="4" t="s">
        <v>1361</v>
      </c>
      <c r="R4" s="4" t="s">
        <v>22</v>
      </c>
      <c r="S4" s="4" t="s">
        <v>1357</v>
      </c>
      <c r="T4" s="4" t="s">
        <v>9</v>
      </c>
      <c r="U4" s="19">
        <v>3</v>
      </c>
      <c r="V4" s="20">
        <v>0.20833333333333334</v>
      </c>
      <c r="W4" s="4" t="s">
        <v>10</v>
      </c>
      <c r="X4" s="4" t="s">
        <v>572</v>
      </c>
      <c r="Y4" s="4" t="s">
        <v>1362</v>
      </c>
      <c r="Z4" s="26" t="s">
        <v>1363</v>
      </c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</row>
    <row r="5" spans="1:56" ht="14.25">
      <c r="A5" s="3"/>
      <c r="B5" s="92" t="s">
        <v>1364</v>
      </c>
      <c r="C5" s="84">
        <v>-200</v>
      </c>
      <c r="D5" s="90" t="s">
        <v>1365</v>
      </c>
      <c r="E5" s="93">
        <f>170</f>
        <v>170</v>
      </c>
      <c r="F5" s="90" t="s">
        <v>1366</v>
      </c>
      <c r="G5" s="84">
        <f>170</f>
        <v>170</v>
      </c>
      <c r="H5" s="91" t="s">
        <v>1</v>
      </c>
      <c r="I5" t="s">
        <v>1364</v>
      </c>
      <c r="J5" t="s">
        <v>5</v>
      </c>
      <c r="K5" s="24">
        <v>5.4</v>
      </c>
      <c r="L5" s="1" t="s">
        <v>18</v>
      </c>
      <c r="M5" s="24">
        <v>-125</v>
      </c>
      <c r="N5" s="1" t="s">
        <v>1367</v>
      </c>
      <c r="O5" s="3"/>
      <c r="P5" s="4" t="s">
        <v>87</v>
      </c>
      <c r="Q5" s="4" t="s">
        <v>1368</v>
      </c>
      <c r="R5" s="4" t="s">
        <v>8</v>
      </c>
      <c r="S5" s="4" t="s">
        <v>1357</v>
      </c>
      <c r="T5" s="4" t="s">
        <v>9</v>
      </c>
      <c r="U5" s="19">
        <v>3</v>
      </c>
      <c r="V5" s="20">
        <v>0.20833333333333334</v>
      </c>
      <c r="W5" s="4" t="s">
        <v>10</v>
      </c>
      <c r="X5" s="4" t="s">
        <v>788</v>
      </c>
      <c r="Y5" s="4" t="s">
        <v>1369</v>
      </c>
      <c r="Z5" s="26" t="s">
        <v>1370</v>
      </c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</row>
    <row r="6" spans="1:56" ht="14.25">
      <c r="A6" s="3"/>
      <c r="B6" s="92" t="s">
        <v>1371</v>
      </c>
      <c r="C6" s="84">
        <v>-180</v>
      </c>
      <c r="D6" s="90" t="s">
        <v>1372</v>
      </c>
      <c r="E6" s="93">
        <f>155</f>
        <v>155</v>
      </c>
      <c r="F6" s="90" t="s">
        <v>1371</v>
      </c>
      <c r="G6" s="84">
        <v>-180</v>
      </c>
      <c r="H6" s="94" t="s">
        <v>1</v>
      </c>
      <c r="I6" s="90" t="s">
        <v>1371</v>
      </c>
      <c r="J6" t="s">
        <v>1</v>
      </c>
      <c r="K6" s="24">
        <v>7.5</v>
      </c>
      <c r="L6" s="1" t="s">
        <v>18</v>
      </c>
      <c r="M6" s="3"/>
      <c r="N6" s="1" t="s">
        <v>1373</v>
      </c>
      <c r="O6" s="3"/>
      <c r="P6" s="4" t="s">
        <v>115</v>
      </c>
      <c r="Q6" s="4" t="s">
        <v>1374</v>
      </c>
      <c r="R6" s="4" t="s">
        <v>22</v>
      </c>
      <c r="S6" s="4" t="s">
        <v>1357</v>
      </c>
      <c r="T6" s="4" t="s">
        <v>9</v>
      </c>
      <c r="U6" s="19">
        <v>5</v>
      </c>
      <c r="V6" s="20">
        <v>0.20833333333333334</v>
      </c>
      <c r="W6" s="4" t="s">
        <v>54</v>
      </c>
      <c r="X6" s="4" t="s">
        <v>117</v>
      </c>
      <c r="Y6" s="4" t="s">
        <v>1375</v>
      </c>
      <c r="Z6" s="26" t="s">
        <v>1376</v>
      </c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</row>
    <row r="7" spans="1:56" ht="14.25">
      <c r="A7" s="3"/>
      <c r="B7" s="92" t="s">
        <v>1377</v>
      </c>
      <c r="C7" s="24">
        <f>230</f>
        <v>230</v>
      </c>
      <c r="D7" s="90" t="s">
        <v>656</v>
      </c>
      <c r="E7" s="98">
        <v>-270</v>
      </c>
      <c r="F7" s="90" t="s">
        <v>1377</v>
      </c>
      <c r="G7" s="76">
        <f>230</f>
        <v>230</v>
      </c>
      <c r="H7" s="91" t="s">
        <v>1</v>
      </c>
      <c r="I7" t="s">
        <v>656</v>
      </c>
      <c r="J7" t="s">
        <v>5</v>
      </c>
      <c r="K7" s="3"/>
      <c r="L7" s="3"/>
      <c r="M7" s="3"/>
      <c r="N7" s="3"/>
      <c r="O7" s="3"/>
      <c r="P7" s="4" t="s">
        <v>44</v>
      </c>
      <c r="Q7" s="4" t="s">
        <v>1378</v>
      </c>
      <c r="R7" s="4" t="s">
        <v>22</v>
      </c>
      <c r="S7" s="4" t="s">
        <v>1357</v>
      </c>
      <c r="T7" s="4" t="s">
        <v>61</v>
      </c>
      <c r="U7" s="19">
        <v>2</v>
      </c>
      <c r="V7" s="20">
        <v>5.4166666666666669E-2</v>
      </c>
      <c r="W7" s="4" t="s">
        <v>10</v>
      </c>
      <c r="X7" s="4" t="s">
        <v>39</v>
      </c>
      <c r="Y7" s="4" t="s">
        <v>1379</v>
      </c>
      <c r="Z7" s="26" t="s">
        <v>1380</v>
      </c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</row>
    <row r="8" spans="1:56" ht="14.25">
      <c r="A8" s="3"/>
      <c r="B8" s="1" t="s">
        <v>1359</v>
      </c>
      <c r="C8" s="24">
        <f>145</f>
        <v>145</v>
      </c>
      <c r="D8" s="1" t="s">
        <v>1381</v>
      </c>
      <c r="E8" s="24">
        <v>-170</v>
      </c>
      <c r="F8" s="1" t="s">
        <v>1381</v>
      </c>
      <c r="G8" s="24">
        <v>-170</v>
      </c>
      <c r="H8" s="2" t="s">
        <v>1</v>
      </c>
      <c r="I8" s="1" t="s">
        <v>1381</v>
      </c>
      <c r="J8" t="s">
        <v>1</v>
      </c>
      <c r="K8" s="3"/>
      <c r="L8" s="3"/>
      <c r="M8" s="3"/>
      <c r="N8" s="3"/>
      <c r="O8" s="3"/>
      <c r="P8" s="4" t="s">
        <v>207</v>
      </c>
      <c r="Q8" s="4" t="s">
        <v>1382</v>
      </c>
      <c r="R8" s="4" t="s">
        <v>8</v>
      </c>
      <c r="S8" s="4" t="s">
        <v>1357</v>
      </c>
      <c r="T8" s="4" t="s">
        <v>193</v>
      </c>
      <c r="U8" s="19">
        <v>3</v>
      </c>
      <c r="V8" s="20">
        <v>0.20833333333333334</v>
      </c>
      <c r="W8" s="4" t="s">
        <v>10</v>
      </c>
      <c r="X8" s="4" t="s">
        <v>39</v>
      </c>
      <c r="Y8" s="4" t="s">
        <v>1383</v>
      </c>
      <c r="Z8" s="26" t="s">
        <v>1384</v>
      </c>
      <c r="AA8" s="21"/>
      <c r="AB8" s="21"/>
    </row>
    <row r="9" spans="1:56" ht="14.25">
      <c r="A9" s="3"/>
      <c r="B9" s="1" t="s">
        <v>1385</v>
      </c>
      <c r="C9" s="24">
        <v>-155</v>
      </c>
      <c r="D9" s="1" t="s">
        <v>1386</v>
      </c>
      <c r="E9" s="24">
        <f>155</f>
        <v>155</v>
      </c>
      <c r="F9" s="1" t="s">
        <v>1385</v>
      </c>
      <c r="G9" s="24">
        <v>-155</v>
      </c>
      <c r="H9" s="2" t="s">
        <v>1</v>
      </c>
      <c r="I9" t="s">
        <v>13068</v>
      </c>
      <c r="J9" t="s">
        <v>13069</v>
      </c>
      <c r="K9" s="3"/>
      <c r="L9" s="3"/>
      <c r="M9" s="3"/>
      <c r="N9" s="3"/>
      <c r="O9" s="3"/>
      <c r="P9" s="4" t="s">
        <v>71</v>
      </c>
      <c r="Q9" s="4" t="s">
        <v>1387</v>
      </c>
      <c r="R9" s="4" t="s">
        <v>22</v>
      </c>
      <c r="S9" s="4" t="s">
        <v>1357</v>
      </c>
      <c r="T9" s="4" t="s">
        <v>9</v>
      </c>
      <c r="U9" s="19">
        <v>3</v>
      </c>
      <c r="V9" s="20">
        <v>0.20833333333333334</v>
      </c>
      <c r="W9" s="4" t="s">
        <v>10</v>
      </c>
      <c r="X9" s="4" t="s">
        <v>39</v>
      </c>
      <c r="Y9" s="4" t="s">
        <v>1388</v>
      </c>
      <c r="Z9" s="3"/>
    </row>
    <row r="10" spans="1:56" ht="14.25">
      <c r="A10" s="3"/>
      <c r="B10" s="1" t="s">
        <v>43</v>
      </c>
      <c r="C10" s="84">
        <f>125</f>
        <v>125</v>
      </c>
      <c r="D10" s="1" t="s">
        <v>1389</v>
      </c>
      <c r="E10" s="84">
        <v>-145</v>
      </c>
      <c r="F10" s="1" t="s">
        <v>1389</v>
      </c>
      <c r="G10" s="84">
        <v>-145</v>
      </c>
      <c r="H10" s="2" t="s">
        <v>5</v>
      </c>
      <c r="I10" t="s">
        <v>1389</v>
      </c>
      <c r="J10" t="s">
        <v>5</v>
      </c>
      <c r="K10" s="24">
        <v>7</v>
      </c>
      <c r="L10" s="1" t="s">
        <v>61</v>
      </c>
      <c r="M10" s="24">
        <v>-165</v>
      </c>
      <c r="N10" s="1"/>
      <c r="O10" s="1"/>
      <c r="P10" s="4" t="s">
        <v>94</v>
      </c>
      <c r="Q10" s="4" t="s">
        <v>1390</v>
      </c>
      <c r="R10" s="4" t="s">
        <v>22</v>
      </c>
      <c r="S10" s="4" t="s">
        <v>1357</v>
      </c>
      <c r="T10" s="4" t="s">
        <v>9</v>
      </c>
      <c r="U10" s="19">
        <v>3</v>
      </c>
      <c r="V10" s="20">
        <v>0.20833333333333334</v>
      </c>
      <c r="W10" s="4" t="s">
        <v>10</v>
      </c>
      <c r="X10" s="4" t="s">
        <v>96</v>
      </c>
      <c r="Y10" s="4" t="s">
        <v>1391</v>
      </c>
      <c r="Z10" s="26" t="s">
        <v>1392</v>
      </c>
      <c r="AA10" s="21"/>
      <c r="AB10" s="21"/>
    </row>
    <row r="11" spans="1:56" ht="14.25">
      <c r="A11" s="3"/>
      <c r="B11" s="1" t="s">
        <v>1393</v>
      </c>
      <c r="C11" s="84">
        <v>-465</v>
      </c>
      <c r="D11" s="1" t="s">
        <v>1394</v>
      </c>
      <c r="E11" s="84">
        <f>365</f>
        <v>365</v>
      </c>
      <c r="F11" s="1" t="s">
        <v>1393</v>
      </c>
      <c r="G11" s="84">
        <v>-465</v>
      </c>
      <c r="H11" s="2" t="s">
        <v>5</v>
      </c>
      <c r="I11" t="s">
        <v>1393</v>
      </c>
      <c r="J11" t="s">
        <v>5</v>
      </c>
      <c r="K11" s="24">
        <v>6.7</v>
      </c>
      <c r="L11" s="1" t="s">
        <v>61</v>
      </c>
      <c r="M11" s="24">
        <v>-150</v>
      </c>
      <c r="N11" s="1"/>
      <c r="O11" s="1"/>
      <c r="P11" s="4" t="s">
        <v>94</v>
      </c>
      <c r="Q11" s="4" t="s">
        <v>1395</v>
      </c>
      <c r="R11" s="4" t="s">
        <v>8</v>
      </c>
      <c r="S11" s="4" t="s">
        <v>1357</v>
      </c>
      <c r="T11" s="4" t="s">
        <v>61</v>
      </c>
      <c r="U11" s="19">
        <v>3</v>
      </c>
      <c r="V11" s="20">
        <v>6.1805555555555558E-2</v>
      </c>
      <c r="W11" s="4" t="s">
        <v>10</v>
      </c>
      <c r="X11" s="4" t="s">
        <v>23</v>
      </c>
      <c r="Y11" s="4" t="s">
        <v>836</v>
      </c>
      <c r="Z11" s="26" t="s">
        <v>1396</v>
      </c>
      <c r="AA11" s="21"/>
      <c r="AB11" s="21"/>
    </row>
    <row r="12" spans="1:56" ht="14.25">
      <c r="A12" s="3"/>
      <c r="B12" s="1" t="s">
        <v>1397</v>
      </c>
      <c r="C12" s="84">
        <f>200</f>
        <v>200</v>
      </c>
      <c r="D12" s="1" t="s">
        <v>1398</v>
      </c>
      <c r="E12" s="84">
        <v>-235</v>
      </c>
      <c r="F12" s="1" t="s">
        <v>1398</v>
      </c>
      <c r="G12" s="84">
        <v>-235</v>
      </c>
      <c r="H12" s="30" t="s">
        <v>122</v>
      </c>
      <c r="I12" t="s">
        <v>1398</v>
      </c>
      <c r="J12" t="s">
        <v>5</v>
      </c>
      <c r="K12" s="3"/>
      <c r="L12" s="3" t="s">
        <v>840</v>
      </c>
      <c r="M12" s="3" t="s">
        <v>1399</v>
      </c>
      <c r="N12" s="3" t="s">
        <v>446</v>
      </c>
      <c r="O12" s="3" t="s">
        <v>30</v>
      </c>
      <c r="P12" s="4" t="s">
        <v>125</v>
      </c>
      <c r="Q12" s="4" t="s">
        <v>1400</v>
      </c>
      <c r="R12" s="4" t="s">
        <v>22</v>
      </c>
      <c r="S12" s="4" t="s">
        <v>1357</v>
      </c>
      <c r="T12" s="4" t="s">
        <v>9</v>
      </c>
      <c r="U12" s="19">
        <v>5</v>
      </c>
      <c r="V12" s="20">
        <v>0.20833333333333334</v>
      </c>
      <c r="W12" s="4" t="s">
        <v>54</v>
      </c>
      <c r="X12" s="4" t="s">
        <v>96</v>
      </c>
      <c r="Y12" s="4" t="s">
        <v>1401</v>
      </c>
      <c r="Z12" s="26" t="s">
        <v>1402</v>
      </c>
      <c r="AA12" s="21"/>
      <c r="AB12" s="21"/>
    </row>
    <row r="13" spans="1:56" ht="14.25">
      <c r="A13" s="3"/>
      <c r="B13" s="1" t="s">
        <v>1403</v>
      </c>
      <c r="C13" s="84">
        <f>170</f>
        <v>170</v>
      </c>
      <c r="D13" s="1" t="s">
        <v>1404</v>
      </c>
      <c r="E13" s="84">
        <v>-200</v>
      </c>
      <c r="F13" s="1" t="s">
        <v>1404</v>
      </c>
      <c r="G13" s="84">
        <v>-200</v>
      </c>
      <c r="H13" s="2" t="s">
        <v>122</v>
      </c>
      <c r="I13" t="s">
        <v>1404</v>
      </c>
      <c r="J13" t="s">
        <v>5</v>
      </c>
      <c r="K13" s="24">
        <v>7.1</v>
      </c>
      <c r="L13" s="3" t="s">
        <v>840</v>
      </c>
      <c r="M13" s="3" t="s">
        <v>1399</v>
      </c>
      <c r="N13" s="3" t="s">
        <v>29</v>
      </c>
      <c r="O13" s="3" t="s">
        <v>30</v>
      </c>
      <c r="P13" s="4" t="s">
        <v>135</v>
      </c>
      <c r="Q13" s="4" t="s">
        <v>1405</v>
      </c>
      <c r="R13" s="4" t="s">
        <v>22</v>
      </c>
      <c r="S13" s="4" t="s">
        <v>1357</v>
      </c>
      <c r="T13" s="4" t="s">
        <v>9</v>
      </c>
      <c r="U13" s="19">
        <v>3</v>
      </c>
      <c r="V13" s="20">
        <v>0.20833333333333334</v>
      </c>
      <c r="W13" s="4" t="s">
        <v>10</v>
      </c>
      <c r="X13" s="4" t="s">
        <v>609</v>
      </c>
      <c r="Y13" s="4" t="s">
        <v>1406</v>
      </c>
      <c r="Z13" s="26" t="s">
        <v>1407</v>
      </c>
      <c r="AA13" s="21"/>
      <c r="AB13" s="21"/>
    </row>
    <row r="14" spans="1:56" ht="14.25">
      <c r="A14" s="3"/>
      <c r="B14" s="1" t="s">
        <v>1408</v>
      </c>
      <c r="C14" s="84">
        <v>-133</v>
      </c>
      <c r="D14" s="1" t="s">
        <v>1409</v>
      </c>
      <c r="E14" s="84">
        <f>113</f>
        <v>113</v>
      </c>
      <c r="F14" s="1" t="s">
        <v>1408</v>
      </c>
      <c r="G14" s="84">
        <v>-133</v>
      </c>
      <c r="H14" s="2" t="s">
        <v>122</v>
      </c>
      <c r="I14" t="s">
        <v>1408</v>
      </c>
      <c r="J14" t="s">
        <v>5</v>
      </c>
      <c r="K14" s="3" t="s">
        <v>1399</v>
      </c>
      <c r="L14" s="3" t="s">
        <v>29</v>
      </c>
      <c r="M14" s="3" t="s">
        <v>447</v>
      </c>
      <c r="N14" s="4" t="s">
        <v>135</v>
      </c>
      <c r="O14" s="4" t="s">
        <v>1410</v>
      </c>
      <c r="P14" s="4" t="s">
        <v>8</v>
      </c>
      <c r="Q14" s="4" t="s">
        <v>1357</v>
      </c>
      <c r="R14" s="4" t="s">
        <v>193</v>
      </c>
      <c r="S14" s="19">
        <v>3</v>
      </c>
      <c r="T14" s="20">
        <v>0.20833333333333334</v>
      </c>
      <c r="U14" s="4" t="s">
        <v>10</v>
      </c>
      <c r="V14" s="4" t="s">
        <v>89</v>
      </c>
      <c r="W14" s="4" t="s">
        <v>1411</v>
      </c>
      <c r="X14" s="26" t="s">
        <v>1412</v>
      </c>
      <c r="Y14" s="21"/>
      <c r="Z14" s="21"/>
    </row>
    <row r="15" spans="1:56" ht="15.75" customHeight="1">
      <c r="A15" s="3"/>
      <c r="B15" s="1" t="s">
        <v>1413</v>
      </c>
      <c r="C15" s="76">
        <f>145</f>
        <v>145</v>
      </c>
      <c r="D15" s="1" t="s">
        <v>1414</v>
      </c>
      <c r="E15" s="76">
        <v>-170</v>
      </c>
      <c r="F15" s="1" t="s">
        <v>1414</v>
      </c>
      <c r="G15" s="48">
        <v>-180</v>
      </c>
      <c r="H15" s="2" t="s">
        <v>122</v>
      </c>
      <c r="I15" t="s">
        <v>1414</v>
      </c>
      <c r="J15" t="s">
        <v>5</v>
      </c>
      <c r="K15" s="3" t="s">
        <v>1399</v>
      </c>
      <c r="L15" s="3" t="s">
        <v>29</v>
      </c>
      <c r="M15" s="3" t="s">
        <v>30</v>
      </c>
      <c r="N15" s="4" t="s">
        <v>166</v>
      </c>
      <c r="O15" s="4" t="s">
        <v>1415</v>
      </c>
      <c r="P15" s="4" t="s">
        <v>22</v>
      </c>
      <c r="Q15" s="4" t="s">
        <v>1357</v>
      </c>
      <c r="R15" s="4" t="s">
        <v>9</v>
      </c>
      <c r="S15" s="19">
        <v>3</v>
      </c>
      <c r="T15" s="20">
        <v>0.20833333333333334</v>
      </c>
      <c r="U15" s="4" t="s">
        <v>10</v>
      </c>
      <c r="V15" s="4" t="s">
        <v>615</v>
      </c>
      <c r="W15" s="4" t="s">
        <v>1416</v>
      </c>
      <c r="X15" s="26" t="s">
        <v>1417</v>
      </c>
      <c r="Y15" s="21"/>
      <c r="Z15" s="21"/>
    </row>
    <row r="16" spans="1:56" ht="14.25">
      <c r="A16" s="3"/>
      <c r="B16" s="89" t="s">
        <v>1418</v>
      </c>
      <c r="C16" s="76">
        <v>-350</v>
      </c>
      <c r="D16" s="1" t="s">
        <v>1386</v>
      </c>
      <c r="E16" s="76">
        <f>285</f>
        <v>285</v>
      </c>
      <c r="F16" s="89" t="s">
        <v>1418</v>
      </c>
      <c r="G16" s="76">
        <v>-350</v>
      </c>
      <c r="H16" s="2" t="s">
        <v>5</v>
      </c>
      <c r="I16" t="s">
        <v>1386</v>
      </c>
      <c r="J16" t="s">
        <v>5</v>
      </c>
      <c r="K16" s="3"/>
      <c r="L16" s="3"/>
      <c r="M16" s="3"/>
      <c r="N16" s="4" t="s">
        <v>311</v>
      </c>
      <c r="O16" s="4" t="s">
        <v>1419</v>
      </c>
      <c r="P16" s="4" t="s">
        <v>22</v>
      </c>
      <c r="Q16" s="4" t="s">
        <v>1357</v>
      </c>
      <c r="R16" s="4" t="s">
        <v>9</v>
      </c>
      <c r="S16" s="19">
        <v>3</v>
      </c>
      <c r="T16" s="20">
        <v>0.20833333333333334</v>
      </c>
      <c r="U16" s="4" t="s">
        <v>10</v>
      </c>
      <c r="V16" s="4" t="s">
        <v>39</v>
      </c>
      <c r="W16" s="4" t="s">
        <v>1420</v>
      </c>
      <c r="X16" s="26" t="s">
        <v>1421</v>
      </c>
      <c r="Y16" s="21"/>
      <c r="Z16" s="21"/>
    </row>
    <row r="17" spans="1:26" ht="14.25">
      <c r="A17" s="3"/>
      <c r="B17" s="1" t="s">
        <v>1422</v>
      </c>
      <c r="C17" s="76">
        <v>-101</v>
      </c>
      <c r="D17" s="1" t="s">
        <v>1423</v>
      </c>
      <c r="E17" s="76">
        <v>-119</v>
      </c>
      <c r="F17" s="1" t="s">
        <v>1422</v>
      </c>
      <c r="G17" s="76">
        <v>-101</v>
      </c>
      <c r="H17" s="2" t="s">
        <v>5</v>
      </c>
      <c r="I17" t="s">
        <v>1422</v>
      </c>
      <c r="J17" t="s">
        <v>5</v>
      </c>
      <c r="K17" s="3"/>
      <c r="L17" s="3"/>
      <c r="M17" s="3"/>
      <c r="N17" s="4" t="s">
        <v>311</v>
      </c>
      <c r="O17" s="4" t="s">
        <v>1424</v>
      </c>
      <c r="P17" s="4" t="s">
        <v>8</v>
      </c>
      <c r="Q17" s="4" t="s">
        <v>1357</v>
      </c>
      <c r="R17" s="4" t="s">
        <v>46</v>
      </c>
      <c r="S17" s="19">
        <v>3</v>
      </c>
      <c r="T17" s="20">
        <v>0.20277777777777778</v>
      </c>
      <c r="U17" s="4" t="s">
        <v>10</v>
      </c>
      <c r="V17" s="4" t="s">
        <v>499</v>
      </c>
      <c r="W17" s="4" t="s">
        <v>1425</v>
      </c>
      <c r="X17" s="26" t="s">
        <v>1426</v>
      </c>
      <c r="Y17" s="21"/>
      <c r="Z17" s="21"/>
    </row>
  </sheetData>
  <hyperlinks>
    <hyperlink ref="Z4" r:id="rId1" xr:uid="{00000000-0004-0000-0300-000000000000}"/>
    <hyperlink ref="Z5" r:id="rId2" xr:uid="{00000000-0004-0000-0300-000001000000}"/>
    <hyperlink ref="Z6" r:id="rId3" xr:uid="{00000000-0004-0000-0300-000002000000}"/>
    <hyperlink ref="Z7" r:id="rId4" xr:uid="{00000000-0004-0000-0300-000003000000}"/>
    <hyperlink ref="Z8" r:id="rId5" xr:uid="{00000000-0004-0000-0300-000004000000}"/>
    <hyperlink ref="Z10" r:id="rId6" xr:uid="{00000000-0004-0000-0300-000005000000}"/>
    <hyperlink ref="Z11" r:id="rId7" xr:uid="{00000000-0004-0000-0300-000006000000}"/>
    <hyperlink ref="Z12" r:id="rId8" xr:uid="{00000000-0004-0000-0300-000007000000}"/>
    <hyperlink ref="Z13" r:id="rId9" xr:uid="{00000000-0004-0000-0300-000008000000}"/>
    <hyperlink ref="X14" r:id="rId10" xr:uid="{00000000-0004-0000-0300-000009000000}"/>
    <hyperlink ref="X15" r:id="rId11" xr:uid="{00000000-0004-0000-0300-00000A000000}"/>
    <hyperlink ref="X16" r:id="rId12" xr:uid="{00000000-0004-0000-0300-00000B000000}"/>
    <hyperlink ref="X17" r:id="rId13" xr:uid="{00000000-0004-0000-0300-00000C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D32"/>
  <sheetViews>
    <sheetView workbookViewId="0">
      <selection activeCell="I5" sqref="I5"/>
    </sheetView>
  </sheetViews>
  <sheetFormatPr defaultColWidth="12.5703125" defaultRowHeight="15.75" customHeight="1"/>
  <sheetData>
    <row r="1" spans="1:56" ht="12.75">
      <c r="A1" s="99"/>
      <c r="B1" s="99"/>
      <c r="C1" s="100" t="s">
        <v>5</v>
      </c>
      <c r="D1" s="99"/>
      <c r="E1" s="100" t="s">
        <v>1</v>
      </c>
      <c r="F1" s="99"/>
      <c r="G1" s="101" t="s">
        <v>1519</v>
      </c>
      <c r="H1" s="99" t="s">
        <v>1520</v>
      </c>
      <c r="I1" s="99" t="s">
        <v>13066</v>
      </c>
      <c r="J1" s="99" t="s">
        <v>13067</v>
      </c>
      <c r="K1" s="99" t="s">
        <v>1521</v>
      </c>
      <c r="L1" s="99" t="s">
        <v>1522</v>
      </c>
      <c r="M1" s="99" t="s">
        <v>1523</v>
      </c>
      <c r="N1" s="99" t="s">
        <v>46</v>
      </c>
      <c r="O1" s="99"/>
      <c r="P1" s="99"/>
      <c r="Q1" s="99"/>
      <c r="R1" s="99"/>
      <c r="S1" s="99"/>
      <c r="T1" s="99"/>
      <c r="U1" s="99"/>
      <c r="V1" s="102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</row>
    <row r="2" spans="1:56" ht="12.75">
      <c r="A2" s="7"/>
      <c r="B2" s="7"/>
      <c r="C2" s="8">
        <f>COUNTIF(H3:H102, "win")</f>
        <v>25</v>
      </c>
      <c r="D2" s="7"/>
      <c r="E2" s="8">
        <f>COUNTIF(H3:H102, "loss")</f>
        <v>5</v>
      </c>
      <c r="F2" s="103" t="s">
        <v>2</v>
      </c>
      <c r="G2" s="104">
        <f>COUNTIF(H3:H102, "win") / (COUNTIF(H3:H102, "win") + COUNTIF(H3:H102, "loss"))</f>
        <v>0.83333333333333337</v>
      </c>
      <c r="H2" s="7"/>
      <c r="I2" s="7"/>
      <c r="J2" s="104">
        <f>COUNTIF(J3:J102, "Win") / (COUNTIF(J3:J102, "Win") + COUNTIF(J3:J102, "Loss"))</f>
        <v>0.9285714285714286</v>
      </c>
      <c r="K2" s="60">
        <f>COUNTIF(R2:R100, "Decision - split")</f>
        <v>0</v>
      </c>
      <c r="L2" s="60">
        <f>COUNTIF(R2:R100, "Decision - Unanimous")</f>
        <v>1</v>
      </c>
      <c r="M2" s="60">
        <f>COUNTIF(R2:R100, "Submission")</f>
        <v>1</v>
      </c>
      <c r="N2" s="60">
        <f>COUNTIF(R2:R100, "KO/TKO")</f>
        <v>2</v>
      </c>
      <c r="O2" s="7"/>
      <c r="P2" s="7"/>
      <c r="Q2" s="7"/>
      <c r="R2" s="7"/>
      <c r="S2" s="7"/>
      <c r="T2" s="7"/>
      <c r="U2" s="7"/>
      <c r="V2" s="105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</row>
    <row r="3" spans="1:56" ht="14.25">
      <c r="A3" s="3"/>
      <c r="B3" s="73" t="s">
        <v>941</v>
      </c>
      <c r="C3" s="71">
        <v>-345</v>
      </c>
      <c r="D3" s="73" t="s">
        <v>942</v>
      </c>
      <c r="E3" s="71">
        <f>345</f>
        <v>345</v>
      </c>
      <c r="F3" s="73" t="s">
        <v>941</v>
      </c>
      <c r="G3" s="71">
        <v>-345</v>
      </c>
      <c r="H3" s="2" t="s">
        <v>5</v>
      </c>
      <c r="I3" t="s">
        <v>13068</v>
      </c>
      <c r="J3" t="s">
        <v>13069</v>
      </c>
      <c r="K3" s="3"/>
      <c r="L3" s="3"/>
      <c r="M3" s="3"/>
      <c r="N3" s="3"/>
      <c r="O3" s="3"/>
      <c r="P3" s="4" t="s">
        <v>6</v>
      </c>
      <c r="Q3" s="4" t="s">
        <v>943</v>
      </c>
      <c r="R3" s="4" t="s">
        <v>8</v>
      </c>
      <c r="S3" s="4" t="s">
        <v>944</v>
      </c>
      <c r="T3" s="4" t="s">
        <v>61</v>
      </c>
      <c r="U3" s="19">
        <v>2</v>
      </c>
      <c r="V3" s="20">
        <v>8.6805555555555552E-2</v>
      </c>
      <c r="W3" s="4" t="s">
        <v>10</v>
      </c>
      <c r="X3" s="4" t="s">
        <v>39</v>
      </c>
      <c r="Y3" s="4" t="s">
        <v>62</v>
      </c>
      <c r="Z3" s="3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</row>
    <row r="4" spans="1:56" ht="14.25">
      <c r="A4" s="3"/>
      <c r="B4" s="73" t="s">
        <v>945</v>
      </c>
      <c r="C4" s="62">
        <f>230</f>
        <v>230</v>
      </c>
      <c r="D4" s="73" t="s">
        <v>946</v>
      </c>
      <c r="E4" s="62">
        <v>-270</v>
      </c>
      <c r="F4" s="73" t="s">
        <v>946</v>
      </c>
      <c r="G4" s="62">
        <v>-270</v>
      </c>
      <c r="H4" s="30" t="s">
        <v>1</v>
      </c>
      <c r="I4" t="s">
        <v>945</v>
      </c>
      <c r="J4" t="s">
        <v>5</v>
      </c>
      <c r="K4" s="24">
        <v>6.4</v>
      </c>
      <c r="L4" s="1" t="s">
        <v>46</v>
      </c>
      <c r="M4" s="3"/>
      <c r="N4" s="1" t="s">
        <v>947</v>
      </c>
      <c r="O4" s="3"/>
      <c r="P4" s="4" t="s">
        <v>115</v>
      </c>
      <c r="Q4" s="4" t="s">
        <v>948</v>
      </c>
      <c r="R4" s="4" t="s">
        <v>8</v>
      </c>
      <c r="S4" s="4" t="s">
        <v>944</v>
      </c>
      <c r="T4" s="4" t="s">
        <v>9</v>
      </c>
      <c r="U4" s="19">
        <v>3</v>
      </c>
      <c r="V4" s="20">
        <v>9.583333333333334E-2</v>
      </c>
      <c r="W4" s="4" t="s">
        <v>10</v>
      </c>
      <c r="X4" s="4" t="s">
        <v>263</v>
      </c>
      <c r="Y4" s="4" t="s">
        <v>949</v>
      </c>
      <c r="Z4" s="26" t="s">
        <v>950</v>
      </c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</row>
    <row r="5" spans="1:56" ht="14.25">
      <c r="A5" s="3"/>
      <c r="B5" s="73" t="s">
        <v>951</v>
      </c>
      <c r="C5" s="62">
        <f>199</f>
        <v>199</v>
      </c>
      <c r="D5" s="73" t="s">
        <v>952</v>
      </c>
      <c r="E5" s="62">
        <v>-234</v>
      </c>
      <c r="F5" s="73" t="s">
        <v>951</v>
      </c>
      <c r="G5" s="62">
        <f>199</f>
        <v>199</v>
      </c>
      <c r="H5" s="30" t="s">
        <v>1</v>
      </c>
      <c r="I5" t="s">
        <v>952</v>
      </c>
      <c r="J5" t="s">
        <v>5</v>
      </c>
      <c r="K5" s="24">
        <v>7.8</v>
      </c>
      <c r="L5" s="1" t="s">
        <v>61</v>
      </c>
      <c r="M5" s="3"/>
      <c r="N5" s="1" t="s">
        <v>953</v>
      </c>
      <c r="O5" s="3"/>
      <c r="P5" s="4" t="s">
        <v>115</v>
      </c>
      <c r="Q5" s="4" t="s">
        <v>954</v>
      </c>
      <c r="R5" s="4" t="s">
        <v>22</v>
      </c>
      <c r="S5" s="4" t="s">
        <v>944</v>
      </c>
      <c r="T5" s="4" t="s">
        <v>46</v>
      </c>
      <c r="U5" s="19">
        <v>2</v>
      </c>
      <c r="V5" s="20">
        <v>2.7083333333333334E-2</v>
      </c>
      <c r="W5" s="4" t="s">
        <v>10</v>
      </c>
      <c r="X5" s="4" t="s">
        <v>263</v>
      </c>
      <c r="Y5" s="4" t="s">
        <v>955</v>
      </c>
      <c r="Z5" s="26" t="s">
        <v>956</v>
      </c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</row>
    <row r="6" spans="1:56" ht="14.25">
      <c r="A6" s="3"/>
      <c r="B6" s="1" t="s">
        <v>957</v>
      </c>
      <c r="C6" s="27">
        <f>205</f>
        <v>205</v>
      </c>
      <c r="D6" s="1" t="s">
        <v>941</v>
      </c>
      <c r="E6" s="28">
        <v>-240</v>
      </c>
      <c r="F6" s="1" t="s">
        <v>941</v>
      </c>
      <c r="G6" s="27">
        <v>-240</v>
      </c>
      <c r="H6" s="2" t="s">
        <v>1</v>
      </c>
      <c r="I6" t="s">
        <v>957</v>
      </c>
      <c r="J6" t="s">
        <v>5</v>
      </c>
      <c r="K6" s="3"/>
      <c r="L6" s="3"/>
      <c r="M6" s="3"/>
      <c r="N6" s="3"/>
      <c r="O6" s="3"/>
      <c r="P6" s="4" t="s">
        <v>177</v>
      </c>
      <c r="Q6" s="4" t="s">
        <v>958</v>
      </c>
      <c r="R6" s="4" t="s">
        <v>8</v>
      </c>
      <c r="S6" s="4" t="s">
        <v>944</v>
      </c>
      <c r="T6" s="4" t="s">
        <v>9</v>
      </c>
      <c r="U6" s="19">
        <v>5</v>
      </c>
      <c r="V6" s="20">
        <v>0.20833333333333334</v>
      </c>
      <c r="W6" s="4" t="s">
        <v>54</v>
      </c>
      <c r="X6" s="4" t="s">
        <v>39</v>
      </c>
      <c r="Y6" s="4" t="s">
        <v>959</v>
      </c>
      <c r="Z6" s="26" t="s">
        <v>960</v>
      </c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</row>
    <row r="7" spans="1:56" ht="14.25">
      <c r="A7" s="3"/>
      <c r="B7" s="1" t="s">
        <v>961</v>
      </c>
      <c r="C7" s="27">
        <v>-170</v>
      </c>
      <c r="D7" s="33" t="s">
        <v>962</v>
      </c>
      <c r="E7" s="28">
        <f>145</f>
        <v>145</v>
      </c>
      <c r="F7" s="34" t="s">
        <v>962</v>
      </c>
      <c r="G7" s="27">
        <f>145</f>
        <v>145</v>
      </c>
      <c r="H7" s="2" t="s">
        <v>1</v>
      </c>
      <c r="I7" t="s">
        <v>961</v>
      </c>
      <c r="J7" t="s">
        <v>5</v>
      </c>
      <c r="K7" s="3"/>
      <c r="L7" s="3"/>
      <c r="M7" s="3"/>
      <c r="N7" s="3"/>
      <c r="O7" s="3"/>
      <c r="P7" s="4" t="s">
        <v>185</v>
      </c>
      <c r="Q7" s="4" t="s">
        <v>963</v>
      </c>
      <c r="R7" s="4" t="s">
        <v>8</v>
      </c>
      <c r="S7" s="4" t="s">
        <v>944</v>
      </c>
      <c r="T7" s="4" t="s">
        <v>193</v>
      </c>
      <c r="U7" s="19">
        <v>3</v>
      </c>
      <c r="V7" s="20">
        <v>0.20833333333333334</v>
      </c>
      <c r="W7" s="4" t="s">
        <v>10</v>
      </c>
      <c r="X7" s="4" t="s">
        <v>194</v>
      </c>
      <c r="Y7" s="4" t="s">
        <v>964</v>
      </c>
      <c r="Z7" s="26" t="s">
        <v>965</v>
      </c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</row>
    <row r="8" spans="1:56" ht="15.75" customHeight="1">
      <c r="A8" s="3"/>
      <c r="B8" s="1" t="s">
        <v>966</v>
      </c>
      <c r="C8" s="16">
        <f>105</f>
        <v>105</v>
      </c>
      <c r="D8" s="1" t="s">
        <v>967</v>
      </c>
      <c r="E8" s="17">
        <v>-125</v>
      </c>
      <c r="F8" s="1" t="s">
        <v>966</v>
      </c>
      <c r="G8" s="27">
        <f>105</f>
        <v>105</v>
      </c>
      <c r="H8" s="29" t="s">
        <v>1</v>
      </c>
      <c r="I8" t="s">
        <v>967</v>
      </c>
      <c r="J8" t="s">
        <v>5</v>
      </c>
      <c r="K8" s="3"/>
      <c r="L8" s="3"/>
      <c r="M8" s="3"/>
      <c r="N8" s="3"/>
      <c r="O8" s="3"/>
      <c r="P8" s="4" t="s">
        <v>37</v>
      </c>
      <c r="Q8" s="4" t="s">
        <v>968</v>
      </c>
      <c r="R8" s="4" t="s">
        <v>22</v>
      </c>
      <c r="S8" s="4" t="s">
        <v>944</v>
      </c>
      <c r="T8" s="4" t="s">
        <v>46</v>
      </c>
      <c r="U8" s="19">
        <v>1</v>
      </c>
      <c r="V8" s="20">
        <v>0.2048611111111111</v>
      </c>
      <c r="W8" s="4" t="s">
        <v>10</v>
      </c>
      <c r="X8" s="4" t="s">
        <v>23</v>
      </c>
      <c r="Y8" s="4" t="s">
        <v>48</v>
      </c>
      <c r="Z8" s="26" t="s">
        <v>969</v>
      </c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</row>
    <row r="9" spans="1:56" ht="14.25">
      <c r="A9" s="3"/>
      <c r="B9" s="1" t="s">
        <v>970</v>
      </c>
      <c r="C9" s="22">
        <v>-600</v>
      </c>
      <c r="D9" s="1" t="s">
        <v>652</v>
      </c>
      <c r="E9" s="23">
        <f>425</f>
        <v>425</v>
      </c>
      <c r="F9" s="1" t="s">
        <v>971</v>
      </c>
      <c r="G9" s="23">
        <v>-600</v>
      </c>
      <c r="H9" s="2" t="s">
        <v>85</v>
      </c>
      <c r="I9" t="s">
        <v>970</v>
      </c>
      <c r="J9" t="s">
        <v>5</v>
      </c>
      <c r="K9" s="24">
        <v>7.8</v>
      </c>
      <c r="L9" s="1" t="s">
        <v>18</v>
      </c>
      <c r="M9" s="24">
        <v>-175</v>
      </c>
      <c r="N9" s="1" t="s">
        <v>972</v>
      </c>
      <c r="O9" s="3"/>
      <c r="P9" s="4" t="s">
        <v>87</v>
      </c>
      <c r="Q9" s="4" t="s">
        <v>973</v>
      </c>
      <c r="R9" s="4" t="s">
        <v>8</v>
      </c>
      <c r="S9" s="4" t="s">
        <v>944</v>
      </c>
      <c r="T9" s="4" t="s">
        <v>61</v>
      </c>
      <c r="U9" s="19">
        <v>1</v>
      </c>
      <c r="V9" s="20">
        <v>3.7499999999999999E-2</v>
      </c>
      <c r="W9" s="4" t="s">
        <v>10</v>
      </c>
      <c r="X9" s="4" t="s">
        <v>788</v>
      </c>
      <c r="Y9" s="4" t="s">
        <v>974</v>
      </c>
      <c r="Z9" s="26" t="s">
        <v>975</v>
      </c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</row>
    <row r="10" spans="1:56" ht="14.25">
      <c r="A10" s="3"/>
      <c r="B10" s="1" t="s">
        <v>976</v>
      </c>
      <c r="C10" s="22">
        <f>425</f>
        <v>425</v>
      </c>
      <c r="D10" s="1" t="s">
        <v>977</v>
      </c>
      <c r="E10" s="23">
        <v>-600</v>
      </c>
      <c r="F10" s="1" t="s">
        <v>978</v>
      </c>
      <c r="G10" s="23">
        <v>-600</v>
      </c>
      <c r="H10" s="2" t="s">
        <v>85</v>
      </c>
      <c r="I10" t="s">
        <v>977</v>
      </c>
      <c r="J10" t="s">
        <v>5</v>
      </c>
      <c r="K10" s="24">
        <v>6.8</v>
      </c>
      <c r="L10" s="1" t="s">
        <v>18</v>
      </c>
      <c r="M10" s="24">
        <v>-155</v>
      </c>
      <c r="N10" s="1" t="s">
        <v>979</v>
      </c>
      <c r="O10" s="3"/>
      <c r="P10" s="4" t="s">
        <v>87</v>
      </c>
      <c r="Q10" s="4" t="s">
        <v>980</v>
      </c>
      <c r="R10" s="4" t="s">
        <v>22</v>
      </c>
      <c r="S10" s="4" t="s">
        <v>944</v>
      </c>
      <c r="T10" s="4" t="s">
        <v>46</v>
      </c>
      <c r="U10" s="19">
        <v>2</v>
      </c>
      <c r="V10" s="20">
        <v>9.0277777777777776E-2</v>
      </c>
      <c r="W10" s="4" t="s">
        <v>10</v>
      </c>
      <c r="X10" s="4" t="s">
        <v>47</v>
      </c>
      <c r="Y10" s="4" t="s">
        <v>97</v>
      </c>
      <c r="Z10" s="26" t="s">
        <v>981</v>
      </c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</row>
    <row r="11" spans="1:56" ht="14.25">
      <c r="A11" s="3"/>
      <c r="B11" s="1" t="s">
        <v>982</v>
      </c>
      <c r="C11" s="22">
        <v>-2300</v>
      </c>
      <c r="D11" s="1" t="s">
        <v>983</v>
      </c>
      <c r="E11" s="23">
        <f>1100</f>
        <v>1100</v>
      </c>
      <c r="F11" s="54" t="s">
        <v>982</v>
      </c>
      <c r="G11" s="23">
        <v>-2300</v>
      </c>
      <c r="H11" s="2" t="s">
        <v>5</v>
      </c>
      <c r="I11" t="s">
        <v>982</v>
      </c>
      <c r="J11" t="s">
        <v>5</v>
      </c>
      <c r="K11" s="24">
        <v>9</v>
      </c>
      <c r="L11" s="1" t="s">
        <v>61</v>
      </c>
      <c r="M11" s="1" t="s">
        <v>984</v>
      </c>
      <c r="N11" s="1" t="s">
        <v>985</v>
      </c>
      <c r="O11" s="3"/>
      <c r="P11" s="4" t="s">
        <v>103</v>
      </c>
      <c r="Q11" s="4" t="s">
        <v>986</v>
      </c>
      <c r="R11" s="4" t="s">
        <v>8</v>
      </c>
      <c r="S11" s="4" t="s">
        <v>944</v>
      </c>
      <c r="T11" s="4" t="s">
        <v>61</v>
      </c>
      <c r="U11" s="19">
        <v>2</v>
      </c>
      <c r="V11" s="20">
        <v>0.15138888888888888</v>
      </c>
      <c r="W11" s="4" t="s">
        <v>10</v>
      </c>
      <c r="X11" s="4" t="s">
        <v>23</v>
      </c>
      <c r="Y11" s="4" t="s">
        <v>67</v>
      </c>
      <c r="Z11" s="26" t="s">
        <v>987</v>
      </c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</row>
    <row r="12" spans="1:56" ht="14.25">
      <c r="A12" s="3"/>
      <c r="B12" s="1" t="s">
        <v>988</v>
      </c>
      <c r="C12" s="22">
        <v>-212</v>
      </c>
      <c r="D12" s="1" t="s">
        <v>961</v>
      </c>
      <c r="E12" s="23">
        <f>182</f>
        <v>182</v>
      </c>
      <c r="F12" s="54" t="s">
        <v>988</v>
      </c>
      <c r="G12" s="23">
        <v>-212</v>
      </c>
      <c r="H12" s="30" t="s">
        <v>5</v>
      </c>
      <c r="I12" t="s">
        <v>988</v>
      </c>
      <c r="J12" t="s">
        <v>5</v>
      </c>
      <c r="K12" s="24">
        <v>7.5</v>
      </c>
      <c r="L12" s="1" t="s">
        <v>18</v>
      </c>
      <c r="M12" s="3"/>
      <c r="N12" s="1" t="s">
        <v>989</v>
      </c>
      <c r="O12" s="3"/>
      <c r="P12" s="4" t="s">
        <v>79</v>
      </c>
      <c r="Q12" s="4" t="s">
        <v>990</v>
      </c>
      <c r="R12" s="4" t="s">
        <v>8</v>
      </c>
      <c r="S12" s="4" t="s">
        <v>944</v>
      </c>
      <c r="T12" s="4" t="s">
        <v>193</v>
      </c>
      <c r="U12" s="19">
        <v>5</v>
      </c>
      <c r="V12" s="20">
        <v>0.20833333333333334</v>
      </c>
      <c r="W12" s="4" t="s">
        <v>54</v>
      </c>
      <c r="X12" s="4" t="s">
        <v>39</v>
      </c>
      <c r="Y12" s="4" t="s">
        <v>991</v>
      </c>
      <c r="Z12" s="26" t="s">
        <v>992</v>
      </c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</row>
    <row r="13" spans="1:56" ht="14.25">
      <c r="A13" s="3"/>
      <c r="B13" s="1" t="s">
        <v>993</v>
      </c>
      <c r="C13" s="22">
        <v>-140</v>
      </c>
      <c r="D13" s="1" t="s">
        <v>994</v>
      </c>
      <c r="E13" s="23">
        <f>120</f>
        <v>120</v>
      </c>
      <c r="F13" s="54" t="s">
        <v>994</v>
      </c>
      <c r="G13" s="23">
        <f>120</f>
        <v>120</v>
      </c>
      <c r="H13" s="30" t="s">
        <v>5</v>
      </c>
      <c r="I13" t="s">
        <v>993</v>
      </c>
      <c r="J13" t="s">
        <v>1</v>
      </c>
      <c r="K13" s="24">
        <v>6.9</v>
      </c>
      <c r="L13" s="1" t="s">
        <v>427</v>
      </c>
      <c r="M13" s="3"/>
      <c r="N13" s="1" t="s">
        <v>995</v>
      </c>
      <c r="O13" s="3"/>
      <c r="P13" s="4" t="s">
        <v>79</v>
      </c>
      <c r="Q13" s="4" t="s">
        <v>996</v>
      </c>
      <c r="R13" s="4" t="s">
        <v>22</v>
      </c>
      <c r="S13" s="4" t="s">
        <v>944</v>
      </c>
      <c r="T13" s="4" t="s">
        <v>46</v>
      </c>
      <c r="U13" s="19">
        <v>2</v>
      </c>
      <c r="V13" s="20">
        <v>9.2361111111111116E-2</v>
      </c>
      <c r="W13" s="4" t="s">
        <v>10</v>
      </c>
      <c r="X13" s="4" t="s">
        <v>39</v>
      </c>
      <c r="Y13" s="4" t="s">
        <v>997</v>
      </c>
      <c r="Z13" s="26" t="s">
        <v>998</v>
      </c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</row>
    <row r="14" spans="1:56" ht="14.25">
      <c r="A14" s="3"/>
      <c r="B14" s="1" t="s">
        <v>999</v>
      </c>
      <c r="C14" s="22">
        <v>-250</v>
      </c>
      <c r="D14" s="1" t="s">
        <v>1000</v>
      </c>
      <c r="E14" s="23">
        <f>210</f>
        <v>210</v>
      </c>
      <c r="F14" s="1" t="s">
        <v>999</v>
      </c>
      <c r="G14" s="22">
        <v>-250</v>
      </c>
      <c r="H14" s="30" t="s">
        <v>5</v>
      </c>
      <c r="I14" t="s">
        <v>999</v>
      </c>
      <c r="J14" t="s">
        <v>5</v>
      </c>
      <c r="K14" s="24">
        <v>8.9</v>
      </c>
      <c r="L14" s="1" t="s">
        <v>61</v>
      </c>
      <c r="M14" s="3"/>
      <c r="N14" s="1" t="s">
        <v>1001</v>
      </c>
      <c r="O14" s="3"/>
      <c r="P14" s="4" t="s">
        <v>115</v>
      </c>
      <c r="Q14" s="4" t="s">
        <v>1002</v>
      </c>
      <c r="R14" s="4" t="s">
        <v>8</v>
      </c>
      <c r="S14" s="4" t="s">
        <v>944</v>
      </c>
      <c r="T14" s="4" t="s">
        <v>46</v>
      </c>
      <c r="U14" s="19">
        <v>1</v>
      </c>
      <c r="V14" s="20">
        <v>0.13750000000000001</v>
      </c>
      <c r="W14" s="4" t="s">
        <v>10</v>
      </c>
      <c r="X14" s="4" t="s">
        <v>117</v>
      </c>
      <c r="Y14" s="4" t="s">
        <v>48</v>
      </c>
      <c r="Z14" s="26" t="s">
        <v>1003</v>
      </c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</row>
    <row r="15" spans="1:56" ht="14.25">
      <c r="A15" s="3"/>
      <c r="B15" s="1" t="s">
        <v>1004</v>
      </c>
      <c r="C15" s="22">
        <v>-185</v>
      </c>
      <c r="D15" s="1" t="s">
        <v>1005</v>
      </c>
      <c r="E15" s="23">
        <f>160</f>
        <v>160</v>
      </c>
      <c r="F15" s="54" t="s">
        <v>1004</v>
      </c>
      <c r="G15" s="22">
        <v>-185</v>
      </c>
      <c r="H15" s="30" t="s">
        <v>122</v>
      </c>
      <c r="I15" t="s">
        <v>1004</v>
      </c>
      <c r="J15" t="s">
        <v>5</v>
      </c>
      <c r="K15" s="3"/>
      <c r="L15" s="3" t="s">
        <v>16</v>
      </c>
      <c r="M15" s="3" t="s">
        <v>1006</v>
      </c>
      <c r="N15" s="3" t="s">
        <v>1007</v>
      </c>
      <c r="O15" s="3" t="s">
        <v>603</v>
      </c>
      <c r="P15" s="4" t="s">
        <v>125</v>
      </c>
      <c r="Q15" s="4" t="s">
        <v>1008</v>
      </c>
      <c r="R15" s="4" t="s">
        <v>8</v>
      </c>
      <c r="S15" s="4" t="s">
        <v>944</v>
      </c>
      <c r="T15" s="4" t="s">
        <v>46</v>
      </c>
      <c r="U15" s="19">
        <v>1</v>
      </c>
      <c r="V15" s="20">
        <v>0.18958333333333333</v>
      </c>
      <c r="W15" s="4" t="s">
        <v>10</v>
      </c>
      <c r="X15" s="4" t="s">
        <v>39</v>
      </c>
      <c r="Y15" s="4" t="s">
        <v>127</v>
      </c>
      <c r="Z15" s="26" t="s">
        <v>1009</v>
      </c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</row>
    <row r="16" spans="1:56" ht="14.25">
      <c r="A16" s="3"/>
      <c r="B16" s="1" t="s">
        <v>1010</v>
      </c>
      <c r="C16" s="22">
        <v>-238</v>
      </c>
      <c r="D16" s="1" t="s">
        <v>1011</v>
      </c>
      <c r="E16" s="23">
        <f>203</f>
        <v>203</v>
      </c>
      <c r="F16" s="1" t="s">
        <v>1010</v>
      </c>
      <c r="G16" s="22">
        <v>-238</v>
      </c>
      <c r="H16" s="2" t="s">
        <v>5</v>
      </c>
      <c r="I16" t="s">
        <v>1010</v>
      </c>
      <c r="J16" t="s">
        <v>5</v>
      </c>
      <c r="K16" s="24">
        <v>7.4</v>
      </c>
      <c r="L16" s="25" t="s">
        <v>16</v>
      </c>
      <c r="M16" s="25" t="s">
        <v>1012</v>
      </c>
      <c r="N16" s="25" t="s">
        <v>1013</v>
      </c>
      <c r="O16" s="25" t="s">
        <v>1014</v>
      </c>
      <c r="P16" s="4" t="s">
        <v>20</v>
      </c>
      <c r="Q16" s="4" t="s">
        <v>1015</v>
      </c>
      <c r="R16" s="4" t="s">
        <v>8</v>
      </c>
      <c r="S16" s="4" t="s">
        <v>944</v>
      </c>
      <c r="T16" s="4" t="s">
        <v>61</v>
      </c>
      <c r="U16" s="19">
        <v>2</v>
      </c>
      <c r="V16" s="20">
        <v>0.18263888888888888</v>
      </c>
      <c r="W16" s="4" t="s">
        <v>10</v>
      </c>
      <c r="X16" s="4" t="s">
        <v>55</v>
      </c>
      <c r="Y16" s="4" t="s">
        <v>67</v>
      </c>
      <c r="Z16" s="26" t="s">
        <v>1016</v>
      </c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</row>
    <row r="17" spans="1:56" ht="14.25">
      <c r="A17" s="3"/>
      <c r="B17" s="1" t="s">
        <v>970</v>
      </c>
      <c r="C17" s="22">
        <v>-326</v>
      </c>
      <c r="D17" s="1" t="s">
        <v>1017</v>
      </c>
      <c r="E17" s="23">
        <f>251</f>
        <v>251</v>
      </c>
      <c r="F17" s="1" t="s">
        <v>970</v>
      </c>
      <c r="G17" s="23">
        <v>-326</v>
      </c>
      <c r="H17" s="2" t="s">
        <v>122</v>
      </c>
      <c r="I17" t="s">
        <v>970</v>
      </c>
      <c r="J17" t="s">
        <v>5</v>
      </c>
      <c r="K17" s="24">
        <v>7.6</v>
      </c>
      <c r="L17" s="3" t="s">
        <v>16</v>
      </c>
      <c r="M17" s="3" t="s">
        <v>1006</v>
      </c>
      <c r="N17" s="3" t="s">
        <v>1018</v>
      </c>
      <c r="O17" s="3" t="s">
        <v>1019</v>
      </c>
      <c r="P17" s="4" t="s">
        <v>135</v>
      </c>
      <c r="Q17" s="4" t="s">
        <v>1020</v>
      </c>
      <c r="R17" s="4" t="s">
        <v>8</v>
      </c>
      <c r="S17" s="4" t="s">
        <v>944</v>
      </c>
      <c r="T17" s="4" t="s">
        <v>61</v>
      </c>
      <c r="U17" s="19">
        <v>1</v>
      </c>
      <c r="V17" s="20">
        <v>4.2361111111111113E-2</v>
      </c>
      <c r="W17" s="4" t="s">
        <v>10</v>
      </c>
      <c r="X17" s="4" t="s">
        <v>226</v>
      </c>
      <c r="Y17" s="4" t="s">
        <v>67</v>
      </c>
      <c r="Z17" s="26" t="s">
        <v>1021</v>
      </c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</row>
    <row r="18" spans="1:56" ht="14.25">
      <c r="A18" s="3"/>
      <c r="B18" s="1" t="s">
        <v>1022</v>
      </c>
      <c r="C18" s="76">
        <v>-450</v>
      </c>
      <c r="D18" s="1" t="s">
        <v>1023</v>
      </c>
      <c r="E18" s="77">
        <f>350</f>
        <v>350</v>
      </c>
      <c r="F18" s="1" t="s">
        <v>1022</v>
      </c>
      <c r="G18" s="27">
        <v>-450</v>
      </c>
      <c r="H18" s="2" t="s">
        <v>5</v>
      </c>
      <c r="I18" t="s">
        <v>1022</v>
      </c>
      <c r="J18" t="s">
        <v>5</v>
      </c>
      <c r="K18" s="3"/>
      <c r="L18" s="3" t="s">
        <v>16</v>
      </c>
      <c r="M18" s="3" t="s">
        <v>1006</v>
      </c>
      <c r="N18" s="3" t="s">
        <v>29</v>
      </c>
      <c r="O18" s="3" t="s">
        <v>30</v>
      </c>
      <c r="P18" s="4" t="s">
        <v>31</v>
      </c>
      <c r="Q18" s="4" t="s">
        <v>1024</v>
      </c>
      <c r="R18" s="4" t="s">
        <v>8</v>
      </c>
      <c r="S18" s="4" t="s">
        <v>944</v>
      </c>
      <c r="T18" s="4" t="s">
        <v>9</v>
      </c>
      <c r="U18" s="19">
        <v>3</v>
      </c>
      <c r="V18" s="20">
        <v>0.20833333333333334</v>
      </c>
      <c r="W18" s="4" t="s">
        <v>10</v>
      </c>
      <c r="X18" s="4" t="s">
        <v>39</v>
      </c>
      <c r="Y18" s="4" t="s">
        <v>1025</v>
      </c>
      <c r="Z18" s="26" t="s">
        <v>1026</v>
      </c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</row>
    <row r="19" spans="1:56" ht="14.25">
      <c r="A19" s="3"/>
      <c r="B19" s="1" t="s">
        <v>1027</v>
      </c>
      <c r="C19" s="76">
        <v>-300</v>
      </c>
      <c r="D19" s="1" t="s">
        <v>1028</v>
      </c>
      <c r="E19" s="76">
        <f>250</f>
        <v>250</v>
      </c>
      <c r="F19" s="1" t="s">
        <v>1027</v>
      </c>
      <c r="G19" s="27">
        <v>-300</v>
      </c>
      <c r="H19" s="2" t="s">
        <v>5</v>
      </c>
      <c r="I19" t="s">
        <v>1027</v>
      </c>
      <c r="J19" t="s">
        <v>5</v>
      </c>
      <c r="K19" s="3"/>
      <c r="L19" s="3" t="s">
        <v>16</v>
      </c>
      <c r="M19" s="3" t="s">
        <v>1006</v>
      </c>
      <c r="N19" s="3" t="s">
        <v>1029</v>
      </c>
      <c r="O19" s="3" t="s">
        <v>1030</v>
      </c>
      <c r="P19" s="4" t="s">
        <v>31</v>
      </c>
      <c r="Q19" s="4" t="s">
        <v>1031</v>
      </c>
      <c r="R19" s="4" t="s">
        <v>8</v>
      </c>
      <c r="S19" s="4" t="s">
        <v>944</v>
      </c>
      <c r="T19" s="4" t="s">
        <v>46</v>
      </c>
      <c r="U19" s="19">
        <v>2</v>
      </c>
      <c r="V19" s="20">
        <v>8.1250000000000003E-2</v>
      </c>
      <c r="W19" s="4" t="s">
        <v>10</v>
      </c>
      <c r="X19" s="4" t="s">
        <v>39</v>
      </c>
      <c r="Y19" s="4" t="s">
        <v>258</v>
      </c>
      <c r="Z19" s="26" t="s">
        <v>1032</v>
      </c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</row>
    <row r="20" spans="1:56" ht="15.75" customHeight="1">
      <c r="A20" s="3"/>
      <c r="B20" s="1" t="s">
        <v>1033</v>
      </c>
      <c r="C20" s="76">
        <v>-225</v>
      </c>
      <c r="D20" s="1" t="s">
        <v>1034</v>
      </c>
      <c r="E20" s="76">
        <f>190</f>
        <v>190</v>
      </c>
      <c r="F20" s="1" t="s">
        <v>1033</v>
      </c>
      <c r="G20" s="31">
        <v>-230</v>
      </c>
      <c r="H20" s="2" t="s">
        <v>122</v>
      </c>
      <c r="I20" t="s">
        <v>1033</v>
      </c>
      <c r="J20" t="s">
        <v>5</v>
      </c>
      <c r="K20" s="3"/>
      <c r="L20" s="3" t="s">
        <v>16</v>
      </c>
      <c r="M20" s="3" t="s">
        <v>1006</v>
      </c>
      <c r="N20" s="3" t="s">
        <v>29</v>
      </c>
      <c r="O20" s="3" t="s">
        <v>30</v>
      </c>
      <c r="P20" s="4" t="s">
        <v>166</v>
      </c>
      <c r="Q20" s="4" t="s">
        <v>1035</v>
      </c>
      <c r="R20" s="4" t="s">
        <v>8</v>
      </c>
      <c r="S20" s="4" t="s">
        <v>944</v>
      </c>
      <c r="T20" s="4" t="s">
        <v>9</v>
      </c>
      <c r="U20" s="19">
        <v>3</v>
      </c>
      <c r="V20" s="20">
        <v>0.20833333333333334</v>
      </c>
      <c r="W20" s="4" t="s">
        <v>10</v>
      </c>
      <c r="X20" s="4" t="s">
        <v>89</v>
      </c>
      <c r="Y20" s="4" t="s">
        <v>1036</v>
      </c>
      <c r="Z20" s="26" t="s">
        <v>1037</v>
      </c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</row>
    <row r="21" spans="1:56" ht="14.25">
      <c r="A21" s="3"/>
      <c r="B21" s="1" t="s">
        <v>1038</v>
      </c>
      <c r="C21" s="76">
        <v>-210</v>
      </c>
      <c r="D21" s="1" t="s">
        <v>1039</v>
      </c>
      <c r="E21" s="76">
        <f>180</f>
        <v>180</v>
      </c>
      <c r="F21" s="1" t="s">
        <v>1038</v>
      </c>
      <c r="G21" s="27">
        <v>-210</v>
      </c>
      <c r="H21" s="2" t="s">
        <v>122</v>
      </c>
      <c r="I21" t="s">
        <v>1038</v>
      </c>
      <c r="J21" t="s">
        <v>5</v>
      </c>
      <c r="K21" s="3"/>
      <c r="L21" s="3" t="s">
        <v>16</v>
      </c>
      <c r="M21" s="3" t="s">
        <v>1006</v>
      </c>
      <c r="N21" s="3" t="s">
        <v>1040</v>
      </c>
      <c r="O21" s="3" t="s">
        <v>1041</v>
      </c>
      <c r="P21" s="4" t="s">
        <v>166</v>
      </c>
      <c r="Q21" s="4" t="s">
        <v>1042</v>
      </c>
      <c r="R21" s="4" t="s">
        <v>8</v>
      </c>
      <c r="S21" s="4" t="s">
        <v>944</v>
      </c>
      <c r="T21" s="4" t="s">
        <v>61</v>
      </c>
      <c r="U21" s="19">
        <v>2</v>
      </c>
      <c r="V21" s="20">
        <v>0.14097222222222222</v>
      </c>
      <c r="W21" s="4" t="s">
        <v>10</v>
      </c>
      <c r="X21" s="4" t="s">
        <v>96</v>
      </c>
      <c r="Y21" s="4" t="s">
        <v>67</v>
      </c>
      <c r="Z21" s="26" t="s">
        <v>1043</v>
      </c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</row>
    <row r="22" spans="1:56" ht="14.25">
      <c r="A22" s="3"/>
      <c r="B22" s="1" t="s">
        <v>1044</v>
      </c>
      <c r="C22" s="76">
        <v>-190</v>
      </c>
      <c r="D22" s="1" t="s">
        <v>652</v>
      </c>
      <c r="E22" s="76">
        <f>165</f>
        <v>165</v>
      </c>
      <c r="F22" s="1" t="s">
        <v>652</v>
      </c>
      <c r="G22" s="28">
        <f>165</f>
        <v>165</v>
      </c>
      <c r="H22" s="2" t="s">
        <v>5</v>
      </c>
      <c r="I22" t="s">
        <v>13071</v>
      </c>
      <c r="J22" t="s">
        <v>5</v>
      </c>
      <c r="K22" s="3"/>
      <c r="L22" s="3"/>
      <c r="M22" s="3"/>
      <c r="N22" s="3"/>
      <c r="O22" s="3"/>
      <c r="P22" s="4" t="s">
        <v>177</v>
      </c>
      <c r="Q22" s="4" t="s">
        <v>1045</v>
      </c>
      <c r="R22" s="4" t="s">
        <v>22</v>
      </c>
      <c r="S22" s="4" t="s">
        <v>944</v>
      </c>
      <c r="T22" s="4" t="s">
        <v>9</v>
      </c>
      <c r="U22" s="19">
        <v>3</v>
      </c>
      <c r="V22" s="20">
        <v>0.20833333333333334</v>
      </c>
      <c r="W22" s="4" t="s">
        <v>10</v>
      </c>
      <c r="X22" s="4" t="s">
        <v>89</v>
      </c>
      <c r="Y22" s="4" t="s">
        <v>1046</v>
      </c>
      <c r="Z22" s="26" t="s">
        <v>1047</v>
      </c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</row>
    <row r="23" spans="1:56" ht="14.25">
      <c r="A23" s="3"/>
      <c r="B23" s="1" t="s">
        <v>1048</v>
      </c>
      <c r="C23" s="76">
        <f>195</f>
        <v>195</v>
      </c>
      <c r="D23" s="1" t="s">
        <v>1049</v>
      </c>
      <c r="E23" s="76">
        <v>-230</v>
      </c>
      <c r="F23" s="1" t="s">
        <v>1049</v>
      </c>
      <c r="G23" s="28">
        <v>-230</v>
      </c>
      <c r="H23" s="2" t="s">
        <v>5</v>
      </c>
      <c r="I23" t="s">
        <v>1049</v>
      </c>
      <c r="J23" t="s">
        <v>5</v>
      </c>
      <c r="K23" s="3"/>
      <c r="L23" s="3"/>
      <c r="M23" s="3"/>
      <c r="N23" s="3"/>
      <c r="O23" s="3"/>
      <c r="P23" s="4" t="s">
        <v>177</v>
      </c>
      <c r="Q23" s="4" t="s">
        <v>1050</v>
      </c>
      <c r="R23" s="4" t="s">
        <v>22</v>
      </c>
      <c r="S23" s="4" t="s">
        <v>944</v>
      </c>
      <c r="T23" s="4" t="s">
        <v>46</v>
      </c>
      <c r="U23" s="19">
        <v>3</v>
      </c>
      <c r="V23" s="20">
        <v>3.8194444444444448E-2</v>
      </c>
      <c r="W23" s="4" t="s">
        <v>10</v>
      </c>
      <c r="X23" s="4" t="s">
        <v>96</v>
      </c>
      <c r="Y23" s="4" t="s">
        <v>97</v>
      </c>
      <c r="Z23" s="26" t="s">
        <v>1051</v>
      </c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</row>
    <row r="24" spans="1:56" ht="14.25">
      <c r="A24" s="3"/>
      <c r="B24" s="1" t="s">
        <v>1052</v>
      </c>
      <c r="C24" s="76">
        <v>-119</v>
      </c>
      <c r="D24" s="1" t="s">
        <v>1053</v>
      </c>
      <c r="E24" s="76">
        <v>-101</v>
      </c>
      <c r="F24" s="1" t="s">
        <v>1052</v>
      </c>
      <c r="G24" s="28">
        <v>-119</v>
      </c>
      <c r="H24" s="2" t="s">
        <v>5</v>
      </c>
      <c r="I24" t="s">
        <v>1053</v>
      </c>
      <c r="J24" t="s">
        <v>1</v>
      </c>
      <c r="K24" s="3"/>
      <c r="L24" s="3"/>
      <c r="M24" s="3"/>
      <c r="N24" s="3"/>
      <c r="O24" s="3"/>
      <c r="P24" s="4" t="s">
        <v>177</v>
      </c>
      <c r="Q24" s="4" t="s">
        <v>1054</v>
      </c>
      <c r="R24" s="4" t="s">
        <v>8</v>
      </c>
      <c r="S24" s="4" t="s">
        <v>944</v>
      </c>
      <c r="T24" s="4" t="s">
        <v>61</v>
      </c>
      <c r="U24" s="19">
        <v>1</v>
      </c>
      <c r="V24" s="20">
        <v>0.2</v>
      </c>
      <c r="W24" s="4" t="s">
        <v>10</v>
      </c>
      <c r="X24" s="4" t="s">
        <v>39</v>
      </c>
      <c r="Y24" s="4" t="s">
        <v>836</v>
      </c>
      <c r="Z24" s="26" t="s">
        <v>1055</v>
      </c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</row>
    <row r="25" spans="1:56" ht="14.25">
      <c r="A25" s="3"/>
      <c r="B25" s="1" t="s">
        <v>1056</v>
      </c>
      <c r="C25" s="76">
        <v>-159</v>
      </c>
      <c r="D25" s="1" t="s">
        <v>1057</v>
      </c>
      <c r="E25" s="76">
        <f>139</f>
        <v>139</v>
      </c>
      <c r="F25" s="1" t="s">
        <v>1056</v>
      </c>
      <c r="G25" s="28">
        <v>-159</v>
      </c>
      <c r="H25" s="2" t="s">
        <v>5</v>
      </c>
      <c r="I25" t="s">
        <v>1057</v>
      </c>
      <c r="J25" t="s">
        <v>5</v>
      </c>
      <c r="K25" s="3"/>
      <c r="L25" s="3"/>
      <c r="M25" s="3"/>
      <c r="N25" s="3"/>
      <c r="O25" s="3"/>
      <c r="P25" s="4" t="s">
        <v>311</v>
      </c>
      <c r="Q25" s="4" t="s">
        <v>1058</v>
      </c>
      <c r="R25" s="4" t="s">
        <v>22</v>
      </c>
      <c r="S25" s="4" t="s">
        <v>944</v>
      </c>
      <c r="T25" s="4" t="s">
        <v>710</v>
      </c>
      <c r="U25" s="19">
        <v>5</v>
      </c>
      <c r="V25" s="20">
        <v>0.20833333333333334</v>
      </c>
      <c r="W25" s="4" t="s">
        <v>54</v>
      </c>
      <c r="X25" s="4" t="s">
        <v>55</v>
      </c>
      <c r="Y25" s="4" t="s">
        <v>1059</v>
      </c>
      <c r="Z25" s="26" t="s">
        <v>1060</v>
      </c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</row>
    <row r="26" spans="1:56" ht="14.25">
      <c r="A26" s="3"/>
      <c r="B26" s="1" t="s">
        <v>1061</v>
      </c>
      <c r="C26" s="24">
        <v>-180</v>
      </c>
      <c r="D26" s="1" t="s">
        <v>1062</v>
      </c>
      <c r="E26" s="24">
        <f>155</f>
        <v>155</v>
      </c>
      <c r="F26" s="1" t="s">
        <v>1062</v>
      </c>
      <c r="G26" s="16">
        <f>155</f>
        <v>155</v>
      </c>
      <c r="H26" s="2" t="s">
        <v>5</v>
      </c>
      <c r="I26" t="s">
        <v>1062</v>
      </c>
      <c r="J26" t="s">
        <v>5</v>
      </c>
      <c r="K26" s="3"/>
      <c r="L26" s="3"/>
      <c r="M26" s="3"/>
      <c r="N26" s="3"/>
      <c r="O26" s="3"/>
      <c r="P26" s="4" t="s">
        <v>52</v>
      </c>
      <c r="Q26" s="4" t="s">
        <v>1063</v>
      </c>
      <c r="R26" s="4" t="s">
        <v>22</v>
      </c>
      <c r="S26" s="4" t="s">
        <v>944</v>
      </c>
      <c r="T26" s="4" t="s">
        <v>193</v>
      </c>
      <c r="U26" s="19">
        <v>3</v>
      </c>
      <c r="V26" s="20">
        <v>0.20833333333333334</v>
      </c>
      <c r="W26" s="4" t="s">
        <v>10</v>
      </c>
      <c r="X26" s="4" t="s">
        <v>23</v>
      </c>
      <c r="Y26" s="4" t="s">
        <v>1064</v>
      </c>
      <c r="Z26" s="26" t="s">
        <v>1065</v>
      </c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</row>
    <row r="27" spans="1:56" ht="14.25">
      <c r="A27" s="3"/>
      <c r="B27" s="1" t="s">
        <v>1066</v>
      </c>
      <c r="C27" s="24">
        <f>250</f>
        <v>250</v>
      </c>
      <c r="D27" s="1" t="s">
        <v>791</v>
      </c>
      <c r="E27" s="24">
        <v>-300</v>
      </c>
      <c r="F27" s="1" t="s">
        <v>791</v>
      </c>
      <c r="G27" s="17">
        <v>-300</v>
      </c>
      <c r="H27" s="2" t="s">
        <v>5</v>
      </c>
      <c r="I27" t="s">
        <v>791</v>
      </c>
      <c r="J27" t="s">
        <v>5</v>
      </c>
      <c r="K27" s="3"/>
      <c r="L27" s="3"/>
      <c r="M27" s="3"/>
      <c r="N27" s="3"/>
      <c r="O27" s="3"/>
      <c r="P27" s="4" t="s">
        <v>207</v>
      </c>
      <c r="Q27" s="4" t="s">
        <v>1067</v>
      </c>
      <c r="R27" s="4" t="s">
        <v>22</v>
      </c>
      <c r="S27" s="4" t="s">
        <v>944</v>
      </c>
      <c r="T27" s="4" t="s">
        <v>61</v>
      </c>
      <c r="U27" s="19">
        <v>2</v>
      </c>
      <c r="V27" s="20">
        <v>0.1736111111111111</v>
      </c>
      <c r="W27" s="4" t="s">
        <v>10</v>
      </c>
      <c r="X27" s="4" t="s">
        <v>73</v>
      </c>
      <c r="Y27" s="4" t="s">
        <v>67</v>
      </c>
      <c r="Z27" s="26" t="s">
        <v>1068</v>
      </c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</row>
    <row r="28" spans="1:56" ht="14.25">
      <c r="A28" s="3"/>
      <c r="B28" s="1" t="s">
        <v>1069</v>
      </c>
      <c r="C28" s="24">
        <f>195</f>
        <v>195</v>
      </c>
      <c r="D28" s="1" t="s">
        <v>983</v>
      </c>
      <c r="E28" s="24">
        <v>-230</v>
      </c>
      <c r="F28" s="1" t="s">
        <v>983</v>
      </c>
      <c r="G28" s="16">
        <v>-230</v>
      </c>
      <c r="H28" s="2" t="s">
        <v>5</v>
      </c>
      <c r="I28" t="s">
        <v>983</v>
      </c>
      <c r="J28" t="s">
        <v>5</v>
      </c>
      <c r="K28" s="3"/>
      <c r="L28" s="3"/>
      <c r="M28" s="3"/>
      <c r="N28" s="3"/>
      <c r="O28" s="3"/>
      <c r="P28" s="4" t="s">
        <v>207</v>
      </c>
      <c r="Q28" s="4" t="s">
        <v>1070</v>
      </c>
      <c r="R28" s="4" t="s">
        <v>22</v>
      </c>
      <c r="S28" s="4" t="s">
        <v>944</v>
      </c>
      <c r="T28" s="4" t="s">
        <v>46</v>
      </c>
      <c r="U28" s="19">
        <v>1</v>
      </c>
      <c r="V28" s="20">
        <v>7.5694444444444439E-2</v>
      </c>
      <c r="W28" s="4" t="s">
        <v>10</v>
      </c>
      <c r="X28" s="4" t="s">
        <v>209</v>
      </c>
      <c r="Y28" s="4" t="s">
        <v>774</v>
      </c>
      <c r="Z28" s="26" t="s">
        <v>1071</v>
      </c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</row>
    <row r="29" spans="1:56" ht="14.25">
      <c r="A29" s="3"/>
      <c r="B29" s="1" t="s">
        <v>988</v>
      </c>
      <c r="C29" s="24">
        <v>-440</v>
      </c>
      <c r="D29" s="1" t="s">
        <v>976</v>
      </c>
      <c r="E29" s="24">
        <f>440</f>
        <v>440</v>
      </c>
      <c r="F29" s="1" t="s">
        <v>988</v>
      </c>
      <c r="G29" s="78">
        <v>-440</v>
      </c>
      <c r="H29" s="2" t="s">
        <v>5</v>
      </c>
      <c r="I29" t="s">
        <v>988</v>
      </c>
      <c r="J29" t="s">
        <v>5</v>
      </c>
      <c r="K29" s="3"/>
      <c r="L29" s="3"/>
      <c r="M29" s="3"/>
      <c r="N29" s="4" t="s">
        <v>65</v>
      </c>
      <c r="O29" s="4" t="s">
        <v>1072</v>
      </c>
      <c r="P29" s="4" t="s">
        <v>8</v>
      </c>
      <c r="Q29" s="4" t="s">
        <v>944</v>
      </c>
      <c r="R29" s="4" t="s">
        <v>61</v>
      </c>
      <c r="S29" s="19">
        <v>3</v>
      </c>
      <c r="T29" s="20">
        <v>2.6388888888888889E-2</v>
      </c>
      <c r="U29" s="4" t="s">
        <v>54</v>
      </c>
      <c r="V29" s="4" t="s">
        <v>39</v>
      </c>
      <c r="W29" s="4" t="s">
        <v>67</v>
      </c>
      <c r="X29" s="26" t="s">
        <v>1073</v>
      </c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</row>
    <row r="30" spans="1:56" ht="14.25">
      <c r="A30" s="3"/>
      <c r="B30" s="1" t="s">
        <v>1074</v>
      </c>
      <c r="C30" s="24">
        <v>-500</v>
      </c>
      <c r="D30" s="1" t="s">
        <v>1027</v>
      </c>
      <c r="E30" s="24">
        <f>500</f>
        <v>500</v>
      </c>
      <c r="F30" s="1" t="s">
        <v>1027</v>
      </c>
      <c r="G30" s="79">
        <f>500</f>
        <v>500</v>
      </c>
      <c r="H30" s="2" t="s">
        <v>5</v>
      </c>
      <c r="I30" t="s">
        <v>1074</v>
      </c>
      <c r="J30" t="s">
        <v>5</v>
      </c>
      <c r="K30" s="3"/>
      <c r="L30" s="3"/>
      <c r="M30" s="3"/>
      <c r="N30" s="4" t="s">
        <v>65</v>
      </c>
      <c r="O30" s="4" t="s">
        <v>1075</v>
      </c>
      <c r="P30" s="4" t="s">
        <v>8</v>
      </c>
      <c r="Q30" s="4" t="s">
        <v>944</v>
      </c>
      <c r="R30" s="4" t="s">
        <v>46</v>
      </c>
      <c r="S30" s="19">
        <v>2</v>
      </c>
      <c r="T30" s="20">
        <v>0.18333333333333332</v>
      </c>
      <c r="U30" s="4" t="s">
        <v>10</v>
      </c>
      <c r="V30" s="4" t="s">
        <v>89</v>
      </c>
      <c r="W30" s="4" t="s">
        <v>1076</v>
      </c>
      <c r="X30" s="26" t="s">
        <v>1077</v>
      </c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</row>
    <row r="31" spans="1:56" ht="14.25">
      <c r="A31" s="3"/>
      <c r="B31" s="38" t="s">
        <v>977</v>
      </c>
      <c r="C31" s="80">
        <f>300</f>
        <v>300</v>
      </c>
      <c r="D31" s="38" t="s">
        <v>1078</v>
      </c>
      <c r="E31" s="80">
        <v>-300</v>
      </c>
      <c r="F31" s="38" t="s">
        <v>977</v>
      </c>
      <c r="G31" s="81">
        <f>300</f>
        <v>300</v>
      </c>
      <c r="H31" s="41" t="s">
        <v>5</v>
      </c>
      <c r="I31" t="s">
        <v>13068</v>
      </c>
      <c r="J31" t="s">
        <v>13069</v>
      </c>
      <c r="K31" s="3"/>
      <c r="L31" s="3"/>
      <c r="M31" s="3"/>
      <c r="N31" s="4" t="s">
        <v>231</v>
      </c>
      <c r="O31" s="4" t="s">
        <v>1079</v>
      </c>
      <c r="P31" s="4" t="s">
        <v>8</v>
      </c>
      <c r="Q31" s="4" t="s">
        <v>944</v>
      </c>
      <c r="R31" s="4" t="s">
        <v>9</v>
      </c>
      <c r="S31" s="19">
        <v>3</v>
      </c>
      <c r="T31" s="20">
        <v>0.20833333333333334</v>
      </c>
      <c r="U31" s="4" t="s">
        <v>10</v>
      </c>
      <c r="V31" s="4" t="s">
        <v>47</v>
      </c>
      <c r="W31" s="4" t="s">
        <v>1080</v>
      </c>
      <c r="X31" s="3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</row>
    <row r="32" spans="1:56" ht="14.25">
      <c r="A32" s="3"/>
      <c r="B32" s="1" t="s">
        <v>951</v>
      </c>
      <c r="C32" s="24">
        <v>-125</v>
      </c>
      <c r="D32" s="1" t="s">
        <v>970</v>
      </c>
      <c r="E32" s="24">
        <f>125</f>
        <v>125</v>
      </c>
      <c r="F32" s="1" t="s">
        <v>970</v>
      </c>
      <c r="G32" s="78">
        <v>-125</v>
      </c>
      <c r="H32" s="2" t="s">
        <v>5</v>
      </c>
      <c r="I32" t="s">
        <v>970</v>
      </c>
      <c r="J32" t="s">
        <v>5</v>
      </c>
      <c r="K32" s="3"/>
      <c r="L32" s="3"/>
      <c r="M32" s="3"/>
      <c r="N32" s="4" t="s">
        <v>71</v>
      </c>
      <c r="O32" s="4" t="s">
        <v>1081</v>
      </c>
      <c r="P32" s="4" t="s">
        <v>22</v>
      </c>
      <c r="Q32" s="4" t="s">
        <v>944</v>
      </c>
      <c r="R32" s="4" t="s">
        <v>46</v>
      </c>
      <c r="S32" s="19">
        <v>1</v>
      </c>
      <c r="T32" s="20">
        <v>4.583333333333333E-2</v>
      </c>
      <c r="U32" s="4" t="s">
        <v>10</v>
      </c>
      <c r="V32" s="4" t="s">
        <v>23</v>
      </c>
      <c r="W32" s="4" t="s">
        <v>48</v>
      </c>
      <c r="X32" s="3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</row>
  </sheetData>
  <hyperlinks>
    <hyperlink ref="Z4" r:id="rId1" xr:uid="{00000000-0004-0000-0400-000000000000}"/>
    <hyperlink ref="Z5" r:id="rId2" xr:uid="{00000000-0004-0000-0400-000001000000}"/>
    <hyperlink ref="Z6" r:id="rId3" xr:uid="{00000000-0004-0000-0400-000002000000}"/>
    <hyperlink ref="D7" r:id="rId4" xr:uid="{00000000-0004-0000-0400-000003000000}"/>
    <hyperlink ref="F7" r:id="rId5" xr:uid="{00000000-0004-0000-0400-000004000000}"/>
    <hyperlink ref="Z7" r:id="rId6" xr:uid="{00000000-0004-0000-0400-000005000000}"/>
    <hyperlink ref="Z8" r:id="rId7" xr:uid="{00000000-0004-0000-0400-000006000000}"/>
    <hyperlink ref="Z9" r:id="rId8" xr:uid="{00000000-0004-0000-0400-000007000000}"/>
    <hyperlink ref="Z10" r:id="rId9" xr:uid="{00000000-0004-0000-0400-000008000000}"/>
    <hyperlink ref="Z11" r:id="rId10" xr:uid="{00000000-0004-0000-0400-000009000000}"/>
    <hyperlink ref="Z12" r:id="rId11" xr:uid="{00000000-0004-0000-0400-00000A000000}"/>
    <hyperlink ref="Z13" r:id="rId12" xr:uid="{00000000-0004-0000-0400-00000B000000}"/>
    <hyperlink ref="Z14" r:id="rId13" xr:uid="{00000000-0004-0000-0400-00000C000000}"/>
    <hyperlink ref="Z15" r:id="rId14" xr:uid="{00000000-0004-0000-0400-00000D000000}"/>
    <hyperlink ref="Z16" r:id="rId15" xr:uid="{00000000-0004-0000-0400-00000E000000}"/>
    <hyperlink ref="Z17" r:id="rId16" xr:uid="{00000000-0004-0000-0400-00000F000000}"/>
    <hyperlink ref="Z18" r:id="rId17" xr:uid="{00000000-0004-0000-0400-000010000000}"/>
    <hyperlink ref="Z19" r:id="rId18" xr:uid="{00000000-0004-0000-0400-000011000000}"/>
    <hyperlink ref="Z20" r:id="rId19" xr:uid="{00000000-0004-0000-0400-000012000000}"/>
    <hyperlink ref="Z21" r:id="rId20" xr:uid="{00000000-0004-0000-0400-000013000000}"/>
    <hyperlink ref="Z22" r:id="rId21" xr:uid="{00000000-0004-0000-0400-000014000000}"/>
    <hyperlink ref="Z23" r:id="rId22" xr:uid="{00000000-0004-0000-0400-000015000000}"/>
    <hyperlink ref="Z24" r:id="rId23" xr:uid="{00000000-0004-0000-0400-000016000000}"/>
    <hyperlink ref="Z25" r:id="rId24" xr:uid="{00000000-0004-0000-0400-000017000000}"/>
    <hyperlink ref="Z26" r:id="rId25" xr:uid="{00000000-0004-0000-0400-000018000000}"/>
    <hyperlink ref="Z27" r:id="rId26" xr:uid="{00000000-0004-0000-0400-000019000000}"/>
    <hyperlink ref="Z28" r:id="rId27" xr:uid="{00000000-0004-0000-0400-00001A000000}"/>
    <hyperlink ref="X29" r:id="rId28" xr:uid="{00000000-0004-0000-0400-00001B000000}"/>
    <hyperlink ref="X30" r:id="rId29" xr:uid="{00000000-0004-0000-0400-00001C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D35"/>
  <sheetViews>
    <sheetView workbookViewId="0">
      <selection activeCell="K10" sqref="K10"/>
    </sheetView>
  </sheetViews>
  <sheetFormatPr defaultColWidth="12.5703125" defaultRowHeight="15.75" customHeight="1"/>
  <sheetData>
    <row r="1" spans="1:56" ht="12.75">
      <c r="A1" s="99"/>
      <c r="B1" s="99"/>
      <c r="C1" s="100" t="s">
        <v>5</v>
      </c>
      <c r="D1" s="99"/>
      <c r="E1" s="100" t="s">
        <v>1</v>
      </c>
      <c r="F1" s="99"/>
      <c r="G1" s="101" t="s">
        <v>1519</v>
      </c>
      <c r="H1" s="99" t="s">
        <v>1520</v>
      </c>
      <c r="I1" s="99" t="s">
        <v>13066</v>
      </c>
      <c r="J1" s="99" t="s">
        <v>13067</v>
      </c>
      <c r="K1" s="99" t="s">
        <v>1521</v>
      </c>
      <c r="L1" s="99" t="s">
        <v>1522</v>
      </c>
      <c r="M1" s="99" t="s">
        <v>1523</v>
      </c>
      <c r="N1" s="99" t="s">
        <v>46</v>
      </c>
      <c r="O1" s="99"/>
      <c r="P1" s="99"/>
      <c r="Q1" s="99"/>
      <c r="R1" s="99"/>
      <c r="S1" s="99"/>
      <c r="T1" s="99"/>
      <c r="U1" s="99"/>
      <c r="V1" s="102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</row>
    <row r="2" spans="1:56" ht="12.75">
      <c r="A2" s="7"/>
      <c r="B2" s="7"/>
      <c r="C2" s="8">
        <f>COUNTIF(H3:H102, "win")</f>
        <v>24</v>
      </c>
      <c r="D2" s="7"/>
      <c r="E2" s="8">
        <f>COUNTIF(H3:H102, "loss")</f>
        <v>8</v>
      </c>
      <c r="F2" s="103" t="s">
        <v>2</v>
      </c>
      <c r="G2" s="104">
        <f>COUNTIF(H3:H102, "win") / (COUNTIF(H3:H102, "win") + COUNTIF(H3:H102, "loss"))</f>
        <v>0.75</v>
      </c>
      <c r="H2" s="7"/>
      <c r="I2" s="7"/>
      <c r="J2" s="104">
        <f>COUNTIF(J3:J102, "Win") / (COUNTIF(J3:J102, "Win") + COUNTIF(J3:J102, "Loss"))</f>
        <v>0.8571428571428571</v>
      </c>
      <c r="K2" s="60">
        <f>COUNTIF(R2:R100, "Decision - split")</f>
        <v>1</v>
      </c>
      <c r="L2" s="60">
        <f>COUNTIF(R2:R100, "Decision - Unanimous")</f>
        <v>4</v>
      </c>
      <c r="M2" s="60">
        <f>COUNTIF(R2:R100, "Submission")</f>
        <v>1</v>
      </c>
      <c r="N2" s="60">
        <f>COUNTIF(R2:R100, "KO/TKO")</f>
        <v>1</v>
      </c>
      <c r="O2" s="7"/>
      <c r="P2" s="7"/>
      <c r="Q2" s="7"/>
      <c r="R2" s="7"/>
      <c r="S2" s="7"/>
      <c r="T2" s="7"/>
      <c r="U2" s="7"/>
      <c r="V2" s="105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</row>
    <row r="3" spans="1:56" ht="14.25">
      <c r="A3" s="1"/>
      <c r="B3" s="1" t="s">
        <v>3</v>
      </c>
      <c r="C3" s="16">
        <v>-108</v>
      </c>
      <c r="D3" s="1" t="s">
        <v>4</v>
      </c>
      <c r="E3" s="17">
        <f>108</f>
        <v>108</v>
      </c>
      <c r="F3" s="1" t="s">
        <v>3</v>
      </c>
      <c r="G3" s="17">
        <v>-108</v>
      </c>
      <c r="H3" s="2" t="s">
        <v>5</v>
      </c>
      <c r="I3" t="s">
        <v>13068</v>
      </c>
      <c r="J3" t="s">
        <v>13069</v>
      </c>
      <c r="K3" s="3"/>
      <c r="L3" s="3"/>
      <c r="M3" s="3"/>
      <c r="N3" s="3"/>
      <c r="O3" s="3"/>
      <c r="P3" s="4" t="s">
        <v>6</v>
      </c>
      <c r="Q3" s="4" t="s">
        <v>7</v>
      </c>
      <c r="R3" s="4" t="s">
        <v>8</v>
      </c>
      <c r="S3" s="18" t="s">
        <v>2</v>
      </c>
      <c r="T3" s="4" t="s">
        <v>9</v>
      </c>
      <c r="U3" s="19">
        <v>3</v>
      </c>
      <c r="V3" s="20">
        <v>0.20833333333333334</v>
      </c>
      <c r="W3" s="4" t="s">
        <v>10</v>
      </c>
      <c r="X3" s="4" t="s">
        <v>11</v>
      </c>
      <c r="Y3" s="4" t="s">
        <v>12</v>
      </c>
      <c r="Z3" s="3"/>
      <c r="AC3" s="21"/>
      <c r="AD3" s="21"/>
    </row>
    <row r="4" spans="1:56" ht="14.25">
      <c r="A4" s="1"/>
      <c r="B4" s="1" t="s">
        <v>13</v>
      </c>
      <c r="C4" s="22">
        <v>-158</v>
      </c>
      <c r="D4" s="1" t="s">
        <v>14</v>
      </c>
      <c r="E4" s="23">
        <f>138</f>
        <v>138</v>
      </c>
      <c r="F4" s="1" t="s">
        <v>13</v>
      </c>
      <c r="G4" s="23">
        <v>-158</v>
      </c>
      <c r="H4" s="2" t="s">
        <v>15</v>
      </c>
      <c r="I4" t="s">
        <v>14</v>
      </c>
      <c r="J4" t="s">
        <v>5</v>
      </c>
      <c r="K4" s="24">
        <v>8.5</v>
      </c>
      <c r="L4" s="25" t="s">
        <v>16</v>
      </c>
      <c r="M4" s="25" t="s">
        <v>17</v>
      </c>
      <c r="N4" s="25" t="s">
        <v>18</v>
      </c>
      <c r="O4" s="25" t="s">
        <v>19</v>
      </c>
      <c r="P4" s="4" t="s">
        <v>20</v>
      </c>
      <c r="Q4" s="4" t="s">
        <v>21</v>
      </c>
      <c r="R4" s="4" t="s">
        <v>22</v>
      </c>
      <c r="S4" s="4" t="s">
        <v>2</v>
      </c>
      <c r="T4" s="4" t="s">
        <v>9</v>
      </c>
      <c r="U4" s="19">
        <v>3</v>
      </c>
      <c r="V4" s="20">
        <v>0.20833333333333334</v>
      </c>
      <c r="W4" s="4" t="s">
        <v>10</v>
      </c>
      <c r="X4" s="4" t="s">
        <v>23</v>
      </c>
      <c r="Y4" s="4" t="s">
        <v>24</v>
      </c>
      <c r="Z4" s="26" t="s">
        <v>25</v>
      </c>
      <c r="AA4" s="21"/>
      <c r="AB4" s="21"/>
      <c r="AC4" s="21"/>
      <c r="AD4" s="21"/>
    </row>
    <row r="5" spans="1:56" ht="14.25">
      <c r="A5" s="1"/>
      <c r="B5" s="1" t="s">
        <v>26</v>
      </c>
      <c r="C5" s="27">
        <f>500</f>
        <v>500</v>
      </c>
      <c r="D5" s="1" t="s">
        <v>27</v>
      </c>
      <c r="E5" s="28">
        <v>-800</v>
      </c>
      <c r="F5" s="1" t="s">
        <v>27</v>
      </c>
      <c r="G5" s="28">
        <v>-800</v>
      </c>
      <c r="H5" s="2" t="s">
        <v>1</v>
      </c>
      <c r="I5" t="s">
        <v>26</v>
      </c>
      <c r="J5" t="s">
        <v>5</v>
      </c>
      <c r="K5" s="3"/>
      <c r="L5" s="3" t="s">
        <v>16</v>
      </c>
      <c r="M5" s="3" t="s">
        <v>28</v>
      </c>
      <c r="N5" s="3" t="s">
        <v>29</v>
      </c>
      <c r="O5" s="3" t="s">
        <v>30</v>
      </c>
      <c r="P5" s="4" t="s">
        <v>31</v>
      </c>
      <c r="Q5" s="4" t="s">
        <v>32</v>
      </c>
      <c r="R5" s="4" t="s">
        <v>8</v>
      </c>
      <c r="S5" s="4" t="s">
        <v>2</v>
      </c>
      <c r="T5" s="4" t="s">
        <v>9</v>
      </c>
      <c r="U5" s="19">
        <v>3</v>
      </c>
      <c r="V5" s="20">
        <v>0.20833333333333334</v>
      </c>
      <c r="W5" s="4" t="s">
        <v>10</v>
      </c>
      <c r="X5" s="4" t="s">
        <v>23</v>
      </c>
      <c r="Y5" s="4" t="s">
        <v>33</v>
      </c>
      <c r="Z5" s="26" t="s">
        <v>34</v>
      </c>
      <c r="AA5" s="21"/>
      <c r="AB5" s="21"/>
      <c r="AC5" s="21"/>
      <c r="AD5" s="21"/>
    </row>
    <row r="6" spans="1:56" ht="15.75" customHeight="1">
      <c r="A6" s="1"/>
      <c r="B6" s="1" t="s">
        <v>35</v>
      </c>
      <c r="C6" s="16">
        <v>-175</v>
      </c>
      <c r="D6" s="1" t="s">
        <v>36</v>
      </c>
      <c r="E6" s="17">
        <f>150</f>
        <v>150</v>
      </c>
      <c r="F6" s="1" t="s">
        <v>35</v>
      </c>
      <c r="G6" s="28">
        <v>-175</v>
      </c>
      <c r="H6" s="29" t="s">
        <v>1</v>
      </c>
      <c r="I6" s="1" t="s">
        <v>35</v>
      </c>
      <c r="J6" t="s">
        <v>1</v>
      </c>
      <c r="K6" s="3"/>
      <c r="L6" s="3"/>
      <c r="M6" s="3"/>
      <c r="N6" s="3"/>
      <c r="O6" s="3"/>
      <c r="P6" s="4" t="s">
        <v>37</v>
      </c>
      <c r="Q6" s="4" t="s">
        <v>38</v>
      </c>
      <c r="R6" s="4" t="s">
        <v>22</v>
      </c>
      <c r="S6" s="4" t="s">
        <v>2</v>
      </c>
      <c r="T6" s="4" t="s">
        <v>9</v>
      </c>
      <c r="U6" s="19">
        <v>3</v>
      </c>
      <c r="V6" s="20">
        <v>0.20833333333333334</v>
      </c>
      <c r="W6" s="4" t="s">
        <v>10</v>
      </c>
      <c r="X6" s="4" t="s">
        <v>39</v>
      </c>
      <c r="Y6" s="4" t="s">
        <v>40</v>
      </c>
      <c r="Z6" s="26" t="s">
        <v>41</v>
      </c>
      <c r="AA6" s="21"/>
      <c r="AB6" s="21"/>
      <c r="AC6" s="21"/>
      <c r="AD6" s="21"/>
    </row>
    <row r="7" spans="1:56" ht="14.25">
      <c r="A7" s="1"/>
      <c r="B7" s="1" t="s">
        <v>42</v>
      </c>
      <c r="C7" s="16">
        <v>-202</v>
      </c>
      <c r="D7" s="1" t="s">
        <v>43</v>
      </c>
      <c r="E7" s="17">
        <f>172</f>
        <v>172</v>
      </c>
      <c r="F7" s="1" t="s">
        <v>42</v>
      </c>
      <c r="G7" s="28">
        <v>-202</v>
      </c>
      <c r="H7" s="2" t="s">
        <v>1</v>
      </c>
      <c r="I7" t="s">
        <v>42</v>
      </c>
      <c r="J7" t="s">
        <v>5</v>
      </c>
      <c r="K7" s="3"/>
      <c r="L7" s="3"/>
      <c r="M7" s="3"/>
      <c r="N7" s="3"/>
      <c r="O7" s="3"/>
      <c r="P7" s="4" t="s">
        <v>44</v>
      </c>
      <c r="Q7" s="4" t="s">
        <v>45</v>
      </c>
      <c r="R7" s="4" t="s">
        <v>8</v>
      </c>
      <c r="S7" s="4" t="s">
        <v>2</v>
      </c>
      <c r="T7" s="4" t="s">
        <v>46</v>
      </c>
      <c r="U7" s="19">
        <v>1</v>
      </c>
      <c r="V7" s="20">
        <v>0.15416666666666667</v>
      </c>
      <c r="W7" s="4" t="s">
        <v>10</v>
      </c>
      <c r="X7" s="4" t="s">
        <v>47</v>
      </c>
      <c r="Y7" s="4" t="s">
        <v>48</v>
      </c>
      <c r="Z7" s="26" t="s">
        <v>49</v>
      </c>
      <c r="AA7" s="21"/>
      <c r="AB7" s="21"/>
      <c r="AC7" s="21"/>
      <c r="AD7" s="21"/>
    </row>
    <row r="8" spans="1:56" ht="14.25">
      <c r="A8" s="1"/>
      <c r="B8" s="1" t="s">
        <v>50</v>
      </c>
      <c r="C8" s="16">
        <v>-350</v>
      </c>
      <c r="D8" s="1" t="s">
        <v>51</v>
      </c>
      <c r="E8" s="17">
        <f>275</f>
        <v>275</v>
      </c>
      <c r="F8" s="1" t="s">
        <v>51</v>
      </c>
      <c r="G8" s="16">
        <f>275</f>
        <v>275</v>
      </c>
      <c r="H8" s="2" t="s">
        <v>1</v>
      </c>
      <c r="I8" s="1" t="s">
        <v>51</v>
      </c>
      <c r="J8" t="s">
        <v>1</v>
      </c>
      <c r="K8" s="3"/>
      <c r="L8" s="3"/>
      <c r="M8" s="3"/>
      <c r="N8" s="3"/>
      <c r="O8" s="3"/>
      <c r="P8" s="4" t="s">
        <v>52</v>
      </c>
      <c r="Q8" s="4" t="s">
        <v>53</v>
      </c>
      <c r="R8" s="4" t="s">
        <v>8</v>
      </c>
      <c r="S8" s="4" t="s">
        <v>2</v>
      </c>
      <c r="T8" s="4" t="s">
        <v>9</v>
      </c>
      <c r="U8" s="19">
        <v>5</v>
      </c>
      <c r="V8" s="20">
        <v>0.20833333333333334</v>
      </c>
      <c r="W8" s="4" t="s">
        <v>54</v>
      </c>
      <c r="X8" s="4" t="s">
        <v>55</v>
      </c>
      <c r="Y8" s="4" t="s">
        <v>56</v>
      </c>
      <c r="Z8" s="26" t="s">
        <v>57</v>
      </c>
      <c r="AB8" s="21"/>
      <c r="AC8" s="21"/>
      <c r="AD8" s="21"/>
    </row>
    <row r="9" spans="1:56" ht="14.25">
      <c r="A9" s="1"/>
      <c r="B9" s="1" t="s">
        <v>58</v>
      </c>
      <c r="C9" s="16">
        <v>-214</v>
      </c>
      <c r="D9" s="1" t="s">
        <v>59</v>
      </c>
      <c r="E9" s="17">
        <f>184</f>
        <v>184</v>
      </c>
      <c r="F9" s="1" t="s">
        <v>58</v>
      </c>
      <c r="G9" s="16">
        <v>-214</v>
      </c>
      <c r="H9" s="2" t="s">
        <v>1</v>
      </c>
      <c r="I9" t="s">
        <v>58</v>
      </c>
      <c r="J9" t="s">
        <v>5</v>
      </c>
      <c r="K9" s="3"/>
      <c r="L9" s="3"/>
      <c r="M9" s="3"/>
      <c r="N9" s="3"/>
      <c r="O9" s="3"/>
      <c r="P9" s="4" t="s">
        <v>52</v>
      </c>
      <c r="Q9" s="4" t="s">
        <v>60</v>
      </c>
      <c r="R9" s="4" t="s">
        <v>8</v>
      </c>
      <c r="S9" s="4" t="s">
        <v>2</v>
      </c>
      <c r="T9" s="4" t="s">
        <v>61</v>
      </c>
      <c r="U9" s="19">
        <v>1</v>
      </c>
      <c r="V9" s="20">
        <v>0.16805555555555557</v>
      </c>
      <c r="W9" s="4" t="s">
        <v>10</v>
      </c>
      <c r="X9" s="4" t="s">
        <v>55</v>
      </c>
      <c r="Y9" s="4" t="s">
        <v>62</v>
      </c>
      <c r="Z9" s="26" t="s">
        <v>63</v>
      </c>
      <c r="AA9" s="21"/>
      <c r="AB9" s="21"/>
      <c r="AC9" s="21"/>
      <c r="AD9" s="21"/>
    </row>
    <row r="10" spans="1:56" ht="14.25">
      <c r="A10" s="1"/>
      <c r="B10" s="1" t="s">
        <v>14</v>
      </c>
      <c r="C10" s="16">
        <f>175</f>
        <v>175</v>
      </c>
      <c r="D10" s="1" t="s">
        <v>64</v>
      </c>
      <c r="E10" s="17">
        <v>-175</v>
      </c>
      <c r="F10" s="1" t="s">
        <v>14</v>
      </c>
      <c r="G10" s="16">
        <f>175</f>
        <v>175</v>
      </c>
      <c r="H10" s="2" t="s">
        <v>1</v>
      </c>
      <c r="I10" t="s">
        <v>64</v>
      </c>
      <c r="J10" t="s">
        <v>5</v>
      </c>
      <c r="K10" s="3"/>
      <c r="L10" s="3"/>
      <c r="M10" s="3"/>
      <c r="N10" s="3"/>
      <c r="O10" s="3"/>
      <c r="P10" s="4" t="s">
        <v>65</v>
      </c>
      <c r="Q10" s="4" t="s">
        <v>66</v>
      </c>
      <c r="R10" s="4" t="s">
        <v>22</v>
      </c>
      <c r="S10" s="4" t="s">
        <v>2</v>
      </c>
      <c r="T10" s="4" t="s">
        <v>61</v>
      </c>
      <c r="U10" s="19">
        <v>3</v>
      </c>
      <c r="V10" s="20">
        <v>0.20069444444444445</v>
      </c>
      <c r="W10" s="4" t="s">
        <v>10</v>
      </c>
      <c r="X10" s="4" t="s">
        <v>23</v>
      </c>
      <c r="Y10" s="4" t="s">
        <v>67</v>
      </c>
      <c r="Z10" s="26" t="s">
        <v>68</v>
      </c>
      <c r="AA10" s="21"/>
      <c r="AB10" s="21"/>
      <c r="AC10" s="21"/>
      <c r="AD10" s="21"/>
    </row>
    <row r="11" spans="1:56" ht="14.25">
      <c r="A11" s="1"/>
      <c r="B11" s="1" t="s">
        <v>69</v>
      </c>
      <c r="C11" s="16">
        <v>-108</v>
      </c>
      <c r="D11" s="1" t="s">
        <v>70</v>
      </c>
      <c r="E11" s="17">
        <f>108</f>
        <v>108</v>
      </c>
      <c r="F11" s="1" t="s">
        <v>70</v>
      </c>
      <c r="G11" s="17">
        <v>-108</v>
      </c>
      <c r="H11" s="2" t="s">
        <v>1</v>
      </c>
      <c r="I11" t="s">
        <v>13068</v>
      </c>
      <c r="J11" t="s">
        <v>13070</v>
      </c>
      <c r="K11" s="3"/>
      <c r="L11" s="3"/>
      <c r="M11" s="3"/>
      <c r="N11" s="3"/>
      <c r="O11" s="3"/>
      <c r="P11" s="4" t="s">
        <v>71</v>
      </c>
      <c r="Q11" s="4" t="s">
        <v>72</v>
      </c>
      <c r="R11" s="4" t="s">
        <v>8</v>
      </c>
      <c r="S11" s="4" t="s">
        <v>2</v>
      </c>
      <c r="T11" s="4" t="s">
        <v>46</v>
      </c>
      <c r="U11" s="19">
        <v>2</v>
      </c>
      <c r="V11" s="20">
        <v>0.10138888888888889</v>
      </c>
      <c r="W11" s="4" t="s">
        <v>10</v>
      </c>
      <c r="X11" s="4" t="s">
        <v>73</v>
      </c>
      <c r="Y11" s="4" t="s">
        <v>74</v>
      </c>
      <c r="Z11" s="3"/>
      <c r="AC11" s="21"/>
      <c r="AD11" s="21"/>
    </row>
    <row r="12" spans="1:56" ht="14.25">
      <c r="A12" s="1"/>
      <c r="B12" s="1" t="s">
        <v>75</v>
      </c>
      <c r="C12" s="22">
        <v>-156</v>
      </c>
      <c r="D12" s="1" t="s">
        <v>76</v>
      </c>
      <c r="E12" s="23">
        <f>136</f>
        <v>136</v>
      </c>
      <c r="F12" s="1" t="s">
        <v>75</v>
      </c>
      <c r="G12" s="22">
        <v>-156</v>
      </c>
      <c r="H12" s="30" t="s">
        <v>77</v>
      </c>
      <c r="I12" t="s">
        <v>76</v>
      </c>
      <c r="J12" t="s">
        <v>5</v>
      </c>
      <c r="K12" s="24">
        <v>7.2</v>
      </c>
      <c r="L12" s="1" t="s">
        <v>18</v>
      </c>
      <c r="M12" s="3"/>
      <c r="N12" s="1" t="s">
        <v>78</v>
      </c>
      <c r="O12" s="3"/>
      <c r="P12" s="4" t="s">
        <v>79</v>
      </c>
      <c r="Q12" s="4" t="s">
        <v>80</v>
      </c>
      <c r="R12" s="4" t="s">
        <v>22</v>
      </c>
      <c r="S12" s="4" t="s">
        <v>2</v>
      </c>
      <c r="T12" s="4" t="s">
        <v>9</v>
      </c>
      <c r="U12" s="19">
        <v>3</v>
      </c>
      <c r="V12" s="20">
        <v>0.20833333333333334</v>
      </c>
      <c r="W12" s="4" t="s">
        <v>10</v>
      </c>
      <c r="X12" s="4" t="s">
        <v>23</v>
      </c>
      <c r="Y12" s="4" t="s">
        <v>81</v>
      </c>
      <c r="Z12" s="26" t="s">
        <v>82</v>
      </c>
      <c r="AA12" s="21"/>
      <c r="AB12" s="21"/>
      <c r="AC12" s="21"/>
      <c r="AD12" s="21"/>
    </row>
    <row r="13" spans="1:56" ht="14.25">
      <c r="A13" s="1"/>
      <c r="B13" s="1" t="s">
        <v>69</v>
      </c>
      <c r="C13" s="22">
        <v>-157</v>
      </c>
      <c r="D13" s="1" t="s">
        <v>83</v>
      </c>
      <c r="E13" s="23">
        <f>137</f>
        <v>137</v>
      </c>
      <c r="F13" s="1" t="s">
        <v>84</v>
      </c>
      <c r="G13" s="23">
        <f>137</f>
        <v>137</v>
      </c>
      <c r="H13" s="2" t="s">
        <v>85</v>
      </c>
      <c r="I13" t="s">
        <v>69</v>
      </c>
      <c r="J13" t="s">
        <v>5</v>
      </c>
      <c r="K13" s="24">
        <v>6.5</v>
      </c>
      <c r="L13" s="1" t="s">
        <v>18</v>
      </c>
      <c r="M13" s="24">
        <v>-140</v>
      </c>
      <c r="N13" s="1" t="s">
        <v>86</v>
      </c>
      <c r="O13" s="3"/>
      <c r="P13" s="4" t="s">
        <v>87</v>
      </c>
      <c r="Q13" s="4" t="s">
        <v>88</v>
      </c>
      <c r="R13" s="4" t="s">
        <v>8</v>
      </c>
      <c r="S13" s="4" t="s">
        <v>2</v>
      </c>
      <c r="T13" s="4" t="s">
        <v>9</v>
      </c>
      <c r="U13" s="19">
        <v>3</v>
      </c>
      <c r="V13" s="20">
        <v>0.20833333333333334</v>
      </c>
      <c r="W13" s="4" t="s">
        <v>10</v>
      </c>
      <c r="X13" s="4" t="s">
        <v>89</v>
      </c>
      <c r="Y13" s="4" t="s">
        <v>90</v>
      </c>
      <c r="Z13" s="26" t="s">
        <v>91</v>
      </c>
      <c r="AA13" s="21"/>
      <c r="AB13" s="21"/>
      <c r="AC13" s="21"/>
      <c r="AD13" s="21"/>
    </row>
    <row r="14" spans="1:56" ht="14.25">
      <c r="A14" s="1"/>
      <c r="B14" s="1" t="s">
        <v>92</v>
      </c>
      <c r="C14" s="22">
        <f>355</f>
        <v>355</v>
      </c>
      <c r="D14" s="1" t="s">
        <v>93</v>
      </c>
      <c r="E14" s="23">
        <v>-455</v>
      </c>
      <c r="F14" s="1" t="s">
        <v>93</v>
      </c>
      <c r="G14" s="23">
        <v>-455</v>
      </c>
      <c r="H14" s="2" t="s">
        <v>5</v>
      </c>
      <c r="I14" t="s">
        <v>93</v>
      </c>
      <c r="J14" t="s">
        <v>5</v>
      </c>
      <c r="K14" s="24">
        <v>6.9</v>
      </c>
      <c r="L14" s="1" t="s">
        <v>18</v>
      </c>
      <c r="M14" s="24">
        <v>-145</v>
      </c>
      <c r="N14" s="1"/>
      <c r="O14" s="1"/>
      <c r="P14" s="4" t="s">
        <v>94</v>
      </c>
      <c r="Q14" s="4" t="s">
        <v>95</v>
      </c>
      <c r="R14" s="4" t="s">
        <v>22</v>
      </c>
      <c r="S14" s="4" t="s">
        <v>2</v>
      </c>
      <c r="T14" s="4" t="s">
        <v>46</v>
      </c>
      <c r="U14" s="19">
        <v>3</v>
      </c>
      <c r="V14" s="20">
        <v>0.10833333333333334</v>
      </c>
      <c r="W14" s="4" t="s">
        <v>10</v>
      </c>
      <c r="X14" s="4" t="s">
        <v>96</v>
      </c>
      <c r="Y14" s="4" t="s">
        <v>97</v>
      </c>
      <c r="Z14" s="26" t="s">
        <v>98</v>
      </c>
      <c r="AA14" s="21"/>
      <c r="AB14" s="21"/>
      <c r="AD14" s="21"/>
    </row>
    <row r="15" spans="1:56" ht="14.25">
      <c r="A15" s="1"/>
      <c r="B15" s="1" t="s">
        <v>99</v>
      </c>
      <c r="C15" s="22">
        <v>-300</v>
      </c>
      <c r="D15" s="1" t="s">
        <v>100</v>
      </c>
      <c r="E15" s="23">
        <f>250</f>
        <v>250</v>
      </c>
      <c r="F15" s="1" t="s">
        <v>99</v>
      </c>
      <c r="G15" s="22">
        <v>-300</v>
      </c>
      <c r="H15" s="2" t="s">
        <v>5</v>
      </c>
      <c r="I15" t="s">
        <v>99</v>
      </c>
      <c r="J15" t="s">
        <v>5</v>
      </c>
      <c r="K15" s="24">
        <v>7</v>
      </c>
      <c r="L15" s="1" t="s">
        <v>46</v>
      </c>
      <c r="M15" s="1" t="s">
        <v>101</v>
      </c>
      <c r="N15" s="1" t="s">
        <v>102</v>
      </c>
      <c r="O15" s="3"/>
      <c r="P15" s="4" t="s">
        <v>103</v>
      </c>
      <c r="Q15" s="4" t="s">
        <v>104</v>
      </c>
      <c r="R15" s="4" t="s">
        <v>8</v>
      </c>
      <c r="S15" s="4" t="s">
        <v>2</v>
      </c>
      <c r="T15" s="4" t="s">
        <v>61</v>
      </c>
      <c r="U15" s="19">
        <v>2</v>
      </c>
      <c r="V15" s="20">
        <v>0.16805555555555557</v>
      </c>
      <c r="W15" s="4" t="s">
        <v>10</v>
      </c>
      <c r="X15" s="4" t="s">
        <v>39</v>
      </c>
      <c r="Y15" s="4" t="s">
        <v>67</v>
      </c>
      <c r="Z15" s="26" t="s">
        <v>105</v>
      </c>
      <c r="AA15" s="21"/>
      <c r="AB15" s="21"/>
      <c r="AC15" s="21"/>
    </row>
    <row r="16" spans="1:56" ht="14.25">
      <c r="A16" s="3"/>
      <c r="B16" s="1" t="s">
        <v>106</v>
      </c>
      <c r="C16" s="22">
        <f>158</f>
        <v>158</v>
      </c>
      <c r="D16" s="1" t="s">
        <v>107</v>
      </c>
      <c r="E16" s="23">
        <v>-183</v>
      </c>
      <c r="F16" s="1" t="s">
        <v>107</v>
      </c>
      <c r="G16" s="22">
        <v>-183</v>
      </c>
      <c r="H16" s="30" t="s">
        <v>5</v>
      </c>
      <c r="I16" t="s">
        <v>107</v>
      </c>
      <c r="J16" t="s">
        <v>5</v>
      </c>
      <c r="K16" s="24">
        <v>7.5</v>
      </c>
      <c r="L16" s="1" t="s">
        <v>61</v>
      </c>
      <c r="M16" s="3"/>
      <c r="N16" s="1" t="s">
        <v>108</v>
      </c>
      <c r="O16" s="3"/>
      <c r="P16" s="4" t="s">
        <v>79</v>
      </c>
      <c r="Q16" s="4" t="s">
        <v>109</v>
      </c>
      <c r="R16" s="4" t="s">
        <v>22</v>
      </c>
      <c r="S16" s="4" t="s">
        <v>2</v>
      </c>
      <c r="T16" s="4" t="s">
        <v>61</v>
      </c>
      <c r="U16" s="19">
        <v>2</v>
      </c>
      <c r="V16" s="20">
        <v>0.2076388888888889</v>
      </c>
      <c r="W16" s="4" t="s">
        <v>10</v>
      </c>
      <c r="X16" s="4" t="s">
        <v>96</v>
      </c>
      <c r="Y16" s="4" t="s">
        <v>110</v>
      </c>
      <c r="Z16" s="26" t="s">
        <v>111</v>
      </c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</row>
    <row r="17" spans="1:56" ht="14.25">
      <c r="A17" s="3"/>
      <c r="B17" s="1" t="s">
        <v>112</v>
      </c>
      <c r="C17" s="22">
        <f>285</f>
        <v>285</v>
      </c>
      <c r="D17" s="1" t="s">
        <v>113</v>
      </c>
      <c r="E17" s="23">
        <v>-350</v>
      </c>
      <c r="F17" s="1" t="s">
        <v>113</v>
      </c>
      <c r="G17" s="23">
        <v>-350</v>
      </c>
      <c r="H17" s="30" t="s">
        <v>5</v>
      </c>
      <c r="I17" t="s">
        <v>113</v>
      </c>
      <c r="J17" t="s">
        <v>5</v>
      </c>
      <c r="K17" s="24">
        <v>6.5</v>
      </c>
      <c r="L17" s="1" t="s">
        <v>18</v>
      </c>
      <c r="M17" s="3"/>
      <c r="N17" s="1" t="s">
        <v>114</v>
      </c>
      <c r="O17" s="3"/>
      <c r="P17" s="4" t="s">
        <v>115</v>
      </c>
      <c r="Q17" s="4" t="s">
        <v>116</v>
      </c>
      <c r="R17" s="4" t="s">
        <v>22</v>
      </c>
      <c r="S17" s="4" t="s">
        <v>2</v>
      </c>
      <c r="T17" s="4" t="s">
        <v>9</v>
      </c>
      <c r="U17" s="19">
        <v>3</v>
      </c>
      <c r="V17" s="20">
        <v>0.20833333333333334</v>
      </c>
      <c r="W17" s="4" t="s">
        <v>10</v>
      </c>
      <c r="X17" s="4" t="s">
        <v>117</v>
      </c>
      <c r="Y17" s="4" t="s">
        <v>118</v>
      </c>
      <c r="Z17" s="26" t="s">
        <v>119</v>
      </c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</row>
    <row r="18" spans="1:56" ht="14.25">
      <c r="A18" s="3"/>
      <c r="B18" s="1" t="s">
        <v>120</v>
      </c>
      <c r="C18" s="22">
        <v>-150</v>
      </c>
      <c r="D18" s="1" t="s">
        <v>121</v>
      </c>
      <c r="E18" s="23">
        <f t="shared" ref="E18:E19" si="0">130</f>
        <v>130</v>
      </c>
      <c r="F18" s="1" t="s">
        <v>120</v>
      </c>
      <c r="G18" s="23">
        <v>-150</v>
      </c>
      <c r="H18" s="30" t="s">
        <v>122</v>
      </c>
      <c r="I18" t="s">
        <v>120</v>
      </c>
      <c r="J18" t="s">
        <v>5</v>
      </c>
      <c r="K18" s="3"/>
      <c r="L18" s="3" t="s">
        <v>16</v>
      </c>
      <c r="M18" s="3" t="s">
        <v>28</v>
      </c>
      <c r="N18" s="3" t="s">
        <v>123</v>
      </c>
      <c r="O18" s="3" t="s">
        <v>124</v>
      </c>
      <c r="P18" s="4" t="s">
        <v>125</v>
      </c>
      <c r="Q18" s="4" t="s">
        <v>126</v>
      </c>
      <c r="R18" s="4" t="s">
        <v>8</v>
      </c>
      <c r="S18" s="4" t="s">
        <v>2</v>
      </c>
      <c r="T18" s="4" t="s">
        <v>46</v>
      </c>
      <c r="U18" s="19">
        <v>2</v>
      </c>
      <c r="V18" s="20">
        <v>1.4583333333333334E-2</v>
      </c>
      <c r="W18" s="4" t="s">
        <v>10</v>
      </c>
      <c r="X18" s="4" t="s">
        <v>23</v>
      </c>
      <c r="Y18" s="4" t="s">
        <v>127</v>
      </c>
      <c r="Z18" s="26" t="s">
        <v>128</v>
      </c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</row>
    <row r="19" spans="1:56" ht="14.25">
      <c r="A19" s="3"/>
      <c r="B19" s="1" t="s">
        <v>129</v>
      </c>
      <c r="C19" s="22">
        <v>-150</v>
      </c>
      <c r="D19" s="1" t="s">
        <v>130</v>
      </c>
      <c r="E19" s="23">
        <f t="shared" si="0"/>
        <v>130</v>
      </c>
      <c r="F19" s="1" t="s">
        <v>129</v>
      </c>
      <c r="G19" s="22">
        <v>-150</v>
      </c>
      <c r="H19" s="30" t="s">
        <v>122</v>
      </c>
      <c r="I19" t="s">
        <v>129</v>
      </c>
      <c r="J19" t="s">
        <v>5</v>
      </c>
      <c r="K19" s="3"/>
      <c r="L19" s="3" t="s">
        <v>16</v>
      </c>
      <c r="M19" s="3" t="s">
        <v>28</v>
      </c>
      <c r="N19" s="3" t="s">
        <v>29</v>
      </c>
      <c r="O19" s="3" t="s">
        <v>30</v>
      </c>
      <c r="P19" s="4" t="s">
        <v>125</v>
      </c>
      <c r="Q19" s="4" t="s">
        <v>131</v>
      </c>
      <c r="R19" s="4" t="s">
        <v>8</v>
      </c>
      <c r="S19" s="4" t="s">
        <v>2</v>
      </c>
      <c r="T19" s="4" t="s">
        <v>9</v>
      </c>
      <c r="U19" s="19">
        <v>3</v>
      </c>
      <c r="V19" s="20">
        <v>0.20833333333333334</v>
      </c>
      <c r="W19" s="4" t="s">
        <v>10</v>
      </c>
      <c r="X19" s="4" t="s">
        <v>55</v>
      </c>
      <c r="Y19" s="4" t="s">
        <v>132</v>
      </c>
      <c r="Z19" s="26" t="s">
        <v>133</v>
      </c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</row>
    <row r="20" spans="1:56" ht="14.25">
      <c r="A20" s="3"/>
      <c r="B20" s="1" t="s">
        <v>134</v>
      </c>
      <c r="C20" s="22">
        <v>-113</v>
      </c>
      <c r="D20" s="1" t="s">
        <v>50</v>
      </c>
      <c r="E20" s="23">
        <v>-107</v>
      </c>
      <c r="F20" s="1" t="s">
        <v>134</v>
      </c>
      <c r="G20" s="23">
        <v>-113</v>
      </c>
      <c r="H20" s="2" t="s">
        <v>122</v>
      </c>
      <c r="I20" t="s">
        <v>134</v>
      </c>
      <c r="J20" t="s">
        <v>5</v>
      </c>
      <c r="K20" s="24">
        <v>8</v>
      </c>
      <c r="L20" s="3" t="s">
        <v>16</v>
      </c>
      <c r="M20" s="3" t="s">
        <v>28</v>
      </c>
      <c r="N20" s="3" t="s">
        <v>29</v>
      </c>
      <c r="O20" s="3" t="s">
        <v>30</v>
      </c>
      <c r="P20" s="4" t="s">
        <v>135</v>
      </c>
      <c r="Q20" s="4" t="s">
        <v>136</v>
      </c>
      <c r="R20" s="4" t="s">
        <v>8</v>
      </c>
      <c r="S20" s="4" t="s">
        <v>2</v>
      </c>
      <c r="T20" s="4" t="s">
        <v>9</v>
      </c>
      <c r="U20" s="19">
        <v>3</v>
      </c>
      <c r="V20" s="20">
        <v>0.20833333333333334</v>
      </c>
      <c r="W20" s="4" t="s">
        <v>10</v>
      </c>
      <c r="X20" s="4" t="s">
        <v>11</v>
      </c>
      <c r="Y20" s="4" t="s">
        <v>137</v>
      </c>
      <c r="Z20" s="26" t="s">
        <v>138</v>
      </c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</row>
    <row r="21" spans="1:56" ht="14.25">
      <c r="A21" s="3"/>
      <c r="B21" s="1" t="s">
        <v>139</v>
      </c>
      <c r="C21" s="22">
        <f>180</f>
        <v>180</v>
      </c>
      <c r="D21" s="1" t="s">
        <v>140</v>
      </c>
      <c r="E21" s="23">
        <v>-210</v>
      </c>
      <c r="F21" s="1" t="s">
        <v>140</v>
      </c>
      <c r="G21" s="22">
        <v>-210</v>
      </c>
      <c r="H21" s="2" t="s">
        <v>122</v>
      </c>
      <c r="I21" t="s">
        <v>140</v>
      </c>
      <c r="J21" t="s">
        <v>5</v>
      </c>
      <c r="K21" s="24">
        <v>7.3</v>
      </c>
      <c r="L21" s="3" t="s">
        <v>16</v>
      </c>
      <c r="M21" s="3" t="s">
        <v>28</v>
      </c>
      <c r="N21" s="3" t="s">
        <v>29</v>
      </c>
      <c r="O21" s="3" t="s">
        <v>30</v>
      </c>
      <c r="P21" s="4" t="s">
        <v>135</v>
      </c>
      <c r="Q21" s="4" t="s">
        <v>141</v>
      </c>
      <c r="R21" s="4" t="s">
        <v>22</v>
      </c>
      <c r="S21" s="4" t="s">
        <v>2</v>
      </c>
      <c r="T21" s="4" t="s">
        <v>9</v>
      </c>
      <c r="U21" s="19">
        <v>3</v>
      </c>
      <c r="V21" s="20">
        <v>0.20833333333333334</v>
      </c>
      <c r="W21" s="4" t="s">
        <v>10</v>
      </c>
      <c r="X21" s="4" t="s">
        <v>11</v>
      </c>
      <c r="Y21" s="4" t="s">
        <v>142</v>
      </c>
      <c r="Z21" s="26" t="s">
        <v>143</v>
      </c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</row>
    <row r="22" spans="1:56" ht="14.25">
      <c r="A22" s="3"/>
      <c r="B22" s="1" t="s">
        <v>144</v>
      </c>
      <c r="C22" s="27">
        <v>-1000</v>
      </c>
      <c r="D22" s="1" t="s">
        <v>145</v>
      </c>
      <c r="E22" s="28">
        <f>700</f>
        <v>700</v>
      </c>
      <c r="F22" s="1" t="s">
        <v>144</v>
      </c>
      <c r="G22" s="28">
        <v>-1000</v>
      </c>
      <c r="H22" s="2" t="s">
        <v>5</v>
      </c>
      <c r="I22" t="s">
        <v>13068</v>
      </c>
      <c r="J22" t="s">
        <v>13069</v>
      </c>
      <c r="K22" s="3"/>
      <c r="L22" s="3" t="s">
        <v>16</v>
      </c>
      <c r="M22" s="3" t="s">
        <v>28</v>
      </c>
      <c r="N22" s="3" t="s">
        <v>29</v>
      </c>
      <c r="O22" s="3" t="s">
        <v>30</v>
      </c>
      <c r="P22" s="4" t="s">
        <v>31</v>
      </c>
      <c r="Q22" s="4" t="s">
        <v>146</v>
      </c>
      <c r="R22" s="4" t="s">
        <v>8</v>
      </c>
      <c r="S22" s="4" t="s">
        <v>2</v>
      </c>
      <c r="T22" s="4" t="s">
        <v>9</v>
      </c>
      <c r="U22" s="19">
        <v>3</v>
      </c>
      <c r="V22" s="20">
        <v>0.20833333333333334</v>
      </c>
      <c r="W22" s="4" t="s">
        <v>10</v>
      </c>
      <c r="X22" s="4" t="s">
        <v>47</v>
      </c>
      <c r="Y22" s="4" t="s">
        <v>147</v>
      </c>
      <c r="Z22" s="26" t="s">
        <v>148</v>
      </c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</row>
    <row r="23" spans="1:56" ht="14.25">
      <c r="A23" s="3"/>
      <c r="B23" s="1" t="s">
        <v>149</v>
      </c>
      <c r="C23" s="27">
        <v>-144</v>
      </c>
      <c r="D23" s="1" t="s">
        <v>150</v>
      </c>
      <c r="E23" s="28">
        <f>124</f>
        <v>124</v>
      </c>
      <c r="F23" s="1" t="s">
        <v>149</v>
      </c>
      <c r="G23" s="28">
        <v>-144</v>
      </c>
      <c r="H23" s="2" t="s">
        <v>5</v>
      </c>
      <c r="I23" t="s">
        <v>13068</v>
      </c>
      <c r="J23" t="s">
        <v>13069</v>
      </c>
      <c r="K23" s="3"/>
      <c r="L23" s="3" t="s">
        <v>16</v>
      </c>
      <c r="M23" s="3" t="s">
        <v>28</v>
      </c>
      <c r="N23" s="3" t="s">
        <v>151</v>
      </c>
      <c r="O23" s="3" t="s">
        <v>152</v>
      </c>
      <c r="P23" s="4" t="s">
        <v>31</v>
      </c>
      <c r="Q23" s="4" t="s">
        <v>153</v>
      </c>
      <c r="R23" s="4" t="s">
        <v>8</v>
      </c>
      <c r="S23" s="4" t="s">
        <v>2</v>
      </c>
      <c r="T23" s="4" t="s">
        <v>46</v>
      </c>
      <c r="U23" s="19">
        <v>3</v>
      </c>
      <c r="V23" s="20">
        <v>0.19513888888888889</v>
      </c>
      <c r="W23" s="4" t="s">
        <v>10</v>
      </c>
      <c r="X23" s="4" t="s">
        <v>11</v>
      </c>
      <c r="Y23" s="4" t="s">
        <v>154</v>
      </c>
      <c r="Z23" s="26" t="s">
        <v>155</v>
      </c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</row>
    <row r="24" spans="1:56" ht="14.25">
      <c r="A24" s="3"/>
      <c r="B24" s="1" t="s">
        <v>156</v>
      </c>
      <c r="C24" s="27">
        <f>165</f>
        <v>165</v>
      </c>
      <c r="D24" s="1" t="s">
        <v>157</v>
      </c>
      <c r="E24" s="28">
        <v>-190</v>
      </c>
      <c r="F24" s="1" t="s">
        <v>157</v>
      </c>
      <c r="G24" s="28">
        <v>-190</v>
      </c>
      <c r="H24" s="2" t="s">
        <v>122</v>
      </c>
      <c r="I24" t="s">
        <v>156</v>
      </c>
      <c r="J24" t="s">
        <v>1</v>
      </c>
      <c r="K24" s="3"/>
      <c r="L24" s="3" t="s">
        <v>16</v>
      </c>
      <c r="M24" s="3" t="s">
        <v>28</v>
      </c>
      <c r="N24" s="3" t="s">
        <v>158</v>
      </c>
      <c r="O24" s="3" t="s">
        <v>159</v>
      </c>
      <c r="P24" s="4" t="s">
        <v>160</v>
      </c>
      <c r="Q24" s="4" t="s">
        <v>161</v>
      </c>
      <c r="R24" s="4" t="s">
        <v>22</v>
      </c>
      <c r="S24" s="4" t="s">
        <v>2</v>
      </c>
      <c r="T24" s="4" t="s">
        <v>61</v>
      </c>
      <c r="U24" s="19">
        <v>3</v>
      </c>
      <c r="V24" s="20">
        <v>8.611111111111111E-2</v>
      </c>
      <c r="W24" s="4" t="s">
        <v>10</v>
      </c>
      <c r="X24" s="4" t="s">
        <v>162</v>
      </c>
      <c r="Y24" s="4" t="s">
        <v>67</v>
      </c>
      <c r="Z24" s="26" t="s">
        <v>163</v>
      </c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</row>
    <row r="25" spans="1:56" ht="15">
      <c r="A25" s="3"/>
      <c r="B25" s="1" t="s">
        <v>164</v>
      </c>
      <c r="C25" s="27">
        <v>-210</v>
      </c>
      <c r="D25" s="1" t="s">
        <v>165</v>
      </c>
      <c r="E25" s="28">
        <f>180</f>
        <v>180</v>
      </c>
      <c r="F25" s="1" t="s">
        <v>164</v>
      </c>
      <c r="G25" s="31">
        <v>-240</v>
      </c>
      <c r="H25" s="2" t="s">
        <v>122</v>
      </c>
      <c r="I25" t="s">
        <v>164</v>
      </c>
      <c r="J25" t="s">
        <v>5</v>
      </c>
      <c r="K25" s="3"/>
      <c r="L25" s="3" t="s">
        <v>16</v>
      </c>
      <c r="M25" s="3" t="s">
        <v>28</v>
      </c>
      <c r="N25" s="3" t="s">
        <v>29</v>
      </c>
      <c r="O25" s="3" t="s">
        <v>30</v>
      </c>
      <c r="P25" s="4" t="s">
        <v>166</v>
      </c>
      <c r="Q25" s="4" t="s">
        <v>167</v>
      </c>
      <c r="R25" s="4" t="s">
        <v>8</v>
      </c>
      <c r="S25" s="4" t="s">
        <v>2</v>
      </c>
      <c r="T25" s="4" t="s">
        <v>9</v>
      </c>
      <c r="U25" s="19">
        <v>3</v>
      </c>
      <c r="V25" s="20">
        <v>0.20833333333333334</v>
      </c>
      <c r="W25" s="4" t="s">
        <v>10</v>
      </c>
      <c r="X25" s="4" t="s">
        <v>168</v>
      </c>
      <c r="Y25" s="4" t="s">
        <v>169</v>
      </c>
      <c r="Z25" s="26" t="s">
        <v>170</v>
      </c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</row>
    <row r="26" spans="1:56" ht="15">
      <c r="A26" s="3"/>
      <c r="B26" s="1" t="s">
        <v>171</v>
      </c>
      <c r="C26" s="27">
        <v>-1000</v>
      </c>
      <c r="D26" s="1" t="s">
        <v>172</v>
      </c>
      <c r="E26" s="28">
        <f>700</f>
        <v>700</v>
      </c>
      <c r="F26" s="1" t="s">
        <v>171</v>
      </c>
      <c r="G26" s="32">
        <v>-1400</v>
      </c>
      <c r="H26" s="2" t="s">
        <v>122</v>
      </c>
      <c r="I26" t="s">
        <v>171</v>
      </c>
      <c r="J26" t="s">
        <v>5</v>
      </c>
      <c r="K26" s="3"/>
      <c r="L26" s="3" t="s">
        <v>16</v>
      </c>
      <c r="M26" s="3" t="s">
        <v>28</v>
      </c>
      <c r="N26" s="3" t="s">
        <v>29</v>
      </c>
      <c r="O26" s="3" t="s">
        <v>30</v>
      </c>
      <c r="P26" s="4" t="s">
        <v>166</v>
      </c>
      <c r="Q26" s="4" t="s">
        <v>173</v>
      </c>
      <c r="R26" s="4" t="s">
        <v>8</v>
      </c>
      <c r="S26" s="4" t="s">
        <v>2</v>
      </c>
      <c r="T26" s="4" t="s">
        <v>9</v>
      </c>
      <c r="U26" s="19">
        <v>3</v>
      </c>
      <c r="V26" s="20">
        <v>0.20833333333333334</v>
      </c>
      <c r="W26" s="4" t="s">
        <v>10</v>
      </c>
      <c r="X26" s="4" t="s">
        <v>168</v>
      </c>
      <c r="Y26" s="4" t="s">
        <v>174</v>
      </c>
      <c r="Z26" s="26" t="s">
        <v>175</v>
      </c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</row>
    <row r="27" spans="1:56" ht="14.25">
      <c r="A27" s="3"/>
      <c r="B27" s="1" t="s">
        <v>176</v>
      </c>
      <c r="C27" s="27">
        <v>-230</v>
      </c>
      <c r="D27" s="1" t="s">
        <v>3</v>
      </c>
      <c r="E27" s="28">
        <f>195</f>
        <v>195</v>
      </c>
      <c r="F27" s="1" t="s">
        <v>176</v>
      </c>
      <c r="G27" s="27">
        <v>-230</v>
      </c>
      <c r="H27" s="2" t="s">
        <v>5</v>
      </c>
      <c r="I27" t="s">
        <v>3</v>
      </c>
      <c r="J27" t="s">
        <v>1</v>
      </c>
      <c r="K27" s="3"/>
      <c r="L27" s="3"/>
      <c r="M27" s="3"/>
      <c r="N27" s="3"/>
      <c r="O27" s="3"/>
      <c r="P27" s="4" t="s">
        <v>177</v>
      </c>
      <c r="Q27" s="4" t="s">
        <v>178</v>
      </c>
      <c r="R27" s="4" t="s">
        <v>179</v>
      </c>
      <c r="S27" s="4" t="s">
        <v>2</v>
      </c>
      <c r="T27" s="4" t="s">
        <v>180</v>
      </c>
      <c r="U27" s="19">
        <v>2</v>
      </c>
      <c r="V27" s="20">
        <v>0.14444444444444443</v>
      </c>
      <c r="W27" s="4" t="s">
        <v>10</v>
      </c>
      <c r="X27" s="4" t="s">
        <v>96</v>
      </c>
      <c r="Y27" s="4" t="s">
        <v>181</v>
      </c>
      <c r="Z27" s="26" t="s">
        <v>182</v>
      </c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</row>
    <row r="28" spans="1:56" ht="14.25">
      <c r="A28" s="3"/>
      <c r="B28" s="1" t="s">
        <v>183</v>
      </c>
      <c r="C28" s="27">
        <v>-178</v>
      </c>
      <c r="D28" s="33" t="s">
        <v>184</v>
      </c>
      <c r="E28" s="28">
        <f>153</f>
        <v>153</v>
      </c>
      <c r="F28" s="34" t="s">
        <v>184</v>
      </c>
      <c r="G28" s="28">
        <f>153</f>
        <v>153</v>
      </c>
      <c r="H28" s="2" t="s">
        <v>122</v>
      </c>
      <c r="I28" t="s">
        <v>184</v>
      </c>
      <c r="J28" t="s">
        <v>5</v>
      </c>
      <c r="K28" s="3"/>
      <c r="L28" s="3"/>
      <c r="M28" s="3"/>
      <c r="N28" s="3"/>
      <c r="O28" s="3"/>
      <c r="P28" s="4" t="s">
        <v>185</v>
      </c>
      <c r="Q28" s="4" t="s">
        <v>186</v>
      </c>
      <c r="R28" s="4" t="s">
        <v>22</v>
      </c>
      <c r="S28" s="4" t="s">
        <v>2</v>
      </c>
      <c r="T28" s="4" t="s">
        <v>9</v>
      </c>
      <c r="U28" s="19">
        <v>3</v>
      </c>
      <c r="V28" s="20">
        <v>0.20833333333333334</v>
      </c>
      <c r="W28" s="4" t="s">
        <v>10</v>
      </c>
      <c r="X28" s="4" t="s">
        <v>187</v>
      </c>
      <c r="Y28" s="4" t="s">
        <v>188</v>
      </c>
      <c r="Z28" s="26" t="s">
        <v>189</v>
      </c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</row>
    <row r="29" spans="1:56" ht="14.25">
      <c r="A29" s="3"/>
      <c r="B29" s="1" t="s">
        <v>190</v>
      </c>
      <c r="C29" s="27">
        <v>-183</v>
      </c>
      <c r="D29" s="33" t="s">
        <v>191</v>
      </c>
      <c r="E29" s="28">
        <f>158</f>
        <v>158</v>
      </c>
      <c r="F29" s="34" t="s">
        <v>191</v>
      </c>
      <c r="G29" s="27">
        <f>158</f>
        <v>158</v>
      </c>
      <c r="H29" s="2" t="s">
        <v>122</v>
      </c>
      <c r="I29" t="s">
        <v>191</v>
      </c>
      <c r="J29" t="s">
        <v>5</v>
      </c>
      <c r="K29" s="3"/>
      <c r="L29" s="3"/>
      <c r="M29" s="3"/>
      <c r="N29" s="4" t="s">
        <v>185</v>
      </c>
      <c r="O29" s="4" t="s">
        <v>192</v>
      </c>
      <c r="P29" s="4" t="s">
        <v>22</v>
      </c>
      <c r="Q29" s="4" t="s">
        <v>2</v>
      </c>
      <c r="R29" s="4" t="s">
        <v>193</v>
      </c>
      <c r="S29" s="19">
        <v>3</v>
      </c>
      <c r="T29" s="20">
        <v>0.20833333333333334</v>
      </c>
      <c r="U29" s="4" t="s">
        <v>10</v>
      </c>
      <c r="V29" s="4" t="s">
        <v>194</v>
      </c>
      <c r="W29" s="4" t="s">
        <v>195</v>
      </c>
      <c r="X29" s="26" t="s">
        <v>196</v>
      </c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</row>
    <row r="30" spans="1:56" ht="15">
      <c r="A30" s="3"/>
      <c r="B30" s="1" t="s">
        <v>197</v>
      </c>
      <c r="C30" s="16">
        <v>-260</v>
      </c>
      <c r="D30" s="1" t="s">
        <v>198</v>
      </c>
      <c r="E30" s="17">
        <f>220</f>
        <v>220</v>
      </c>
      <c r="F30" s="1" t="s">
        <v>197</v>
      </c>
      <c r="G30" s="27">
        <v>-260</v>
      </c>
      <c r="H30" s="29" t="s">
        <v>122</v>
      </c>
      <c r="I30" t="s">
        <v>197</v>
      </c>
      <c r="J30" t="s">
        <v>5</v>
      </c>
      <c r="K30" s="3"/>
      <c r="L30" s="3"/>
      <c r="M30" s="3"/>
      <c r="N30" s="4" t="s">
        <v>37</v>
      </c>
      <c r="O30" s="4" t="s">
        <v>199</v>
      </c>
      <c r="P30" s="4" t="s">
        <v>8</v>
      </c>
      <c r="Q30" s="4" t="s">
        <v>2</v>
      </c>
      <c r="R30" s="4" t="s">
        <v>46</v>
      </c>
      <c r="S30" s="19">
        <v>2</v>
      </c>
      <c r="T30" s="20">
        <v>0.1451388888888889</v>
      </c>
      <c r="U30" s="4" t="s">
        <v>10</v>
      </c>
      <c r="V30" s="4" t="s">
        <v>39</v>
      </c>
      <c r="W30" s="4" t="s">
        <v>97</v>
      </c>
      <c r="X30" s="26" t="s">
        <v>200</v>
      </c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</row>
    <row r="31" spans="1:56" ht="15">
      <c r="A31" s="3"/>
      <c r="B31" s="1" t="s">
        <v>201</v>
      </c>
      <c r="C31" s="16">
        <v>-300</v>
      </c>
      <c r="D31" s="1" t="s">
        <v>202</v>
      </c>
      <c r="E31" s="17">
        <f>250</f>
        <v>250</v>
      </c>
      <c r="F31" s="1" t="s">
        <v>201</v>
      </c>
      <c r="G31" s="28">
        <v>-300</v>
      </c>
      <c r="H31" s="29" t="s">
        <v>122</v>
      </c>
      <c r="I31" t="s">
        <v>201</v>
      </c>
      <c r="J31" t="s">
        <v>5</v>
      </c>
      <c r="K31" s="3"/>
      <c r="L31" s="3"/>
      <c r="M31" s="3"/>
      <c r="N31" s="4" t="s">
        <v>37</v>
      </c>
      <c r="O31" s="4" t="s">
        <v>203</v>
      </c>
      <c r="P31" s="4" t="s">
        <v>8</v>
      </c>
      <c r="Q31" s="4" t="s">
        <v>2</v>
      </c>
      <c r="R31" s="4" t="s">
        <v>9</v>
      </c>
      <c r="S31" s="19">
        <v>3</v>
      </c>
      <c r="T31" s="20">
        <v>0.20833333333333334</v>
      </c>
      <c r="U31" s="4" t="s">
        <v>10</v>
      </c>
      <c r="V31" s="4" t="s">
        <v>23</v>
      </c>
      <c r="W31" s="4" t="s">
        <v>204</v>
      </c>
      <c r="X31" s="26" t="s">
        <v>205</v>
      </c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</row>
    <row r="32" spans="1:56" ht="14.25">
      <c r="A32" s="3"/>
      <c r="B32" s="1" t="s">
        <v>206</v>
      </c>
      <c r="C32" s="16">
        <v>-141</v>
      </c>
      <c r="D32" s="1" t="s">
        <v>99</v>
      </c>
      <c r="E32" s="17">
        <f>121</f>
        <v>121</v>
      </c>
      <c r="F32" s="1" t="s">
        <v>99</v>
      </c>
      <c r="G32" s="17">
        <f>121</f>
        <v>121</v>
      </c>
      <c r="H32" s="2" t="s">
        <v>5</v>
      </c>
      <c r="I32" t="s">
        <v>99</v>
      </c>
      <c r="J32" t="s">
        <v>5</v>
      </c>
      <c r="K32" s="3"/>
      <c r="L32" s="3"/>
      <c r="M32" s="3"/>
      <c r="N32" s="4" t="s">
        <v>207</v>
      </c>
      <c r="O32" s="4" t="s">
        <v>208</v>
      </c>
      <c r="P32" s="4" t="s">
        <v>22</v>
      </c>
      <c r="Q32" s="4" t="s">
        <v>2</v>
      </c>
      <c r="R32" s="4" t="s">
        <v>9</v>
      </c>
      <c r="S32" s="19">
        <v>3</v>
      </c>
      <c r="T32" s="20">
        <v>0.20833333333333334</v>
      </c>
      <c r="U32" s="4" t="s">
        <v>10</v>
      </c>
      <c r="V32" s="4" t="s">
        <v>209</v>
      </c>
      <c r="W32" s="4" t="s">
        <v>210</v>
      </c>
      <c r="X32" s="26" t="s">
        <v>211</v>
      </c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</row>
    <row r="33" spans="1:54" ht="14.25">
      <c r="A33" s="3"/>
      <c r="B33" s="1" t="s">
        <v>120</v>
      </c>
      <c r="C33" s="16">
        <v>-700</v>
      </c>
      <c r="D33" s="1" t="s">
        <v>212</v>
      </c>
      <c r="E33" s="17">
        <f>700</f>
        <v>700</v>
      </c>
      <c r="F33" s="1" t="s">
        <v>120</v>
      </c>
      <c r="G33" s="16">
        <v>-700</v>
      </c>
      <c r="H33" s="2" t="s">
        <v>5</v>
      </c>
      <c r="I33" t="s">
        <v>120</v>
      </c>
      <c r="J33" t="s">
        <v>5</v>
      </c>
      <c r="K33" s="3"/>
      <c r="L33" s="3"/>
      <c r="M33" s="3"/>
      <c r="N33" s="4" t="s">
        <v>65</v>
      </c>
      <c r="O33" s="4" t="s">
        <v>213</v>
      </c>
      <c r="P33" s="4" t="s">
        <v>8</v>
      </c>
      <c r="Q33" s="4" t="s">
        <v>2</v>
      </c>
      <c r="R33" s="4" t="s">
        <v>61</v>
      </c>
      <c r="S33" s="19">
        <v>3</v>
      </c>
      <c r="T33" s="20">
        <v>4.027777777777778E-2</v>
      </c>
      <c r="U33" s="4" t="s">
        <v>10</v>
      </c>
      <c r="V33" s="4" t="s">
        <v>39</v>
      </c>
      <c r="W33" s="4" t="s">
        <v>67</v>
      </c>
      <c r="X33" s="26" t="s">
        <v>214</v>
      </c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</row>
    <row r="34" spans="1:54" ht="14.25">
      <c r="A34" s="3"/>
      <c r="B34" s="1" t="s">
        <v>215</v>
      </c>
      <c r="C34" s="16">
        <f>136</f>
        <v>136</v>
      </c>
      <c r="D34" s="1" t="s">
        <v>121</v>
      </c>
      <c r="E34" s="17">
        <v>-136</v>
      </c>
      <c r="F34" s="1" t="s">
        <v>121</v>
      </c>
      <c r="G34" s="17">
        <f>136</f>
        <v>136</v>
      </c>
      <c r="H34" s="2" t="s">
        <v>5</v>
      </c>
      <c r="I34" t="s">
        <v>215</v>
      </c>
      <c r="J34" t="s">
        <v>5</v>
      </c>
      <c r="K34" s="3"/>
      <c r="L34" s="3"/>
      <c r="M34" s="3"/>
      <c r="N34" s="4" t="s">
        <v>71</v>
      </c>
      <c r="O34" s="4" t="s">
        <v>216</v>
      </c>
      <c r="P34" s="4" t="s">
        <v>8</v>
      </c>
      <c r="Q34" s="4" t="s">
        <v>2</v>
      </c>
      <c r="R34" s="4" t="s">
        <v>9</v>
      </c>
      <c r="S34" s="19">
        <v>3</v>
      </c>
      <c r="T34" s="20">
        <v>0.20833333333333334</v>
      </c>
      <c r="U34" s="4" t="s">
        <v>10</v>
      </c>
      <c r="V34" s="4" t="s">
        <v>39</v>
      </c>
      <c r="W34" s="4" t="s">
        <v>217</v>
      </c>
      <c r="X34" s="3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</row>
    <row r="35" spans="1:54" ht="14.25">
      <c r="A35" s="3"/>
      <c r="B35" s="1" t="s">
        <v>51</v>
      </c>
      <c r="C35" s="16">
        <v>-325</v>
      </c>
      <c r="D35" s="1" t="s">
        <v>218</v>
      </c>
      <c r="E35" s="17">
        <f>325</f>
        <v>325</v>
      </c>
      <c r="F35" s="1" t="s">
        <v>51</v>
      </c>
      <c r="G35" s="17">
        <v>-325</v>
      </c>
      <c r="H35" s="2" t="s">
        <v>5</v>
      </c>
      <c r="I35" s="3" t="s">
        <v>13068</v>
      </c>
      <c r="J35" s="3" t="s">
        <v>13069</v>
      </c>
      <c r="K35" s="3"/>
      <c r="L35" s="3"/>
      <c r="M35" s="3"/>
      <c r="N35" s="4" t="s">
        <v>71</v>
      </c>
      <c r="O35" s="4" t="s">
        <v>219</v>
      </c>
      <c r="P35" s="4" t="s">
        <v>8</v>
      </c>
      <c r="Q35" s="4" t="s">
        <v>2</v>
      </c>
      <c r="R35" s="4" t="s">
        <v>9</v>
      </c>
      <c r="S35" s="19">
        <v>3</v>
      </c>
      <c r="T35" s="20">
        <v>0.20833333333333334</v>
      </c>
      <c r="U35" s="4" t="s">
        <v>10</v>
      </c>
      <c r="V35" s="4" t="s">
        <v>73</v>
      </c>
      <c r="W35" s="4" t="s">
        <v>220</v>
      </c>
      <c r="X35" s="3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</row>
  </sheetData>
  <hyperlinks>
    <hyperlink ref="Z4" r:id="rId1" xr:uid="{00000000-0004-0000-0500-000000000000}"/>
    <hyperlink ref="Z5" r:id="rId2" xr:uid="{00000000-0004-0000-0500-000001000000}"/>
    <hyperlink ref="Z6" r:id="rId3" xr:uid="{00000000-0004-0000-0500-000002000000}"/>
    <hyperlink ref="Z7" r:id="rId4" xr:uid="{00000000-0004-0000-0500-000003000000}"/>
    <hyperlink ref="Z8" r:id="rId5" xr:uid="{00000000-0004-0000-0500-000004000000}"/>
    <hyperlink ref="Z9" r:id="rId6" xr:uid="{00000000-0004-0000-0500-000005000000}"/>
    <hyperlink ref="Z10" r:id="rId7" xr:uid="{00000000-0004-0000-0500-000006000000}"/>
    <hyperlink ref="Z12" r:id="rId8" xr:uid="{00000000-0004-0000-0500-000007000000}"/>
    <hyperlink ref="Z13" r:id="rId9" xr:uid="{00000000-0004-0000-0500-000008000000}"/>
    <hyperlink ref="Z14" r:id="rId10" xr:uid="{00000000-0004-0000-0500-000009000000}"/>
    <hyperlink ref="Z15" r:id="rId11" xr:uid="{00000000-0004-0000-0500-00000A000000}"/>
    <hyperlink ref="Z16" r:id="rId12" xr:uid="{00000000-0004-0000-0500-00000B000000}"/>
    <hyperlink ref="Z17" r:id="rId13" xr:uid="{00000000-0004-0000-0500-00000C000000}"/>
    <hyperlink ref="Z18" r:id="rId14" xr:uid="{00000000-0004-0000-0500-00000D000000}"/>
    <hyperlink ref="Z19" r:id="rId15" xr:uid="{00000000-0004-0000-0500-00000E000000}"/>
    <hyperlink ref="Z20" r:id="rId16" xr:uid="{00000000-0004-0000-0500-00000F000000}"/>
    <hyperlink ref="Z21" r:id="rId17" xr:uid="{00000000-0004-0000-0500-000010000000}"/>
    <hyperlink ref="Z22" r:id="rId18" xr:uid="{00000000-0004-0000-0500-000011000000}"/>
    <hyperlink ref="Z23" r:id="rId19" xr:uid="{00000000-0004-0000-0500-000012000000}"/>
    <hyperlink ref="Z24" r:id="rId20" xr:uid="{00000000-0004-0000-0500-000013000000}"/>
    <hyperlink ref="Z25" r:id="rId21" xr:uid="{00000000-0004-0000-0500-000014000000}"/>
    <hyperlink ref="Z26" r:id="rId22" xr:uid="{00000000-0004-0000-0500-000015000000}"/>
    <hyperlink ref="Z27" r:id="rId23" xr:uid="{00000000-0004-0000-0500-000016000000}"/>
    <hyperlink ref="D28" r:id="rId24" xr:uid="{00000000-0004-0000-0500-000017000000}"/>
    <hyperlink ref="F28" r:id="rId25" xr:uid="{00000000-0004-0000-0500-000018000000}"/>
    <hyperlink ref="Z28" r:id="rId26" xr:uid="{00000000-0004-0000-0500-000019000000}"/>
    <hyperlink ref="D29" r:id="rId27" xr:uid="{00000000-0004-0000-0500-00001A000000}"/>
    <hyperlink ref="F29" r:id="rId28" xr:uid="{00000000-0004-0000-0500-00001B000000}"/>
    <hyperlink ref="X29" r:id="rId29" xr:uid="{00000000-0004-0000-0500-00001C000000}"/>
    <hyperlink ref="X30" r:id="rId30" xr:uid="{00000000-0004-0000-0500-00001D000000}"/>
    <hyperlink ref="X31" r:id="rId31" xr:uid="{00000000-0004-0000-0500-00001E000000}"/>
    <hyperlink ref="X32" r:id="rId32" xr:uid="{00000000-0004-0000-0500-00001F000000}"/>
    <hyperlink ref="X33" r:id="rId33" xr:uid="{00000000-0004-0000-0500-00002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D22"/>
  <sheetViews>
    <sheetView topLeftCell="B1" workbookViewId="0">
      <selection activeCell="J19" sqref="J19"/>
    </sheetView>
  </sheetViews>
  <sheetFormatPr defaultColWidth="12.5703125" defaultRowHeight="15.75" customHeight="1"/>
  <sheetData>
    <row r="1" spans="1:56" ht="12.75">
      <c r="A1" s="99"/>
      <c r="B1" s="99"/>
      <c r="C1" s="100" t="s">
        <v>5</v>
      </c>
      <c r="D1" s="99"/>
      <c r="E1" s="100" t="s">
        <v>1</v>
      </c>
      <c r="F1" s="99"/>
      <c r="G1" s="101" t="s">
        <v>1519</v>
      </c>
      <c r="H1" s="99" t="s">
        <v>1520</v>
      </c>
      <c r="I1" s="99" t="s">
        <v>13066</v>
      </c>
      <c r="J1" s="99" t="s">
        <v>13067</v>
      </c>
      <c r="K1" s="99" t="s">
        <v>1521</v>
      </c>
      <c r="L1" s="99" t="s">
        <v>1522</v>
      </c>
      <c r="M1" s="99" t="s">
        <v>1523</v>
      </c>
      <c r="N1" s="99" t="s">
        <v>46</v>
      </c>
      <c r="O1" s="99"/>
      <c r="P1" s="99"/>
      <c r="Q1" s="99"/>
      <c r="R1" s="99"/>
      <c r="S1" s="99"/>
      <c r="T1" s="99"/>
      <c r="U1" s="99"/>
      <c r="V1" s="102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</row>
    <row r="2" spans="1:56" ht="12.75">
      <c r="A2" s="7"/>
      <c r="B2" s="7"/>
      <c r="C2" s="8">
        <f>COUNTIF(H3:H102, "win")</f>
        <v>14</v>
      </c>
      <c r="D2" s="7"/>
      <c r="E2" s="8">
        <f>COUNTIF(H3:H102, "loss")</f>
        <v>6</v>
      </c>
      <c r="F2" s="103" t="s">
        <v>2</v>
      </c>
      <c r="G2" s="104">
        <f>COUNTIF(H3:H102, "win") / (COUNTIF(H3:H102, "win") + COUNTIF(H3:H102, "loss"))</f>
        <v>0.7</v>
      </c>
      <c r="H2" s="7"/>
      <c r="I2" s="7"/>
      <c r="J2" s="104">
        <f>COUNTIF(J3:J102, "Win") / (COUNTIF(J3:J102, "Win") + COUNTIF(J3:J102, "Loss"))</f>
        <v>0.875</v>
      </c>
      <c r="K2" s="60">
        <f>COUNTIF(T2:T100, "Decision - split")</f>
        <v>4</v>
      </c>
      <c r="L2" s="60">
        <f>COUNTIF(T2:T100, "Decision - Unanimous")</f>
        <v>10</v>
      </c>
      <c r="M2" s="60">
        <f>COUNTIF(T2:T100, "Submission")</f>
        <v>2</v>
      </c>
      <c r="N2" s="60">
        <f>COUNTIF(T2:T100, "KO/TKO")</f>
        <v>4</v>
      </c>
      <c r="O2" s="7"/>
      <c r="P2" s="7"/>
      <c r="Q2" s="7"/>
      <c r="R2" s="7"/>
      <c r="S2" s="7"/>
      <c r="T2" s="7"/>
      <c r="U2" s="7"/>
      <c r="V2" s="105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</row>
    <row r="3" spans="1:56" ht="14.25">
      <c r="A3" s="3"/>
      <c r="B3" s="1" t="s">
        <v>1427</v>
      </c>
      <c r="C3" s="24">
        <v>-142</v>
      </c>
      <c r="D3" s="1" t="s">
        <v>1428</v>
      </c>
      <c r="E3" s="24">
        <f>142</f>
        <v>142</v>
      </c>
      <c r="F3" s="1" t="s">
        <v>1428</v>
      </c>
      <c r="G3" s="2">
        <f>142</f>
        <v>142</v>
      </c>
      <c r="H3" s="24" t="s">
        <v>1</v>
      </c>
      <c r="I3" t="s">
        <v>1427</v>
      </c>
      <c r="J3" t="s">
        <v>5</v>
      </c>
      <c r="L3" s="3"/>
      <c r="M3" s="3"/>
      <c r="N3" s="3"/>
      <c r="O3" s="3"/>
      <c r="P3" s="4" t="s">
        <v>6</v>
      </c>
      <c r="Q3" s="4" t="s">
        <v>1429</v>
      </c>
      <c r="R3" s="4" t="s">
        <v>8</v>
      </c>
      <c r="S3" s="4" t="s">
        <v>1430</v>
      </c>
      <c r="T3" s="4" t="s">
        <v>9</v>
      </c>
      <c r="U3" s="19">
        <v>3</v>
      </c>
      <c r="V3" s="20">
        <v>0.20833333333333334</v>
      </c>
      <c r="W3" s="4" t="s">
        <v>10</v>
      </c>
      <c r="X3" s="4" t="s">
        <v>73</v>
      </c>
      <c r="Y3" s="4" t="s">
        <v>1431</v>
      </c>
      <c r="Z3" s="3"/>
    </row>
    <row r="4" spans="1:56" ht="14.25">
      <c r="A4" s="3"/>
      <c r="B4" s="1" t="s">
        <v>1432</v>
      </c>
      <c r="C4" s="24">
        <f>300</f>
        <v>300</v>
      </c>
      <c r="D4" s="1" t="s">
        <v>1433</v>
      </c>
      <c r="E4" s="24">
        <v>-300</v>
      </c>
      <c r="F4" s="1" t="s">
        <v>1432</v>
      </c>
      <c r="G4" s="2">
        <f>300</f>
        <v>300</v>
      </c>
      <c r="H4" s="24" t="s">
        <v>5</v>
      </c>
      <c r="I4" t="s">
        <v>13068</v>
      </c>
      <c r="J4" t="s">
        <v>13069</v>
      </c>
      <c r="L4" s="3"/>
      <c r="M4" s="3"/>
      <c r="N4" s="3"/>
      <c r="O4" s="3"/>
      <c r="P4" s="4" t="s">
        <v>6</v>
      </c>
      <c r="Q4" s="4" t="s">
        <v>1434</v>
      </c>
      <c r="R4" s="4" t="s">
        <v>8</v>
      </c>
      <c r="S4" s="4" t="s">
        <v>1430</v>
      </c>
      <c r="T4" s="4" t="s">
        <v>9</v>
      </c>
      <c r="U4" s="19">
        <v>3</v>
      </c>
      <c r="V4" s="20">
        <v>0.20833333333333334</v>
      </c>
      <c r="W4" s="4" t="s">
        <v>10</v>
      </c>
      <c r="X4" s="4" t="s">
        <v>39</v>
      </c>
      <c r="Y4" s="4" t="s">
        <v>1435</v>
      </c>
      <c r="Z4" s="3"/>
    </row>
    <row r="5" spans="1:56" ht="14.25">
      <c r="A5" s="3"/>
      <c r="B5" s="1" t="s">
        <v>1436</v>
      </c>
      <c r="C5" s="84">
        <v>-135</v>
      </c>
      <c r="D5" s="1" t="s">
        <v>1437</v>
      </c>
      <c r="E5" s="84">
        <f>115</f>
        <v>115</v>
      </c>
      <c r="F5" s="1" t="s">
        <v>1437</v>
      </c>
      <c r="G5" s="84">
        <f>115</f>
        <v>115</v>
      </c>
      <c r="H5" s="2" t="s">
        <v>1</v>
      </c>
      <c r="I5" s="1" t="s">
        <v>1437</v>
      </c>
      <c r="J5" t="s">
        <v>1</v>
      </c>
      <c r="K5" s="24">
        <v>5.5</v>
      </c>
      <c r="L5" s="1" t="s">
        <v>18</v>
      </c>
      <c r="M5" s="24">
        <v>-130</v>
      </c>
      <c r="N5" s="1" t="s">
        <v>1438</v>
      </c>
      <c r="O5" s="3"/>
      <c r="P5" s="4" t="s">
        <v>339</v>
      </c>
      <c r="Q5" s="4" t="s">
        <v>1439</v>
      </c>
      <c r="R5" s="4" t="s">
        <v>8</v>
      </c>
      <c r="S5" s="4" t="s">
        <v>1430</v>
      </c>
      <c r="T5" s="4" t="s">
        <v>193</v>
      </c>
      <c r="U5" s="19">
        <v>3</v>
      </c>
      <c r="V5" s="20">
        <v>0.20833333333333334</v>
      </c>
      <c r="W5" s="4" t="s">
        <v>10</v>
      </c>
      <c r="X5" s="4" t="s">
        <v>660</v>
      </c>
      <c r="Y5" s="4" t="s">
        <v>1440</v>
      </c>
      <c r="Z5" s="26" t="s">
        <v>1441</v>
      </c>
      <c r="AA5" s="21"/>
      <c r="AB5" s="21"/>
    </row>
    <row r="6" spans="1:56" ht="14.25">
      <c r="A6" s="3"/>
      <c r="B6" s="1" t="s">
        <v>1428</v>
      </c>
      <c r="C6" s="76">
        <f>255</f>
        <v>255</v>
      </c>
      <c r="D6" s="1" t="s">
        <v>1442</v>
      </c>
      <c r="E6" s="76">
        <v>-305</v>
      </c>
      <c r="F6" s="1" t="s">
        <v>1428</v>
      </c>
      <c r="G6" s="76">
        <f>255</f>
        <v>255</v>
      </c>
      <c r="H6" s="2" t="s">
        <v>1</v>
      </c>
      <c r="I6" t="s">
        <v>1428</v>
      </c>
      <c r="J6" t="s">
        <v>5</v>
      </c>
      <c r="K6" s="3"/>
      <c r="L6" s="3"/>
      <c r="M6" s="3"/>
      <c r="N6" s="3"/>
      <c r="O6" s="3"/>
      <c r="P6" s="4" t="s">
        <v>311</v>
      </c>
      <c r="Q6" s="4" t="s">
        <v>1443</v>
      </c>
      <c r="R6" s="4" t="s">
        <v>8</v>
      </c>
      <c r="S6" s="4" t="s">
        <v>1430</v>
      </c>
      <c r="T6" s="4" t="s">
        <v>61</v>
      </c>
      <c r="U6" s="19">
        <v>1</v>
      </c>
      <c r="V6" s="20">
        <v>0.2076388888888889</v>
      </c>
      <c r="W6" s="4" t="s">
        <v>10</v>
      </c>
      <c r="X6" s="4" t="s">
        <v>73</v>
      </c>
      <c r="Y6" s="4" t="s">
        <v>1444</v>
      </c>
      <c r="Z6" s="26" t="s">
        <v>1445</v>
      </c>
      <c r="AA6" s="21"/>
      <c r="AB6" s="21"/>
    </row>
    <row r="7" spans="1:56" ht="14.25">
      <c r="A7" s="3"/>
      <c r="B7" s="1" t="s">
        <v>1446</v>
      </c>
      <c r="C7" s="24">
        <v>-170</v>
      </c>
      <c r="D7" s="1" t="s">
        <v>1447</v>
      </c>
      <c r="E7" s="24">
        <f>170</f>
        <v>170</v>
      </c>
      <c r="F7" s="1" t="s">
        <v>1447</v>
      </c>
      <c r="G7" s="24">
        <f>170</f>
        <v>170</v>
      </c>
      <c r="H7" s="2" t="s">
        <v>1</v>
      </c>
      <c r="I7" t="s">
        <v>1446</v>
      </c>
      <c r="J7" t="s">
        <v>5</v>
      </c>
      <c r="K7" s="3"/>
      <c r="L7" s="3"/>
      <c r="M7" s="3"/>
      <c r="N7" s="3"/>
      <c r="O7" s="3"/>
      <c r="P7" s="4" t="s">
        <v>223</v>
      </c>
      <c r="Q7" s="4" t="s">
        <v>1448</v>
      </c>
      <c r="R7" s="4" t="s">
        <v>8</v>
      </c>
      <c r="S7" s="4" t="s">
        <v>1430</v>
      </c>
      <c r="T7" s="4" t="s">
        <v>46</v>
      </c>
      <c r="U7" s="19">
        <v>2</v>
      </c>
      <c r="V7" s="20">
        <v>0.13541666666666666</v>
      </c>
      <c r="W7" s="4" t="s">
        <v>10</v>
      </c>
      <c r="X7" s="4" t="s">
        <v>11</v>
      </c>
      <c r="Y7" s="4" t="s">
        <v>48</v>
      </c>
      <c r="Z7" s="26" t="s">
        <v>1449</v>
      </c>
      <c r="AA7" s="21"/>
      <c r="AB7" s="21"/>
    </row>
    <row r="8" spans="1:56" ht="14.25">
      <c r="A8" s="3"/>
      <c r="B8" s="1" t="s">
        <v>1436</v>
      </c>
      <c r="C8" s="24">
        <v>-145</v>
      </c>
      <c r="D8" s="1" t="s">
        <v>1450</v>
      </c>
      <c r="E8" s="24">
        <f>145</f>
        <v>145</v>
      </c>
      <c r="F8" s="1" t="s">
        <v>1436</v>
      </c>
      <c r="G8" s="24">
        <v>-145</v>
      </c>
      <c r="H8" s="2" t="s">
        <v>1</v>
      </c>
      <c r="I8" s="1" t="s">
        <v>1436</v>
      </c>
      <c r="J8" t="s">
        <v>1</v>
      </c>
      <c r="K8" s="3"/>
      <c r="L8" s="3"/>
      <c r="M8" s="3"/>
      <c r="N8" s="3"/>
      <c r="O8" s="3"/>
      <c r="P8" s="4" t="s">
        <v>223</v>
      </c>
      <c r="Q8" s="4" t="s">
        <v>1451</v>
      </c>
      <c r="R8" s="4" t="s">
        <v>22</v>
      </c>
      <c r="S8" s="4" t="s">
        <v>1430</v>
      </c>
      <c r="T8" s="4" t="s">
        <v>193</v>
      </c>
      <c r="U8" s="19">
        <v>3</v>
      </c>
      <c r="V8" s="20">
        <v>0.20833333333333334</v>
      </c>
      <c r="W8" s="4" t="s">
        <v>10</v>
      </c>
      <c r="X8" s="4" t="s">
        <v>226</v>
      </c>
      <c r="Y8" s="4" t="s">
        <v>1452</v>
      </c>
      <c r="Z8" s="26" t="s">
        <v>1453</v>
      </c>
      <c r="AA8" s="21"/>
      <c r="AB8" s="21"/>
    </row>
    <row r="9" spans="1:56" ht="14.25">
      <c r="A9" s="3"/>
      <c r="B9" s="38" t="s">
        <v>1454</v>
      </c>
      <c r="C9" s="80">
        <f>141</f>
        <v>141</v>
      </c>
      <c r="D9" s="38" t="s">
        <v>1455</v>
      </c>
      <c r="E9" s="80">
        <v>-141</v>
      </c>
      <c r="F9" s="38" t="s">
        <v>1455</v>
      </c>
      <c r="G9" s="80">
        <v>-141</v>
      </c>
      <c r="H9" s="41" t="s">
        <v>1</v>
      </c>
      <c r="I9" t="s">
        <v>13068</v>
      </c>
      <c r="J9" t="s">
        <v>13069</v>
      </c>
      <c r="K9" s="3"/>
      <c r="L9" s="3"/>
      <c r="M9" s="3"/>
      <c r="N9" s="3"/>
      <c r="O9" s="3"/>
      <c r="P9" s="4" t="s">
        <v>231</v>
      </c>
      <c r="Q9" s="4" t="s">
        <v>1456</v>
      </c>
      <c r="R9" s="4" t="s">
        <v>8</v>
      </c>
      <c r="S9" s="4" t="s">
        <v>1430</v>
      </c>
      <c r="T9" s="4" t="s">
        <v>9</v>
      </c>
      <c r="U9" s="19">
        <v>3</v>
      </c>
      <c r="V9" s="20">
        <v>0.20833333333333334</v>
      </c>
      <c r="W9" s="4" t="s">
        <v>10</v>
      </c>
      <c r="X9" s="4" t="s">
        <v>788</v>
      </c>
      <c r="Y9" s="4" t="s">
        <v>1457</v>
      </c>
      <c r="Z9" s="3"/>
    </row>
    <row r="10" spans="1:56" ht="14.25">
      <c r="A10" s="3"/>
      <c r="B10" s="1" t="s">
        <v>1427</v>
      </c>
      <c r="C10" s="84">
        <f>355</f>
        <v>355</v>
      </c>
      <c r="D10" s="1" t="s">
        <v>1458</v>
      </c>
      <c r="E10" s="84">
        <v>-425</v>
      </c>
      <c r="F10" s="1" t="s">
        <v>1459</v>
      </c>
      <c r="G10" s="84">
        <v>-425</v>
      </c>
      <c r="H10" s="2" t="s">
        <v>85</v>
      </c>
      <c r="I10" t="s">
        <v>1458</v>
      </c>
      <c r="J10" t="s">
        <v>5</v>
      </c>
      <c r="K10" s="24">
        <v>5.5</v>
      </c>
      <c r="L10" s="1" t="s">
        <v>18</v>
      </c>
      <c r="M10" s="24">
        <v>-130</v>
      </c>
      <c r="N10" s="1" t="s">
        <v>1460</v>
      </c>
      <c r="O10" s="3"/>
      <c r="P10" s="4" t="s">
        <v>87</v>
      </c>
      <c r="Q10" s="4" t="s">
        <v>1461</v>
      </c>
      <c r="R10" s="4" t="s">
        <v>22</v>
      </c>
      <c r="S10" s="4" t="s">
        <v>1430</v>
      </c>
      <c r="T10" s="4" t="s">
        <v>9</v>
      </c>
      <c r="U10" s="19">
        <v>3</v>
      </c>
      <c r="V10" s="20">
        <v>0.20833333333333334</v>
      </c>
      <c r="W10" s="4" t="s">
        <v>10</v>
      </c>
      <c r="X10" s="4" t="s">
        <v>233</v>
      </c>
      <c r="Y10" s="4" t="s">
        <v>1462</v>
      </c>
      <c r="Z10" s="26" t="s">
        <v>1463</v>
      </c>
      <c r="AA10" s="21"/>
      <c r="AB10" s="21"/>
    </row>
    <row r="11" spans="1:56" ht="14.25">
      <c r="A11" s="3"/>
      <c r="B11" s="1" t="s">
        <v>1464</v>
      </c>
      <c r="C11" s="84">
        <f>275</f>
        <v>275</v>
      </c>
      <c r="D11" s="1" t="s">
        <v>1465</v>
      </c>
      <c r="E11" s="84">
        <v>-335</v>
      </c>
      <c r="F11" s="1" t="s">
        <v>1465</v>
      </c>
      <c r="G11" s="84">
        <v>-335</v>
      </c>
      <c r="H11" s="2" t="s">
        <v>5</v>
      </c>
      <c r="I11" t="s">
        <v>1465</v>
      </c>
      <c r="J11" t="s">
        <v>5</v>
      </c>
      <c r="K11" s="24">
        <v>7.8</v>
      </c>
      <c r="L11" s="1" t="s">
        <v>427</v>
      </c>
      <c r="M11" s="24">
        <v>-210</v>
      </c>
      <c r="N11" s="1"/>
      <c r="O11" s="1"/>
      <c r="P11" s="4" t="s">
        <v>94</v>
      </c>
      <c r="Q11" s="4" t="s">
        <v>1466</v>
      </c>
      <c r="R11" s="4" t="s">
        <v>22</v>
      </c>
      <c r="S11" s="4" t="s">
        <v>1430</v>
      </c>
      <c r="T11" s="4" t="s">
        <v>9</v>
      </c>
      <c r="U11" s="19">
        <v>3</v>
      </c>
      <c r="V11" s="20">
        <v>0.20833333333333334</v>
      </c>
      <c r="W11" s="4" t="s">
        <v>10</v>
      </c>
      <c r="X11" s="4" t="s">
        <v>96</v>
      </c>
      <c r="Y11" s="4" t="s">
        <v>1467</v>
      </c>
      <c r="Z11" s="26" t="s">
        <v>1468</v>
      </c>
      <c r="AA11" s="21"/>
      <c r="AB11" s="21"/>
    </row>
    <row r="12" spans="1:56" ht="14.25">
      <c r="A12" s="3"/>
      <c r="B12" s="1" t="s">
        <v>1446</v>
      </c>
      <c r="C12" s="84">
        <v>-137</v>
      </c>
      <c r="D12" s="1" t="s">
        <v>1469</v>
      </c>
      <c r="E12" s="84">
        <f>117</f>
        <v>117</v>
      </c>
      <c r="F12" s="1" t="s">
        <v>1446</v>
      </c>
      <c r="G12" s="84">
        <v>-137</v>
      </c>
      <c r="H12" s="2" t="s">
        <v>5</v>
      </c>
      <c r="I12" t="s">
        <v>1446</v>
      </c>
      <c r="J12" t="s">
        <v>5</v>
      </c>
      <c r="K12" s="24">
        <v>7.3</v>
      </c>
      <c r="L12" s="1" t="s">
        <v>18</v>
      </c>
      <c r="M12" s="1" t="s">
        <v>1470</v>
      </c>
      <c r="N12" s="1" t="s">
        <v>1471</v>
      </c>
      <c r="O12" s="3"/>
      <c r="P12" s="4" t="s">
        <v>103</v>
      </c>
      <c r="Q12" s="4" t="s">
        <v>1472</v>
      </c>
      <c r="R12" s="4" t="s">
        <v>8</v>
      </c>
      <c r="S12" s="4" t="s">
        <v>1430</v>
      </c>
      <c r="T12" s="4" t="s">
        <v>193</v>
      </c>
      <c r="U12" s="19">
        <v>3</v>
      </c>
      <c r="V12" s="20">
        <v>0.20833333333333334</v>
      </c>
      <c r="W12" s="4" t="s">
        <v>10</v>
      </c>
      <c r="X12" s="4" t="s">
        <v>23</v>
      </c>
      <c r="Y12" s="4" t="s">
        <v>1473</v>
      </c>
      <c r="Z12" s="26" t="s">
        <v>1474</v>
      </c>
      <c r="AA12" s="21"/>
      <c r="AB12" s="21"/>
    </row>
    <row r="13" spans="1:56" ht="14.25">
      <c r="A13" s="3"/>
      <c r="B13" s="1" t="s">
        <v>1475</v>
      </c>
      <c r="C13" s="84">
        <f>170</f>
        <v>170</v>
      </c>
      <c r="D13" s="1" t="s">
        <v>1450</v>
      </c>
      <c r="E13" s="84">
        <v>-200</v>
      </c>
      <c r="F13" s="1" t="s">
        <v>1475</v>
      </c>
      <c r="G13" s="84">
        <f>170</f>
        <v>170</v>
      </c>
      <c r="H13" s="30" t="s">
        <v>5</v>
      </c>
      <c r="I13" t="s">
        <v>1475</v>
      </c>
      <c r="J13" t="s">
        <v>5</v>
      </c>
      <c r="K13" s="24">
        <v>6.9</v>
      </c>
      <c r="L13" s="1" t="s">
        <v>61</v>
      </c>
      <c r="M13" s="3"/>
      <c r="N13" s="1" t="s">
        <v>1476</v>
      </c>
      <c r="O13" s="3"/>
      <c r="P13" s="4" t="s">
        <v>115</v>
      </c>
      <c r="Q13" s="4" t="s">
        <v>1477</v>
      </c>
      <c r="R13" s="4" t="s">
        <v>8</v>
      </c>
      <c r="S13" s="4" t="s">
        <v>1430</v>
      </c>
      <c r="T13" s="4" t="s">
        <v>9</v>
      </c>
      <c r="U13" s="19">
        <v>3</v>
      </c>
      <c r="V13" s="20">
        <v>0.20833333333333334</v>
      </c>
      <c r="W13" s="4" t="s">
        <v>10</v>
      </c>
      <c r="X13" s="4" t="s">
        <v>117</v>
      </c>
      <c r="Y13" s="4" t="s">
        <v>1478</v>
      </c>
      <c r="Z13" s="26" t="s">
        <v>1479</v>
      </c>
      <c r="AA13" s="21"/>
      <c r="AB13" s="21"/>
    </row>
    <row r="14" spans="1:56" ht="14.25">
      <c r="A14" s="3"/>
      <c r="B14" s="1" t="s">
        <v>1480</v>
      </c>
      <c r="C14" s="84">
        <v>-186</v>
      </c>
      <c r="D14" s="1" t="s">
        <v>1481</v>
      </c>
      <c r="E14" s="84">
        <f>161</f>
        <v>161</v>
      </c>
      <c r="F14" s="1" t="s">
        <v>1481</v>
      </c>
      <c r="G14" s="84">
        <f>161</f>
        <v>161</v>
      </c>
      <c r="H14" s="2" t="s">
        <v>122</v>
      </c>
      <c r="I14" t="s">
        <v>1480</v>
      </c>
      <c r="J14" t="s">
        <v>5</v>
      </c>
      <c r="K14" s="24">
        <v>9.1999999999999993</v>
      </c>
      <c r="L14" s="25" t="s">
        <v>16</v>
      </c>
      <c r="M14" s="25" t="s">
        <v>1482</v>
      </c>
      <c r="N14" s="25" t="s">
        <v>18</v>
      </c>
      <c r="O14" s="25" t="s">
        <v>291</v>
      </c>
      <c r="P14" s="4" t="s">
        <v>20</v>
      </c>
      <c r="Q14" s="4" t="s">
        <v>1483</v>
      </c>
      <c r="R14" s="4" t="s">
        <v>8</v>
      </c>
      <c r="S14" s="4" t="s">
        <v>1430</v>
      </c>
      <c r="T14" s="4" t="s">
        <v>61</v>
      </c>
      <c r="U14" s="19">
        <v>1</v>
      </c>
      <c r="V14" s="20">
        <v>6.805555555555555E-2</v>
      </c>
      <c r="W14" s="4" t="s">
        <v>10</v>
      </c>
      <c r="X14" s="4" t="s">
        <v>89</v>
      </c>
      <c r="Y14" s="4" t="s">
        <v>1379</v>
      </c>
      <c r="Z14" s="26" t="s">
        <v>1484</v>
      </c>
      <c r="AA14" s="21"/>
      <c r="AB14" s="21"/>
    </row>
    <row r="15" spans="1:56" ht="14.25">
      <c r="A15" s="3"/>
      <c r="B15" s="1" t="s">
        <v>1485</v>
      </c>
      <c r="C15" s="76">
        <v>-525</v>
      </c>
      <c r="D15" s="1" t="s">
        <v>1486</v>
      </c>
      <c r="E15" s="76">
        <f>400</f>
        <v>400</v>
      </c>
      <c r="F15" s="1" t="s">
        <v>1485</v>
      </c>
      <c r="G15" s="76">
        <v>-525</v>
      </c>
      <c r="H15" s="2" t="s">
        <v>122</v>
      </c>
      <c r="I15" t="s">
        <v>1485</v>
      </c>
      <c r="J15" t="s">
        <v>5</v>
      </c>
      <c r="K15" s="3"/>
      <c r="L15" s="3" t="s">
        <v>840</v>
      </c>
      <c r="M15" s="3" t="s">
        <v>1487</v>
      </c>
      <c r="N15" s="3" t="s">
        <v>29</v>
      </c>
      <c r="O15" s="3" t="s">
        <v>30</v>
      </c>
      <c r="P15" s="4" t="s">
        <v>160</v>
      </c>
      <c r="Q15" s="4" t="s">
        <v>1488</v>
      </c>
      <c r="R15" s="4" t="s">
        <v>8</v>
      </c>
      <c r="S15" s="4" t="s">
        <v>1430</v>
      </c>
      <c r="T15" s="4" t="s">
        <v>9</v>
      </c>
      <c r="U15" s="19">
        <v>3</v>
      </c>
      <c r="V15" s="20">
        <v>0.20833333333333334</v>
      </c>
      <c r="W15" s="4" t="s">
        <v>10</v>
      </c>
      <c r="X15" s="4" t="s">
        <v>55</v>
      </c>
      <c r="Y15" s="4" t="s">
        <v>1489</v>
      </c>
      <c r="Z15" s="26" t="s">
        <v>1490</v>
      </c>
      <c r="AA15" s="21"/>
      <c r="AB15" s="21"/>
    </row>
    <row r="16" spans="1:56" ht="15.75" customHeight="1">
      <c r="A16" s="3"/>
      <c r="B16" s="1" t="s">
        <v>1491</v>
      </c>
      <c r="C16" s="76">
        <v>-135</v>
      </c>
      <c r="D16" s="1" t="s">
        <v>1447</v>
      </c>
      <c r="E16" s="76">
        <f>115</f>
        <v>115</v>
      </c>
      <c r="F16" s="1" t="s">
        <v>1491</v>
      </c>
      <c r="G16" s="48">
        <v>-140</v>
      </c>
      <c r="H16" s="2" t="s">
        <v>122</v>
      </c>
      <c r="I16" t="s">
        <v>1491</v>
      </c>
      <c r="J16" t="s">
        <v>5</v>
      </c>
      <c r="K16" s="3"/>
      <c r="L16" s="3" t="s">
        <v>840</v>
      </c>
      <c r="M16" s="3" t="s">
        <v>1487</v>
      </c>
      <c r="N16" s="3" t="s">
        <v>29</v>
      </c>
      <c r="O16" s="3" t="s">
        <v>30</v>
      </c>
      <c r="P16" s="4" t="s">
        <v>166</v>
      </c>
      <c r="Q16" s="4" t="s">
        <v>1492</v>
      </c>
      <c r="R16" s="4" t="s">
        <v>8</v>
      </c>
      <c r="S16" s="4" t="s">
        <v>1430</v>
      </c>
      <c r="T16" s="4" t="s">
        <v>9</v>
      </c>
      <c r="U16" s="19">
        <v>3</v>
      </c>
      <c r="V16" s="20">
        <v>0.20833333333333334</v>
      </c>
      <c r="W16" s="4" t="s">
        <v>10</v>
      </c>
      <c r="X16" s="4" t="s">
        <v>89</v>
      </c>
      <c r="Y16" s="4" t="s">
        <v>1420</v>
      </c>
      <c r="Z16" s="26" t="s">
        <v>1493</v>
      </c>
      <c r="AA16" s="21"/>
      <c r="AB16" s="21"/>
    </row>
    <row r="17" spans="1:28" ht="14.25">
      <c r="A17" s="3"/>
      <c r="B17" s="1" t="s">
        <v>1494</v>
      </c>
      <c r="C17" s="76">
        <v>-260</v>
      </c>
      <c r="D17" s="1" t="s">
        <v>1495</v>
      </c>
      <c r="E17" s="76">
        <f>220</f>
        <v>220</v>
      </c>
      <c r="F17" s="1" t="s">
        <v>1494</v>
      </c>
      <c r="G17" s="76">
        <v>-260</v>
      </c>
      <c r="H17" s="2" t="s">
        <v>5</v>
      </c>
      <c r="I17" t="s">
        <v>1494</v>
      </c>
      <c r="J17" t="s">
        <v>5</v>
      </c>
      <c r="K17" s="3"/>
      <c r="L17" s="3"/>
      <c r="M17" s="3"/>
      <c r="N17" s="3"/>
      <c r="O17" s="3"/>
      <c r="P17" s="4" t="s">
        <v>177</v>
      </c>
      <c r="Q17" s="4" t="s">
        <v>1496</v>
      </c>
      <c r="R17" s="4" t="s">
        <v>8</v>
      </c>
      <c r="S17" s="4" t="s">
        <v>1430</v>
      </c>
      <c r="T17" s="4" t="s">
        <v>9</v>
      </c>
      <c r="U17" s="19">
        <v>3</v>
      </c>
      <c r="V17" s="20">
        <v>0.20833333333333334</v>
      </c>
      <c r="W17" s="4" t="s">
        <v>10</v>
      </c>
      <c r="X17" s="4" t="s">
        <v>96</v>
      </c>
      <c r="Y17" s="4" t="s">
        <v>1497</v>
      </c>
      <c r="Z17" s="26" t="s">
        <v>1498</v>
      </c>
      <c r="AA17" s="21"/>
      <c r="AB17" s="21"/>
    </row>
    <row r="18" spans="1:28" ht="14.25">
      <c r="A18" s="3"/>
      <c r="B18" s="1" t="s">
        <v>1499</v>
      </c>
      <c r="C18" s="76">
        <v>-230</v>
      </c>
      <c r="D18" s="33" t="s">
        <v>1500</v>
      </c>
      <c r="E18" s="76">
        <f>195</f>
        <v>195</v>
      </c>
      <c r="F18" s="34" t="s">
        <v>1499</v>
      </c>
      <c r="G18" s="76">
        <v>-230</v>
      </c>
      <c r="H18" s="2" t="s">
        <v>122</v>
      </c>
      <c r="I18" t="s">
        <v>1499</v>
      </c>
      <c r="J18" t="s">
        <v>5</v>
      </c>
      <c r="K18" s="3"/>
      <c r="L18" s="3"/>
      <c r="M18" s="3"/>
      <c r="N18" s="3"/>
      <c r="O18" s="3"/>
      <c r="P18" s="4" t="s">
        <v>185</v>
      </c>
      <c r="Q18" s="4" t="s">
        <v>1501</v>
      </c>
      <c r="R18" s="4" t="s">
        <v>8</v>
      </c>
      <c r="S18" s="4" t="s">
        <v>1430</v>
      </c>
      <c r="T18" s="4" t="s">
        <v>46</v>
      </c>
      <c r="U18" s="19">
        <v>2</v>
      </c>
      <c r="V18" s="20">
        <v>0.13333333333333333</v>
      </c>
      <c r="W18" s="4" t="s">
        <v>10</v>
      </c>
      <c r="X18" s="4" t="s">
        <v>187</v>
      </c>
      <c r="Y18" s="4" t="s">
        <v>258</v>
      </c>
      <c r="Z18" s="26" t="s">
        <v>1502</v>
      </c>
      <c r="AA18" s="21"/>
      <c r="AB18" s="21"/>
    </row>
    <row r="19" spans="1:28" ht="14.25">
      <c r="A19" s="3"/>
      <c r="B19" s="1" t="s">
        <v>1503</v>
      </c>
      <c r="C19" s="24">
        <f>230</f>
        <v>230</v>
      </c>
      <c r="D19" s="1" t="s">
        <v>1504</v>
      </c>
      <c r="E19" s="24">
        <v>-270</v>
      </c>
      <c r="F19" s="1" t="s">
        <v>1503</v>
      </c>
      <c r="G19" s="24">
        <f t="shared" ref="G19:G20" si="0">230</f>
        <v>230</v>
      </c>
      <c r="H19" s="2" t="s">
        <v>5</v>
      </c>
      <c r="I19" t="s">
        <v>1504</v>
      </c>
      <c r="J19" t="s">
        <v>5</v>
      </c>
      <c r="K19" s="3"/>
      <c r="L19" s="3"/>
      <c r="M19" s="3"/>
      <c r="N19" s="3"/>
      <c r="O19" s="3"/>
      <c r="P19" s="4" t="s">
        <v>52</v>
      </c>
      <c r="Q19" s="4" t="s">
        <v>1505</v>
      </c>
      <c r="R19" s="4" t="s">
        <v>22</v>
      </c>
      <c r="S19" s="4" t="s">
        <v>1430</v>
      </c>
      <c r="T19" s="4" t="s">
        <v>193</v>
      </c>
      <c r="U19" s="19">
        <v>3</v>
      </c>
      <c r="V19" s="20">
        <v>0.20833333333333334</v>
      </c>
      <c r="W19" s="4" t="s">
        <v>10</v>
      </c>
      <c r="X19" s="4" t="s">
        <v>11</v>
      </c>
      <c r="Y19" s="4" t="s">
        <v>1506</v>
      </c>
      <c r="Z19" s="26" t="s">
        <v>1507</v>
      </c>
      <c r="AA19" s="21"/>
      <c r="AB19" s="21"/>
    </row>
    <row r="20" spans="1:28" ht="14.25">
      <c r="A20" s="3"/>
      <c r="B20" s="1" t="s">
        <v>1508</v>
      </c>
      <c r="C20" s="24">
        <v>-230</v>
      </c>
      <c r="D20" s="1" t="s">
        <v>1397</v>
      </c>
      <c r="E20" s="24">
        <f>230</f>
        <v>230</v>
      </c>
      <c r="F20" s="1" t="s">
        <v>1397</v>
      </c>
      <c r="G20" s="24">
        <f t="shared" si="0"/>
        <v>230</v>
      </c>
      <c r="H20" s="2" t="s">
        <v>5</v>
      </c>
      <c r="I20" t="s">
        <v>1397</v>
      </c>
      <c r="J20" t="s">
        <v>5</v>
      </c>
      <c r="K20" s="3"/>
      <c r="L20" s="3"/>
      <c r="M20" s="3"/>
      <c r="N20" s="3"/>
      <c r="O20" s="3"/>
      <c r="P20" s="4" t="s">
        <v>65</v>
      </c>
      <c r="Q20" s="4" t="s">
        <v>1509</v>
      </c>
      <c r="R20" s="4" t="s">
        <v>22</v>
      </c>
      <c r="S20" s="4" t="s">
        <v>1430</v>
      </c>
      <c r="T20" s="4" t="s">
        <v>46</v>
      </c>
      <c r="U20" s="19">
        <v>3</v>
      </c>
      <c r="V20" s="20">
        <v>0.16180555555555556</v>
      </c>
      <c r="W20" s="4" t="s">
        <v>10</v>
      </c>
      <c r="X20" s="4" t="s">
        <v>23</v>
      </c>
      <c r="Y20" s="4" t="s">
        <v>97</v>
      </c>
      <c r="Z20" s="26" t="s">
        <v>1510</v>
      </c>
      <c r="AA20" s="21"/>
      <c r="AB20" s="21"/>
    </row>
    <row r="21" spans="1:28" ht="14.25">
      <c r="A21" s="3"/>
      <c r="B21" s="38" t="s">
        <v>1511</v>
      </c>
      <c r="C21" s="80">
        <f>600</f>
        <v>600</v>
      </c>
      <c r="D21" s="38" t="s">
        <v>1512</v>
      </c>
      <c r="E21" s="80">
        <v>-600</v>
      </c>
      <c r="F21" s="38" t="s">
        <v>1511</v>
      </c>
      <c r="G21" s="80">
        <f>600</f>
        <v>600</v>
      </c>
      <c r="H21" s="41" t="s">
        <v>5</v>
      </c>
      <c r="I21" t="s">
        <v>13068</v>
      </c>
      <c r="J21" t="s">
        <v>13069</v>
      </c>
      <c r="K21" s="3"/>
      <c r="L21" s="3"/>
      <c r="M21" s="3"/>
      <c r="N21" s="3"/>
      <c r="O21" s="3"/>
      <c r="P21" s="4" t="s">
        <v>231</v>
      </c>
      <c r="Q21" s="4" t="s">
        <v>1513</v>
      </c>
      <c r="R21" s="4" t="s">
        <v>8</v>
      </c>
      <c r="S21" s="4" t="s">
        <v>1430</v>
      </c>
      <c r="T21" s="4" t="s">
        <v>46</v>
      </c>
      <c r="U21" s="19">
        <v>2</v>
      </c>
      <c r="V21" s="20">
        <v>9.3055555555555558E-2</v>
      </c>
      <c r="W21" s="4" t="s">
        <v>10</v>
      </c>
      <c r="X21" s="4" t="s">
        <v>245</v>
      </c>
      <c r="Y21" s="4" t="s">
        <v>430</v>
      </c>
      <c r="Z21" s="3"/>
    </row>
    <row r="22" spans="1:28" ht="14.25">
      <c r="A22" s="3"/>
      <c r="B22" s="1" t="s">
        <v>1514</v>
      </c>
      <c r="C22" s="24">
        <v>-360</v>
      </c>
      <c r="D22" s="1" t="s">
        <v>1515</v>
      </c>
      <c r="E22" s="24">
        <f>360</f>
        <v>360</v>
      </c>
      <c r="F22" s="1" t="s">
        <v>1515</v>
      </c>
      <c r="G22" s="24">
        <f>360</f>
        <v>360</v>
      </c>
      <c r="H22" s="2" t="s">
        <v>5</v>
      </c>
      <c r="I22" t="s">
        <v>13068</v>
      </c>
      <c r="J22" t="s">
        <v>13069</v>
      </c>
      <c r="K22" s="3"/>
      <c r="L22" s="3"/>
      <c r="M22" s="3"/>
      <c r="N22" s="3"/>
      <c r="O22" s="3"/>
      <c r="P22" s="4" t="s">
        <v>71</v>
      </c>
      <c r="Q22" s="4" t="s">
        <v>1516</v>
      </c>
      <c r="R22" s="4" t="s">
        <v>22</v>
      </c>
      <c r="S22" s="4" t="s">
        <v>1430</v>
      </c>
      <c r="T22" s="4" t="s">
        <v>9</v>
      </c>
      <c r="U22" s="19">
        <v>3</v>
      </c>
      <c r="V22" s="20">
        <v>0.20833333333333334</v>
      </c>
      <c r="W22" s="4" t="s">
        <v>10</v>
      </c>
      <c r="X22" s="4" t="s">
        <v>23</v>
      </c>
      <c r="Y22" s="4" t="s">
        <v>1517</v>
      </c>
      <c r="Z22" s="3"/>
    </row>
  </sheetData>
  <hyperlinks>
    <hyperlink ref="Z5" r:id="rId1" xr:uid="{00000000-0004-0000-0600-000000000000}"/>
    <hyperlink ref="Z6" r:id="rId2" xr:uid="{00000000-0004-0000-0600-000001000000}"/>
    <hyperlink ref="Z7" r:id="rId3" xr:uid="{00000000-0004-0000-0600-000002000000}"/>
    <hyperlink ref="Z8" r:id="rId4" xr:uid="{00000000-0004-0000-0600-000003000000}"/>
    <hyperlink ref="Z10" r:id="rId5" xr:uid="{00000000-0004-0000-0600-000004000000}"/>
    <hyperlink ref="Z11" r:id="rId6" xr:uid="{00000000-0004-0000-0600-000005000000}"/>
    <hyperlink ref="Z12" r:id="rId7" xr:uid="{00000000-0004-0000-0600-000006000000}"/>
    <hyperlink ref="Z13" r:id="rId8" xr:uid="{00000000-0004-0000-0600-000007000000}"/>
    <hyperlink ref="Z14" r:id="rId9" xr:uid="{00000000-0004-0000-0600-000008000000}"/>
    <hyperlink ref="Z15" r:id="rId10" xr:uid="{00000000-0004-0000-0600-000009000000}"/>
    <hyperlink ref="Z16" r:id="rId11" xr:uid="{00000000-0004-0000-0600-00000A000000}"/>
    <hyperlink ref="Z17" r:id="rId12" xr:uid="{00000000-0004-0000-0600-00000B000000}"/>
    <hyperlink ref="D18" r:id="rId13" xr:uid="{00000000-0004-0000-0600-00000C000000}"/>
    <hyperlink ref="F18" r:id="rId14" xr:uid="{00000000-0004-0000-0600-00000D000000}"/>
    <hyperlink ref="Z18" r:id="rId15" xr:uid="{00000000-0004-0000-0600-00000E000000}"/>
    <hyperlink ref="Z19" r:id="rId16" xr:uid="{00000000-0004-0000-0600-00000F000000}"/>
    <hyperlink ref="Z20" r:id="rId17" xr:uid="{00000000-0004-0000-0600-00001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D51"/>
  <sheetViews>
    <sheetView topLeftCell="A16" workbookViewId="0">
      <selection activeCell="F46" sqref="F46"/>
    </sheetView>
  </sheetViews>
  <sheetFormatPr defaultColWidth="12.5703125" defaultRowHeight="15.75" customHeight="1"/>
  <sheetData>
    <row r="1" spans="1:56" ht="12.75">
      <c r="A1" s="99"/>
      <c r="B1" s="99"/>
      <c r="C1" s="100" t="s">
        <v>5</v>
      </c>
      <c r="D1" s="99"/>
      <c r="E1" s="100" t="s">
        <v>1</v>
      </c>
      <c r="F1" s="99"/>
      <c r="G1" s="101" t="s">
        <v>1519</v>
      </c>
      <c r="H1" s="99" t="s">
        <v>1520</v>
      </c>
      <c r="I1" s="99" t="s">
        <v>13066</v>
      </c>
      <c r="J1" s="99" t="s">
        <v>13067</v>
      </c>
      <c r="K1" s="99" t="s">
        <v>1521</v>
      </c>
      <c r="L1" s="99" t="s">
        <v>1522</v>
      </c>
      <c r="M1" s="99" t="s">
        <v>1523</v>
      </c>
      <c r="N1" s="99" t="s">
        <v>46</v>
      </c>
      <c r="O1" s="99"/>
      <c r="P1" s="99"/>
      <c r="Q1" s="99"/>
      <c r="R1" s="99"/>
      <c r="S1" s="99"/>
      <c r="T1" s="99"/>
      <c r="U1" s="99"/>
      <c r="V1" s="102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</row>
    <row r="2" spans="1:56" ht="12.75">
      <c r="A2" s="7"/>
      <c r="B2" s="7"/>
      <c r="C2" s="8">
        <f>COUNTIF(H3:H102, "win")</f>
        <v>35</v>
      </c>
      <c r="D2" s="7"/>
      <c r="E2" s="8">
        <f>COUNTIF(H3:H102, "loss")</f>
        <v>13</v>
      </c>
      <c r="F2" s="103" t="s">
        <v>2</v>
      </c>
      <c r="G2" s="104">
        <f>COUNTIF(H3:H102, "win") / (COUNTIF(H3:H102, "win") + COUNTIF(H3:H102, "loss"))</f>
        <v>0.72916666666666663</v>
      </c>
      <c r="H2" s="7"/>
      <c r="I2" s="7"/>
      <c r="J2" s="104">
        <f>COUNTIF(J3:J102, "Win") / (COUNTIF(J3:J102, "Win") + COUNTIF(J3:J102, "Loss"))</f>
        <v>0.8666666666666667</v>
      </c>
      <c r="K2" s="60">
        <f>COUNTIF(T2:T100, "Decision - split")</f>
        <v>5</v>
      </c>
      <c r="L2" s="60">
        <f>COUNTIF(T2:T100, "Decision - Unanimous")</f>
        <v>14</v>
      </c>
      <c r="M2" s="60">
        <f>COUNTIF(T2:T100, "Submission")</f>
        <v>7</v>
      </c>
      <c r="N2" s="60">
        <f>COUNTIF(T2:T100, "KO/TKO")</f>
        <v>21</v>
      </c>
      <c r="O2" s="7"/>
      <c r="P2" s="7"/>
      <c r="Q2" s="7"/>
      <c r="R2" s="7"/>
      <c r="S2" s="7"/>
      <c r="T2" s="7"/>
      <c r="U2" s="7"/>
      <c r="V2" s="105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</row>
    <row r="3" spans="1:56" ht="14.25">
      <c r="A3" s="3"/>
      <c r="B3" s="54" t="s">
        <v>698</v>
      </c>
      <c r="C3" s="16">
        <v>-395</v>
      </c>
      <c r="D3" s="54" t="s">
        <v>699</v>
      </c>
      <c r="E3" s="17">
        <f>395</f>
        <v>395</v>
      </c>
      <c r="F3" s="61" t="s">
        <v>698</v>
      </c>
      <c r="G3" s="2">
        <v>-395</v>
      </c>
      <c r="H3" s="71" t="s">
        <v>5</v>
      </c>
      <c r="I3" t="s">
        <v>13068</v>
      </c>
      <c r="J3" t="s">
        <v>13069</v>
      </c>
      <c r="L3" s="3"/>
      <c r="M3" s="3"/>
      <c r="N3" s="3"/>
      <c r="O3" s="3"/>
      <c r="P3" s="4" t="s">
        <v>6</v>
      </c>
      <c r="Q3" s="4" t="s">
        <v>700</v>
      </c>
      <c r="R3" s="4" t="s">
        <v>8</v>
      </c>
      <c r="S3" s="4" t="s">
        <v>701</v>
      </c>
      <c r="T3" s="4" t="s">
        <v>46</v>
      </c>
      <c r="U3" s="19">
        <v>1</v>
      </c>
      <c r="V3" s="20">
        <v>0.10833333333333334</v>
      </c>
      <c r="W3" s="4" t="s">
        <v>10</v>
      </c>
      <c r="X3" s="4" t="s">
        <v>23</v>
      </c>
      <c r="Y3" s="4" t="s">
        <v>97</v>
      </c>
      <c r="Z3" s="3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</row>
    <row r="4" spans="1:56" ht="14.25">
      <c r="A4" s="3"/>
      <c r="B4" s="54" t="s">
        <v>702</v>
      </c>
      <c r="C4" s="16">
        <f>380</f>
        <v>380</v>
      </c>
      <c r="D4" s="54" t="s">
        <v>703</v>
      </c>
      <c r="E4" s="17">
        <v>-380</v>
      </c>
      <c r="F4" s="61" t="s">
        <v>703</v>
      </c>
      <c r="G4" s="2">
        <v>-380</v>
      </c>
      <c r="H4" s="71" t="s">
        <v>5</v>
      </c>
      <c r="I4" t="s">
        <v>13068</v>
      </c>
      <c r="J4" t="s">
        <v>13069</v>
      </c>
      <c r="L4" s="3"/>
      <c r="M4" s="3"/>
      <c r="N4" s="3"/>
      <c r="O4" s="3"/>
      <c r="P4" s="4" t="s">
        <v>6</v>
      </c>
      <c r="Q4" s="4" t="s">
        <v>704</v>
      </c>
      <c r="R4" s="4" t="s">
        <v>22</v>
      </c>
      <c r="S4" s="4" t="s">
        <v>701</v>
      </c>
      <c r="T4" s="4" t="s">
        <v>46</v>
      </c>
      <c r="U4" s="19">
        <v>1</v>
      </c>
      <c r="V4" s="20">
        <v>2.2916666666666665E-2</v>
      </c>
      <c r="W4" s="4" t="s">
        <v>54</v>
      </c>
      <c r="X4" s="4" t="s">
        <v>11</v>
      </c>
      <c r="Y4" s="4" t="s">
        <v>48</v>
      </c>
      <c r="Z4" s="3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</row>
    <row r="5" spans="1:56" ht="14.25">
      <c r="A5" s="3"/>
      <c r="B5" s="54" t="s">
        <v>705</v>
      </c>
      <c r="C5" s="16">
        <f>130</f>
        <v>130</v>
      </c>
      <c r="D5" s="54" t="s">
        <v>706</v>
      </c>
      <c r="E5" s="17">
        <v>-130</v>
      </c>
      <c r="F5" s="54" t="s">
        <v>705</v>
      </c>
      <c r="G5" s="16">
        <f>130</f>
        <v>130</v>
      </c>
      <c r="H5" s="2" t="s">
        <v>707</v>
      </c>
      <c r="I5" t="s">
        <v>706</v>
      </c>
      <c r="J5" t="s">
        <v>1</v>
      </c>
      <c r="K5" s="3"/>
      <c r="L5" s="3"/>
      <c r="M5" s="3"/>
      <c r="N5" s="3"/>
      <c r="O5" s="3"/>
      <c r="P5" s="4" t="s">
        <v>223</v>
      </c>
      <c r="Q5" s="4" t="s">
        <v>708</v>
      </c>
      <c r="R5" s="4" t="s">
        <v>709</v>
      </c>
      <c r="S5" s="4" t="s">
        <v>701</v>
      </c>
      <c r="T5" s="4" t="s">
        <v>710</v>
      </c>
      <c r="U5" s="19">
        <v>3</v>
      </c>
      <c r="V5" s="20">
        <v>0.20833333333333334</v>
      </c>
      <c r="W5" s="4" t="s">
        <v>10</v>
      </c>
      <c r="X5" s="4" t="s">
        <v>11</v>
      </c>
      <c r="Y5" s="4" t="s">
        <v>711</v>
      </c>
      <c r="Z5" s="26" t="s">
        <v>712</v>
      </c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</row>
    <row r="6" spans="1:56" ht="14.25">
      <c r="A6" s="3"/>
      <c r="B6" s="54" t="s">
        <v>713</v>
      </c>
      <c r="C6" s="22">
        <f>295</f>
        <v>295</v>
      </c>
      <c r="D6" s="54" t="s">
        <v>714</v>
      </c>
      <c r="E6" s="23">
        <v>-360</v>
      </c>
      <c r="F6" s="54" t="s">
        <v>714</v>
      </c>
      <c r="G6" s="22">
        <v>-360</v>
      </c>
      <c r="H6" s="2" t="s">
        <v>1</v>
      </c>
      <c r="I6" t="s">
        <v>713</v>
      </c>
      <c r="J6" t="s">
        <v>5</v>
      </c>
      <c r="K6" s="24">
        <v>7.8</v>
      </c>
      <c r="L6" s="1" t="s">
        <v>61</v>
      </c>
      <c r="M6" s="24">
        <v>-200</v>
      </c>
      <c r="N6" s="1" t="s">
        <v>715</v>
      </c>
      <c r="O6" s="3"/>
      <c r="P6" s="4" t="s">
        <v>339</v>
      </c>
      <c r="Q6" s="4" t="s">
        <v>716</v>
      </c>
      <c r="R6" s="4" t="s">
        <v>8</v>
      </c>
      <c r="S6" s="4" t="s">
        <v>701</v>
      </c>
      <c r="T6" s="4" t="s">
        <v>46</v>
      </c>
      <c r="U6" s="19">
        <v>3</v>
      </c>
      <c r="V6" s="20">
        <v>0.20208333333333334</v>
      </c>
      <c r="W6" s="4" t="s">
        <v>10</v>
      </c>
      <c r="X6" s="4" t="s">
        <v>263</v>
      </c>
      <c r="Y6" s="4" t="s">
        <v>430</v>
      </c>
      <c r="Z6" s="26" t="s">
        <v>717</v>
      </c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</row>
    <row r="7" spans="1:56" ht="14.25">
      <c r="A7" s="3"/>
      <c r="B7" s="54" t="s">
        <v>718</v>
      </c>
      <c r="C7" s="22">
        <f>148</f>
        <v>148</v>
      </c>
      <c r="D7" s="54" t="s">
        <v>719</v>
      </c>
      <c r="E7" s="23">
        <v>-168</v>
      </c>
      <c r="F7" s="54" t="s">
        <v>718</v>
      </c>
      <c r="G7" s="22">
        <f>148</f>
        <v>148</v>
      </c>
      <c r="H7" s="2" t="s">
        <v>1</v>
      </c>
      <c r="I7" t="s">
        <v>719</v>
      </c>
      <c r="J7" t="s">
        <v>5</v>
      </c>
      <c r="K7" s="24">
        <v>7.5</v>
      </c>
      <c r="L7" s="1" t="s">
        <v>61</v>
      </c>
      <c r="M7" s="24">
        <v>-190</v>
      </c>
      <c r="N7" s="1" t="s">
        <v>720</v>
      </c>
      <c r="O7" s="3"/>
      <c r="P7" s="4" t="s">
        <v>339</v>
      </c>
      <c r="Q7" s="4" t="s">
        <v>721</v>
      </c>
      <c r="R7" s="4" t="s">
        <v>22</v>
      </c>
      <c r="S7" s="4" t="s">
        <v>701</v>
      </c>
      <c r="T7" s="4" t="s">
        <v>46</v>
      </c>
      <c r="U7" s="19">
        <v>1</v>
      </c>
      <c r="V7" s="20">
        <v>2.5694444444444443E-2</v>
      </c>
      <c r="W7" s="4" t="s">
        <v>10</v>
      </c>
      <c r="X7" s="4" t="s">
        <v>263</v>
      </c>
      <c r="Y7" s="4" t="s">
        <v>722</v>
      </c>
      <c r="Z7" s="26" t="s">
        <v>723</v>
      </c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</row>
    <row r="8" spans="1:56" ht="14.25">
      <c r="A8" s="3"/>
      <c r="B8" s="54" t="s">
        <v>724</v>
      </c>
      <c r="C8" s="22">
        <v>-350</v>
      </c>
      <c r="D8" s="54" t="s">
        <v>725</v>
      </c>
      <c r="E8" s="23">
        <f>285</f>
        <v>285</v>
      </c>
      <c r="F8" s="54" t="s">
        <v>724</v>
      </c>
      <c r="G8" s="22">
        <v>-350</v>
      </c>
      <c r="H8" s="2" t="s">
        <v>1</v>
      </c>
      <c r="I8" t="s">
        <v>724</v>
      </c>
      <c r="J8" t="s">
        <v>1</v>
      </c>
      <c r="K8" s="24">
        <v>8.5</v>
      </c>
      <c r="L8" s="1" t="s">
        <v>18</v>
      </c>
      <c r="M8" s="24">
        <v>-190</v>
      </c>
      <c r="N8" s="1"/>
      <c r="O8" s="1"/>
      <c r="P8" s="4" t="s">
        <v>94</v>
      </c>
      <c r="Q8" s="4" t="s">
        <v>726</v>
      </c>
      <c r="R8" s="4" t="s">
        <v>22</v>
      </c>
      <c r="S8" s="4" t="s">
        <v>701</v>
      </c>
      <c r="T8" s="4" t="s">
        <v>61</v>
      </c>
      <c r="U8" s="19">
        <v>1</v>
      </c>
      <c r="V8" s="20">
        <v>0.18958333333333333</v>
      </c>
      <c r="W8" s="4" t="s">
        <v>10</v>
      </c>
      <c r="X8" s="4" t="s">
        <v>55</v>
      </c>
      <c r="Y8" s="4" t="s">
        <v>67</v>
      </c>
      <c r="Z8" s="26" t="s">
        <v>727</v>
      </c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</row>
    <row r="9" spans="1:56" ht="14.25">
      <c r="A9" s="3"/>
      <c r="B9" s="54" t="s">
        <v>728</v>
      </c>
      <c r="C9" s="22">
        <f>167</f>
        <v>167</v>
      </c>
      <c r="D9" s="54" t="s">
        <v>729</v>
      </c>
      <c r="E9" s="23">
        <v>-192</v>
      </c>
      <c r="F9" s="54" t="s">
        <v>728</v>
      </c>
      <c r="G9" s="22">
        <f>167</f>
        <v>167</v>
      </c>
      <c r="H9" s="2" t="s">
        <v>1</v>
      </c>
      <c r="I9" t="s">
        <v>729</v>
      </c>
      <c r="J9" t="s">
        <v>5</v>
      </c>
      <c r="K9" s="24">
        <v>6.1</v>
      </c>
      <c r="L9" s="1" t="s">
        <v>18</v>
      </c>
      <c r="M9" s="24">
        <v>-115</v>
      </c>
      <c r="N9" s="1"/>
      <c r="O9" s="1"/>
      <c r="P9" s="4" t="s">
        <v>94</v>
      </c>
      <c r="Q9" s="4" t="s">
        <v>730</v>
      </c>
      <c r="R9" s="4" t="s">
        <v>22</v>
      </c>
      <c r="S9" s="4" t="s">
        <v>701</v>
      </c>
      <c r="T9" s="4" t="s">
        <v>193</v>
      </c>
      <c r="U9" s="19">
        <v>3</v>
      </c>
      <c r="V9" s="20">
        <v>0.20833333333333334</v>
      </c>
      <c r="W9" s="4" t="s">
        <v>10</v>
      </c>
      <c r="X9" s="4" t="s">
        <v>96</v>
      </c>
      <c r="Y9" s="4" t="s">
        <v>731</v>
      </c>
      <c r="Z9" s="26" t="s">
        <v>732</v>
      </c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</row>
    <row r="10" spans="1:56" ht="14.25">
      <c r="A10" s="3"/>
      <c r="B10" s="54" t="s">
        <v>733</v>
      </c>
      <c r="C10" s="22">
        <f>190</f>
        <v>190</v>
      </c>
      <c r="D10" s="54" t="s">
        <v>734</v>
      </c>
      <c r="E10" s="23">
        <v>-225</v>
      </c>
      <c r="F10" s="1" t="s">
        <v>733</v>
      </c>
      <c r="G10" s="23">
        <f>190</f>
        <v>190</v>
      </c>
      <c r="H10" s="2" t="s">
        <v>1</v>
      </c>
      <c r="I10" t="s">
        <v>734</v>
      </c>
      <c r="J10" t="s">
        <v>5</v>
      </c>
      <c r="K10" s="24">
        <v>8.1999999999999993</v>
      </c>
      <c r="L10" s="1" t="s">
        <v>61</v>
      </c>
      <c r="M10" s="1" t="s">
        <v>735</v>
      </c>
      <c r="N10" s="1" t="s">
        <v>736</v>
      </c>
      <c r="O10" s="3"/>
      <c r="P10" s="4" t="s">
        <v>103</v>
      </c>
      <c r="Q10" s="4" t="s">
        <v>737</v>
      </c>
      <c r="R10" s="4" t="s">
        <v>22</v>
      </c>
      <c r="S10" s="4" t="s">
        <v>701</v>
      </c>
      <c r="T10" s="4" t="s">
        <v>193</v>
      </c>
      <c r="U10" s="19">
        <v>3</v>
      </c>
      <c r="V10" s="20">
        <v>0.20833333333333334</v>
      </c>
      <c r="W10" s="4" t="s">
        <v>10</v>
      </c>
      <c r="X10" s="4" t="s">
        <v>39</v>
      </c>
      <c r="Y10" s="4" t="s">
        <v>738</v>
      </c>
      <c r="Z10" s="26" t="s">
        <v>739</v>
      </c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</row>
    <row r="11" spans="1:56" ht="14.25">
      <c r="A11" s="3"/>
      <c r="B11" s="54" t="s">
        <v>740</v>
      </c>
      <c r="C11" s="22">
        <v>-230</v>
      </c>
      <c r="D11" s="54" t="s">
        <v>741</v>
      </c>
      <c r="E11" s="23">
        <f>195</f>
        <v>195</v>
      </c>
      <c r="F11" s="54" t="s">
        <v>740</v>
      </c>
      <c r="G11" s="22">
        <v>-230</v>
      </c>
      <c r="H11" s="2" t="s">
        <v>1</v>
      </c>
      <c r="I11" t="s">
        <v>741</v>
      </c>
      <c r="J11" t="s">
        <v>5</v>
      </c>
      <c r="K11" s="24">
        <v>6.2</v>
      </c>
      <c r="L11" s="1" t="s">
        <v>61</v>
      </c>
      <c r="M11" s="1" t="s">
        <v>742</v>
      </c>
      <c r="N11" s="1" t="s">
        <v>743</v>
      </c>
      <c r="O11" s="3"/>
      <c r="P11" s="4" t="s">
        <v>103</v>
      </c>
      <c r="Q11" s="4" t="s">
        <v>744</v>
      </c>
      <c r="R11" s="4" t="s">
        <v>22</v>
      </c>
      <c r="S11" s="4" t="s">
        <v>701</v>
      </c>
      <c r="T11" s="4" t="s">
        <v>46</v>
      </c>
      <c r="U11" s="19">
        <v>2</v>
      </c>
      <c r="V11" s="20">
        <v>0.17430555555555555</v>
      </c>
      <c r="W11" s="4" t="s">
        <v>10</v>
      </c>
      <c r="X11" s="4" t="s">
        <v>55</v>
      </c>
      <c r="Y11" s="4" t="s">
        <v>430</v>
      </c>
      <c r="Z11" s="26" t="s">
        <v>745</v>
      </c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</row>
    <row r="12" spans="1:56" ht="14.25">
      <c r="A12" s="3"/>
      <c r="B12" s="54" t="s">
        <v>746</v>
      </c>
      <c r="C12" s="22">
        <v>-300</v>
      </c>
      <c r="D12" s="54" t="s">
        <v>747</v>
      </c>
      <c r="E12" s="23">
        <f>250</f>
        <v>250</v>
      </c>
      <c r="F12" s="1" t="s">
        <v>746</v>
      </c>
      <c r="G12" s="23">
        <v>-300</v>
      </c>
      <c r="H12" s="30" t="s">
        <v>1</v>
      </c>
      <c r="I12" t="s">
        <v>747</v>
      </c>
      <c r="J12" t="s">
        <v>5</v>
      </c>
      <c r="K12" s="24">
        <v>8</v>
      </c>
      <c r="L12" s="1" t="s">
        <v>427</v>
      </c>
      <c r="M12" s="3"/>
      <c r="N12" s="1" t="s">
        <v>748</v>
      </c>
      <c r="O12" s="3"/>
      <c r="P12" s="4" t="s">
        <v>79</v>
      </c>
      <c r="Q12" s="4" t="s">
        <v>749</v>
      </c>
      <c r="R12" s="4" t="s">
        <v>22</v>
      </c>
      <c r="S12" s="4" t="s">
        <v>701</v>
      </c>
      <c r="T12" s="4" t="s">
        <v>9</v>
      </c>
      <c r="U12" s="19">
        <v>3</v>
      </c>
      <c r="V12" s="20">
        <v>0.20833333333333334</v>
      </c>
      <c r="W12" s="4" t="s">
        <v>10</v>
      </c>
      <c r="X12" s="4" t="s">
        <v>11</v>
      </c>
      <c r="Y12" s="4" t="s">
        <v>750</v>
      </c>
      <c r="Z12" s="26" t="s">
        <v>751</v>
      </c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</row>
    <row r="13" spans="1:56" ht="14.25">
      <c r="A13" s="3"/>
      <c r="B13" s="54" t="s">
        <v>752</v>
      </c>
      <c r="C13" s="22">
        <f>135</f>
        <v>135</v>
      </c>
      <c r="D13" s="54" t="s">
        <v>753</v>
      </c>
      <c r="E13" s="23">
        <v>-155</v>
      </c>
      <c r="F13" s="1" t="s">
        <v>752</v>
      </c>
      <c r="G13" s="22">
        <f>135</f>
        <v>135</v>
      </c>
      <c r="H13" s="30" t="s">
        <v>1</v>
      </c>
      <c r="I13" t="s">
        <v>753</v>
      </c>
      <c r="J13" t="s">
        <v>5</v>
      </c>
      <c r="K13" s="3"/>
      <c r="L13" s="3" t="s">
        <v>16</v>
      </c>
      <c r="M13" s="3" t="s">
        <v>754</v>
      </c>
      <c r="N13" s="3" t="s">
        <v>29</v>
      </c>
      <c r="O13" s="3" t="s">
        <v>30</v>
      </c>
      <c r="P13" s="4" t="s">
        <v>125</v>
      </c>
      <c r="Q13" s="4" t="s">
        <v>755</v>
      </c>
      <c r="R13" s="4" t="s">
        <v>22</v>
      </c>
      <c r="S13" s="4" t="s">
        <v>701</v>
      </c>
      <c r="T13" s="4" t="s">
        <v>9</v>
      </c>
      <c r="U13" s="19">
        <v>3</v>
      </c>
      <c r="V13" s="20">
        <v>0.20833333333333334</v>
      </c>
      <c r="W13" s="4" t="s">
        <v>10</v>
      </c>
      <c r="X13" s="4" t="s">
        <v>39</v>
      </c>
      <c r="Y13" s="4" t="s">
        <v>756</v>
      </c>
      <c r="Z13" s="26" t="s">
        <v>757</v>
      </c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</row>
    <row r="14" spans="1:56" ht="14.25">
      <c r="A14" s="3"/>
      <c r="B14" s="54" t="s">
        <v>758</v>
      </c>
      <c r="C14" s="27">
        <v>-182</v>
      </c>
      <c r="D14" s="54" t="s">
        <v>759</v>
      </c>
      <c r="E14" s="28">
        <f>157</f>
        <v>157</v>
      </c>
      <c r="F14" s="54" t="s">
        <v>758</v>
      </c>
      <c r="G14" s="28">
        <v>-182</v>
      </c>
      <c r="H14" s="2" t="s">
        <v>1</v>
      </c>
      <c r="I14" t="s">
        <v>759</v>
      </c>
      <c r="J14" t="s">
        <v>5</v>
      </c>
      <c r="K14" s="3"/>
      <c r="L14" s="3" t="s">
        <v>16</v>
      </c>
      <c r="M14" s="3" t="s">
        <v>754</v>
      </c>
      <c r="N14" s="3" t="s">
        <v>760</v>
      </c>
      <c r="O14" s="3" t="s">
        <v>603</v>
      </c>
      <c r="P14" s="4" t="s">
        <v>31</v>
      </c>
      <c r="Q14" s="4" t="s">
        <v>761</v>
      </c>
      <c r="R14" s="4" t="s">
        <v>22</v>
      </c>
      <c r="S14" s="4" t="s">
        <v>701</v>
      </c>
      <c r="T14" s="4" t="s">
        <v>46</v>
      </c>
      <c r="U14" s="19">
        <v>3</v>
      </c>
      <c r="V14" s="20">
        <v>3.4027777777777775E-2</v>
      </c>
      <c r="W14" s="4" t="s">
        <v>10</v>
      </c>
      <c r="X14" s="4" t="s">
        <v>23</v>
      </c>
      <c r="Y14" s="4" t="s">
        <v>48</v>
      </c>
      <c r="Z14" s="26" t="s">
        <v>762</v>
      </c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</row>
    <row r="15" spans="1:56" ht="14.25">
      <c r="A15" s="3"/>
      <c r="B15" s="54" t="s">
        <v>763</v>
      </c>
      <c r="C15" s="16">
        <f>270</f>
        <v>270</v>
      </c>
      <c r="D15" s="54" t="s">
        <v>764</v>
      </c>
      <c r="E15" s="17">
        <v>-330</v>
      </c>
      <c r="F15" s="54" t="s">
        <v>764</v>
      </c>
      <c r="G15" s="27">
        <v>-330</v>
      </c>
      <c r="H15" s="2" t="s">
        <v>1</v>
      </c>
      <c r="I15" t="s">
        <v>763</v>
      </c>
      <c r="J15" t="s">
        <v>5</v>
      </c>
      <c r="K15" s="3"/>
      <c r="L15" s="3"/>
      <c r="M15" s="3"/>
      <c r="N15" s="3"/>
      <c r="O15" s="3"/>
      <c r="P15" s="4" t="s">
        <v>37</v>
      </c>
      <c r="Q15" s="4" t="s">
        <v>765</v>
      </c>
      <c r="R15" s="4" t="s">
        <v>8</v>
      </c>
      <c r="S15" s="4" t="s">
        <v>701</v>
      </c>
      <c r="T15" s="4" t="s">
        <v>46</v>
      </c>
      <c r="U15" s="19">
        <v>1</v>
      </c>
      <c r="V15" s="20">
        <v>4.3749999999999997E-2</v>
      </c>
      <c r="W15" s="4" t="s">
        <v>10</v>
      </c>
      <c r="X15" s="4" t="s">
        <v>226</v>
      </c>
      <c r="Y15" s="4" t="s">
        <v>127</v>
      </c>
      <c r="Z15" s="26" t="s">
        <v>766</v>
      </c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</row>
    <row r="16" spans="1:56" ht="14.25">
      <c r="A16" s="3"/>
      <c r="B16" s="54" t="s">
        <v>767</v>
      </c>
      <c r="C16" s="16">
        <f>275</f>
        <v>275</v>
      </c>
      <c r="D16" s="54" t="s">
        <v>768</v>
      </c>
      <c r="E16" s="17">
        <v>-325</v>
      </c>
      <c r="F16" s="54" t="s">
        <v>767</v>
      </c>
      <c r="G16" s="16">
        <f>275</f>
        <v>275</v>
      </c>
      <c r="H16" s="2" t="s">
        <v>1</v>
      </c>
      <c r="I16" t="s">
        <v>767</v>
      </c>
      <c r="J16" t="s">
        <v>5</v>
      </c>
      <c r="K16" s="3"/>
      <c r="L16" s="3"/>
      <c r="M16" s="3"/>
      <c r="N16" s="3"/>
      <c r="O16" s="3"/>
      <c r="P16" s="4" t="s">
        <v>52</v>
      </c>
      <c r="Q16" s="4" t="s">
        <v>769</v>
      </c>
      <c r="R16" s="4" t="s">
        <v>8</v>
      </c>
      <c r="S16" s="4" t="s">
        <v>701</v>
      </c>
      <c r="T16" s="4" t="s">
        <v>46</v>
      </c>
      <c r="U16" s="19">
        <v>1</v>
      </c>
      <c r="V16" s="20">
        <v>7.2222222222222215E-2</v>
      </c>
      <c r="W16" s="4" t="s">
        <v>10</v>
      </c>
      <c r="X16" s="4" t="s">
        <v>11</v>
      </c>
      <c r="Y16" s="4" t="s">
        <v>97</v>
      </c>
      <c r="Z16" s="26" t="s">
        <v>770</v>
      </c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</row>
    <row r="17" spans="1:56" ht="14.25">
      <c r="A17" s="3"/>
      <c r="B17" s="54" t="s">
        <v>771</v>
      </c>
      <c r="C17" s="16">
        <v>-125</v>
      </c>
      <c r="D17" s="54" t="s">
        <v>772</v>
      </c>
      <c r="E17" s="17">
        <f>105</f>
        <v>105</v>
      </c>
      <c r="F17" s="1" t="s">
        <v>772</v>
      </c>
      <c r="G17" s="16">
        <f>105</f>
        <v>105</v>
      </c>
      <c r="H17" s="2" t="s">
        <v>1</v>
      </c>
      <c r="I17" t="s">
        <v>771</v>
      </c>
      <c r="J17" t="s">
        <v>5</v>
      </c>
      <c r="K17" s="3"/>
      <c r="L17" s="3"/>
      <c r="M17" s="3"/>
      <c r="N17" s="3"/>
      <c r="O17" s="3"/>
      <c r="P17" s="4" t="s">
        <v>207</v>
      </c>
      <c r="Q17" s="4" t="s">
        <v>773</v>
      </c>
      <c r="R17" s="4" t="s">
        <v>8</v>
      </c>
      <c r="S17" s="4" t="s">
        <v>701</v>
      </c>
      <c r="T17" s="4" t="s">
        <v>46</v>
      </c>
      <c r="U17" s="19">
        <v>1</v>
      </c>
      <c r="V17" s="20">
        <v>7.013888888888889E-2</v>
      </c>
      <c r="W17" s="4" t="s">
        <v>10</v>
      </c>
      <c r="X17" s="4" t="s">
        <v>39</v>
      </c>
      <c r="Y17" s="4" t="s">
        <v>774</v>
      </c>
      <c r="Z17" s="26" t="s">
        <v>775</v>
      </c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</row>
    <row r="18" spans="1:56" ht="14.25">
      <c r="A18" s="3"/>
      <c r="B18" s="54" t="s">
        <v>776</v>
      </c>
      <c r="C18" s="16">
        <f>180</f>
        <v>180</v>
      </c>
      <c r="D18" s="54" t="s">
        <v>777</v>
      </c>
      <c r="E18" s="17">
        <v>-180</v>
      </c>
      <c r="F18" s="1" t="s">
        <v>777</v>
      </c>
      <c r="G18" s="16">
        <f>180</f>
        <v>180</v>
      </c>
      <c r="H18" s="2" t="s">
        <v>1</v>
      </c>
      <c r="I18" t="s">
        <v>776</v>
      </c>
      <c r="J18" t="s">
        <v>5</v>
      </c>
      <c r="K18" s="3"/>
      <c r="L18" s="3"/>
      <c r="M18" s="3"/>
      <c r="N18" s="3"/>
      <c r="O18" s="3"/>
      <c r="P18" s="4" t="s">
        <v>65</v>
      </c>
      <c r="Q18" s="4" t="s">
        <v>778</v>
      </c>
      <c r="R18" s="4" t="s">
        <v>8</v>
      </c>
      <c r="S18" s="4" t="s">
        <v>701</v>
      </c>
      <c r="T18" s="4" t="s">
        <v>61</v>
      </c>
      <c r="U18" s="19">
        <v>1</v>
      </c>
      <c r="V18" s="20">
        <v>0.12361111111111112</v>
      </c>
      <c r="W18" s="4" t="s">
        <v>10</v>
      </c>
      <c r="X18" s="4" t="s">
        <v>89</v>
      </c>
      <c r="Y18" s="4" t="s">
        <v>67</v>
      </c>
      <c r="Z18" s="26" t="s">
        <v>779</v>
      </c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</row>
    <row r="19" spans="1:56" ht="14.25">
      <c r="A19" s="3"/>
      <c r="B19" s="54" t="s">
        <v>776</v>
      </c>
      <c r="C19" s="22">
        <f>130</f>
        <v>130</v>
      </c>
      <c r="D19" s="54" t="s">
        <v>706</v>
      </c>
      <c r="E19" s="23">
        <v>-150</v>
      </c>
      <c r="F19" s="1" t="s">
        <v>776</v>
      </c>
      <c r="G19" s="23">
        <f>130</f>
        <v>130</v>
      </c>
      <c r="H19" s="2" t="s">
        <v>5</v>
      </c>
      <c r="I19" t="s">
        <v>776</v>
      </c>
      <c r="J19" t="s">
        <v>5</v>
      </c>
      <c r="K19" s="24">
        <v>6.9</v>
      </c>
      <c r="L19" s="1" t="s">
        <v>61</v>
      </c>
      <c r="M19" s="24">
        <v>-170</v>
      </c>
      <c r="N19" s="1" t="s">
        <v>780</v>
      </c>
      <c r="O19" s="3"/>
      <c r="P19" s="4" t="s">
        <v>339</v>
      </c>
      <c r="Q19" s="4" t="s">
        <v>781</v>
      </c>
      <c r="R19" s="4" t="s">
        <v>8</v>
      </c>
      <c r="S19" s="4" t="s">
        <v>701</v>
      </c>
      <c r="T19" s="4" t="s">
        <v>61</v>
      </c>
      <c r="U19" s="19">
        <v>2</v>
      </c>
      <c r="V19" s="20">
        <v>0.125</v>
      </c>
      <c r="W19" s="4" t="s">
        <v>10</v>
      </c>
      <c r="X19" s="4" t="s">
        <v>11</v>
      </c>
      <c r="Y19" s="4" t="s">
        <v>782</v>
      </c>
      <c r="Z19" s="26" t="s">
        <v>783</v>
      </c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</row>
    <row r="20" spans="1:56" ht="14.25">
      <c r="A20" s="3"/>
      <c r="B20" s="54" t="s">
        <v>229</v>
      </c>
      <c r="C20" s="22">
        <f>225</f>
        <v>225</v>
      </c>
      <c r="D20" s="54" t="s">
        <v>784</v>
      </c>
      <c r="E20" s="23">
        <v>-265</v>
      </c>
      <c r="F20" s="1" t="s">
        <v>785</v>
      </c>
      <c r="G20" s="22">
        <v>-265</v>
      </c>
      <c r="H20" s="2" t="s">
        <v>85</v>
      </c>
      <c r="I20" t="s">
        <v>784</v>
      </c>
      <c r="J20" t="s">
        <v>5</v>
      </c>
      <c r="K20" s="24">
        <v>5.7</v>
      </c>
      <c r="L20" s="1" t="s">
        <v>61</v>
      </c>
      <c r="M20" s="24">
        <v>-135</v>
      </c>
      <c r="N20" s="1" t="s">
        <v>786</v>
      </c>
      <c r="O20" s="3"/>
      <c r="P20" s="4" t="s">
        <v>87</v>
      </c>
      <c r="Q20" s="4" t="s">
        <v>787</v>
      </c>
      <c r="R20" s="4" t="s">
        <v>22</v>
      </c>
      <c r="S20" s="4" t="s">
        <v>701</v>
      </c>
      <c r="T20" s="4" t="s">
        <v>9</v>
      </c>
      <c r="U20" s="19">
        <v>3</v>
      </c>
      <c r="V20" s="20">
        <v>0.20833333333333334</v>
      </c>
      <c r="W20" s="4" t="s">
        <v>10</v>
      </c>
      <c r="X20" s="4" t="s">
        <v>788</v>
      </c>
      <c r="Y20" s="4" t="s">
        <v>789</v>
      </c>
      <c r="Z20" s="26" t="s">
        <v>790</v>
      </c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</row>
    <row r="21" spans="1:56" ht="14.25">
      <c r="A21" s="3"/>
      <c r="B21" s="54" t="s">
        <v>791</v>
      </c>
      <c r="C21" s="22">
        <f>133</f>
        <v>133</v>
      </c>
      <c r="D21" s="54" t="s">
        <v>771</v>
      </c>
      <c r="E21" s="23">
        <v>-153</v>
      </c>
      <c r="F21" s="1" t="s">
        <v>792</v>
      </c>
      <c r="G21" s="22">
        <v>-153</v>
      </c>
      <c r="H21" s="2" t="s">
        <v>85</v>
      </c>
      <c r="I21" t="s">
        <v>771</v>
      </c>
      <c r="J21" t="s">
        <v>5</v>
      </c>
      <c r="K21" s="24">
        <v>6.1</v>
      </c>
      <c r="L21" s="1" t="s">
        <v>18</v>
      </c>
      <c r="M21" s="24">
        <v>-145</v>
      </c>
      <c r="N21" s="1" t="s">
        <v>793</v>
      </c>
      <c r="O21" s="3"/>
      <c r="P21" s="4" t="s">
        <v>87</v>
      </c>
      <c r="Q21" s="4" t="s">
        <v>794</v>
      </c>
      <c r="R21" s="4" t="s">
        <v>22</v>
      </c>
      <c r="S21" s="4" t="s">
        <v>701</v>
      </c>
      <c r="T21" s="4" t="s">
        <v>9</v>
      </c>
      <c r="U21" s="19">
        <v>3</v>
      </c>
      <c r="V21" s="20">
        <v>0.20833333333333334</v>
      </c>
      <c r="W21" s="4" t="s">
        <v>10</v>
      </c>
      <c r="X21" s="4" t="s">
        <v>47</v>
      </c>
      <c r="Y21" s="4" t="s">
        <v>795</v>
      </c>
      <c r="Z21" s="26" t="s">
        <v>796</v>
      </c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</row>
    <row r="22" spans="1:56" ht="14.25">
      <c r="A22" s="3"/>
      <c r="B22" s="54" t="s">
        <v>797</v>
      </c>
      <c r="C22" s="22">
        <v>-173</v>
      </c>
      <c r="D22" s="54" t="s">
        <v>59</v>
      </c>
      <c r="E22" s="23">
        <f>148</f>
        <v>148</v>
      </c>
      <c r="F22" s="1" t="s">
        <v>798</v>
      </c>
      <c r="G22" s="23">
        <v>-173</v>
      </c>
      <c r="H22" s="2" t="s">
        <v>85</v>
      </c>
      <c r="I22" t="s">
        <v>797</v>
      </c>
      <c r="J22" t="s">
        <v>5</v>
      </c>
      <c r="K22" s="24">
        <v>8.5</v>
      </c>
      <c r="L22" s="1" t="s">
        <v>427</v>
      </c>
      <c r="M22" s="24">
        <v>-210</v>
      </c>
      <c r="N22" s="1" t="s">
        <v>799</v>
      </c>
      <c r="O22" s="3"/>
      <c r="P22" s="4" t="s">
        <v>87</v>
      </c>
      <c r="Q22" s="4" t="s">
        <v>800</v>
      </c>
      <c r="R22" s="4" t="s">
        <v>8</v>
      </c>
      <c r="S22" s="4" t="s">
        <v>701</v>
      </c>
      <c r="T22" s="4" t="s">
        <v>46</v>
      </c>
      <c r="U22" s="19">
        <v>1</v>
      </c>
      <c r="V22" s="20">
        <v>0.19583333333333333</v>
      </c>
      <c r="W22" s="4" t="s">
        <v>10</v>
      </c>
      <c r="X22" s="4" t="s">
        <v>233</v>
      </c>
      <c r="Y22" s="4" t="s">
        <v>97</v>
      </c>
      <c r="Z22" s="26" t="s">
        <v>801</v>
      </c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</row>
    <row r="23" spans="1:56" ht="14.25">
      <c r="A23" s="3"/>
      <c r="B23" s="54" t="s">
        <v>802</v>
      </c>
      <c r="C23" s="22">
        <v>-550</v>
      </c>
      <c r="D23" s="54" t="s">
        <v>803</v>
      </c>
      <c r="E23" s="23">
        <f>400</f>
        <v>400</v>
      </c>
      <c r="F23" s="1" t="s">
        <v>804</v>
      </c>
      <c r="G23" s="22">
        <v>-550</v>
      </c>
      <c r="H23" s="2" t="s">
        <v>85</v>
      </c>
      <c r="I23" t="s">
        <v>802</v>
      </c>
      <c r="J23" t="s">
        <v>5</v>
      </c>
      <c r="K23" s="24">
        <v>7.1</v>
      </c>
      <c r="L23" s="1" t="s">
        <v>18</v>
      </c>
      <c r="M23" s="24">
        <v>-165</v>
      </c>
      <c r="N23" s="1" t="s">
        <v>805</v>
      </c>
      <c r="O23" s="3"/>
      <c r="P23" s="4" t="s">
        <v>87</v>
      </c>
      <c r="Q23" s="4" t="s">
        <v>806</v>
      </c>
      <c r="R23" s="4" t="s">
        <v>8</v>
      </c>
      <c r="S23" s="4" t="s">
        <v>701</v>
      </c>
      <c r="T23" s="4" t="s">
        <v>9</v>
      </c>
      <c r="U23" s="19">
        <v>3</v>
      </c>
      <c r="V23" s="20">
        <v>0.20833333333333334</v>
      </c>
      <c r="W23" s="4" t="s">
        <v>10</v>
      </c>
      <c r="X23" s="4" t="s">
        <v>89</v>
      </c>
      <c r="Y23" s="4" t="s">
        <v>90</v>
      </c>
      <c r="Z23" s="26" t="s">
        <v>807</v>
      </c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</row>
    <row r="24" spans="1:56" ht="14.25">
      <c r="A24" s="3"/>
      <c r="B24" s="54" t="s">
        <v>808</v>
      </c>
      <c r="C24" s="22">
        <f>145</f>
        <v>145</v>
      </c>
      <c r="D24" s="54" t="s">
        <v>809</v>
      </c>
      <c r="E24" s="23">
        <v>-170</v>
      </c>
      <c r="F24" s="1" t="s">
        <v>808</v>
      </c>
      <c r="G24" s="22">
        <f>145</f>
        <v>145</v>
      </c>
      <c r="H24" s="2" t="s">
        <v>5</v>
      </c>
      <c r="I24" s="1" t="s">
        <v>808</v>
      </c>
      <c r="J24" t="s">
        <v>1</v>
      </c>
      <c r="K24" s="24">
        <v>6.2</v>
      </c>
      <c r="L24" s="1" t="s">
        <v>18</v>
      </c>
      <c r="M24" s="24">
        <v>-120</v>
      </c>
      <c r="N24" s="1"/>
      <c r="O24" s="1"/>
      <c r="P24" s="4" t="s">
        <v>94</v>
      </c>
      <c r="Q24" s="4" t="s">
        <v>810</v>
      </c>
      <c r="R24" s="4" t="s">
        <v>8</v>
      </c>
      <c r="S24" s="4" t="s">
        <v>701</v>
      </c>
      <c r="T24" s="4" t="s">
        <v>9</v>
      </c>
      <c r="U24" s="19">
        <v>3</v>
      </c>
      <c r="V24" s="20">
        <v>0.20833333333333334</v>
      </c>
      <c r="W24" s="4" t="s">
        <v>10</v>
      </c>
      <c r="X24" s="4" t="s">
        <v>23</v>
      </c>
      <c r="Y24" s="4" t="s">
        <v>811</v>
      </c>
      <c r="Z24" s="26" t="s">
        <v>812</v>
      </c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</row>
    <row r="25" spans="1:56" ht="14.25">
      <c r="A25" s="3"/>
      <c r="B25" s="54" t="s">
        <v>813</v>
      </c>
      <c r="C25" s="22">
        <v>-175</v>
      </c>
      <c r="D25" s="54" t="s">
        <v>814</v>
      </c>
      <c r="E25" s="23">
        <f t="shared" ref="E25:E26" si="0">150</f>
        <v>150</v>
      </c>
      <c r="F25" s="1" t="s">
        <v>814</v>
      </c>
      <c r="G25" s="22">
        <f>150</f>
        <v>150</v>
      </c>
      <c r="H25" s="2" t="s">
        <v>5</v>
      </c>
      <c r="I25" t="s">
        <v>814</v>
      </c>
      <c r="J25" t="s">
        <v>5</v>
      </c>
      <c r="K25" s="24">
        <v>6.8</v>
      </c>
      <c r="L25" s="1" t="s">
        <v>18</v>
      </c>
      <c r="M25" s="1" t="s">
        <v>815</v>
      </c>
      <c r="N25" s="1" t="s">
        <v>816</v>
      </c>
      <c r="O25" s="3"/>
      <c r="P25" s="4" t="s">
        <v>103</v>
      </c>
      <c r="Q25" s="4" t="s">
        <v>817</v>
      </c>
      <c r="R25" s="4" t="s">
        <v>22</v>
      </c>
      <c r="S25" s="4" t="s">
        <v>701</v>
      </c>
      <c r="T25" s="4" t="s">
        <v>46</v>
      </c>
      <c r="U25" s="19">
        <v>5</v>
      </c>
      <c r="V25" s="20">
        <v>0.2076388888888889</v>
      </c>
      <c r="W25" s="4" t="s">
        <v>54</v>
      </c>
      <c r="X25" s="4" t="s">
        <v>47</v>
      </c>
      <c r="Y25" s="4" t="s">
        <v>48</v>
      </c>
      <c r="Z25" s="26" t="s">
        <v>818</v>
      </c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</row>
    <row r="26" spans="1:56" ht="14.25">
      <c r="A26" s="3"/>
      <c r="B26" s="54" t="s">
        <v>703</v>
      </c>
      <c r="C26" s="22">
        <v>-175</v>
      </c>
      <c r="D26" s="54" t="s">
        <v>819</v>
      </c>
      <c r="E26" s="23">
        <f t="shared" si="0"/>
        <v>150</v>
      </c>
      <c r="F26" s="1" t="s">
        <v>703</v>
      </c>
      <c r="G26" s="23">
        <v>-175</v>
      </c>
      <c r="H26" s="2" t="s">
        <v>5</v>
      </c>
      <c r="I26" t="s">
        <v>703</v>
      </c>
      <c r="J26" t="s">
        <v>5</v>
      </c>
      <c r="K26" s="24">
        <v>6.6</v>
      </c>
      <c r="L26" s="1" t="s">
        <v>18</v>
      </c>
      <c r="M26" s="1" t="s">
        <v>820</v>
      </c>
      <c r="N26" s="1" t="s">
        <v>821</v>
      </c>
      <c r="O26" s="3"/>
      <c r="P26" s="4" t="s">
        <v>103</v>
      </c>
      <c r="Q26" s="4" t="s">
        <v>822</v>
      </c>
      <c r="R26" s="4" t="s">
        <v>8</v>
      </c>
      <c r="S26" s="4" t="s">
        <v>701</v>
      </c>
      <c r="T26" s="4" t="s">
        <v>9</v>
      </c>
      <c r="U26" s="19">
        <v>3</v>
      </c>
      <c r="V26" s="20">
        <v>0.20833333333333334</v>
      </c>
      <c r="W26" s="4" t="s">
        <v>10</v>
      </c>
      <c r="X26" s="4" t="s">
        <v>47</v>
      </c>
      <c r="Y26" s="4" t="s">
        <v>823</v>
      </c>
      <c r="Z26" s="26" t="s">
        <v>824</v>
      </c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</row>
    <row r="27" spans="1:56" ht="14.25">
      <c r="A27" s="3"/>
      <c r="B27" s="54" t="s">
        <v>825</v>
      </c>
      <c r="C27" s="22">
        <v>-330</v>
      </c>
      <c r="D27" s="54" t="s">
        <v>826</v>
      </c>
      <c r="E27" s="23">
        <f>270</f>
        <v>270</v>
      </c>
      <c r="F27" s="1" t="s">
        <v>825</v>
      </c>
      <c r="G27" s="22">
        <v>-330</v>
      </c>
      <c r="H27" s="30" t="s">
        <v>5</v>
      </c>
      <c r="I27" t="s">
        <v>825</v>
      </c>
      <c r="J27" t="s">
        <v>5</v>
      </c>
      <c r="K27" s="24">
        <v>7.8</v>
      </c>
      <c r="L27" s="1" t="s">
        <v>427</v>
      </c>
      <c r="M27" s="3"/>
      <c r="N27" s="1" t="s">
        <v>827</v>
      </c>
      <c r="O27" s="3"/>
      <c r="P27" s="4" t="s">
        <v>79</v>
      </c>
      <c r="Q27" s="4" t="s">
        <v>828</v>
      </c>
      <c r="R27" s="4" t="s">
        <v>8</v>
      </c>
      <c r="S27" s="4" t="s">
        <v>701</v>
      </c>
      <c r="T27" s="4" t="s">
        <v>46</v>
      </c>
      <c r="U27" s="19">
        <v>1</v>
      </c>
      <c r="V27" s="20">
        <v>0.14861111111111111</v>
      </c>
      <c r="W27" s="4" t="s">
        <v>10</v>
      </c>
      <c r="X27" s="4" t="s">
        <v>23</v>
      </c>
      <c r="Y27" s="4" t="s">
        <v>722</v>
      </c>
      <c r="Z27" s="26" t="s">
        <v>829</v>
      </c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</row>
    <row r="28" spans="1:56" ht="14.25">
      <c r="A28" s="3"/>
      <c r="B28" s="54" t="s">
        <v>830</v>
      </c>
      <c r="C28" s="22">
        <f>265</f>
        <v>265</v>
      </c>
      <c r="D28" s="54" t="s">
        <v>831</v>
      </c>
      <c r="E28" s="23">
        <v>-315</v>
      </c>
      <c r="F28" s="1" t="s">
        <v>831</v>
      </c>
      <c r="G28" s="23">
        <v>-315</v>
      </c>
      <c r="H28" s="2" t="s">
        <v>5</v>
      </c>
      <c r="I28" t="s">
        <v>831</v>
      </c>
      <c r="J28" t="s">
        <v>5</v>
      </c>
      <c r="K28" s="24">
        <v>8.3000000000000007</v>
      </c>
      <c r="L28" s="25" t="s">
        <v>16</v>
      </c>
      <c r="M28" s="25" t="s">
        <v>832</v>
      </c>
      <c r="N28" s="25" t="s">
        <v>833</v>
      </c>
      <c r="O28" s="25" t="s">
        <v>834</v>
      </c>
      <c r="P28" s="4" t="s">
        <v>20</v>
      </c>
      <c r="Q28" s="4" t="s">
        <v>835</v>
      </c>
      <c r="R28" s="4" t="s">
        <v>22</v>
      </c>
      <c r="S28" s="4" t="s">
        <v>701</v>
      </c>
      <c r="T28" s="4" t="s">
        <v>61</v>
      </c>
      <c r="U28" s="19">
        <v>2</v>
      </c>
      <c r="V28" s="20">
        <v>7.1527777777777773E-2</v>
      </c>
      <c r="W28" s="4" t="s">
        <v>10</v>
      </c>
      <c r="X28" s="4" t="s">
        <v>89</v>
      </c>
      <c r="Y28" s="4" t="s">
        <v>836</v>
      </c>
      <c r="Z28" s="26" t="s">
        <v>837</v>
      </c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</row>
    <row r="29" spans="1:56" ht="14.25">
      <c r="A29" s="3"/>
      <c r="B29" s="54" t="s">
        <v>838</v>
      </c>
      <c r="C29" s="22">
        <f>109</f>
        <v>109</v>
      </c>
      <c r="D29" s="54" t="s">
        <v>839</v>
      </c>
      <c r="E29" s="23">
        <v>-129</v>
      </c>
      <c r="F29" s="54" t="s">
        <v>838</v>
      </c>
      <c r="G29" s="23">
        <f>109</f>
        <v>109</v>
      </c>
      <c r="H29" s="2" t="s">
        <v>122</v>
      </c>
      <c r="I29" t="s">
        <v>838</v>
      </c>
      <c r="J29" t="s">
        <v>5</v>
      </c>
      <c r="K29" s="24">
        <v>9.4</v>
      </c>
      <c r="L29" s="25" t="s">
        <v>840</v>
      </c>
      <c r="M29" s="25" t="s">
        <v>841</v>
      </c>
      <c r="N29" s="25" t="s">
        <v>842</v>
      </c>
      <c r="O29" s="25" t="s">
        <v>843</v>
      </c>
      <c r="P29" s="4" t="s">
        <v>20</v>
      </c>
      <c r="Q29" s="4" t="s">
        <v>844</v>
      </c>
      <c r="R29" s="4" t="s">
        <v>8</v>
      </c>
      <c r="S29" s="4" t="s">
        <v>701</v>
      </c>
      <c r="T29" s="4" t="s">
        <v>46</v>
      </c>
      <c r="U29" s="19">
        <v>3</v>
      </c>
      <c r="V29" s="20">
        <v>1.0416666666666666E-2</v>
      </c>
      <c r="W29" s="4" t="s">
        <v>10</v>
      </c>
      <c r="X29" s="4" t="s">
        <v>39</v>
      </c>
      <c r="Y29" s="4" t="s">
        <v>616</v>
      </c>
      <c r="Z29" s="26" t="s">
        <v>845</v>
      </c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</row>
    <row r="30" spans="1:56" ht="14.25">
      <c r="A30" s="3"/>
      <c r="B30" s="54" t="s">
        <v>846</v>
      </c>
      <c r="C30" s="22">
        <f>170</f>
        <v>170</v>
      </c>
      <c r="D30" s="54" t="s">
        <v>847</v>
      </c>
      <c r="E30" s="23">
        <v>-200</v>
      </c>
      <c r="F30" s="54" t="s">
        <v>846</v>
      </c>
      <c r="G30" s="22">
        <f>170</f>
        <v>170</v>
      </c>
      <c r="H30" s="2" t="s">
        <v>122</v>
      </c>
      <c r="I30" t="s">
        <v>846</v>
      </c>
      <c r="J30" t="s">
        <v>5</v>
      </c>
      <c r="K30" s="24">
        <v>8.1999999999999993</v>
      </c>
      <c r="L30" s="3" t="s">
        <v>16</v>
      </c>
      <c r="M30" s="3" t="s">
        <v>754</v>
      </c>
      <c r="N30" s="3" t="s">
        <v>848</v>
      </c>
      <c r="O30" s="3" t="s">
        <v>603</v>
      </c>
      <c r="P30" s="4" t="s">
        <v>135</v>
      </c>
      <c r="Q30" s="4" t="s">
        <v>849</v>
      </c>
      <c r="R30" s="4" t="s">
        <v>8</v>
      </c>
      <c r="S30" s="4" t="s">
        <v>701</v>
      </c>
      <c r="T30" s="4" t="s">
        <v>46</v>
      </c>
      <c r="U30" s="19">
        <v>2</v>
      </c>
      <c r="V30" s="20">
        <v>0.10555555555555556</v>
      </c>
      <c r="W30" s="4" t="s">
        <v>54</v>
      </c>
      <c r="X30" s="4" t="s">
        <v>89</v>
      </c>
      <c r="Y30" s="4" t="s">
        <v>48</v>
      </c>
      <c r="Z30" s="26" t="s">
        <v>850</v>
      </c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</row>
    <row r="31" spans="1:56" ht="14.25">
      <c r="A31" s="3"/>
      <c r="B31" s="54" t="s">
        <v>851</v>
      </c>
      <c r="C31" s="22">
        <v>-455</v>
      </c>
      <c r="D31" s="54" t="s">
        <v>852</v>
      </c>
      <c r="E31" s="23">
        <f>355</f>
        <v>355</v>
      </c>
      <c r="F31" s="54" t="s">
        <v>851</v>
      </c>
      <c r="G31" s="23">
        <v>-455</v>
      </c>
      <c r="H31" s="2" t="s">
        <v>122</v>
      </c>
      <c r="I31" t="s">
        <v>851</v>
      </c>
      <c r="J31" t="s">
        <v>5</v>
      </c>
      <c r="K31" s="24">
        <v>7</v>
      </c>
      <c r="L31" s="3" t="s">
        <v>16</v>
      </c>
      <c r="M31" s="3" t="s">
        <v>754</v>
      </c>
      <c r="N31" s="3" t="s">
        <v>29</v>
      </c>
      <c r="O31" s="3" t="s">
        <v>30</v>
      </c>
      <c r="P31" s="4" t="s">
        <v>135</v>
      </c>
      <c r="Q31" s="4" t="s">
        <v>853</v>
      </c>
      <c r="R31" s="4" t="s">
        <v>8</v>
      </c>
      <c r="S31" s="4" t="s">
        <v>701</v>
      </c>
      <c r="T31" s="4" t="s">
        <v>9</v>
      </c>
      <c r="U31" s="19">
        <v>3</v>
      </c>
      <c r="V31" s="20">
        <v>0.20833333333333334</v>
      </c>
      <c r="W31" s="4" t="s">
        <v>10</v>
      </c>
      <c r="X31" s="4" t="s">
        <v>226</v>
      </c>
      <c r="Y31" s="4" t="s">
        <v>854</v>
      </c>
      <c r="Z31" s="26" t="s">
        <v>855</v>
      </c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</row>
    <row r="32" spans="1:56" ht="14.25">
      <c r="A32" s="3"/>
      <c r="B32" s="54" t="s">
        <v>856</v>
      </c>
      <c r="C32" s="27">
        <v>-800</v>
      </c>
      <c r="D32" s="54" t="s">
        <v>857</v>
      </c>
      <c r="E32" s="28">
        <f>575</f>
        <v>575</v>
      </c>
      <c r="F32" s="54" t="s">
        <v>856</v>
      </c>
      <c r="G32" s="28">
        <v>-800</v>
      </c>
      <c r="H32" s="2" t="s">
        <v>5</v>
      </c>
      <c r="I32" t="s">
        <v>856</v>
      </c>
      <c r="J32" t="s">
        <v>5</v>
      </c>
      <c r="K32" s="3"/>
      <c r="L32" s="3" t="s">
        <v>16</v>
      </c>
      <c r="M32" s="3" t="s">
        <v>754</v>
      </c>
      <c r="N32" s="3" t="s">
        <v>858</v>
      </c>
      <c r="O32" s="3" t="s">
        <v>859</v>
      </c>
      <c r="P32" s="4" t="s">
        <v>31</v>
      </c>
      <c r="Q32" s="4" t="s">
        <v>860</v>
      </c>
      <c r="R32" s="4" t="s">
        <v>8</v>
      </c>
      <c r="S32" s="4" t="s">
        <v>701</v>
      </c>
      <c r="T32" s="4" t="s">
        <v>46</v>
      </c>
      <c r="U32" s="19">
        <v>1</v>
      </c>
      <c r="V32" s="20">
        <v>0.19166666666666668</v>
      </c>
      <c r="W32" s="4" t="s">
        <v>10</v>
      </c>
      <c r="X32" s="4" t="s">
        <v>11</v>
      </c>
      <c r="Y32" s="4" t="s">
        <v>861</v>
      </c>
      <c r="Z32" s="26" t="s">
        <v>862</v>
      </c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</row>
    <row r="33" spans="1:56" ht="14.25">
      <c r="A33" s="3"/>
      <c r="B33" s="54" t="s">
        <v>863</v>
      </c>
      <c r="C33" s="27">
        <v>-260</v>
      </c>
      <c r="D33" s="54" t="s">
        <v>864</v>
      </c>
      <c r="E33" s="28">
        <f>220</f>
        <v>220</v>
      </c>
      <c r="F33" s="54" t="s">
        <v>863</v>
      </c>
      <c r="G33" s="27">
        <v>-260</v>
      </c>
      <c r="H33" s="2" t="s">
        <v>122</v>
      </c>
      <c r="I33" t="s">
        <v>863</v>
      </c>
      <c r="J33" t="s">
        <v>5</v>
      </c>
      <c r="K33" s="3"/>
      <c r="L33" s="3" t="s">
        <v>16</v>
      </c>
      <c r="M33" s="3" t="s">
        <v>754</v>
      </c>
      <c r="N33" s="3" t="s">
        <v>29</v>
      </c>
      <c r="O33" s="3" t="s">
        <v>30</v>
      </c>
      <c r="P33" s="4" t="s">
        <v>160</v>
      </c>
      <c r="Q33" s="4" t="s">
        <v>865</v>
      </c>
      <c r="R33" s="4" t="s">
        <v>8</v>
      </c>
      <c r="S33" s="4" t="s">
        <v>701</v>
      </c>
      <c r="T33" s="4" t="s">
        <v>9</v>
      </c>
      <c r="U33" s="19">
        <v>3</v>
      </c>
      <c r="V33" s="20">
        <v>0.20833333333333334</v>
      </c>
      <c r="W33" s="4" t="s">
        <v>10</v>
      </c>
      <c r="X33" s="4" t="s">
        <v>89</v>
      </c>
      <c r="Y33" s="4" t="s">
        <v>866</v>
      </c>
      <c r="Z33" s="26" t="s">
        <v>867</v>
      </c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</row>
    <row r="34" spans="1:56" ht="14.25">
      <c r="A34" s="3"/>
      <c r="B34" s="54" t="s">
        <v>868</v>
      </c>
      <c r="C34" s="27">
        <v>-170</v>
      </c>
      <c r="D34" s="54" t="s">
        <v>869</v>
      </c>
      <c r="E34" s="28">
        <f>145</f>
        <v>145</v>
      </c>
      <c r="F34" s="54" t="s">
        <v>868</v>
      </c>
      <c r="G34" s="27">
        <v>-170</v>
      </c>
      <c r="H34" s="2" t="s">
        <v>122</v>
      </c>
      <c r="I34" t="s">
        <v>868</v>
      </c>
      <c r="J34" t="s">
        <v>5</v>
      </c>
      <c r="K34" s="3"/>
      <c r="L34" s="3" t="s">
        <v>16</v>
      </c>
      <c r="M34" s="3" t="s">
        <v>754</v>
      </c>
      <c r="N34" s="3" t="s">
        <v>870</v>
      </c>
      <c r="O34" s="3" t="s">
        <v>159</v>
      </c>
      <c r="P34" s="4" t="s">
        <v>160</v>
      </c>
      <c r="Q34" s="4" t="s">
        <v>871</v>
      </c>
      <c r="R34" s="4" t="s">
        <v>8</v>
      </c>
      <c r="S34" s="4" t="s">
        <v>701</v>
      </c>
      <c r="T34" s="4" t="s">
        <v>61</v>
      </c>
      <c r="U34" s="19">
        <v>1</v>
      </c>
      <c r="V34" s="20">
        <v>7.3611111111111113E-2</v>
      </c>
      <c r="W34" s="4" t="s">
        <v>10</v>
      </c>
      <c r="X34" s="4" t="s">
        <v>89</v>
      </c>
      <c r="Y34" s="4" t="s">
        <v>67</v>
      </c>
      <c r="Z34" s="26" t="s">
        <v>872</v>
      </c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</row>
    <row r="35" spans="1:56" ht="14.25">
      <c r="A35" s="3"/>
      <c r="B35" s="54" t="s">
        <v>873</v>
      </c>
      <c r="C35" s="27">
        <f>185</f>
        <v>185</v>
      </c>
      <c r="D35" s="54" t="s">
        <v>874</v>
      </c>
      <c r="E35" s="28">
        <v>-220</v>
      </c>
      <c r="F35" s="54" t="s">
        <v>873</v>
      </c>
      <c r="G35" s="28">
        <f>185</f>
        <v>185</v>
      </c>
      <c r="H35" s="2" t="s">
        <v>122</v>
      </c>
      <c r="I35" t="s">
        <v>873</v>
      </c>
      <c r="J35" t="s">
        <v>1</v>
      </c>
      <c r="K35" s="3"/>
      <c r="L35" s="3" t="s">
        <v>16</v>
      </c>
      <c r="M35" s="3" t="s">
        <v>754</v>
      </c>
      <c r="N35" s="3" t="s">
        <v>29</v>
      </c>
      <c r="O35" s="3" t="s">
        <v>447</v>
      </c>
      <c r="P35" s="4" t="s">
        <v>160</v>
      </c>
      <c r="Q35" s="4" t="s">
        <v>875</v>
      </c>
      <c r="R35" s="4" t="s">
        <v>22</v>
      </c>
      <c r="S35" s="4" t="s">
        <v>701</v>
      </c>
      <c r="T35" s="4" t="s">
        <v>193</v>
      </c>
      <c r="U35" s="19">
        <v>3</v>
      </c>
      <c r="V35" s="20">
        <v>0.20833333333333334</v>
      </c>
      <c r="W35" s="4" t="s">
        <v>10</v>
      </c>
      <c r="X35" s="4" t="s">
        <v>55</v>
      </c>
      <c r="Y35" s="4" t="s">
        <v>876</v>
      </c>
      <c r="Z35" s="26" t="s">
        <v>877</v>
      </c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</row>
    <row r="36" spans="1:56" ht="14.25">
      <c r="A36" s="3"/>
      <c r="B36" s="54" t="s">
        <v>878</v>
      </c>
      <c r="C36" s="27">
        <v>-121</v>
      </c>
      <c r="D36" s="54" t="s">
        <v>879</v>
      </c>
      <c r="E36" s="28">
        <f>101</f>
        <v>101</v>
      </c>
      <c r="F36" s="54" t="s">
        <v>878</v>
      </c>
      <c r="G36" s="28">
        <v>-121</v>
      </c>
      <c r="H36" s="2" t="s">
        <v>5</v>
      </c>
      <c r="I36" t="s">
        <v>878</v>
      </c>
      <c r="J36" t="s">
        <v>5</v>
      </c>
      <c r="K36" s="3"/>
      <c r="L36" s="3"/>
      <c r="M36" s="3"/>
      <c r="N36" s="3"/>
      <c r="O36" s="3"/>
      <c r="P36" s="4" t="s">
        <v>177</v>
      </c>
      <c r="Q36" s="4" t="s">
        <v>880</v>
      </c>
      <c r="R36" s="4" t="s">
        <v>8</v>
      </c>
      <c r="S36" s="4" t="s">
        <v>701</v>
      </c>
      <c r="T36" s="4" t="s">
        <v>9</v>
      </c>
      <c r="U36" s="19">
        <v>3</v>
      </c>
      <c r="V36" s="20">
        <v>0.20833333333333334</v>
      </c>
      <c r="W36" s="4" t="s">
        <v>10</v>
      </c>
      <c r="X36" s="4" t="s">
        <v>23</v>
      </c>
      <c r="Y36" s="4" t="s">
        <v>881</v>
      </c>
      <c r="Z36" s="26" t="s">
        <v>882</v>
      </c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</row>
    <row r="37" spans="1:56" ht="14.25">
      <c r="A37" s="3"/>
      <c r="B37" s="54" t="s">
        <v>883</v>
      </c>
      <c r="C37" s="27">
        <f>245</f>
        <v>245</v>
      </c>
      <c r="D37" s="54" t="s">
        <v>884</v>
      </c>
      <c r="E37" s="28">
        <v>-285</v>
      </c>
      <c r="F37" s="54" t="s">
        <v>884</v>
      </c>
      <c r="G37" s="27">
        <v>-285</v>
      </c>
      <c r="H37" s="2" t="s">
        <v>5</v>
      </c>
      <c r="I37" t="s">
        <v>883</v>
      </c>
      <c r="J37" t="s">
        <v>5</v>
      </c>
      <c r="K37" s="3"/>
      <c r="L37" s="3"/>
      <c r="M37" s="3"/>
      <c r="N37" s="3"/>
      <c r="O37" s="3"/>
      <c r="P37" s="4" t="s">
        <v>177</v>
      </c>
      <c r="Q37" s="4" t="s">
        <v>885</v>
      </c>
      <c r="R37" s="4" t="s">
        <v>8</v>
      </c>
      <c r="S37" s="4" t="s">
        <v>701</v>
      </c>
      <c r="T37" s="4" t="s">
        <v>193</v>
      </c>
      <c r="U37" s="19">
        <v>3</v>
      </c>
      <c r="V37" s="20">
        <v>0.20833333333333334</v>
      </c>
      <c r="W37" s="4" t="s">
        <v>10</v>
      </c>
      <c r="X37" s="4" t="s">
        <v>23</v>
      </c>
      <c r="Y37" s="4" t="s">
        <v>886</v>
      </c>
      <c r="Z37" s="26" t="s">
        <v>887</v>
      </c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</row>
    <row r="38" spans="1:56" ht="14.25">
      <c r="A38" s="3"/>
      <c r="B38" s="54" t="s">
        <v>741</v>
      </c>
      <c r="C38" s="27">
        <v>-145</v>
      </c>
      <c r="D38" s="54" t="s">
        <v>698</v>
      </c>
      <c r="E38" s="28">
        <f>125</f>
        <v>125</v>
      </c>
      <c r="F38" s="54" t="s">
        <v>741</v>
      </c>
      <c r="G38" s="28">
        <v>-145</v>
      </c>
      <c r="H38" s="2" t="s">
        <v>5</v>
      </c>
      <c r="I38" t="s">
        <v>741</v>
      </c>
      <c r="J38" t="s">
        <v>5</v>
      </c>
      <c r="K38" s="3"/>
      <c r="L38" s="3"/>
      <c r="M38" s="3"/>
      <c r="N38" s="3"/>
      <c r="O38" s="3"/>
      <c r="P38" s="4" t="s">
        <v>311</v>
      </c>
      <c r="Q38" s="4" t="s">
        <v>888</v>
      </c>
      <c r="R38" s="4" t="s">
        <v>8</v>
      </c>
      <c r="S38" s="4" t="s">
        <v>701</v>
      </c>
      <c r="T38" s="4" t="s">
        <v>9</v>
      </c>
      <c r="U38" s="19">
        <v>3</v>
      </c>
      <c r="V38" s="20">
        <v>0.20833333333333334</v>
      </c>
      <c r="W38" s="4" t="s">
        <v>10</v>
      </c>
      <c r="X38" s="4" t="s">
        <v>39</v>
      </c>
      <c r="Y38" s="4" t="s">
        <v>889</v>
      </c>
      <c r="Z38" s="26" t="s">
        <v>890</v>
      </c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</row>
    <row r="39" spans="1:56" ht="14.25">
      <c r="A39" s="3"/>
      <c r="B39" s="72" t="s">
        <v>891</v>
      </c>
      <c r="C39" s="27">
        <v>-142</v>
      </c>
      <c r="D39" s="54" t="s">
        <v>892</v>
      </c>
      <c r="E39" s="28">
        <f>122</f>
        <v>122</v>
      </c>
      <c r="F39" s="72" t="s">
        <v>891</v>
      </c>
      <c r="G39" s="28">
        <v>-142</v>
      </c>
      <c r="H39" s="2" t="s">
        <v>5</v>
      </c>
      <c r="I39" t="s">
        <v>892</v>
      </c>
      <c r="J39" t="s">
        <v>5</v>
      </c>
      <c r="K39" s="3"/>
      <c r="L39" s="3"/>
      <c r="M39" s="3"/>
      <c r="N39" s="3"/>
      <c r="O39" s="3"/>
      <c r="P39" s="4" t="s">
        <v>311</v>
      </c>
      <c r="Q39" s="4" t="s">
        <v>893</v>
      </c>
      <c r="R39" s="4" t="s">
        <v>22</v>
      </c>
      <c r="S39" s="4" t="s">
        <v>701</v>
      </c>
      <c r="T39" s="4" t="s">
        <v>9</v>
      </c>
      <c r="U39" s="19">
        <v>3</v>
      </c>
      <c r="V39" s="20">
        <v>0.20833333333333334</v>
      </c>
      <c r="W39" s="4" t="s">
        <v>10</v>
      </c>
      <c r="X39" s="4" t="s">
        <v>73</v>
      </c>
      <c r="Y39" s="4" t="s">
        <v>894</v>
      </c>
      <c r="Z39" s="26" t="s">
        <v>895</v>
      </c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</row>
    <row r="40" spans="1:56" ht="15.75" customHeight="1">
      <c r="A40" s="3"/>
      <c r="B40" s="54" t="s">
        <v>819</v>
      </c>
      <c r="C40" s="16">
        <v>-119</v>
      </c>
      <c r="D40" s="54" t="s">
        <v>728</v>
      </c>
      <c r="E40" s="17">
        <v>-101</v>
      </c>
      <c r="F40" s="54" t="s">
        <v>819</v>
      </c>
      <c r="G40" s="27">
        <v>-119</v>
      </c>
      <c r="H40" s="29" t="s">
        <v>122</v>
      </c>
      <c r="I40" t="s">
        <v>819</v>
      </c>
      <c r="J40" t="s">
        <v>5</v>
      </c>
      <c r="K40" s="3"/>
      <c r="L40" s="3"/>
      <c r="M40" s="3"/>
      <c r="N40" s="3"/>
      <c r="O40" s="3"/>
      <c r="P40" s="4" t="s">
        <v>37</v>
      </c>
      <c r="Q40" s="4" t="s">
        <v>896</v>
      </c>
      <c r="R40" s="4" t="s">
        <v>8</v>
      </c>
      <c r="S40" s="4" t="s">
        <v>701</v>
      </c>
      <c r="T40" s="4" t="s">
        <v>61</v>
      </c>
      <c r="U40" s="19">
        <v>3</v>
      </c>
      <c r="V40" s="20">
        <v>0.1423611111111111</v>
      </c>
      <c r="W40" s="4" t="s">
        <v>10</v>
      </c>
      <c r="X40" s="4" t="s">
        <v>226</v>
      </c>
      <c r="Y40" s="4" t="s">
        <v>897</v>
      </c>
      <c r="Z40" s="26" t="s">
        <v>898</v>
      </c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</row>
    <row r="41" spans="1:56" ht="14.25">
      <c r="A41" s="3"/>
      <c r="B41" s="54" t="s">
        <v>899</v>
      </c>
      <c r="C41" s="16">
        <f>226</f>
        <v>226</v>
      </c>
      <c r="D41" s="54" t="s">
        <v>900</v>
      </c>
      <c r="E41" s="17">
        <v>-286</v>
      </c>
      <c r="F41" s="54" t="s">
        <v>900</v>
      </c>
      <c r="G41" s="27">
        <v>-286</v>
      </c>
      <c r="H41" s="2" t="s">
        <v>5</v>
      </c>
      <c r="I41" t="s">
        <v>900</v>
      </c>
      <c r="J41" t="s">
        <v>5</v>
      </c>
      <c r="K41" s="3"/>
      <c r="L41" s="3"/>
      <c r="M41" s="3"/>
      <c r="N41" s="3"/>
      <c r="O41" s="3"/>
      <c r="P41" s="4" t="s">
        <v>44</v>
      </c>
      <c r="Q41" s="4" t="s">
        <v>901</v>
      </c>
      <c r="R41" s="4" t="s">
        <v>22</v>
      </c>
      <c r="S41" s="4" t="s">
        <v>701</v>
      </c>
      <c r="T41" s="4" t="s">
        <v>9</v>
      </c>
      <c r="U41" s="19">
        <v>3</v>
      </c>
      <c r="V41" s="20">
        <v>0.20833333333333334</v>
      </c>
      <c r="W41" s="4" t="s">
        <v>10</v>
      </c>
      <c r="X41" s="4" t="s">
        <v>39</v>
      </c>
      <c r="Y41" s="4" t="s">
        <v>902</v>
      </c>
      <c r="Z41" s="26" t="s">
        <v>903</v>
      </c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</row>
    <row r="42" spans="1:56" ht="14.25">
      <c r="A42" s="3"/>
      <c r="B42" s="54" t="s">
        <v>904</v>
      </c>
      <c r="C42" s="16">
        <v>-173</v>
      </c>
      <c r="D42" s="54" t="s">
        <v>905</v>
      </c>
      <c r="E42" s="17">
        <f>148</f>
        <v>148</v>
      </c>
      <c r="F42" s="54" t="s">
        <v>904</v>
      </c>
      <c r="G42" s="16">
        <v>-173</v>
      </c>
      <c r="H42" s="2" t="s">
        <v>5</v>
      </c>
      <c r="I42" t="s">
        <v>904</v>
      </c>
      <c r="J42" t="s">
        <v>5</v>
      </c>
      <c r="K42" s="3"/>
      <c r="L42" s="3"/>
      <c r="M42" s="3"/>
      <c r="N42" s="3"/>
      <c r="O42" s="3"/>
      <c r="P42" s="4" t="s">
        <v>52</v>
      </c>
      <c r="Q42" s="4" t="s">
        <v>906</v>
      </c>
      <c r="R42" s="4" t="s">
        <v>8</v>
      </c>
      <c r="S42" s="4" t="s">
        <v>701</v>
      </c>
      <c r="T42" s="4" t="s">
        <v>46</v>
      </c>
      <c r="U42" s="19">
        <v>2</v>
      </c>
      <c r="V42" s="20">
        <v>4.2361111111111113E-2</v>
      </c>
      <c r="W42" s="4" t="s">
        <v>10</v>
      </c>
      <c r="X42" s="4" t="s">
        <v>23</v>
      </c>
      <c r="Y42" s="4" t="s">
        <v>907</v>
      </c>
      <c r="Z42" s="26" t="s">
        <v>908</v>
      </c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</row>
    <row r="43" spans="1:56" ht="14.25">
      <c r="A43" s="3"/>
      <c r="B43" s="73" t="s">
        <v>909</v>
      </c>
      <c r="C43" s="71">
        <f>250</f>
        <v>250</v>
      </c>
      <c r="D43" s="73" t="s">
        <v>734</v>
      </c>
      <c r="E43" s="71">
        <v>-300</v>
      </c>
      <c r="F43" s="73" t="s">
        <v>734</v>
      </c>
      <c r="G43" s="71">
        <v>-300</v>
      </c>
      <c r="H43" s="2" t="s">
        <v>5</v>
      </c>
      <c r="I43" t="s">
        <v>734</v>
      </c>
      <c r="J43" t="s">
        <v>5</v>
      </c>
      <c r="K43" s="3"/>
      <c r="L43" s="3"/>
      <c r="M43" s="3"/>
      <c r="N43" s="3"/>
      <c r="O43" s="3"/>
      <c r="P43" s="4" t="s">
        <v>207</v>
      </c>
      <c r="Q43" s="4" t="s">
        <v>910</v>
      </c>
      <c r="R43" s="4" t="s">
        <v>22</v>
      </c>
      <c r="S43" s="4" t="s">
        <v>701</v>
      </c>
      <c r="T43" s="4" t="s">
        <v>46</v>
      </c>
      <c r="U43" s="19">
        <v>1</v>
      </c>
      <c r="V43" s="20">
        <v>4.4444444444444446E-2</v>
      </c>
      <c r="W43" s="4" t="s">
        <v>54</v>
      </c>
      <c r="X43" s="4" t="s">
        <v>39</v>
      </c>
      <c r="Y43" s="4" t="s">
        <v>48</v>
      </c>
      <c r="Z43" s="26" t="s">
        <v>911</v>
      </c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</row>
    <row r="44" spans="1:56" ht="14.25">
      <c r="A44" s="3"/>
      <c r="B44" s="73" t="s">
        <v>740</v>
      </c>
      <c r="C44" s="71">
        <v>-194</v>
      </c>
      <c r="D44" s="73" t="s">
        <v>703</v>
      </c>
      <c r="E44" s="71">
        <f>169</f>
        <v>169</v>
      </c>
      <c r="F44" s="73" t="s">
        <v>703</v>
      </c>
      <c r="G44" s="71">
        <f>169</f>
        <v>169</v>
      </c>
      <c r="H44" s="2" t="s">
        <v>5</v>
      </c>
      <c r="I44" t="s">
        <v>740</v>
      </c>
      <c r="J44" t="s">
        <v>5</v>
      </c>
      <c r="K44" s="3"/>
      <c r="L44" s="3"/>
      <c r="M44" s="3"/>
      <c r="N44" s="3"/>
      <c r="O44" s="3"/>
      <c r="P44" s="4" t="s">
        <v>207</v>
      </c>
      <c r="Q44" s="4" t="s">
        <v>912</v>
      </c>
      <c r="R44" s="4" t="s">
        <v>8</v>
      </c>
      <c r="S44" s="4" t="s">
        <v>701</v>
      </c>
      <c r="T44" s="4" t="s">
        <v>46</v>
      </c>
      <c r="U44" s="19">
        <v>1</v>
      </c>
      <c r="V44" s="20">
        <v>0.11736111111111111</v>
      </c>
      <c r="W44" s="4" t="s">
        <v>10</v>
      </c>
      <c r="X44" s="4" t="s">
        <v>73</v>
      </c>
      <c r="Y44" s="4" t="s">
        <v>127</v>
      </c>
      <c r="Z44" s="26" t="s">
        <v>913</v>
      </c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</row>
    <row r="45" spans="1:56" ht="14.25">
      <c r="A45" s="3"/>
      <c r="B45" s="73" t="s">
        <v>914</v>
      </c>
      <c r="C45" s="71">
        <v>-310</v>
      </c>
      <c r="D45" s="73" t="s">
        <v>915</v>
      </c>
      <c r="E45" s="71">
        <f>260</f>
        <v>260</v>
      </c>
      <c r="F45" s="73" t="s">
        <v>915</v>
      </c>
      <c r="G45" s="71">
        <f>260</f>
        <v>260</v>
      </c>
      <c r="H45" s="2" t="s">
        <v>5</v>
      </c>
      <c r="I45" t="s">
        <v>915</v>
      </c>
      <c r="J45" t="s">
        <v>5</v>
      </c>
      <c r="K45" s="3"/>
      <c r="L45" s="3"/>
      <c r="M45" s="3"/>
      <c r="N45" s="3"/>
      <c r="O45" s="3"/>
      <c r="P45" s="4" t="s">
        <v>207</v>
      </c>
      <c r="Q45" s="4" t="s">
        <v>916</v>
      </c>
      <c r="R45" s="4" t="s">
        <v>22</v>
      </c>
      <c r="S45" s="4" t="s">
        <v>701</v>
      </c>
      <c r="T45" s="4" t="s">
        <v>9</v>
      </c>
      <c r="U45" s="19">
        <v>3</v>
      </c>
      <c r="V45" s="20">
        <v>0.20833333333333334</v>
      </c>
      <c r="W45" s="4" t="s">
        <v>10</v>
      </c>
      <c r="X45" s="4" t="s">
        <v>39</v>
      </c>
      <c r="Y45" s="4" t="s">
        <v>917</v>
      </c>
      <c r="Z45" s="26" t="s">
        <v>918</v>
      </c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</row>
    <row r="46" spans="1:56" ht="14.25">
      <c r="A46" s="3"/>
      <c r="B46" s="73" t="s">
        <v>753</v>
      </c>
      <c r="C46" s="71">
        <f>110</f>
        <v>110</v>
      </c>
      <c r="D46" s="73" t="s">
        <v>763</v>
      </c>
      <c r="E46" s="71">
        <v>-110</v>
      </c>
      <c r="F46" s="73" t="s">
        <v>753</v>
      </c>
      <c r="G46" s="71">
        <f>110</f>
        <v>110</v>
      </c>
      <c r="H46" s="2" t="s">
        <v>5</v>
      </c>
      <c r="I46" t="s">
        <v>763</v>
      </c>
      <c r="J46" t="s">
        <v>1</v>
      </c>
      <c r="K46" s="3"/>
      <c r="L46" s="3"/>
      <c r="M46" s="3"/>
      <c r="N46" s="3"/>
      <c r="O46" s="3"/>
      <c r="P46" s="4" t="s">
        <v>65</v>
      </c>
      <c r="Q46" s="4" t="s">
        <v>919</v>
      </c>
      <c r="R46" s="4" t="s">
        <v>179</v>
      </c>
      <c r="S46" s="4" t="s">
        <v>701</v>
      </c>
      <c r="T46" s="4" t="s">
        <v>920</v>
      </c>
      <c r="U46" s="19">
        <v>3</v>
      </c>
      <c r="V46" s="20">
        <v>0.13263888888888889</v>
      </c>
      <c r="W46" s="4" t="s">
        <v>10</v>
      </c>
      <c r="X46" s="4" t="s">
        <v>89</v>
      </c>
      <c r="Y46" s="4" t="s">
        <v>921</v>
      </c>
      <c r="Z46" s="26" t="s">
        <v>922</v>
      </c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</row>
    <row r="47" spans="1:56" ht="14.25">
      <c r="A47" s="3"/>
      <c r="B47" s="73" t="s">
        <v>923</v>
      </c>
      <c r="C47" s="71">
        <v>-186</v>
      </c>
      <c r="D47" s="73" t="s">
        <v>847</v>
      </c>
      <c r="E47" s="71">
        <f>186</f>
        <v>186</v>
      </c>
      <c r="F47" s="73" t="s">
        <v>847</v>
      </c>
      <c r="G47" s="71">
        <f>186</f>
        <v>186</v>
      </c>
      <c r="H47" s="2" t="s">
        <v>5</v>
      </c>
      <c r="I47" t="s">
        <v>847</v>
      </c>
      <c r="J47" t="s">
        <v>5</v>
      </c>
      <c r="K47" s="3"/>
      <c r="L47" s="3"/>
      <c r="M47" s="3"/>
      <c r="N47" s="3"/>
      <c r="O47" s="3"/>
      <c r="P47" s="4" t="s">
        <v>223</v>
      </c>
      <c r="Q47" s="4" t="s">
        <v>924</v>
      </c>
      <c r="R47" s="4" t="s">
        <v>22</v>
      </c>
      <c r="S47" s="4" t="s">
        <v>701</v>
      </c>
      <c r="T47" s="4" t="s">
        <v>46</v>
      </c>
      <c r="U47" s="19">
        <v>1</v>
      </c>
      <c r="V47" s="20">
        <v>6.3194444444444442E-2</v>
      </c>
      <c r="W47" s="4" t="s">
        <v>10</v>
      </c>
      <c r="X47" s="4" t="s">
        <v>89</v>
      </c>
      <c r="Y47" s="4" t="s">
        <v>722</v>
      </c>
      <c r="Z47" s="26" t="s">
        <v>925</v>
      </c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</row>
    <row r="48" spans="1:56" ht="14.25">
      <c r="A48" s="3"/>
      <c r="B48" s="73" t="s">
        <v>714</v>
      </c>
      <c r="C48" s="71">
        <f>650</f>
        <v>650</v>
      </c>
      <c r="D48" s="73" t="s">
        <v>926</v>
      </c>
      <c r="E48" s="71">
        <v>-650</v>
      </c>
      <c r="F48" s="73" t="s">
        <v>926</v>
      </c>
      <c r="G48" s="71">
        <v>-650</v>
      </c>
      <c r="H48" s="2" t="s">
        <v>5</v>
      </c>
      <c r="I48" t="s">
        <v>714</v>
      </c>
      <c r="J48" t="s">
        <v>5</v>
      </c>
      <c r="K48" s="3"/>
      <c r="L48" s="3"/>
      <c r="M48" s="3"/>
      <c r="N48" s="3"/>
      <c r="O48" s="3"/>
      <c r="P48" s="4" t="s">
        <v>223</v>
      </c>
      <c r="Q48" s="4" t="s">
        <v>927</v>
      </c>
      <c r="R48" s="4" t="s">
        <v>8</v>
      </c>
      <c r="S48" s="4" t="s">
        <v>701</v>
      </c>
      <c r="T48" s="4" t="s">
        <v>61</v>
      </c>
      <c r="U48" s="19">
        <v>1</v>
      </c>
      <c r="V48" s="20">
        <v>0.13055555555555556</v>
      </c>
      <c r="W48" s="4" t="s">
        <v>10</v>
      </c>
      <c r="X48" s="4" t="s">
        <v>89</v>
      </c>
      <c r="Y48" s="4" t="s">
        <v>928</v>
      </c>
      <c r="Z48" s="26" t="s">
        <v>929</v>
      </c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</row>
    <row r="49" spans="1:56" ht="14.25">
      <c r="A49" s="3"/>
      <c r="B49" s="73" t="s">
        <v>930</v>
      </c>
      <c r="C49" s="71">
        <f>220</f>
        <v>220</v>
      </c>
      <c r="D49" s="73" t="s">
        <v>931</v>
      </c>
      <c r="E49" s="71">
        <v>-220</v>
      </c>
      <c r="F49" s="73" t="s">
        <v>930</v>
      </c>
      <c r="G49" s="71">
        <f>220</f>
        <v>220</v>
      </c>
      <c r="H49" s="2" t="s">
        <v>5</v>
      </c>
      <c r="I49" t="s">
        <v>931</v>
      </c>
      <c r="J49" t="s">
        <v>1</v>
      </c>
      <c r="K49" s="3"/>
      <c r="L49" s="3"/>
      <c r="M49" s="3"/>
      <c r="N49" s="3"/>
      <c r="O49" s="3"/>
      <c r="P49" s="4" t="s">
        <v>223</v>
      </c>
      <c r="Q49" s="4" t="s">
        <v>932</v>
      </c>
      <c r="R49" s="4" t="s">
        <v>8</v>
      </c>
      <c r="S49" s="4" t="s">
        <v>701</v>
      </c>
      <c r="T49" s="4" t="s">
        <v>46</v>
      </c>
      <c r="U49" s="19">
        <v>1</v>
      </c>
      <c r="V49" s="20">
        <v>0.19583333333333333</v>
      </c>
      <c r="W49" s="4" t="s">
        <v>10</v>
      </c>
      <c r="X49" s="4" t="s">
        <v>47</v>
      </c>
      <c r="Y49" s="4" t="s">
        <v>406</v>
      </c>
      <c r="Z49" s="26" t="s">
        <v>933</v>
      </c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</row>
    <row r="50" spans="1:56" ht="14.25">
      <c r="A50" s="3"/>
      <c r="B50" s="74" t="s">
        <v>934</v>
      </c>
      <c r="C50" s="67">
        <f>175</f>
        <v>175</v>
      </c>
      <c r="D50" s="74" t="s">
        <v>935</v>
      </c>
      <c r="E50" s="67">
        <v>-175</v>
      </c>
      <c r="F50" s="74" t="s">
        <v>935</v>
      </c>
      <c r="G50" s="67">
        <v>-175</v>
      </c>
      <c r="H50" s="41" t="s">
        <v>5</v>
      </c>
      <c r="I50" t="s">
        <v>13068</v>
      </c>
      <c r="J50" t="s">
        <v>13069</v>
      </c>
      <c r="K50" s="3"/>
      <c r="L50" s="3"/>
      <c r="M50" s="3"/>
      <c r="N50" s="3"/>
      <c r="O50" s="3"/>
      <c r="P50" s="4" t="s">
        <v>231</v>
      </c>
      <c r="Q50" s="4" t="s">
        <v>936</v>
      </c>
      <c r="R50" s="4" t="s">
        <v>22</v>
      </c>
      <c r="S50" s="4" t="s">
        <v>701</v>
      </c>
      <c r="T50" s="4" t="s">
        <v>193</v>
      </c>
      <c r="U50" s="19">
        <v>3</v>
      </c>
      <c r="V50" s="20">
        <v>0.20833333333333334</v>
      </c>
      <c r="W50" s="4" t="s">
        <v>10</v>
      </c>
      <c r="X50" s="4" t="s">
        <v>96</v>
      </c>
      <c r="Y50" s="4" t="s">
        <v>937</v>
      </c>
      <c r="Z50" s="3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</row>
    <row r="51" spans="1:56" ht="14.25">
      <c r="A51" s="3"/>
      <c r="B51" s="73" t="s">
        <v>718</v>
      </c>
      <c r="C51" s="71">
        <v>-500</v>
      </c>
      <c r="D51" s="73" t="s">
        <v>938</v>
      </c>
      <c r="E51" s="71">
        <f>500</f>
        <v>500</v>
      </c>
      <c r="F51" s="73" t="s">
        <v>718</v>
      </c>
      <c r="G51" s="71">
        <v>-500</v>
      </c>
      <c r="H51" s="2" t="s">
        <v>5</v>
      </c>
      <c r="I51" t="s">
        <v>13068</v>
      </c>
      <c r="J51" t="s">
        <v>13069</v>
      </c>
      <c r="K51" s="3"/>
      <c r="L51" s="3"/>
      <c r="M51" s="3"/>
      <c r="N51" s="3"/>
      <c r="O51" s="3"/>
      <c r="P51" s="4" t="s">
        <v>71</v>
      </c>
      <c r="Q51" s="4" t="s">
        <v>939</v>
      </c>
      <c r="R51" s="4" t="s">
        <v>8</v>
      </c>
      <c r="S51" s="4" t="s">
        <v>701</v>
      </c>
      <c r="T51" s="4" t="s">
        <v>46</v>
      </c>
      <c r="U51" s="19">
        <v>1</v>
      </c>
      <c r="V51" s="20">
        <v>1.3888888888888888E-2</v>
      </c>
      <c r="W51" s="4" t="s">
        <v>10</v>
      </c>
      <c r="X51" s="4" t="s">
        <v>55</v>
      </c>
      <c r="Y51" s="4" t="s">
        <v>940</v>
      </c>
      <c r="Z51" s="3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</row>
  </sheetData>
  <hyperlinks>
    <hyperlink ref="Z5" r:id="rId1" xr:uid="{00000000-0004-0000-0700-000000000000}"/>
    <hyperlink ref="Z6" r:id="rId2" xr:uid="{00000000-0004-0000-0700-000001000000}"/>
    <hyperlink ref="Z7" r:id="rId3" xr:uid="{00000000-0004-0000-0700-000002000000}"/>
    <hyperlink ref="Z8" r:id="rId4" xr:uid="{00000000-0004-0000-0700-000003000000}"/>
    <hyperlink ref="Z9" r:id="rId5" xr:uid="{00000000-0004-0000-0700-000004000000}"/>
    <hyperlink ref="Z10" r:id="rId6" xr:uid="{00000000-0004-0000-0700-000005000000}"/>
    <hyperlink ref="Z11" r:id="rId7" xr:uid="{00000000-0004-0000-0700-000006000000}"/>
    <hyperlink ref="Z12" r:id="rId8" xr:uid="{00000000-0004-0000-0700-000007000000}"/>
    <hyperlink ref="Z13" r:id="rId9" xr:uid="{00000000-0004-0000-0700-000008000000}"/>
    <hyperlink ref="Z14" r:id="rId10" xr:uid="{00000000-0004-0000-0700-000009000000}"/>
    <hyperlink ref="Z15" r:id="rId11" xr:uid="{00000000-0004-0000-0700-00000A000000}"/>
    <hyperlink ref="Z16" r:id="rId12" xr:uid="{00000000-0004-0000-0700-00000B000000}"/>
    <hyperlink ref="Z17" r:id="rId13" xr:uid="{00000000-0004-0000-0700-00000C000000}"/>
    <hyperlink ref="Z18" r:id="rId14" xr:uid="{00000000-0004-0000-0700-00000D000000}"/>
    <hyperlink ref="Z19" r:id="rId15" xr:uid="{00000000-0004-0000-0700-00000E000000}"/>
    <hyperlink ref="Z20" r:id="rId16" xr:uid="{00000000-0004-0000-0700-00000F000000}"/>
    <hyperlink ref="Z21" r:id="rId17" xr:uid="{00000000-0004-0000-0700-000010000000}"/>
    <hyperlink ref="Z22" r:id="rId18" xr:uid="{00000000-0004-0000-0700-000011000000}"/>
    <hyperlink ref="Z23" r:id="rId19" xr:uid="{00000000-0004-0000-0700-000012000000}"/>
    <hyperlink ref="Z24" r:id="rId20" xr:uid="{00000000-0004-0000-0700-000013000000}"/>
    <hyperlink ref="Z25" r:id="rId21" xr:uid="{00000000-0004-0000-0700-000014000000}"/>
    <hyperlink ref="Z26" r:id="rId22" xr:uid="{00000000-0004-0000-0700-000015000000}"/>
    <hyperlink ref="Z27" r:id="rId23" xr:uid="{00000000-0004-0000-0700-000016000000}"/>
    <hyperlink ref="Z28" r:id="rId24" xr:uid="{00000000-0004-0000-0700-000017000000}"/>
    <hyperlink ref="Z29" r:id="rId25" xr:uid="{00000000-0004-0000-0700-000018000000}"/>
    <hyperlink ref="Z30" r:id="rId26" xr:uid="{00000000-0004-0000-0700-000019000000}"/>
    <hyperlink ref="Z31" r:id="rId27" xr:uid="{00000000-0004-0000-0700-00001A000000}"/>
    <hyperlink ref="Z32" r:id="rId28" xr:uid="{00000000-0004-0000-0700-00001B000000}"/>
    <hyperlink ref="Z33" r:id="rId29" xr:uid="{00000000-0004-0000-0700-00001C000000}"/>
    <hyperlink ref="Z34" r:id="rId30" xr:uid="{00000000-0004-0000-0700-00001D000000}"/>
    <hyperlink ref="Z35" r:id="rId31" xr:uid="{00000000-0004-0000-0700-00001E000000}"/>
    <hyperlink ref="Z36" r:id="rId32" xr:uid="{00000000-0004-0000-0700-00001F000000}"/>
    <hyperlink ref="Z37" r:id="rId33" xr:uid="{00000000-0004-0000-0700-000020000000}"/>
    <hyperlink ref="Z38" r:id="rId34" xr:uid="{00000000-0004-0000-0700-000021000000}"/>
    <hyperlink ref="Z39" r:id="rId35" xr:uid="{00000000-0004-0000-0700-000022000000}"/>
    <hyperlink ref="Z40" r:id="rId36" xr:uid="{00000000-0004-0000-0700-000023000000}"/>
    <hyperlink ref="Z41" r:id="rId37" xr:uid="{00000000-0004-0000-0700-000024000000}"/>
    <hyperlink ref="Z42" r:id="rId38" xr:uid="{00000000-0004-0000-0700-000025000000}"/>
    <hyperlink ref="Z43" r:id="rId39" xr:uid="{00000000-0004-0000-0700-000026000000}"/>
    <hyperlink ref="Z44" r:id="rId40" xr:uid="{00000000-0004-0000-0700-000027000000}"/>
    <hyperlink ref="Z45" r:id="rId41" xr:uid="{00000000-0004-0000-0700-000028000000}"/>
    <hyperlink ref="Z46" r:id="rId42" xr:uid="{00000000-0004-0000-0700-000029000000}"/>
    <hyperlink ref="Z47" r:id="rId43" xr:uid="{00000000-0004-0000-0700-00002A000000}"/>
    <hyperlink ref="Z48" r:id="rId44" xr:uid="{00000000-0004-0000-0700-00002B000000}"/>
    <hyperlink ref="Z49" r:id="rId45" xr:uid="{00000000-0004-0000-0700-00002C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D25"/>
  <sheetViews>
    <sheetView workbookViewId="0">
      <selection activeCell="K14" sqref="K14"/>
    </sheetView>
  </sheetViews>
  <sheetFormatPr defaultColWidth="12.5703125" defaultRowHeight="15.75" customHeight="1"/>
  <sheetData>
    <row r="1" spans="1:56" ht="12.75">
      <c r="A1" s="99"/>
      <c r="B1" s="99"/>
      <c r="C1" s="100" t="s">
        <v>5</v>
      </c>
      <c r="D1" s="99"/>
      <c r="E1" s="100" t="s">
        <v>1</v>
      </c>
      <c r="F1" s="99"/>
      <c r="G1" s="101" t="s">
        <v>1519</v>
      </c>
      <c r="H1" s="99" t="s">
        <v>1520</v>
      </c>
      <c r="I1" s="99" t="s">
        <v>13066</v>
      </c>
      <c r="J1" s="99" t="s">
        <v>13067</v>
      </c>
      <c r="K1" s="99" t="s">
        <v>1521</v>
      </c>
      <c r="L1" s="99" t="s">
        <v>1522</v>
      </c>
      <c r="M1" s="99" t="s">
        <v>1523</v>
      </c>
      <c r="N1" s="99" t="s">
        <v>46</v>
      </c>
      <c r="O1" s="99"/>
      <c r="P1" s="99"/>
      <c r="Q1" s="99"/>
      <c r="R1" s="99"/>
      <c r="S1" s="99"/>
      <c r="T1" s="99"/>
      <c r="U1" s="99"/>
      <c r="V1" s="102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</row>
    <row r="2" spans="1:56" ht="12.75">
      <c r="A2" s="7"/>
      <c r="B2" s="7"/>
      <c r="C2" s="8">
        <f>COUNTIF(H3:H102, "win")</f>
        <v>15</v>
      </c>
      <c r="D2" s="7"/>
      <c r="E2" s="8">
        <f>COUNTIF(H3:H102, "loss")</f>
        <v>7</v>
      </c>
      <c r="F2" s="103" t="s">
        <v>2</v>
      </c>
      <c r="G2" s="104">
        <f>COUNTIF(H3:H102, "win") / (COUNTIF(H3:H102, "win") + COUNTIF(H3:H102, "loss"))</f>
        <v>0.68181818181818177</v>
      </c>
      <c r="H2" s="7"/>
      <c r="I2" s="7"/>
      <c r="J2" s="104">
        <f>COUNTIF(J3:J102, "Win") / (COUNTIF(J3:J102, "Win") + COUNTIF(J3:J102, "Loss"))</f>
        <v>0.86363636363636365</v>
      </c>
      <c r="K2" s="60">
        <f>COUNTIF(R2:R100, "Decision - split")</f>
        <v>0</v>
      </c>
      <c r="L2" s="60">
        <f>COUNTIF(R2:R100, "Decision - Unanimous")</f>
        <v>3</v>
      </c>
      <c r="M2" s="60">
        <f>COUNTIF(R2:R100, "Submission")</f>
        <v>0</v>
      </c>
      <c r="N2" s="60">
        <f>COUNTIF(R2:R100, "KO/TKO")</f>
        <v>0</v>
      </c>
      <c r="O2" s="7"/>
      <c r="P2" s="7"/>
      <c r="Q2" s="7"/>
      <c r="R2" s="7"/>
      <c r="S2" s="7"/>
      <c r="T2" s="7"/>
      <c r="U2" s="7"/>
      <c r="V2" s="105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</row>
    <row r="3" spans="1:56" ht="14.25">
      <c r="A3" s="3"/>
      <c r="B3" s="1" t="s">
        <v>413</v>
      </c>
      <c r="C3" s="16">
        <f>235</f>
        <v>235</v>
      </c>
      <c r="D3" s="1" t="s">
        <v>414</v>
      </c>
      <c r="E3" s="17">
        <v>-235</v>
      </c>
      <c r="F3" s="1" t="s">
        <v>413</v>
      </c>
      <c r="G3" s="2">
        <f>235</f>
        <v>235</v>
      </c>
      <c r="H3" s="106" t="s">
        <v>5</v>
      </c>
      <c r="I3" t="s">
        <v>13068</v>
      </c>
      <c r="J3" t="s">
        <v>13069</v>
      </c>
      <c r="K3" s="51"/>
      <c r="L3" s="3"/>
      <c r="M3" s="3"/>
      <c r="N3" s="3"/>
      <c r="O3" s="3"/>
      <c r="P3" s="4" t="s">
        <v>6</v>
      </c>
      <c r="Q3" s="4" t="s">
        <v>415</v>
      </c>
      <c r="R3" s="4" t="s">
        <v>8</v>
      </c>
      <c r="S3" s="4" t="s">
        <v>416</v>
      </c>
      <c r="T3" s="4" t="s">
        <v>46</v>
      </c>
      <c r="U3" s="19">
        <v>1</v>
      </c>
      <c r="V3" s="20">
        <v>0.19444444444444445</v>
      </c>
      <c r="W3" s="4" t="s">
        <v>10</v>
      </c>
      <c r="X3" s="4" t="s">
        <v>23</v>
      </c>
      <c r="Y3" s="4" t="s">
        <v>417</v>
      </c>
      <c r="Z3" s="3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</row>
    <row r="4" spans="1:56" ht="14.25">
      <c r="A4" s="3"/>
      <c r="B4" s="1" t="s">
        <v>418</v>
      </c>
      <c r="C4" s="22">
        <f>144</f>
        <v>144</v>
      </c>
      <c r="D4" s="1" t="s">
        <v>419</v>
      </c>
      <c r="E4" s="23">
        <v>-164</v>
      </c>
      <c r="F4" s="1" t="s">
        <v>419</v>
      </c>
      <c r="G4" s="22">
        <v>-164</v>
      </c>
      <c r="H4" s="2" t="s">
        <v>1</v>
      </c>
      <c r="I4" t="s">
        <v>418</v>
      </c>
      <c r="J4" t="s">
        <v>5</v>
      </c>
      <c r="K4" s="53">
        <v>6.7</v>
      </c>
      <c r="L4" s="1" t="s">
        <v>61</v>
      </c>
      <c r="M4" s="24">
        <v>-165</v>
      </c>
      <c r="N4" s="1" t="s">
        <v>420</v>
      </c>
      <c r="O4" s="3"/>
      <c r="P4" s="4" t="s">
        <v>339</v>
      </c>
      <c r="Q4" s="4" t="s">
        <v>421</v>
      </c>
      <c r="R4" s="4" t="s">
        <v>8</v>
      </c>
      <c r="S4" s="4" t="s">
        <v>416</v>
      </c>
      <c r="T4" s="4" t="s">
        <v>9</v>
      </c>
      <c r="U4" s="19">
        <v>3</v>
      </c>
      <c r="V4" s="20">
        <v>0.20833333333333334</v>
      </c>
      <c r="W4" s="4" t="s">
        <v>10</v>
      </c>
      <c r="X4" s="4" t="s">
        <v>263</v>
      </c>
      <c r="Y4" s="4" t="s">
        <v>422</v>
      </c>
      <c r="Z4" s="26" t="s">
        <v>423</v>
      </c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</row>
    <row r="5" spans="1:56" ht="14.25">
      <c r="A5" s="3"/>
      <c r="B5" s="1" t="s">
        <v>424</v>
      </c>
      <c r="C5" s="22">
        <v>-133</v>
      </c>
      <c r="D5" s="1" t="s">
        <v>425</v>
      </c>
      <c r="E5" s="23">
        <f>113</f>
        <v>113</v>
      </c>
      <c r="F5" s="1" t="s">
        <v>426</v>
      </c>
      <c r="G5" s="22">
        <f>113</f>
        <v>113</v>
      </c>
      <c r="H5" s="2" t="s">
        <v>1</v>
      </c>
      <c r="I5" t="s">
        <v>424</v>
      </c>
      <c r="J5" t="s">
        <v>5</v>
      </c>
      <c r="K5" s="53">
        <v>6.3</v>
      </c>
      <c r="L5" s="1" t="s">
        <v>427</v>
      </c>
      <c r="M5" s="24">
        <v>-150</v>
      </c>
      <c r="N5" s="1" t="s">
        <v>428</v>
      </c>
      <c r="O5" s="3"/>
      <c r="P5" s="4" t="s">
        <v>87</v>
      </c>
      <c r="Q5" s="4" t="s">
        <v>429</v>
      </c>
      <c r="R5" s="4" t="s">
        <v>8</v>
      </c>
      <c r="S5" s="4" t="s">
        <v>416</v>
      </c>
      <c r="T5" s="4" t="s">
        <v>46</v>
      </c>
      <c r="U5" s="19">
        <v>2</v>
      </c>
      <c r="V5" s="20">
        <v>6.5972222222222224E-2</v>
      </c>
      <c r="W5" s="4" t="s">
        <v>10</v>
      </c>
      <c r="X5" s="4" t="s">
        <v>245</v>
      </c>
      <c r="Y5" s="4" t="s">
        <v>430</v>
      </c>
      <c r="Z5" s="26" t="s">
        <v>431</v>
      </c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</row>
    <row r="6" spans="1:56" ht="14.25">
      <c r="A6" s="3"/>
      <c r="B6" s="1" t="s">
        <v>432</v>
      </c>
      <c r="C6" s="22">
        <v>-192</v>
      </c>
      <c r="D6" s="1" t="s">
        <v>433</v>
      </c>
      <c r="E6" s="23">
        <f>167</f>
        <v>167</v>
      </c>
      <c r="F6" s="1" t="s">
        <v>432</v>
      </c>
      <c r="G6" s="22">
        <v>-192</v>
      </c>
      <c r="H6" s="2" t="s">
        <v>1</v>
      </c>
      <c r="I6" t="s">
        <v>433</v>
      </c>
      <c r="J6" t="s">
        <v>5</v>
      </c>
      <c r="K6" s="53">
        <v>7.2</v>
      </c>
      <c r="L6" s="1" t="s">
        <v>18</v>
      </c>
      <c r="M6" s="24">
        <v>-150</v>
      </c>
      <c r="N6" s="1"/>
      <c r="O6" s="1"/>
      <c r="P6" s="4" t="s">
        <v>94</v>
      </c>
      <c r="Q6" s="4" t="s">
        <v>434</v>
      </c>
      <c r="R6" s="4" t="s">
        <v>22</v>
      </c>
      <c r="S6" s="4" t="s">
        <v>416</v>
      </c>
      <c r="T6" s="4" t="s">
        <v>46</v>
      </c>
      <c r="U6" s="19">
        <v>2</v>
      </c>
      <c r="V6" s="20">
        <v>9.4444444444444442E-2</v>
      </c>
      <c r="W6" s="4" t="s">
        <v>54</v>
      </c>
      <c r="X6" s="4" t="s">
        <v>39</v>
      </c>
      <c r="Y6" s="4" t="s">
        <v>48</v>
      </c>
      <c r="Z6" s="26" t="s">
        <v>435</v>
      </c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</row>
    <row r="7" spans="1:56" ht="14.25">
      <c r="A7" s="3"/>
      <c r="B7" s="1" t="s">
        <v>436</v>
      </c>
      <c r="C7" s="22">
        <v>-178</v>
      </c>
      <c r="D7" s="1" t="s">
        <v>437</v>
      </c>
      <c r="E7" s="23">
        <f>153</f>
        <v>153</v>
      </c>
      <c r="F7" s="1" t="s">
        <v>437</v>
      </c>
      <c r="G7" s="23">
        <f>153</f>
        <v>153</v>
      </c>
      <c r="H7" s="2" t="s">
        <v>1</v>
      </c>
      <c r="I7" t="s">
        <v>436</v>
      </c>
      <c r="J7" t="s">
        <v>5</v>
      </c>
      <c r="K7" s="53">
        <v>7.6</v>
      </c>
      <c r="L7" s="25" t="s">
        <v>16</v>
      </c>
      <c r="M7" s="25" t="s">
        <v>438</v>
      </c>
      <c r="N7" s="25" t="s">
        <v>439</v>
      </c>
      <c r="O7" s="25" t="s">
        <v>440</v>
      </c>
      <c r="P7" s="4" t="s">
        <v>20</v>
      </c>
      <c r="Q7" s="4" t="s">
        <v>441</v>
      </c>
      <c r="R7" s="4" t="s">
        <v>8</v>
      </c>
      <c r="S7" s="4" t="s">
        <v>416</v>
      </c>
      <c r="T7" s="4" t="s">
        <v>61</v>
      </c>
      <c r="U7" s="19">
        <v>1</v>
      </c>
      <c r="V7" s="20">
        <v>0.18541666666666667</v>
      </c>
      <c r="W7" s="4" t="s">
        <v>10</v>
      </c>
      <c r="X7" s="4" t="s">
        <v>55</v>
      </c>
      <c r="Y7" s="4" t="s">
        <v>67</v>
      </c>
      <c r="Z7" s="26" t="s">
        <v>442</v>
      </c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</row>
    <row r="8" spans="1:56" ht="14.25">
      <c r="A8" s="3"/>
      <c r="B8" s="1" t="s">
        <v>443</v>
      </c>
      <c r="C8" s="27">
        <v>-275</v>
      </c>
      <c r="D8" s="1" t="s">
        <v>444</v>
      </c>
      <c r="E8" s="28">
        <f>235</f>
        <v>235</v>
      </c>
      <c r="F8" s="1" t="s">
        <v>443</v>
      </c>
      <c r="G8" s="27">
        <v>-275</v>
      </c>
      <c r="H8" s="2" t="s">
        <v>1</v>
      </c>
      <c r="I8" t="s">
        <v>444</v>
      </c>
      <c r="J8" t="s">
        <v>5</v>
      </c>
      <c r="K8" s="51"/>
      <c r="L8" s="3" t="s">
        <v>16</v>
      </c>
      <c r="M8" s="3" t="s">
        <v>445</v>
      </c>
      <c r="N8" s="3" t="s">
        <v>446</v>
      </c>
      <c r="O8" s="3" t="s">
        <v>447</v>
      </c>
      <c r="P8" s="4" t="s">
        <v>160</v>
      </c>
      <c r="Q8" s="4" t="s">
        <v>448</v>
      </c>
      <c r="R8" s="4" t="s">
        <v>22</v>
      </c>
      <c r="S8" s="4" t="s">
        <v>416</v>
      </c>
      <c r="T8" s="4" t="s">
        <v>193</v>
      </c>
      <c r="U8" s="19">
        <v>5</v>
      </c>
      <c r="V8" s="20">
        <v>0.20833333333333334</v>
      </c>
      <c r="W8" s="4" t="s">
        <v>54</v>
      </c>
      <c r="X8" s="4" t="s">
        <v>55</v>
      </c>
      <c r="Y8" s="4" t="s">
        <v>449</v>
      </c>
      <c r="Z8" s="26" t="s">
        <v>450</v>
      </c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</row>
    <row r="9" spans="1:56" ht="14.25">
      <c r="A9" s="3"/>
      <c r="B9" s="1" t="s">
        <v>451</v>
      </c>
      <c r="C9" s="27">
        <v>-130</v>
      </c>
      <c r="D9" s="1" t="s">
        <v>452</v>
      </c>
      <c r="E9" s="28">
        <f>110</f>
        <v>110</v>
      </c>
      <c r="F9" s="1" t="s">
        <v>452</v>
      </c>
      <c r="G9" s="27">
        <f>110</f>
        <v>110</v>
      </c>
      <c r="H9" s="2" t="s">
        <v>1</v>
      </c>
      <c r="I9" s="1" t="s">
        <v>452</v>
      </c>
      <c r="J9" t="s">
        <v>1</v>
      </c>
      <c r="K9" s="51"/>
      <c r="L9" s="3" t="s">
        <v>16</v>
      </c>
      <c r="M9" s="3" t="s">
        <v>445</v>
      </c>
      <c r="N9" s="3" t="s">
        <v>453</v>
      </c>
      <c r="O9" s="3" t="s">
        <v>159</v>
      </c>
      <c r="P9" s="4" t="s">
        <v>160</v>
      </c>
      <c r="Q9" s="4" t="s">
        <v>454</v>
      </c>
      <c r="R9" s="4" t="s">
        <v>8</v>
      </c>
      <c r="S9" s="4" t="s">
        <v>416</v>
      </c>
      <c r="T9" s="4" t="s">
        <v>61</v>
      </c>
      <c r="U9" s="19">
        <v>2</v>
      </c>
      <c r="V9" s="20">
        <v>0.2076388888888889</v>
      </c>
      <c r="W9" s="4" t="s">
        <v>10</v>
      </c>
      <c r="X9" s="4" t="s">
        <v>89</v>
      </c>
      <c r="Y9" s="4" t="s">
        <v>67</v>
      </c>
      <c r="Z9" s="26" t="s">
        <v>455</v>
      </c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</row>
    <row r="10" spans="1:56" ht="14.25">
      <c r="A10" s="3"/>
      <c r="B10" s="1" t="s">
        <v>456</v>
      </c>
      <c r="C10" s="27">
        <f>245</f>
        <v>245</v>
      </c>
      <c r="D10" s="1" t="s">
        <v>457</v>
      </c>
      <c r="E10" s="28">
        <v>-285</v>
      </c>
      <c r="F10" s="1" t="s">
        <v>456</v>
      </c>
      <c r="G10" s="28">
        <f>245</f>
        <v>245</v>
      </c>
      <c r="H10" s="2" t="s">
        <v>1</v>
      </c>
      <c r="I10" t="s">
        <v>457</v>
      </c>
      <c r="J10" t="s">
        <v>5</v>
      </c>
      <c r="K10" s="51"/>
      <c r="L10" s="3" t="s">
        <v>16</v>
      </c>
      <c r="M10" s="3" t="s">
        <v>445</v>
      </c>
      <c r="N10" s="3" t="s">
        <v>29</v>
      </c>
      <c r="O10" s="3" t="s">
        <v>447</v>
      </c>
      <c r="P10" s="4" t="s">
        <v>160</v>
      </c>
      <c r="Q10" s="4" t="s">
        <v>458</v>
      </c>
      <c r="R10" s="4" t="s">
        <v>22</v>
      </c>
      <c r="S10" s="4" t="s">
        <v>416</v>
      </c>
      <c r="T10" s="4" t="s">
        <v>193</v>
      </c>
      <c r="U10" s="19">
        <v>3</v>
      </c>
      <c r="V10" s="20">
        <v>0.20833333333333334</v>
      </c>
      <c r="W10" s="4" t="s">
        <v>10</v>
      </c>
      <c r="X10" s="4" t="s">
        <v>162</v>
      </c>
      <c r="Y10" s="4" t="s">
        <v>459</v>
      </c>
      <c r="Z10" s="26" t="s">
        <v>460</v>
      </c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</row>
    <row r="11" spans="1:56" ht="14.25">
      <c r="A11" s="3"/>
      <c r="B11" s="1" t="s">
        <v>461</v>
      </c>
      <c r="C11" s="44">
        <f>150</f>
        <v>150</v>
      </c>
      <c r="D11" s="1" t="s">
        <v>462</v>
      </c>
      <c r="E11" s="43">
        <v>-175</v>
      </c>
      <c r="F11" s="54" t="s">
        <v>461</v>
      </c>
      <c r="G11" s="23">
        <f>150</f>
        <v>150</v>
      </c>
      <c r="H11" s="30" t="s">
        <v>77</v>
      </c>
      <c r="I11" t="s">
        <v>462</v>
      </c>
      <c r="J11" t="s">
        <v>1</v>
      </c>
      <c r="K11" s="3"/>
      <c r="L11" s="3" t="s">
        <v>16</v>
      </c>
      <c r="M11" s="3" t="s">
        <v>445</v>
      </c>
      <c r="N11" s="3" t="s">
        <v>463</v>
      </c>
      <c r="O11" s="3" t="s">
        <v>464</v>
      </c>
      <c r="P11" s="4" t="s">
        <v>125</v>
      </c>
      <c r="Q11" s="4" t="s">
        <v>465</v>
      </c>
      <c r="R11" s="4" t="s">
        <v>22</v>
      </c>
      <c r="S11" s="4" t="s">
        <v>416</v>
      </c>
      <c r="T11" s="4" t="s">
        <v>466</v>
      </c>
      <c r="U11" s="19">
        <v>2</v>
      </c>
      <c r="V11" s="20">
        <v>0.11944444444444445</v>
      </c>
      <c r="W11" s="4" t="s">
        <v>10</v>
      </c>
      <c r="X11" s="4" t="s">
        <v>23</v>
      </c>
      <c r="Y11" s="4" t="s">
        <v>467</v>
      </c>
      <c r="Z11" s="26" t="s">
        <v>468</v>
      </c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</row>
    <row r="12" spans="1:56" ht="14.25">
      <c r="A12" s="3"/>
      <c r="B12" s="1" t="s">
        <v>469</v>
      </c>
      <c r="C12" s="44">
        <f>185</f>
        <v>185</v>
      </c>
      <c r="D12" s="1" t="s">
        <v>470</v>
      </c>
      <c r="E12" s="45">
        <v>-220</v>
      </c>
      <c r="F12" s="54" t="s">
        <v>470</v>
      </c>
      <c r="G12" s="22">
        <v>-220</v>
      </c>
      <c r="H12" s="2" t="s">
        <v>122</v>
      </c>
      <c r="I12" t="s">
        <v>470</v>
      </c>
      <c r="J12" t="s">
        <v>5</v>
      </c>
      <c r="K12" s="24">
        <v>7.9</v>
      </c>
      <c r="L12" s="3" t="s">
        <v>16</v>
      </c>
      <c r="M12" s="3" t="s">
        <v>471</v>
      </c>
      <c r="N12" s="3" t="s">
        <v>29</v>
      </c>
      <c r="O12" s="3" t="s">
        <v>30</v>
      </c>
      <c r="P12" s="4" t="s">
        <v>135</v>
      </c>
      <c r="Q12" s="4" t="s">
        <v>472</v>
      </c>
      <c r="R12" s="4" t="s">
        <v>22</v>
      </c>
      <c r="S12" s="4" t="s">
        <v>416</v>
      </c>
      <c r="T12" s="4" t="s">
        <v>9</v>
      </c>
      <c r="U12" s="19">
        <v>3</v>
      </c>
      <c r="V12" s="20">
        <v>0.20833333333333334</v>
      </c>
      <c r="W12" s="4" t="s">
        <v>10</v>
      </c>
      <c r="X12" s="4" t="s">
        <v>11</v>
      </c>
      <c r="Y12" s="4" t="s">
        <v>473</v>
      </c>
      <c r="Z12" s="26" t="s">
        <v>474</v>
      </c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</row>
    <row r="13" spans="1:56" ht="14.25">
      <c r="A13" s="3"/>
      <c r="B13" s="1" t="s">
        <v>433</v>
      </c>
      <c r="C13" s="46">
        <f>290</f>
        <v>290</v>
      </c>
      <c r="D13" s="1" t="s">
        <v>475</v>
      </c>
      <c r="E13" s="47">
        <v>-355</v>
      </c>
      <c r="F13" s="54" t="s">
        <v>475</v>
      </c>
      <c r="G13" s="27">
        <v>-355</v>
      </c>
      <c r="H13" s="2" t="s">
        <v>5</v>
      </c>
      <c r="I13" t="s">
        <v>475</v>
      </c>
      <c r="J13" t="s">
        <v>5</v>
      </c>
      <c r="K13" s="3"/>
      <c r="L13" s="3" t="s">
        <v>16</v>
      </c>
      <c r="M13" s="3" t="s">
        <v>445</v>
      </c>
      <c r="N13" s="3" t="s">
        <v>29</v>
      </c>
      <c r="O13" s="3" t="s">
        <v>30</v>
      </c>
      <c r="P13" s="4" t="s">
        <v>31</v>
      </c>
      <c r="Q13" s="4" t="s">
        <v>476</v>
      </c>
      <c r="R13" s="4" t="s">
        <v>22</v>
      </c>
      <c r="S13" s="4" t="s">
        <v>416</v>
      </c>
      <c r="T13" s="4" t="s">
        <v>9</v>
      </c>
      <c r="U13" s="19">
        <v>3</v>
      </c>
      <c r="V13" s="20">
        <v>0.20833333333333334</v>
      </c>
      <c r="W13" s="4" t="s">
        <v>10</v>
      </c>
      <c r="X13" s="4" t="s">
        <v>11</v>
      </c>
      <c r="Y13" s="4" t="s">
        <v>477</v>
      </c>
      <c r="Z13" s="26" t="s">
        <v>478</v>
      </c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</row>
    <row r="14" spans="1:56" ht="14.25">
      <c r="A14" s="3"/>
      <c r="B14" s="1" t="s">
        <v>479</v>
      </c>
      <c r="C14" s="46">
        <f>255</f>
        <v>255</v>
      </c>
      <c r="D14" s="1" t="s">
        <v>480</v>
      </c>
      <c r="E14" s="47">
        <v>-305</v>
      </c>
      <c r="F14" s="54" t="s">
        <v>480</v>
      </c>
      <c r="G14" s="27">
        <v>-305</v>
      </c>
      <c r="H14" s="2" t="s">
        <v>5</v>
      </c>
      <c r="I14" t="s">
        <v>480</v>
      </c>
      <c r="J14" t="s">
        <v>5</v>
      </c>
      <c r="K14" s="3"/>
      <c r="L14" s="3" t="s">
        <v>16</v>
      </c>
      <c r="M14" s="3" t="s">
        <v>445</v>
      </c>
      <c r="N14" s="3" t="s">
        <v>481</v>
      </c>
      <c r="O14" s="3" t="s">
        <v>482</v>
      </c>
      <c r="P14" s="4" t="s">
        <v>31</v>
      </c>
      <c r="Q14" s="4" t="s">
        <v>483</v>
      </c>
      <c r="R14" s="4" t="s">
        <v>22</v>
      </c>
      <c r="S14" s="4" t="s">
        <v>416</v>
      </c>
      <c r="T14" s="4" t="s">
        <v>46</v>
      </c>
      <c r="U14" s="19">
        <v>2</v>
      </c>
      <c r="V14" s="20">
        <v>1.8055555555555554E-2</v>
      </c>
      <c r="W14" s="4" t="s">
        <v>10</v>
      </c>
      <c r="X14" s="4" t="s">
        <v>23</v>
      </c>
      <c r="Y14" s="4" t="s">
        <v>48</v>
      </c>
      <c r="Z14" s="26" t="s">
        <v>484</v>
      </c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</row>
    <row r="15" spans="1:56" ht="14.25">
      <c r="A15" s="3"/>
      <c r="B15" s="1" t="s">
        <v>485</v>
      </c>
      <c r="C15" s="46">
        <f>135</f>
        <v>135</v>
      </c>
      <c r="D15" s="1" t="s">
        <v>414</v>
      </c>
      <c r="E15" s="47">
        <v>-155</v>
      </c>
      <c r="F15" s="54" t="s">
        <v>485</v>
      </c>
      <c r="G15" s="27">
        <f>135</f>
        <v>135</v>
      </c>
      <c r="H15" s="2" t="s">
        <v>122</v>
      </c>
      <c r="I15" t="s">
        <v>485</v>
      </c>
      <c r="J15" t="s">
        <v>5</v>
      </c>
      <c r="K15" s="3"/>
      <c r="L15" s="3" t="s">
        <v>16</v>
      </c>
      <c r="M15" s="3" t="s">
        <v>445</v>
      </c>
      <c r="N15" s="3" t="s">
        <v>29</v>
      </c>
      <c r="O15" s="3" t="s">
        <v>447</v>
      </c>
      <c r="P15" s="4" t="s">
        <v>160</v>
      </c>
      <c r="Q15" s="4" t="s">
        <v>486</v>
      </c>
      <c r="R15" s="4" t="s">
        <v>8</v>
      </c>
      <c r="S15" s="4" t="s">
        <v>416</v>
      </c>
      <c r="T15" s="4" t="s">
        <v>193</v>
      </c>
      <c r="U15" s="19">
        <v>3</v>
      </c>
      <c r="V15" s="20">
        <v>0.20833333333333334</v>
      </c>
      <c r="W15" s="4" t="s">
        <v>10</v>
      </c>
      <c r="X15" s="4" t="s">
        <v>306</v>
      </c>
      <c r="Y15" s="4" t="s">
        <v>487</v>
      </c>
      <c r="Z15" s="26" t="s">
        <v>488</v>
      </c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</row>
    <row r="16" spans="1:56" ht="14.25">
      <c r="A16" s="3"/>
      <c r="B16" s="1" t="s">
        <v>489</v>
      </c>
      <c r="C16" s="46">
        <v>-365</v>
      </c>
      <c r="D16" s="1" t="s">
        <v>490</v>
      </c>
      <c r="E16" s="47">
        <f>290</f>
        <v>290</v>
      </c>
      <c r="F16" s="54" t="s">
        <v>490</v>
      </c>
      <c r="G16" s="28">
        <f>290</f>
        <v>290</v>
      </c>
      <c r="H16" s="2" t="s">
        <v>122</v>
      </c>
      <c r="I16" t="s">
        <v>489</v>
      </c>
      <c r="J16" t="s">
        <v>5</v>
      </c>
      <c r="K16" s="3"/>
      <c r="L16" s="3" t="s">
        <v>16</v>
      </c>
      <c r="M16" s="3" t="s">
        <v>491</v>
      </c>
      <c r="N16" s="3" t="s">
        <v>492</v>
      </c>
      <c r="O16" s="3" t="s">
        <v>493</v>
      </c>
      <c r="P16" s="4" t="s">
        <v>160</v>
      </c>
      <c r="Q16" s="4" t="s">
        <v>494</v>
      </c>
      <c r="R16" s="4" t="s">
        <v>8</v>
      </c>
      <c r="S16" s="4" t="s">
        <v>416</v>
      </c>
      <c r="T16" s="4" t="s">
        <v>61</v>
      </c>
      <c r="U16" s="19">
        <v>1</v>
      </c>
      <c r="V16" s="20">
        <v>9.5138888888888884E-2</v>
      </c>
      <c r="W16" s="4" t="s">
        <v>10</v>
      </c>
      <c r="X16" s="4" t="s">
        <v>47</v>
      </c>
      <c r="Y16" s="4" t="s">
        <v>495</v>
      </c>
      <c r="Z16" s="26" t="s">
        <v>496</v>
      </c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</row>
    <row r="17" spans="1:56" ht="14.25">
      <c r="A17" s="3"/>
      <c r="B17" s="1" t="s">
        <v>418</v>
      </c>
      <c r="C17" s="46">
        <f>170</f>
        <v>170</v>
      </c>
      <c r="D17" s="1" t="s">
        <v>497</v>
      </c>
      <c r="E17" s="47">
        <v>-200</v>
      </c>
      <c r="F17" s="54" t="s">
        <v>418</v>
      </c>
      <c r="G17" s="27">
        <f>170</f>
        <v>170</v>
      </c>
      <c r="H17" s="2" t="s">
        <v>5</v>
      </c>
      <c r="I17" t="s">
        <v>497</v>
      </c>
      <c r="J17" t="s">
        <v>5</v>
      </c>
      <c r="K17" s="3"/>
      <c r="L17" s="3"/>
      <c r="M17" s="3"/>
      <c r="N17" s="3"/>
      <c r="O17" s="3"/>
      <c r="P17" s="4" t="s">
        <v>311</v>
      </c>
      <c r="Q17" s="4" t="s">
        <v>498</v>
      </c>
      <c r="R17" s="4" t="s">
        <v>22</v>
      </c>
      <c r="S17" s="4" t="s">
        <v>416</v>
      </c>
      <c r="T17" s="4" t="s">
        <v>9</v>
      </c>
      <c r="U17" s="19">
        <v>3</v>
      </c>
      <c r="V17" s="20">
        <v>0.20833333333333334</v>
      </c>
      <c r="W17" s="4" t="s">
        <v>10</v>
      </c>
      <c r="X17" s="4" t="s">
        <v>499</v>
      </c>
      <c r="Y17" s="4" t="s">
        <v>500</v>
      </c>
      <c r="Z17" s="26" t="s">
        <v>501</v>
      </c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</row>
    <row r="18" spans="1:56" ht="14.25">
      <c r="A18" s="3"/>
      <c r="B18" s="33" t="s">
        <v>502</v>
      </c>
      <c r="C18" s="46">
        <v>-135</v>
      </c>
      <c r="D18" s="33" t="s">
        <v>503</v>
      </c>
      <c r="E18" s="47">
        <v>115</v>
      </c>
      <c r="F18" s="55" t="s">
        <v>503</v>
      </c>
      <c r="G18" s="28">
        <v>115</v>
      </c>
      <c r="H18" s="2" t="s">
        <v>122</v>
      </c>
      <c r="I18" t="s">
        <v>502</v>
      </c>
      <c r="J18" t="s">
        <v>1</v>
      </c>
      <c r="K18" s="3"/>
      <c r="L18" s="3"/>
      <c r="M18" s="3"/>
      <c r="N18" s="3"/>
      <c r="O18" s="3"/>
      <c r="P18" s="4" t="s">
        <v>185</v>
      </c>
      <c r="Q18" s="4" t="s">
        <v>504</v>
      </c>
      <c r="R18" s="4" t="s">
        <v>22</v>
      </c>
      <c r="S18" s="4" t="s">
        <v>416</v>
      </c>
      <c r="T18" s="4" t="s">
        <v>61</v>
      </c>
      <c r="U18" s="19">
        <v>2</v>
      </c>
      <c r="V18" s="20">
        <v>5.347222222222222E-2</v>
      </c>
      <c r="W18" s="4" t="s">
        <v>10</v>
      </c>
      <c r="X18" s="4" t="s">
        <v>194</v>
      </c>
      <c r="Y18" s="4" t="s">
        <v>505</v>
      </c>
      <c r="Z18" s="26" t="s">
        <v>506</v>
      </c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</row>
    <row r="19" spans="1:56" ht="15.75" customHeight="1">
      <c r="A19" s="3"/>
      <c r="B19" s="1" t="s">
        <v>507</v>
      </c>
      <c r="C19" s="49">
        <v>-210</v>
      </c>
      <c r="D19" s="1" t="s">
        <v>508</v>
      </c>
      <c r="E19" s="50">
        <f>180</f>
        <v>180</v>
      </c>
      <c r="F19" s="54" t="s">
        <v>507</v>
      </c>
      <c r="G19" s="27">
        <v>-210</v>
      </c>
      <c r="H19" s="29" t="s">
        <v>122</v>
      </c>
      <c r="I19" t="s">
        <v>507</v>
      </c>
      <c r="J19" t="s">
        <v>5</v>
      </c>
      <c r="K19" s="3"/>
      <c r="L19" s="3"/>
      <c r="M19" s="3"/>
      <c r="N19" s="3"/>
      <c r="O19" s="3"/>
      <c r="P19" s="4" t="s">
        <v>37</v>
      </c>
      <c r="Q19" s="4" t="s">
        <v>509</v>
      </c>
      <c r="R19" s="4" t="s">
        <v>8</v>
      </c>
      <c r="S19" s="4" t="s">
        <v>416</v>
      </c>
      <c r="T19" s="4" t="s">
        <v>46</v>
      </c>
      <c r="U19" s="19">
        <v>2</v>
      </c>
      <c r="V19" s="20">
        <v>0.18819444444444444</v>
      </c>
      <c r="W19" s="4" t="s">
        <v>10</v>
      </c>
      <c r="X19" s="4" t="s">
        <v>39</v>
      </c>
      <c r="Y19" s="4" t="s">
        <v>417</v>
      </c>
      <c r="Z19" s="26" t="s">
        <v>510</v>
      </c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</row>
    <row r="20" spans="1:56" ht="14.25">
      <c r="A20" s="3"/>
      <c r="B20" s="1" t="s">
        <v>511</v>
      </c>
      <c r="C20" s="49">
        <v>-170</v>
      </c>
      <c r="D20" s="1" t="s">
        <v>512</v>
      </c>
      <c r="E20" s="50">
        <f>145</f>
        <v>145</v>
      </c>
      <c r="F20" s="54" t="s">
        <v>511</v>
      </c>
      <c r="G20" s="28">
        <v>-170</v>
      </c>
      <c r="H20" s="2" t="s">
        <v>5</v>
      </c>
      <c r="I20" t="s">
        <v>511</v>
      </c>
      <c r="J20" t="s">
        <v>5</v>
      </c>
      <c r="K20" s="3"/>
      <c r="L20" s="3"/>
      <c r="M20" s="3"/>
      <c r="N20" s="3"/>
      <c r="O20" s="3"/>
      <c r="P20" s="4" t="s">
        <v>44</v>
      </c>
      <c r="Q20" s="4" t="s">
        <v>513</v>
      </c>
      <c r="R20" s="4" t="s">
        <v>8</v>
      </c>
      <c r="S20" s="4" t="s">
        <v>416</v>
      </c>
      <c r="T20" s="4" t="s">
        <v>61</v>
      </c>
      <c r="U20" s="19">
        <v>2</v>
      </c>
      <c r="V20" s="20">
        <v>0.18402777777777779</v>
      </c>
      <c r="W20" s="4" t="s">
        <v>10</v>
      </c>
      <c r="X20" s="4" t="s">
        <v>23</v>
      </c>
      <c r="Y20" s="4" t="s">
        <v>67</v>
      </c>
      <c r="Z20" s="26" t="s">
        <v>514</v>
      </c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</row>
    <row r="21" spans="1:56" ht="14.25">
      <c r="A21" s="3"/>
      <c r="B21" s="1" t="s">
        <v>515</v>
      </c>
      <c r="C21" s="49">
        <v>-500</v>
      </c>
      <c r="D21" s="1" t="s">
        <v>516</v>
      </c>
      <c r="E21" s="50">
        <f>375</f>
        <v>375</v>
      </c>
      <c r="F21" s="54" t="s">
        <v>515</v>
      </c>
      <c r="G21" s="16">
        <v>-500</v>
      </c>
      <c r="H21" s="2" t="s">
        <v>5</v>
      </c>
      <c r="I21" t="s">
        <v>515</v>
      </c>
      <c r="J21" t="s">
        <v>5</v>
      </c>
      <c r="K21" s="3"/>
      <c r="L21" s="3"/>
      <c r="M21" s="3"/>
      <c r="N21" s="3"/>
      <c r="O21" s="3"/>
      <c r="P21" s="4" t="s">
        <v>52</v>
      </c>
      <c r="Q21" s="4" t="s">
        <v>517</v>
      </c>
      <c r="R21" s="4" t="s">
        <v>8</v>
      </c>
      <c r="S21" s="4" t="s">
        <v>416</v>
      </c>
      <c r="T21" s="4" t="s">
        <v>46</v>
      </c>
      <c r="U21" s="19">
        <v>2</v>
      </c>
      <c r="V21" s="20">
        <v>0.16597222222222222</v>
      </c>
      <c r="W21" s="4" t="s">
        <v>10</v>
      </c>
      <c r="X21" s="4" t="s">
        <v>11</v>
      </c>
      <c r="Y21" s="4" t="s">
        <v>518</v>
      </c>
      <c r="Z21" s="26" t="s">
        <v>519</v>
      </c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</row>
    <row r="22" spans="1:56" ht="14.25">
      <c r="A22" s="3"/>
      <c r="B22" s="1" t="s">
        <v>520</v>
      </c>
      <c r="C22" s="49">
        <v>-155</v>
      </c>
      <c r="D22" s="1" t="s">
        <v>521</v>
      </c>
      <c r="E22" s="50">
        <f>135</f>
        <v>135</v>
      </c>
      <c r="F22" s="54" t="s">
        <v>521</v>
      </c>
      <c r="G22" s="16">
        <f>135</f>
        <v>135</v>
      </c>
      <c r="H22" s="2" t="s">
        <v>5</v>
      </c>
      <c r="I22" t="s">
        <v>520</v>
      </c>
      <c r="J22" t="s">
        <v>5</v>
      </c>
      <c r="K22" s="3"/>
      <c r="L22" s="3"/>
      <c r="M22" s="3"/>
      <c r="N22" s="3"/>
      <c r="O22" s="3"/>
      <c r="P22" s="4" t="s">
        <v>52</v>
      </c>
      <c r="Q22" s="4" t="s">
        <v>522</v>
      </c>
      <c r="R22" s="4" t="s">
        <v>8</v>
      </c>
      <c r="S22" s="4" t="s">
        <v>416</v>
      </c>
      <c r="T22" s="4" t="s">
        <v>46</v>
      </c>
      <c r="U22" s="19">
        <v>2</v>
      </c>
      <c r="V22" s="20">
        <v>3.8194444444444448E-2</v>
      </c>
      <c r="W22" s="4" t="s">
        <v>10</v>
      </c>
      <c r="X22" s="4" t="s">
        <v>39</v>
      </c>
      <c r="Y22" s="4" t="s">
        <v>127</v>
      </c>
      <c r="Z22" s="26" t="s">
        <v>523</v>
      </c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</row>
    <row r="23" spans="1:56" ht="14.25">
      <c r="A23" s="3"/>
      <c r="B23" s="1" t="s">
        <v>418</v>
      </c>
      <c r="C23" s="49">
        <v>-155</v>
      </c>
      <c r="D23" s="1" t="s">
        <v>524</v>
      </c>
      <c r="E23" s="50">
        <f>155</f>
        <v>155</v>
      </c>
      <c r="F23" s="54" t="s">
        <v>524</v>
      </c>
      <c r="G23" s="17">
        <f>155</f>
        <v>155</v>
      </c>
      <c r="H23" s="2" t="s">
        <v>5</v>
      </c>
      <c r="I23" t="s">
        <v>524</v>
      </c>
      <c r="J23" t="s">
        <v>5</v>
      </c>
      <c r="K23" s="3"/>
      <c r="L23" s="3"/>
      <c r="M23" s="3"/>
      <c r="N23" s="4" t="s">
        <v>65</v>
      </c>
      <c r="O23" s="4" t="s">
        <v>525</v>
      </c>
      <c r="P23" s="4" t="s">
        <v>22</v>
      </c>
      <c r="Q23" s="4" t="s">
        <v>416</v>
      </c>
      <c r="R23" s="4" t="s">
        <v>9</v>
      </c>
      <c r="S23" s="19">
        <v>3</v>
      </c>
      <c r="T23" s="20">
        <v>0.20833333333333334</v>
      </c>
      <c r="U23" s="4" t="s">
        <v>10</v>
      </c>
      <c r="V23" s="4" t="s">
        <v>23</v>
      </c>
      <c r="W23" s="4" t="s">
        <v>526</v>
      </c>
      <c r="X23" s="26" t="s">
        <v>527</v>
      </c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</row>
    <row r="24" spans="1:56" ht="14.25">
      <c r="A24" s="3"/>
      <c r="B24" s="1" t="s">
        <v>480</v>
      </c>
      <c r="C24" s="16">
        <f>200</f>
        <v>200</v>
      </c>
      <c r="D24" s="1" t="s">
        <v>424</v>
      </c>
      <c r="E24" s="17">
        <v>-200</v>
      </c>
      <c r="F24" s="1" t="s">
        <v>480</v>
      </c>
      <c r="G24" s="56">
        <f>200</f>
        <v>200</v>
      </c>
      <c r="H24" s="2" t="s">
        <v>5</v>
      </c>
      <c r="I24" t="s">
        <v>480</v>
      </c>
      <c r="J24" t="s">
        <v>5</v>
      </c>
      <c r="K24" s="3"/>
      <c r="L24" s="3"/>
      <c r="M24" s="3"/>
      <c r="N24" s="4" t="s">
        <v>223</v>
      </c>
      <c r="O24" s="4" t="s">
        <v>528</v>
      </c>
      <c r="P24" s="4" t="s">
        <v>8</v>
      </c>
      <c r="Q24" s="4" t="s">
        <v>416</v>
      </c>
      <c r="R24" s="4" t="s">
        <v>9</v>
      </c>
      <c r="S24" s="19">
        <v>3</v>
      </c>
      <c r="T24" s="20">
        <v>0.20833333333333334</v>
      </c>
      <c r="U24" s="4" t="s">
        <v>10</v>
      </c>
      <c r="V24" s="4" t="s">
        <v>47</v>
      </c>
      <c r="W24" s="4" t="s">
        <v>529</v>
      </c>
      <c r="X24" s="26" t="s">
        <v>530</v>
      </c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</row>
    <row r="25" spans="1:56" ht="14.25">
      <c r="A25" s="3"/>
      <c r="B25" s="1" t="s">
        <v>507</v>
      </c>
      <c r="C25" s="16">
        <f>225</f>
        <v>225</v>
      </c>
      <c r="D25" s="1" t="s">
        <v>425</v>
      </c>
      <c r="E25" s="17">
        <v>-225</v>
      </c>
      <c r="F25" s="1" t="s">
        <v>507</v>
      </c>
      <c r="G25" s="16">
        <f>225</f>
        <v>225</v>
      </c>
      <c r="H25" s="2" t="s">
        <v>5</v>
      </c>
      <c r="I25" t="s">
        <v>507</v>
      </c>
      <c r="J25" t="s">
        <v>5</v>
      </c>
      <c r="K25" s="3"/>
      <c r="L25" s="3"/>
      <c r="M25" s="3"/>
      <c r="N25" s="4" t="s">
        <v>223</v>
      </c>
      <c r="O25" s="4" t="s">
        <v>531</v>
      </c>
      <c r="P25" s="4" t="s">
        <v>8</v>
      </c>
      <c r="Q25" s="4" t="s">
        <v>416</v>
      </c>
      <c r="R25" s="4" t="s">
        <v>9</v>
      </c>
      <c r="S25" s="19">
        <v>3</v>
      </c>
      <c r="T25" s="20">
        <v>0.20833333333333334</v>
      </c>
      <c r="U25" s="4" t="s">
        <v>10</v>
      </c>
      <c r="V25" s="4" t="s">
        <v>89</v>
      </c>
      <c r="W25" s="4" t="s">
        <v>532</v>
      </c>
      <c r="X25" s="26" t="s">
        <v>533</v>
      </c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</row>
  </sheetData>
  <hyperlinks>
    <hyperlink ref="Z4" r:id="rId1" xr:uid="{00000000-0004-0000-0800-000000000000}"/>
    <hyperlink ref="Z5" r:id="rId2" xr:uid="{00000000-0004-0000-0800-000001000000}"/>
    <hyperlink ref="Z6" r:id="rId3" xr:uid="{00000000-0004-0000-0800-000002000000}"/>
    <hyperlink ref="Z7" r:id="rId4" xr:uid="{00000000-0004-0000-0800-000003000000}"/>
    <hyperlink ref="Z8" r:id="rId5" xr:uid="{00000000-0004-0000-0800-000004000000}"/>
    <hyperlink ref="Z9" r:id="rId6" xr:uid="{00000000-0004-0000-0800-000005000000}"/>
    <hyperlink ref="Z10" r:id="rId7" xr:uid="{00000000-0004-0000-0800-000006000000}"/>
    <hyperlink ref="Z11" r:id="rId8" xr:uid="{00000000-0004-0000-0800-000007000000}"/>
    <hyperlink ref="Z12" r:id="rId9" xr:uid="{00000000-0004-0000-0800-000008000000}"/>
    <hyperlink ref="Z13" r:id="rId10" xr:uid="{00000000-0004-0000-0800-000009000000}"/>
    <hyperlink ref="Z14" r:id="rId11" xr:uid="{00000000-0004-0000-0800-00000A000000}"/>
    <hyperlink ref="Z15" r:id="rId12" xr:uid="{00000000-0004-0000-0800-00000B000000}"/>
    <hyperlink ref="Z16" r:id="rId13" xr:uid="{00000000-0004-0000-0800-00000C000000}"/>
    <hyperlink ref="Z17" r:id="rId14" xr:uid="{00000000-0004-0000-0800-00000D000000}"/>
    <hyperlink ref="B18" r:id="rId15" xr:uid="{00000000-0004-0000-0800-00000E000000}"/>
    <hyperlink ref="D18" r:id="rId16" xr:uid="{00000000-0004-0000-0800-00000F000000}"/>
    <hyperlink ref="F18" r:id="rId17" xr:uid="{00000000-0004-0000-0800-000010000000}"/>
    <hyperlink ref="Z18" r:id="rId18" xr:uid="{00000000-0004-0000-0800-000011000000}"/>
    <hyperlink ref="Z19" r:id="rId19" xr:uid="{00000000-0004-0000-0800-000012000000}"/>
    <hyperlink ref="Z20" r:id="rId20" xr:uid="{00000000-0004-0000-0800-000013000000}"/>
    <hyperlink ref="Z21" r:id="rId21" xr:uid="{00000000-0004-0000-0800-000014000000}"/>
    <hyperlink ref="Z22" r:id="rId22" xr:uid="{00000000-0004-0000-0800-000015000000}"/>
    <hyperlink ref="X23" r:id="rId23" xr:uid="{00000000-0004-0000-0800-000016000000}"/>
    <hyperlink ref="X24" r:id="rId24" xr:uid="{00000000-0004-0000-0800-000017000000}"/>
    <hyperlink ref="X25" r:id="rId25" xr:uid="{00000000-0004-0000-0800-000018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D31"/>
  <sheetViews>
    <sheetView workbookViewId="0">
      <selection activeCell="J18" sqref="J18"/>
    </sheetView>
  </sheetViews>
  <sheetFormatPr defaultColWidth="12.5703125" defaultRowHeight="15.75" customHeight="1"/>
  <sheetData>
    <row r="1" spans="1:56" ht="12.75">
      <c r="A1" s="99"/>
      <c r="B1" s="99"/>
      <c r="C1" s="100" t="s">
        <v>5</v>
      </c>
      <c r="D1" s="99"/>
      <c r="E1" s="100" t="s">
        <v>1</v>
      </c>
      <c r="F1" s="99"/>
      <c r="G1" s="101" t="s">
        <v>1519</v>
      </c>
      <c r="H1" s="99" t="s">
        <v>1520</v>
      </c>
      <c r="I1" s="99" t="s">
        <v>13066</v>
      </c>
      <c r="J1" s="99" t="s">
        <v>13067</v>
      </c>
      <c r="K1" s="99" t="s">
        <v>1521</v>
      </c>
      <c r="L1" s="99" t="s">
        <v>1522</v>
      </c>
      <c r="M1" s="99" t="s">
        <v>1523</v>
      </c>
      <c r="N1" s="99" t="s">
        <v>46</v>
      </c>
      <c r="O1" s="99"/>
      <c r="P1" s="99"/>
      <c r="Q1" s="99"/>
      <c r="R1" s="99"/>
      <c r="S1" s="99"/>
      <c r="T1" s="99"/>
      <c r="U1" s="99"/>
      <c r="V1" s="102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</row>
    <row r="2" spans="1:56" ht="12.75">
      <c r="A2" s="7"/>
      <c r="B2" s="7"/>
      <c r="C2" s="8">
        <f>COUNTIF(H3:H102, "win")</f>
        <v>15</v>
      </c>
      <c r="D2" s="7"/>
      <c r="E2" s="8">
        <f>COUNTIF(H3:H102, "loss")</f>
        <v>11</v>
      </c>
      <c r="F2" s="103" t="s">
        <v>2</v>
      </c>
      <c r="G2" s="104">
        <f>COUNTIF(H3:H102, "win") / (COUNTIF(H3:H102, "win") + COUNTIF(H3:H102, "loss"))</f>
        <v>0.57692307692307687</v>
      </c>
      <c r="H2" s="7"/>
      <c r="I2" s="7"/>
      <c r="J2" s="104">
        <f>COUNTIF(J3:J102, "Win") / (COUNTIF(J3:J102, "Win") + COUNTIF(J3:J102, "Loss"))</f>
        <v>0.92592592592592593</v>
      </c>
      <c r="K2" s="60">
        <f>COUNTIF(R2:R100, "Decision - split")</f>
        <v>0</v>
      </c>
      <c r="L2" s="60">
        <f>COUNTIF(R2:R100, "Decision - Unanimous")</f>
        <v>2</v>
      </c>
      <c r="M2" s="60">
        <f>COUNTIF(R2:R100, "Submission")</f>
        <v>2</v>
      </c>
      <c r="N2" s="60">
        <f>COUNTIF(R2:R100, "KO/TKO")</f>
        <v>0</v>
      </c>
      <c r="O2" s="7"/>
      <c r="P2" s="7"/>
      <c r="Q2" s="7"/>
      <c r="R2" s="7"/>
      <c r="S2" s="7"/>
      <c r="T2" s="7"/>
      <c r="U2" s="7"/>
      <c r="V2" s="105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</row>
    <row r="3" spans="1:56" ht="14.25">
      <c r="A3" s="3"/>
      <c r="B3" s="1" t="s">
        <v>580</v>
      </c>
      <c r="C3" s="24">
        <f>154</f>
        <v>154</v>
      </c>
      <c r="D3" s="1" t="s">
        <v>1145</v>
      </c>
      <c r="E3" s="24">
        <v>-154</v>
      </c>
      <c r="F3" s="1" t="s">
        <v>580</v>
      </c>
      <c r="G3" s="24" t="s">
        <v>1</v>
      </c>
      <c r="H3" s="2">
        <f>154</f>
        <v>154</v>
      </c>
      <c r="I3" t="s">
        <v>1145</v>
      </c>
      <c r="J3" t="s">
        <v>5</v>
      </c>
      <c r="K3" s="3"/>
      <c r="L3" s="3"/>
      <c r="M3" s="3"/>
      <c r="N3" s="3"/>
      <c r="O3" s="3"/>
      <c r="P3" s="4" t="s">
        <v>6</v>
      </c>
      <c r="Q3" s="4" t="s">
        <v>1146</v>
      </c>
      <c r="R3" s="4" t="s">
        <v>22</v>
      </c>
      <c r="S3" s="4" t="s">
        <v>1147</v>
      </c>
      <c r="T3" s="4" t="s">
        <v>9</v>
      </c>
      <c r="U3" s="19">
        <v>3</v>
      </c>
      <c r="V3" s="20">
        <v>0.20833333333333334</v>
      </c>
      <c r="W3" s="4" t="s">
        <v>10</v>
      </c>
      <c r="X3" s="4" t="s">
        <v>73</v>
      </c>
      <c r="Y3" s="4" t="s">
        <v>1148</v>
      </c>
      <c r="Z3" s="3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</row>
    <row r="4" spans="1:56" ht="14.25">
      <c r="A4" s="3"/>
      <c r="B4" s="38" t="s">
        <v>1149</v>
      </c>
      <c r="C4" s="80">
        <f>400</f>
        <v>400</v>
      </c>
      <c r="D4" s="38" t="s">
        <v>1150</v>
      </c>
      <c r="E4" s="80">
        <v>-400</v>
      </c>
      <c r="F4" s="38" t="s">
        <v>1150</v>
      </c>
      <c r="G4" s="80">
        <v>-400</v>
      </c>
      <c r="H4" s="41" t="s">
        <v>1151</v>
      </c>
      <c r="I4" t="s">
        <v>13068</v>
      </c>
      <c r="J4" t="s">
        <v>13069</v>
      </c>
      <c r="K4" s="3"/>
      <c r="L4" s="3"/>
      <c r="M4" s="3"/>
      <c r="N4" s="3"/>
      <c r="O4" s="3"/>
      <c r="P4" s="4" t="s">
        <v>231</v>
      </c>
      <c r="Q4" s="4" t="s">
        <v>1152</v>
      </c>
      <c r="R4" s="4" t="s">
        <v>709</v>
      </c>
      <c r="S4" s="4" t="s">
        <v>1147</v>
      </c>
      <c r="T4" s="4" t="s">
        <v>710</v>
      </c>
      <c r="U4" s="19">
        <v>3</v>
      </c>
      <c r="V4" s="20">
        <v>0.20833333333333334</v>
      </c>
      <c r="W4" s="4" t="s">
        <v>10</v>
      </c>
      <c r="X4" s="4" t="s">
        <v>788</v>
      </c>
      <c r="Y4" s="4" t="s">
        <v>1153</v>
      </c>
      <c r="Z4" s="3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</row>
    <row r="5" spans="1:56" ht="14.25">
      <c r="A5" s="3"/>
      <c r="B5" s="1" t="s">
        <v>1145</v>
      </c>
      <c r="C5" s="84">
        <v>-156</v>
      </c>
      <c r="D5" s="1" t="s">
        <v>999</v>
      </c>
      <c r="E5" s="84">
        <f>136</f>
        <v>136</v>
      </c>
      <c r="F5" s="1" t="s">
        <v>999</v>
      </c>
      <c r="G5" s="84">
        <f>136</f>
        <v>136</v>
      </c>
      <c r="H5" s="2" t="s">
        <v>1</v>
      </c>
      <c r="I5" t="s">
        <v>1145</v>
      </c>
      <c r="J5" t="s">
        <v>5</v>
      </c>
      <c r="K5" s="24">
        <v>6.5</v>
      </c>
      <c r="L5" s="1" t="s">
        <v>18</v>
      </c>
      <c r="M5" s="24">
        <v>-150</v>
      </c>
      <c r="N5" s="1" t="s">
        <v>1154</v>
      </c>
      <c r="O5" s="3"/>
      <c r="P5" s="4" t="s">
        <v>339</v>
      </c>
      <c r="Q5" s="4" t="s">
        <v>1155</v>
      </c>
      <c r="R5" s="4" t="s">
        <v>8</v>
      </c>
      <c r="S5" s="4" t="s">
        <v>1147</v>
      </c>
      <c r="T5" s="4" t="s">
        <v>9</v>
      </c>
      <c r="U5" s="19">
        <v>3</v>
      </c>
      <c r="V5" s="20">
        <v>0.20833333333333334</v>
      </c>
      <c r="W5" s="4" t="s">
        <v>10</v>
      </c>
      <c r="X5" s="4" t="s">
        <v>11</v>
      </c>
      <c r="Y5" s="4" t="s">
        <v>1156</v>
      </c>
      <c r="Z5" s="26" t="s">
        <v>1157</v>
      </c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</row>
    <row r="6" spans="1:56" ht="14.25">
      <c r="A6" s="3"/>
      <c r="B6" s="1" t="s">
        <v>1158</v>
      </c>
      <c r="C6" s="84">
        <f>135</f>
        <v>135</v>
      </c>
      <c r="D6" s="1" t="s">
        <v>1159</v>
      </c>
      <c r="E6" s="84">
        <v>-155</v>
      </c>
      <c r="F6" s="1" t="s">
        <v>1158</v>
      </c>
      <c r="G6" s="84">
        <f>135</f>
        <v>135</v>
      </c>
      <c r="H6" s="2" t="s">
        <v>1</v>
      </c>
      <c r="I6" t="s">
        <v>1158</v>
      </c>
      <c r="J6" t="s">
        <v>1</v>
      </c>
      <c r="K6" s="24">
        <v>7.3</v>
      </c>
      <c r="L6" s="1" t="s">
        <v>46</v>
      </c>
      <c r="M6" s="24">
        <v>-180</v>
      </c>
      <c r="N6" s="1" t="s">
        <v>1160</v>
      </c>
      <c r="O6" s="3"/>
      <c r="P6" s="4" t="s">
        <v>339</v>
      </c>
      <c r="Q6" s="4" t="s">
        <v>1161</v>
      </c>
      <c r="R6" s="4" t="s">
        <v>22</v>
      </c>
      <c r="S6" s="4" t="s">
        <v>1147</v>
      </c>
      <c r="T6" s="4" t="s">
        <v>9</v>
      </c>
      <c r="U6" s="19">
        <v>3</v>
      </c>
      <c r="V6" s="20">
        <v>0.20833333333333334</v>
      </c>
      <c r="W6" s="4" t="s">
        <v>10</v>
      </c>
      <c r="X6" s="4" t="s">
        <v>572</v>
      </c>
      <c r="Y6" s="4" t="s">
        <v>1162</v>
      </c>
      <c r="Z6" s="26" t="s">
        <v>1163</v>
      </c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</row>
    <row r="7" spans="1:56" ht="14.25">
      <c r="A7" s="3"/>
      <c r="B7" s="1" t="s">
        <v>1164</v>
      </c>
      <c r="C7" s="84">
        <v>-122</v>
      </c>
      <c r="D7" s="1" t="s">
        <v>1145</v>
      </c>
      <c r="E7" s="84">
        <f>102</f>
        <v>102</v>
      </c>
      <c r="F7" s="1" t="s">
        <v>1164</v>
      </c>
      <c r="G7" s="84">
        <v>-122</v>
      </c>
      <c r="H7" s="30" t="s">
        <v>1</v>
      </c>
      <c r="I7" t="s">
        <v>1145</v>
      </c>
      <c r="J7" t="s">
        <v>5</v>
      </c>
      <c r="K7" s="24">
        <v>8.1999999999999993</v>
      </c>
      <c r="L7" s="1" t="s">
        <v>46</v>
      </c>
      <c r="M7" s="3"/>
      <c r="N7" s="1" t="s">
        <v>1165</v>
      </c>
      <c r="O7" s="3"/>
      <c r="P7" s="4" t="s">
        <v>115</v>
      </c>
      <c r="Q7" s="4" t="s">
        <v>1166</v>
      </c>
      <c r="R7" s="4" t="s">
        <v>22</v>
      </c>
      <c r="S7" s="4" t="s">
        <v>1147</v>
      </c>
      <c r="T7" s="4" t="s">
        <v>46</v>
      </c>
      <c r="U7" s="19">
        <v>2</v>
      </c>
      <c r="V7" s="20">
        <v>0.13680555555555557</v>
      </c>
      <c r="W7" s="4" t="s">
        <v>10</v>
      </c>
      <c r="X7" s="4" t="s">
        <v>11</v>
      </c>
      <c r="Y7" s="4" t="s">
        <v>417</v>
      </c>
      <c r="Z7" s="26" t="s">
        <v>1167</v>
      </c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</row>
    <row r="8" spans="1:56" ht="14.25">
      <c r="A8" s="3"/>
      <c r="B8" s="1" t="s">
        <v>1168</v>
      </c>
      <c r="C8" s="76">
        <f>145</f>
        <v>145</v>
      </c>
      <c r="D8" s="1" t="s">
        <v>1169</v>
      </c>
      <c r="E8" s="76">
        <v>-170</v>
      </c>
      <c r="F8" s="1" t="s">
        <v>1169</v>
      </c>
      <c r="G8" s="76">
        <v>-170</v>
      </c>
      <c r="H8" s="2" t="s">
        <v>1</v>
      </c>
      <c r="I8" t="s">
        <v>1168</v>
      </c>
      <c r="J8" t="s">
        <v>5</v>
      </c>
      <c r="K8" s="3"/>
      <c r="L8" s="3"/>
      <c r="M8" s="3"/>
      <c r="N8" s="3"/>
      <c r="O8" s="3"/>
      <c r="P8" s="4" t="s">
        <v>177</v>
      </c>
      <c r="Q8" s="4" t="s">
        <v>1170</v>
      </c>
      <c r="R8" s="4" t="s">
        <v>8</v>
      </c>
      <c r="S8" s="4" t="s">
        <v>1147</v>
      </c>
      <c r="T8" s="4" t="s">
        <v>193</v>
      </c>
      <c r="U8" s="19">
        <v>3</v>
      </c>
      <c r="V8" s="20">
        <v>0.20833333333333334</v>
      </c>
      <c r="W8" s="4" t="s">
        <v>10</v>
      </c>
      <c r="X8" s="4" t="s">
        <v>23</v>
      </c>
      <c r="Y8" s="4" t="s">
        <v>1171</v>
      </c>
      <c r="Z8" s="26" t="s">
        <v>1172</v>
      </c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</row>
    <row r="9" spans="1:56" ht="14.25">
      <c r="A9" s="3"/>
      <c r="B9" s="1" t="s">
        <v>1173</v>
      </c>
      <c r="C9" s="76">
        <v>-203</v>
      </c>
      <c r="D9" s="1" t="s">
        <v>1174</v>
      </c>
      <c r="E9" s="76">
        <f>173</f>
        <v>173</v>
      </c>
      <c r="F9" s="1" t="s">
        <v>1173</v>
      </c>
      <c r="G9" s="76">
        <v>-203</v>
      </c>
      <c r="H9" s="2" t="s">
        <v>1</v>
      </c>
      <c r="I9" t="s">
        <v>1174</v>
      </c>
      <c r="J9" t="s">
        <v>5</v>
      </c>
      <c r="K9" s="3"/>
      <c r="L9" s="3"/>
      <c r="M9" s="3"/>
      <c r="N9" s="3"/>
      <c r="O9" s="3"/>
      <c r="P9" s="4" t="s">
        <v>311</v>
      </c>
      <c r="Q9" s="4" t="s">
        <v>1175</v>
      </c>
      <c r="R9" s="4" t="s">
        <v>22</v>
      </c>
      <c r="S9" s="4" t="s">
        <v>1147</v>
      </c>
      <c r="T9" s="4" t="s">
        <v>46</v>
      </c>
      <c r="U9" s="19">
        <v>1</v>
      </c>
      <c r="V9" s="20">
        <v>0.19930555555555557</v>
      </c>
      <c r="W9" s="4" t="s">
        <v>10</v>
      </c>
      <c r="X9" s="4" t="s">
        <v>39</v>
      </c>
      <c r="Y9" s="4" t="s">
        <v>48</v>
      </c>
      <c r="Z9" s="26" t="s">
        <v>1176</v>
      </c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</row>
    <row r="10" spans="1:56" ht="14.25">
      <c r="A10" s="3"/>
      <c r="B10" s="89" t="s">
        <v>1177</v>
      </c>
      <c r="C10" s="76">
        <f>200</f>
        <v>200</v>
      </c>
      <c r="D10" s="1" t="s">
        <v>1178</v>
      </c>
      <c r="E10" s="76">
        <v>-235</v>
      </c>
      <c r="F10" s="89" t="s">
        <v>1177</v>
      </c>
      <c r="G10" s="76">
        <f>200</f>
        <v>200</v>
      </c>
      <c r="H10" s="2" t="s">
        <v>1</v>
      </c>
      <c r="I10" t="s">
        <v>1177</v>
      </c>
      <c r="J10" t="s">
        <v>5</v>
      </c>
      <c r="K10" s="3"/>
      <c r="L10" s="3"/>
      <c r="M10" s="3"/>
      <c r="N10" s="3"/>
      <c r="O10" s="3"/>
      <c r="P10" s="4" t="s">
        <v>311</v>
      </c>
      <c r="Q10" s="4" t="s">
        <v>1179</v>
      </c>
      <c r="R10" s="4" t="s">
        <v>8</v>
      </c>
      <c r="S10" s="4" t="s">
        <v>1147</v>
      </c>
      <c r="T10" s="4" t="s">
        <v>46</v>
      </c>
      <c r="U10" s="19">
        <v>1</v>
      </c>
      <c r="V10" s="20">
        <v>2.2222222222222223E-2</v>
      </c>
      <c r="W10" s="4" t="s">
        <v>10</v>
      </c>
      <c r="X10" s="4" t="s">
        <v>55</v>
      </c>
      <c r="Y10" s="4" t="s">
        <v>48</v>
      </c>
      <c r="Z10" s="26" t="s">
        <v>1180</v>
      </c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</row>
    <row r="11" spans="1:56" ht="14.25">
      <c r="A11" s="3"/>
      <c r="B11" s="33" t="s">
        <v>1181</v>
      </c>
      <c r="C11" s="76">
        <v>-140</v>
      </c>
      <c r="D11" s="34" t="s">
        <v>1182</v>
      </c>
      <c r="E11" s="76">
        <f>120</f>
        <v>120</v>
      </c>
      <c r="F11" s="1" t="s">
        <v>1181</v>
      </c>
      <c r="G11" s="76">
        <v>-140</v>
      </c>
      <c r="H11" s="2" t="s">
        <v>1</v>
      </c>
      <c r="I11" t="s">
        <v>1182</v>
      </c>
      <c r="J11" t="s">
        <v>5</v>
      </c>
      <c r="K11" s="3"/>
      <c r="L11" s="3"/>
      <c r="M11" s="3"/>
      <c r="N11" s="3"/>
      <c r="O11" s="3"/>
      <c r="P11" s="4" t="s">
        <v>185</v>
      </c>
      <c r="Q11" s="4" t="s">
        <v>1183</v>
      </c>
      <c r="R11" s="4" t="s">
        <v>22</v>
      </c>
      <c r="S11" s="4" t="s">
        <v>1147</v>
      </c>
      <c r="T11" s="4" t="s">
        <v>61</v>
      </c>
      <c r="U11" s="19">
        <v>1</v>
      </c>
      <c r="V11" s="20">
        <v>8.5416666666666669E-2</v>
      </c>
      <c r="W11" s="4" t="s">
        <v>10</v>
      </c>
      <c r="X11" s="4" t="s">
        <v>1184</v>
      </c>
      <c r="Y11" s="4" t="s">
        <v>67</v>
      </c>
      <c r="Z11" s="26" t="s">
        <v>1185</v>
      </c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</row>
    <row r="12" spans="1:56" ht="15.75" customHeight="1">
      <c r="A12" s="3"/>
      <c r="B12" s="1" t="s">
        <v>1186</v>
      </c>
      <c r="C12" s="24">
        <v>-132</v>
      </c>
      <c r="D12" s="1" t="s">
        <v>1187</v>
      </c>
      <c r="E12" s="24">
        <f>112</f>
        <v>112</v>
      </c>
      <c r="F12" s="1" t="s">
        <v>1186</v>
      </c>
      <c r="G12" s="76">
        <v>-132</v>
      </c>
      <c r="H12" s="29" t="s">
        <v>1</v>
      </c>
      <c r="I12" t="s">
        <v>1187</v>
      </c>
      <c r="J12" t="s">
        <v>5</v>
      </c>
      <c r="K12" s="3"/>
      <c r="L12" s="3"/>
      <c r="M12" s="3"/>
      <c r="N12" s="3"/>
      <c r="O12" s="3"/>
      <c r="P12" s="4" t="s">
        <v>37</v>
      </c>
      <c r="Q12" s="4" t="s">
        <v>1188</v>
      </c>
      <c r="R12" s="4" t="s">
        <v>22</v>
      </c>
      <c r="S12" s="4" t="s">
        <v>1147</v>
      </c>
      <c r="T12" s="4" t="s">
        <v>9</v>
      </c>
      <c r="U12" s="19">
        <v>3</v>
      </c>
      <c r="V12" s="20">
        <v>0.20833333333333334</v>
      </c>
      <c r="W12" s="4" t="s">
        <v>10</v>
      </c>
      <c r="X12" s="4" t="s">
        <v>226</v>
      </c>
      <c r="Y12" s="4" t="s">
        <v>1189</v>
      </c>
      <c r="Z12" s="26" t="s">
        <v>1190</v>
      </c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</row>
    <row r="13" spans="1:56" ht="14.25">
      <c r="A13" s="3"/>
      <c r="B13" s="1" t="s">
        <v>1191</v>
      </c>
      <c r="C13" s="24">
        <v>-120</v>
      </c>
      <c r="D13" s="1" t="s">
        <v>1192</v>
      </c>
      <c r="E13" s="24">
        <f>100</f>
        <v>100</v>
      </c>
      <c r="F13" s="1" t="s">
        <v>1192</v>
      </c>
      <c r="G13" s="24">
        <f>100</f>
        <v>100</v>
      </c>
      <c r="H13" s="2" t="s">
        <v>1</v>
      </c>
      <c r="I13" t="s">
        <v>1191</v>
      </c>
      <c r="J13" t="s">
        <v>5</v>
      </c>
      <c r="K13" s="3"/>
      <c r="L13" s="3"/>
      <c r="M13" s="3"/>
      <c r="N13" s="3"/>
      <c r="O13" s="3"/>
      <c r="P13" s="4" t="s">
        <v>207</v>
      </c>
      <c r="Q13" s="4" t="s">
        <v>1193</v>
      </c>
      <c r="R13" s="4" t="s">
        <v>8</v>
      </c>
      <c r="S13" s="4" t="s">
        <v>1147</v>
      </c>
      <c r="T13" s="4" t="s">
        <v>61</v>
      </c>
      <c r="U13" s="19">
        <v>3</v>
      </c>
      <c r="V13" s="20">
        <v>7.1527777777777773E-2</v>
      </c>
      <c r="W13" s="4" t="s">
        <v>10</v>
      </c>
      <c r="X13" s="4" t="s">
        <v>654</v>
      </c>
      <c r="Y13" s="4" t="s">
        <v>1194</v>
      </c>
      <c r="Z13" s="26" t="s">
        <v>1195</v>
      </c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</row>
    <row r="14" spans="1:56" ht="14.25">
      <c r="A14" s="3"/>
      <c r="B14" s="1" t="s">
        <v>1196</v>
      </c>
      <c r="C14" s="24">
        <f>123</f>
        <v>123</v>
      </c>
      <c r="D14" s="1" t="s">
        <v>1197</v>
      </c>
      <c r="E14" s="24">
        <v>-123</v>
      </c>
      <c r="F14" s="1" t="s">
        <v>1197</v>
      </c>
      <c r="G14" s="24">
        <v>-123</v>
      </c>
      <c r="H14" s="2" t="s">
        <v>1</v>
      </c>
      <c r="I14" t="s">
        <v>1197</v>
      </c>
      <c r="J14" t="s">
        <v>5</v>
      </c>
      <c r="K14" s="3"/>
      <c r="L14" s="3"/>
      <c r="M14" s="3"/>
      <c r="N14" s="3"/>
      <c r="O14" s="3"/>
      <c r="P14" s="4" t="s">
        <v>65</v>
      </c>
      <c r="Q14" s="4" t="s">
        <v>1198</v>
      </c>
      <c r="R14" s="4" t="s">
        <v>22</v>
      </c>
      <c r="S14" s="4" t="s">
        <v>1147</v>
      </c>
      <c r="T14" s="4" t="s">
        <v>61</v>
      </c>
      <c r="U14" s="19">
        <v>2</v>
      </c>
      <c r="V14" s="20">
        <v>0.17499999999999999</v>
      </c>
      <c r="W14" s="4" t="s">
        <v>10</v>
      </c>
      <c r="X14" s="4" t="s">
        <v>89</v>
      </c>
      <c r="Y14" s="4" t="s">
        <v>897</v>
      </c>
      <c r="Z14" s="26" t="s">
        <v>1199</v>
      </c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</row>
    <row r="15" spans="1:56" ht="14.25">
      <c r="A15" s="3"/>
      <c r="B15" s="38" t="s">
        <v>1200</v>
      </c>
      <c r="C15" s="80">
        <f>550</f>
        <v>550</v>
      </c>
      <c r="D15" s="38" t="s">
        <v>1201</v>
      </c>
      <c r="E15" s="80">
        <v>-550</v>
      </c>
      <c r="F15" s="38" t="s">
        <v>1200</v>
      </c>
      <c r="G15" s="80">
        <f>550</f>
        <v>550</v>
      </c>
      <c r="H15" s="41" t="s">
        <v>1</v>
      </c>
      <c r="I15" t="s">
        <v>13068</v>
      </c>
      <c r="J15" t="s">
        <v>13069</v>
      </c>
      <c r="K15" s="3"/>
      <c r="L15" s="3"/>
      <c r="M15" s="3"/>
      <c r="N15" s="3"/>
      <c r="O15" s="3"/>
      <c r="P15" s="4" t="s">
        <v>231</v>
      </c>
      <c r="Q15" s="4" t="s">
        <v>1202</v>
      </c>
      <c r="R15" s="4" t="s">
        <v>22</v>
      </c>
      <c r="S15" s="4" t="s">
        <v>1147</v>
      </c>
      <c r="T15" s="4" t="s">
        <v>46</v>
      </c>
      <c r="U15" s="19">
        <v>2</v>
      </c>
      <c r="V15" s="20">
        <v>0.18958333333333333</v>
      </c>
      <c r="W15" s="4" t="s">
        <v>10</v>
      </c>
      <c r="X15" s="4" t="s">
        <v>96</v>
      </c>
      <c r="Y15" s="4" t="s">
        <v>1203</v>
      </c>
      <c r="Z15" s="3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</row>
    <row r="16" spans="1:56" ht="14.25">
      <c r="A16" s="3"/>
      <c r="B16" s="1" t="s">
        <v>1204</v>
      </c>
      <c r="C16" s="84">
        <v>-180</v>
      </c>
      <c r="D16" s="1" t="s">
        <v>1205</v>
      </c>
      <c r="E16" s="84">
        <f>155</f>
        <v>155</v>
      </c>
      <c r="F16" s="1" t="s">
        <v>1204</v>
      </c>
      <c r="G16" s="84">
        <v>-180</v>
      </c>
      <c r="H16" s="30" t="s">
        <v>77</v>
      </c>
      <c r="I16" t="s">
        <v>1204</v>
      </c>
      <c r="J16" t="s">
        <v>1</v>
      </c>
      <c r="K16" s="24">
        <v>9.1</v>
      </c>
      <c r="L16" s="24" t="s">
        <v>16</v>
      </c>
      <c r="M16" s="24"/>
      <c r="N16" s="24" t="s">
        <v>1206</v>
      </c>
      <c r="O16" s="24" t="s">
        <v>1207</v>
      </c>
      <c r="P16" s="4" t="s">
        <v>20</v>
      </c>
      <c r="Q16" s="4" t="s">
        <v>1208</v>
      </c>
      <c r="R16" s="4" t="s">
        <v>179</v>
      </c>
      <c r="S16" s="4" t="s">
        <v>1147</v>
      </c>
      <c r="T16" s="4" t="s">
        <v>180</v>
      </c>
      <c r="U16" s="19">
        <v>2</v>
      </c>
      <c r="V16" s="20">
        <v>4.1666666666666664E-2</v>
      </c>
      <c r="W16" s="4" t="s">
        <v>10</v>
      </c>
      <c r="X16" s="4" t="s">
        <v>89</v>
      </c>
      <c r="Y16" s="4" t="s">
        <v>1209</v>
      </c>
      <c r="Z16" s="26" t="s">
        <v>1210</v>
      </c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</row>
    <row r="17" spans="1:56" ht="14.25">
      <c r="A17" s="3"/>
      <c r="B17" s="1" t="s">
        <v>1211</v>
      </c>
      <c r="C17" s="84">
        <f>260</f>
        <v>260</v>
      </c>
      <c r="D17" s="1" t="s">
        <v>1197</v>
      </c>
      <c r="E17" s="84">
        <v>-310</v>
      </c>
      <c r="F17" s="1" t="s">
        <v>1197</v>
      </c>
      <c r="G17" s="84">
        <v>-310</v>
      </c>
      <c r="H17" s="2" t="s">
        <v>5</v>
      </c>
      <c r="I17" t="s">
        <v>1197</v>
      </c>
      <c r="J17" t="s">
        <v>5</v>
      </c>
      <c r="K17" s="24">
        <v>6.5</v>
      </c>
      <c r="L17" s="1" t="s">
        <v>427</v>
      </c>
      <c r="M17" s="24">
        <v>-130</v>
      </c>
      <c r="N17" s="1"/>
      <c r="O17" s="1"/>
      <c r="P17" s="4" t="s">
        <v>94</v>
      </c>
      <c r="Q17" s="4" t="s">
        <v>1212</v>
      </c>
      <c r="R17" s="4" t="s">
        <v>22</v>
      </c>
      <c r="S17" s="4" t="s">
        <v>1147</v>
      </c>
      <c r="T17" s="4" t="s">
        <v>46</v>
      </c>
      <c r="U17" s="19">
        <v>1</v>
      </c>
      <c r="V17" s="20">
        <v>8.9583333333333334E-2</v>
      </c>
      <c r="W17" s="4" t="s">
        <v>10</v>
      </c>
      <c r="X17" s="4" t="s">
        <v>55</v>
      </c>
      <c r="Y17" s="4" t="s">
        <v>48</v>
      </c>
      <c r="Z17" s="26" t="s">
        <v>1213</v>
      </c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</row>
    <row r="18" spans="1:56" ht="14.25">
      <c r="A18" s="3"/>
      <c r="B18" s="1" t="s">
        <v>1214</v>
      </c>
      <c r="C18" s="84">
        <f>182</f>
        <v>182</v>
      </c>
      <c r="D18" s="1" t="s">
        <v>1215</v>
      </c>
      <c r="E18" s="84">
        <v>-212</v>
      </c>
      <c r="F18" s="1" t="s">
        <v>1215</v>
      </c>
      <c r="G18" s="84">
        <v>-212</v>
      </c>
      <c r="H18" s="30" t="s">
        <v>5</v>
      </c>
      <c r="I18" t="s">
        <v>1215</v>
      </c>
      <c r="J18" t="s">
        <v>5</v>
      </c>
      <c r="K18" s="24">
        <v>6.5</v>
      </c>
      <c r="L18" s="1" t="s">
        <v>427</v>
      </c>
      <c r="M18" s="3"/>
      <c r="N18" s="1" t="s">
        <v>1216</v>
      </c>
      <c r="O18" s="3"/>
      <c r="P18" s="4" t="s">
        <v>79</v>
      </c>
      <c r="Q18" s="4" t="s">
        <v>1217</v>
      </c>
      <c r="R18" s="4" t="s">
        <v>22</v>
      </c>
      <c r="S18" s="4" t="s">
        <v>1147</v>
      </c>
      <c r="T18" s="4" t="s">
        <v>9</v>
      </c>
      <c r="U18" s="19">
        <v>3</v>
      </c>
      <c r="V18" s="20">
        <v>0.20833333333333334</v>
      </c>
      <c r="W18" s="4" t="s">
        <v>10</v>
      </c>
      <c r="X18" s="4" t="s">
        <v>96</v>
      </c>
      <c r="Y18" s="4" t="s">
        <v>1218</v>
      </c>
      <c r="Z18" s="26" t="s">
        <v>1219</v>
      </c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</row>
    <row r="19" spans="1:56" ht="14.25">
      <c r="A19" s="3"/>
      <c r="B19" s="1" t="s">
        <v>1220</v>
      </c>
      <c r="C19" s="84">
        <v>-145</v>
      </c>
      <c r="D19" s="1" t="s">
        <v>1221</v>
      </c>
      <c r="E19" s="84">
        <f>125</f>
        <v>125</v>
      </c>
      <c r="F19" s="1" t="s">
        <v>1220</v>
      </c>
      <c r="G19" s="84">
        <v>-145</v>
      </c>
      <c r="H19" s="30" t="s">
        <v>5</v>
      </c>
      <c r="I19" t="s">
        <v>1220</v>
      </c>
      <c r="J19" t="s">
        <v>5</v>
      </c>
      <c r="K19" s="24">
        <v>7.8</v>
      </c>
      <c r="L19" s="1" t="s">
        <v>46</v>
      </c>
      <c r="M19" s="3"/>
      <c r="N19" s="1" t="s">
        <v>1222</v>
      </c>
      <c r="O19" s="3"/>
      <c r="P19" s="4" t="s">
        <v>115</v>
      </c>
      <c r="Q19" s="4" t="s">
        <v>1223</v>
      </c>
      <c r="R19" s="4" t="s">
        <v>8</v>
      </c>
      <c r="S19" s="4" t="s">
        <v>1147</v>
      </c>
      <c r="T19" s="4" t="s">
        <v>193</v>
      </c>
      <c r="U19" s="19">
        <v>3</v>
      </c>
      <c r="V19" s="20">
        <v>0.20833333333333334</v>
      </c>
      <c r="W19" s="4" t="s">
        <v>10</v>
      </c>
      <c r="X19" s="4" t="s">
        <v>11</v>
      </c>
      <c r="Y19" s="4" t="s">
        <v>1224</v>
      </c>
      <c r="Z19" s="26" t="s">
        <v>1225</v>
      </c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</row>
    <row r="20" spans="1:56" ht="14.25">
      <c r="A20" s="3"/>
      <c r="B20" s="1" t="s">
        <v>1226</v>
      </c>
      <c r="C20" s="84">
        <v>-132</v>
      </c>
      <c r="D20" s="1" t="s">
        <v>1227</v>
      </c>
      <c r="E20" s="84">
        <f>112</f>
        <v>112</v>
      </c>
      <c r="F20" s="1" t="s">
        <v>1227</v>
      </c>
      <c r="G20" s="84">
        <f>112</f>
        <v>112</v>
      </c>
      <c r="H20" s="2" t="s">
        <v>122</v>
      </c>
      <c r="I20" t="s">
        <v>1227</v>
      </c>
      <c r="J20" t="s">
        <v>5</v>
      </c>
      <c r="K20" s="24">
        <v>7.8</v>
      </c>
      <c r="L20" s="3" t="s">
        <v>16</v>
      </c>
      <c r="M20" s="3" t="s">
        <v>1228</v>
      </c>
      <c r="N20" s="3" t="s">
        <v>29</v>
      </c>
      <c r="O20" s="3" t="s">
        <v>30</v>
      </c>
      <c r="P20" s="4" t="s">
        <v>135</v>
      </c>
      <c r="Q20" s="4" t="s">
        <v>1229</v>
      </c>
      <c r="R20" s="4" t="s">
        <v>22</v>
      </c>
      <c r="S20" s="4" t="s">
        <v>1147</v>
      </c>
      <c r="T20" s="4" t="s">
        <v>9</v>
      </c>
      <c r="U20" s="19">
        <v>3</v>
      </c>
      <c r="V20" s="20">
        <v>0.20833333333333334</v>
      </c>
      <c r="W20" s="4" t="s">
        <v>10</v>
      </c>
      <c r="X20" s="4" t="s">
        <v>226</v>
      </c>
      <c r="Y20" s="4" t="s">
        <v>1230</v>
      </c>
      <c r="Z20" s="26" t="s">
        <v>1231</v>
      </c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</row>
    <row r="21" spans="1:56" ht="14.25">
      <c r="A21" s="3"/>
      <c r="B21" s="1" t="s">
        <v>1232</v>
      </c>
      <c r="C21" s="84">
        <f>144</f>
        <v>144</v>
      </c>
      <c r="D21" s="1" t="s">
        <v>1233</v>
      </c>
      <c r="E21" s="84">
        <v>-164</v>
      </c>
      <c r="F21" s="1" t="s">
        <v>1233</v>
      </c>
      <c r="G21" s="84">
        <v>-164</v>
      </c>
      <c r="H21" s="2" t="s">
        <v>122</v>
      </c>
      <c r="I21" t="s">
        <v>1233</v>
      </c>
      <c r="J21" t="s">
        <v>5</v>
      </c>
      <c r="K21" s="24">
        <v>7.5</v>
      </c>
      <c r="L21" s="3" t="s">
        <v>16</v>
      </c>
      <c r="M21" s="3" t="s">
        <v>1228</v>
      </c>
      <c r="N21" s="3" t="s">
        <v>1234</v>
      </c>
      <c r="O21" s="3" t="s">
        <v>1235</v>
      </c>
      <c r="P21" s="4" t="s">
        <v>135</v>
      </c>
      <c r="Q21" s="4" t="s">
        <v>1236</v>
      </c>
      <c r="R21" s="4" t="s">
        <v>22</v>
      </c>
      <c r="S21" s="4" t="s">
        <v>1147</v>
      </c>
      <c r="T21" s="4" t="s">
        <v>46</v>
      </c>
      <c r="U21" s="19">
        <v>3</v>
      </c>
      <c r="V21" s="20">
        <v>0.15486111111111112</v>
      </c>
      <c r="W21" s="4" t="s">
        <v>10</v>
      </c>
      <c r="X21" s="4" t="s">
        <v>226</v>
      </c>
      <c r="Y21" s="4" t="s">
        <v>1117</v>
      </c>
      <c r="Z21" s="26" t="s">
        <v>1237</v>
      </c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</row>
    <row r="22" spans="1:56" ht="15.75" customHeight="1">
      <c r="A22" s="3"/>
      <c r="B22" s="1" t="s">
        <v>1238</v>
      </c>
      <c r="C22" s="76">
        <f>180</f>
        <v>180</v>
      </c>
      <c r="D22" s="1" t="s">
        <v>1239</v>
      </c>
      <c r="E22" s="76">
        <v>-210</v>
      </c>
      <c r="F22" s="1" t="s">
        <v>1239</v>
      </c>
      <c r="G22" s="48">
        <v>-225</v>
      </c>
      <c r="H22" s="2" t="s">
        <v>122</v>
      </c>
      <c r="I22" t="s">
        <v>1239</v>
      </c>
      <c r="J22" t="s">
        <v>5</v>
      </c>
      <c r="K22" s="3"/>
      <c r="L22" s="3" t="s">
        <v>16</v>
      </c>
      <c r="M22" s="3" t="s">
        <v>1228</v>
      </c>
      <c r="N22" s="3" t="s">
        <v>29</v>
      </c>
      <c r="O22" s="3" t="s">
        <v>447</v>
      </c>
      <c r="P22" s="4" t="s">
        <v>166</v>
      </c>
      <c r="Q22" s="4" t="s">
        <v>1240</v>
      </c>
      <c r="R22" s="4" t="s">
        <v>22</v>
      </c>
      <c r="S22" s="4" t="s">
        <v>1147</v>
      </c>
      <c r="T22" s="4" t="s">
        <v>193</v>
      </c>
      <c r="U22" s="19">
        <v>3</v>
      </c>
      <c r="V22" s="20">
        <v>0.20833333333333334</v>
      </c>
      <c r="W22" s="4" t="s">
        <v>10</v>
      </c>
      <c r="X22" s="4" t="s">
        <v>615</v>
      </c>
      <c r="Y22" s="4" t="s">
        <v>1241</v>
      </c>
      <c r="Z22" s="26" t="s">
        <v>1242</v>
      </c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</row>
    <row r="23" spans="1:56" ht="15.75" customHeight="1">
      <c r="A23" s="3"/>
      <c r="B23" s="1" t="s">
        <v>1243</v>
      </c>
      <c r="C23" s="76">
        <f>158</f>
        <v>158</v>
      </c>
      <c r="D23" s="1" t="s">
        <v>1244</v>
      </c>
      <c r="E23" s="76">
        <v>-183</v>
      </c>
      <c r="F23" s="1" t="s">
        <v>1244</v>
      </c>
      <c r="G23" s="48">
        <v>-210</v>
      </c>
      <c r="H23" s="2" t="s">
        <v>122</v>
      </c>
      <c r="I23" t="s">
        <v>1244</v>
      </c>
      <c r="J23" t="s">
        <v>5</v>
      </c>
      <c r="K23" s="3"/>
      <c r="L23" s="3" t="s">
        <v>16</v>
      </c>
      <c r="M23" s="3" t="s">
        <v>1228</v>
      </c>
      <c r="N23" s="3" t="s">
        <v>1245</v>
      </c>
      <c r="O23" s="3" t="s">
        <v>124</v>
      </c>
      <c r="P23" s="4" t="s">
        <v>166</v>
      </c>
      <c r="Q23" s="4" t="s">
        <v>1246</v>
      </c>
      <c r="R23" s="4" t="s">
        <v>22</v>
      </c>
      <c r="S23" s="4" t="s">
        <v>1147</v>
      </c>
      <c r="T23" s="4" t="s">
        <v>46</v>
      </c>
      <c r="U23" s="19">
        <v>3</v>
      </c>
      <c r="V23" s="20">
        <v>5.4166666666666669E-2</v>
      </c>
      <c r="W23" s="4" t="s">
        <v>10</v>
      </c>
      <c r="X23" s="4" t="s">
        <v>96</v>
      </c>
      <c r="Y23" s="4" t="s">
        <v>97</v>
      </c>
      <c r="Z23" s="26" t="s">
        <v>1247</v>
      </c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</row>
    <row r="24" spans="1:56" ht="15">
      <c r="A24" s="3"/>
      <c r="B24" s="1" t="s">
        <v>1248</v>
      </c>
      <c r="C24" s="76">
        <v>-310</v>
      </c>
      <c r="D24" s="1" t="s">
        <v>1249</v>
      </c>
      <c r="E24" s="76">
        <f>260</f>
        <v>260</v>
      </c>
      <c r="F24" s="1" t="s">
        <v>1248</v>
      </c>
      <c r="G24" s="48">
        <v>-300</v>
      </c>
      <c r="H24" s="2" t="s">
        <v>122</v>
      </c>
      <c r="I24" t="s">
        <v>1248</v>
      </c>
      <c r="J24" t="s">
        <v>5</v>
      </c>
      <c r="K24" s="3"/>
      <c r="L24" s="3" t="s">
        <v>16</v>
      </c>
      <c r="M24" s="3" t="s">
        <v>1228</v>
      </c>
      <c r="N24" s="3" t="s">
        <v>29</v>
      </c>
      <c r="O24" s="3" t="s">
        <v>30</v>
      </c>
      <c r="P24" s="4" t="s">
        <v>166</v>
      </c>
      <c r="Q24" s="4" t="s">
        <v>1250</v>
      </c>
      <c r="R24" s="4" t="s">
        <v>8</v>
      </c>
      <c r="S24" s="4" t="s">
        <v>1147</v>
      </c>
      <c r="T24" s="4" t="s">
        <v>9</v>
      </c>
      <c r="U24" s="19">
        <v>3</v>
      </c>
      <c r="V24" s="20">
        <v>0.20833333333333334</v>
      </c>
      <c r="W24" s="4" t="s">
        <v>10</v>
      </c>
      <c r="X24" s="4" t="s">
        <v>168</v>
      </c>
      <c r="Y24" s="4" t="s">
        <v>1251</v>
      </c>
      <c r="Z24" s="26" t="s">
        <v>1252</v>
      </c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</row>
    <row r="25" spans="1:56" ht="14.25">
      <c r="A25" s="3"/>
      <c r="B25" s="1" t="s">
        <v>1253</v>
      </c>
      <c r="C25" s="76">
        <f>208</f>
        <v>208</v>
      </c>
      <c r="D25" s="1" t="s">
        <v>1254</v>
      </c>
      <c r="E25" s="76">
        <v>-243</v>
      </c>
      <c r="F25" s="1" t="s">
        <v>1254</v>
      </c>
      <c r="G25" s="76">
        <v>-243</v>
      </c>
      <c r="H25" s="2" t="s">
        <v>5</v>
      </c>
      <c r="I25" t="s">
        <v>1254</v>
      </c>
      <c r="J25" t="s">
        <v>5</v>
      </c>
      <c r="K25" s="3"/>
      <c r="L25" s="3"/>
      <c r="M25" s="3"/>
      <c r="N25" s="3"/>
      <c r="O25" s="3"/>
      <c r="P25" s="4" t="s">
        <v>177</v>
      </c>
      <c r="Q25" s="4" t="s">
        <v>1255</v>
      </c>
      <c r="R25" s="4" t="s">
        <v>22</v>
      </c>
      <c r="S25" s="4" t="s">
        <v>1147</v>
      </c>
      <c r="T25" s="4" t="s">
        <v>46</v>
      </c>
      <c r="U25" s="19">
        <v>2</v>
      </c>
      <c r="V25" s="20">
        <v>0.16875000000000001</v>
      </c>
      <c r="W25" s="4" t="s">
        <v>10</v>
      </c>
      <c r="X25" s="4" t="s">
        <v>89</v>
      </c>
      <c r="Y25" s="4" t="s">
        <v>48</v>
      </c>
      <c r="Z25" s="26" t="s">
        <v>1256</v>
      </c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</row>
    <row r="26" spans="1:56" ht="14.25">
      <c r="A26" s="3"/>
      <c r="B26" s="89" t="s">
        <v>1257</v>
      </c>
      <c r="C26" s="76">
        <v>-230</v>
      </c>
      <c r="D26" s="1" t="s">
        <v>1258</v>
      </c>
      <c r="E26" s="76">
        <f>195</f>
        <v>195</v>
      </c>
      <c r="F26" s="89" t="s">
        <v>1257</v>
      </c>
      <c r="G26" s="76">
        <v>-230</v>
      </c>
      <c r="H26" s="2" t="s">
        <v>5</v>
      </c>
      <c r="I26" t="s">
        <v>1257</v>
      </c>
      <c r="J26" t="s">
        <v>5</v>
      </c>
      <c r="K26" s="3"/>
      <c r="L26" s="3"/>
      <c r="M26" s="3"/>
      <c r="N26" s="3"/>
      <c r="O26" s="3"/>
      <c r="P26" s="4" t="s">
        <v>311</v>
      </c>
      <c r="Q26" s="4" t="s">
        <v>1259</v>
      </c>
      <c r="R26" s="4" t="s">
        <v>8</v>
      </c>
      <c r="S26" s="4" t="s">
        <v>1147</v>
      </c>
      <c r="T26" s="4" t="s">
        <v>46</v>
      </c>
      <c r="U26" s="19">
        <v>1</v>
      </c>
      <c r="V26" s="20">
        <v>0.13680555555555557</v>
      </c>
      <c r="W26" s="4" t="s">
        <v>10</v>
      </c>
      <c r="X26" s="4" t="s">
        <v>73</v>
      </c>
      <c r="Y26" s="4" t="s">
        <v>48</v>
      </c>
      <c r="Z26" s="26" t="s">
        <v>1260</v>
      </c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</row>
    <row r="27" spans="1:56" ht="14.25">
      <c r="A27" s="3"/>
      <c r="B27" s="1" t="s">
        <v>1261</v>
      </c>
      <c r="C27" s="76">
        <f>290</f>
        <v>290</v>
      </c>
      <c r="D27" s="33" t="s">
        <v>1262</v>
      </c>
      <c r="E27" s="76">
        <v>-365</v>
      </c>
      <c r="F27" s="34" t="s">
        <v>1261</v>
      </c>
      <c r="G27" s="76">
        <f>290</f>
        <v>290</v>
      </c>
      <c r="H27" s="2" t="s">
        <v>122</v>
      </c>
      <c r="I27" t="s">
        <v>1261</v>
      </c>
      <c r="J27" t="s">
        <v>5</v>
      </c>
      <c r="K27" s="3"/>
      <c r="L27" s="3"/>
      <c r="M27" s="3"/>
      <c r="N27" s="3"/>
      <c r="O27" s="3"/>
      <c r="P27" s="4" t="s">
        <v>185</v>
      </c>
      <c r="Q27" s="4" t="s">
        <v>1263</v>
      </c>
      <c r="R27" s="4" t="s">
        <v>8</v>
      </c>
      <c r="S27" s="4" t="s">
        <v>1147</v>
      </c>
      <c r="T27" s="4" t="s">
        <v>46</v>
      </c>
      <c r="U27" s="19">
        <v>3</v>
      </c>
      <c r="V27" s="20">
        <v>0.19791666666666666</v>
      </c>
      <c r="W27" s="4" t="s">
        <v>10</v>
      </c>
      <c r="X27" s="4" t="s">
        <v>187</v>
      </c>
      <c r="Y27" s="4" t="s">
        <v>430</v>
      </c>
      <c r="Z27" s="26" t="s">
        <v>1264</v>
      </c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</row>
    <row r="28" spans="1:56" ht="14.25">
      <c r="A28" s="3"/>
      <c r="B28" s="1" t="s">
        <v>1265</v>
      </c>
      <c r="C28" s="24">
        <v>-650</v>
      </c>
      <c r="D28" s="1" t="s">
        <v>1266</v>
      </c>
      <c r="E28" s="24">
        <f>475</f>
        <v>475</v>
      </c>
      <c r="F28" s="1" t="s">
        <v>1265</v>
      </c>
      <c r="G28" s="76">
        <v>-650</v>
      </c>
      <c r="H28" s="2" t="s">
        <v>5</v>
      </c>
      <c r="I28" t="s">
        <v>1265</v>
      </c>
      <c r="J28" t="s">
        <v>5</v>
      </c>
      <c r="K28" s="3"/>
      <c r="L28" s="3"/>
      <c r="M28" s="3"/>
      <c r="N28" s="4" t="s">
        <v>44</v>
      </c>
      <c r="O28" s="4" t="s">
        <v>1267</v>
      </c>
      <c r="P28" s="4" t="s">
        <v>8</v>
      </c>
      <c r="Q28" s="4" t="s">
        <v>1147</v>
      </c>
      <c r="R28" s="4" t="s">
        <v>61</v>
      </c>
      <c r="S28" s="19">
        <v>2</v>
      </c>
      <c r="T28" s="20">
        <v>0.20555555555555555</v>
      </c>
      <c r="U28" s="4" t="s">
        <v>10</v>
      </c>
      <c r="V28" s="4" t="s">
        <v>96</v>
      </c>
      <c r="W28" s="4" t="s">
        <v>67</v>
      </c>
      <c r="X28" s="26" t="s">
        <v>1268</v>
      </c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</row>
    <row r="29" spans="1:56" ht="14.25">
      <c r="A29" s="3"/>
      <c r="B29" s="1" t="s">
        <v>1269</v>
      </c>
      <c r="C29" s="24">
        <f>135</f>
        <v>135</v>
      </c>
      <c r="D29" s="1" t="s">
        <v>1270</v>
      </c>
      <c r="E29" s="24">
        <v>-155</v>
      </c>
      <c r="F29" s="1" t="s">
        <v>1270</v>
      </c>
      <c r="G29" s="24">
        <v>-155</v>
      </c>
      <c r="H29" s="2" t="s">
        <v>5</v>
      </c>
      <c r="I29" t="s">
        <v>1270</v>
      </c>
      <c r="J29" t="s">
        <v>5</v>
      </c>
      <c r="K29" s="3"/>
      <c r="L29" s="3"/>
      <c r="M29" s="3"/>
      <c r="N29" s="4" t="s">
        <v>52</v>
      </c>
      <c r="O29" s="4" t="s">
        <v>1271</v>
      </c>
      <c r="P29" s="4" t="s">
        <v>22</v>
      </c>
      <c r="Q29" s="4" t="s">
        <v>1147</v>
      </c>
      <c r="R29" s="4" t="s">
        <v>9</v>
      </c>
      <c r="S29" s="19">
        <v>3</v>
      </c>
      <c r="T29" s="20">
        <v>0.20833333333333334</v>
      </c>
      <c r="U29" s="4" t="s">
        <v>10</v>
      </c>
      <c r="V29" s="4" t="s">
        <v>39</v>
      </c>
      <c r="W29" s="4" t="s">
        <v>1272</v>
      </c>
      <c r="X29" s="26" t="s">
        <v>1273</v>
      </c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</row>
    <row r="30" spans="1:56" ht="14.25">
      <c r="A30" s="3"/>
      <c r="B30" s="1" t="s">
        <v>1274</v>
      </c>
      <c r="C30" s="24">
        <v>-190</v>
      </c>
      <c r="D30" s="1" t="s">
        <v>1275</v>
      </c>
      <c r="E30" s="24">
        <f>165</f>
        <v>165</v>
      </c>
      <c r="F30" s="1" t="s">
        <v>1275</v>
      </c>
      <c r="G30" s="24">
        <f>165</f>
        <v>165</v>
      </c>
      <c r="H30" s="2" t="s">
        <v>5</v>
      </c>
      <c r="I30" t="s">
        <v>1275</v>
      </c>
      <c r="J30" t="s">
        <v>5</v>
      </c>
      <c r="K30" s="3"/>
      <c r="L30" s="3"/>
      <c r="M30" s="3"/>
      <c r="N30" s="4" t="s">
        <v>207</v>
      </c>
      <c r="O30" s="4" t="s">
        <v>1276</v>
      </c>
      <c r="P30" s="4" t="s">
        <v>22</v>
      </c>
      <c r="Q30" s="4" t="s">
        <v>1147</v>
      </c>
      <c r="R30" s="4" t="s">
        <v>61</v>
      </c>
      <c r="S30" s="19">
        <v>2</v>
      </c>
      <c r="T30" s="20">
        <v>4.9305555555555554E-2</v>
      </c>
      <c r="U30" s="4" t="s">
        <v>10</v>
      </c>
      <c r="V30" s="4" t="s">
        <v>209</v>
      </c>
      <c r="W30" s="4" t="s">
        <v>67</v>
      </c>
      <c r="X30" s="26" t="s">
        <v>1277</v>
      </c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</row>
    <row r="31" spans="1:56" ht="14.25">
      <c r="A31" s="3"/>
      <c r="B31" s="1" t="s">
        <v>1278</v>
      </c>
      <c r="C31" s="24">
        <v>-300</v>
      </c>
      <c r="D31" s="1" t="s">
        <v>1279</v>
      </c>
      <c r="E31" s="24">
        <f>300</f>
        <v>300</v>
      </c>
      <c r="F31" s="1" t="s">
        <v>1278</v>
      </c>
      <c r="G31" s="24">
        <v>-300</v>
      </c>
      <c r="H31" s="2" t="s">
        <v>5</v>
      </c>
      <c r="I31" t="s">
        <v>1278</v>
      </c>
      <c r="J31" t="s">
        <v>5</v>
      </c>
      <c r="K31" s="3"/>
      <c r="L31" s="3"/>
      <c r="M31" s="3"/>
      <c r="N31" s="4" t="s">
        <v>65</v>
      </c>
      <c r="O31" s="4" t="s">
        <v>1280</v>
      </c>
      <c r="P31" s="4" t="s">
        <v>8</v>
      </c>
      <c r="Q31" s="4" t="s">
        <v>1147</v>
      </c>
      <c r="R31" s="4" t="s">
        <v>9</v>
      </c>
      <c r="S31" s="19">
        <v>3</v>
      </c>
      <c r="T31" s="20">
        <v>0.20833333333333334</v>
      </c>
      <c r="U31" s="4" t="s">
        <v>10</v>
      </c>
      <c r="V31" s="4" t="s">
        <v>55</v>
      </c>
      <c r="W31" s="4" t="s">
        <v>1281</v>
      </c>
      <c r="X31" s="26" t="s">
        <v>1282</v>
      </c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</row>
  </sheetData>
  <hyperlinks>
    <hyperlink ref="Z5" r:id="rId1" xr:uid="{00000000-0004-0000-0900-000000000000}"/>
    <hyperlink ref="Z6" r:id="rId2" xr:uid="{00000000-0004-0000-0900-000001000000}"/>
    <hyperlink ref="Z7" r:id="rId3" xr:uid="{00000000-0004-0000-0900-000002000000}"/>
    <hyperlink ref="Z8" r:id="rId4" xr:uid="{00000000-0004-0000-0900-000003000000}"/>
    <hyperlink ref="Z9" r:id="rId5" xr:uid="{00000000-0004-0000-0900-000004000000}"/>
    <hyperlink ref="Z10" r:id="rId6" xr:uid="{00000000-0004-0000-0900-000005000000}"/>
    <hyperlink ref="B11" r:id="rId7" xr:uid="{00000000-0004-0000-0900-000006000000}"/>
    <hyperlink ref="D11" r:id="rId8" xr:uid="{00000000-0004-0000-0900-000007000000}"/>
    <hyperlink ref="Z11" r:id="rId9" xr:uid="{00000000-0004-0000-0900-000008000000}"/>
    <hyperlink ref="Z12" r:id="rId10" xr:uid="{00000000-0004-0000-0900-000009000000}"/>
    <hyperlink ref="Z13" r:id="rId11" xr:uid="{00000000-0004-0000-0900-00000A000000}"/>
    <hyperlink ref="Z14" r:id="rId12" xr:uid="{00000000-0004-0000-0900-00000B000000}"/>
    <hyperlink ref="Z16" r:id="rId13" xr:uid="{00000000-0004-0000-0900-00000C000000}"/>
    <hyperlink ref="Z17" r:id="rId14" xr:uid="{00000000-0004-0000-0900-00000D000000}"/>
    <hyperlink ref="Z18" r:id="rId15" xr:uid="{00000000-0004-0000-0900-00000E000000}"/>
    <hyperlink ref="Z19" r:id="rId16" xr:uid="{00000000-0004-0000-0900-00000F000000}"/>
    <hyperlink ref="Z20" r:id="rId17" xr:uid="{00000000-0004-0000-0900-000010000000}"/>
    <hyperlink ref="Z21" r:id="rId18" xr:uid="{00000000-0004-0000-0900-000011000000}"/>
    <hyperlink ref="Z22" r:id="rId19" xr:uid="{00000000-0004-0000-0900-000012000000}"/>
    <hyperlink ref="Z23" r:id="rId20" xr:uid="{00000000-0004-0000-0900-000013000000}"/>
    <hyperlink ref="Z24" r:id="rId21" xr:uid="{00000000-0004-0000-0900-000014000000}"/>
    <hyperlink ref="Z25" r:id="rId22" xr:uid="{00000000-0004-0000-0900-000015000000}"/>
    <hyperlink ref="Z26" r:id="rId23" xr:uid="{00000000-0004-0000-0900-000016000000}"/>
    <hyperlink ref="D27" r:id="rId24" xr:uid="{00000000-0004-0000-0900-000017000000}"/>
    <hyperlink ref="F27" r:id="rId25" xr:uid="{00000000-0004-0000-0900-000018000000}"/>
    <hyperlink ref="Z27" r:id="rId26" xr:uid="{00000000-0004-0000-0900-000019000000}"/>
    <hyperlink ref="X28" r:id="rId27" xr:uid="{00000000-0004-0000-0900-00001A000000}"/>
    <hyperlink ref="X29" r:id="rId28" xr:uid="{00000000-0004-0000-0900-00001B000000}"/>
    <hyperlink ref="X30" r:id="rId29" xr:uid="{00000000-0004-0000-0900-00001C000000}"/>
    <hyperlink ref="X31" r:id="rId30" xr:uid="{00000000-0004-0000-0900-00001D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D15"/>
  <sheetViews>
    <sheetView topLeftCell="C1" workbookViewId="0">
      <selection activeCell="J8" sqref="J8"/>
    </sheetView>
  </sheetViews>
  <sheetFormatPr defaultColWidth="12.5703125" defaultRowHeight="15.75" customHeight="1"/>
  <sheetData>
    <row r="1" spans="1:56">
      <c r="A1" s="99"/>
      <c r="B1" s="99"/>
      <c r="C1" s="100" t="s">
        <v>5</v>
      </c>
      <c r="D1" s="99"/>
      <c r="E1" s="100" t="s">
        <v>1</v>
      </c>
      <c r="F1" s="99"/>
      <c r="G1" s="101" t="s">
        <v>1519</v>
      </c>
      <c r="H1" s="99" t="s">
        <v>1520</v>
      </c>
      <c r="I1" s="99" t="s">
        <v>13066</v>
      </c>
      <c r="J1" s="99" t="s">
        <v>13067</v>
      </c>
      <c r="K1" s="99" t="s">
        <v>1521</v>
      </c>
      <c r="L1" s="99" t="s">
        <v>1522</v>
      </c>
      <c r="M1" s="99" t="s">
        <v>1523</v>
      </c>
      <c r="N1" s="99" t="s">
        <v>46</v>
      </c>
      <c r="O1" s="99"/>
      <c r="P1" s="99"/>
      <c r="Q1" s="99"/>
      <c r="R1" s="99"/>
      <c r="S1" s="99"/>
      <c r="T1" s="99"/>
      <c r="U1" s="99"/>
      <c r="V1" s="102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</row>
    <row r="2" spans="1:56">
      <c r="A2" s="7"/>
      <c r="B2" s="7"/>
      <c r="C2" s="8">
        <f>COUNTIF(H3:H102, "win")</f>
        <v>6</v>
      </c>
      <c r="D2" s="7"/>
      <c r="E2" s="8">
        <f>COUNTIF(H3:H102, "loss")</f>
        <v>6</v>
      </c>
      <c r="F2" s="103" t="s">
        <v>2</v>
      </c>
      <c r="G2" s="104">
        <f>COUNTIF(H3:H102, "win") / (COUNTIF(H3:H102, "win") + COUNTIF(H3:H102, "loss"))</f>
        <v>0.5</v>
      </c>
      <c r="H2" s="7"/>
      <c r="I2" s="7"/>
      <c r="J2" s="104">
        <f>COUNTIF(J3:J102, "Win") / (COUNTIF(J3:J102, "Win") + COUNTIF(J3:J102, "Loss"))</f>
        <v>0.88888888888888884</v>
      </c>
      <c r="K2" s="60">
        <f>COUNTIF(R2:R100, "Decision - split")</f>
        <v>0</v>
      </c>
      <c r="L2" s="60">
        <f>COUNTIF(R2:R100, "Decision - Unanimous")</f>
        <v>4</v>
      </c>
      <c r="M2" s="60">
        <f>COUNTIF(R2:R100, "Submission")</f>
        <v>2</v>
      </c>
      <c r="N2" s="60">
        <f>COUNTIF(R2:R100, "KO/TKO")</f>
        <v>0</v>
      </c>
      <c r="O2" s="7"/>
      <c r="P2" s="7"/>
      <c r="Q2" s="7"/>
      <c r="R2" s="7"/>
      <c r="S2" s="7"/>
      <c r="T2" s="7"/>
      <c r="U2" s="7"/>
      <c r="V2" s="105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</row>
    <row r="3" spans="1:56">
      <c r="A3" s="3"/>
      <c r="B3" s="1" t="s">
        <v>1284</v>
      </c>
      <c r="C3" s="84">
        <v>-171</v>
      </c>
      <c r="D3" s="1" t="s">
        <v>1285</v>
      </c>
      <c r="E3" s="84">
        <f>146</f>
        <v>146</v>
      </c>
      <c r="F3" s="1" t="s">
        <v>1285</v>
      </c>
      <c r="G3" s="84">
        <f>146</f>
        <v>146</v>
      </c>
      <c r="H3" s="30" t="s">
        <v>1</v>
      </c>
      <c r="I3" t="s">
        <v>13068</v>
      </c>
      <c r="J3" t="s">
        <v>13069</v>
      </c>
      <c r="K3" s="24">
        <v>7.1</v>
      </c>
      <c r="L3" s="1" t="s">
        <v>18</v>
      </c>
      <c r="M3" s="3"/>
      <c r="N3" s="1" t="s">
        <v>1286</v>
      </c>
      <c r="O3" s="3"/>
      <c r="P3" s="4" t="s">
        <v>79</v>
      </c>
      <c r="Q3" s="4" t="s">
        <v>1287</v>
      </c>
      <c r="R3" s="4" t="s">
        <v>8</v>
      </c>
      <c r="S3" s="4" t="s">
        <v>1288</v>
      </c>
      <c r="T3" s="4" t="s">
        <v>9</v>
      </c>
      <c r="U3" s="19">
        <v>3</v>
      </c>
      <c r="V3" s="20">
        <v>0.20833333333333334</v>
      </c>
      <c r="W3" s="4" t="s">
        <v>10</v>
      </c>
      <c r="X3" s="4" t="s">
        <v>11</v>
      </c>
      <c r="Y3" s="4" t="s">
        <v>1289</v>
      </c>
      <c r="Z3" s="26" t="s">
        <v>1290</v>
      </c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</row>
    <row r="4" spans="1:56">
      <c r="A4" s="3"/>
      <c r="B4" s="1" t="s">
        <v>1291</v>
      </c>
      <c r="C4" s="84">
        <f>180</f>
        <v>180</v>
      </c>
      <c r="D4" s="1" t="s">
        <v>1292</v>
      </c>
      <c r="E4" s="84">
        <v>-210</v>
      </c>
      <c r="F4" s="1" t="s">
        <v>1291</v>
      </c>
      <c r="G4" s="84">
        <f>180</f>
        <v>180</v>
      </c>
      <c r="H4" s="30" t="s">
        <v>1</v>
      </c>
      <c r="I4" t="s">
        <v>1292</v>
      </c>
      <c r="J4" t="s">
        <v>5</v>
      </c>
      <c r="K4" s="3"/>
      <c r="L4" s="3" t="s">
        <v>840</v>
      </c>
      <c r="M4" s="3" t="s">
        <v>1293</v>
      </c>
      <c r="N4" s="3" t="s">
        <v>29</v>
      </c>
      <c r="O4" s="3" t="s">
        <v>30</v>
      </c>
      <c r="P4" s="4" t="s">
        <v>125</v>
      </c>
      <c r="Q4" s="4" t="s">
        <v>1294</v>
      </c>
      <c r="R4" s="4" t="s">
        <v>22</v>
      </c>
      <c r="S4" s="4" t="s">
        <v>1288</v>
      </c>
      <c r="T4" s="4" t="s">
        <v>9</v>
      </c>
      <c r="U4" s="19">
        <v>3</v>
      </c>
      <c r="V4" s="20">
        <v>0.20833333333333334</v>
      </c>
      <c r="W4" s="4" t="s">
        <v>10</v>
      </c>
      <c r="X4" s="4" t="s">
        <v>96</v>
      </c>
      <c r="Y4" s="4" t="s">
        <v>1295</v>
      </c>
      <c r="Z4" s="26" t="s">
        <v>1296</v>
      </c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</row>
    <row r="5" spans="1:56">
      <c r="A5" s="3"/>
      <c r="B5" s="1" t="s">
        <v>1297</v>
      </c>
      <c r="C5" s="84">
        <f>205</f>
        <v>205</v>
      </c>
      <c r="D5" s="1" t="s">
        <v>1298</v>
      </c>
      <c r="E5" s="84">
        <v>-240</v>
      </c>
      <c r="F5" s="1" t="s">
        <v>1299</v>
      </c>
      <c r="G5" s="84">
        <v>-240</v>
      </c>
      <c r="H5" s="2" t="s">
        <v>1</v>
      </c>
      <c r="I5" t="s">
        <v>1298</v>
      </c>
      <c r="J5" t="s">
        <v>1</v>
      </c>
      <c r="K5" s="24">
        <v>7.3</v>
      </c>
      <c r="L5" s="25" t="s">
        <v>840</v>
      </c>
      <c r="M5" s="25" t="s">
        <v>1300</v>
      </c>
      <c r="N5" s="25" t="s">
        <v>1301</v>
      </c>
      <c r="O5" s="25" t="s">
        <v>440</v>
      </c>
      <c r="P5" s="4" t="s">
        <v>20</v>
      </c>
      <c r="Q5" s="4" t="s">
        <v>1302</v>
      </c>
      <c r="R5" s="4" t="s">
        <v>22</v>
      </c>
      <c r="S5" s="4" t="s">
        <v>1288</v>
      </c>
      <c r="T5" s="4" t="s">
        <v>61</v>
      </c>
      <c r="U5" s="19">
        <v>1</v>
      </c>
      <c r="V5" s="20">
        <v>0.16250000000000001</v>
      </c>
      <c r="W5" s="4" t="s">
        <v>10</v>
      </c>
      <c r="X5" s="4" t="s">
        <v>39</v>
      </c>
      <c r="Y5" s="4" t="s">
        <v>67</v>
      </c>
      <c r="Z5" s="26" t="s">
        <v>1303</v>
      </c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</row>
    <row r="6" spans="1:56">
      <c r="A6" s="3"/>
      <c r="B6" s="1" t="s">
        <v>1304</v>
      </c>
      <c r="C6" s="84">
        <v>-143</v>
      </c>
      <c r="D6" s="1" t="s">
        <v>1305</v>
      </c>
      <c r="E6" s="84">
        <f>123</f>
        <v>123</v>
      </c>
      <c r="F6" s="1" t="s">
        <v>1304</v>
      </c>
      <c r="G6" s="84">
        <v>-143</v>
      </c>
      <c r="H6" s="2" t="s">
        <v>1</v>
      </c>
      <c r="I6" t="s">
        <v>1305</v>
      </c>
      <c r="J6" t="s">
        <v>5</v>
      </c>
      <c r="K6" s="24">
        <v>9</v>
      </c>
      <c r="L6" s="25" t="s">
        <v>840</v>
      </c>
      <c r="M6" s="25" t="s">
        <v>1306</v>
      </c>
      <c r="N6" s="25" t="s">
        <v>18</v>
      </c>
      <c r="O6" s="25" t="s">
        <v>19</v>
      </c>
      <c r="P6" s="4" t="s">
        <v>20</v>
      </c>
      <c r="Q6" s="4" t="s">
        <v>1307</v>
      </c>
      <c r="R6" s="4" t="s">
        <v>22</v>
      </c>
      <c r="S6" s="4" t="s">
        <v>1288</v>
      </c>
      <c r="T6" s="4" t="s">
        <v>9</v>
      </c>
      <c r="U6" s="19">
        <v>3</v>
      </c>
      <c r="V6" s="20">
        <v>0.20833333333333334</v>
      </c>
      <c r="W6" s="4" t="s">
        <v>10</v>
      </c>
      <c r="X6" s="4" t="s">
        <v>23</v>
      </c>
      <c r="Y6" s="4" t="s">
        <v>1218</v>
      </c>
      <c r="Z6" s="26" t="s">
        <v>1308</v>
      </c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</row>
    <row r="7" spans="1:56">
      <c r="A7" s="3"/>
      <c r="B7" s="1" t="s">
        <v>1309</v>
      </c>
      <c r="C7" s="24">
        <f>128</f>
        <v>128</v>
      </c>
      <c r="D7" s="1" t="s">
        <v>1310</v>
      </c>
      <c r="E7" s="24">
        <v>-148</v>
      </c>
      <c r="F7" s="1" t="s">
        <v>1310</v>
      </c>
      <c r="G7" s="24">
        <v>-148</v>
      </c>
      <c r="H7" s="2" t="s">
        <v>1</v>
      </c>
      <c r="I7" t="s">
        <v>1309</v>
      </c>
      <c r="J7" t="s">
        <v>5</v>
      </c>
      <c r="K7" s="3"/>
      <c r="L7" s="3"/>
      <c r="M7" s="3"/>
      <c r="N7" s="3"/>
      <c r="O7" s="3"/>
      <c r="P7" s="4" t="s">
        <v>207</v>
      </c>
      <c r="Q7" s="4" t="s">
        <v>1311</v>
      </c>
      <c r="R7" s="4" t="s">
        <v>8</v>
      </c>
      <c r="S7" s="4" t="s">
        <v>1288</v>
      </c>
      <c r="T7" s="4" t="s">
        <v>61</v>
      </c>
      <c r="U7" s="19">
        <v>3</v>
      </c>
      <c r="V7" s="20">
        <v>5.2083333333333336E-2</v>
      </c>
      <c r="W7" s="4" t="s">
        <v>10</v>
      </c>
      <c r="X7" s="4" t="s">
        <v>654</v>
      </c>
      <c r="Y7" s="4" t="s">
        <v>67</v>
      </c>
      <c r="Z7" s="26" t="s">
        <v>1312</v>
      </c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</row>
    <row r="8" spans="1:56">
      <c r="A8" s="3"/>
      <c r="B8" s="1" t="s">
        <v>1313</v>
      </c>
      <c r="C8" s="24">
        <v>-225</v>
      </c>
      <c r="D8" s="1" t="s">
        <v>1314</v>
      </c>
      <c r="E8" s="24">
        <f>225</f>
        <v>225</v>
      </c>
      <c r="F8" s="90" t="s">
        <v>1313</v>
      </c>
      <c r="G8" s="24">
        <v>-225</v>
      </c>
      <c r="H8" s="91" t="s">
        <v>1</v>
      </c>
      <c r="I8" t="s">
        <v>13068</v>
      </c>
      <c r="J8" t="s">
        <v>13069</v>
      </c>
      <c r="K8" s="3"/>
      <c r="L8" s="3"/>
      <c r="M8" s="3"/>
      <c r="N8" s="3"/>
      <c r="O8" s="3"/>
      <c r="P8" s="4" t="s">
        <v>71</v>
      </c>
      <c r="Q8" s="4" t="s">
        <v>1315</v>
      </c>
      <c r="R8" s="4" t="s">
        <v>22</v>
      </c>
      <c r="S8" s="4" t="s">
        <v>1288</v>
      </c>
      <c r="T8" s="4" t="s">
        <v>9</v>
      </c>
      <c r="U8" s="19">
        <v>3</v>
      </c>
      <c r="V8" s="20">
        <v>0.20833333333333334</v>
      </c>
      <c r="W8" s="4" t="s">
        <v>10</v>
      </c>
      <c r="X8" s="4" t="s">
        <v>39</v>
      </c>
      <c r="Y8" s="4" t="s">
        <v>1316</v>
      </c>
      <c r="Z8" s="3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</row>
    <row r="9" spans="1:56">
      <c r="A9" s="3"/>
      <c r="B9" s="92" t="s">
        <v>1317</v>
      </c>
      <c r="C9" s="84">
        <f>285</f>
        <v>285</v>
      </c>
      <c r="D9" s="90" t="s">
        <v>1318</v>
      </c>
      <c r="E9" s="93">
        <v>-350</v>
      </c>
      <c r="F9" s="90" t="s">
        <v>1317</v>
      </c>
      <c r="G9" s="84">
        <f>285</f>
        <v>285</v>
      </c>
      <c r="H9" s="94" t="s">
        <v>5</v>
      </c>
      <c r="I9" t="s">
        <v>13068</v>
      </c>
      <c r="J9" t="s">
        <v>13069</v>
      </c>
      <c r="K9" s="24">
        <v>7.3</v>
      </c>
      <c r="L9" s="1" t="s">
        <v>427</v>
      </c>
      <c r="M9" s="3"/>
      <c r="N9" s="1" t="s">
        <v>1319</v>
      </c>
      <c r="O9" s="3"/>
      <c r="P9" s="4" t="s">
        <v>79</v>
      </c>
      <c r="Q9" s="4" t="s">
        <v>1320</v>
      </c>
      <c r="R9" s="4" t="s">
        <v>22</v>
      </c>
      <c r="S9" s="4" t="s">
        <v>1288</v>
      </c>
      <c r="T9" s="4" t="s">
        <v>46</v>
      </c>
      <c r="U9" s="19">
        <v>2</v>
      </c>
      <c r="V9" s="20">
        <v>0.12916666666666668</v>
      </c>
      <c r="W9" s="4" t="s">
        <v>10</v>
      </c>
      <c r="X9" s="4" t="s">
        <v>23</v>
      </c>
      <c r="Y9" s="4" t="s">
        <v>1321</v>
      </c>
      <c r="Z9" s="26" t="s">
        <v>1322</v>
      </c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</row>
    <row r="10" spans="1:56">
      <c r="A10" s="3"/>
      <c r="B10" s="92" t="s">
        <v>1323</v>
      </c>
      <c r="C10" s="76">
        <v>-370</v>
      </c>
      <c r="D10" s="95" t="s">
        <v>1324</v>
      </c>
      <c r="E10" s="96">
        <v>295</v>
      </c>
      <c r="F10" s="97" t="s">
        <v>1323</v>
      </c>
      <c r="G10" s="76">
        <v>-370</v>
      </c>
      <c r="H10" s="91" t="s">
        <v>122</v>
      </c>
      <c r="I10" t="s">
        <v>1323</v>
      </c>
      <c r="J10" t="s">
        <v>5</v>
      </c>
      <c r="K10" s="3"/>
      <c r="L10" s="3"/>
      <c r="M10" s="3"/>
      <c r="N10" s="4" t="s">
        <v>185</v>
      </c>
      <c r="O10" s="4" t="s">
        <v>1325</v>
      </c>
      <c r="P10" s="4" t="s">
        <v>8</v>
      </c>
      <c r="Q10" s="4" t="s">
        <v>1288</v>
      </c>
      <c r="R10" s="4" t="s">
        <v>61</v>
      </c>
      <c r="S10" s="19">
        <v>3</v>
      </c>
      <c r="T10" s="20">
        <v>0.18124999999999999</v>
      </c>
      <c r="U10" s="4" t="s">
        <v>10</v>
      </c>
      <c r="V10" s="4" t="s">
        <v>1326</v>
      </c>
      <c r="W10" s="4" t="s">
        <v>1327</v>
      </c>
      <c r="X10" s="26" t="s">
        <v>1328</v>
      </c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</row>
    <row r="11" spans="1:56">
      <c r="A11" s="3"/>
      <c r="B11" s="92" t="s">
        <v>100</v>
      </c>
      <c r="C11" s="24">
        <v>-213</v>
      </c>
      <c r="D11" s="90" t="s">
        <v>1329</v>
      </c>
      <c r="E11" s="98">
        <f>178</f>
        <v>178</v>
      </c>
      <c r="F11" s="90" t="s">
        <v>100</v>
      </c>
      <c r="G11" s="76">
        <v>-213</v>
      </c>
      <c r="H11" s="91" t="s">
        <v>5</v>
      </c>
      <c r="I11" t="s">
        <v>100</v>
      </c>
      <c r="J11" t="s">
        <v>5</v>
      </c>
      <c r="K11" s="3"/>
      <c r="L11" s="3"/>
      <c r="M11" s="3"/>
      <c r="N11" s="4" t="s">
        <v>44</v>
      </c>
      <c r="O11" s="4" t="s">
        <v>1330</v>
      </c>
      <c r="P11" s="4" t="s">
        <v>8</v>
      </c>
      <c r="Q11" s="4" t="s">
        <v>1288</v>
      </c>
      <c r="R11" s="4" t="s">
        <v>9</v>
      </c>
      <c r="S11" s="19">
        <v>3</v>
      </c>
      <c r="T11" s="20">
        <v>0.20833333333333334</v>
      </c>
      <c r="U11" s="4" t="s">
        <v>10</v>
      </c>
      <c r="V11" s="4" t="s">
        <v>96</v>
      </c>
      <c r="W11" s="4" t="s">
        <v>1331</v>
      </c>
      <c r="X11" s="26" t="s">
        <v>1332</v>
      </c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</row>
    <row r="12" spans="1:56">
      <c r="A12" s="3"/>
      <c r="B12" s="92" t="s">
        <v>1333</v>
      </c>
      <c r="C12" s="24">
        <v>-500</v>
      </c>
      <c r="D12" s="90" t="s">
        <v>1334</v>
      </c>
      <c r="E12" s="98">
        <f>385</f>
        <v>385</v>
      </c>
      <c r="F12" s="90" t="s">
        <v>1333</v>
      </c>
      <c r="G12" s="24">
        <v>-500</v>
      </c>
      <c r="H12" s="91" t="s">
        <v>5</v>
      </c>
      <c r="I12" t="s">
        <v>1333</v>
      </c>
      <c r="J12" t="s">
        <v>5</v>
      </c>
      <c r="K12" s="3"/>
      <c r="L12" s="3"/>
      <c r="M12" s="3"/>
      <c r="N12" s="4" t="s">
        <v>52</v>
      </c>
      <c r="O12" s="4" t="s">
        <v>1335</v>
      </c>
      <c r="P12" s="4" t="s">
        <v>8</v>
      </c>
      <c r="Q12" s="4" t="s">
        <v>1288</v>
      </c>
      <c r="R12" s="4" t="s">
        <v>9</v>
      </c>
      <c r="S12" s="19">
        <v>3</v>
      </c>
      <c r="T12" s="20">
        <v>0.20833333333333334</v>
      </c>
      <c r="U12" s="4" t="s">
        <v>10</v>
      </c>
      <c r="V12" s="4" t="s">
        <v>55</v>
      </c>
      <c r="W12" s="4" t="s">
        <v>1336</v>
      </c>
      <c r="X12" s="26" t="s">
        <v>1337</v>
      </c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</row>
    <row r="13" spans="1:56">
      <c r="A13" s="3"/>
      <c r="B13" s="92" t="s">
        <v>1338</v>
      </c>
      <c r="C13" s="24">
        <v>-175</v>
      </c>
      <c r="D13" s="90" t="s">
        <v>1339</v>
      </c>
      <c r="E13" s="98">
        <f>175</f>
        <v>175</v>
      </c>
      <c r="F13" s="90" t="s">
        <v>1339</v>
      </c>
      <c r="G13" s="24">
        <f>175</f>
        <v>175</v>
      </c>
      <c r="H13" s="91" t="s">
        <v>5</v>
      </c>
      <c r="I13" t="s">
        <v>1339</v>
      </c>
      <c r="J13" t="s">
        <v>5</v>
      </c>
      <c r="K13" s="3"/>
      <c r="L13" s="3"/>
      <c r="M13" s="3"/>
      <c r="N13" s="4" t="s">
        <v>65</v>
      </c>
      <c r="O13" s="4" t="s">
        <v>1340</v>
      </c>
      <c r="P13" s="4" t="s">
        <v>22</v>
      </c>
      <c r="Q13" s="4" t="s">
        <v>1288</v>
      </c>
      <c r="R13" s="4" t="s">
        <v>9</v>
      </c>
      <c r="S13" s="19">
        <v>3</v>
      </c>
      <c r="T13" s="20">
        <v>0.20833333333333334</v>
      </c>
      <c r="U13" s="4" t="s">
        <v>10</v>
      </c>
      <c r="V13" s="4" t="s">
        <v>23</v>
      </c>
      <c r="W13" s="4" t="s">
        <v>1341</v>
      </c>
      <c r="X13" s="26" t="s">
        <v>1342</v>
      </c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</row>
    <row r="14" spans="1:56">
      <c r="A14" s="3"/>
      <c r="B14" s="92" t="s">
        <v>1343</v>
      </c>
      <c r="C14" s="24">
        <v>-450</v>
      </c>
      <c r="D14" s="90" t="s">
        <v>1344</v>
      </c>
      <c r="E14" s="98">
        <f>450</f>
        <v>450</v>
      </c>
      <c r="F14" s="90" t="s">
        <v>1343</v>
      </c>
      <c r="G14" s="24">
        <v>-450</v>
      </c>
      <c r="H14" s="91" t="s">
        <v>5</v>
      </c>
      <c r="I14" t="s">
        <v>13068</v>
      </c>
      <c r="J14" t="s">
        <v>13069</v>
      </c>
      <c r="K14" s="3"/>
      <c r="L14" s="3"/>
      <c r="M14" s="3"/>
      <c r="N14" s="4" t="s">
        <v>71</v>
      </c>
      <c r="O14" s="4" t="s">
        <v>1345</v>
      </c>
      <c r="P14" s="4" t="s">
        <v>8</v>
      </c>
      <c r="Q14" s="4" t="s">
        <v>1288</v>
      </c>
      <c r="R14" s="4" t="s">
        <v>9</v>
      </c>
      <c r="S14" s="19">
        <v>3</v>
      </c>
      <c r="T14" s="20">
        <v>0.20833333333333334</v>
      </c>
      <c r="U14" s="4" t="s">
        <v>10</v>
      </c>
      <c r="V14" s="4" t="s">
        <v>23</v>
      </c>
      <c r="W14" s="4" t="s">
        <v>1346</v>
      </c>
      <c r="X14" s="3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</row>
    <row r="15" spans="1:56">
      <c r="A15" s="3"/>
      <c r="B15" s="92" t="s">
        <v>1347</v>
      </c>
      <c r="C15" s="84">
        <f>300</f>
        <v>300</v>
      </c>
      <c r="D15" s="90" t="s">
        <v>1348</v>
      </c>
      <c r="E15" s="93">
        <v>-400</v>
      </c>
      <c r="F15" s="90" t="s">
        <v>1349</v>
      </c>
      <c r="G15" s="1"/>
      <c r="H15" s="91"/>
      <c r="I15" t="s">
        <v>1348</v>
      </c>
      <c r="J15" t="s">
        <v>5</v>
      </c>
      <c r="K15" s="1" t="s">
        <v>1350</v>
      </c>
      <c r="L15" s="1" t="s">
        <v>1351</v>
      </c>
      <c r="M15" s="3"/>
      <c r="N15" s="4" t="s">
        <v>103</v>
      </c>
      <c r="O15" s="4" t="s">
        <v>1352</v>
      </c>
      <c r="P15" s="4" t="s">
        <v>22</v>
      </c>
      <c r="Q15" s="4" t="s">
        <v>1288</v>
      </c>
      <c r="R15" s="4" t="s">
        <v>61</v>
      </c>
      <c r="S15" s="19">
        <v>2</v>
      </c>
      <c r="T15" s="20">
        <v>7.4305555555555555E-2</v>
      </c>
      <c r="U15" s="4" t="s">
        <v>10</v>
      </c>
      <c r="V15" s="4" t="s">
        <v>47</v>
      </c>
      <c r="W15" s="4" t="s">
        <v>67</v>
      </c>
      <c r="X15" s="26" t="s">
        <v>1353</v>
      </c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</row>
  </sheetData>
  <hyperlinks>
    <hyperlink ref="Z3" r:id="rId1" xr:uid="{00000000-0004-0000-0A00-000000000000}"/>
    <hyperlink ref="Z4" r:id="rId2" xr:uid="{00000000-0004-0000-0A00-000001000000}"/>
    <hyperlink ref="Z5" r:id="rId3" xr:uid="{00000000-0004-0000-0A00-000002000000}"/>
    <hyperlink ref="Z6" r:id="rId4" xr:uid="{00000000-0004-0000-0A00-000003000000}"/>
    <hyperlink ref="Z7" r:id="rId5" xr:uid="{00000000-0004-0000-0A00-000004000000}"/>
    <hyperlink ref="Z9" r:id="rId6" xr:uid="{00000000-0004-0000-0A00-000005000000}"/>
    <hyperlink ref="D10" r:id="rId7" xr:uid="{00000000-0004-0000-0A00-000006000000}"/>
    <hyperlink ref="F10" r:id="rId8" xr:uid="{00000000-0004-0000-0A00-000007000000}"/>
    <hyperlink ref="X10" r:id="rId9" xr:uid="{00000000-0004-0000-0A00-000008000000}"/>
    <hyperlink ref="X11" r:id="rId10" xr:uid="{00000000-0004-0000-0A00-000009000000}"/>
    <hyperlink ref="X12" r:id="rId11" xr:uid="{00000000-0004-0000-0A00-00000A000000}"/>
    <hyperlink ref="X13" r:id="rId12" xr:uid="{00000000-0004-0000-0A00-00000B000000}"/>
    <hyperlink ref="X15" r:id="rId13" xr:uid="{00000000-0004-0000-0A00-00000C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D36"/>
  <sheetViews>
    <sheetView tabSelected="1" topLeftCell="B1" workbookViewId="0">
      <selection activeCell="J21" sqref="J21"/>
    </sheetView>
  </sheetViews>
  <sheetFormatPr defaultColWidth="12.5703125" defaultRowHeight="15.75" customHeight="1"/>
  <cols>
    <col min="14" max="14" width="47" customWidth="1"/>
  </cols>
  <sheetData>
    <row r="1" spans="1:56" ht="12.75">
      <c r="A1" s="99"/>
      <c r="B1" s="99"/>
      <c r="C1" s="100" t="s">
        <v>5</v>
      </c>
      <c r="D1" s="99"/>
      <c r="E1" s="100" t="s">
        <v>1</v>
      </c>
      <c r="F1" s="99"/>
      <c r="G1" s="101" t="s">
        <v>1519</v>
      </c>
      <c r="H1" s="99" t="s">
        <v>1520</v>
      </c>
      <c r="I1" s="99" t="s">
        <v>13066</v>
      </c>
      <c r="J1" s="99" t="s">
        <v>13067</v>
      </c>
      <c r="K1" s="99" t="s">
        <v>1521</v>
      </c>
      <c r="L1" s="99" t="s">
        <v>1522</v>
      </c>
      <c r="M1" s="99" t="s">
        <v>1523</v>
      </c>
      <c r="N1" s="99" t="s">
        <v>46</v>
      </c>
      <c r="O1" s="99"/>
      <c r="P1" s="99"/>
      <c r="Q1" s="99"/>
      <c r="R1" s="99"/>
      <c r="S1" s="99"/>
      <c r="T1" s="99"/>
      <c r="U1" s="99"/>
      <c r="V1" s="102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</row>
    <row r="2" spans="1:56" ht="12.75">
      <c r="A2" s="7"/>
      <c r="B2" s="7"/>
      <c r="C2" s="8">
        <f>COUNTIF(H3:H102, "win")</f>
        <v>16</v>
      </c>
      <c r="D2" s="7"/>
      <c r="E2" s="8">
        <f>COUNTIF(H3:H102, "loss")</f>
        <v>18</v>
      </c>
      <c r="F2" s="103" t="s">
        <v>2</v>
      </c>
      <c r="G2" s="104">
        <f>COUNTIF(H3:H102, "win") / (COUNTIF(H3:H102, "win") + COUNTIF(H3:H102, "loss"))</f>
        <v>0.47058823529411764</v>
      </c>
      <c r="H2" s="7"/>
      <c r="I2" s="7"/>
      <c r="J2" s="104">
        <f>COUNTIF(J3:J102, "Win") / (COUNTIF(J3:J102, "Win") + COUNTIF(J3:J102, "Loss"))</f>
        <v>0.87096774193548387</v>
      </c>
      <c r="K2" s="60">
        <f>COUNTIF(R2:R100, "Decision - split")</f>
        <v>1</v>
      </c>
      <c r="L2" s="60">
        <f>COUNTIF(R2:R100, "Decision - Unanimous")</f>
        <v>1</v>
      </c>
      <c r="M2" s="60">
        <f>COUNTIF(R2:R100, "Submission")</f>
        <v>1</v>
      </c>
      <c r="N2" s="60">
        <f>COUNTIF(R2:R100, "KO/TKO")</f>
        <v>2</v>
      </c>
      <c r="O2" s="7"/>
      <c r="P2" s="7"/>
      <c r="Q2" s="7"/>
      <c r="R2" s="7"/>
      <c r="S2" s="7"/>
      <c r="T2" s="7"/>
      <c r="U2" s="7"/>
      <c r="V2" s="105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</row>
    <row r="3" spans="1:56" ht="14.25">
      <c r="A3" s="3"/>
      <c r="B3" s="1" t="s">
        <v>234</v>
      </c>
      <c r="C3" s="16">
        <f>102</f>
        <v>102</v>
      </c>
      <c r="D3" s="1" t="s">
        <v>235</v>
      </c>
      <c r="E3" s="17">
        <v>-102</v>
      </c>
      <c r="F3" s="1" t="s">
        <v>235</v>
      </c>
      <c r="G3" s="17">
        <v>-102</v>
      </c>
      <c r="H3" s="2" t="s">
        <v>5</v>
      </c>
      <c r="I3" t="s">
        <v>235</v>
      </c>
      <c r="J3" t="s">
        <v>5</v>
      </c>
      <c r="K3" s="3"/>
      <c r="L3" s="3"/>
      <c r="M3" s="3"/>
      <c r="N3" s="3"/>
      <c r="O3" s="3"/>
      <c r="P3" s="4" t="s">
        <v>6</v>
      </c>
      <c r="Q3" s="4" t="s">
        <v>236</v>
      </c>
      <c r="R3" s="4" t="s">
        <v>22</v>
      </c>
      <c r="S3" s="4" t="s">
        <v>237</v>
      </c>
      <c r="T3" s="4" t="s">
        <v>9</v>
      </c>
      <c r="U3" s="19">
        <v>3</v>
      </c>
      <c r="V3" s="20">
        <v>0.20833333333333334</v>
      </c>
      <c r="W3" s="4" t="s">
        <v>10</v>
      </c>
      <c r="X3" s="4" t="s">
        <v>11</v>
      </c>
      <c r="Y3" s="4" t="s">
        <v>238</v>
      </c>
      <c r="Z3" s="3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</row>
    <row r="4" spans="1:56" ht="14.25">
      <c r="A4" s="3"/>
      <c r="B4" s="1" t="s">
        <v>239</v>
      </c>
      <c r="C4" s="22">
        <f>118</f>
        <v>118</v>
      </c>
      <c r="D4" s="1" t="s">
        <v>240</v>
      </c>
      <c r="E4" s="23">
        <v>-138</v>
      </c>
      <c r="F4" s="1" t="s">
        <v>241</v>
      </c>
      <c r="G4" s="22">
        <f>118</f>
        <v>118</v>
      </c>
      <c r="H4" s="2" t="s">
        <v>1</v>
      </c>
      <c r="I4" t="s">
        <v>240</v>
      </c>
      <c r="J4" t="s">
        <v>5</v>
      </c>
      <c r="K4" s="24">
        <v>6.9</v>
      </c>
      <c r="L4" s="1" t="s">
        <v>61</v>
      </c>
      <c r="M4" s="24">
        <v>-160</v>
      </c>
      <c r="N4" s="1" t="s">
        <v>242</v>
      </c>
      <c r="O4" s="3"/>
      <c r="P4" s="4" t="s">
        <v>87</v>
      </c>
      <c r="Q4" s="4" t="s">
        <v>243</v>
      </c>
      <c r="R4" s="4" t="s">
        <v>22</v>
      </c>
      <c r="S4" s="4" t="s">
        <v>237</v>
      </c>
      <c r="T4" s="4" t="s">
        <v>244</v>
      </c>
      <c r="U4" s="19">
        <v>2</v>
      </c>
      <c r="V4" s="20">
        <v>0.14930555555555555</v>
      </c>
      <c r="W4" s="4" t="s">
        <v>10</v>
      </c>
      <c r="X4" s="4" t="s">
        <v>245</v>
      </c>
      <c r="Y4" s="4" t="s">
        <v>246</v>
      </c>
      <c r="Z4" s="26" t="s">
        <v>247</v>
      </c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</row>
    <row r="5" spans="1:56" ht="14.25">
      <c r="A5" s="3"/>
      <c r="B5" s="1" t="s">
        <v>248</v>
      </c>
      <c r="C5" s="22">
        <v>-170</v>
      </c>
      <c r="D5" s="1" t="s">
        <v>249</v>
      </c>
      <c r="E5" s="23">
        <f>145</f>
        <v>145</v>
      </c>
      <c r="F5" s="1" t="s">
        <v>248</v>
      </c>
      <c r="G5" s="22">
        <v>-170</v>
      </c>
      <c r="H5" s="2" t="s">
        <v>1</v>
      </c>
      <c r="I5" s="1" t="s">
        <v>248</v>
      </c>
      <c r="J5" t="s">
        <v>1</v>
      </c>
      <c r="K5" s="24">
        <v>7.5</v>
      </c>
      <c r="L5" s="1" t="s">
        <v>18</v>
      </c>
      <c r="M5" s="24">
        <v>-160</v>
      </c>
      <c r="N5" s="1"/>
      <c r="O5" s="1"/>
      <c r="P5" s="4" t="s">
        <v>94</v>
      </c>
      <c r="Q5" s="4" t="s">
        <v>250</v>
      </c>
      <c r="R5" s="4" t="s">
        <v>22</v>
      </c>
      <c r="S5" s="4" t="s">
        <v>237</v>
      </c>
      <c r="T5" s="4" t="s">
        <v>9</v>
      </c>
      <c r="U5" s="19">
        <v>3</v>
      </c>
      <c r="V5" s="20">
        <v>0.20833333333333334</v>
      </c>
      <c r="W5" s="4" t="s">
        <v>10</v>
      </c>
      <c r="X5" s="4" t="s">
        <v>23</v>
      </c>
      <c r="Y5" s="4" t="s">
        <v>251</v>
      </c>
      <c r="Z5" s="26" t="s">
        <v>252</v>
      </c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</row>
    <row r="6" spans="1:56" ht="14.25">
      <c r="A6" s="3"/>
      <c r="B6" s="1" t="s">
        <v>253</v>
      </c>
      <c r="C6" s="22">
        <f>115</f>
        <v>115</v>
      </c>
      <c r="D6" s="1" t="s">
        <v>254</v>
      </c>
      <c r="E6" s="23">
        <v>-135</v>
      </c>
      <c r="F6" s="1" t="s">
        <v>253</v>
      </c>
      <c r="G6" s="22">
        <f>115</f>
        <v>115</v>
      </c>
      <c r="H6" s="2" t="s">
        <v>1</v>
      </c>
      <c r="I6" t="s">
        <v>254</v>
      </c>
      <c r="J6" t="s">
        <v>5</v>
      </c>
      <c r="K6" s="24">
        <v>6.4</v>
      </c>
      <c r="L6" s="1" t="s">
        <v>18</v>
      </c>
      <c r="M6" s="1" t="s">
        <v>255</v>
      </c>
      <c r="N6" s="1" t="s">
        <v>256</v>
      </c>
      <c r="O6" s="3"/>
      <c r="P6" s="4" t="s">
        <v>103</v>
      </c>
      <c r="Q6" s="4" t="s">
        <v>257</v>
      </c>
      <c r="R6" s="4" t="s">
        <v>22</v>
      </c>
      <c r="S6" s="4" t="s">
        <v>237</v>
      </c>
      <c r="T6" s="4" t="s">
        <v>46</v>
      </c>
      <c r="U6" s="19">
        <v>1</v>
      </c>
      <c r="V6" s="20">
        <v>6.1805555555555558E-2</v>
      </c>
      <c r="W6" s="4" t="s">
        <v>10</v>
      </c>
      <c r="X6" s="4" t="s">
        <v>39</v>
      </c>
      <c r="Y6" s="4" t="s">
        <v>258</v>
      </c>
      <c r="Z6" s="26" t="s">
        <v>259</v>
      </c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</row>
    <row r="7" spans="1:56" ht="14.25">
      <c r="A7" s="3"/>
      <c r="B7" s="1" t="s">
        <v>235</v>
      </c>
      <c r="C7" s="42">
        <v>-235</v>
      </c>
      <c r="D7" s="1" t="s">
        <v>260</v>
      </c>
      <c r="E7" s="43">
        <f>200</f>
        <v>200</v>
      </c>
      <c r="F7" s="1" t="s">
        <v>235</v>
      </c>
      <c r="G7" s="43">
        <v>-235</v>
      </c>
      <c r="H7" s="30" t="s">
        <v>1</v>
      </c>
      <c r="I7" t="s">
        <v>260</v>
      </c>
      <c r="J7" t="s">
        <v>5</v>
      </c>
      <c r="K7" s="24">
        <v>7.3</v>
      </c>
      <c r="L7" s="1" t="s">
        <v>18</v>
      </c>
      <c r="M7" s="3"/>
      <c r="N7" s="1" t="s">
        <v>261</v>
      </c>
      <c r="O7" s="3"/>
      <c r="P7" s="4" t="s">
        <v>115</v>
      </c>
      <c r="Q7" s="4" t="s">
        <v>262</v>
      </c>
      <c r="R7" s="4" t="s">
        <v>22</v>
      </c>
      <c r="S7" s="4" t="s">
        <v>237</v>
      </c>
      <c r="T7" s="4" t="s">
        <v>46</v>
      </c>
      <c r="U7" s="19">
        <v>1</v>
      </c>
      <c r="V7" s="20">
        <v>0.16666666666666666</v>
      </c>
      <c r="W7" s="4" t="s">
        <v>10</v>
      </c>
      <c r="X7" s="4" t="s">
        <v>263</v>
      </c>
      <c r="Y7" s="4" t="s">
        <v>97</v>
      </c>
      <c r="Z7" s="26" t="s">
        <v>264</v>
      </c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</row>
    <row r="8" spans="1:56" ht="14.25">
      <c r="A8" s="3"/>
      <c r="B8" s="1" t="s">
        <v>265</v>
      </c>
      <c r="C8" s="44">
        <v>-127</v>
      </c>
      <c r="D8" s="1" t="s">
        <v>266</v>
      </c>
      <c r="E8" s="45">
        <f>107</f>
        <v>107</v>
      </c>
      <c r="F8" s="1" t="s">
        <v>266</v>
      </c>
      <c r="G8" s="44">
        <f>107</f>
        <v>107</v>
      </c>
      <c r="H8" s="30" t="s">
        <v>1</v>
      </c>
      <c r="I8" s="1" t="s">
        <v>266</v>
      </c>
      <c r="J8" t="s">
        <v>1</v>
      </c>
      <c r="K8" s="24">
        <v>7.4</v>
      </c>
      <c r="L8" s="1" t="s">
        <v>18</v>
      </c>
      <c r="M8" s="3"/>
      <c r="N8" s="1" t="s">
        <v>267</v>
      </c>
      <c r="O8" s="3"/>
      <c r="P8" s="4" t="s">
        <v>115</v>
      </c>
      <c r="Q8" s="4" t="s">
        <v>268</v>
      </c>
      <c r="R8" s="4" t="s">
        <v>8</v>
      </c>
      <c r="S8" s="4" t="s">
        <v>237</v>
      </c>
      <c r="T8" s="4" t="s">
        <v>46</v>
      </c>
      <c r="U8" s="19">
        <v>3</v>
      </c>
      <c r="V8" s="20">
        <v>1.5277777777777777E-2</v>
      </c>
      <c r="W8" s="4" t="s">
        <v>10</v>
      </c>
      <c r="X8" s="4" t="s">
        <v>11</v>
      </c>
      <c r="Y8" s="4" t="s">
        <v>48</v>
      </c>
      <c r="Z8" s="26" t="s">
        <v>269</v>
      </c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</row>
    <row r="9" spans="1:56" ht="14.25">
      <c r="A9" s="3"/>
      <c r="B9" s="1" t="s">
        <v>270</v>
      </c>
      <c r="C9" s="44">
        <v>-157</v>
      </c>
      <c r="D9" s="1" t="s">
        <v>271</v>
      </c>
      <c r="E9" s="45">
        <f t="shared" ref="E9:E10" si="0">137</f>
        <v>137</v>
      </c>
      <c r="F9" s="1" t="s">
        <v>270</v>
      </c>
      <c r="G9" s="45">
        <v>-157</v>
      </c>
      <c r="H9" s="30" t="s">
        <v>1</v>
      </c>
      <c r="I9" t="s">
        <v>271</v>
      </c>
      <c r="J9" t="s">
        <v>5</v>
      </c>
      <c r="K9" s="3"/>
      <c r="L9" s="3" t="s">
        <v>16</v>
      </c>
      <c r="M9" s="3" t="s">
        <v>272</v>
      </c>
      <c r="N9" s="3" t="s">
        <v>273</v>
      </c>
      <c r="O9" s="3" t="s">
        <v>274</v>
      </c>
      <c r="P9" s="4" t="s">
        <v>125</v>
      </c>
      <c r="Q9" s="4" t="s">
        <v>275</v>
      </c>
      <c r="R9" s="4" t="s">
        <v>22</v>
      </c>
      <c r="S9" s="4" t="s">
        <v>237</v>
      </c>
      <c r="T9" s="4" t="s">
        <v>61</v>
      </c>
      <c r="U9" s="19">
        <v>2</v>
      </c>
      <c r="V9" s="20">
        <v>7.6388888888888895E-2</v>
      </c>
      <c r="W9" s="4" t="s">
        <v>10</v>
      </c>
      <c r="X9" s="4" t="s">
        <v>55</v>
      </c>
      <c r="Y9" s="4" t="s">
        <v>67</v>
      </c>
      <c r="Z9" s="26" t="s">
        <v>276</v>
      </c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</row>
    <row r="10" spans="1:56" ht="14.25">
      <c r="A10" s="3"/>
      <c r="B10" s="1" t="s">
        <v>277</v>
      </c>
      <c r="C10" s="44">
        <v>-157</v>
      </c>
      <c r="D10" s="1" t="s">
        <v>278</v>
      </c>
      <c r="E10" s="45">
        <f t="shared" si="0"/>
        <v>137</v>
      </c>
      <c r="F10" s="1" t="s">
        <v>278</v>
      </c>
      <c r="G10" s="44">
        <f>137</f>
        <v>137</v>
      </c>
      <c r="H10" s="30" t="s">
        <v>1</v>
      </c>
      <c r="I10" t="s">
        <v>277</v>
      </c>
      <c r="J10" t="s">
        <v>5</v>
      </c>
      <c r="K10" s="3"/>
      <c r="L10" s="3" t="s">
        <v>16</v>
      </c>
      <c r="M10" s="3" t="s">
        <v>272</v>
      </c>
      <c r="N10" s="3" t="s">
        <v>279</v>
      </c>
      <c r="O10" s="3" t="s">
        <v>280</v>
      </c>
      <c r="P10" s="4" t="s">
        <v>125</v>
      </c>
      <c r="Q10" s="4" t="s">
        <v>281</v>
      </c>
      <c r="R10" s="4" t="s">
        <v>8</v>
      </c>
      <c r="S10" s="4" t="s">
        <v>237</v>
      </c>
      <c r="T10" s="4" t="s">
        <v>61</v>
      </c>
      <c r="U10" s="19">
        <v>1</v>
      </c>
      <c r="V10" s="20">
        <v>0.11458333333333333</v>
      </c>
      <c r="W10" s="4" t="s">
        <v>10</v>
      </c>
      <c r="X10" s="4" t="s">
        <v>96</v>
      </c>
      <c r="Y10" s="4" t="s">
        <v>282</v>
      </c>
      <c r="Z10" s="26" t="s">
        <v>283</v>
      </c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</row>
    <row r="11" spans="1:56" ht="14.25">
      <c r="A11" s="3"/>
      <c r="B11" s="1" t="s">
        <v>284</v>
      </c>
      <c r="C11" s="44">
        <f>165</f>
        <v>165</v>
      </c>
      <c r="D11" s="1" t="s">
        <v>285</v>
      </c>
      <c r="E11" s="45">
        <v>-190</v>
      </c>
      <c r="F11" s="1" t="s">
        <v>285</v>
      </c>
      <c r="G11" s="44">
        <v>-190</v>
      </c>
      <c r="H11" s="30" t="s">
        <v>1</v>
      </c>
      <c r="I11" t="s">
        <v>284</v>
      </c>
      <c r="J11" t="s">
        <v>5</v>
      </c>
      <c r="K11" s="3"/>
      <c r="L11" s="3" t="s">
        <v>16</v>
      </c>
      <c r="M11" s="3" t="s">
        <v>272</v>
      </c>
      <c r="N11" s="3" t="s">
        <v>29</v>
      </c>
      <c r="O11" s="3" t="s">
        <v>30</v>
      </c>
      <c r="P11" s="4" t="s">
        <v>125</v>
      </c>
      <c r="Q11" s="4" t="s">
        <v>286</v>
      </c>
      <c r="R11" s="4" t="s">
        <v>8</v>
      </c>
      <c r="S11" s="4" t="s">
        <v>237</v>
      </c>
      <c r="T11" s="4" t="s">
        <v>9</v>
      </c>
      <c r="U11" s="19">
        <v>3</v>
      </c>
      <c r="V11" s="20">
        <v>0.20833333333333334</v>
      </c>
      <c r="W11" s="4" t="s">
        <v>10</v>
      </c>
      <c r="X11" s="4" t="s">
        <v>39</v>
      </c>
      <c r="Y11" s="4" t="s">
        <v>287</v>
      </c>
      <c r="Z11" s="26" t="s">
        <v>288</v>
      </c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</row>
    <row r="12" spans="1:56" ht="14.25">
      <c r="A12" s="3"/>
      <c r="B12" s="1" t="s">
        <v>215</v>
      </c>
      <c r="C12" s="44">
        <f>159</f>
        <v>159</v>
      </c>
      <c r="D12" s="1" t="s">
        <v>289</v>
      </c>
      <c r="E12" s="45">
        <v>-184</v>
      </c>
      <c r="F12" s="1" t="s">
        <v>289</v>
      </c>
      <c r="G12" s="44">
        <v>-184</v>
      </c>
      <c r="H12" s="2" t="s">
        <v>1</v>
      </c>
      <c r="I12" s="1" t="s">
        <v>289</v>
      </c>
      <c r="J12" t="s">
        <v>1</v>
      </c>
      <c r="K12" s="24">
        <v>8</v>
      </c>
      <c r="L12" s="24" t="s">
        <v>16</v>
      </c>
      <c r="M12" s="24" t="s">
        <v>290</v>
      </c>
      <c r="N12" s="24" t="s">
        <v>18</v>
      </c>
      <c r="O12" s="24" t="s">
        <v>291</v>
      </c>
      <c r="P12" s="4" t="s">
        <v>20</v>
      </c>
      <c r="Q12" s="4" t="s">
        <v>292</v>
      </c>
      <c r="R12" s="4" t="s">
        <v>8</v>
      </c>
      <c r="S12" s="4" t="s">
        <v>237</v>
      </c>
      <c r="T12" s="4" t="s">
        <v>193</v>
      </c>
      <c r="U12" s="19">
        <v>3</v>
      </c>
      <c r="V12" s="20">
        <v>0.20833333333333334</v>
      </c>
      <c r="W12" s="4" t="s">
        <v>10</v>
      </c>
      <c r="X12" s="4" t="s">
        <v>23</v>
      </c>
      <c r="Y12" s="4" t="s">
        <v>293</v>
      </c>
      <c r="Z12" s="26" t="s">
        <v>294</v>
      </c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</row>
    <row r="13" spans="1:56" ht="14.25">
      <c r="A13" s="3"/>
      <c r="B13" s="1" t="s">
        <v>295</v>
      </c>
      <c r="C13" s="46">
        <v>-148</v>
      </c>
      <c r="D13" s="1" t="s">
        <v>296</v>
      </c>
      <c r="E13" s="47">
        <f>128</f>
        <v>128</v>
      </c>
      <c r="F13" s="1" t="s">
        <v>295</v>
      </c>
      <c r="G13" s="47">
        <v>-148</v>
      </c>
      <c r="H13" s="2" t="s">
        <v>1</v>
      </c>
      <c r="I13" t="s">
        <v>296</v>
      </c>
      <c r="J13" t="s">
        <v>5</v>
      </c>
      <c r="K13" s="3"/>
      <c r="L13" s="3" t="s">
        <v>16</v>
      </c>
      <c r="M13" s="3" t="s">
        <v>272</v>
      </c>
      <c r="N13" s="3" t="s">
        <v>297</v>
      </c>
      <c r="O13" s="3" t="s">
        <v>298</v>
      </c>
      <c r="P13" s="4" t="s">
        <v>160</v>
      </c>
      <c r="Q13" s="4" t="s">
        <v>299</v>
      </c>
      <c r="R13" s="4" t="s">
        <v>22</v>
      </c>
      <c r="S13" s="4" t="s">
        <v>237</v>
      </c>
      <c r="T13" s="4" t="s">
        <v>61</v>
      </c>
      <c r="U13" s="19">
        <v>3</v>
      </c>
      <c r="V13" s="20">
        <v>4.027777777777778E-2</v>
      </c>
      <c r="W13" s="4" t="s">
        <v>54</v>
      </c>
      <c r="X13" s="4" t="s">
        <v>47</v>
      </c>
      <c r="Y13" s="4" t="s">
        <v>62</v>
      </c>
      <c r="Z13" s="26" t="s">
        <v>300</v>
      </c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</row>
    <row r="14" spans="1:56" ht="15.75" customHeight="1">
      <c r="A14" s="3"/>
      <c r="B14" s="1" t="s">
        <v>301</v>
      </c>
      <c r="C14" s="46">
        <f>300</f>
        <v>300</v>
      </c>
      <c r="D14" s="1" t="s">
        <v>302</v>
      </c>
      <c r="E14" s="47">
        <v>-400</v>
      </c>
      <c r="F14" s="1" t="s">
        <v>301</v>
      </c>
      <c r="G14" s="48">
        <v>400</v>
      </c>
      <c r="H14" s="2" t="s">
        <v>1</v>
      </c>
      <c r="I14" t="s">
        <v>302</v>
      </c>
      <c r="J14" t="s">
        <v>5</v>
      </c>
      <c r="K14" s="3"/>
      <c r="L14" s="3" t="s">
        <v>16</v>
      </c>
      <c r="M14" s="3" t="s">
        <v>272</v>
      </c>
      <c r="N14" s="3" t="s">
        <v>303</v>
      </c>
      <c r="O14" s="3" t="s">
        <v>304</v>
      </c>
      <c r="P14" s="4" t="s">
        <v>160</v>
      </c>
      <c r="Q14" s="4" t="s">
        <v>305</v>
      </c>
      <c r="R14" s="4" t="s">
        <v>22</v>
      </c>
      <c r="S14" s="4" t="s">
        <v>237</v>
      </c>
      <c r="T14" s="4" t="s">
        <v>46</v>
      </c>
      <c r="U14" s="19">
        <v>1</v>
      </c>
      <c r="V14" s="20">
        <v>3.0555555555555555E-2</v>
      </c>
      <c r="W14" s="4" t="s">
        <v>10</v>
      </c>
      <c r="X14" s="4" t="s">
        <v>306</v>
      </c>
      <c r="Y14" s="4" t="s">
        <v>307</v>
      </c>
      <c r="Z14" s="26" t="s">
        <v>308</v>
      </c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</row>
    <row r="15" spans="1:56" ht="14.25">
      <c r="A15" s="3"/>
      <c r="B15" s="1" t="s">
        <v>309</v>
      </c>
      <c r="C15" s="46">
        <f>125</f>
        <v>125</v>
      </c>
      <c r="D15" s="1" t="s">
        <v>310</v>
      </c>
      <c r="E15" s="47">
        <v>-145</v>
      </c>
      <c r="F15" s="1" t="s">
        <v>309</v>
      </c>
      <c r="G15" s="46">
        <f>125</f>
        <v>125</v>
      </c>
      <c r="H15" s="2" t="s">
        <v>1</v>
      </c>
      <c r="I15" t="s">
        <v>309</v>
      </c>
      <c r="J15" t="s">
        <v>5</v>
      </c>
      <c r="K15" s="3"/>
      <c r="L15" s="3"/>
      <c r="M15" s="3"/>
      <c r="N15" s="3"/>
      <c r="O15" s="3"/>
      <c r="P15" s="4" t="s">
        <v>311</v>
      </c>
      <c r="Q15" s="4" t="s">
        <v>312</v>
      </c>
      <c r="R15" s="4" t="s">
        <v>8</v>
      </c>
      <c r="S15" s="4" t="s">
        <v>237</v>
      </c>
      <c r="T15" s="4" t="s">
        <v>9</v>
      </c>
      <c r="U15" s="19">
        <v>3</v>
      </c>
      <c r="V15" s="20">
        <v>0.20833333333333334</v>
      </c>
      <c r="W15" s="4" t="s">
        <v>10</v>
      </c>
      <c r="X15" s="4" t="s">
        <v>39</v>
      </c>
      <c r="Y15" s="4" t="s">
        <v>313</v>
      </c>
      <c r="Z15" s="26" t="s">
        <v>314</v>
      </c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</row>
    <row r="16" spans="1:56" ht="14.25">
      <c r="A16" s="3"/>
      <c r="B16" s="1" t="s">
        <v>315</v>
      </c>
      <c r="C16" s="49">
        <f>200</f>
        <v>200</v>
      </c>
      <c r="D16" s="1" t="s">
        <v>316</v>
      </c>
      <c r="E16" s="50">
        <v>-235</v>
      </c>
      <c r="F16" s="1" t="s">
        <v>316</v>
      </c>
      <c r="G16" s="46">
        <v>-235</v>
      </c>
      <c r="H16" s="2" t="s">
        <v>1</v>
      </c>
      <c r="I16" t="s">
        <v>315</v>
      </c>
      <c r="J16" t="s">
        <v>5</v>
      </c>
      <c r="K16" s="3"/>
      <c r="L16" s="3"/>
      <c r="M16" s="3"/>
      <c r="N16" s="3"/>
      <c r="O16" s="3"/>
      <c r="P16" s="4" t="s">
        <v>44</v>
      </c>
      <c r="Q16" s="4" t="s">
        <v>317</v>
      </c>
      <c r="R16" s="4" t="s">
        <v>8</v>
      </c>
      <c r="S16" s="4" t="s">
        <v>237</v>
      </c>
      <c r="T16" s="4" t="s">
        <v>46</v>
      </c>
      <c r="U16" s="19">
        <v>1</v>
      </c>
      <c r="V16" s="20">
        <v>8.1250000000000003E-2</v>
      </c>
      <c r="W16" s="4" t="s">
        <v>10</v>
      </c>
      <c r="X16" s="4" t="s">
        <v>55</v>
      </c>
      <c r="Y16" s="4" t="s">
        <v>48</v>
      </c>
      <c r="Z16" s="26" t="s">
        <v>318</v>
      </c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</row>
    <row r="17" spans="1:56" ht="14.25">
      <c r="A17" s="3"/>
      <c r="B17" s="1" t="s">
        <v>319</v>
      </c>
      <c r="C17" s="49">
        <v>-173</v>
      </c>
      <c r="D17" s="1" t="s">
        <v>320</v>
      </c>
      <c r="E17" s="50">
        <f>148</f>
        <v>148</v>
      </c>
      <c r="F17" s="1" t="s">
        <v>320</v>
      </c>
      <c r="G17" s="46">
        <f>148</f>
        <v>148</v>
      </c>
      <c r="H17" s="2" t="s">
        <v>1</v>
      </c>
      <c r="I17" t="s">
        <v>319</v>
      </c>
      <c r="J17" t="s">
        <v>5</v>
      </c>
      <c r="K17" s="3"/>
      <c r="L17" s="3"/>
      <c r="M17" s="3"/>
      <c r="N17" s="3"/>
      <c r="O17" s="3"/>
      <c r="P17" s="4" t="s">
        <v>44</v>
      </c>
      <c r="Q17" s="4" t="s">
        <v>321</v>
      </c>
      <c r="R17" s="4" t="s">
        <v>8</v>
      </c>
      <c r="S17" s="4" t="s">
        <v>237</v>
      </c>
      <c r="T17" s="4" t="s">
        <v>46</v>
      </c>
      <c r="U17" s="19">
        <v>1</v>
      </c>
      <c r="V17" s="20">
        <v>0.14722222222222223</v>
      </c>
      <c r="W17" s="4" t="s">
        <v>10</v>
      </c>
      <c r="X17" s="4" t="s">
        <v>96</v>
      </c>
      <c r="Y17" s="4" t="s">
        <v>48</v>
      </c>
      <c r="Z17" s="26" t="s">
        <v>322</v>
      </c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</row>
    <row r="18" spans="1:56" ht="14.25">
      <c r="A18" s="3"/>
      <c r="B18" s="1" t="s">
        <v>248</v>
      </c>
      <c r="C18" s="49">
        <v>-130</v>
      </c>
      <c r="D18" s="1" t="s">
        <v>240</v>
      </c>
      <c r="E18" s="50">
        <f>130</f>
        <v>130</v>
      </c>
      <c r="F18" s="1" t="s">
        <v>248</v>
      </c>
      <c r="G18" s="49">
        <v>-130</v>
      </c>
      <c r="H18" s="2" t="s">
        <v>1</v>
      </c>
      <c r="I18" t="s">
        <v>240</v>
      </c>
      <c r="J18" t="s">
        <v>5</v>
      </c>
      <c r="K18" s="3"/>
      <c r="L18" s="3"/>
      <c r="M18" s="3"/>
      <c r="N18" s="3"/>
      <c r="O18" s="3"/>
      <c r="P18" s="4" t="s">
        <v>65</v>
      </c>
      <c r="Q18" s="4" t="s">
        <v>323</v>
      </c>
      <c r="R18" s="4" t="s">
        <v>22</v>
      </c>
      <c r="S18" s="4" t="s">
        <v>237</v>
      </c>
      <c r="T18" s="4" t="s">
        <v>61</v>
      </c>
      <c r="U18" s="19">
        <v>2</v>
      </c>
      <c r="V18" s="20">
        <v>0.16250000000000001</v>
      </c>
      <c r="W18" s="4" t="s">
        <v>10</v>
      </c>
      <c r="X18" s="4" t="s">
        <v>55</v>
      </c>
      <c r="Y18" s="4" t="s">
        <v>324</v>
      </c>
      <c r="Z18" s="26" t="s">
        <v>325</v>
      </c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</row>
    <row r="19" spans="1:56" ht="14.25">
      <c r="A19" s="3"/>
      <c r="B19" s="1" t="s">
        <v>326</v>
      </c>
      <c r="C19" s="49">
        <v>-520</v>
      </c>
      <c r="D19" s="1" t="s">
        <v>327</v>
      </c>
      <c r="E19" s="50">
        <f>520</f>
        <v>520</v>
      </c>
      <c r="F19" s="1" t="s">
        <v>327</v>
      </c>
      <c r="G19" s="49">
        <f>520</f>
        <v>520</v>
      </c>
      <c r="H19" s="2" t="s">
        <v>1</v>
      </c>
      <c r="I19" t="s">
        <v>326</v>
      </c>
      <c r="J19" t="s">
        <v>5</v>
      </c>
      <c r="K19" s="3"/>
      <c r="L19" s="3"/>
      <c r="M19" s="3"/>
      <c r="N19" s="3"/>
      <c r="O19" s="3"/>
      <c r="P19" s="4" t="s">
        <v>65</v>
      </c>
      <c r="Q19" s="4" t="s">
        <v>328</v>
      </c>
      <c r="R19" s="4" t="s">
        <v>8</v>
      </c>
      <c r="S19" s="4" t="s">
        <v>237</v>
      </c>
      <c r="T19" s="4" t="s">
        <v>46</v>
      </c>
      <c r="U19" s="19">
        <v>1</v>
      </c>
      <c r="V19" s="20">
        <v>6.3194444444444442E-2</v>
      </c>
      <c r="W19" s="4" t="s">
        <v>10</v>
      </c>
      <c r="X19" s="4" t="s">
        <v>55</v>
      </c>
      <c r="Y19" s="4" t="s">
        <v>48</v>
      </c>
      <c r="Z19" s="26" t="s">
        <v>329</v>
      </c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</row>
    <row r="20" spans="1:56" ht="14.25">
      <c r="A20" s="3"/>
      <c r="B20" s="1" t="s">
        <v>254</v>
      </c>
      <c r="C20" s="16">
        <f>104</f>
        <v>104</v>
      </c>
      <c r="D20" s="1" t="s">
        <v>330</v>
      </c>
      <c r="E20" s="17">
        <v>-104</v>
      </c>
      <c r="F20" s="1" t="s">
        <v>330</v>
      </c>
      <c r="G20" s="16">
        <v>-104</v>
      </c>
      <c r="H20" s="2" t="s">
        <v>1</v>
      </c>
      <c r="I20" t="s">
        <v>254</v>
      </c>
      <c r="J20" t="s">
        <v>1</v>
      </c>
      <c r="K20" s="3"/>
      <c r="L20" s="3"/>
      <c r="M20" s="3"/>
      <c r="N20" s="3"/>
      <c r="O20" s="3"/>
      <c r="P20" s="4" t="s">
        <v>223</v>
      </c>
      <c r="Q20" s="4" t="s">
        <v>331</v>
      </c>
      <c r="R20" s="4" t="s">
        <v>8</v>
      </c>
      <c r="S20" s="4" t="s">
        <v>237</v>
      </c>
      <c r="T20" s="4" t="s">
        <v>46</v>
      </c>
      <c r="U20" s="19">
        <v>1</v>
      </c>
      <c r="V20" s="20">
        <v>6.25E-2</v>
      </c>
      <c r="W20" s="4" t="s">
        <v>10</v>
      </c>
      <c r="X20" s="4" t="s">
        <v>11</v>
      </c>
      <c r="Y20" s="4" t="s">
        <v>97</v>
      </c>
      <c r="Z20" s="26" t="s">
        <v>332</v>
      </c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</row>
    <row r="21" spans="1:56" ht="14.25">
      <c r="A21" s="3"/>
      <c r="B21" s="1" t="s">
        <v>253</v>
      </c>
      <c r="C21" s="16">
        <v>-166</v>
      </c>
      <c r="D21" s="1" t="s">
        <v>333</v>
      </c>
      <c r="E21" s="17">
        <f>166</f>
        <v>166</v>
      </c>
      <c r="F21" s="1" t="s">
        <v>253</v>
      </c>
      <c r="G21" s="17">
        <v>-166</v>
      </c>
      <c r="H21" s="2" t="s">
        <v>1</v>
      </c>
      <c r="I21" t="s">
        <v>13068</v>
      </c>
      <c r="J21" t="s">
        <v>13069</v>
      </c>
      <c r="K21" s="3"/>
      <c r="L21" s="3"/>
      <c r="M21" s="3"/>
      <c r="N21" s="3"/>
      <c r="O21" s="3"/>
      <c r="P21" s="4" t="s">
        <v>71</v>
      </c>
      <c r="Q21" s="4" t="s">
        <v>334</v>
      </c>
      <c r="R21" s="4" t="s">
        <v>22</v>
      </c>
      <c r="S21" s="4" t="s">
        <v>237</v>
      </c>
      <c r="T21" s="4" t="s">
        <v>9</v>
      </c>
      <c r="U21" s="19">
        <v>5</v>
      </c>
      <c r="V21" s="20">
        <v>0.20833333333333334</v>
      </c>
      <c r="W21" s="4" t="s">
        <v>54</v>
      </c>
      <c r="X21" s="4" t="s">
        <v>55</v>
      </c>
      <c r="Y21" s="4" t="s">
        <v>335</v>
      </c>
      <c r="Z21" s="3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</row>
    <row r="22" spans="1:56" ht="14.25">
      <c r="A22" s="3"/>
      <c r="B22" s="1" t="s">
        <v>336</v>
      </c>
      <c r="C22" s="22">
        <f>170</f>
        <v>170</v>
      </c>
      <c r="D22" s="1" t="s">
        <v>337</v>
      </c>
      <c r="E22" s="23">
        <v>-195</v>
      </c>
      <c r="F22" s="1" t="s">
        <v>337</v>
      </c>
      <c r="G22" s="23">
        <v>-195</v>
      </c>
      <c r="H22" s="2" t="s">
        <v>5</v>
      </c>
      <c r="I22" t="s">
        <v>13068</v>
      </c>
      <c r="J22" t="s">
        <v>13069</v>
      </c>
      <c r="K22" s="24">
        <v>6.2</v>
      </c>
      <c r="L22" s="1" t="s">
        <v>18</v>
      </c>
      <c r="M22" s="24">
        <v>-160</v>
      </c>
      <c r="N22" s="1" t="s">
        <v>338</v>
      </c>
      <c r="O22" s="3"/>
      <c r="P22" s="4" t="s">
        <v>339</v>
      </c>
      <c r="Q22" s="4" t="s">
        <v>340</v>
      </c>
      <c r="R22" s="4" t="s">
        <v>22</v>
      </c>
      <c r="S22" s="4" t="s">
        <v>237</v>
      </c>
      <c r="T22" s="4" t="s">
        <v>9</v>
      </c>
      <c r="U22" s="19">
        <v>3</v>
      </c>
      <c r="V22" s="20">
        <v>0.20833333333333334</v>
      </c>
      <c r="W22" s="4" t="s">
        <v>10</v>
      </c>
      <c r="X22" s="4" t="s">
        <v>96</v>
      </c>
      <c r="Y22" s="4" t="s">
        <v>341</v>
      </c>
      <c r="Z22" s="26" t="s">
        <v>342</v>
      </c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</row>
    <row r="23" spans="1:56" ht="14.25">
      <c r="A23" s="3"/>
      <c r="B23" s="1" t="s">
        <v>343</v>
      </c>
      <c r="C23" s="22">
        <f>140</f>
        <v>140</v>
      </c>
      <c r="D23" s="1" t="s">
        <v>344</v>
      </c>
      <c r="E23" s="23">
        <v>-160</v>
      </c>
      <c r="F23" s="1" t="s">
        <v>344</v>
      </c>
      <c r="G23" s="22">
        <v>-160</v>
      </c>
      <c r="H23" s="2" t="s">
        <v>5</v>
      </c>
      <c r="I23" t="s">
        <v>344</v>
      </c>
      <c r="J23" t="s">
        <v>5</v>
      </c>
      <c r="K23" s="24">
        <v>5.9</v>
      </c>
      <c r="L23" s="1" t="s">
        <v>18</v>
      </c>
      <c r="M23" s="1" t="s">
        <v>345</v>
      </c>
      <c r="N23" s="1" t="s">
        <v>346</v>
      </c>
      <c r="O23" s="3"/>
      <c r="P23" s="4" t="s">
        <v>103</v>
      </c>
      <c r="Q23" s="4" t="s">
        <v>347</v>
      </c>
      <c r="R23" s="4" t="s">
        <v>22</v>
      </c>
      <c r="S23" s="4" t="s">
        <v>237</v>
      </c>
      <c r="T23" s="4" t="s">
        <v>9</v>
      </c>
      <c r="U23" s="19">
        <v>3</v>
      </c>
      <c r="V23" s="20">
        <v>0.20833333333333334</v>
      </c>
      <c r="W23" s="4" t="s">
        <v>10</v>
      </c>
      <c r="X23" s="4" t="s">
        <v>96</v>
      </c>
      <c r="Y23" s="4" t="s">
        <v>348</v>
      </c>
      <c r="Z23" s="26" t="s">
        <v>349</v>
      </c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</row>
    <row r="24" spans="1:56" ht="14.25">
      <c r="A24" s="3"/>
      <c r="B24" s="1" t="s">
        <v>234</v>
      </c>
      <c r="C24" s="22">
        <v>-200</v>
      </c>
      <c r="D24" s="1" t="s">
        <v>350</v>
      </c>
      <c r="E24" s="23">
        <f>170</f>
        <v>170</v>
      </c>
      <c r="F24" s="1" t="s">
        <v>350</v>
      </c>
      <c r="G24" s="22">
        <f>170</f>
        <v>170</v>
      </c>
      <c r="H24" s="30" t="s">
        <v>5</v>
      </c>
      <c r="I24" t="s">
        <v>350</v>
      </c>
      <c r="J24" t="s">
        <v>5</v>
      </c>
      <c r="K24" s="24">
        <v>6.2</v>
      </c>
      <c r="L24" s="1" t="s">
        <v>61</v>
      </c>
      <c r="M24" s="3"/>
      <c r="N24" s="1" t="s">
        <v>351</v>
      </c>
      <c r="O24" s="3"/>
      <c r="P24" s="4" t="s">
        <v>79</v>
      </c>
      <c r="Q24" s="4" t="s">
        <v>352</v>
      </c>
      <c r="R24" s="4" t="s">
        <v>22</v>
      </c>
      <c r="S24" s="4" t="s">
        <v>237</v>
      </c>
      <c r="T24" s="4" t="s">
        <v>193</v>
      </c>
      <c r="U24" s="19">
        <v>3</v>
      </c>
      <c r="V24" s="20">
        <v>0.20833333333333334</v>
      </c>
      <c r="W24" s="4" t="s">
        <v>10</v>
      </c>
      <c r="X24" s="4" t="s">
        <v>96</v>
      </c>
      <c r="Y24" s="4" t="s">
        <v>353</v>
      </c>
      <c r="Z24" s="26" t="s">
        <v>354</v>
      </c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</row>
    <row r="25" spans="1:56" ht="14.25">
      <c r="A25" s="3"/>
      <c r="B25" s="1" t="s">
        <v>355</v>
      </c>
      <c r="C25" s="22">
        <v>-122</v>
      </c>
      <c r="D25" s="1" t="s">
        <v>356</v>
      </c>
      <c r="E25" s="23">
        <f>102</f>
        <v>102</v>
      </c>
      <c r="F25" s="1" t="s">
        <v>356</v>
      </c>
      <c r="G25" s="23">
        <f>102</f>
        <v>102</v>
      </c>
      <c r="H25" s="30" t="s">
        <v>5</v>
      </c>
      <c r="I25" t="s">
        <v>356</v>
      </c>
      <c r="J25" t="s">
        <v>5</v>
      </c>
      <c r="K25" s="24">
        <v>6.8</v>
      </c>
      <c r="L25" s="1" t="s">
        <v>18</v>
      </c>
      <c r="M25" s="3"/>
      <c r="N25" s="1" t="s">
        <v>357</v>
      </c>
      <c r="O25" s="3"/>
      <c r="P25" s="4" t="s">
        <v>79</v>
      </c>
      <c r="Q25" s="4" t="s">
        <v>358</v>
      </c>
      <c r="R25" s="4" t="s">
        <v>22</v>
      </c>
      <c r="S25" s="4" t="s">
        <v>237</v>
      </c>
      <c r="T25" s="4" t="s">
        <v>193</v>
      </c>
      <c r="U25" s="19">
        <v>3</v>
      </c>
      <c r="V25" s="20">
        <v>0.20833333333333334</v>
      </c>
      <c r="W25" s="4" t="s">
        <v>10</v>
      </c>
      <c r="X25" s="4" t="s">
        <v>11</v>
      </c>
      <c r="Y25" s="4" t="s">
        <v>359</v>
      </c>
      <c r="Z25" s="26" t="s">
        <v>360</v>
      </c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</row>
    <row r="26" spans="1:56" ht="14.25">
      <c r="A26" s="3"/>
      <c r="B26" s="1" t="s">
        <v>361</v>
      </c>
      <c r="C26" s="22">
        <f>186</f>
        <v>186</v>
      </c>
      <c r="D26" s="1" t="s">
        <v>362</v>
      </c>
      <c r="E26" s="23">
        <v>-221</v>
      </c>
      <c r="F26" s="1" t="s">
        <v>361</v>
      </c>
      <c r="G26" s="23">
        <f>186</f>
        <v>186</v>
      </c>
      <c r="H26" s="30" t="s">
        <v>5</v>
      </c>
      <c r="I26" t="s">
        <v>361</v>
      </c>
      <c r="J26" t="s">
        <v>5</v>
      </c>
      <c r="K26" s="24">
        <v>7.2</v>
      </c>
      <c r="L26" s="1" t="s">
        <v>18</v>
      </c>
      <c r="M26" s="3"/>
      <c r="N26" s="1" t="s">
        <v>363</v>
      </c>
      <c r="O26" s="3"/>
      <c r="P26" s="4" t="s">
        <v>115</v>
      </c>
      <c r="Q26" s="4" t="s">
        <v>364</v>
      </c>
      <c r="R26" s="4" t="s">
        <v>8</v>
      </c>
      <c r="S26" s="4" t="s">
        <v>237</v>
      </c>
      <c r="T26" s="4" t="s">
        <v>46</v>
      </c>
      <c r="U26" s="19">
        <v>1</v>
      </c>
      <c r="V26" s="20">
        <v>0.19652777777777777</v>
      </c>
      <c r="W26" s="4" t="s">
        <v>10</v>
      </c>
      <c r="X26" s="4" t="s">
        <v>11</v>
      </c>
      <c r="Y26" s="4" t="s">
        <v>48</v>
      </c>
      <c r="Z26" s="26" t="s">
        <v>365</v>
      </c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</row>
    <row r="27" spans="1:56" ht="14.25">
      <c r="A27" s="3"/>
      <c r="B27" s="1" t="s">
        <v>366</v>
      </c>
      <c r="C27" s="22">
        <v>-400</v>
      </c>
      <c r="D27" s="1" t="s">
        <v>367</v>
      </c>
      <c r="E27" s="23">
        <f>300</f>
        <v>300</v>
      </c>
      <c r="F27" s="1" t="s">
        <v>366</v>
      </c>
      <c r="G27" s="23">
        <v>-400</v>
      </c>
      <c r="H27" s="30" t="s">
        <v>5</v>
      </c>
      <c r="I27" t="s">
        <v>366</v>
      </c>
      <c r="J27" t="s">
        <v>5</v>
      </c>
      <c r="K27" s="24">
        <v>7</v>
      </c>
      <c r="L27" s="1" t="s">
        <v>18</v>
      </c>
      <c r="M27" s="3"/>
      <c r="N27" s="1" t="s">
        <v>368</v>
      </c>
      <c r="O27" s="3"/>
      <c r="P27" s="4" t="s">
        <v>115</v>
      </c>
      <c r="Q27" s="4" t="s">
        <v>369</v>
      </c>
      <c r="R27" s="4" t="s">
        <v>8</v>
      </c>
      <c r="S27" s="4" t="s">
        <v>237</v>
      </c>
      <c r="T27" s="4" t="s">
        <v>46</v>
      </c>
      <c r="U27" s="19">
        <v>2</v>
      </c>
      <c r="V27" s="20">
        <v>8.3333333333333329E-2</v>
      </c>
      <c r="W27" s="4" t="s">
        <v>10</v>
      </c>
      <c r="X27" s="4" t="s">
        <v>263</v>
      </c>
      <c r="Y27" s="4" t="s">
        <v>48</v>
      </c>
      <c r="Z27" s="26" t="s">
        <v>370</v>
      </c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</row>
    <row r="28" spans="1:56" ht="14.25">
      <c r="A28" s="3"/>
      <c r="B28" s="1" t="s">
        <v>371</v>
      </c>
      <c r="C28" s="22">
        <v>-152</v>
      </c>
      <c r="D28" s="1" t="s">
        <v>372</v>
      </c>
      <c r="E28" s="23">
        <f>132</f>
        <v>132</v>
      </c>
      <c r="F28" s="1" t="s">
        <v>372</v>
      </c>
      <c r="G28" s="22">
        <f>132</f>
        <v>132</v>
      </c>
      <c r="H28" s="30" t="s">
        <v>122</v>
      </c>
      <c r="I28" t="s">
        <v>372</v>
      </c>
      <c r="J28" t="s">
        <v>5</v>
      </c>
      <c r="K28" s="3"/>
      <c r="L28" s="3" t="s">
        <v>16</v>
      </c>
      <c r="M28" s="3" t="s">
        <v>272</v>
      </c>
      <c r="N28" s="3" t="s">
        <v>373</v>
      </c>
      <c r="O28" s="3" t="s">
        <v>374</v>
      </c>
      <c r="P28" s="4" t="s">
        <v>125</v>
      </c>
      <c r="Q28" s="4" t="s">
        <v>375</v>
      </c>
      <c r="R28" s="4" t="s">
        <v>22</v>
      </c>
      <c r="S28" s="4" t="s">
        <v>237</v>
      </c>
      <c r="T28" s="4" t="s">
        <v>61</v>
      </c>
      <c r="U28" s="19">
        <v>1</v>
      </c>
      <c r="V28" s="20">
        <v>9.375E-2</v>
      </c>
      <c r="W28" s="4" t="s">
        <v>10</v>
      </c>
      <c r="X28" s="4" t="s">
        <v>23</v>
      </c>
      <c r="Y28" s="4" t="s">
        <v>376</v>
      </c>
      <c r="Z28" s="26" t="s">
        <v>377</v>
      </c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</row>
    <row r="29" spans="1:56" ht="14.25">
      <c r="A29" s="3"/>
      <c r="B29" s="1" t="s">
        <v>378</v>
      </c>
      <c r="C29" s="22">
        <v>-425</v>
      </c>
      <c r="D29" s="1" t="s">
        <v>379</v>
      </c>
      <c r="E29" s="23">
        <f>325</f>
        <v>325</v>
      </c>
      <c r="F29" s="1" t="s">
        <v>378</v>
      </c>
      <c r="G29" s="23">
        <f>325</f>
        <v>325</v>
      </c>
      <c r="H29" s="2" t="s">
        <v>5</v>
      </c>
      <c r="I29" t="s">
        <v>379</v>
      </c>
      <c r="J29" t="s">
        <v>5</v>
      </c>
      <c r="K29" s="24">
        <v>7.7</v>
      </c>
      <c r="L29" s="25" t="s">
        <v>16</v>
      </c>
      <c r="M29" s="25" t="s">
        <v>380</v>
      </c>
      <c r="N29" s="25" t="s">
        <v>381</v>
      </c>
      <c r="O29" s="25" t="s">
        <v>382</v>
      </c>
      <c r="P29" s="4" t="s">
        <v>20</v>
      </c>
      <c r="Q29" s="4" t="s">
        <v>383</v>
      </c>
      <c r="R29" s="4" t="s">
        <v>22</v>
      </c>
      <c r="S29" s="4" t="s">
        <v>237</v>
      </c>
      <c r="T29" s="4" t="s">
        <v>193</v>
      </c>
      <c r="U29" s="19">
        <v>3</v>
      </c>
      <c r="V29" s="20">
        <v>0.20833333333333334</v>
      </c>
      <c r="W29" s="4" t="s">
        <v>10</v>
      </c>
      <c r="X29" s="4" t="s">
        <v>39</v>
      </c>
      <c r="Y29" s="4" t="s">
        <v>384</v>
      </c>
      <c r="Z29" s="26" t="s">
        <v>385</v>
      </c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</row>
    <row r="30" spans="1:56" ht="14.25">
      <c r="A30" s="3"/>
      <c r="B30" s="1" t="s">
        <v>386</v>
      </c>
      <c r="C30" s="27">
        <v>-163</v>
      </c>
      <c r="D30" s="1" t="s">
        <v>319</v>
      </c>
      <c r="E30" s="28">
        <f>143</f>
        <v>143</v>
      </c>
      <c r="F30" s="1" t="s">
        <v>386</v>
      </c>
      <c r="G30" s="28">
        <v>-163</v>
      </c>
      <c r="H30" s="2" t="s">
        <v>5</v>
      </c>
      <c r="I30" t="s">
        <v>386</v>
      </c>
      <c r="J30" t="s">
        <v>5</v>
      </c>
      <c r="K30" s="3"/>
      <c r="L30" s="3"/>
      <c r="M30" s="3"/>
      <c r="N30" s="3"/>
      <c r="O30" s="3"/>
      <c r="P30" s="4" t="s">
        <v>177</v>
      </c>
      <c r="Q30" s="4" t="s">
        <v>387</v>
      </c>
      <c r="R30" s="4" t="s">
        <v>8</v>
      </c>
      <c r="S30" s="4" t="s">
        <v>237</v>
      </c>
      <c r="T30" s="4" t="s">
        <v>46</v>
      </c>
      <c r="U30" s="19">
        <v>1</v>
      </c>
      <c r="V30" s="20">
        <v>0.11319444444444444</v>
      </c>
      <c r="W30" s="4" t="s">
        <v>10</v>
      </c>
      <c r="X30" s="4" t="s">
        <v>96</v>
      </c>
      <c r="Y30" s="4" t="s">
        <v>48</v>
      </c>
      <c r="Z30" s="26" t="s">
        <v>388</v>
      </c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</row>
    <row r="31" spans="1:56" ht="14.25">
      <c r="A31" s="3"/>
      <c r="B31" s="1" t="s">
        <v>389</v>
      </c>
      <c r="C31" s="27">
        <f>147</f>
        <v>147</v>
      </c>
      <c r="D31" s="1" t="s">
        <v>390</v>
      </c>
      <c r="E31" s="28">
        <v>-172</v>
      </c>
      <c r="F31" s="1" t="s">
        <v>390</v>
      </c>
      <c r="G31" s="27">
        <f>147</f>
        <v>147</v>
      </c>
      <c r="H31" s="2" t="s">
        <v>5</v>
      </c>
      <c r="I31" t="s">
        <v>390</v>
      </c>
      <c r="J31" t="s">
        <v>5</v>
      </c>
      <c r="K31" s="3"/>
      <c r="L31" s="3"/>
      <c r="M31" s="3"/>
      <c r="N31" s="3"/>
      <c r="O31" s="3"/>
      <c r="P31" s="4" t="s">
        <v>177</v>
      </c>
      <c r="Q31" s="4" t="s">
        <v>391</v>
      </c>
      <c r="R31" s="4" t="s">
        <v>22</v>
      </c>
      <c r="S31" s="4" t="s">
        <v>237</v>
      </c>
      <c r="T31" s="4" t="s">
        <v>46</v>
      </c>
      <c r="U31" s="19">
        <v>2</v>
      </c>
      <c r="V31" s="20">
        <v>9.166666666666666E-2</v>
      </c>
      <c r="W31" s="4" t="s">
        <v>10</v>
      </c>
      <c r="X31" s="4" t="s">
        <v>39</v>
      </c>
      <c r="Y31" s="4" t="s">
        <v>97</v>
      </c>
      <c r="Z31" s="26" t="s">
        <v>392</v>
      </c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</row>
    <row r="32" spans="1:56" ht="14.25">
      <c r="A32" s="3"/>
      <c r="B32" s="1" t="s">
        <v>393</v>
      </c>
      <c r="C32" s="27">
        <f>156</f>
        <v>156</v>
      </c>
      <c r="D32" s="1" t="s">
        <v>394</v>
      </c>
      <c r="E32" s="28">
        <v>-181</v>
      </c>
      <c r="F32" s="1" t="s">
        <v>394</v>
      </c>
      <c r="G32" s="27">
        <v>-181</v>
      </c>
      <c r="H32" s="2" t="s">
        <v>122</v>
      </c>
      <c r="I32" t="s">
        <v>394</v>
      </c>
      <c r="J32" t="s">
        <v>5</v>
      </c>
      <c r="K32" s="3"/>
      <c r="L32" s="3"/>
      <c r="M32" s="3"/>
      <c r="N32" s="4" t="s">
        <v>185</v>
      </c>
      <c r="O32" s="4" t="s">
        <v>395</v>
      </c>
      <c r="P32" s="4" t="s">
        <v>22</v>
      </c>
      <c r="Q32" s="4" t="s">
        <v>237</v>
      </c>
      <c r="R32" s="4" t="s">
        <v>9</v>
      </c>
      <c r="S32" s="19">
        <v>3</v>
      </c>
      <c r="T32" s="20">
        <v>0.20833333333333334</v>
      </c>
      <c r="U32" s="4" t="s">
        <v>10</v>
      </c>
      <c r="V32" s="4" t="s">
        <v>47</v>
      </c>
      <c r="W32" s="4" t="s">
        <v>396</v>
      </c>
      <c r="X32" s="26" t="s">
        <v>397</v>
      </c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</row>
    <row r="33" spans="1:54" ht="14.25">
      <c r="A33" s="3"/>
      <c r="B33" s="1" t="s">
        <v>398</v>
      </c>
      <c r="C33" s="27">
        <v>-180</v>
      </c>
      <c r="D33" s="33" t="s">
        <v>337</v>
      </c>
      <c r="E33" s="28">
        <f>155</f>
        <v>155</v>
      </c>
      <c r="F33" s="34" t="s">
        <v>337</v>
      </c>
      <c r="G33" s="27">
        <f>155</f>
        <v>155</v>
      </c>
      <c r="H33" s="2" t="s">
        <v>122</v>
      </c>
      <c r="I33" t="s">
        <v>337</v>
      </c>
      <c r="J33" t="s">
        <v>5</v>
      </c>
      <c r="K33" s="3"/>
      <c r="L33" s="3"/>
      <c r="M33" s="3"/>
      <c r="N33" s="4" t="s">
        <v>185</v>
      </c>
      <c r="O33" s="4" t="s">
        <v>399</v>
      </c>
      <c r="P33" s="4" t="s">
        <v>22</v>
      </c>
      <c r="Q33" s="4" t="s">
        <v>237</v>
      </c>
      <c r="R33" s="4" t="s">
        <v>193</v>
      </c>
      <c r="S33" s="19">
        <v>3</v>
      </c>
      <c r="T33" s="20">
        <v>0.20833333333333334</v>
      </c>
      <c r="U33" s="4" t="s">
        <v>10</v>
      </c>
      <c r="V33" s="4" t="s">
        <v>400</v>
      </c>
      <c r="W33" s="4" t="s">
        <v>401</v>
      </c>
      <c r="X33" s="26" t="s">
        <v>402</v>
      </c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</row>
    <row r="34" spans="1:54" ht="15">
      <c r="A34" s="3"/>
      <c r="B34" s="1" t="s">
        <v>403</v>
      </c>
      <c r="C34" s="16">
        <v>-900</v>
      </c>
      <c r="D34" s="1" t="s">
        <v>404</v>
      </c>
      <c r="E34" s="17">
        <f>600</f>
        <v>600</v>
      </c>
      <c r="F34" s="1" t="s">
        <v>403</v>
      </c>
      <c r="G34" s="28">
        <v>-900</v>
      </c>
      <c r="H34" s="29" t="s">
        <v>122</v>
      </c>
      <c r="I34" t="s">
        <v>404</v>
      </c>
      <c r="J34" t="s">
        <v>5</v>
      </c>
      <c r="K34" s="3"/>
      <c r="L34" s="3"/>
      <c r="M34" s="3"/>
      <c r="N34" s="4" t="s">
        <v>37</v>
      </c>
      <c r="O34" s="4" t="s">
        <v>405</v>
      </c>
      <c r="P34" s="4" t="s">
        <v>22</v>
      </c>
      <c r="Q34" s="4" t="s">
        <v>237</v>
      </c>
      <c r="R34" s="4" t="s">
        <v>46</v>
      </c>
      <c r="S34" s="19">
        <v>1</v>
      </c>
      <c r="T34" s="20">
        <v>0.17499999999999999</v>
      </c>
      <c r="U34" s="4" t="s">
        <v>10</v>
      </c>
      <c r="V34" s="4" t="s">
        <v>47</v>
      </c>
      <c r="W34" s="4" t="s">
        <v>406</v>
      </c>
      <c r="X34" s="26" t="s">
        <v>407</v>
      </c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</row>
    <row r="35" spans="1:54" ht="14.25">
      <c r="A35" s="3"/>
      <c r="B35" s="1" t="s">
        <v>265</v>
      </c>
      <c r="C35" s="16">
        <v>-225</v>
      </c>
      <c r="D35" s="1" t="s">
        <v>362</v>
      </c>
      <c r="E35" s="17">
        <f>225</f>
        <v>225</v>
      </c>
      <c r="F35" s="1" t="s">
        <v>265</v>
      </c>
      <c r="G35" s="16">
        <v>-225</v>
      </c>
      <c r="H35" s="2" t="s">
        <v>5</v>
      </c>
      <c r="I35" t="s">
        <v>362</v>
      </c>
      <c r="J35" t="s">
        <v>5</v>
      </c>
      <c r="K35" s="3"/>
      <c r="L35" s="3"/>
      <c r="M35" s="3"/>
      <c r="N35" s="4" t="s">
        <v>223</v>
      </c>
      <c r="O35" s="4" t="s">
        <v>408</v>
      </c>
      <c r="P35" s="4" t="s">
        <v>22</v>
      </c>
      <c r="Q35" s="4" t="s">
        <v>237</v>
      </c>
      <c r="R35" s="4" t="s">
        <v>46</v>
      </c>
      <c r="S35" s="19">
        <v>1</v>
      </c>
      <c r="T35" s="20">
        <v>3.4027777777777775E-2</v>
      </c>
      <c r="U35" s="4" t="s">
        <v>10</v>
      </c>
      <c r="V35" s="4" t="s">
        <v>11</v>
      </c>
      <c r="W35" s="4" t="s">
        <v>48</v>
      </c>
      <c r="X35" s="26" t="s">
        <v>409</v>
      </c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</row>
    <row r="36" spans="1:54" ht="14.25">
      <c r="A36" s="3"/>
      <c r="B36" s="1" t="s">
        <v>410</v>
      </c>
      <c r="C36" s="16">
        <f>170</f>
        <v>170</v>
      </c>
      <c r="D36" s="1" t="s">
        <v>411</v>
      </c>
      <c r="E36" s="17">
        <v>-170</v>
      </c>
      <c r="F36" s="1" t="s">
        <v>410</v>
      </c>
      <c r="G36" s="16">
        <f>170</f>
        <v>170</v>
      </c>
      <c r="H36" s="2" t="s">
        <v>5</v>
      </c>
      <c r="I36" s="51" t="s">
        <v>13068</v>
      </c>
      <c r="J36" s="3" t="s">
        <v>13069</v>
      </c>
      <c r="K36" s="3"/>
      <c r="L36" s="3"/>
      <c r="M36" s="3"/>
      <c r="N36" s="4" t="s">
        <v>71</v>
      </c>
      <c r="O36" s="4" t="s">
        <v>412</v>
      </c>
      <c r="P36" s="4" t="s">
        <v>8</v>
      </c>
      <c r="Q36" s="4" t="s">
        <v>237</v>
      </c>
      <c r="R36" s="4" t="s">
        <v>61</v>
      </c>
      <c r="S36" s="19">
        <v>3</v>
      </c>
      <c r="T36" s="20">
        <v>9.930555555555555E-2</v>
      </c>
      <c r="U36" s="4" t="s">
        <v>10</v>
      </c>
      <c r="V36" s="4" t="s">
        <v>73</v>
      </c>
      <c r="W36" s="4" t="s">
        <v>67</v>
      </c>
      <c r="X36" s="3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</row>
  </sheetData>
  <hyperlinks>
    <hyperlink ref="Z4" r:id="rId1" xr:uid="{00000000-0004-0000-0B00-000000000000}"/>
    <hyperlink ref="Z5" r:id="rId2" xr:uid="{00000000-0004-0000-0B00-000001000000}"/>
    <hyperlink ref="Z6" r:id="rId3" xr:uid="{00000000-0004-0000-0B00-000002000000}"/>
    <hyperlink ref="Z7" r:id="rId4" xr:uid="{00000000-0004-0000-0B00-000003000000}"/>
    <hyperlink ref="Z8" r:id="rId5" xr:uid="{00000000-0004-0000-0B00-000004000000}"/>
    <hyperlink ref="Z9" r:id="rId6" xr:uid="{00000000-0004-0000-0B00-000005000000}"/>
    <hyperlink ref="Z10" r:id="rId7" xr:uid="{00000000-0004-0000-0B00-000006000000}"/>
    <hyperlink ref="Z11" r:id="rId8" xr:uid="{00000000-0004-0000-0B00-000007000000}"/>
    <hyperlink ref="Z12" r:id="rId9" xr:uid="{00000000-0004-0000-0B00-000008000000}"/>
    <hyperlink ref="Z13" r:id="rId10" xr:uid="{00000000-0004-0000-0B00-000009000000}"/>
    <hyperlink ref="Z14" r:id="rId11" xr:uid="{00000000-0004-0000-0B00-00000A000000}"/>
    <hyperlink ref="Z15" r:id="rId12" xr:uid="{00000000-0004-0000-0B00-00000B000000}"/>
    <hyperlink ref="Z16" r:id="rId13" xr:uid="{00000000-0004-0000-0B00-00000C000000}"/>
    <hyperlink ref="Z17" r:id="rId14" xr:uid="{00000000-0004-0000-0B00-00000D000000}"/>
    <hyperlink ref="Z18" r:id="rId15" xr:uid="{00000000-0004-0000-0B00-00000E000000}"/>
    <hyperlink ref="Z19" r:id="rId16" xr:uid="{00000000-0004-0000-0B00-00000F000000}"/>
    <hyperlink ref="Z20" r:id="rId17" xr:uid="{00000000-0004-0000-0B00-000010000000}"/>
    <hyperlink ref="Z22" r:id="rId18" xr:uid="{00000000-0004-0000-0B00-000011000000}"/>
    <hyperlink ref="Z23" r:id="rId19" xr:uid="{00000000-0004-0000-0B00-000012000000}"/>
    <hyperlink ref="Z24" r:id="rId20" xr:uid="{00000000-0004-0000-0B00-000013000000}"/>
    <hyperlink ref="Z25" r:id="rId21" xr:uid="{00000000-0004-0000-0B00-000014000000}"/>
    <hyperlink ref="Z26" r:id="rId22" xr:uid="{00000000-0004-0000-0B00-000015000000}"/>
    <hyperlink ref="Z27" r:id="rId23" xr:uid="{00000000-0004-0000-0B00-000016000000}"/>
    <hyperlink ref="Z28" r:id="rId24" xr:uid="{00000000-0004-0000-0B00-000017000000}"/>
    <hyperlink ref="Z29" r:id="rId25" xr:uid="{00000000-0004-0000-0B00-000018000000}"/>
    <hyperlink ref="Z30" r:id="rId26" xr:uid="{00000000-0004-0000-0B00-000019000000}"/>
    <hyperlink ref="Z31" r:id="rId27" xr:uid="{00000000-0004-0000-0B00-00001A000000}"/>
    <hyperlink ref="X32" r:id="rId28" xr:uid="{00000000-0004-0000-0B00-00001B000000}"/>
    <hyperlink ref="D33" r:id="rId29" xr:uid="{00000000-0004-0000-0B00-00001C000000}"/>
    <hyperlink ref="F33" r:id="rId30" xr:uid="{00000000-0004-0000-0B00-00001D000000}"/>
    <hyperlink ref="X33" r:id="rId31" xr:uid="{00000000-0004-0000-0B00-00001E000000}"/>
    <hyperlink ref="X34" r:id="rId32" xr:uid="{00000000-0004-0000-0B00-00001F000000}"/>
    <hyperlink ref="X35" r:id="rId33" xr:uid="{00000000-0004-0000-0B00-00002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3:AO695"/>
  <sheetViews>
    <sheetView topLeftCell="A140" workbookViewId="0">
      <selection activeCell="C140" sqref="C140"/>
    </sheetView>
  </sheetViews>
  <sheetFormatPr defaultColWidth="12.5703125" defaultRowHeight="15.75" customHeight="1"/>
  <cols>
    <col min="1" max="1" width="5.28515625" customWidth="1"/>
    <col min="2" max="2" width="9.42578125" customWidth="1"/>
    <col min="3" max="3" width="32.140625" customWidth="1"/>
    <col min="33" max="33" width="4.42578125" customWidth="1"/>
  </cols>
  <sheetData>
    <row r="3" spans="1:40">
      <c r="A3" s="107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7"/>
    </row>
    <row r="4" spans="1:40" ht="15.75" customHeight="1">
      <c r="A4" s="109"/>
      <c r="B4" s="5834" t="s">
        <v>1524</v>
      </c>
      <c r="C4" s="5840" t="s">
        <v>1525</v>
      </c>
      <c r="D4" s="5841" t="s">
        <v>1526</v>
      </c>
      <c r="E4" s="5836"/>
      <c r="F4" s="5836"/>
      <c r="G4" s="5836"/>
      <c r="H4" s="5836"/>
      <c r="I4" s="5836"/>
      <c r="J4" s="5832"/>
      <c r="K4" s="5837" t="s">
        <v>1527</v>
      </c>
      <c r="L4" s="5836"/>
      <c r="M4" s="5836"/>
      <c r="N4" s="5836"/>
      <c r="O4" s="5832"/>
      <c r="P4" s="5838" t="s">
        <v>1528</v>
      </c>
      <c r="Q4" s="5836"/>
      <c r="R4" s="5836"/>
      <c r="S4" s="5832"/>
      <c r="T4" s="5839" t="s">
        <v>1529</v>
      </c>
      <c r="U4" s="5836"/>
      <c r="V4" s="5836"/>
      <c r="W4" s="5836"/>
      <c r="X4" s="5836"/>
      <c r="Y4" s="5836"/>
      <c r="Z4" s="5836"/>
      <c r="AA4" s="5836"/>
      <c r="AB4" s="5836"/>
      <c r="AC4" s="5836"/>
      <c r="AD4" s="5836"/>
      <c r="AE4" s="5836"/>
      <c r="AF4" s="5832"/>
      <c r="AG4" s="5842" t="s">
        <v>1530</v>
      </c>
      <c r="AH4" s="5836"/>
      <c r="AI4" s="5836"/>
      <c r="AJ4" s="5836"/>
      <c r="AK4" s="5836"/>
      <c r="AL4" s="5836"/>
      <c r="AM4" s="5832"/>
      <c r="AN4" s="107"/>
    </row>
    <row r="5" spans="1:40" ht="15.75" customHeight="1">
      <c r="A5" s="109"/>
      <c r="B5" s="5832"/>
      <c r="C5" s="5832"/>
      <c r="D5" s="111" t="s">
        <v>1531</v>
      </c>
      <c r="E5" s="112" t="s">
        <v>1532</v>
      </c>
      <c r="F5" s="111" t="s">
        <v>1533</v>
      </c>
      <c r="G5" s="111" t="s">
        <v>1534</v>
      </c>
      <c r="H5" s="111" t="s">
        <v>1535</v>
      </c>
      <c r="I5" s="111" t="s">
        <v>1536</v>
      </c>
      <c r="J5" s="111" t="s">
        <v>1537</v>
      </c>
      <c r="K5" s="111" t="s">
        <v>1538</v>
      </c>
      <c r="L5" s="111" t="s">
        <v>1539</v>
      </c>
      <c r="M5" s="111" t="s">
        <v>1540</v>
      </c>
      <c r="N5" s="111" t="s">
        <v>1541</v>
      </c>
      <c r="O5" s="111" t="s">
        <v>1542</v>
      </c>
      <c r="P5" s="111" t="s">
        <v>1543</v>
      </c>
      <c r="Q5" s="111" t="s">
        <v>1544</v>
      </c>
      <c r="R5" s="111" t="s">
        <v>1545</v>
      </c>
      <c r="S5" s="111" t="s">
        <v>1546</v>
      </c>
      <c r="T5" s="111" t="s">
        <v>1547</v>
      </c>
      <c r="U5" s="111" t="s">
        <v>1548</v>
      </c>
      <c r="V5" s="111" t="s">
        <v>1549</v>
      </c>
      <c r="W5" s="111" t="s">
        <v>1550</v>
      </c>
      <c r="X5" s="112" t="s">
        <v>1551</v>
      </c>
      <c r="Y5" s="113" t="s">
        <v>1552</v>
      </c>
      <c r="Z5" s="114" t="s">
        <v>1553</v>
      </c>
      <c r="AA5" s="113" t="s">
        <v>1554</v>
      </c>
      <c r="AB5" s="114" t="s">
        <v>1555</v>
      </c>
      <c r="AC5" s="115" t="s">
        <v>1556</v>
      </c>
      <c r="AD5" s="114" t="s">
        <v>1557</v>
      </c>
      <c r="AE5" s="113" t="s">
        <v>1558</v>
      </c>
      <c r="AF5" s="116" t="s">
        <v>1559</v>
      </c>
      <c r="AG5" s="111" t="s">
        <v>1560</v>
      </c>
      <c r="AH5" s="112" t="s">
        <v>1561</v>
      </c>
      <c r="AI5" s="111" t="s">
        <v>1562</v>
      </c>
      <c r="AJ5" s="111" t="s">
        <v>1563</v>
      </c>
      <c r="AK5" s="111" t="s">
        <v>1564</v>
      </c>
      <c r="AL5" s="111" t="s">
        <v>1565</v>
      </c>
      <c r="AM5" s="112" t="s">
        <v>1566</v>
      </c>
      <c r="AN5" s="107"/>
    </row>
    <row r="6" spans="1:40" ht="15.75" customHeight="1">
      <c r="A6" s="109"/>
      <c r="B6" s="5833">
        <v>1</v>
      </c>
      <c r="C6" s="117" t="s">
        <v>534</v>
      </c>
      <c r="D6" s="118">
        <v>8400</v>
      </c>
      <c r="E6" s="119"/>
      <c r="F6" s="120">
        <v>39</v>
      </c>
      <c r="G6" s="120" t="s">
        <v>1567</v>
      </c>
      <c r="H6" s="120" t="s">
        <v>1568</v>
      </c>
      <c r="I6" s="121" t="s">
        <v>1569</v>
      </c>
      <c r="J6" s="122" t="s">
        <v>1570</v>
      </c>
      <c r="K6" s="123">
        <v>2.4300000000000002</v>
      </c>
      <c r="L6" s="124">
        <v>0.5</v>
      </c>
      <c r="M6" s="125">
        <v>2.48</v>
      </c>
      <c r="N6" s="126">
        <v>0.4</v>
      </c>
      <c r="O6" s="127">
        <v>-0.05</v>
      </c>
      <c r="P6" s="128">
        <v>0.53</v>
      </c>
      <c r="Q6" s="129">
        <v>0.26</v>
      </c>
      <c r="R6" s="130">
        <v>0.53</v>
      </c>
      <c r="S6" s="131">
        <v>0</v>
      </c>
      <c r="T6" s="120">
        <v>40</v>
      </c>
      <c r="U6" s="132">
        <v>0.55000000000000004</v>
      </c>
      <c r="V6" s="133">
        <v>2.5000000000000001E-2</v>
      </c>
      <c r="W6" s="134">
        <v>0.1</v>
      </c>
      <c r="X6" s="135">
        <v>0.57499999999999996</v>
      </c>
      <c r="Y6" s="136">
        <v>22</v>
      </c>
      <c r="Z6" s="137">
        <v>7</v>
      </c>
      <c r="AA6" s="138">
        <v>1</v>
      </c>
      <c r="AB6" s="139">
        <v>2</v>
      </c>
      <c r="AC6" s="140">
        <v>4</v>
      </c>
      <c r="AD6" s="141">
        <v>3</v>
      </c>
      <c r="AE6" s="142">
        <v>0</v>
      </c>
      <c r="AF6" s="143">
        <v>0</v>
      </c>
      <c r="AG6" s="87">
        <v>-110</v>
      </c>
      <c r="AH6" s="144">
        <v>-150</v>
      </c>
      <c r="AI6" s="145">
        <v>-1400</v>
      </c>
      <c r="AJ6" s="146">
        <v>-145</v>
      </c>
      <c r="AK6" s="147">
        <v>-135</v>
      </c>
      <c r="AL6" s="148">
        <f>4000</f>
        <v>4000</v>
      </c>
      <c r="AM6" s="137">
        <f>1200</f>
        <v>1200</v>
      </c>
      <c r="AN6" s="107"/>
    </row>
    <row r="7" spans="1:40" ht="15.75" customHeight="1">
      <c r="A7" s="109"/>
      <c r="B7" s="5832"/>
      <c r="C7" s="149" t="s">
        <v>535</v>
      </c>
      <c r="D7" s="150">
        <v>7800</v>
      </c>
      <c r="E7" s="151"/>
      <c r="F7" s="152">
        <v>31</v>
      </c>
      <c r="G7" s="152" t="s">
        <v>1571</v>
      </c>
      <c r="H7" s="152" t="s">
        <v>1572</v>
      </c>
      <c r="I7" s="153" t="s">
        <v>1573</v>
      </c>
      <c r="J7" s="154" t="s">
        <v>1574</v>
      </c>
      <c r="K7" s="155">
        <v>4.3099999999999996</v>
      </c>
      <c r="L7" s="156">
        <v>0.48</v>
      </c>
      <c r="M7" s="157">
        <v>4.76</v>
      </c>
      <c r="N7" s="158">
        <v>0.43</v>
      </c>
      <c r="O7" s="159">
        <v>-0.45</v>
      </c>
      <c r="P7" s="160">
        <v>1.2</v>
      </c>
      <c r="Q7" s="161">
        <v>0.33</v>
      </c>
      <c r="R7" s="162">
        <v>0.77</v>
      </c>
      <c r="S7" s="163">
        <v>0.7</v>
      </c>
      <c r="T7" s="152">
        <v>13</v>
      </c>
      <c r="U7" s="164">
        <v>0.15379999999999999</v>
      </c>
      <c r="V7" s="165">
        <v>0.46150000000000002</v>
      </c>
      <c r="W7" s="166">
        <v>0.23080000000000001</v>
      </c>
      <c r="X7" s="167">
        <v>0.61539999999999995</v>
      </c>
      <c r="Y7" s="168">
        <v>2</v>
      </c>
      <c r="Z7" s="169">
        <v>1</v>
      </c>
      <c r="AA7" s="170">
        <v>6</v>
      </c>
      <c r="AB7" s="171">
        <v>0</v>
      </c>
      <c r="AC7" s="172">
        <v>3</v>
      </c>
      <c r="AD7" s="171">
        <v>0</v>
      </c>
      <c r="AE7" s="173">
        <v>0</v>
      </c>
      <c r="AF7" s="174">
        <v>0</v>
      </c>
      <c r="AG7" s="85">
        <v>-110</v>
      </c>
      <c r="AH7" s="175">
        <f>130</f>
        <v>130</v>
      </c>
      <c r="AI7" s="176">
        <v>-1400</v>
      </c>
      <c r="AJ7" s="177">
        <f>145</f>
        <v>145</v>
      </c>
      <c r="AK7" s="178">
        <f>375</f>
        <v>375</v>
      </c>
      <c r="AL7" s="179">
        <f>300</f>
        <v>300</v>
      </c>
      <c r="AM7" s="180">
        <f>850</f>
        <v>850</v>
      </c>
      <c r="AN7" s="107"/>
    </row>
    <row r="8" spans="1:40" ht="15.75" customHeight="1">
      <c r="A8" s="109"/>
      <c r="B8" s="5831">
        <v>2</v>
      </c>
      <c r="C8" s="181" t="s">
        <v>1145</v>
      </c>
      <c r="D8" s="182">
        <v>8700</v>
      </c>
      <c r="E8" s="183"/>
      <c r="F8" s="87">
        <v>30</v>
      </c>
      <c r="G8" s="87" t="s">
        <v>1575</v>
      </c>
      <c r="H8" s="87" t="s">
        <v>1576</v>
      </c>
      <c r="I8" s="184" t="s">
        <v>1577</v>
      </c>
      <c r="J8" s="185" t="s">
        <v>1578</v>
      </c>
      <c r="K8" s="186">
        <v>4.0599999999999996</v>
      </c>
      <c r="L8" s="187">
        <v>0.34</v>
      </c>
      <c r="M8" s="188">
        <v>3.26</v>
      </c>
      <c r="N8" s="189">
        <v>0.57999999999999996</v>
      </c>
      <c r="O8" s="190">
        <f>0.8</f>
        <v>0.8</v>
      </c>
      <c r="P8" s="191">
        <v>1.4</v>
      </c>
      <c r="Q8" s="192">
        <v>0.36</v>
      </c>
      <c r="R8" s="193">
        <v>0.69</v>
      </c>
      <c r="S8" s="131">
        <v>0</v>
      </c>
      <c r="T8" s="87">
        <v>24</v>
      </c>
      <c r="U8" s="194">
        <v>0.54169999999999996</v>
      </c>
      <c r="V8" s="195">
        <v>0</v>
      </c>
      <c r="W8" s="196">
        <v>0.20830000000000001</v>
      </c>
      <c r="X8" s="197">
        <v>0.54169999999999996</v>
      </c>
      <c r="Y8" s="198">
        <v>13</v>
      </c>
      <c r="Z8" s="199">
        <v>4</v>
      </c>
      <c r="AA8" s="200">
        <v>0</v>
      </c>
      <c r="AB8" s="201">
        <v>0</v>
      </c>
      <c r="AC8" s="202">
        <v>5</v>
      </c>
      <c r="AD8" s="203">
        <v>2</v>
      </c>
      <c r="AE8" s="62">
        <v>0</v>
      </c>
      <c r="AF8" s="22">
        <v>0</v>
      </c>
      <c r="AG8" s="204">
        <v>-150</v>
      </c>
      <c r="AH8" s="205">
        <v>-156</v>
      </c>
      <c r="AI8" s="206">
        <v>-350</v>
      </c>
      <c r="AJ8" s="207">
        <v>-110</v>
      </c>
      <c r="AK8" s="208">
        <f>110</f>
        <v>110</v>
      </c>
      <c r="AL8" s="209">
        <f>2000</f>
        <v>2000</v>
      </c>
      <c r="AM8" s="210">
        <f>425</f>
        <v>425</v>
      </c>
      <c r="AN8" s="107"/>
    </row>
    <row r="9" spans="1:40" ht="15.75" customHeight="1">
      <c r="A9" s="109"/>
      <c r="B9" s="5832"/>
      <c r="C9" s="211" t="s">
        <v>999</v>
      </c>
      <c r="D9" s="212">
        <v>7500</v>
      </c>
      <c r="E9" s="213"/>
      <c r="F9" s="85">
        <v>30</v>
      </c>
      <c r="G9" s="85" t="s">
        <v>1579</v>
      </c>
      <c r="H9" s="85" t="s">
        <v>1576</v>
      </c>
      <c r="I9" s="214" t="s">
        <v>1580</v>
      </c>
      <c r="J9" s="215" t="s">
        <v>1581</v>
      </c>
      <c r="K9" s="216">
        <v>3.93</v>
      </c>
      <c r="L9" s="217">
        <v>0.43</v>
      </c>
      <c r="M9" s="218">
        <v>0.87</v>
      </c>
      <c r="N9" s="219">
        <v>0.8</v>
      </c>
      <c r="O9" s="220">
        <f>3.06</f>
        <v>3.06</v>
      </c>
      <c r="P9" s="221">
        <v>3.27</v>
      </c>
      <c r="Q9" s="219">
        <v>1</v>
      </c>
      <c r="R9" s="222">
        <v>0</v>
      </c>
      <c r="S9" s="223">
        <v>0</v>
      </c>
      <c r="T9" s="85">
        <v>46</v>
      </c>
      <c r="U9" s="224">
        <v>0.26090000000000002</v>
      </c>
      <c r="V9" s="225">
        <v>0.43480000000000002</v>
      </c>
      <c r="W9" s="226">
        <v>4.3499999999999997E-2</v>
      </c>
      <c r="X9" s="227">
        <v>0.69569999999999999</v>
      </c>
      <c r="Y9" s="228">
        <v>12</v>
      </c>
      <c r="Z9" s="169">
        <v>1</v>
      </c>
      <c r="AA9" s="229">
        <v>20</v>
      </c>
      <c r="AB9" s="230">
        <v>1</v>
      </c>
      <c r="AC9" s="231">
        <v>2</v>
      </c>
      <c r="AD9" s="232">
        <v>6</v>
      </c>
      <c r="AE9" s="233">
        <v>0</v>
      </c>
      <c r="AF9" s="23">
        <v>0</v>
      </c>
      <c r="AG9" s="234">
        <f>130</f>
        <v>130</v>
      </c>
      <c r="AH9" s="235">
        <f>136</f>
        <v>136</v>
      </c>
      <c r="AI9" s="236">
        <v>-350</v>
      </c>
      <c r="AJ9" s="237">
        <f>200</f>
        <v>200</v>
      </c>
      <c r="AK9" s="238">
        <f>350</f>
        <v>350</v>
      </c>
      <c r="AL9" s="239">
        <f>500</f>
        <v>500</v>
      </c>
      <c r="AM9" s="240">
        <f t="shared" ref="AM9:AM10" si="0">650</f>
        <v>650</v>
      </c>
      <c r="AN9" s="107"/>
    </row>
    <row r="10" spans="1:40" ht="15.75" customHeight="1">
      <c r="A10" s="109"/>
      <c r="B10" s="5833">
        <v>3</v>
      </c>
      <c r="C10" s="117" t="s">
        <v>656</v>
      </c>
      <c r="D10" s="241">
        <v>6900</v>
      </c>
      <c r="E10" s="119"/>
      <c r="F10" s="120">
        <v>36</v>
      </c>
      <c r="G10" s="120" t="s">
        <v>1582</v>
      </c>
      <c r="H10" s="120" t="s">
        <v>1576</v>
      </c>
      <c r="I10" s="121" t="s">
        <v>1583</v>
      </c>
      <c r="J10" s="122" t="s">
        <v>1584</v>
      </c>
      <c r="K10" s="242">
        <v>3.92</v>
      </c>
      <c r="L10" s="243">
        <v>0.56999999999999995</v>
      </c>
      <c r="M10" s="244">
        <v>3.51</v>
      </c>
      <c r="N10" s="245">
        <v>0.49</v>
      </c>
      <c r="O10" s="246">
        <f>0.41</f>
        <v>0.41</v>
      </c>
      <c r="P10" s="247">
        <v>0.67</v>
      </c>
      <c r="Q10" s="248">
        <v>0.33</v>
      </c>
      <c r="R10" s="249">
        <v>0.75</v>
      </c>
      <c r="S10" s="250">
        <v>0.3</v>
      </c>
      <c r="T10" s="120">
        <v>19</v>
      </c>
      <c r="U10" s="251">
        <v>0.52629999999999999</v>
      </c>
      <c r="V10" s="252">
        <v>0.15790000000000001</v>
      </c>
      <c r="W10" s="253">
        <v>0.1053</v>
      </c>
      <c r="X10" s="254">
        <v>0.68420000000000003</v>
      </c>
      <c r="Y10" s="255">
        <v>10</v>
      </c>
      <c r="Z10" s="203">
        <v>1</v>
      </c>
      <c r="AA10" s="256">
        <v>3</v>
      </c>
      <c r="AB10" s="201">
        <v>0</v>
      </c>
      <c r="AC10" s="257">
        <v>2</v>
      </c>
      <c r="AD10" s="203">
        <v>2</v>
      </c>
      <c r="AE10" s="142">
        <v>0</v>
      </c>
      <c r="AF10" s="143">
        <v>0</v>
      </c>
      <c r="AG10" s="148">
        <f>275</f>
        <v>275</v>
      </c>
      <c r="AH10" s="258">
        <f>214</f>
        <v>214</v>
      </c>
      <c r="AI10" s="259">
        <v>-325</v>
      </c>
      <c r="AJ10" s="260">
        <f>275</f>
        <v>275</v>
      </c>
      <c r="AK10" s="261">
        <f>400</f>
        <v>400</v>
      </c>
      <c r="AL10" s="262">
        <f>1000</f>
        <v>1000</v>
      </c>
      <c r="AM10" s="263">
        <f t="shared" si="0"/>
        <v>650</v>
      </c>
      <c r="AN10" s="107"/>
    </row>
    <row r="11" spans="1:40" ht="15.75" customHeight="1">
      <c r="A11" s="109"/>
      <c r="B11" s="5832"/>
      <c r="C11" s="149" t="s">
        <v>657</v>
      </c>
      <c r="D11" s="264">
        <v>9300</v>
      </c>
      <c r="E11" s="151"/>
      <c r="F11" s="152">
        <v>33</v>
      </c>
      <c r="G11" s="152" t="s">
        <v>1585</v>
      </c>
      <c r="H11" s="152" t="s">
        <v>1586</v>
      </c>
      <c r="I11" s="153" t="s">
        <v>1587</v>
      </c>
      <c r="J11" s="154" t="s">
        <v>1581</v>
      </c>
      <c r="K11" s="265">
        <v>7.29</v>
      </c>
      <c r="L11" s="266">
        <v>0.59</v>
      </c>
      <c r="M11" s="267">
        <v>3.59</v>
      </c>
      <c r="N11" s="268">
        <v>0.52</v>
      </c>
      <c r="O11" s="269">
        <f>3.7</f>
        <v>3.7</v>
      </c>
      <c r="P11" s="270">
        <v>0.95</v>
      </c>
      <c r="Q11" s="271">
        <v>0.75</v>
      </c>
      <c r="R11" s="272">
        <v>0.75</v>
      </c>
      <c r="S11" s="273">
        <v>0.3</v>
      </c>
      <c r="T11" s="152">
        <v>11</v>
      </c>
      <c r="U11" s="274">
        <v>0.54549999999999998</v>
      </c>
      <c r="V11" s="275">
        <v>0.18179999999999999</v>
      </c>
      <c r="W11" s="276">
        <v>0.18179999999999999</v>
      </c>
      <c r="X11" s="277">
        <v>0.72729999999999995</v>
      </c>
      <c r="Y11" s="278">
        <v>6</v>
      </c>
      <c r="Z11" s="169">
        <v>1</v>
      </c>
      <c r="AA11" s="279">
        <v>2</v>
      </c>
      <c r="AB11" s="171">
        <v>0</v>
      </c>
      <c r="AC11" s="231">
        <v>2</v>
      </c>
      <c r="AD11" s="171">
        <v>0</v>
      </c>
      <c r="AE11" s="173">
        <v>0</v>
      </c>
      <c r="AF11" s="174">
        <v>0</v>
      </c>
      <c r="AG11" s="280">
        <v>-325</v>
      </c>
      <c r="AH11" s="281">
        <v>-254</v>
      </c>
      <c r="AI11" s="282">
        <v>-325</v>
      </c>
      <c r="AJ11" s="283">
        <v>-135</v>
      </c>
      <c r="AK11" s="284">
        <v>-115</v>
      </c>
      <c r="AL11" s="285">
        <f>1600</f>
        <v>1600</v>
      </c>
      <c r="AM11" s="286">
        <f>350</f>
        <v>350</v>
      </c>
      <c r="AN11" s="107"/>
    </row>
    <row r="12" spans="1:40">
      <c r="A12" s="109"/>
      <c r="B12" s="5831">
        <v>4</v>
      </c>
      <c r="C12" s="181" t="s">
        <v>713</v>
      </c>
      <c r="D12" s="287">
        <v>6800</v>
      </c>
      <c r="E12" s="183"/>
      <c r="F12" s="87">
        <v>39</v>
      </c>
      <c r="G12" s="87" t="s">
        <v>1588</v>
      </c>
      <c r="H12" s="87" t="s">
        <v>1589</v>
      </c>
      <c r="I12" s="184" t="s">
        <v>1590</v>
      </c>
      <c r="J12" s="185" t="s">
        <v>1591</v>
      </c>
      <c r="K12" s="288">
        <v>4.66</v>
      </c>
      <c r="L12" s="289">
        <v>0.37</v>
      </c>
      <c r="M12" s="290">
        <v>3.42</v>
      </c>
      <c r="N12" s="291">
        <v>0.56000000000000005</v>
      </c>
      <c r="O12" s="292">
        <f>1.24</f>
        <v>1.24</v>
      </c>
      <c r="P12" s="293">
        <v>0.71</v>
      </c>
      <c r="Q12" s="294">
        <v>0.22</v>
      </c>
      <c r="R12" s="295">
        <v>0.63</v>
      </c>
      <c r="S12" s="296">
        <v>0.7</v>
      </c>
      <c r="T12" s="87">
        <v>23</v>
      </c>
      <c r="U12" s="297">
        <v>0.1739</v>
      </c>
      <c r="V12" s="298">
        <v>0.30430000000000001</v>
      </c>
      <c r="W12" s="299">
        <v>0.30430000000000001</v>
      </c>
      <c r="X12" s="300">
        <v>0.4783</v>
      </c>
      <c r="Y12" s="301">
        <v>4</v>
      </c>
      <c r="Z12" s="302">
        <v>3</v>
      </c>
      <c r="AA12" s="303">
        <v>7</v>
      </c>
      <c r="AB12" s="201">
        <v>0</v>
      </c>
      <c r="AC12" s="304">
        <v>7</v>
      </c>
      <c r="AD12" s="203">
        <v>2</v>
      </c>
      <c r="AE12" s="62">
        <v>0</v>
      </c>
      <c r="AF12" s="22">
        <v>0</v>
      </c>
      <c r="AG12" s="305">
        <f>210</f>
        <v>210</v>
      </c>
      <c r="AH12" s="137">
        <f>295</f>
        <v>295</v>
      </c>
      <c r="AI12" s="183"/>
      <c r="AJ12" s="6"/>
      <c r="AK12" s="6"/>
      <c r="AL12" s="6"/>
      <c r="AM12" s="183"/>
      <c r="AN12" s="107"/>
    </row>
    <row r="13" spans="1:40">
      <c r="A13" s="109"/>
      <c r="B13" s="5832"/>
      <c r="C13" s="211" t="s">
        <v>714</v>
      </c>
      <c r="D13" s="306">
        <v>9400</v>
      </c>
      <c r="E13" s="213"/>
      <c r="F13" s="85">
        <v>31</v>
      </c>
      <c r="G13" s="85" t="s">
        <v>1592</v>
      </c>
      <c r="H13" s="85" t="s">
        <v>1593</v>
      </c>
      <c r="I13" s="214" t="s">
        <v>1594</v>
      </c>
      <c r="J13" s="215" t="s">
        <v>1581</v>
      </c>
      <c r="K13" s="307">
        <v>5.31</v>
      </c>
      <c r="L13" s="308">
        <v>0.53</v>
      </c>
      <c r="M13" s="309">
        <v>2.0099999999999998</v>
      </c>
      <c r="N13" s="310">
        <v>0.63</v>
      </c>
      <c r="O13" s="311">
        <f>3.3</f>
        <v>3.3</v>
      </c>
      <c r="P13" s="218">
        <v>4.16</v>
      </c>
      <c r="Q13" s="312">
        <v>0.72</v>
      </c>
      <c r="R13" s="313">
        <v>0.66</v>
      </c>
      <c r="S13" s="314">
        <v>1.6</v>
      </c>
      <c r="T13" s="85">
        <v>20</v>
      </c>
      <c r="U13" s="315">
        <v>0.45</v>
      </c>
      <c r="V13" s="316">
        <v>0.35</v>
      </c>
      <c r="W13" s="317">
        <v>0.15</v>
      </c>
      <c r="X13" s="318">
        <v>0.8</v>
      </c>
      <c r="Y13" s="319">
        <v>9</v>
      </c>
      <c r="Z13" s="169">
        <v>1</v>
      </c>
      <c r="AA13" s="319">
        <v>7</v>
      </c>
      <c r="AB13" s="171">
        <v>0</v>
      </c>
      <c r="AC13" s="172">
        <v>3</v>
      </c>
      <c r="AD13" s="171">
        <v>0</v>
      </c>
      <c r="AE13" s="233">
        <v>0</v>
      </c>
      <c r="AF13" s="23">
        <v>0</v>
      </c>
      <c r="AG13" s="320">
        <v>-250</v>
      </c>
      <c r="AH13" s="171">
        <v>-360</v>
      </c>
      <c r="AI13" s="213"/>
      <c r="AJ13" s="5"/>
      <c r="AK13" s="5"/>
      <c r="AL13" s="5"/>
      <c r="AM13" s="213"/>
      <c r="AN13" s="107"/>
    </row>
    <row r="14" spans="1:40" ht="15.75" customHeight="1">
      <c r="A14" s="109"/>
      <c r="B14" s="5833">
        <v>5</v>
      </c>
      <c r="C14" s="117" t="s">
        <v>336</v>
      </c>
      <c r="D14" s="321">
        <v>7100</v>
      </c>
      <c r="E14" s="119"/>
      <c r="F14" s="120">
        <v>35</v>
      </c>
      <c r="G14" s="120" t="s">
        <v>1575</v>
      </c>
      <c r="H14" s="120" t="s">
        <v>1595</v>
      </c>
      <c r="I14" s="121" t="s">
        <v>1596</v>
      </c>
      <c r="J14" s="122" t="s">
        <v>1578</v>
      </c>
      <c r="K14" s="322">
        <v>4.16</v>
      </c>
      <c r="L14" s="124">
        <v>0.5</v>
      </c>
      <c r="M14" s="323">
        <v>2.93</v>
      </c>
      <c r="N14" s="324">
        <v>0.63</v>
      </c>
      <c r="O14" s="292">
        <f>1.23</f>
        <v>1.23</v>
      </c>
      <c r="P14" s="325">
        <v>0.56000000000000005</v>
      </c>
      <c r="Q14" s="326">
        <v>0.68</v>
      </c>
      <c r="R14" s="327">
        <v>0.64</v>
      </c>
      <c r="S14" s="296">
        <v>0.7</v>
      </c>
      <c r="T14" s="120">
        <v>36</v>
      </c>
      <c r="U14" s="328">
        <v>0.1111</v>
      </c>
      <c r="V14" s="329">
        <v>0.19439999999999999</v>
      </c>
      <c r="W14" s="330">
        <v>0.27779999999999999</v>
      </c>
      <c r="X14" s="331">
        <v>0.30559999999999998</v>
      </c>
      <c r="Y14" s="301">
        <v>4</v>
      </c>
      <c r="Z14" s="203">
        <v>1</v>
      </c>
      <c r="AA14" s="303">
        <v>7</v>
      </c>
      <c r="AB14" s="137">
        <v>7</v>
      </c>
      <c r="AC14" s="332">
        <v>10</v>
      </c>
      <c r="AD14" s="333">
        <v>6</v>
      </c>
      <c r="AE14" s="142">
        <v>0</v>
      </c>
      <c r="AF14" s="143">
        <v>0</v>
      </c>
      <c r="AG14" s="87">
        <v>-110</v>
      </c>
      <c r="AH14" s="334">
        <f>170</f>
        <v>170</v>
      </c>
      <c r="AI14" s="335">
        <f t="shared" ref="AI14:AI15" si="1">200</f>
        <v>200</v>
      </c>
      <c r="AJ14" s="336">
        <f>425</f>
        <v>425</v>
      </c>
      <c r="AK14" s="337">
        <f>1200</f>
        <v>1200</v>
      </c>
      <c r="AL14" s="338">
        <f>650</f>
        <v>650</v>
      </c>
      <c r="AM14" s="339">
        <f>250</f>
        <v>250</v>
      </c>
      <c r="AN14" s="107"/>
    </row>
    <row r="15" spans="1:40" ht="15.75" customHeight="1">
      <c r="A15" s="109"/>
      <c r="B15" s="5832"/>
      <c r="C15" s="149" t="s">
        <v>337</v>
      </c>
      <c r="D15" s="340">
        <v>9100</v>
      </c>
      <c r="E15" s="151"/>
      <c r="F15" s="152">
        <v>31</v>
      </c>
      <c r="G15" s="152" t="s">
        <v>1571</v>
      </c>
      <c r="H15" s="152" t="s">
        <v>1597</v>
      </c>
      <c r="I15" s="153" t="s">
        <v>1598</v>
      </c>
      <c r="J15" s="154" t="s">
        <v>1584</v>
      </c>
      <c r="K15" s="341">
        <v>5.4</v>
      </c>
      <c r="L15" s="342">
        <v>0.46</v>
      </c>
      <c r="M15" s="343">
        <v>4</v>
      </c>
      <c r="N15" s="313">
        <v>0.57999999999999996</v>
      </c>
      <c r="O15" s="344">
        <f>1.4</f>
        <v>1.4</v>
      </c>
      <c r="P15" s="345">
        <v>0.76</v>
      </c>
      <c r="Q15" s="346">
        <v>0.62</v>
      </c>
      <c r="R15" s="347">
        <v>0.84</v>
      </c>
      <c r="S15" s="348">
        <v>0.5</v>
      </c>
      <c r="T15" s="152">
        <v>13</v>
      </c>
      <c r="U15" s="349">
        <v>0.23080000000000001</v>
      </c>
      <c r="V15" s="350">
        <v>7.6899999999999996E-2</v>
      </c>
      <c r="W15" s="351">
        <v>0.53849999999999998</v>
      </c>
      <c r="X15" s="352">
        <v>0.30769999999999997</v>
      </c>
      <c r="Y15" s="353">
        <v>3</v>
      </c>
      <c r="Z15" s="171">
        <v>0</v>
      </c>
      <c r="AA15" s="354">
        <v>1</v>
      </c>
      <c r="AB15" s="230">
        <v>1</v>
      </c>
      <c r="AC15" s="355">
        <v>7</v>
      </c>
      <c r="AD15" s="171">
        <v>0</v>
      </c>
      <c r="AE15" s="173">
        <v>0</v>
      </c>
      <c r="AF15" s="174">
        <v>0</v>
      </c>
      <c r="AG15" s="85">
        <v>-110</v>
      </c>
      <c r="AH15" s="356">
        <v>-195</v>
      </c>
      <c r="AI15" s="357">
        <f t="shared" si="1"/>
        <v>200</v>
      </c>
      <c r="AJ15" s="358">
        <f>375</f>
        <v>375</v>
      </c>
      <c r="AK15" s="359">
        <f>450</f>
        <v>450</v>
      </c>
      <c r="AL15" s="360">
        <f t="shared" ref="AL15:AL16" si="2">1200</f>
        <v>1200</v>
      </c>
      <c r="AM15" s="361">
        <f>105</f>
        <v>105</v>
      </c>
      <c r="AN15" s="107"/>
    </row>
    <row r="16" spans="1:40" ht="15.75" customHeight="1">
      <c r="A16" s="109"/>
      <c r="B16" s="5831">
        <v>6</v>
      </c>
      <c r="C16" s="181" t="s">
        <v>559</v>
      </c>
      <c r="D16" s="362">
        <v>7200</v>
      </c>
      <c r="E16" s="183"/>
      <c r="F16" s="87">
        <v>32</v>
      </c>
      <c r="G16" s="87" t="s">
        <v>1585</v>
      </c>
      <c r="H16" s="87" t="s">
        <v>1597</v>
      </c>
      <c r="I16" s="184" t="s">
        <v>1573</v>
      </c>
      <c r="J16" s="185" t="s">
        <v>1599</v>
      </c>
      <c r="K16" s="363">
        <v>6.13</v>
      </c>
      <c r="L16" s="364">
        <v>0.47</v>
      </c>
      <c r="M16" s="365">
        <v>4.0199999999999996</v>
      </c>
      <c r="N16" s="366">
        <v>0.52</v>
      </c>
      <c r="O16" s="367">
        <f>2.11</f>
        <v>2.11</v>
      </c>
      <c r="P16" s="123">
        <v>0</v>
      </c>
      <c r="Q16" s="187">
        <v>0</v>
      </c>
      <c r="R16" s="368">
        <v>0.6</v>
      </c>
      <c r="S16" s="131">
        <v>0</v>
      </c>
      <c r="T16" s="87">
        <v>12</v>
      </c>
      <c r="U16" s="369">
        <v>0.41670000000000001</v>
      </c>
      <c r="V16" s="370">
        <v>8.3299999999999999E-2</v>
      </c>
      <c r="W16" s="371">
        <v>0.41670000000000001</v>
      </c>
      <c r="X16" s="372">
        <v>0.5</v>
      </c>
      <c r="Y16" s="256">
        <v>5</v>
      </c>
      <c r="Z16" s="201">
        <v>0</v>
      </c>
      <c r="AA16" s="138">
        <v>1</v>
      </c>
      <c r="AB16" s="201">
        <v>0</v>
      </c>
      <c r="AC16" s="202">
        <v>5</v>
      </c>
      <c r="AD16" s="373">
        <v>1</v>
      </c>
      <c r="AE16" s="62">
        <v>0</v>
      </c>
      <c r="AF16" s="22">
        <v>0</v>
      </c>
      <c r="AG16" s="374">
        <f>205</f>
        <v>205</v>
      </c>
      <c r="AH16" s="375">
        <f>174</f>
        <v>174</v>
      </c>
      <c r="AI16" s="376">
        <v>-800</v>
      </c>
      <c r="AJ16" s="87">
        <f>215</f>
        <v>215</v>
      </c>
      <c r="AK16" s="377">
        <f>275</f>
        <v>275</v>
      </c>
      <c r="AL16" s="378">
        <f t="shared" si="2"/>
        <v>1200</v>
      </c>
      <c r="AM16" s="263">
        <f>650</f>
        <v>650</v>
      </c>
      <c r="AN16" s="107"/>
    </row>
    <row r="17" spans="1:40" ht="15.75" customHeight="1">
      <c r="A17" s="109"/>
      <c r="B17" s="5832"/>
      <c r="C17" s="211" t="s">
        <v>569</v>
      </c>
      <c r="D17" s="379">
        <v>9000</v>
      </c>
      <c r="E17" s="213"/>
      <c r="F17" s="85">
        <v>35</v>
      </c>
      <c r="G17" s="85" t="s">
        <v>1600</v>
      </c>
      <c r="H17" s="85" t="s">
        <v>1601</v>
      </c>
      <c r="I17" s="214" t="s">
        <v>1602</v>
      </c>
      <c r="J17" s="215" t="s">
        <v>1581</v>
      </c>
      <c r="K17" s="218">
        <v>23.33</v>
      </c>
      <c r="L17" s="219">
        <v>0.77</v>
      </c>
      <c r="M17" s="380">
        <v>6.67</v>
      </c>
      <c r="N17" s="381">
        <v>0.6</v>
      </c>
      <c r="O17" s="382">
        <f>16.66</f>
        <v>16.66</v>
      </c>
      <c r="P17" s="383">
        <v>0</v>
      </c>
      <c r="Q17" s="222">
        <v>0</v>
      </c>
      <c r="R17" s="222">
        <v>0</v>
      </c>
      <c r="S17" s="223">
        <v>0</v>
      </c>
      <c r="T17" s="85">
        <v>5</v>
      </c>
      <c r="U17" s="165">
        <v>1</v>
      </c>
      <c r="V17" s="384">
        <v>0</v>
      </c>
      <c r="W17" s="384">
        <v>0</v>
      </c>
      <c r="X17" s="385">
        <v>1</v>
      </c>
      <c r="Y17" s="386">
        <v>5</v>
      </c>
      <c r="Z17" s="171">
        <v>0</v>
      </c>
      <c r="AA17" s="387">
        <v>0</v>
      </c>
      <c r="AB17" s="171">
        <v>0</v>
      </c>
      <c r="AC17" s="387">
        <v>0</v>
      </c>
      <c r="AD17" s="171">
        <v>0</v>
      </c>
      <c r="AE17" s="233">
        <v>0</v>
      </c>
      <c r="AF17" s="23">
        <v>0</v>
      </c>
      <c r="AG17" s="388">
        <v>-240</v>
      </c>
      <c r="AH17" s="389">
        <v>-204</v>
      </c>
      <c r="AI17" s="390">
        <v>-800</v>
      </c>
      <c r="AJ17" s="280">
        <v>-180</v>
      </c>
      <c r="AK17" s="280">
        <v>-175</v>
      </c>
      <c r="AL17" s="391">
        <f>2500</f>
        <v>2500</v>
      </c>
      <c r="AM17" s="392">
        <f>1000</f>
        <v>1000</v>
      </c>
      <c r="AN17" s="107"/>
    </row>
    <row r="18" spans="1:40" ht="15.75" customHeight="1">
      <c r="A18" s="109"/>
      <c r="B18" s="5833">
        <v>7</v>
      </c>
      <c r="C18" s="117" t="s">
        <v>776</v>
      </c>
      <c r="D18" s="393">
        <v>7700</v>
      </c>
      <c r="E18" s="119"/>
      <c r="F18" s="120">
        <v>24</v>
      </c>
      <c r="G18" s="120" t="s">
        <v>1603</v>
      </c>
      <c r="H18" s="120" t="s">
        <v>1589</v>
      </c>
      <c r="I18" s="121" t="s">
        <v>1604</v>
      </c>
      <c r="J18" s="122" t="s">
        <v>1578</v>
      </c>
      <c r="K18" s="394">
        <v>4.8600000000000003</v>
      </c>
      <c r="L18" s="395">
        <v>0.51</v>
      </c>
      <c r="M18" s="396">
        <v>3.59</v>
      </c>
      <c r="N18" s="187">
        <v>0.36</v>
      </c>
      <c r="O18" s="397">
        <f>1.27</f>
        <v>1.27</v>
      </c>
      <c r="P18" s="398">
        <v>1.42</v>
      </c>
      <c r="Q18" s="294">
        <v>0.22</v>
      </c>
      <c r="R18" s="399">
        <v>0.55000000000000004</v>
      </c>
      <c r="S18" s="400">
        <v>2.2000000000000002</v>
      </c>
      <c r="T18" s="120">
        <v>17</v>
      </c>
      <c r="U18" s="401">
        <v>0.23530000000000001</v>
      </c>
      <c r="V18" s="402">
        <v>0.35289999999999999</v>
      </c>
      <c r="W18" s="403">
        <v>0.17649999999999999</v>
      </c>
      <c r="X18" s="404">
        <v>0.58819999999999995</v>
      </c>
      <c r="Y18" s="301">
        <v>4</v>
      </c>
      <c r="Z18" s="203">
        <v>1</v>
      </c>
      <c r="AA18" s="405">
        <v>6</v>
      </c>
      <c r="AB18" s="201">
        <v>0</v>
      </c>
      <c r="AC18" s="406">
        <v>3</v>
      </c>
      <c r="AD18" s="203">
        <v>2</v>
      </c>
      <c r="AE18" s="142">
        <v>0</v>
      </c>
      <c r="AF18" s="143">
        <v>0</v>
      </c>
      <c r="AG18" s="407">
        <f>125</f>
        <v>125</v>
      </c>
      <c r="AH18" s="408">
        <f>130</f>
        <v>130</v>
      </c>
      <c r="AI18" s="259">
        <v>-325</v>
      </c>
      <c r="AJ18" s="87">
        <f>215</f>
        <v>215</v>
      </c>
      <c r="AK18" s="409">
        <f>575</f>
        <v>575</v>
      </c>
      <c r="AL18" s="410">
        <f>225</f>
        <v>225</v>
      </c>
      <c r="AM18" s="411">
        <f>550</f>
        <v>550</v>
      </c>
      <c r="AN18" s="107"/>
    </row>
    <row r="19" spans="1:40" ht="15.75" customHeight="1">
      <c r="A19" s="109"/>
      <c r="B19" s="5832"/>
      <c r="C19" s="149" t="s">
        <v>706</v>
      </c>
      <c r="D19" s="412">
        <v>8500</v>
      </c>
      <c r="E19" s="151"/>
      <c r="F19" s="152">
        <v>32</v>
      </c>
      <c r="G19" s="152" t="s">
        <v>1605</v>
      </c>
      <c r="H19" s="152" t="s">
        <v>1606</v>
      </c>
      <c r="I19" s="153" t="s">
        <v>1607</v>
      </c>
      <c r="J19" s="154" t="s">
        <v>1608</v>
      </c>
      <c r="K19" s="413">
        <v>5.82</v>
      </c>
      <c r="L19" s="414">
        <v>0.57999999999999996</v>
      </c>
      <c r="M19" s="415">
        <v>4.07</v>
      </c>
      <c r="N19" s="416">
        <v>0.56000000000000005</v>
      </c>
      <c r="O19" s="417">
        <f>1.75</f>
        <v>1.75</v>
      </c>
      <c r="P19" s="383">
        <v>0</v>
      </c>
      <c r="Q19" s="222">
        <v>0</v>
      </c>
      <c r="R19" s="418">
        <v>0.36</v>
      </c>
      <c r="S19" s="223">
        <v>0</v>
      </c>
      <c r="T19" s="152">
        <v>11</v>
      </c>
      <c r="U19" s="274">
        <v>0.54549999999999998</v>
      </c>
      <c r="V19" s="384">
        <v>0</v>
      </c>
      <c r="W19" s="419">
        <v>9.0899999999999995E-2</v>
      </c>
      <c r="X19" s="420">
        <v>0.54549999999999998</v>
      </c>
      <c r="Y19" s="278">
        <v>6</v>
      </c>
      <c r="Z19" s="171">
        <v>0</v>
      </c>
      <c r="AA19" s="387">
        <v>0</v>
      </c>
      <c r="AB19" s="171">
        <v>0</v>
      </c>
      <c r="AC19" s="421">
        <v>1</v>
      </c>
      <c r="AD19" s="422">
        <v>3</v>
      </c>
      <c r="AE19" s="173">
        <v>0</v>
      </c>
      <c r="AF19" s="174">
        <v>0</v>
      </c>
      <c r="AG19" s="423">
        <v>-145</v>
      </c>
      <c r="AH19" s="424">
        <v>-150</v>
      </c>
      <c r="AI19" s="282">
        <v>-325</v>
      </c>
      <c r="AJ19" s="425">
        <v>-110</v>
      </c>
      <c r="AK19" s="426">
        <f>110</f>
        <v>110</v>
      </c>
      <c r="AL19" s="427">
        <f>3000</f>
        <v>3000</v>
      </c>
      <c r="AM19" s="428">
        <f>700</f>
        <v>700</v>
      </c>
      <c r="AN19" s="107"/>
    </row>
    <row r="20" spans="1:40" ht="15.75" customHeight="1">
      <c r="A20" s="109"/>
      <c r="B20" s="5831">
        <v>8</v>
      </c>
      <c r="C20" s="181" t="s">
        <v>718</v>
      </c>
      <c r="D20" s="429">
        <v>7300</v>
      </c>
      <c r="E20" s="183"/>
      <c r="F20" s="87">
        <v>29</v>
      </c>
      <c r="G20" s="87" t="s">
        <v>1575</v>
      </c>
      <c r="H20" s="87" t="s">
        <v>1595</v>
      </c>
      <c r="I20" s="184" t="s">
        <v>1609</v>
      </c>
      <c r="J20" s="185" t="s">
        <v>1578</v>
      </c>
      <c r="K20" s="430">
        <v>4.46</v>
      </c>
      <c r="L20" s="431">
        <v>0.52</v>
      </c>
      <c r="M20" s="432">
        <v>2.5099999999999998</v>
      </c>
      <c r="N20" s="433">
        <v>0.44</v>
      </c>
      <c r="O20" s="434">
        <f>1.95</f>
        <v>1.95</v>
      </c>
      <c r="P20" s="435">
        <v>3.52</v>
      </c>
      <c r="Q20" s="192">
        <v>0.36</v>
      </c>
      <c r="R20" s="436">
        <v>0.85</v>
      </c>
      <c r="S20" s="437">
        <v>1</v>
      </c>
      <c r="T20" s="87">
        <v>21</v>
      </c>
      <c r="U20" s="438">
        <v>0.33329999999999999</v>
      </c>
      <c r="V20" s="439">
        <v>0.38100000000000001</v>
      </c>
      <c r="W20" s="195">
        <v>0</v>
      </c>
      <c r="X20" s="440">
        <v>0.71430000000000005</v>
      </c>
      <c r="Y20" s="441">
        <v>7</v>
      </c>
      <c r="Z20" s="199">
        <v>4</v>
      </c>
      <c r="AA20" s="255">
        <v>8</v>
      </c>
      <c r="AB20" s="139">
        <v>2</v>
      </c>
      <c r="AC20" s="200">
        <v>0</v>
      </c>
      <c r="AD20" s="201">
        <v>0</v>
      </c>
      <c r="AE20" s="62">
        <v>0</v>
      </c>
      <c r="AF20" s="22">
        <v>0</v>
      </c>
      <c r="AG20" s="442">
        <f>145</f>
        <v>145</v>
      </c>
      <c r="AH20" s="443">
        <f>148</f>
        <v>148</v>
      </c>
      <c r="AI20" s="376">
        <v>-800</v>
      </c>
      <c r="AJ20" s="444">
        <f>180</f>
        <v>180</v>
      </c>
      <c r="AK20" s="445">
        <f t="shared" ref="AK20:AL20" si="3">425</f>
        <v>425</v>
      </c>
      <c r="AL20" s="446">
        <f t="shared" si="3"/>
        <v>425</v>
      </c>
      <c r="AM20" s="137">
        <f>1200</f>
        <v>1200</v>
      </c>
      <c r="AN20" s="107"/>
    </row>
    <row r="21" spans="1:40" ht="15.75" customHeight="1">
      <c r="A21" s="109"/>
      <c r="B21" s="5832"/>
      <c r="C21" s="211" t="s">
        <v>719</v>
      </c>
      <c r="D21" s="447">
        <v>8900</v>
      </c>
      <c r="E21" s="213"/>
      <c r="F21" s="85">
        <v>28</v>
      </c>
      <c r="G21" s="85" t="s">
        <v>1575</v>
      </c>
      <c r="H21" s="85" t="s">
        <v>1606</v>
      </c>
      <c r="I21" s="214" t="s">
        <v>1610</v>
      </c>
      <c r="J21" s="215" t="s">
        <v>1599</v>
      </c>
      <c r="K21" s="448">
        <v>6.16</v>
      </c>
      <c r="L21" s="449">
        <v>0.52</v>
      </c>
      <c r="M21" s="450">
        <v>3.4</v>
      </c>
      <c r="N21" s="268">
        <v>0.52</v>
      </c>
      <c r="O21" s="451">
        <f>2.76</f>
        <v>2.76</v>
      </c>
      <c r="P21" s="270">
        <v>0.95</v>
      </c>
      <c r="Q21" s="452">
        <v>0.66</v>
      </c>
      <c r="R21" s="453">
        <v>0.6</v>
      </c>
      <c r="S21" s="348">
        <v>0.5</v>
      </c>
      <c r="T21" s="85">
        <v>13</v>
      </c>
      <c r="U21" s="454">
        <v>0.46150000000000002</v>
      </c>
      <c r="V21" s="455">
        <v>0.3846</v>
      </c>
      <c r="W21" s="456">
        <v>7.6899999999999996E-2</v>
      </c>
      <c r="X21" s="457">
        <v>0.84619999999999995</v>
      </c>
      <c r="Y21" s="278">
        <v>6</v>
      </c>
      <c r="Z21" s="171">
        <v>0</v>
      </c>
      <c r="AA21" s="458">
        <v>5</v>
      </c>
      <c r="AB21" s="171">
        <v>0</v>
      </c>
      <c r="AC21" s="421">
        <v>1</v>
      </c>
      <c r="AD21" s="459">
        <v>1</v>
      </c>
      <c r="AE21" s="233">
        <v>0</v>
      </c>
      <c r="AF21" s="23">
        <v>0</v>
      </c>
      <c r="AG21" s="460">
        <v>-170</v>
      </c>
      <c r="AH21" s="461">
        <v>-168</v>
      </c>
      <c r="AI21" s="390">
        <v>-800</v>
      </c>
      <c r="AJ21" s="462">
        <v>-150</v>
      </c>
      <c r="AK21" s="463">
        <f>135</f>
        <v>135</v>
      </c>
      <c r="AL21" s="464">
        <f>375</f>
        <v>375</v>
      </c>
      <c r="AM21" s="465">
        <f>575</f>
        <v>575</v>
      </c>
      <c r="AN21" s="107"/>
    </row>
    <row r="22" spans="1:40" ht="15.75" customHeight="1">
      <c r="A22" s="109"/>
      <c r="B22" s="5833">
        <v>9</v>
      </c>
      <c r="C22" s="117" t="s">
        <v>1436</v>
      </c>
      <c r="D22" s="466">
        <v>8300</v>
      </c>
      <c r="E22" s="119"/>
      <c r="F22" s="120">
        <v>29</v>
      </c>
      <c r="G22" s="120" t="s">
        <v>1611</v>
      </c>
      <c r="H22" s="120" t="s">
        <v>1612</v>
      </c>
      <c r="I22" s="121" t="s">
        <v>1613</v>
      </c>
      <c r="J22" s="122" t="s">
        <v>1599</v>
      </c>
      <c r="K22" s="247">
        <v>4.41</v>
      </c>
      <c r="L22" s="289">
        <v>0.37</v>
      </c>
      <c r="M22" s="467">
        <v>4.8600000000000003</v>
      </c>
      <c r="N22" s="395">
        <v>0.59</v>
      </c>
      <c r="O22" s="468">
        <v>-0.45</v>
      </c>
      <c r="P22" s="469">
        <v>3.39</v>
      </c>
      <c r="Q22" s="470">
        <v>0.41</v>
      </c>
      <c r="R22" s="471">
        <v>0.71</v>
      </c>
      <c r="S22" s="472">
        <v>0.2</v>
      </c>
      <c r="T22" s="120">
        <v>11</v>
      </c>
      <c r="U22" s="473">
        <v>9.0899999999999995E-2</v>
      </c>
      <c r="V22" s="474">
        <v>0.2727</v>
      </c>
      <c r="W22" s="475">
        <v>0.45450000000000002</v>
      </c>
      <c r="X22" s="476">
        <v>0.36359999999999998</v>
      </c>
      <c r="Y22" s="200">
        <v>1</v>
      </c>
      <c r="Z22" s="203">
        <v>1</v>
      </c>
      <c r="AA22" s="256">
        <v>3</v>
      </c>
      <c r="AB22" s="201">
        <v>0</v>
      </c>
      <c r="AC22" s="202">
        <v>5</v>
      </c>
      <c r="AD22" s="373">
        <v>1</v>
      </c>
      <c r="AE22" s="142">
        <v>0</v>
      </c>
      <c r="AF22" s="143">
        <v>0</v>
      </c>
      <c r="AG22" s="442">
        <f>145</f>
        <v>145</v>
      </c>
      <c r="AH22" s="477">
        <v>-135</v>
      </c>
      <c r="AI22" s="478">
        <f t="shared" ref="AI22:AI23" si="4">275</f>
        <v>275</v>
      </c>
      <c r="AJ22" s="479">
        <f>400</f>
        <v>400</v>
      </c>
      <c r="AK22" s="148">
        <f>1400</f>
        <v>1400</v>
      </c>
      <c r="AL22" s="480">
        <f>575</f>
        <v>575</v>
      </c>
      <c r="AM22" s="481">
        <f>100</f>
        <v>100</v>
      </c>
      <c r="AN22" s="107"/>
    </row>
    <row r="23" spans="1:40" ht="15.75" customHeight="1">
      <c r="A23" s="109"/>
      <c r="B23" s="5832"/>
      <c r="C23" s="149" t="s">
        <v>1437</v>
      </c>
      <c r="D23" s="482">
        <v>7900</v>
      </c>
      <c r="E23" s="151"/>
      <c r="F23" s="152">
        <v>34</v>
      </c>
      <c r="G23" s="152" t="s">
        <v>1611</v>
      </c>
      <c r="H23" s="152" t="s">
        <v>1614</v>
      </c>
      <c r="I23" s="153" t="s">
        <v>1615</v>
      </c>
      <c r="J23" s="154" t="s">
        <v>1578</v>
      </c>
      <c r="K23" s="267">
        <v>4.74</v>
      </c>
      <c r="L23" s="156">
        <v>0.48</v>
      </c>
      <c r="M23" s="267">
        <v>3.59</v>
      </c>
      <c r="N23" s="483">
        <v>0.61</v>
      </c>
      <c r="O23" s="484">
        <f>1.15</f>
        <v>1.1499999999999999</v>
      </c>
      <c r="P23" s="485">
        <v>0.66</v>
      </c>
      <c r="Q23" s="486">
        <v>0.14000000000000001</v>
      </c>
      <c r="R23" s="416">
        <v>0.61</v>
      </c>
      <c r="S23" s="487">
        <v>0.1</v>
      </c>
      <c r="T23" s="152">
        <v>19</v>
      </c>
      <c r="U23" s="384">
        <v>5.2600000000000001E-2</v>
      </c>
      <c r="V23" s="488">
        <v>5.2600000000000001E-2</v>
      </c>
      <c r="W23" s="165">
        <v>0.57889999999999997</v>
      </c>
      <c r="X23" s="489">
        <v>0.1053</v>
      </c>
      <c r="Y23" s="387">
        <v>1</v>
      </c>
      <c r="Z23" s="171">
        <v>0</v>
      </c>
      <c r="AA23" s="354">
        <v>1</v>
      </c>
      <c r="AB23" s="171">
        <v>0</v>
      </c>
      <c r="AC23" s="229">
        <v>11</v>
      </c>
      <c r="AD23" s="232">
        <v>6</v>
      </c>
      <c r="AE23" s="173">
        <v>0</v>
      </c>
      <c r="AF23" s="174">
        <v>0</v>
      </c>
      <c r="AG23" s="460">
        <v>-170</v>
      </c>
      <c r="AH23" s="490">
        <f>115</f>
        <v>115</v>
      </c>
      <c r="AI23" s="491">
        <f t="shared" si="4"/>
        <v>275</v>
      </c>
      <c r="AJ23" s="492">
        <f>600</f>
        <v>600</v>
      </c>
      <c r="AK23" s="493">
        <f>800</f>
        <v>800</v>
      </c>
      <c r="AL23" s="494">
        <f>2000</f>
        <v>2000</v>
      </c>
      <c r="AM23" s="495">
        <f>175</f>
        <v>175</v>
      </c>
      <c r="AN23" s="107"/>
    </row>
    <row r="24" spans="1:40">
      <c r="A24" s="109"/>
      <c r="B24" s="5831">
        <v>10</v>
      </c>
      <c r="C24" s="181" t="s">
        <v>1158</v>
      </c>
      <c r="D24" s="496">
        <v>7400</v>
      </c>
      <c r="E24" s="183"/>
      <c r="F24" s="87">
        <v>25</v>
      </c>
      <c r="G24" s="87" t="s">
        <v>1575</v>
      </c>
      <c r="H24" s="87" t="s">
        <v>1616</v>
      </c>
      <c r="I24" s="184" t="s">
        <v>1613</v>
      </c>
      <c r="J24" s="185" t="s">
        <v>1581</v>
      </c>
      <c r="K24" s="497">
        <v>10.220000000000001</v>
      </c>
      <c r="L24" s="498">
        <v>0.46</v>
      </c>
      <c r="M24" s="499">
        <v>4.3</v>
      </c>
      <c r="N24" s="500">
        <v>0.64</v>
      </c>
      <c r="O24" s="501">
        <f>5.92</f>
        <v>5.92</v>
      </c>
      <c r="P24" s="502">
        <v>4.04</v>
      </c>
      <c r="Q24" s="503">
        <v>0.4</v>
      </c>
      <c r="R24" s="504">
        <v>1</v>
      </c>
      <c r="S24" s="131">
        <v>0</v>
      </c>
      <c r="T24" s="87">
        <v>11</v>
      </c>
      <c r="U24" s="505">
        <v>0.63639999999999997</v>
      </c>
      <c r="V24" s="195">
        <v>0</v>
      </c>
      <c r="W24" s="252">
        <v>0.18179999999999999</v>
      </c>
      <c r="X24" s="506">
        <v>0.63639999999999997</v>
      </c>
      <c r="Y24" s="441">
        <v>7</v>
      </c>
      <c r="Z24" s="203">
        <v>1</v>
      </c>
      <c r="AA24" s="200">
        <v>0</v>
      </c>
      <c r="AB24" s="201">
        <v>0</v>
      </c>
      <c r="AC24" s="257">
        <v>2</v>
      </c>
      <c r="AD24" s="373">
        <v>1</v>
      </c>
      <c r="AE24" s="62">
        <v>0</v>
      </c>
      <c r="AF24" s="22">
        <v>0</v>
      </c>
      <c r="AG24" s="204">
        <v>-150</v>
      </c>
      <c r="AH24" s="507">
        <f>135</f>
        <v>135</v>
      </c>
      <c r="AI24" s="508">
        <v>-215</v>
      </c>
      <c r="AJ24" s="509">
        <f>295</f>
        <v>295</v>
      </c>
      <c r="AK24" s="261">
        <f>400</f>
        <v>400</v>
      </c>
      <c r="AL24" s="378">
        <f>1200</f>
        <v>1200</v>
      </c>
      <c r="AM24" s="22">
        <f t="shared" ref="AM24:AM25" si="5">475</f>
        <v>475</v>
      </c>
      <c r="AN24" s="107"/>
    </row>
    <row r="25" spans="1:40">
      <c r="A25" s="109"/>
      <c r="B25" s="5832"/>
      <c r="C25" s="211" t="s">
        <v>1159</v>
      </c>
      <c r="D25" s="510">
        <v>8800</v>
      </c>
      <c r="E25" s="213"/>
      <c r="F25" s="85">
        <v>29</v>
      </c>
      <c r="G25" s="85" t="s">
        <v>1579</v>
      </c>
      <c r="H25" s="85" t="s">
        <v>1586</v>
      </c>
      <c r="I25" s="214" t="s">
        <v>1617</v>
      </c>
      <c r="J25" s="215" t="s">
        <v>1599</v>
      </c>
      <c r="K25" s="511">
        <v>6.45</v>
      </c>
      <c r="L25" s="512">
        <v>0.45</v>
      </c>
      <c r="M25" s="513">
        <v>3.95</v>
      </c>
      <c r="N25" s="483">
        <v>0.61</v>
      </c>
      <c r="O25" s="348">
        <f>2.5</f>
        <v>2.5</v>
      </c>
      <c r="P25" s="267">
        <v>0.78</v>
      </c>
      <c r="Q25" s="514">
        <v>0.5</v>
      </c>
      <c r="R25" s="162">
        <v>0.77</v>
      </c>
      <c r="S25" s="515">
        <v>0.8</v>
      </c>
      <c r="T25" s="85">
        <v>9</v>
      </c>
      <c r="U25" s="516">
        <v>0.33329999999999999</v>
      </c>
      <c r="V25" s="517">
        <v>0.33329999999999999</v>
      </c>
      <c r="W25" s="518">
        <v>0.22220000000000001</v>
      </c>
      <c r="X25" s="519">
        <v>0.66669999999999996</v>
      </c>
      <c r="Y25" s="353">
        <v>3</v>
      </c>
      <c r="Z25" s="171">
        <v>0</v>
      </c>
      <c r="AA25" s="386">
        <v>3</v>
      </c>
      <c r="AB25" s="230">
        <v>1</v>
      </c>
      <c r="AC25" s="231">
        <v>2</v>
      </c>
      <c r="AD25" s="171">
        <v>0</v>
      </c>
      <c r="AE25" s="233">
        <v>0</v>
      </c>
      <c r="AF25" s="23">
        <v>0</v>
      </c>
      <c r="AG25" s="234">
        <f>130</f>
        <v>130</v>
      </c>
      <c r="AH25" s="520">
        <v>-155</v>
      </c>
      <c r="AI25" s="521">
        <v>-215</v>
      </c>
      <c r="AJ25" s="522">
        <v>-105</v>
      </c>
      <c r="AK25" s="463">
        <f>135</f>
        <v>135</v>
      </c>
      <c r="AL25" s="523">
        <f>425</f>
        <v>425</v>
      </c>
      <c r="AM25" s="23">
        <f t="shared" si="5"/>
        <v>475</v>
      </c>
      <c r="AN25" s="107"/>
    </row>
    <row r="26" spans="1:40">
      <c r="A26" s="109"/>
      <c r="B26" s="5833">
        <v>11</v>
      </c>
      <c r="C26" s="117" t="s">
        <v>418</v>
      </c>
      <c r="D26" s="524">
        <v>7600</v>
      </c>
      <c r="E26" s="119"/>
      <c r="F26" s="120">
        <v>33</v>
      </c>
      <c r="G26" s="120" t="s">
        <v>1588</v>
      </c>
      <c r="H26" s="120" t="s">
        <v>1618</v>
      </c>
      <c r="I26" s="121" t="s">
        <v>1619</v>
      </c>
      <c r="J26" s="122" t="s">
        <v>1591</v>
      </c>
      <c r="K26" s="430">
        <v>4.45</v>
      </c>
      <c r="L26" s="525">
        <v>0.55000000000000004</v>
      </c>
      <c r="M26" s="526">
        <v>3.15</v>
      </c>
      <c r="N26" s="395">
        <v>0.59</v>
      </c>
      <c r="O26" s="527">
        <f>1.3</f>
        <v>1.3</v>
      </c>
      <c r="P26" s="528">
        <v>0.48</v>
      </c>
      <c r="Q26" s="529">
        <v>0.23</v>
      </c>
      <c r="R26" s="295">
        <v>0.63</v>
      </c>
      <c r="S26" s="530">
        <v>0.6</v>
      </c>
      <c r="T26" s="120">
        <v>20</v>
      </c>
      <c r="U26" s="531">
        <v>0.3</v>
      </c>
      <c r="V26" s="531">
        <v>0.15</v>
      </c>
      <c r="W26" s="532">
        <v>0.25</v>
      </c>
      <c r="X26" s="533">
        <v>0.45</v>
      </c>
      <c r="Y26" s="534">
        <v>6</v>
      </c>
      <c r="Z26" s="201">
        <v>0</v>
      </c>
      <c r="AA26" s="256">
        <v>3</v>
      </c>
      <c r="AB26" s="201">
        <v>0</v>
      </c>
      <c r="AC26" s="202">
        <v>5</v>
      </c>
      <c r="AD26" s="333">
        <v>6</v>
      </c>
      <c r="AE26" s="142">
        <v>0</v>
      </c>
      <c r="AF26" s="143">
        <v>0</v>
      </c>
      <c r="AG26" s="407">
        <f>125</f>
        <v>125</v>
      </c>
      <c r="AH26" s="535">
        <f>144</f>
        <v>144</v>
      </c>
      <c r="AI26" s="536">
        <f t="shared" ref="AI26:AI27" si="6">190</f>
        <v>190</v>
      </c>
      <c r="AJ26" s="537">
        <f>480</f>
        <v>480</v>
      </c>
      <c r="AK26" s="209">
        <f>700</f>
        <v>700</v>
      </c>
      <c r="AL26" s="538">
        <f>1400</f>
        <v>1400</v>
      </c>
      <c r="AM26" s="539">
        <f>200</f>
        <v>200</v>
      </c>
      <c r="AN26" s="107"/>
    </row>
    <row r="27" spans="1:40">
      <c r="A27" s="109"/>
      <c r="B27" s="5832"/>
      <c r="C27" s="149" t="s">
        <v>419</v>
      </c>
      <c r="D27" s="540">
        <v>8600</v>
      </c>
      <c r="E27" s="151"/>
      <c r="F27" s="152">
        <v>27</v>
      </c>
      <c r="G27" s="152" t="s">
        <v>1592</v>
      </c>
      <c r="H27" s="152" t="s">
        <v>1618</v>
      </c>
      <c r="I27" s="153" t="s">
        <v>1620</v>
      </c>
      <c r="J27" s="154" t="s">
        <v>1578</v>
      </c>
      <c r="K27" s="541">
        <v>3.42</v>
      </c>
      <c r="L27" s="542">
        <v>0.44</v>
      </c>
      <c r="M27" s="543">
        <v>3.2</v>
      </c>
      <c r="N27" s="381">
        <v>0.6</v>
      </c>
      <c r="O27" s="544">
        <f>0.22</f>
        <v>0.22</v>
      </c>
      <c r="P27" s="545">
        <v>0.32</v>
      </c>
      <c r="Q27" s="546">
        <v>0.25</v>
      </c>
      <c r="R27" s="547">
        <v>0.35</v>
      </c>
      <c r="S27" s="382">
        <v>2.2000000000000002</v>
      </c>
      <c r="T27" s="152">
        <v>12</v>
      </c>
      <c r="U27" s="548">
        <v>0.25</v>
      </c>
      <c r="V27" s="549">
        <v>0.41670000000000001</v>
      </c>
      <c r="W27" s="550">
        <v>0.16669999999999999</v>
      </c>
      <c r="X27" s="519">
        <v>0.66669999999999996</v>
      </c>
      <c r="Y27" s="353">
        <v>3</v>
      </c>
      <c r="Z27" s="171">
        <v>0</v>
      </c>
      <c r="AA27" s="458">
        <v>5</v>
      </c>
      <c r="AB27" s="171">
        <v>0</v>
      </c>
      <c r="AC27" s="231">
        <v>2</v>
      </c>
      <c r="AD27" s="169">
        <v>2</v>
      </c>
      <c r="AE27" s="173">
        <v>0</v>
      </c>
      <c r="AF27" s="174">
        <v>0</v>
      </c>
      <c r="AG27" s="423">
        <v>-145</v>
      </c>
      <c r="AH27" s="551">
        <v>-164</v>
      </c>
      <c r="AI27" s="552">
        <f t="shared" si="6"/>
        <v>190</v>
      </c>
      <c r="AJ27" s="285">
        <f>300</f>
        <v>300</v>
      </c>
      <c r="AK27" s="358">
        <f>725</f>
        <v>725</v>
      </c>
      <c r="AL27" s="553">
        <f>550</f>
        <v>550</v>
      </c>
      <c r="AM27" s="554">
        <f>125</f>
        <v>125</v>
      </c>
      <c r="AN27" s="107"/>
    </row>
    <row r="28" spans="1:40">
      <c r="A28" s="109"/>
      <c r="B28" s="5831">
        <v>12</v>
      </c>
      <c r="C28" s="181" t="s">
        <v>1275</v>
      </c>
      <c r="D28" s="555">
        <v>7000</v>
      </c>
      <c r="E28" s="183"/>
      <c r="F28" s="87">
        <v>30</v>
      </c>
      <c r="G28" s="87" t="s">
        <v>1582</v>
      </c>
      <c r="H28" s="87" t="s">
        <v>1586</v>
      </c>
      <c r="I28" s="184" t="s">
        <v>1621</v>
      </c>
      <c r="J28" s="185" t="s">
        <v>1578</v>
      </c>
      <c r="K28" s="556">
        <v>5.08</v>
      </c>
      <c r="L28" s="557">
        <v>0.49</v>
      </c>
      <c r="M28" s="123">
        <v>6.68</v>
      </c>
      <c r="N28" s="558">
        <v>0.48</v>
      </c>
      <c r="O28" s="131">
        <v>-1.6</v>
      </c>
      <c r="P28" s="247">
        <v>0.67</v>
      </c>
      <c r="Q28" s="504">
        <v>1</v>
      </c>
      <c r="R28" s="557">
        <v>0.65</v>
      </c>
      <c r="S28" s="472">
        <v>0.2</v>
      </c>
      <c r="T28" s="87">
        <v>32</v>
      </c>
      <c r="U28" s="559">
        <v>0.34379999999999999</v>
      </c>
      <c r="V28" s="560">
        <v>0.21879999999999999</v>
      </c>
      <c r="W28" s="561">
        <v>0.15620000000000001</v>
      </c>
      <c r="X28" s="562">
        <v>0.5625</v>
      </c>
      <c r="Y28" s="563">
        <v>11</v>
      </c>
      <c r="Z28" s="564">
        <v>2</v>
      </c>
      <c r="AA28" s="303">
        <v>7</v>
      </c>
      <c r="AB28" s="201">
        <v>0</v>
      </c>
      <c r="AC28" s="202">
        <v>5</v>
      </c>
      <c r="AD28" s="137">
        <v>7</v>
      </c>
      <c r="AE28" s="62">
        <v>0</v>
      </c>
      <c r="AF28" s="22">
        <v>0</v>
      </c>
      <c r="AG28" s="565">
        <f>260</f>
        <v>260</v>
      </c>
      <c r="AH28" s="334">
        <f>170</f>
        <v>170</v>
      </c>
      <c r="AI28" s="566">
        <v>-135</v>
      </c>
      <c r="AJ28" s="567">
        <f>325</f>
        <v>325</v>
      </c>
      <c r="AK28" s="568">
        <f>375</f>
        <v>375</v>
      </c>
      <c r="AL28" s="378">
        <f>1200</f>
        <v>1200</v>
      </c>
      <c r="AM28" s="411">
        <f>550</f>
        <v>550</v>
      </c>
      <c r="AN28" s="107"/>
    </row>
    <row r="29" spans="1:40">
      <c r="A29" s="109"/>
      <c r="B29" s="5832"/>
      <c r="C29" s="211" t="s">
        <v>1270</v>
      </c>
      <c r="D29" s="569">
        <v>9200</v>
      </c>
      <c r="E29" s="213"/>
      <c r="F29" s="85">
        <v>31</v>
      </c>
      <c r="G29" s="85" t="s">
        <v>1571</v>
      </c>
      <c r="H29" s="85" t="s">
        <v>1622</v>
      </c>
      <c r="I29" s="214" t="s">
        <v>1620</v>
      </c>
      <c r="J29" s="215" t="s">
        <v>1581</v>
      </c>
      <c r="K29" s="570">
        <v>8.23</v>
      </c>
      <c r="L29" s="571">
        <v>0.55000000000000004</v>
      </c>
      <c r="M29" s="572">
        <v>5.0999999999999996</v>
      </c>
      <c r="N29" s="573">
        <v>0.53</v>
      </c>
      <c r="O29" s="574">
        <f>3.13</f>
        <v>3.13</v>
      </c>
      <c r="P29" s="575">
        <v>1.51</v>
      </c>
      <c r="Q29" s="452">
        <v>0.66</v>
      </c>
      <c r="R29" s="219">
        <v>1</v>
      </c>
      <c r="S29" s="515">
        <v>0.8</v>
      </c>
      <c r="T29" s="85">
        <v>12</v>
      </c>
      <c r="U29" s="576">
        <v>0.41670000000000001</v>
      </c>
      <c r="V29" s="577">
        <v>8.3299999999999999E-2</v>
      </c>
      <c r="W29" s="578">
        <v>0.33329999999999999</v>
      </c>
      <c r="X29" s="579">
        <v>0.5</v>
      </c>
      <c r="Y29" s="386">
        <v>5</v>
      </c>
      <c r="Z29" s="169">
        <v>1</v>
      </c>
      <c r="AA29" s="354">
        <v>1</v>
      </c>
      <c r="AB29" s="171">
        <v>0</v>
      </c>
      <c r="AC29" s="580">
        <v>4</v>
      </c>
      <c r="AD29" s="459">
        <v>1</v>
      </c>
      <c r="AE29" s="233">
        <v>0</v>
      </c>
      <c r="AF29" s="23">
        <v>0</v>
      </c>
      <c r="AG29" s="581">
        <v>-310</v>
      </c>
      <c r="AH29" s="582">
        <v>-200</v>
      </c>
      <c r="AI29" s="583">
        <v>-135</v>
      </c>
      <c r="AJ29" s="423">
        <f>150</f>
        <v>150</v>
      </c>
      <c r="AK29" s="584">
        <f>220</f>
        <v>220</v>
      </c>
      <c r="AL29" s="585">
        <f>800</f>
        <v>800</v>
      </c>
      <c r="AM29" s="586">
        <f>165</f>
        <v>165</v>
      </c>
      <c r="AN29" s="107"/>
    </row>
    <row r="30" spans="1:40">
      <c r="A30" s="109"/>
      <c r="B30" s="5833">
        <v>13</v>
      </c>
      <c r="C30" s="117" t="s">
        <v>1355</v>
      </c>
      <c r="D30" s="587">
        <v>8000</v>
      </c>
      <c r="E30" s="119"/>
      <c r="F30" s="120">
        <v>31</v>
      </c>
      <c r="G30" s="120" t="s">
        <v>1623</v>
      </c>
      <c r="H30" s="120" t="s">
        <v>1624</v>
      </c>
      <c r="I30" s="121" t="s">
        <v>1615</v>
      </c>
      <c r="J30" s="122" t="s">
        <v>1578</v>
      </c>
      <c r="K30" s="186">
        <v>4.05</v>
      </c>
      <c r="L30" s="498">
        <v>0.46</v>
      </c>
      <c r="M30" s="588">
        <v>4.53</v>
      </c>
      <c r="N30" s="193">
        <v>0.6</v>
      </c>
      <c r="O30" s="589">
        <v>-0.48</v>
      </c>
      <c r="P30" s="293">
        <v>0.71</v>
      </c>
      <c r="Q30" s="590">
        <v>0.25</v>
      </c>
      <c r="R30" s="189">
        <v>0.66</v>
      </c>
      <c r="S30" s="131">
        <v>0</v>
      </c>
      <c r="T30" s="120">
        <v>19</v>
      </c>
      <c r="U30" s="591">
        <v>0.15790000000000001</v>
      </c>
      <c r="V30" s="195">
        <v>0</v>
      </c>
      <c r="W30" s="592">
        <v>0.52629999999999999</v>
      </c>
      <c r="X30" s="593">
        <v>0.15790000000000001</v>
      </c>
      <c r="Y30" s="594">
        <v>3</v>
      </c>
      <c r="Z30" s="203">
        <v>1</v>
      </c>
      <c r="AA30" s="200">
        <v>0</v>
      </c>
      <c r="AB30" s="139">
        <v>2</v>
      </c>
      <c r="AC30" s="332">
        <v>10</v>
      </c>
      <c r="AD30" s="141">
        <v>3</v>
      </c>
      <c r="AE30" s="142">
        <v>0</v>
      </c>
      <c r="AF30" s="143">
        <v>0</v>
      </c>
      <c r="AG30" s="595">
        <v>-190</v>
      </c>
      <c r="AH30" s="596">
        <f>120</f>
        <v>120</v>
      </c>
      <c r="AI30" s="597">
        <f t="shared" ref="AI30:AI31" si="7">300</f>
        <v>300</v>
      </c>
      <c r="AJ30" s="148">
        <f>700</f>
        <v>700</v>
      </c>
      <c r="AK30" s="148">
        <f>1400</f>
        <v>1400</v>
      </c>
      <c r="AL30" s="598">
        <f>1500</f>
        <v>1500</v>
      </c>
      <c r="AM30" s="599">
        <f>175</f>
        <v>175</v>
      </c>
      <c r="AN30" s="107"/>
    </row>
    <row r="31" spans="1:40">
      <c r="A31" s="109"/>
      <c r="B31" s="5832"/>
      <c r="C31" s="149" t="s">
        <v>1359</v>
      </c>
      <c r="D31" s="600">
        <v>8200</v>
      </c>
      <c r="E31" s="151"/>
      <c r="F31" s="152">
        <v>28</v>
      </c>
      <c r="G31" s="152" t="s">
        <v>1625</v>
      </c>
      <c r="H31" s="152" t="s">
        <v>1626</v>
      </c>
      <c r="I31" s="153" t="s">
        <v>1627</v>
      </c>
      <c r="J31" s="154" t="s">
        <v>1578</v>
      </c>
      <c r="K31" s="601">
        <v>3.27</v>
      </c>
      <c r="L31" s="512">
        <v>0.45</v>
      </c>
      <c r="M31" s="602">
        <v>4.0999999999999996</v>
      </c>
      <c r="N31" s="603">
        <v>0.46</v>
      </c>
      <c r="O31" s="604">
        <v>-0.83</v>
      </c>
      <c r="P31" s="605">
        <v>1.27</v>
      </c>
      <c r="Q31" s="606">
        <v>0.41</v>
      </c>
      <c r="R31" s="607">
        <v>0.56999999999999995</v>
      </c>
      <c r="S31" s="608">
        <v>0.4</v>
      </c>
      <c r="T31" s="152">
        <v>13</v>
      </c>
      <c r="U31" s="609">
        <v>7.6899999999999996E-2</v>
      </c>
      <c r="V31" s="610">
        <v>0.15379999999999999</v>
      </c>
      <c r="W31" s="611">
        <v>0.3846</v>
      </c>
      <c r="X31" s="612">
        <v>0.23080000000000001</v>
      </c>
      <c r="Y31" s="387">
        <v>1</v>
      </c>
      <c r="Z31" s="169">
        <v>1</v>
      </c>
      <c r="AA31" s="279">
        <v>2</v>
      </c>
      <c r="AB31" s="230">
        <v>1</v>
      </c>
      <c r="AC31" s="613">
        <v>5</v>
      </c>
      <c r="AD31" s="169">
        <v>2</v>
      </c>
      <c r="AE31" s="173">
        <v>0</v>
      </c>
      <c r="AF31" s="174">
        <v>0</v>
      </c>
      <c r="AG31" s="614">
        <f>165</f>
        <v>165</v>
      </c>
      <c r="AH31" s="615">
        <v>-140</v>
      </c>
      <c r="AI31" s="616">
        <f t="shared" si="7"/>
        <v>300</v>
      </c>
      <c r="AJ31" s="617">
        <f>400</f>
        <v>400</v>
      </c>
      <c r="AK31" s="618">
        <f>1100</f>
        <v>1100</v>
      </c>
      <c r="AL31" s="619">
        <f>600</f>
        <v>600</v>
      </c>
      <c r="AM31" s="171">
        <v>-110</v>
      </c>
      <c r="AN31" s="107"/>
    </row>
    <row r="32" spans="1:40" ht="12.75">
      <c r="A32" s="107"/>
      <c r="B32" s="107"/>
      <c r="C32" s="107"/>
      <c r="D32" s="107"/>
      <c r="E32" s="107"/>
      <c r="F32" s="107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  <c r="AN32" s="620"/>
    </row>
    <row r="34" spans="1:40" ht="12.75">
      <c r="A34" s="107"/>
      <c r="B34" s="108"/>
      <c r="C34" s="108"/>
      <c r="D34" s="108"/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7"/>
    </row>
    <row r="35" spans="1:40">
      <c r="A35" s="109"/>
      <c r="B35" s="5834" t="s">
        <v>1524</v>
      </c>
      <c r="C35" s="5840" t="s">
        <v>1525</v>
      </c>
      <c r="D35" s="5841" t="s">
        <v>1526</v>
      </c>
      <c r="E35" s="5836"/>
      <c r="F35" s="5836"/>
      <c r="G35" s="5836"/>
      <c r="H35" s="5836"/>
      <c r="I35" s="5836"/>
      <c r="J35" s="5832"/>
      <c r="K35" s="5837" t="s">
        <v>1527</v>
      </c>
      <c r="L35" s="5836"/>
      <c r="M35" s="5836"/>
      <c r="N35" s="5836"/>
      <c r="O35" s="5832"/>
      <c r="P35" s="5838" t="s">
        <v>1528</v>
      </c>
      <c r="Q35" s="5836"/>
      <c r="R35" s="5836"/>
      <c r="S35" s="5832"/>
      <c r="T35" s="5839" t="s">
        <v>1529</v>
      </c>
      <c r="U35" s="5836"/>
      <c r="V35" s="5836"/>
      <c r="W35" s="5836"/>
      <c r="X35" s="5836"/>
      <c r="Y35" s="5836"/>
      <c r="Z35" s="5836"/>
      <c r="AA35" s="5836"/>
      <c r="AB35" s="5836"/>
      <c r="AC35" s="5836"/>
      <c r="AD35" s="5836"/>
      <c r="AE35" s="5836"/>
      <c r="AF35" s="5832"/>
      <c r="AG35" s="5842" t="s">
        <v>1530</v>
      </c>
      <c r="AH35" s="5836"/>
      <c r="AI35" s="5836"/>
      <c r="AJ35" s="5836"/>
      <c r="AK35" s="5836"/>
      <c r="AL35" s="5836"/>
      <c r="AM35" s="5832"/>
      <c r="AN35" s="107"/>
    </row>
    <row r="36" spans="1:40" ht="15">
      <c r="A36" s="109"/>
      <c r="B36" s="5832"/>
      <c r="C36" s="5832"/>
      <c r="D36" s="5"/>
      <c r="E36" s="213"/>
      <c r="F36" s="111" t="s">
        <v>1533</v>
      </c>
      <c r="G36" s="111" t="s">
        <v>1534</v>
      </c>
      <c r="H36" s="111" t="s">
        <v>1535</v>
      </c>
      <c r="I36" s="111" t="s">
        <v>1536</v>
      </c>
      <c r="J36" s="111" t="s">
        <v>1537</v>
      </c>
      <c r="K36" s="111" t="s">
        <v>1538</v>
      </c>
      <c r="L36" s="111" t="s">
        <v>1539</v>
      </c>
      <c r="M36" s="111" t="s">
        <v>1540</v>
      </c>
      <c r="N36" s="111" t="s">
        <v>1541</v>
      </c>
      <c r="O36" s="111" t="s">
        <v>1542</v>
      </c>
      <c r="P36" s="111" t="s">
        <v>1543</v>
      </c>
      <c r="Q36" s="111" t="s">
        <v>1544</v>
      </c>
      <c r="R36" s="111" t="s">
        <v>1545</v>
      </c>
      <c r="S36" s="111" t="s">
        <v>1546</v>
      </c>
      <c r="T36" s="111" t="s">
        <v>1547</v>
      </c>
      <c r="U36" s="111" t="s">
        <v>1548</v>
      </c>
      <c r="V36" s="111" t="s">
        <v>1549</v>
      </c>
      <c r="W36" s="111" t="s">
        <v>1550</v>
      </c>
      <c r="X36" s="112" t="s">
        <v>1551</v>
      </c>
      <c r="Y36" s="113" t="s">
        <v>1552</v>
      </c>
      <c r="Z36" s="114" t="s">
        <v>1553</v>
      </c>
      <c r="AA36" s="113" t="s">
        <v>1554</v>
      </c>
      <c r="AB36" s="114" t="s">
        <v>1555</v>
      </c>
      <c r="AC36" s="115" t="s">
        <v>1556</v>
      </c>
      <c r="AD36" s="114" t="s">
        <v>1557</v>
      </c>
      <c r="AE36" s="113" t="s">
        <v>1558</v>
      </c>
      <c r="AF36" s="116" t="s">
        <v>1559</v>
      </c>
      <c r="AG36" s="111" t="s">
        <v>1560</v>
      </c>
      <c r="AH36" s="112" t="s">
        <v>1561</v>
      </c>
      <c r="AI36" s="111" t="s">
        <v>1562</v>
      </c>
      <c r="AJ36" s="111" t="s">
        <v>1563</v>
      </c>
      <c r="AK36" s="111" t="s">
        <v>1564</v>
      </c>
      <c r="AL36" s="111" t="s">
        <v>1565</v>
      </c>
      <c r="AM36" s="112" t="s">
        <v>1566</v>
      </c>
      <c r="AN36" s="107"/>
    </row>
    <row r="37" spans="1:40" ht="15">
      <c r="A37" s="109"/>
      <c r="B37" s="5833">
        <v>1</v>
      </c>
      <c r="C37" s="117" t="s">
        <v>1094</v>
      </c>
      <c r="D37" s="621"/>
      <c r="E37" s="119"/>
      <c r="F37" s="120">
        <v>34</v>
      </c>
      <c r="G37" s="120" t="s">
        <v>1623</v>
      </c>
      <c r="H37" s="120" t="s">
        <v>1624</v>
      </c>
      <c r="I37" s="120" t="s">
        <v>1628</v>
      </c>
      <c r="J37" s="143" t="s">
        <v>1629</v>
      </c>
      <c r="K37" s="622">
        <v>4.32</v>
      </c>
      <c r="L37" s="623">
        <v>0.49</v>
      </c>
      <c r="M37" s="624">
        <v>3.9</v>
      </c>
      <c r="N37" s="625">
        <v>0.5</v>
      </c>
      <c r="O37" s="626">
        <f>0.42</f>
        <v>0.42</v>
      </c>
      <c r="P37" s="627">
        <v>2.2000000000000002</v>
      </c>
      <c r="Q37" s="503">
        <v>0.48</v>
      </c>
      <c r="R37" s="628">
        <v>0.67</v>
      </c>
      <c r="S37" s="629">
        <v>1</v>
      </c>
      <c r="T37" s="120">
        <v>32</v>
      </c>
      <c r="U37" s="630">
        <v>0.25</v>
      </c>
      <c r="V37" s="631">
        <v>0.3125</v>
      </c>
      <c r="W37" s="632">
        <v>0.28120000000000001</v>
      </c>
      <c r="X37" s="633">
        <v>0.5625</v>
      </c>
      <c r="Y37" s="634">
        <v>8</v>
      </c>
      <c r="Z37" s="201">
        <v>0</v>
      </c>
      <c r="AA37" s="635">
        <v>10</v>
      </c>
      <c r="AB37" s="201">
        <v>0</v>
      </c>
      <c r="AC37" s="636">
        <v>9</v>
      </c>
      <c r="AD37" s="637">
        <v>5</v>
      </c>
      <c r="AE37" s="142">
        <v>0</v>
      </c>
      <c r="AF37" s="143">
        <v>0</v>
      </c>
      <c r="AG37" s="638">
        <v>-255</v>
      </c>
      <c r="AH37" s="639">
        <v>-188</v>
      </c>
      <c r="AI37" s="119"/>
      <c r="AJ37" s="640"/>
      <c r="AK37" s="640"/>
      <c r="AL37" s="640"/>
      <c r="AM37" s="119"/>
      <c r="AN37" s="107"/>
    </row>
    <row r="38" spans="1:40" ht="15">
      <c r="A38" s="109"/>
      <c r="B38" s="5832"/>
      <c r="C38" s="149" t="s">
        <v>480</v>
      </c>
      <c r="D38" s="641"/>
      <c r="E38" s="151"/>
      <c r="F38" s="152">
        <v>28</v>
      </c>
      <c r="G38" s="152" t="s">
        <v>1630</v>
      </c>
      <c r="H38" s="152" t="s">
        <v>1631</v>
      </c>
      <c r="I38" s="642">
        <v>36861</v>
      </c>
      <c r="J38" s="174" t="s">
        <v>1629</v>
      </c>
      <c r="K38" s="413">
        <v>4.57</v>
      </c>
      <c r="L38" s="643">
        <v>0.48</v>
      </c>
      <c r="M38" s="644">
        <v>3.64</v>
      </c>
      <c r="N38" s="156">
        <v>0.55000000000000004</v>
      </c>
      <c r="O38" s="645">
        <f>0.93</f>
        <v>0.93</v>
      </c>
      <c r="P38" s="646">
        <v>1.69</v>
      </c>
      <c r="Q38" s="647">
        <v>0.3</v>
      </c>
      <c r="R38" s="648">
        <v>0.77</v>
      </c>
      <c r="S38" s="649">
        <v>0.8</v>
      </c>
      <c r="T38" s="152">
        <v>13</v>
      </c>
      <c r="U38" s="650">
        <v>0.15379999999999999</v>
      </c>
      <c r="V38" s="651">
        <v>0.46150000000000002</v>
      </c>
      <c r="W38" s="652">
        <v>0.30769999999999997</v>
      </c>
      <c r="X38" s="653">
        <v>0.61539999999999995</v>
      </c>
      <c r="Y38" s="421">
        <v>2</v>
      </c>
      <c r="Z38" s="171">
        <v>0</v>
      </c>
      <c r="AA38" s="654">
        <v>6</v>
      </c>
      <c r="AB38" s="171">
        <v>0</v>
      </c>
      <c r="AC38" s="386">
        <v>4</v>
      </c>
      <c r="AD38" s="169">
        <v>1</v>
      </c>
      <c r="AE38" s="173">
        <v>0</v>
      </c>
      <c r="AF38" s="174">
        <v>0</v>
      </c>
      <c r="AG38" s="655">
        <f>215</f>
        <v>215</v>
      </c>
      <c r="AH38" s="656">
        <f>163</f>
        <v>163</v>
      </c>
      <c r="AI38" s="151"/>
      <c r="AJ38" s="657"/>
      <c r="AK38" s="657"/>
      <c r="AL38" s="657"/>
      <c r="AM38" s="151"/>
      <c r="AN38" s="107"/>
    </row>
    <row r="39" spans="1:40" ht="15">
      <c r="A39" s="109"/>
      <c r="B39" s="5831">
        <v>2</v>
      </c>
      <c r="C39" s="181" t="s">
        <v>69</v>
      </c>
      <c r="D39" s="658"/>
      <c r="E39" s="183"/>
      <c r="F39" s="87">
        <v>30</v>
      </c>
      <c r="G39" s="87" t="s">
        <v>1630</v>
      </c>
      <c r="H39" s="87" t="s">
        <v>1618</v>
      </c>
      <c r="I39" s="87" t="s">
        <v>1632</v>
      </c>
      <c r="J39" s="22" t="s">
        <v>1629</v>
      </c>
      <c r="K39" s="659">
        <v>4.6399999999999997</v>
      </c>
      <c r="L39" s="660">
        <v>0.5</v>
      </c>
      <c r="M39" s="661">
        <v>3.76</v>
      </c>
      <c r="N39" s="431">
        <v>0.57999999999999996</v>
      </c>
      <c r="O39" s="662">
        <f>0.88</f>
        <v>0.88</v>
      </c>
      <c r="P39" s="663">
        <v>0.44</v>
      </c>
      <c r="Q39" s="664">
        <v>0.41</v>
      </c>
      <c r="R39" s="665">
        <v>0.69</v>
      </c>
      <c r="S39" s="666">
        <v>0.1</v>
      </c>
      <c r="T39" s="87">
        <v>23</v>
      </c>
      <c r="U39" s="667">
        <v>0.39129999999999998</v>
      </c>
      <c r="V39" s="668">
        <v>8.6999999999999994E-2</v>
      </c>
      <c r="W39" s="669">
        <v>0.3478</v>
      </c>
      <c r="X39" s="670">
        <v>0.4783</v>
      </c>
      <c r="Y39" s="671">
        <v>9</v>
      </c>
      <c r="Z39" s="203">
        <v>1</v>
      </c>
      <c r="AA39" s="672">
        <v>2</v>
      </c>
      <c r="AB39" s="201">
        <v>0</v>
      </c>
      <c r="AC39" s="673">
        <v>8</v>
      </c>
      <c r="AD39" s="674">
        <v>2</v>
      </c>
      <c r="AE39" s="62">
        <v>0</v>
      </c>
      <c r="AF39" s="137">
        <v>1</v>
      </c>
      <c r="AG39" s="675">
        <f>100</f>
        <v>100</v>
      </c>
      <c r="AH39" s="676">
        <v>-157</v>
      </c>
      <c r="AI39" s="183"/>
      <c r="AJ39" s="6"/>
      <c r="AK39" s="6"/>
      <c r="AL39" s="6"/>
      <c r="AM39" s="183"/>
      <c r="AN39" s="107"/>
    </row>
    <row r="40" spans="1:40" ht="15">
      <c r="A40" s="109"/>
      <c r="B40" s="5832"/>
      <c r="C40" s="211" t="s">
        <v>83</v>
      </c>
      <c r="D40" s="677"/>
      <c r="E40" s="213"/>
      <c r="F40" s="85">
        <v>37</v>
      </c>
      <c r="G40" s="85" t="s">
        <v>1592</v>
      </c>
      <c r="H40" s="85" t="s">
        <v>1618</v>
      </c>
      <c r="I40" s="85" t="s">
        <v>1633</v>
      </c>
      <c r="J40" s="23" t="s">
        <v>1634</v>
      </c>
      <c r="K40" s="678">
        <v>3.57</v>
      </c>
      <c r="L40" s="342">
        <v>0.46</v>
      </c>
      <c r="M40" s="267">
        <v>3.74</v>
      </c>
      <c r="N40" s="514">
        <v>0.6</v>
      </c>
      <c r="O40" s="679">
        <v>-0.17</v>
      </c>
      <c r="P40" s="680">
        <v>0.49</v>
      </c>
      <c r="Q40" s="681">
        <v>0.54</v>
      </c>
      <c r="R40" s="682">
        <v>0.91</v>
      </c>
      <c r="S40" s="683">
        <v>0.1</v>
      </c>
      <c r="T40" s="85">
        <v>39</v>
      </c>
      <c r="U40" s="684">
        <v>0.43590000000000001</v>
      </c>
      <c r="V40" s="685">
        <v>2.5600000000000001E-2</v>
      </c>
      <c r="W40" s="686">
        <v>0.33329999999999999</v>
      </c>
      <c r="X40" s="687">
        <v>0.46150000000000002</v>
      </c>
      <c r="Y40" s="688">
        <v>17</v>
      </c>
      <c r="Z40" s="689">
        <v>4</v>
      </c>
      <c r="AA40" s="354">
        <v>1</v>
      </c>
      <c r="AB40" s="690">
        <v>1</v>
      </c>
      <c r="AC40" s="229">
        <v>13</v>
      </c>
      <c r="AD40" s="691">
        <v>3</v>
      </c>
      <c r="AE40" s="233">
        <v>0</v>
      </c>
      <c r="AF40" s="23">
        <v>0</v>
      </c>
      <c r="AG40" s="692">
        <v>-120</v>
      </c>
      <c r="AH40" s="693">
        <f>137</f>
        <v>137</v>
      </c>
      <c r="AI40" s="213"/>
      <c r="AJ40" s="5"/>
      <c r="AK40" s="5"/>
      <c r="AL40" s="5"/>
      <c r="AM40" s="213"/>
      <c r="AN40" s="107"/>
    </row>
    <row r="41" spans="1:40" ht="15">
      <c r="A41" s="109"/>
      <c r="B41" s="5833">
        <v>3</v>
      </c>
      <c r="C41" s="117" t="s">
        <v>622</v>
      </c>
      <c r="D41" s="694"/>
      <c r="E41" s="119"/>
      <c r="F41" s="120">
        <v>35</v>
      </c>
      <c r="G41" s="120" t="s">
        <v>1585</v>
      </c>
      <c r="H41" s="120" t="s">
        <v>1576</v>
      </c>
      <c r="I41" s="120" t="s">
        <v>1635</v>
      </c>
      <c r="J41" s="695">
        <v>45325</v>
      </c>
      <c r="K41" s="325">
        <v>3.21</v>
      </c>
      <c r="L41" s="124">
        <v>0.48</v>
      </c>
      <c r="M41" s="696">
        <v>4.47</v>
      </c>
      <c r="N41" s="697">
        <v>0.46</v>
      </c>
      <c r="O41" s="131">
        <v>-1.26</v>
      </c>
      <c r="P41" s="698">
        <v>0.49</v>
      </c>
      <c r="Q41" s="699">
        <v>0.26</v>
      </c>
      <c r="R41" s="700">
        <v>0.48</v>
      </c>
      <c r="S41" s="701">
        <v>0.6</v>
      </c>
      <c r="T41" s="120">
        <v>56</v>
      </c>
      <c r="U41" s="702">
        <v>0.33929999999999999</v>
      </c>
      <c r="V41" s="703">
        <v>0.25</v>
      </c>
      <c r="W41" s="704">
        <v>5.3600000000000002E-2</v>
      </c>
      <c r="X41" s="705">
        <v>0.58930000000000005</v>
      </c>
      <c r="Y41" s="136">
        <v>19</v>
      </c>
      <c r="Z41" s="137">
        <v>11</v>
      </c>
      <c r="AA41" s="136">
        <v>14</v>
      </c>
      <c r="AB41" s="137">
        <v>4</v>
      </c>
      <c r="AC41" s="301">
        <v>3</v>
      </c>
      <c r="AD41" s="706">
        <v>4</v>
      </c>
      <c r="AE41" s="142">
        <v>0</v>
      </c>
      <c r="AF41" s="143">
        <v>0</v>
      </c>
      <c r="AG41" s="337">
        <f>300</f>
        <v>300</v>
      </c>
      <c r="AH41" s="707">
        <f>400</f>
        <v>400</v>
      </c>
      <c r="AI41" s="119"/>
      <c r="AJ41" s="640"/>
      <c r="AK41" s="640"/>
      <c r="AL41" s="640"/>
      <c r="AM41" s="119"/>
      <c r="AN41" s="107"/>
    </row>
    <row r="42" spans="1:40" ht="15">
      <c r="A42" s="109"/>
      <c r="B42" s="5832"/>
      <c r="C42" s="149" t="s">
        <v>623</v>
      </c>
      <c r="D42" s="708"/>
      <c r="E42" s="151"/>
      <c r="F42" s="152">
        <v>26</v>
      </c>
      <c r="G42" s="152" t="s">
        <v>1571</v>
      </c>
      <c r="H42" s="152" t="s">
        <v>1586</v>
      </c>
      <c r="I42" s="152" t="s">
        <v>1636</v>
      </c>
      <c r="J42" s="174" t="s">
        <v>1629</v>
      </c>
      <c r="K42" s="709">
        <v>2.74</v>
      </c>
      <c r="L42" s="710">
        <v>0.45</v>
      </c>
      <c r="M42" s="711">
        <v>2.4900000000000002</v>
      </c>
      <c r="N42" s="712">
        <v>0.45</v>
      </c>
      <c r="O42" s="713">
        <f>0.25</f>
        <v>0.25</v>
      </c>
      <c r="P42" s="714">
        <v>3.86</v>
      </c>
      <c r="Q42" s="715">
        <v>0.68</v>
      </c>
      <c r="R42" s="716">
        <v>0.71</v>
      </c>
      <c r="S42" s="649">
        <v>0.8</v>
      </c>
      <c r="T42" s="152">
        <v>11</v>
      </c>
      <c r="U42" s="717">
        <v>0.63639999999999997</v>
      </c>
      <c r="V42" s="718">
        <v>9.0899999999999995E-2</v>
      </c>
      <c r="W42" s="719">
        <v>0.2727</v>
      </c>
      <c r="X42" s="720">
        <v>0.72729999999999995</v>
      </c>
      <c r="Y42" s="386">
        <v>7</v>
      </c>
      <c r="Z42" s="171">
        <v>0</v>
      </c>
      <c r="AA42" s="354">
        <v>1</v>
      </c>
      <c r="AB42" s="171">
        <v>0</v>
      </c>
      <c r="AC42" s="721">
        <v>3</v>
      </c>
      <c r="AD42" s="171">
        <v>0</v>
      </c>
      <c r="AE42" s="173">
        <v>0</v>
      </c>
      <c r="AF42" s="174">
        <v>0</v>
      </c>
      <c r="AG42" s="722">
        <v>-400</v>
      </c>
      <c r="AH42" s="723">
        <v>-550</v>
      </c>
      <c r="AI42" s="151"/>
      <c r="AJ42" s="657"/>
      <c r="AK42" s="657"/>
      <c r="AL42" s="657"/>
      <c r="AM42" s="151"/>
      <c r="AN42" s="107"/>
    </row>
    <row r="43" spans="1:40" ht="15">
      <c r="A43" s="109"/>
      <c r="B43" s="5831">
        <v>4</v>
      </c>
      <c r="C43" s="181" t="s">
        <v>970</v>
      </c>
      <c r="D43" s="724"/>
      <c r="E43" s="183"/>
      <c r="F43" s="87">
        <v>30</v>
      </c>
      <c r="G43" s="87" t="s">
        <v>1603</v>
      </c>
      <c r="H43" s="87" t="s">
        <v>1595</v>
      </c>
      <c r="I43" s="87" t="s">
        <v>1637</v>
      </c>
      <c r="J43" s="22" t="s">
        <v>1629</v>
      </c>
      <c r="K43" s="725">
        <v>5.15</v>
      </c>
      <c r="L43" s="726">
        <v>0.54</v>
      </c>
      <c r="M43" s="396">
        <v>3.71</v>
      </c>
      <c r="N43" s="431">
        <v>0.57999999999999996</v>
      </c>
      <c r="O43" s="727">
        <f>1.44</f>
        <v>1.44</v>
      </c>
      <c r="P43" s="728">
        <v>1.55</v>
      </c>
      <c r="Q43" s="729">
        <v>0.55000000000000004</v>
      </c>
      <c r="R43" s="730">
        <v>0.94</v>
      </c>
      <c r="S43" s="434">
        <v>0.7</v>
      </c>
      <c r="T43" s="87">
        <v>43</v>
      </c>
      <c r="U43" s="731">
        <v>0.25580000000000003</v>
      </c>
      <c r="V43" s="732">
        <v>0.186</v>
      </c>
      <c r="W43" s="733">
        <v>0.25580000000000003</v>
      </c>
      <c r="X43" s="734">
        <v>0.44190000000000002</v>
      </c>
      <c r="Y43" s="735">
        <v>11</v>
      </c>
      <c r="Z43" s="203">
        <v>1</v>
      </c>
      <c r="AA43" s="736">
        <v>8</v>
      </c>
      <c r="AB43" s="737">
        <v>1</v>
      </c>
      <c r="AC43" s="738">
        <v>11</v>
      </c>
      <c r="AD43" s="137">
        <v>8</v>
      </c>
      <c r="AE43" s="62">
        <v>0</v>
      </c>
      <c r="AF43" s="137">
        <v>1</v>
      </c>
      <c r="AG43" s="410">
        <v>-500</v>
      </c>
      <c r="AH43" s="201">
        <v>-600</v>
      </c>
      <c r="AI43" s="183"/>
      <c r="AJ43" s="6"/>
      <c r="AK43" s="6"/>
      <c r="AL43" s="6"/>
      <c r="AM43" s="183"/>
      <c r="AN43" s="107"/>
    </row>
    <row r="44" spans="1:40" ht="15">
      <c r="A44" s="109"/>
      <c r="B44" s="5832"/>
      <c r="C44" s="211" t="s">
        <v>652</v>
      </c>
      <c r="D44" s="739"/>
      <c r="E44" s="213"/>
      <c r="F44" s="85">
        <v>27</v>
      </c>
      <c r="G44" s="85" t="s">
        <v>1567</v>
      </c>
      <c r="H44" s="85" t="s">
        <v>1622</v>
      </c>
      <c r="I44" s="85" t="s">
        <v>1638</v>
      </c>
      <c r="J44" s="740">
        <v>45325</v>
      </c>
      <c r="K44" s="741">
        <v>5.19</v>
      </c>
      <c r="L44" s="742">
        <v>0.5</v>
      </c>
      <c r="M44" s="743">
        <v>5.01</v>
      </c>
      <c r="N44" s="744">
        <v>0.51</v>
      </c>
      <c r="O44" s="745">
        <f>0.18</f>
        <v>0.18</v>
      </c>
      <c r="P44" s="383">
        <v>0</v>
      </c>
      <c r="Q44" s="222">
        <v>0</v>
      </c>
      <c r="R44" s="746">
        <v>0.56999999999999995</v>
      </c>
      <c r="S44" s="223">
        <v>0</v>
      </c>
      <c r="T44" s="85">
        <v>25</v>
      </c>
      <c r="U44" s="747">
        <v>0.36</v>
      </c>
      <c r="V44" s="748">
        <v>0.24</v>
      </c>
      <c r="W44" s="749">
        <v>0.2</v>
      </c>
      <c r="X44" s="167">
        <v>0.6</v>
      </c>
      <c r="Y44" s="750">
        <v>9</v>
      </c>
      <c r="Z44" s="689">
        <v>4</v>
      </c>
      <c r="AA44" s="654">
        <v>6</v>
      </c>
      <c r="AB44" s="171">
        <v>0</v>
      </c>
      <c r="AC44" s="751">
        <v>5</v>
      </c>
      <c r="AD44" s="169">
        <v>1</v>
      </c>
      <c r="AE44" s="233">
        <v>0</v>
      </c>
      <c r="AF44" s="23">
        <v>0</v>
      </c>
      <c r="AG44" s="752">
        <f>375</f>
        <v>375</v>
      </c>
      <c r="AH44" s="753">
        <f t="shared" ref="AH44:AH45" si="8">425</f>
        <v>425</v>
      </c>
      <c r="AI44" s="213"/>
      <c r="AJ44" s="5"/>
      <c r="AK44" s="5"/>
      <c r="AL44" s="5"/>
      <c r="AM44" s="213"/>
      <c r="AN44" s="107"/>
    </row>
    <row r="45" spans="1:40" ht="15">
      <c r="A45" s="109"/>
      <c r="B45" s="5833">
        <v>5</v>
      </c>
      <c r="C45" s="117" t="s">
        <v>976</v>
      </c>
      <c r="D45" s="754"/>
      <c r="E45" s="119"/>
      <c r="F45" s="120">
        <v>36</v>
      </c>
      <c r="G45" s="120" t="s">
        <v>1567</v>
      </c>
      <c r="H45" s="120" t="s">
        <v>1576</v>
      </c>
      <c r="I45" s="120" t="s">
        <v>1639</v>
      </c>
      <c r="J45" s="695">
        <v>45325</v>
      </c>
      <c r="K45" s="755">
        <v>2.42</v>
      </c>
      <c r="L45" s="498">
        <v>0.46</v>
      </c>
      <c r="M45" s="756">
        <v>2.86</v>
      </c>
      <c r="N45" s="757">
        <v>0.45</v>
      </c>
      <c r="O45" s="758">
        <v>-0.44</v>
      </c>
      <c r="P45" s="556">
        <v>1.76</v>
      </c>
      <c r="Q45" s="759">
        <v>0.22</v>
      </c>
      <c r="R45" s="760">
        <v>0.37</v>
      </c>
      <c r="S45" s="530">
        <v>1.6</v>
      </c>
      <c r="T45" s="120">
        <v>25</v>
      </c>
      <c r="U45" s="761">
        <v>0.16</v>
      </c>
      <c r="V45" s="762">
        <v>0.52</v>
      </c>
      <c r="W45" s="195">
        <v>0</v>
      </c>
      <c r="X45" s="763">
        <v>0.68</v>
      </c>
      <c r="Y45" s="257">
        <v>4</v>
      </c>
      <c r="Z45" s="764">
        <v>4</v>
      </c>
      <c r="AA45" s="765">
        <v>13</v>
      </c>
      <c r="AB45" s="199">
        <v>2</v>
      </c>
      <c r="AC45" s="200">
        <v>0</v>
      </c>
      <c r="AD45" s="203">
        <v>1</v>
      </c>
      <c r="AE45" s="142">
        <v>0</v>
      </c>
      <c r="AF45" s="143">
        <v>0</v>
      </c>
      <c r="AG45" s="766">
        <f>290</f>
        <v>290</v>
      </c>
      <c r="AH45" s="137">
        <f t="shared" si="8"/>
        <v>425</v>
      </c>
      <c r="AI45" s="119"/>
      <c r="AJ45" s="640"/>
      <c r="AK45" s="640"/>
      <c r="AL45" s="640"/>
      <c r="AM45" s="119"/>
      <c r="AN45" s="107"/>
    </row>
    <row r="46" spans="1:40" ht="15">
      <c r="A46" s="109"/>
      <c r="B46" s="5832"/>
      <c r="C46" s="149" t="s">
        <v>977</v>
      </c>
      <c r="D46" s="767"/>
      <c r="E46" s="151"/>
      <c r="F46" s="152">
        <v>31</v>
      </c>
      <c r="G46" s="152" t="s">
        <v>1575</v>
      </c>
      <c r="H46" s="152" t="s">
        <v>1622</v>
      </c>
      <c r="I46" s="152" t="s">
        <v>1640</v>
      </c>
      <c r="J46" s="174" t="s">
        <v>1629</v>
      </c>
      <c r="K46" s="709">
        <v>2.73</v>
      </c>
      <c r="L46" s="219">
        <v>0.57999999999999996</v>
      </c>
      <c r="M46" s="768">
        <v>1.98</v>
      </c>
      <c r="N46" s="514">
        <v>0.6</v>
      </c>
      <c r="O46" s="769">
        <f>0.75</f>
        <v>0.75</v>
      </c>
      <c r="P46" s="413">
        <v>2.16</v>
      </c>
      <c r="Q46" s="770">
        <v>0.63</v>
      </c>
      <c r="R46" s="746">
        <v>0.56999999999999995</v>
      </c>
      <c r="S46" s="771">
        <v>0.5</v>
      </c>
      <c r="T46" s="152">
        <v>17</v>
      </c>
      <c r="U46" s="772">
        <v>0.23530000000000001</v>
      </c>
      <c r="V46" s="773">
        <v>0.23530000000000001</v>
      </c>
      <c r="W46" s="774">
        <v>0.4118</v>
      </c>
      <c r="X46" s="775">
        <v>0.47060000000000002</v>
      </c>
      <c r="Y46" s="231">
        <v>4</v>
      </c>
      <c r="Z46" s="171">
        <v>0</v>
      </c>
      <c r="AA46" s="776">
        <v>4</v>
      </c>
      <c r="AB46" s="171">
        <v>0</v>
      </c>
      <c r="AC46" s="777">
        <v>7</v>
      </c>
      <c r="AD46" s="169">
        <v>1</v>
      </c>
      <c r="AE46" s="173">
        <v>0</v>
      </c>
      <c r="AF46" s="174">
        <v>0</v>
      </c>
      <c r="AG46" s="778">
        <v>-355</v>
      </c>
      <c r="AH46" s="171">
        <v>-600</v>
      </c>
      <c r="AI46" s="151"/>
      <c r="AJ46" s="657"/>
      <c r="AK46" s="657"/>
      <c r="AL46" s="657"/>
      <c r="AM46" s="151"/>
      <c r="AN46" s="107"/>
    </row>
    <row r="47" spans="1:40" ht="15">
      <c r="A47" s="109"/>
      <c r="B47" s="5831">
        <v>6</v>
      </c>
      <c r="C47" s="181" t="s">
        <v>239</v>
      </c>
      <c r="D47" s="779"/>
      <c r="E47" s="183"/>
      <c r="F47" s="87">
        <v>29</v>
      </c>
      <c r="G47" s="87" t="s">
        <v>1630</v>
      </c>
      <c r="H47" s="87" t="s">
        <v>1641</v>
      </c>
      <c r="I47" s="87" t="s">
        <v>1642</v>
      </c>
      <c r="J47" s="780">
        <v>45383</v>
      </c>
      <c r="K47" s="781">
        <v>3.84</v>
      </c>
      <c r="L47" s="504">
        <v>0.57999999999999996</v>
      </c>
      <c r="M47" s="782">
        <v>2.2000000000000002</v>
      </c>
      <c r="N47" s="783">
        <v>0.56999999999999995</v>
      </c>
      <c r="O47" s="784">
        <f>1.64</f>
        <v>1.64</v>
      </c>
      <c r="P47" s="191">
        <v>3.42</v>
      </c>
      <c r="Q47" s="364">
        <v>0.4</v>
      </c>
      <c r="R47" s="243">
        <v>0.79</v>
      </c>
      <c r="S47" s="434">
        <v>0.7</v>
      </c>
      <c r="T47" s="87">
        <v>18</v>
      </c>
      <c r="U47" s="785">
        <v>0.22220000000000001</v>
      </c>
      <c r="V47" s="786">
        <v>0.5</v>
      </c>
      <c r="W47" s="252">
        <v>0.22220000000000001</v>
      </c>
      <c r="X47" s="787">
        <v>0.72219999999999995</v>
      </c>
      <c r="Y47" s="257">
        <v>4</v>
      </c>
      <c r="Z47" s="201">
        <v>0</v>
      </c>
      <c r="AA47" s="788">
        <v>9</v>
      </c>
      <c r="AB47" s="737">
        <v>1</v>
      </c>
      <c r="AC47" s="256">
        <v>4</v>
      </c>
      <c r="AD47" s="201">
        <v>0</v>
      </c>
      <c r="AE47" s="62">
        <v>0</v>
      </c>
      <c r="AF47" s="22">
        <v>0</v>
      </c>
      <c r="AG47" s="675">
        <f>100</f>
        <v>100</v>
      </c>
      <c r="AH47" s="789">
        <f>118</f>
        <v>118</v>
      </c>
      <c r="AI47" s="183"/>
      <c r="AJ47" s="6"/>
      <c r="AK47" s="6"/>
      <c r="AL47" s="6"/>
      <c r="AM47" s="183"/>
      <c r="AN47" s="107"/>
    </row>
    <row r="48" spans="1:40" ht="15">
      <c r="A48" s="109"/>
      <c r="B48" s="5832"/>
      <c r="C48" s="211" t="s">
        <v>240</v>
      </c>
      <c r="D48" s="790"/>
      <c r="E48" s="213"/>
      <c r="F48" s="85">
        <v>29</v>
      </c>
      <c r="G48" s="85" t="s">
        <v>1630</v>
      </c>
      <c r="H48" s="85" t="s">
        <v>1616</v>
      </c>
      <c r="I48" s="85" t="s">
        <v>1643</v>
      </c>
      <c r="J48" s="740">
        <v>45383</v>
      </c>
      <c r="K48" s="791">
        <v>3.32</v>
      </c>
      <c r="L48" s="770">
        <v>0.51</v>
      </c>
      <c r="M48" s="792">
        <v>2.62</v>
      </c>
      <c r="N48" s="793">
        <v>0.47</v>
      </c>
      <c r="O48" s="794">
        <f>0.7</f>
        <v>0.7</v>
      </c>
      <c r="P48" s="570">
        <v>3.4</v>
      </c>
      <c r="Q48" s="347">
        <v>0.75</v>
      </c>
      <c r="R48" s="795">
        <v>0.5</v>
      </c>
      <c r="S48" s="649">
        <v>0.8</v>
      </c>
      <c r="T48" s="85">
        <v>20</v>
      </c>
      <c r="U48" s="796">
        <v>0.35</v>
      </c>
      <c r="V48" s="797">
        <v>0.35</v>
      </c>
      <c r="W48" s="798">
        <v>0.1</v>
      </c>
      <c r="X48" s="799">
        <v>0.7</v>
      </c>
      <c r="Y48" s="386">
        <v>7</v>
      </c>
      <c r="Z48" s="169">
        <v>1</v>
      </c>
      <c r="AA48" s="800">
        <v>7</v>
      </c>
      <c r="AB48" s="690">
        <v>1</v>
      </c>
      <c r="AC48" s="353">
        <v>2</v>
      </c>
      <c r="AD48" s="169">
        <v>1</v>
      </c>
      <c r="AE48" s="233">
        <v>0</v>
      </c>
      <c r="AF48" s="23">
        <v>0</v>
      </c>
      <c r="AG48" s="692">
        <v>-120</v>
      </c>
      <c r="AH48" s="801">
        <v>-138</v>
      </c>
      <c r="AI48" s="213"/>
      <c r="AJ48" s="5"/>
      <c r="AK48" s="5"/>
      <c r="AL48" s="5"/>
      <c r="AM48" s="213"/>
      <c r="AN48" s="107"/>
    </row>
    <row r="49" spans="1:40" ht="15">
      <c r="A49" s="109"/>
      <c r="B49" s="5833">
        <v>7</v>
      </c>
      <c r="C49" s="117" t="s">
        <v>1427</v>
      </c>
      <c r="D49" s="802"/>
      <c r="E49" s="119"/>
      <c r="F49" s="120">
        <v>38</v>
      </c>
      <c r="G49" s="120" t="s">
        <v>1644</v>
      </c>
      <c r="H49" s="120" t="s">
        <v>1626</v>
      </c>
      <c r="I49" s="120" t="s">
        <v>1645</v>
      </c>
      <c r="J49" s="695">
        <v>45383</v>
      </c>
      <c r="K49" s="803">
        <v>5.92</v>
      </c>
      <c r="L49" s="804">
        <v>0.43</v>
      </c>
      <c r="M49" s="805">
        <v>5.55</v>
      </c>
      <c r="N49" s="806">
        <v>0.59</v>
      </c>
      <c r="O49" s="292">
        <f>0.37</f>
        <v>0.37</v>
      </c>
      <c r="P49" s="807">
        <v>0.36</v>
      </c>
      <c r="Q49" s="699">
        <v>0.26</v>
      </c>
      <c r="R49" s="808">
        <v>0.74</v>
      </c>
      <c r="S49" s="809">
        <v>0.2</v>
      </c>
      <c r="T49" s="120">
        <v>23</v>
      </c>
      <c r="U49" s="810">
        <v>4.3499999999999997E-2</v>
      </c>
      <c r="V49" s="811">
        <v>0.13039999999999999</v>
      </c>
      <c r="W49" s="812">
        <v>0.52170000000000005</v>
      </c>
      <c r="X49" s="813">
        <v>0.1739</v>
      </c>
      <c r="Y49" s="814">
        <v>1</v>
      </c>
      <c r="Z49" s="203">
        <v>1</v>
      </c>
      <c r="AA49" s="256">
        <v>3</v>
      </c>
      <c r="AB49" s="199">
        <v>2</v>
      </c>
      <c r="AC49" s="815">
        <v>12</v>
      </c>
      <c r="AD49" s="706">
        <v>4</v>
      </c>
      <c r="AE49" s="142">
        <v>0</v>
      </c>
      <c r="AF49" s="143">
        <v>0</v>
      </c>
      <c r="AG49" s="816">
        <f>275</f>
        <v>275</v>
      </c>
      <c r="AH49" s="817">
        <f>355</f>
        <v>355</v>
      </c>
      <c r="AI49" s="119"/>
      <c r="AJ49" s="640"/>
      <c r="AK49" s="640"/>
      <c r="AL49" s="640"/>
      <c r="AM49" s="119"/>
      <c r="AN49" s="107"/>
    </row>
    <row r="50" spans="1:40" ht="15">
      <c r="A50" s="109"/>
      <c r="B50" s="5832"/>
      <c r="C50" s="149" t="s">
        <v>1458</v>
      </c>
      <c r="D50" s="818"/>
      <c r="E50" s="151"/>
      <c r="F50" s="152">
        <v>22</v>
      </c>
      <c r="G50" s="152" t="s">
        <v>1644</v>
      </c>
      <c r="H50" s="152" t="s">
        <v>1593</v>
      </c>
      <c r="I50" s="152" t="s">
        <v>1646</v>
      </c>
      <c r="J50" s="819">
        <v>45383</v>
      </c>
      <c r="K50" s="791">
        <v>3.33</v>
      </c>
      <c r="L50" s="222">
        <v>0.39</v>
      </c>
      <c r="M50" s="543">
        <v>3.23</v>
      </c>
      <c r="N50" s="312">
        <v>0.67</v>
      </c>
      <c r="O50" s="820">
        <f>0.1</f>
        <v>0.1</v>
      </c>
      <c r="P50" s="448">
        <v>2.33</v>
      </c>
      <c r="Q50" s="821">
        <v>0.66</v>
      </c>
      <c r="R50" s="822">
        <v>0.66</v>
      </c>
      <c r="S50" s="344">
        <v>0.4</v>
      </c>
      <c r="T50" s="152">
        <v>20</v>
      </c>
      <c r="U50" s="823">
        <v>0.4</v>
      </c>
      <c r="V50" s="824">
        <v>0.15</v>
      </c>
      <c r="W50" s="749">
        <v>0.2</v>
      </c>
      <c r="X50" s="825">
        <v>0.55000000000000004</v>
      </c>
      <c r="Y50" s="826">
        <v>8</v>
      </c>
      <c r="Z50" s="169">
        <v>1</v>
      </c>
      <c r="AA50" s="386">
        <v>3</v>
      </c>
      <c r="AB50" s="827">
        <v>2</v>
      </c>
      <c r="AC50" s="386">
        <v>4</v>
      </c>
      <c r="AD50" s="230">
        <v>2</v>
      </c>
      <c r="AE50" s="173">
        <v>0</v>
      </c>
      <c r="AF50" s="174">
        <v>0</v>
      </c>
      <c r="AG50" s="828">
        <v>-325</v>
      </c>
      <c r="AH50" s="829">
        <v>-425</v>
      </c>
      <c r="AI50" s="151"/>
      <c r="AJ50" s="657"/>
      <c r="AK50" s="657"/>
      <c r="AL50" s="657"/>
      <c r="AM50" s="151"/>
      <c r="AN50" s="107"/>
    </row>
    <row r="51" spans="1:40" ht="15">
      <c r="A51" s="109"/>
      <c r="B51" s="5831">
        <v>8</v>
      </c>
      <c r="C51" s="181" t="s">
        <v>229</v>
      </c>
      <c r="D51" s="830"/>
      <c r="E51" s="183"/>
      <c r="F51" s="87">
        <v>26</v>
      </c>
      <c r="G51" s="87" t="s">
        <v>1575</v>
      </c>
      <c r="H51" s="87" t="s">
        <v>1616</v>
      </c>
      <c r="I51" s="87" t="s">
        <v>1647</v>
      </c>
      <c r="J51" s="22" t="s">
        <v>1629</v>
      </c>
      <c r="K51" s="659">
        <v>4.6399999999999997</v>
      </c>
      <c r="L51" s="498">
        <v>0.46</v>
      </c>
      <c r="M51" s="831">
        <v>5.05</v>
      </c>
      <c r="N51" s="832">
        <v>0.55000000000000004</v>
      </c>
      <c r="O51" s="833">
        <v>-0.41</v>
      </c>
      <c r="P51" s="834">
        <v>0.93</v>
      </c>
      <c r="Q51" s="835">
        <v>0.2</v>
      </c>
      <c r="R51" s="326">
        <v>0.85</v>
      </c>
      <c r="S51" s="131">
        <v>0</v>
      </c>
      <c r="T51" s="87">
        <v>19</v>
      </c>
      <c r="U51" s="836">
        <v>0.15790000000000001</v>
      </c>
      <c r="V51" s="812">
        <v>0.57889999999999997</v>
      </c>
      <c r="W51" s="836">
        <v>0.1053</v>
      </c>
      <c r="X51" s="837">
        <v>0.73680000000000001</v>
      </c>
      <c r="Y51" s="838">
        <v>3</v>
      </c>
      <c r="Z51" s="201">
        <v>0</v>
      </c>
      <c r="AA51" s="839">
        <v>11</v>
      </c>
      <c r="AB51" s="201">
        <v>0</v>
      </c>
      <c r="AC51" s="594">
        <v>2</v>
      </c>
      <c r="AD51" s="139">
        <v>3</v>
      </c>
      <c r="AE51" s="62">
        <v>0</v>
      </c>
      <c r="AF51" s="22">
        <v>0</v>
      </c>
      <c r="AG51" s="840">
        <f>181</f>
        <v>181</v>
      </c>
      <c r="AH51" s="841">
        <f>225</f>
        <v>225</v>
      </c>
      <c r="AI51" s="183"/>
      <c r="AJ51" s="6"/>
      <c r="AK51" s="6"/>
      <c r="AL51" s="6"/>
      <c r="AM51" s="183"/>
      <c r="AN51" s="107"/>
    </row>
    <row r="52" spans="1:40" ht="15">
      <c r="A52" s="109"/>
      <c r="B52" s="5832"/>
      <c r="C52" s="211" t="s">
        <v>784</v>
      </c>
      <c r="D52" s="842"/>
      <c r="E52" s="213"/>
      <c r="F52" s="85">
        <v>26</v>
      </c>
      <c r="G52" s="85" t="s">
        <v>1575</v>
      </c>
      <c r="H52" s="85" t="s">
        <v>1589</v>
      </c>
      <c r="I52" s="843">
        <v>37226</v>
      </c>
      <c r="J52" s="23" t="s">
        <v>1629</v>
      </c>
      <c r="K52" s="383">
        <v>0.87</v>
      </c>
      <c r="L52" s="844">
        <v>0.4</v>
      </c>
      <c r="M52" s="845">
        <v>1.52</v>
      </c>
      <c r="N52" s="846">
        <v>0.48</v>
      </c>
      <c r="O52" s="847">
        <v>-0.65</v>
      </c>
      <c r="P52" s="218">
        <v>11.41</v>
      </c>
      <c r="Q52" s="848">
        <v>0.7</v>
      </c>
      <c r="R52" s="222">
        <v>0</v>
      </c>
      <c r="S52" s="311">
        <v>1.6</v>
      </c>
      <c r="T52" s="85">
        <v>14</v>
      </c>
      <c r="U52" s="849">
        <v>0.42859999999999998</v>
      </c>
      <c r="V52" s="850">
        <v>0.35709999999999997</v>
      </c>
      <c r="W52" s="851">
        <v>7.1400000000000005E-2</v>
      </c>
      <c r="X52" s="852">
        <v>0.78569999999999995</v>
      </c>
      <c r="Y52" s="172">
        <v>6</v>
      </c>
      <c r="Z52" s="171">
        <v>0</v>
      </c>
      <c r="AA52" s="853">
        <v>5</v>
      </c>
      <c r="AB52" s="171">
        <v>0</v>
      </c>
      <c r="AC52" s="168">
        <v>1</v>
      </c>
      <c r="AD52" s="169">
        <v>1</v>
      </c>
      <c r="AE52" s="233">
        <v>0</v>
      </c>
      <c r="AF52" s="23">
        <v>0</v>
      </c>
      <c r="AG52" s="854">
        <v>-211</v>
      </c>
      <c r="AH52" s="855">
        <v>-265</v>
      </c>
      <c r="AI52" s="213"/>
      <c r="AJ52" s="5"/>
      <c r="AK52" s="5"/>
      <c r="AL52" s="5"/>
      <c r="AM52" s="213"/>
      <c r="AN52" s="107"/>
    </row>
    <row r="53" spans="1:40" ht="15">
      <c r="A53" s="109"/>
      <c r="B53" s="5833">
        <v>9</v>
      </c>
      <c r="C53" s="117" t="s">
        <v>403</v>
      </c>
      <c r="D53" s="856"/>
      <c r="E53" s="119"/>
      <c r="F53" s="120">
        <v>27</v>
      </c>
      <c r="G53" s="120" t="s">
        <v>1592</v>
      </c>
      <c r="H53" s="120" t="s">
        <v>1606</v>
      </c>
      <c r="I53" s="857">
        <v>36862</v>
      </c>
      <c r="J53" s="143" t="s">
        <v>1629</v>
      </c>
      <c r="K53" s="858">
        <v>5.83</v>
      </c>
      <c r="L53" s="859">
        <v>0.52</v>
      </c>
      <c r="M53" s="860">
        <v>4.2699999999999996</v>
      </c>
      <c r="N53" s="783">
        <v>0.56999999999999995</v>
      </c>
      <c r="O53" s="861">
        <f>1.56</f>
        <v>1.56</v>
      </c>
      <c r="P53" s="396">
        <v>1.56</v>
      </c>
      <c r="Q53" s="862">
        <v>0.5</v>
      </c>
      <c r="R53" s="504">
        <v>1</v>
      </c>
      <c r="S53" s="131">
        <v>0</v>
      </c>
      <c r="T53" s="120">
        <v>14</v>
      </c>
      <c r="U53" s="863">
        <v>0.64290000000000003</v>
      </c>
      <c r="V53" s="864">
        <v>0.1429</v>
      </c>
      <c r="W53" s="865">
        <v>7.1400000000000005E-2</v>
      </c>
      <c r="X53" s="866">
        <v>0.78569999999999995</v>
      </c>
      <c r="Y53" s="671">
        <v>9</v>
      </c>
      <c r="Z53" s="201">
        <v>0</v>
      </c>
      <c r="AA53" s="672">
        <v>2</v>
      </c>
      <c r="AB53" s="201">
        <v>0</v>
      </c>
      <c r="AC53" s="867">
        <v>1</v>
      </c>
      <c r="AD53" s="674">
        <v>2</v>
      </c>
      <c r="AE53" s="142">
        <v>0</v>
      </c>
      <c r="AF53" s="143">
        <v>0</v>
      </c>
      <c r="AG53" s="868">
        <f>115</f>
        <v>115</v>
      </c>
      <c r="AH53" s="869">
        <v>-150</v>
      </c>
      <c r="AI53" s="119"/>
      <c r="AJ53" s="640"/>
      <c r="AK53" s="640"/>
      <c r="AL53" s="640"/>
      <c r="AM53" s="119"/>
      <c r="AN53" s="107"/>
    </row>
    <row r="54" spans="1:40" ht="15">
      <c r="A54" s="109"/>
      <c r="B54" s="5832"/>
      <c r="C54" s="149" t="s">
        <v>1648</v>
      </c>
      <c r="D54" s="870"/>
      <c r="E54" s="151"/>
      <c r="F54" s="152">
        <v>26</v>
      </c>
      <c r="G54" s="152" t="s">
        <v>1582</v>
      </c>
      <c r="H54" s="152" t="s">
        <v>1595</v>
      </c>
      <c r="I54" s="152" t="s">
        <v>1649</v>
      </c>
      <c r="J54" s="174" t="s">
        <v>1629</v>
      </c>
      <c r="K54" s="871">
        <v>2.62</v>
      </c>
      <c r="L54" s="342">
        <v>0.46</v>
      </c>
      <c r="M54" s="872">
        <v>1.49</v>
      </c>
      <c r="N54" s="873">
        <v>0.75</v>
      </c>
      <c r="O54" s="874">
        <f>1.13</f>
        <v>1.1299999999999999</v>
      </c>
      <c r="P54" s="875">
        <v>1.06</v>
      </c>
      <c r="Q54" s="876">
        <v>0.6</v>
      </c>
      <c r="R54" s="266">
        <v>0.81</v>
      </c>
      <c r="S54" s="877">
        <v>0.7</v>
      </c>
      <c r="T54" s="152">
        <v>15</v>
      </c>
      <c r="U54" s="878">
        <v>0.4667</v>
      </c>
      <c r="V54" s="456">
        <v>6.6699999999999995E-2</v>
      </c>
      <c r="W54" s="686">
        <v>0.33329999999999999</v>
      </c>
      <c r="X54" s="879">
        <v>0.5333</v>
      </c>
      <c r="Y54" s="386">
        <v>7</v>
      </c>
      <c r="Z54" s="171">
        <v>0</v>
      </c>
      <c r="AA54" s="354">
        <v>1</v>
      </c>
      <c r="AB54" s="690">
        <v>1</v>
      </c>
      <c r="AC54" s="751">
        <v>5</v>
      </c>
      <c r="AD54" s="169">
        <v>1</v>
      </c>
      <c r="AE54" s="173">
        <v>0</v>
      </c>
      <c r="AF54" s="174">
        <v>0</v>
      </c>
      <c r="AG54" s="880">
        <v>-135</v>
      </c>
      <c r="AH54" s="881">
        <f>130</f>
        <v>130</v>
      </c>
      <c r="AI54" s="151"/>
      <c r="AJ54" s="657"/>
      <c r="AK54" s="657"/>
      <c r="AL54" s="657"/>
      <c r="AM54" s="151"/>
      <c r="AN54" s="107"/>
    </row>
    <row r="55" spans="1:40" ht="15">
      <c r="A55" s="109"/>
      <c r="B55" s="5831">
        <v>10</v>
      </c>
      <c r="C55" s="181" t="s">
        <v>791</v>
      </c>
      <c r="D55" s="882"/>
      <c r="E55" s="183"/>
      <c r="F55" s="87">
        <v>35</v>
      </c>
      <c r="G55" s="87" t="s">
        <v>1630</v>
      </c>
      <c r="H55" s="87" t="s">
        <v>1606</v>
      </c>
      <c r="I55" s="87" t="s">
        <v>1650</v>
      </c>
      <c r="J55" s="780">
        <v>45325</v>
      </c>
      <c r="K55" s="883">
        <v>3.61</v>
      </c>
      <c r="L55" s="884">
        <v>0.41</v>
      </c>
      <c r="M55" s="696">
        <v>4.51</v>
      </c>
      <c r="N55" s="364">
        <v>0.54</v>
      </c>
      <c r="O55" s="885">
        <v>-0.9</v>
      </c>
      <c r="P55" s="886">
        <v>0.45</v>
      </c>
      <c r="Q55" s="887">
        <v>0.6</v>
      </c>
      <c r="R55" s="248">
        <v>0.64</v>
      </c>
      <c r="S55" s="434">
        <v>0.7</v>
      </c>
      <c r="T55" s="87">
        <v>18</v>
      </c>
      <c r="U55" s="667">
        <v>0.38890000000000002</v>
      </c>
      <c r="V55" s="888">
        <v>0.16669999999999999</v>
      </c>
      <c r="W55" s="889">
        <v>0.16669999999999999</v>
      </c>
      <c r="X55" s="562">
        <v>0.55559999999999998</v>
      </c>
      <c r="Y55" s="256">
        <v>7</v>
      </c>
      <c r="Z55" s="141">
        <v>3</v>
      </c>
      <c r="AA55" s="256">
        <v>3</v>
      </c>
      <c r="AB55" s="737">
        <v>1</v>
      </c>
      <c r="AC55" s="301">
        <v>3</v>
      </c>
      <c r="AD55" s="203">
        <v>1</v>
      </c>
      <c r="AE55" s="62">
        <v>0</v>
      </c>
      <c r="AF55" s="22">
        <v>0</v>
      </c>
      <c r="AG55" s="890">
        <f>120</f>
        <v>120</v>
      </c>
      <c r="AH55" s="891">
        <f>133</f>
        <v>133</v>
      </c>
      <c r="AI55" s="183"/>
      <c r="AJ55" s="6"/>
      <c r="AK55" s="6"/>
      <c r="AL55" s="6"/>
      <c r="AM55" s="183"/>
      <c r="AN55" s="107"/>
    </row>
    <row r="56" spans="1:40" ht="15">
      <c r="A56" s="109"/>
      <c r="B56" s="5832"/>
      <c r="C56" s="211" t="s">
        <v>771</v>
      </c>
      <c r="D56" s="892"/>
      <c r="E56" s="213"/>
      <c r="F56" s="85">
        <v>36</v>
      </c>
      <c r="G56" s="85" t="s">
        <v>1588</v>
      </c>
      <c r="H56" s="85" t="s">
        <v>1618</v>
      </c>
      <c r="I56" s="85" t="s">
        <v>1651</v>
      </c>
      <c r="J56" s="740">
        <v>45383</v>
      </c>
      <c r="K56" s="307">
        <v>4.33</v>
      </c>
      <c r="L56" s="893">
        <v>0.55000000000000004</v>
      </c>
      <c r="M56" s="894">
        <v>3.4</v>
      </c>
      <c r="N56" s="895">
        <v>0.52</v>
      </c>
      <c r="O56" s="645">
        <f>0.93</f>
        <v>0.93</v>
      </c>
      <c r="P56" s="896">
        <v>1.78</v>
      </c>
      <c r="Q56" s="647">
        <v>0.3</v>
      </c>
      <c r="R56" s="897">
        <v>0.68</v>
      </c>
      <c r="S56" s="223">
        <v>0</v>
      </c>
      <c r="T56" s="85">
        <v>17</v>
      </c>
      <c r="U56" s="898">
        <v>0.35289999999999999</v>
      </c>
      <c r="V56" s="384">
        <v>0</v>
      </c>
      <c r="W56" s="899">
        <v>0.47060000000000002</v>
      </c>
      <c r="X56" s="900">
        <v>0.35289999999999999</v>
      </c>
      <c r="Y56" s="172">
        <v>6</v>
      </c>
      <c r="Z56" s="169">
        <v>1</v>
      </c>
      <c r="AA56" s="387">
        <v>0</v>
      </c>
      <c r="AB56" s="171">
        <v>0</v>
      </c>
      <c r="AC56" s="901">
        <v>8</v>
      </c>
      <c r="AD56" s="169">
        <v>1</v>
      </c>
      <c r="AE56" s="233">
        <v>0</v>
      </c>
      <c r="AF56" s="23">
        <v>0</v>
      </c>
      <c r="AG56" s="902">
        <v>-140</v>
      </c>
      <c r="AH56" s="903">
        <v>-153</v>
      </c>
      <c r="AI56" s="213"/>
      <c r="AJ56" s="5"/>
      <c r="AK56" s="5"/>
      <c r="AL56" s="5"/>
      <c r="AM56" s="213"/>
      <c r="AN56" s="107"/>
    </row>
    <row r="57" spans="1:40" ht="15">
      <c r="A57" s="109"/>
      <c r="B57" s="5833">
        <v>11</v>
      </c>
      <c r="C57" s="117" t="s">
        <v>797</v>
      </c>
      <c r="D57" s="904"/>
      <c r="E57" s="119"/>
      <c r="F57" s="120">
        <v>27</v>
      </c>
      <c r="G57" s="120" t="s">
        <v>1605</v>
      </c>
      <c r="H57" s="120" t="s">
        <v>1622</v>
      </c>
      <c r="I57" s="857">
        <v>36770</v>
      </c>
      <c r="J57" s="695">
        <v>45383</v>
      </c>
      <c r="K57" s="905">
        <v>4.75</v>
      </c>
      <c r="L57" s="504">
        <v>0.57999999999999996</v>
      </c>
      <c r="M57" s="906">
        <v>4.07</v>
      </c>
      <c r="N57" s="431">
        <v>0.57999999999999996</v>
      </c>
      <c r="O57" s="907">
        <f>0.68</f>
        <v>0.68</v>
      </c>
      <c r="P57" s="123">
        <v>0</v>
      </c>
      <c r="Q57" s="187">
        <v>0</v>
      </c>
      <c r="R57" s="504">
        <v>1</v>
      </c>
      <c r="S57" s="131">
        <v>0</v>
      </c>
      <c r="T57" s="120">
        <v>10</v>
      </c>
      <c r="U57" s="812">
        <v>0.9</v>
      </c>
      <c r="V57" s="195">
        <v>0</v>
      </c>
      <c r="W57" s="195">
        <v>0</v>
      </c>
      <c r="X57" s="908">
        <v>0.9</v>
      </c>
      <c r="Y57" s="671">
        <v>9</v>
      </c>
      <c r="Z57" s="203">
        <v>1</v>
      </c>
      <c r="AA57" s="200">
        <v>0</v>
      </c>
      <c r="AB57" s="201">
        <v>0</v>
      </c>
      <c r="AC57" s="200">
        <v>0</v>
      </c>
      <c r="AD57" s="201">
        <v>0</v>
      </c>
      <c r="AE57" s="142">
        <v>0</v>
      </c>
      <c r="AF57" s="143">
        <v>0</v>
      </c>
      <c r="AG57" s="909">
        <v>-155</v>
      </c>
      <c r="AH57" s="910">
        <v>-173</v>
      </c>
      <c r="AI57" s="119"/>
      <c r="AJ57" s="640"/>
      <c r="AK57" s="640"/>
      <c r="AL57" s="640"/>
      <c r="AM57" s="119"/>
      <c r="AN57" s="107"/>
    </row>
    <row r="58" spans="1:40" ht="15">
      <c r="A58" s="109"/>
      <c r="B58" s="5832"/>
      <c r="C58" s="149" t="s">
        <v>59</v>
      </c>
      <c r="D58" s="911"/>
      <c r="E58" s="151"/>
      <c r="F58" s="152">
        <v>29</v>
      </c>
      <c r="G58" s="152" t="s">
        <v>1582</v>
      </c>
      <c r="H58" s="152" t="s">
        <v>1589</v>
      </c>
      <c r="I58" s="152" t="s">
        <v>1652</v>
      </c>
      <c r="J58" s="819">
        <v>45353</v>
      </c>
      <c r="K58" s="912">
        <v>4.46</v>
      </c>
      <c r="L58" s="342">
        <v>0.46</v>
      </c>
      <c r="M58" s="913">
        <v>4.49</v>
      </c>
      <c r="N58" s="914">
        <v>0.54</v>
      </c>
      <c r="O58" s="915">
        <v>-0.03</v>
      </c>
      <c r="P58" s="916">
        <v>2.42</v>
      </c>
      <c r="Q58" s="268">
        <v>0.34</v>
      </c>
      <c r="R58" s="917">
        <v>0.76</v>
      </c>
      <c r="S58" s="683">
        <v>0.1</v>
      </c>
      <c r="T58" s="152">
        <v>24</v>
      </c>
      <c r="U58" s="918">
        <v>0.375</v>
      </c>
      <c r="V58" s="224">
        <v>0.125</v>
      </c>
      <c r="W58" s="919">
        <v>0.20830000000000001</v>
      </c>
      <c r="X58" s="920">
        <v>0.5</v>
      </c>
      <c r="Y58" s="750">
        <v>9</v>
      </c>
      <c r="Z58" s="921">
        <v>5</v>
      </c>
      <c r="AA58" s="386">
        <v>3</v>
      </c>
      <c r="AB58" s="171">
        <v>0</v>
      </c>
      <c r="AC58" s="751">
        <v>5</v>
      </c>
      <c r="AD58" s="230">
        <v>2</v>
      </c>
      <c r="AE58" s="173">
        <v>0</v>
      </c>
      <c r="AF58" s="174">
        <v>0</v>
      </c>
      <c r="AG58" s="922">
        <f>135</f>
        <v>135</v>
      </c>
      <c r="AH58" s="923">
        <f>148</f>
        <v>148</v>
      </c>
      <c r="AI58" s="151"/>
      <c r="AJ58" s="657"/>
      <c r="AK58" s="657"/>
      <c r="AL58" s="657"/>
      <c r="AM58" s="151"/>
      <c r="AN58" s="107"/>
    </row>
    <row r="59" spans="1:40" ht="15">
      <c r="A59" s="109"/>
      <c r="B59" s="5831">
        <v>12</v>
      </c>
      <c r="C59" s="181" t="s">
        <v>1364</v>
      </c>
      <c r="D59" s="924"/>
      <c r="E59" s="183"/>
      <c r="F59" s="87">
        <v>32</v>
      </c>
      <c r="G59" s="87" t="s">
        <v>1653</v>
      </c>
      <c r="H59" s="87" t="s">
        <v>1593</v>
      </c>
      <c r="I59" s="925">
        <v>36679</v>
      </c>
      <c r="J59" s="780">
        <v>45353</v>
      </c>
      <c r="K59" s="123">
        <v>0.87</v>
      </c>
      <c r="L59" s="660">
        <v>0.5</v>
      </c>
      <c r="M59" s="926">
        <v>0.65</v>
      </c>
      <c r="N59" s="927">
        <v>0.66</v>
      </c>
      <c r="O59" s="928">
        <f>0.22</f>
        <v>0.22</v>
      </c>
      <c r="P59" s="929">
        <v>3.27</v>
      </c>
      <c r="Q59" s="504">
        <v>1</v>
      </c>
      <c r="R59" s="187">
        <v>0</v>
      </c>
      <c r="S59" s="400">
        <v>9.8000000000000007</v>
      </c>
      <c r="T59" s="87">
        <v>8</v>
      </c>
      <c r="U59" s="195">
        <v>0</v>
      </c>
      <c r="V59" s="930">
        <v>0.375</v>
      </c>
      <c r="W59" s="931">
        <v>0.375</v>
      </c>
      <c r="X59" s="932">
        <v>0.375</v>
      </c>
      <c r="Y59" s="200">
        <v>0</v>
      </c>
      <c r="Z59" s="203">
        <v>1</v>
      </c>
      <c r="AA59" s="256">
        <v>3</v>
      </c>
      <c r="AB59" s="201">
        <v>0</v>
      </c>
      <c r="AC59" s="301">
        <v>3</v>
      </c>
      <c r="AD59" s="203">
        <v>1</v>
      </c>
      <c r="AE59" s="62">
        <v>0</v>
      </c>
      <c r="AF59" s="22">
        <v>0</v>
      </c>
      <c r="AG59" s="933">
        <v>-185</v>
      </c>
      <c r="AH59" s="934">
        <v>-200</v>
      </c>
      <c r="AI59" s="183"/>
      <c r="AJ59" s="6"/>
      <c r="AK59" s="6"/>
      <c r="AL59" s="6"/>
      <c r="AM59" s="183"/>
      <c r="AN59" s="107"/>
    </row>
    <row r="60" spans="1:40" ht="15">
      <c r="A60" s="109"/>
      <c r="B60" s="5832"/>
      <c r="C60" s="211" t="s">
        <v>1365</v>
      </c>
      <c r="D60" s="935"/>
      <c r="E60" s="213"/>
      <c r="F60" s="85">
        <v>25</v>
      </c>
      <c r="G60" s="85" t="s">
        <v>1588</v>
      </c>
      <c r="H60" s="85" t="s">
        <v>1641</v>
      </c>
      <c r="I60" s="85" t="s">
        <v>1654</v>
      </c>
      <c r="J60" s="23" t="s">
        <v>1655</v>
      </c>
      <c r="K60" s="218">
        <v>12.27</v>
      </c>
      <c r="L60" s="710">
        <v>0.45</v>
      </c>
      <c r="M60" s="383">
        <v>11.2</v>
      </c>
      <c r="N60" s="222">
        <v>0.42</v>
      </c>
      <c r="O60" s="936">
        <f>1.07</f>
        <v>1.07</v>
      </c>
      <c r="P60" s="937">
        <v>1</v>
      </c>
      <c r="Q60" s="938">
        <v>0.5</v>
      </c>
      <c r="R60" s="219">
        <v>1</v>
      </c>
      <c r="S60" s="223">
        <v>0</v>
      </c>
      <c r="T60" s="85">
        <v>6</v>
      </c>
      <c r="U60" s="939">
        <v>0.33329999999999999</v>
      </c>
      <c r="V60" s="384">
        <v>0</v>
      </c>
      <c r="W60" s="940">
        <v>0.5</v>
      </c>
      <c r="X60" s="941">
        <v>0.33329999999999999</v>
      </c>
      <c r="Y60" s="421">
        <v>2</v>
      </c>
      <c r="Z60" s="171">
        <v>0</v>
      </c>
      <c r="AA60" s="387">
        <v>0</v>
      </c>
      <c r="AB60" s="171">
        <v>0</v>
      </c>
      <c r="AC60" s="721">
        <v>3</v>
      </c>
      <c r="AD60" s="171">
        <v>0</v>
      </c>
      <c r="AE60" s="233">
        <v>0</v>
      </c>
      <c r="AF60" s="23">
        <v>0</v>
      </c>
      <c r="AG60" s="942">
        <f>160</f>
        <v>160</v>
      </c>
      <c r="AH60" s="943">
        <f>170</f>
        <v>170</v>
      </c>
      <c r="AI60" s="213"/>
      <c r="AJ60" s="5"/>
      <c r="AK60" s="5"/>
      <c r="AL60" s="5"/>
      <c r="AM60" s="213"/>
      <c r="AN60" s="107"/>
    </row>
    <row r="61" spans="1:40" ht="15">
      <c r="A61" s="109"/>
      <c r="B61" s="5833">
        <v>13</v>
      </c>
      <c r="C61" s="117" t="s">
        <v>802</v>
      </c>
      <c r="D61" s="944"/>
      <c r="E61" s="119"/>
      <c r="F61" s="120">
        <v>28</v>
      </c>
      <c r="G61" s="120" t="s">
        <v>1630</v>
      </c>
      <c r="H61" s="120" t="s">
        <v>1641</v>
      </c>
      <c r="I61" s="120" t="s">
        <v>1632</v>
      </c>
      <c r="J61" s="695">
        <v>45383</v>
      </c>
      <c r="K61" s="945">
        <v>4.91</v>
      </c>
      <c r="L61" s="946">
        <v>0.56999999999999995</v>
      </c>
      <c r="M61" s="947">
        <v>2.66</v>
      </c>
      <c r="N61" s="504">
        <v>0.76</v>
      </c>
      <c r="O61" s="400">
        <f>2.25</f>
        <v>2.25</v>
      </c>
      <c r="P61" s="186">
        <v>1.1100000000000001</v>
      </c>
      <c r="Q61" s="948">
        <v>0.28000000000000003</v>
      </c>
      <c r="R61" s="949">
        <v>0.81</v>
      </c>
      <c r="S61" s="131">
        <v>0</v>
      </c>
      <c r="T61" s="120">
        <v>23</v>
      </c>
      <c r="U61" s="667">
        <v>0.39129999999999998</v>
      </c>
      <c r="V61" s="950">
        <v>0.1739</v>
      </c>
      <c r="W61" s="951">
        <v>0.26090000000000002</v>
      </c>
      <c r="X61" s="952">
        <v>0.56520000000000004</v>
      </c>
      <c r="Y61" s="671">
        <v>9</v>
      </c>
      <c r="Z61" s="201">
        <v>0</v>
      </c>
      <c r="AA61" s="953">
        <v>4</v>
      </c>
      <c r="AB61" s="137">
        <v>4</v>
      </c>
      <c r="AC61" s="954">
        <v>6</v>
      </c>
      <c r="AD61" s="201">
        <v>0</v>
      </c>
      <c r="AE61" s="142">
        <v>0</v>
      </c>
      <c r="AF61" s="143">
        <v>0</v>
      </c>
      <c r="AG61" s="955">
        <v>-400</v>
      </c>
      <c r="AH61" s="956">
        <v>-550</v>
      </c>
      <c r="AI61" s="119"/>
      <c r="AJ61" s="640"/>
      <c r="AK61" s="640"/>
      <c r="AL61" s="640"/>
      <c r="AM61" s="119"/>
      <c r="AN61" s="107"/>
    </row>
    <row r="62" spans="1:40" ht="15">
      <c r="A62" s="109"/>
      <c r="B62" s="5832"/>
      <c r="C62" s="149" t="s">
        <v>803</v>
      </c>
      <c r="D62" s="957"/>
      <c r="E62" s="151"/>
      <c r="F62" s="152">
        <v>41</v>
      </c>
      <c r="G62" s="152" t="s">
        <v>1575</v>
      </c>
      <c r="H62" s="152" t="s">
        <v>1616</v>
      </c>
      <c r="I62" s="152" t="s">
        <v>1656</v>
      </c>
      <c r="J62" s="819">
        <v>45353</v>
      </c>
      <c r="K62" s="958">
        <v>3.56</v>
      </c>
      <c r="L62" s="822">
        <v>0.47</v>
      </c>
      <c r="M62" s="959">
        <v>2.5</v>
      </c>
      <c r="N62" s="449">
        <v>0.57999999999999996</v>
      </c>
      <c r="O62" s="960">
        <f>1.06</f>
        <v>1.06</v>
      </c>
      <c r="P62" s="605">
        <v>3</v>
      </c>
      <c r="Q62" s="681">
        <v>0.54</v>
      </c>
      <c r="R62" s="158">
        <v>0.23</v>
      </c>
      <c r="S62" s="961">
        <v>0.2</v>
      </c>
      <c r="T62" s="152">
        <v>17</v>
      </c>
      <c r="U62" s="962">
        <v>0.47060000000000002</v>
      </c>
      <c r="V62" s="384">
        <v>0</v>
      </c>
      <c r="W62" s="963">
        <v>0.35289999999999999</v>
      </c>
      <c r="X62" s="775">
        <v>0.47060000000000002</v>
      </c>
      <c r="Y62" s="826">
        <v>8</v>
      </c>
      <c r="Z62" s="169">
        <v>1</v>
      </c>
      <c r="AA62" s="387">
        <v>0</v>
      </c>
      <c r="AB62" s="690">
        <v>1</v>
      </c>
      <c r="AC62" s="964">
        <v>6</v>
      </c>
      <c r="AD62" s="169">
        <v>1</v>
      </c>
      <c r="AE62" s="173">
        <v>0</v>
      </c>
      <c r="AF62" s="174">
        <v>0</v>
      </c>
      <c r="AG62" s="965">
        <f>300</f>
        <v>300</v>
      </c>
      <c r="AH62" s="966">
        <f>400</f>
        <v>400</v>
      </c>
      <c r="AI62" s="151"/>
      <c r="AJ62" s="657"/>
      <c r="AK62" s="657"/>
      <c r="AL62" s="657"/>
      <c r="AM62" s="151"/>
      <c r="AN62" s="107"/>
    </row>
    <row r="63" spans="1:40" ht="15">
      <c r="A63" s="109"/>
      <c r="B63" s="5831">
        <v>14</v>
      </c>
      <c r="C63" s="181" t="s">
        <v>424</v>
      </c>
      <c r="D63" s="967"/>
      <c r="E63" s="183"/>
      <c r="F63" s="87">
        <v>28</v>
      </c>
      <c r="G63" s="87" t="s">
        <v>1625</v>
      </c>
      <c r="H63" s="87" t="s">
        <v>1624</v>
      </c>
      <c r="I63" s="87" t="s">
        <v>1650</v>
      </c>
      <c r="J63" s="780">
        <v>45353</v>
      </c>
      <c r="K63" s="430">
        <v>3.75</v>
      </c>
      <c r="L63" s="498">
        <v>0.46</v>
      </c>
      <c r="M63" s="968">
        <v>3.61</v>
      </c>
      <c r="N63" s="969">
        <v>0.56000000000000005</v>
      </c>
      <c r="O63" s="970">
        <f>0.14</f>
        <v>0.14000000000000001</v>
      </c>
      <c r="P63" s="971">
        <v>0.31</v>
      </c>
      <c r="Q63" s="972">
        <v>0.16</v>
      </c>
      <c r="R63" s="973">
        <v>0.9</v>
      </c>
      <c r="S63" s="131">
        <v>0</v>
      </c>
      <c r="T63" s="87">
        <v>17</v>
      </c>
      <c r="U63" s="974">
        <v>0.23530000000000001</v>
      </c>
      <c r="V63" s="975">
        <v>0.35289999999999999</v>
      </c>
      <c r="W63" s="976">
        <v>0.17649999999999999</v>
      </c>
      <c r="X63" s="977">
        <v>0.58819999999999995</v>
      </c>
      <c r="Y63" s="257">
        <v>4</v>
      </c>
      <c r="Z63" s="978">
        <v>2</v>
      </c>
      <c r="AA63" s="979">
        <v>6</v>
      </c>
      <c r="AB63" s="201">
        <v>0</v>
      </c>
      <c r="AC63" s="301">
        <v>3</v>
      </c>
      <c r="AD63" s="674">
        <v>2</v>
      </c>
      <c r="AE63" s="62">
        <v>0</v>
      </c>
      <c r="AF63" s="22">
        <v>0</v>
      </c>
      <c r="AG63" s="980">
        <v>-125</v>
      </c>
      <c r="AH63" s="981">
        <v>-133</v>
      </c>
      <c r="AI63" s="183"/>
      <c r="AJ63" s="6"/>
      <c r="AK63" s="6"/>
      <c r="AL63" s="6"/>
      <c r="AM63" s="183"/>
      <c r="AN63" s="107"/>
    </row>
    <row r="64" spans="1:40" ht="15">
      <c r="A64" s="109"/>
      <c r="B64" s="5832"/>
      <c r="C64" s="211" t="s">
        <v>425</v>
      </c>
      <c r="D64" s="982"/>
      <c r="E64" s="213"/>
      <c r="F64" s="85">
        <v>26</v>
      </c>
      <c r="G64" s="85" t="s">
        <v>1623</v>
      </c>
      <c r="H64" s="85" t="s">
        <v>1631</v>
      </c>
      <c r="I64" s="843">
        <v>36771</v>
      </c>
      <c r="J64" s="740">
        <v>45383</v>
      </c>
      <c r="K64" s="983">
        <v>5.4</v>
      </c>
      <c r="L64" s="984">
        <v>0.41</v>
      </c>
      <c r="M64" s="985">
        <v>6.63</v>
      </c>
      <c r="N64" s="986">
        <v>0.49</v>
      </c>
      <c r="O64" s="987">
        <v>-1.23</v>
      </c>
      <c r="P64" s="383">
        <v>0</v>
      </c>
      <c r="Q64" s="222">
        <v>0</v>
      </c>
      <c r="R64" s="573">
        <v>0.56000000000000005</v>
      </c>
      <c r="S64" s="223">
        <v>0</v>
      </c>
      <c r="T64" s="85">
        <v>11</v>
      </c>
      <c r="U64" s="988">
        <v>0.72729999999999995</v>
      </c>
      <c r="V64" s="384">
        <v>0</v>
      </c>
      <c r="W64" s="989">
        <v>9.0899999999999995E-2</v>
      </c>
      <c r="X64" s="720">
        <v>0.72729999999999995</v>
      </c>
      <c r="Y64" s="826">
        <v>8</v>
      </c>
      <c r="Z64" s="171">
        <v>0</v>
      </c>
      <c r="AA64" s="387">
        <v>0</v>
      </c>
      <c r="AB64" s="690">
        <v>1</v>
      </c>
      <c r="AC64" s="168">
        <v>1</v>
      </c>
      <c r="AD64" s="169">
        <v>1</v>
      </c>
      <c r="AE64" s="233">
        <v>0</v>
      </c>
      <c r="AF64" s="23">
        <v>0</v>
      </c>
      <c r="AG64" s="990">
        <f>105</f>
        <v>105</v>
      </c>
      <c r="AH64" s="991">
        <f>113</f>
        <v>113</v>
      </c>
      <c r="AI64" s="213"/>
      <c r="AJ64" s="5"/>
      <c r="AK64" s="5"/>
      <c r="AL64" s="5"/>
      <c r="AM64" s="213"/>
      <c r="AN64" s="107"/>
    </row>
    <row r="65" spans="1:40" ht="12.75">
      <c r="A65" s="107"/>
      <c r="B65" s="107"/>
      <c r="C65" s="107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  <c r="AN65" s="620"/>
    </row>
    <row r="67" spans="1:40" ht="12.75">
      <c r="A67" s="108"/>
      <c r="B67" s="108"/>
      <c r="C67" s="108"/>
      <c r="D67" s="108"/>
      <c r="E67" s="108"/>
      <c r="F67" s="108"/>
      <c r="G67" s="108"/>
      <c r="H67" s="108"/>
      <c r="I67" s="108"/>
      <c r="J67" s="108"/>
      <c r="K67" s="108"/>
      <c r="L67" s="108"/>
      <c r="M67" s="108"/>
      <c r="N67" s="108"/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7"/>
      <c r="AM67" s="107"/>
      <c r="AN67" s="107"/>
    </row>
    <row r="68" spans="1:40">
      <c r="A68" s="109"/>
      <c r="B68" s="5834" t="s">
        <v>1524</v>
      </c>
      <c r="C68" s="5840" t="s">
        <v>1525</v>
      </c>
      <c r="D68" s="5841" t="s">
        <v>1526</v>
      </c>
      <c r="E68" s="5836"/>
      <c r="F68" s="5836"/>
      <c r="G68" s="5836"/>
      <c r="H68" s="5836"/>
      <c r="I68" s="5836"/>
      <c r="J68" s="5832"/>
      <c r="K68" s="5837" t="s">
        <v>1527</v>
      </c>
      <c r="L68" s="5836"/>
      <c r="M68" s="5836"/>
      <c r="N68" s="5836"/>
      <c r="O68" s="5832"/>
      <c r="P68" s="5838" t="s">
        <v>1528</v>
      </c>
      <c r="Q68" s="5836"/>
      <c r="R68" s="5836"/>
      <c r="S68" s="5832"/>
      <c r="T68" s="5839" t="s">
        <v>1529</v>
      </c>
      <c r="U68" s="5836"/>
      <c r="V68" s="5836"/>
      <c r="W68" s="5836"/>
      <c r="X68" s="5836"/>
      <c r="Y68" s="5836"/>
      <c r="Z68" s="5836"/>
      <c r="AA68" s="5836"/>
      <c r="AB68" s="5836"/>
      <c r="AC68" s="5836"/>
      <c r="AD68" s="5836"/>
      <c r="AE68" s="5836"/>
      <c r="AF68" s="5832"/>
      <c r="AG68" s="5842" t="s">
        <v>1530</v>
      </c>
      <c r="AH68" s="5836"/>
      <c r="AI68" s="5836"/>
      <c r="AJ68" s="5836"/>
      <c r="AK68" s="5836"/>
      <c r="AL68" s="5836"/>
      <c r="AM68" s="5832"/>
      <c r="AN68" s="107"/>
    </row>
    <row r="69" spans="1:40" ht="15">
      <c r="A69" s="109"/>
      <c r="B69" s="5832"/>
      <c r="C69" s="5832"/>
      <c r="D69" s="5"/>
      <c r="E69" s="213"/>
      <c r="F69" s="111" t="s">
        <v>1533</v>
      </c>
      <c r="G69" s="111" t="s">
        <v>1534</v>
      </c>
      <c r="H69" s="111" t="s">
        <v>1535</v>
      </c>
      <c r="I69" s="111" t="s">
        <v>1536</v>
      </c>
      <c r="J69" s="111" t="s">
        <v>1537</v>
      </c>
      <c r="K69" s="111" t="s">
        <v>1538</v>
      </c>
      <c r="L69" s="111" t="s">
        <v>1539</v>
      </c>
      <c r="M69" s="111" t="s">
        <v>1540</v>
      </c>
      <c r="N69" s="111" t="s">
        <v>1541</v>
      </c>
      <c r="O69" s="111" t="s">
        <v>1542</v>
      </c>
      <c r="P69" s="111" t="s">
        <v>1543</v>
      </c>
      <c r="Q69" s="111" t="s">
        <v>1544</v>
      </c>
      <c r="R69" s="111" t="s">
        <v>1545</v>
      </c>
      <c r="S69" s="111" t="s">
        <v>1546</v>
      </c>
      <c r="T69" s="111" t="s">
        <v>1547</v>
      </c>
      <c r="U69" s="111" t="s">
        <v>1548</v>
      </c>
      <c r="V69" s="111" t="s">
        <v>1549</v>
      </c>
      <c r="W69" s="111" t="s">
        <v>1550</v>
      </c>
      <c r="X69" s="112" t="s">
        <v>1551</v>
      </c>
      <c r="Y69" s="113" t="s">
        <v>1552</v>
      </c>
      <c r="Z69" s="114" t="s">
        <v>1553</v>
      </c>
      <c r="AA69" s="113" t="s">
        <v>1554</v>
      </c>
      <c r="AB69" s="114" t="s">
        <v>1555</v>
      </c>
      <c r="AC69" s="115" t="s">
        <v>1556</v>
      </c>
      <c r="AD69" s="114" t="s">
        <v>1557</v>
      </c>
      <c r="AE69" s="113" t="s">
        <v>1558</v>
      </c>
      <c r="AF69" s="116" t="s">
        <v>1559</v>
      </c>
      <c r="AG69" s="5"/>
      <c r="AH69" s="213"/>
      <c r="AI69" s="5"/>
      <c r="AJ69" s="5"/>
      <c r="AK69" s="5"/>
      <c r="AL69" s="5"/>
      <c r="AM69" s="213"/>
      <c r="AN69" s="107"/>
    </row>
    <row r="70" spans="1:40" ht="15">
      <c r="A70" s="109"/>
      <c r="B70" s="5833">
        <v>1</v>
      </c>
      <c r="C70" s="117" t="s">
        <v>432</v>
      </c>
      <c r="D70" s="992"/>
      <c r="E70" s="119"/>
      <c r="F70" s="120">
        <v>31</v>
      </c>
      <c r="G70" s="120" t="s">
        <v>1653</v>
      </c>
      <c r="H70" s="120" t="s">
        <v>1593</v>
      </c>
      <c r="I70" s="120" t="s">
        <v>1657</v>
      </c>
      <c r="J70" s="143" t="s">
        <v>1658</v>
      </c>
      <c r="K70" s="993">
        <v>3.66</v>
      </c>
      <c r="L70" s="326">
        <v>0.53</v>
      </c>
      <c r="M70" s="994">
        <v>3.14</v>
      </c>
      <c r="N70" s="995">
        <v>0.66</v>
      </c>
      <c r="O70" s="996">
        <f>0.52</f>
        <v>0.52</v>
      </c>
      <c r="P70" s="997">
        <v>1.48</v>
      </c>
      <c r="Q70" s="998">
        <v>0.45</v>
      </c>
      <c r="R70" s="999">
        <v>0.93</v>
      </c>
      <c r="S70" s="1000">
        <v>0.9</v>
      </c>
      <c r="T70" s="120">
        <v>24</v>
      </c>
      <c r="U70" s="1001">
        <v>0.20830000000000001</v>
      </c>
      <c r="V70" s="1002">
        <v>0.20830000000000001</v>
      </c>
      <c r="W70" s="1003">
        <v>0.375</v>
      </c>
      <c r="X70" s="1004">
        <v>0.41670000000000001</v>
      </c>
      <c r="Y70" s="1005">
        <v>5</v>
      </c>
      <c r="Z70" s="1006">
        <v>3</v>
      </c>
      <c r="AA70" s="1007">
        <v>5</v>
      </c>
      <c r="AB70" s="201">
        <v>0</v>
      </c>
      <c r="AC70" s="1008">
        <v>9</v>
      </c>
      <c r="AD70" s="1009">
        <v>1</v>
      </c>
      <c r="AE70" s="142">
        <v>0</v>
      </c>
      <c r="AF70" s="143">
        <v>0</v>
      </c>
      <c r="AG70" s="1010"/>
      <c r="AH70" s="1011"/>
      <c r="AI70" s="1012"/>
      <c r="AJ70" s="1013"/>
      <c r="AK70" s="1014"/>
      <c r="AL70" s="1015"/>
      <c r="AM70" s="1016"/>
      <c r="AN70" s="107"/>
    </row>
    <row r="71" spans="1:40" ht="15">
      <c r="A71" s="109"/>
      <c r="B71" s="5832"/>
      <c r="C71" s="149" t="s">
        <v>433</v>
      </c>
      <c r="D71" s="1017"/>
      <c r="E71" s="151"/>
      <c r="F71" s="152">
        <v>32</v>
      </c>
      <c r="G71" s="152" t="s">
        <v>1653</v>
      </c>
      <c r="H71" s="152" t="s">
        <v>1659</v>
      </c>
      <c r="I71" s="152" t="s">
        <v>1660</v>
      </c>
      <c r="J71" s="174" t="s">
        <v>1661</v>
      </c>
      <c r="K71" s="448">
        <v>4.12</v>
      </c>
      <c r="L71" s="1018">
        <v>0.46</v>
      </c>
      <c r="M71" s="1019">
        <v>3.14</v>
      </c>
      <c r="N71" s="1020">
        <v>0.59</v>
      </c>
      <c r="O71" s="1021">
        <f>0.98</f>
        <v>0.98</v>
      </c>
      <c r="P71" s="1022">
        <v>2.2599999999999998</v>
      </c>
      <c r="Q71" s="681">
        <v>0.44</v>
      </c>
      <c r="R71" s="1023">
        <v>0.82</v>
      </c>
      <c r="S71" s="1024">
        <v>1</v>
      </c>
      <c r="T71" s="152">
        <v>32</v>
      </c>
      <c r="U71" s="798">
        <v>0.15620000000000001</v>
      </c>
      <c r="V71" s="1025">
        <v>0.21879999999999999</v>
      </c>
      <c r="W71" s="1026">
        <v>0.375</v>
      </c>
      <c r="X71" s="1027">
        <v>0.375</v>
      </c>
      <c r="Y71" s="1028">
        <v>5</v>
      </c>
      <c r="Z71" s="169">
        <v>1</v>
      </c>
      <c r="AA71" s="1029">
        <v>7</v>
      </c>
      <c r="AB71" s="1030">
        <v>5</v>
      </c>
      <c r="AC71" s="229">
        <v>12</v>
      </c>
      <c r="AD71" s="1031">
        <v>2</v>
      </c>
      <c r="AE71" s="173">
        <v>0</v>
      </c>
      <c r="AF71" s="174">
        <v>0</v>
      </c>
      <c r="AG71" s="1032"/>
      <c r="AH71" s="1033"/>
      <c r="AI71" s="1034"/>
      <c r="AJ71" s="1035"/>
      <c r="AK71" s="1036"/>
      <c r="AL71" s="1037"/>
      <c r="AM71" s="1038"/>
      <c r="AN71" s="107"/>
    </row>
    <row r="72" spans="1:40" ht="15">
      <c r="A72" s="109"/>
      <c r="B72" s="5831">
        <v>2</v>
      </c>
      <c r="C72" s="181" t="s">
        <v>629</v>
      </c>
      <c r="D72" s="1039"/>
      <c r="E72" s="183"/>
      <c r="F72" s="87">
        <v>32</v>
      </c>
      <c r="G72" s="87" t="s">
        <v>1579</v>
      </c>
      <c r="H72" s="87" t="s">
        <v>1568</v>
      </c>
      <c r="I72" s="87" t="s">
        <v>1662</v>
      </c>
      <c r="J72" s="22" t="s">
        <v>1661</v>
      </c>
      <c r="K72" s="1040">
        <v>3.42</v>
      </c>
      <c r="L72" s="291">
        <v>0.4</v>
      </c>
      <c r="M72" s="696">
        <v>3.91</v>
      </c>
      <c r="N72" s="364">
        <v>0.45</v>
      </c>
      <c r="O72" s="1041">
        <v>-0.49</v>
      </c>
      <c r="P72" s="945">
        <v>1.29</v>
      </c>
      <c r="Q72" s="1042">
        <v>0.35</v>
      </c>
      <c r="R72" s="498">
        <v>0.47</v>
      </c>
      <c r="S72" s="1043">
        <v>1.5</v>
      </c>
      <c r="T72" s="87">
        <v>30</v>
      </c>
      <c r="U72" s="1044">
        <v>0.2</v>
      </c>
      <c r="V72" s="1045">
        <v>0.4</v>
      </c>
      <c r="W72" s="1046">
        <v>0.1</v>
      </c>
      <c r="X72" s="1047">
        <v>0.6</v>
      </c>
      <c r="Y72" s="256">
        <v>6</v>
      </c>
      <c r="Z72" s="1006">
        <v>3</v>
      </c>
      <c r="AA72" s="1048">
        <v>12</v>
      </c>
      <c r="AB72" s="302">
        <v>3</v>
      </c>
      <c r="AC72" s="256">
        <v>3</v>
      </c>
      <c r="AD72" s="1049">
        <v>3</v>
      </c>
      <c r="AE72" s="62">
        <v>0</v>
      </c>
      <c r="AF72" s="22">
        <v>0</v>
      </c>
      <c r="AG72" s="1050"/>
      <c r="AH72" s="1051"/>
      <c r="AI72" s="1052"/>
      <c r="AJ72" s="1053"/>
      <c r="AK72" s="1054"/>
      <c r="AL72" s="1055"/>
      <c r="AM72" s="1056"/>
      <c r="AN72" s="107"/>
    </row>
    <row r="73" spans="1:40" ht="15">
      <c r="A73" s="109"/>
      <c r="B73" s="5832"/>
      <c r="C73" s="211" t="s">
        <v>630</v>
      </c>
      <c r="D73" s="1057"/>
      <c r="E73" s="213"/>
      <c r="F73" s="85">
        <v>31</v>
      </c>
      <c r="G73" s="85" t="s">
        <v>1567</v>
      </c>
      <c r="H73" s="85" t="s">
        <v>1576</v>
      </c>
      <c r="I73" s="85" t="s">
        <v>1663</v>
      </c>
      <c r="J73" s="23" t="s">
        <v>1658</v>
      </c>
      <c r="K73" s="1058">
        <v>2.4300000000000002</v>
      </c>
      <c r="L73" s="1059">
        <v>0.33</v>
      </c>
      <c r="M73" s="1060">
        <v>5.81</v>
      </c>
      <c r="N73" s="1061">
        <v>0.4</v>
      </c>
      <c r="O73" s="1062">
        <v>-3.38</v>
      </c>
      <c r="P73" s="383">
        <v>0</v>
      </c>
      <c r="Q73" s="222">
        <v>0</v>
      </c>
      <c r="R73" s="514">
        <v>0.66</v>
      </c>
      <c r="S73" s="223">
        <v>0</v>
      </c>
      <c r="T73" s="85">
        <v>18</v>
      </c>
      <c r="U73" s="1063">
        <v>0.72219999999999995</v>
      </c>
      <c r="V73" s="1064">
        <v>0.1111</v>
      </c>
      <c r="W73" s="384">
        <v>0</v>
      </c>
      <c r="X73" s="1065">
        <v>0.83330000000000004</v>
      </c>
      <c r="Y73" s="1066">
        <v>13</v>
      </c>
      <c r="Z73" s="169">
        <v>1</v>
      </c>
      <c r="AA73" s="386">
        <v>2</v>
      </c>
      <c r="AB73" s="169">
        <v>1</v>
      </c>
      <c r="AC73" s="387">
        <v>0</v>
      </c>
      <c r="AD73" s="1067">
        <v>1</v>
      </c>
      <c r="AE73" s="233">
        <v>0</v>
      </c>
      <c r="AF73" s="23">
        <v>0</v>
      </c>
      <c r="AG73" s="1068"/>
      <c r="AH73" s="1069"/>
      <c r="AI73" s="1070"/>
      <c r="AJ73" s="1071"/>
      <c r="AK73" s="1072"/>
      <c r="AL73" s="1073"/>
      <c r="AM73" s="1074"/>
      <c r="AN73" s="107"/>
    </row>
    <row r="74" spans="1:40" ht="15">
      <c r="A74" s="109"/>
      <c r="B74" s="5833">
        <v>3</v>
      </c>
      <c r="C74" s="117" t="s">
        <v>43</v>
      </c>
      <c r="D74" s="1075"/>
      <c r="E74" s="119"/>
      <c r="F74" s="120">
        <v>30</v>
      </c>
      <c r="G74" s="120" t="s">
        <v>1653</v>
      </c>
      <c r="H74" s="120" t="s">
        <v>1624</v>
      </c>
      <c r="I74" s="120" t="s">
        <v>1664</v>
      </c>
      <c r="J74" s="143" t="s">
        <v>1658</v>
      </c>
      <c r="K74" s="1076">
        <v>4.2699999999999996</v>
      </c>
      <c r="L74" s="291">
        <v>0.4</v>
      </c>
      <c r="M74" s="831">
        <v>4.2300000000000004</v>
      </c>
      <c r="N74" s="503">
        <v>0.52</v>
      </c>
      <c r="O74" s="527">
        <f>0.04</f>
        <v>0.04</v>
      </c>
      <c r="P74" s="1077">
        <v>0.64</v>
      </c>
      <c r="Q74" s="1078">
        <v>0.55000000000000004</v>
      </c>
      <c r="R74" s="927">
        <v>0.79</v>
      </c>
      <c r="S74" s="1079">
        <v>0.4</v>
      </c>
      <c r="T74" s="120">
        <v>25</v>
      </c>
      <c r="U74" s="401">
        <v>0.24</v>
      </c>
      <c r="V74" s="1080">
        <v>0.16</v>
      </c>
      <c r="W74" s="1081">
        <v>0.28000000000000003</v>
      </c>
      <c r="X74" s="1082">
        <v>0.4</v>
      </c>
      <c r="Y74" s="256">
        <v>6</v>
      </c>
      <c r="Z74" s="137">
        <v>4</v>
      </c>
      <c r="AA74" s="1083">
        <v>4</v>
      </c>
      <c r="AB74" s="201">
        <v>0</v>
      </c>
      <c r="AC74" s="673">
        <v>7</v>
      </c>
      <c r="AD74" s="1084">
        <v>4</v>
      </c>
      <c r="AE74" s="142">
        <v>0</v>
      </c>
      <c r="AF74" s="143">
        <v>0</v>
      </c>
      <c r="AG74" s="1085"/>
      <c r="AH74" s="1086"/>
      <c r="AI74" s="1087"/>
      <c r="AJ74" s="1088"/>
      <c r="AK74" s="1089"/>
      <c r="AL74" s="1090"/>
      <c r="AM74" s="183"/>
      <c r="AN74" s="107"/>
    </row>
    <row r="75" spans="1:40" ht="15">
      <c r="A75" s="109"/>
      <c r="B75" s="5832"/>
      <c r="C75" s="149" t="s">
        <v>1389</v>
      </c>
      <c r="D75" s="1091"/>
      <c r="E75" s="151"/>
      <c r="F75" s="152">
        <v>30</v>
      </c>
      <c r="G75" s="152" t="s">
        <v>1623</v>
      </c>
      <c r="H75" s="152" t="s">
        <v>1624</v>
      </c>
      <c r="I75" s="152" t="s">
        <v>1665</v>
      </c>
      <c r="J75" s="174" t="s">
        <v>1666</v>
      </c>
      <c r="K75" s="1092">
        <v>3.37</v>
      </c>
      <c r="L75" s="1093">
        <v>0.35</v>
      </c>
      <c r="M75" s="1094">
        <v>3.37</v>
      </c>
      <c r="N75" s="1095">
        <v>0.5</v>
      </c>
      <c r="O75" s="1096">
        <v>0</v>
      </c>
      <c r="P75" s="1097">
        <v>2.4500000000000002</v>
      </c>
      <c r="Q75" s="1098">
        <v>0.6</v>
      </c>
      <c r="R75" s="222">
        <v>0</v>
      </c>
      <c r="S75" s="382">
        <v>4.0999999999999996</v>
      </c>
      <c r="T75" s="152">
        <v>21</v>
      </c>
      <c r="U75" s="1099">
        <v>0.38100000000000001</v>
      </c>
      <c r="V75" s="1026">
        <v>0.42859999999999998</v>
      </c>
      <c r="W75" s="384">
        <v>0</v>
      </c>
      <c r="X75" s="1100">
        <v>0.8095</v>
      </c>
      <c r="Y75" s="1101">
        <v>8</v>
      </c>
      <c r="Z75" s="169">
        <v>1</v>
      </c>
      <c r="AA75" s="800">
        <v>9</v>
      </c>
      <c r="AB75" s="1102">
        <v>2</v>
      </c>
      <c r="AC75" s="387">
        <v>0</v>
      </c>
      <c r="AD75" s="1067">
        <v>1</v>
      </c>
      <c r="AE75" s="173">
        <v>0</v>
      </c>
      <c r="AF75" s="174">
        <v>0</v>
      </c>
      <c r="AG75" s="1103"/>
      <c r="AH75" s="1104"/>
      <c r="AI75" s="1105"/>
      <c r="AJ75" s="1106"/>
      <c r="AK75" s="1107"/>
      <c r="AL75" s="1108"/>
      <c r="AM75" s="1109"/>
      <c r="AN75" s="107"/>
    </row>
    <row r="76" spans="1:40" ht="15">
      <c r="A76" s="109"/>
      <c r="B76" s="5831">
        <v>4</v>
      </c>
      <c r="C76" s="181" t="s">
        <v>575</v>
      </c>
      <c r="D76" s="1110"/>
      <c r="E76" s="183"/>
      <c r="F76" s="87">
        <v>36</v>
      </c>
      <c r="G76" s="87" t="s">
        <v>1667</v>
      </c>
      <c r="H76" s="87" t="s">
        <v>1572</v>
      </c>
      <c r="I76" s="87" t="s">
        <v>1668</v>
      </c>
      <c r="J76" s="22" t="s">
        <v>1669</v>
      </c>
      <c r="K76" s="1111">
        <v>4.4800000000000004</v>
      </c>
      <c r="L76" s="525">
        <v>0.47</v>
      </c>
      <c r="M76" s="1112">
        <v>2.85</v>
      </c>
      <c r="N76" s="291">
        <v>0.48</v>
      </c>
      <c r="O76" s="1113">
        <f>1.63</f>
        <v>1.63</v>
      </c>
      <c r="P76" s="123">
        <v>0</v>
      </c>
      <c r="Q76" s="187">
        <v>0</v>
      </c>
      <c r="R76" s="187">
        <v>0</v>
      </c>
      <c r="S76" s="131">
        <v>0</v>
      </c>
      <c r="T76" s="87">
        <v>17</v>
      </c>
      <c r="U76" s="1114">
        <v>0.64710000000000001</v>
      </c>
      <c r="V76" s="1115">
        <v>5.8799999999999998E-2</v>
      </c>
      <c r="W76" s="195">
        <v>0</v>
      </c>
      <c r="X76" s="1116">
        <v>0.70589999999999997</v>
      </c>
      <c r="Y76" s="1117">
        <v>11</v>
      </c>
      <c r="Z76" s="137">
        <v>4</v>
      </c>
      <c r="AA76" s="594">
        <v>1</v>
      </c>
      <c r="AB76" s="201">
        <v>0</v>
      </c>
      <c r="AC76" s="200">
        <v>0</v>
      </c>
      <c r="AD76" s="201">
        <v>0</v>
      </c>
      <c r="AE76" s="62">
        <v>0</v>
      </c>
      <c r="AF76" s="22">
        <v>0</v>
      </c>
      <c r="AG76" s="1118"/>
      <c r="AH76" s="1119"/>
      <c r="AI76" s="1120"/>
      <c r="AJ76" s="1121"/>
      <c r="AK76" s="1085"/>
      <c r="AL76" s="1122"/>
      <c r="AM76" s="1123"/>
      <c r="AN76" s="107"/>
    </row>
    <row r="77" spans="1:40" ht="15">
      <c r="A77" s="109"/>
      <c r="B77" s="5832"/>
      <c r="C77" s="211" t="s">
        <v>576</v>
      </c>
      <c r="D77" s="842"/>
      <c r="E77" s="213"/>
      <c r="F77" s="85">
        <v>32</v>
      </c>
      <c r="G77" s="85" t="s">
        <v>1585</v>
      </c>
      <c r="H77" s="85" t="s">
        <v>1568</v>
      </c>
      <c r="I77" s="85" t="s">
        <v>1670</v>
      </c>
      <c r="J77" s="23" t="s">
        <v>1666</v>
      </c>
      <c r="K77" s="1124">
        <v>7.69</v>
      </c>
      <c r="L77" s="1125">
        <v>0.42</v>
      </c>
      <c r="M77" s="383">
        <v>7.38</v>
      </c>
      <c r="N77" s="795">
        <v>0.36</v>
      </c>
      <c r="O77" s="1126">
        <f>0.31</f>
        <v>0.31</v>
      </c>
      <c r="P77" s="383">
        <v>0</v>
      </c>
      <c r="Q77" s="222">
        <v>0</v>
      </c>
      <c r="R77" s="219">
        <v>1</v>
      </c>
      <c r="S77" s="223">
        <v>0</v>
      </c>
      <c r="T77" s="85">
        <v>6</v>
      </c>
      <c r="U77" s="165">
        <v>1</v>
      </c>
      <c r="V77" s="384">
        <v>0</v>
      </c>
      <c r="W77" s="384">
        <v>0</v>
      </c>
      <c r="X77" s="385">
        <v>1</v>
      </c>
      <c r="Y77" s="386">
        <v>6</v>
      </c>
      <c r="Z77" s="171">
        <v>0</v>
      </c>
      <c r="AA77" s="387">
        <v>0</v>
      </c>
      <c r="AB77" s="171">
        <v>0</v>
      </c>
      <c r="AC77" s="387">
        <v>0</v>
      </c>
      <c r="AD77" s="171">
        <v>0</v>
      </c>
      <c r="AE77" s="233">
        <v>0</v>
      </c>
      <c r="AF77" s="23">
        <v>0</v>
      </c>
      <c r="AG77" s="1127"/>
      <c r="AH77" s="1128"/>
      <c r="AI77" s="1129"/>
      <c r="AJ77" s="1130"/>
      <c r="AK77" s="1131"/>
      <c r="AL77" s="1132"/>
      <c r="AM77" s="1074"/>
      <c r="AN77" s="107"/>
    </row>
    <row r="78" spans="1:40" ht="15">
      <c r="A78" s="109"/>
      <c r="B78" s="5833">
        <v>5</v>
      </c>
      <c r="C78" s="117" t="s">
        <v>248</v>
      </c>
      <c r="D78" s="1133"/>
      <c r="E78" s="119"/>
      <c r="F78" s="120">
        <v>32</v>
      </c>
      <c r="G78" s="120" t="s">
        <v>1582</v>
      </c>
      <c r="H78" s="120" t="s">
        <v>1641</v>
      </c>
      <c r="I78" s="120" t="s">
        <v>1671</v>
      </c>
      <c r="J78" s="143" t="s">
        <v>1658</v>
      </c>
      <c r="K78" s="1134">
        <v>5.6</v>
      </c>
      <c r="L78" s="1135">
        <v>0.56000000000000005</v>
      </c>
      <c r="M78" s="1136">
        <v>3.35</v>
      </c>
      <c r="N78" s="1137">
        <v>0.55000000000000004</v>
      </c>
      <c r="O78" s="1138">
        <f>2.25</f>
        <v>2.25</v>
      </c>
      <c r="P78" s="926">
        <v>5.29</v>
      </c>
      <c r="Q78" s="500">
        <v>0.53</v>
      </c>
      <c r="R78" s="327">
        <v>0.56000000000000005</v>
      </c>
      <c r="S78" s="1139">
        <v>0.8</v>
      </c>
      <c r="T78" s="120">
        <v>19</v>
      </c>
      <c r="U78" s="1140">
        <v>0.47370000000000001</v>
      </c>
      <c r="V78" s="1141">
        <v>0.1053</v>
      </c>
      <c r="W78" s="702">
        <v>0.15790000000000001</v>
      </c>
      <c r="X78" s="1142">
        <v>0.57889999999999997</v>
      </c>
      <c r="Y78" s="1143">
        <v>9</v>
      </c>
      <c r="Z78" s="203">
        <v>1</v>
      </c>
      <c r="AA78" s="256">
        <v>2</v>
      </c>
      <c r="AB78" s="302">
        <v>3</v>
      </c>
      <c r="AC78" s="256">
        <v>3</v>
      </c>
      <c r="AD78" s="1009">
        <v>1</v>
      </c>
      <c r="AE78" s="142">
        <v>0</v>
      </c>
      <c r="AF78" s="143">
        <v>0</v>
      </c>
      <c r="AG78" s="1144"/>
      <c r="AH78" s="1145"/>
      <c r="AI78" s="1146"/>
      <c r="AJ78" s="1147"/>
      <c r="AK78" s="1148"/>
      <c r="AL78" s="1149"/>
      <c r="AM78" s="1051"/>
      <c r="AN78" s="107"/>
    </row>
    <row r="79" spans="1:40" ht="15">
      <c r="A79" s="109"/>
      <c r="B79" s="5832"/>
      <c r="C79" s="149" t="s">
        <v>249</v>
      </c>
      <c r="D79" s="1150"/>
      <c r="E79" s="151"/>
      <c r="F79" s="152">
        <v>29</v>
      </c>
      <c r="G79" s="152" t="s">
        <v>1605</v>
      </c>
      <c r="H79" s="152" t="s">
        <v>1589</v>
      </c>
      <c r="I79" s="152" t="s">
        <v>1672</v>
      </c>
      <c r="J79" s="174" t="s">
        <v>1673</v>
      </c>
      <c r="K79" s="1151">
        <v>5.38</v>
      </c>
      <c r="L79" s="1018">
        <v>0.46</v>
      </c>
      <c r="M79" s="1152">
        <v>5.48</v>
      </c>
      <c r="N79" s="1153">
        <v>0.51</v>
      </c>
      <c r="O79" s="1154">
        <v>-0.1</v>
      </c>
      <c r="P79" s="1155">
        <v>0.87</v>
      </c>
      <c r="Q79" s="1156">
        <v>0.18</v>
      </c>
      <c r="R79" s="1061">
        <v>0.45</v>
      </c>
      <c r="S79" s="649">
        <v>0.3</v>
      </c>
      <c r="T79" s="152">
        <v>13</v>
      </c>
      <c r="U79" s="1157">
        <v>0.53849999999999998</v>
      </c>
      <c r="V79" s="963">
        <v>0.30769999999999997</v>
      </c>
      <c r="W79" s="384">
        <v>0</v>
      </c>
      <c r="X79" s="1158">
        <v>0.84619999999999995</v>
      </c>
      <c r="Y79" s="580">
        <v>7</v>
      </c>
      <c r="Z79" s="171">
        <v>0</v>
      </c>
      <c r="AA79" s="1159">
        <v>4</v>
      </c>
      <c r="AB79" s="171">
        <v>0</v>
      </c>
      <c r="AC79" s="387">
        <v>0</v>
      </c>
      <c r="AD79" s="1031">
        <v>2</v>
      </c>
      <c r="AE79" s="173">
        <v>0</v>
      </c>
      <c r="AF79" s="174">
        <v>0</v>
      </c>
      <c r="AG79" s="1160"/>
      <c r="AH79" s="1161"/>
      <c r="AI79" s="1162"/>
      <c r="AJ79" s="1103"/>
      <c r="AK79" s="1163"/>
      <c r="AL79" s="1164"/>
      <c r="AM79" s="1165"/>
      <c r="AN79" s="107"/>
    </row>
    <row r="80" spans="1:40" ht="15">
      <c r="A80" s="109"/>
      <c r="B80" s="5831">
        <v>6</v>
      </c>
      <c r="C80" s="181" t="s">
        <v>1211</v>
      </c>
      <c r="D80" s="1166"/>
      <c r="E80" s="183"/>
      <c r="F80" s="87">
        <v>40</v>
      </c>
      <c r="G80" s="87" t="s">
        <v>1571</v>
      </c>
      <c r="H80" s="87" t="s">
        <v>1622</v>
      </c>
      <c r="I80" s="87" t="s">
        <v>1674</v>
      </c>
      <c r="J80" s="22" t="s">
        <v>1661</v>
      </c>
      <c r="K80" s="1167">
        <v>5.0999999999999996</v>
      </c>
      <c r="L80" s="1168">
        <v>0.49</v>
      </c>
      <c r="M80" s="1169">
        <v>3.65</v>
      </c>
      <c r="N80" s="1170">
        <v>0.6</v>
      </c>
      <c r="O80" s="1171">
        <f>1.45</f>
        <v>1.45</v>
      </c>
      <c r="P80" s="1172">
        <v>1.1599999999999999</v>
      </c>
      <c r="Q80" s="1173">
        <v>0.42</v>
      </c>
      <c r="R80" s="1174">
        <v>0.65</v>
      </c>
      <c r="S80" s="1175">
        <v>0.2</v>
      </c>
      <c r="T80" s="87">
        <v>50</v>
      </c>
      <c r="U80" s="1176">
        <v>0.4</v>
      </c>
      <c r="V80" s="1177">
        <v>0.1</v>
      </c>
      <c r="W80" s="1178">
        <v>0.16</v>
      </c>
      <c r="X80" s="1179">
        <v>0.5</v>
      </c>
      <c r="Y80" s="136">
        <v>20</v>
      </c>
      <c r="Z80" s="302">
        <v>2</v>
      </c>
      <c r="AA80" s="1007">
        <v>5</v>
      </c>
      <c r="AB80" s="137">
        <v>7</v>
      </c>
      <c r="AC80" s="636">
        <v>8</v>
      </c>
      <c r="AD80" s="1180">
        <v>6</v>
      </c>
      <c r="AE80" s="62">
        <v>0</v>
      </c>
      <c r="AF80" s="22">
        <v>0</v>
      </c>
      <c r="AG80" s="1181"/>
      <c r="AH80" s="1182"/>
      <c r="AI80" s="1183"/>
      <c r="AJ80" s="1184"/>
      <c r="AK80" s="1185"/>
      <c r="AL80" s="1090"/>
      <c r="AM80" s="1186"/>
      <c r="AN80" s="107"/>
    </row>
    <row r="81" spans="1:40" ht="15">
      <c r="A81" s="109"/>
      <c r="B81" s="5832"/>
      <c r="C81" s="211" t="s">
        <v>1197</v>
      </c>
      <c r="D81" s="1187"/>
      <c r="E81" s="213"/>
      <c r="F81" s="85">
        <v>31</v>
      </c>
      <c r="G81" s="85" t="s">
        <v>1603</v>
      </c>
      <c r="H81" s="85" t="s">
        <v>1641</v>
      </c>
      <c r="I81" s="85" t="s">
        <v>1675</v>
      </c>
      <c r="J81" s="23" t="s">
        <v>1673</v>
      </c>
      <c r="K81" s="1188">
        <v>5.64</v>
      </c>
      <c r="L81" s="1189">
        <v>0.6</v>
      </c>
      <c r="M81" s="894">
        <v>3.18</v>
      </c>
      <c r="N81" s="1190">
        <v>0.57999999999999996</v>
      </c>
      <c r="O81" s="1191">
        <f>2.46</f>
        <v>2.46</v>
      </c>
      <c r="P81" s="1192">
        <v>0.4</v>
      </c>
      <c r="Q81" s="219">
        <v>1</v>
      </c>
      <c r="R81" s="746">
        <v>0.46</v>
      </c>
      <c r="S81" s="223">
        <v>0</v>
      </c>
      <c r="T81" s="85">
        <v>11</v>
      </c>
      <c r="U81" s="1193">
        <v>0.63639999999999997</v>
      </c>
      <c r="V81" s="918">
        <v>0.18179999999999999</v>
      </c>
      <c r="W81" s="384">
        <v>0</v>
      </c>
      <c r="X81" s="1194">
        <v>0.81820000000000004</v>
      </c>
      <c r="Y81" s="580">
        <v>7</v>
      </c>
      <c r="Z81" s="171">
        <v>0</v>
      </c>
      <c r="AA81" s="386">
        <v>2</v>
      </c>
      <c r="AB81" s="1102">
        <v>2</v>
      </c>
      <c r="AC81" s="387">
        <v>0</v>
      </c>
      <c r="AD81" s="171">
        <v>0</v>
      </c>
      <c r="AE81" s="233">
        <v>0</v>
      </c>
      <c r="AF81" s="23">
        <v>0</v>
      </c>
      <c r="AG81" s="1195"/>
      <c r="AH81" s="1196"/>
      <c r="AI81" s="1197"/>
      <c r="AJ81" s="1198"/>
      <c r="AK81" s="1199"/>
      <c r="AL81" s="1200"/>
      <c r="AM81" s="1201"/>
      <c r="AN81" s="107"/>
    </row>
    <row r="82" spans="1:40" ht="15">
      <c r="A82" s="109"/>
      <c r="B82" s="5833">
        <v>7</v>
      </c>
      <c r="C82" s="117" t="s">
        <v>92</v>
      </c>
      <c r="D82" s="1202"/>
      <c r="E82" s="119"/>
      <c r="F82" s="120">
        <v>39</v>
      </c>
      <c r="G82" s="120" t="s">
        <v>1653</v>
      </c>
      <c r="H82" s="120" t="s">
        <v>1624</v>
      </c>
      <c r="I82" s="120" t="s">
        <v>1676</v>
      </c>
      <c r="J82" s="143" t="s">
        <v>1677</v>
      </c>
      <c r="K82" s="1203">
        <v>1.59</v>
      </c>
      <c r="L82" s="1204">
        <v>0.37</v>
      </c>
      <c r="M82" s="1205">
        <v>1.77</v>
      </c>
      <c r="N82" s="327">
        <v>0.5</v>
      </c>
      <c r="O82" s="1206">
        <v>-0.18</v>
      </c>
      <c r="P82" s="1207">
        <v>2.86</v>
      </c>
      <c r="Q82" s="665">
        <v>0.32</v>
      </c>
      <c r="R82" s="1208">
        <v>0.24</v>
      </c>
      <c r="S82" s="1209">
        <v>1.9</v>
      </c>
      <c r="T82" s="120">
        <v>41</v>
      </c>
      <c r="U82" s="195">
        <v>0</v>
      </c>
      <c r="V82" s="812">
        <v>0.51219999999999999</v>
      </c>
      <c r="W82" s="1210">
        <v>0.17069999999999999</v>
      </c>
      <c r="X82" s="1211">
        <v>0.51219999999999999</v>
      </c>
      <c r="Y82" s="200">
        <v>0</v>
      </c>
      <c r="Z82" s="1006">
        <v>3</v>
      </c>
      <c r="AA82" s="136">
        <v>21</v>
      </c>
      <c r="AB82" s="203">
        <v>1</v>
      </c>
      <c r="AC82" s="673">
        <v>7</v>
      </c>
      <c r="AD82" s="137">
        <v>7</v>
      </c>
      <c r="AE82" s="142">
        <v>0</v>
      </c>
      <c r="AF82" s="143">
        <v>0</v>
      </c>
      <c r="AG82" s="1212"/>
      <c r="AH82" s="1213"/>
      <c r="AI82" s="1214"/>
      <c r="AJ82" s="1215"/>
      <c r="AK82" s="1118"/>
      <c r="AL82" s="1216"/>
      <c r="AM82" s="1123"/>
      <c r="AN82" s="107"/>
    </row>
    <row r="83" spans="1:40" ht="15">
      <c r="A83" s="109"/>
      <c r="B83" s="5832"/>
      <c r="C83" s="149" t="s">
        <v>93</v>
      </c>
      <c r="D83" s="1217"/>
      <c r="E83" s="151"/>
      <c r="F83" s="152">
        <v>37</v>
      </c>
      <c r="G83" s="152" t="s">
        <v>1592</v>
      </c>
      <c r="H83" s="152" t="s">
        <v>1631</v>
      </c>
      <c r="I83" s="152" t="s">
        <v>1678</v>
      </c>
      <c r="J83" s="174" t="s">
        <v>1669</v>
      </c>
      <c r="K83" s="218">
        <v>8.26</v>
      </c>
      <c r="L83" s="1218">
        <v>0.54</v>
      </c>
      <c r="M83" s="1219">
        <v>5.95</v>
      </c>
      <c r="N83" s="453">
        <v>0.47</v>
      </c>
      <c r="O83" s="1220">
        <f>2.31</f>
        <v>2.31</v>
      </c>
      <c r="P83" s="383">
        <v>0</v>
      </c>
      <c r="Q83" s="222">
        <v>0</v>
      </c>
      <c r="R83" s="1221">
        <v>0.78</v>
      </c>
      <c r="S83" s="1222">
        <v>0.6</v>
      </c>
      <c r="T83" s="152">
        <v>30</v>
      </c>
      <c r="U83" s="718">
        <v>0.2</v>
      </c>
      <c r="V83" s="1223">
        <v>0.26669999999999999</v>
      </c>
      <c r="W83" s="1224">
        <v>0.3</v>
      </c>
      <c r="X83" s="1225">
        <v>0.4667</v>
      </c>
      <c r="Y83" s="386">
        <v>6</v>
      </c>
      <c r="Z83" s="171">
        <v>0</v>
      </c>
      <c r="AA83" s="1226">
        <v>8</v>
      </c>
      <c r="AB83" s="171">
        <v>0</v>
      </c>
      <c r="AC83" s="1227">
        <v>9</v>
      </c>
      <c r="AD83" s="1228">
        <v>6</v>
      </c>
      <c r="AE83" s="173">
        <v>0</v>
      </c>
      <c r="AF83" s="174">
        <v>0</v>
      </c>
      <c r="AG83" s="1131"/>
      <c r="AH83" s="1229"/>
      <c r="AI83" s="1230"/>
      <c r="AJ83" s="1231"/>
      <c r="AK83" s="1232"/>
      <c r="AL83" s="1164"/>
      <c r="AM83" s="1233"/>
      <c r="AN83" s="107"/>
    </row>
    <row r="84" spans="1:40" ht="15">
      <c r="A84" s="109"/>
      <c r="B84" s="5831">
        <v>8</v>
      </c>
      <c r="C84" s="181" t="s">
        <v>808</v>
      </c>
      <c r="D84" s="1234"/>
      <c r="E84" s="183"/>
      <c r="F84" s="87">
        <v>32</v>
      </c>
      <c r="G84" s="87" t="s">
        <v>1575</v>
      </c>
      <c r="H84" s="87" t="s">
        <v>1641</v>
      </c>
      <c r="I84" s="87" t="s">
        <v>1679</v>
      </c>
      <c r="J84" s="22" t="s">
        <v>1673</v>
      </c>
      <c r="K84" s="556">
        <v>3.83</v>
      </c>
      <c r="L84" s="471">
        <v>0.46</v>
      </c>
      <c r="M84" s="1235">
        <v>3.37</v>
      </c>
      <c r="N84" s="1236">
        <v>0.56000000000000005</v>
      </c>
      <c r="O84" s="1237">
        <f>0.46</f>
        <v>0.46</v>
      </c>
      <c r="P84" s="1111">
        <v>1.55</v>
      </c>
      <c r="Q84" s="1238">
        <v>0.52</v>
      </c>
      <c r="R84" s="1239">
        <v>0.63</v>
      </c>
      <c r="S84" s="131">
        <v>0</v>
      </c>
      <c r="T84" s="87">
        <v>23</v>
      </c>
      <c r="U84" s="1177">
        <v>0.21740000000000001</v>
      </c>
      <c r="V84" s="668">
        <v>8.6999999999999994E-2</v>
      </c>
      <c r="W84" s="1240">
        <v>0.39129999999999998</v>
      </c>
      <c r="X84" s="813">
        <v>0.30430000000000001</v>
      </c>
      <c r="Y84" s="1005">
        <v>5</v>
      </c>
      <c r="Z84" s="201">
        <v>0</v>
      </c>
      <c r="AA84" s="256">
        <v>2</v>
      </c>
      <c r="AB84" s="302">
        <v>3</v>
      </c>
      <c r="AC84" s="1008">
        <v>9</v>
      </c>
      <c r="AD84" s="1084">
        <v>4</v>
      </c>
      <c r="AE84" s="62">
        <v>0</v>
      </c>
      <c r="AF84" s="22">
        <v>0</v>
      </c>
      <c r="AG84" s="1144"/>
      <c r="AH84" s="1241"/>
      <c r="AI84" s="1242"/>
      <c r="AJ84" s="1243"/>
      <c r="AK84" s="1244"/>
      <c r="AL84" s="1245"/>
      <c r="AM84" s="1246"/>
      <c r="AN84" s="107"/>
    </row>
    <row r="85" spans="1:40" ht="15">
      <c r="A85" s="109"/>
      <c r="B85" s="5832"/>
      <c r="C85" s="211" t="s">
        <v>809</v>
      </c>
      <c r="D85" s="1247"/>
      <c r="E85" s="213"/>
      <c r="F85" s="85">
        <v>27</v>
      </c>
      <c r="G85" s="85" t="s">
        <v>1575</v>
      </c>
      <c r="H85" s="85" t="s">
        <v>1618</v>
      </c>
      <c r="I85" s="85" t="s">
        <v>1680</v>
      </c>
      <c r="J85" s="23" t="s">
        <v>1658</v>
      </c>
      <c r="K85" s="1248">
        <v>1.87</v>
      </c>
      <c r="L85" s="542">
        <v>0.28999999999999998</v>
      </c>
      <c r="M85" s="343">
        <v>4</v>
      </c>
      <c r="N85" s="1249">
        <v>0.44</v>
      </c>
      <c r="O85" s="1250">
        <v>-2.13</v>
      </c>
      <c r="P85" s="341">
        <v>1</v>
      </c>
      <c r="Q85" s="217">
        <v>0.2</v>
      </c>
      <c r="R85" s="1251">
        <v>0.56999999999999995</v>
      </c>
      <c r="S85" s="223">
        <v>0</v>
      </c>
      <c r="T85" s="85">
        <v>9</v>
      </c>
      <c r="U85" s="1252">
        <v>0.44440000000000002</v>
      </c>
      <c r="V85" s="384">
        <v>0</v>
      </c>
      <c r="W85" s="165">
        <v>0.44440000000000002</v>
      </c>
      <c r="X85" s="1253">
        <v>0.44440000000000002</v>
      </c>
      <c r="Y85" s="279">
        <v>4</v>
      </c>
      <c r="Z85" s="171">
        <v>0</v>
      </c>
      <c r="AA85" s="387">
        <v>0</v>
      </c>
      <c r="AB85" s="171">
        <v>0</v>
      </c>
      <c r="AC85" s="751">
        <v>4</v>
      </c>
      <c r="AD85" s="1067">
        <v>1</v>
      </c>
      <c r="AE85" s="233">
        <v>0</v>
      </c>
      <c r="AF85" s="23">
        <v>0</v>
      </c>
      <c r="AG85" s="1160"/>
      <c r="AH85" s="1254"/>
      <c r="AI85" s="1255"/>
      <c r="AJ85" s="1256"/>
      <c r="AK85" s="1257"/>
      <c r="AL85" s="1258"/>
      <c r="AM85" s="1233"/>
      <c r="AN85" s="107"/>
    </row>
    <row r="86" spans="1:40" ht="15">
      <c r="A86" s="109"/>
      <c r="B86" s="5833">
        <v>9</v>
      </c>
      <c r="C86" s="117" t="s">
        <v>540</v>
      </c>
      <c r="D86" s="1259"/>
      <c r="E86" s="119"/>
      <c r="F86" s="120">
        <v>32</v>
      </c>
      <c r="G86" s="120" t="s">
        <v>1667</v>
      </c>
      <c r="H86" s="120" t="s">
        <v>1681</v>
      </c>
      <c r="I86" s="120" t="s">
        <v>1682</v>
      </c>
      <c r="J86" s="143" t="s">
        <v>1673</v>
      </c>
      <c r="K86" s="1260">
        <v>3.6</v>
      </c>
      <c r="L86" s="1261">
        <v>0.44</v>
      </c>
      <c r="M86" s="781">
        <v>3.84</v>
      </c>
      <c r="N86" s="1262">
        <v>0.46</v>
      </c>
      <c r="O86" s="1263">
        <v>-0.24</v>
      </c>
      <c r="P86" s="1264">
        <v>0.79</v>
      </c>
      <c r="Q86" s="1265">
        <v>0.43</v>
      </c>
      <c r="R86" s="470">
        <v>0.6</v>
      </c>
      <c r="S86" s="131">
        <v>0</v>
      </c>
      <c r="T86" s="120">
        <v>17</v>
      </c>
      <c r="U86" s="702">
        <v>0.35289999999999999</v>
      </c>
      <c r="V86" s="1115">
        <v>5.8799999999999998E-2</v>
      </c>
      <c r="W86" s="732">
        <v>0.17649999999999999</v>
      </c>
      <c r="X86" s="1266">
        <v>0.4118</v>
      </c>
      <c r="Y86" s="256">
        <v>6</v>
      </c>
      <c r="Z86" s="203">
        <v>1</v>
      </c>
      <c r="AA86" s="594">
        <v>1</v>
      </c>
      <c r="AB86" s="564">
        <v>2</v>
      </c>
      <c r="AC86" s="256">
        <v>3</v>
      </c>
      <c r="AD86" s="1267">
        <v>2</v>
      </c>
      <c r="AE86" s="142">
        <v>0</v>
      </c>
      <c r="AF86" s="137">
        <v>1</v>
      </c>
      <c r="AG86" s="6"/>
      <c r="AH86" s="183"/>
      <c r="AI86" s="1268"/>
      <c r="AJ86" s="1269"/>
      <c r="AK86" s="6"/>
      <c r="AL86" s="1245"/>
      <c r="AM86" s="1270"/>
      <c r="AN86" s="107"/>
    </row>
    <row r="87" spans="1:40" ht="15">
      <c r="A87" s="109"/>
      <c r="B87" s="5832"/>
      <c r="C87" s="149" t="s">
        <v>541</v>
      </c>
      <c r="D87" s="1271"/>
      <c r="E87" s="151"/>
      <c r="F87" s="152">
        <v>29</v>
      </c>
      <c r="G87" s="152" t="s">
        <v>1585</v>
      </c>
      <c r="H87" s="152" t="s">
        <v>1597</v>
      </c>
      <c r="I87" s="152" t="s">
        <v>1683</v>
      </c>
      <c r="J87" s="174" t="s">
        <v>1658</v>
      </c>
      <c r="K87" s="1272">
        <v>6.57</v>
      </c>
      <c r="L87" s="219">
        <v>0.64</v>
      </c>
      <c r="M87" s="1273">
        <v>1.87</v>
      </c>
      <c r="N87" s="1274">
        <v>0.64</v>
      </c>
      <c r="O87" s="382">
        <f>4.7</f>
        <v>4.7</v>
      </c>
      <c r="P87" s="383">
        <v>0</v>
      </c>
      <c r="Q87" s="222">
        <v>0</v>
      </c>
      <c r="R87" s="1023">
        <v>0.82</v>
      </c>
      <c r="S87" s="223">
        <v>0</v>
      </c>
      <c r="T87" s="152">
        <v>11</v>
      </c>
      <c r="U87" s="796">
        <v>0.36359999999999998</v>
      </c>
      <c r="V87" s="918">
        <v>0.18179999999999999</v>
      </c>
      <c r="W87" s="1275">
        <v>0.18179999999999999</v>
      </c>
      <c r="X87" s="1276">
        <v>0.54549999999999998</v>
      </c>
      <c r="Y87" s="279">
        <v>4</v>
      </c>
      <c r="Z87" s="171">
        <v>0</v>
      </c>
      <c r="AA87" s="386">
        <v>2</v>
      </c>
      <c r="AB87" s="171">
        <v>0</v>
      </c>
      <c r="AC87" s="279">
        <v>2</v>
      </c>
      <c r="AD87" s="1031">
        <v>2</v>
      </c>
      <c r="AE87" s="173">
        <v>0</v>
      </c>
      <c r="AF87" s="174">
        <v>0</v>
      </c>
      <c r="AG87" s="5"/>
      <c r="AH87" s="1277"/>
      <c r="AI87" s="1278"/>
      <c r="AJ87" s="1279"/>
      <c r="AK87" s="1280"/>
      <c r="AL87" s="1200"/>
      <c r="AM87" s="1281"/>
      <c r="AN87" s="107"/>
    </row>
    <row r="88" spans="1:40" ht="15">
      <c r="A88" s="109"/>
      <c r="B88" s="5831">
        <v>10</v>
      </c>
      <c r="C88" s="181" t="s">
        <v>1464</v>
      </c>
      <c r="D88" s="1282"/>
      <c r="E88" s="183"/>
      <c r="F88" s="87">
        <v>31</v>
      </c>
      <c r="G88" s="87" t="s">
        <v>1684</v>
      </c>
      <c r="H88" s="87" t="s">
        <v>1626</v>
      </c>
      <c r="I88" s="87" t="s">
        <v>1685</v>
      </c>
      <c r="J88" s="22" t="s">
        <v>1673</v>
      </c>
      <c r="K88" s="886">
        <v>1.1000000000000001</v>
      </c>
      <c r="L88" s="192">
        <v>0.42</v>
      </c>
      <c r="M88" s="1283">
        <v>4.93</v>
      </c>
      <c r="N88" s="294">
        <v>0.31</v>
      </c>
      <c r="O88" s="131">
        <v>-3.83</v>
      </c>
      <c r="P88" s="803">
        <v>1.83</v>
      </c>
      <c r="Q88" s="368">
        <v>0.3</v>
      </c>
      <c r="R88" s="1284">
        <v>0.16</v>
      </c>
      <c r="S88" s="131">
        <v>0</v>
      </c>
      <c r="T88" s="87">
        <v>8</v>
      </c>
      <c r="U88" s="438">
        <v>0.375</v>
      </c>
      <c r="V88" s="1285">
        <v>0.125</v>
      </c>
      <c r="W88" s="1286">
        <v>0.25</v>
      </c>
      <c r="X88" s="1179">
        <v>0.5</v>
      </c>
      <c r="Y88" s="594">
        <v>3</v>
      </c>
      <c r="Z88" s="203">
        <v>1</v>
      </c>
      <c r="AA88" s="594">
        <v>1</v>
      </c>
      <c r="AB88" s="201">
        <v>0</v>
      </c>
      <c r="AC88" s="672">
        <v>2</v>
      </c>
      <c r="AD88" s="1009">
        <v>1</v>
      </c>
      <c r="AE88" s="62">
        <v>0</v>
      </c>
      <c r="AF88" s="22">
        <v>0</v>
      </c>
      <c r="AG88" s="1181"/>
      <c r="AH88" s="1287"/>
      <c r="AI88" s="1288"/>
      <c r="AJ88" s="1212"/>
      <c r="AK88" s="1212"/>
      <c r="AL88" s="1122"/>
      <c r="AM88" s="183"/>
      <c r="AN88" s="107"/>
    </row>
    <row r="89" spans="1:40" ht="15">
      <c r="A89" s="109"/>
      <c r="B89" s="5832"/>
      <c r="C89" s="211" t="s">
        <v>1465</v>
      </c>
      <c r="D89" s="1289"/>
      <c r="E89" s="213"/>
      <c r="F89" s="85">
        <v>29</v>
      </c>
      <c r="G89" s="85" t="s">
        <v>1644</v>
      </c>
      <c r="H89" s="85" t="s">
        <v>1686</v>
      </c>
      <c r="I89" s="85" t="s">
        <v>1687</v>
      </c>
      <c r="J89" s="23" t="s">
        <v>1658</v>
      </c>
      <c r="K89" s="383">
        <v>0</v>
      </c>
      <c r="L89" s="222">
        <v>0</v>
      </c>
      <c r="M89" s="1290">
        <v>1.71</v>
      </c>
      <c r="N89" s="1291">
        <v>0.7</v>
      </c>
      <c r="O89" s="1292">
        <v>-1.71</v>
      </c>
      <c r="P89" s="383">
        <v>0</v>
      </c>
      <c r="Q89" s="222">
        <v>0</v>
      </c>
      <c r="R89" s="222">
        <v>0</v>
      </c>
      <c r="S89" s="223">
        <v>0</v>
      </c>
      <c r="T89" s="85">
        <v>17</v>
      </c>
      <c r="U89" s="773">
        <v>0.47060000000000002</v>
      </c>
      <c r="V89" s="1293">
        <v>5.8799999999999998E-2</v>
      </c>
      <c r="W89" s="1294">
        <v>0.23530000000000001</v>
      </c>
      <c r="X89" s="1295">
        <v>0.52939999999999998</v>
      </c>
      <c r="Y89" s="1101">
        <v>8</v>
      </c>
      <c r="Z89" s="1296">
        <v>2</v>
      </c>
      <c r="AA89" s="353">
        <v>1</v>
      </c>
      <c r="AB89" s="1102">
        <v>2</v>
      </c>
      <c r="AC89" s="751">
        <v>4</v>
      </c>
      <c r="AD89" s="171">
        <v>0</v>
      </c>
      <c r="AE89" s="233">
        <v>0</v>
      </c>
      <c r="AF89" s="23">
        <v>0</v>
      </c>
      <c r="AG89" s="1195"/>
      <c r="AH89" s="1297"/>
      <c r="AI89" s="1298"/>
      <c r="AJ89" s="1299"/>
      <c r="AK89" s="1036"/>
      <c r="AL89" s="1300"/>
      <c r="AM89" s="1129"/>
      <c r="AN89" s="107"/>
    </row>
    <row r="90" spans="1:40" ht="15">
      <c r="A90" s="109"/>
      <c r="B90" s="5833">
        <v>11</v>
      </c>
      <c r="C90" s="117" t="s">
        <v>724</v>
      </c>
      <c r="D90" s="1301"/>
      <c r="E90" s="119"/>
      <c r="F90" s="120">
        <v>24</v>
      </c>
      <c r="G90" s="120" t="s">
        <v>1582</v>
      </c>
      <c r="H90" s="120" t="s">
        <v>1595</v>
      </c>
      <c r="I90" s="120" t="s">
        <v>1688</v>
      </c>
      <c r="J90" s="143" t="s">
        <v>1666</v>
      </c>
      <c r="K90" s="1302">
        <v>4.93</v>
      </c>
      <c r="L90" s="1303">
        <v>0.54</v>
      </c>
      <c r="M90" s="1304">
        <v>1.93</v>
      </c>
      <c r="N90" s="504">
        <v>0.74</v>
      </c>
      <c r="O90" s="1305">
        <f>3</f>
        <v>3</v>
      </c>
      <c r="P90" s="123">
        <v>0</v>
      </c>
      <c r="Q90" s="187">
        <v>0</v>
      </c>
      <c r="R90" s="1306">
        <v>0.71</v>
      </c>
      <c r="S90" s="131">
        <v>0</v>
      </c>
      <c r="T90" s="120">
        <v>16</v>
      </c>
      <c r="U90" s="1307">
        <v>0.4375</v>
      </c>
      <c r="V90" s="1308">
        <v>6.25E-2</v>
      </c>
      <c r="W90" s="1003">
        <v>0.375</v>
      </c>
      <c r="X90" s="1179">
        <v>0.5</v>
      </c>
      <c r="Y90" s="140">
        <v>7</v>
      </c>
      <c r="Z90" s="201">
        <v>0</v>
      </c>
      <c r="AA90" s="594">
        <v>1</v>
      </c>
      <c r="AB90" s="203">
        <v>1</v>
      </c>
      <c r="AC90" s="735">
        <v>6</v>
      </c>
      <c r="AD90" s="1009">
        <v>1</v>
      </c>
      <c r="AE90" s="142">
        <v>0</v>
      </c>
      <c r="AF90" s="143">
        <v>0</v>
      </c>
      <c r="AG90" s="1309"/>
      <c r="AH90" s="1310"/>
      <c r="AI90" s="119"/>
      <c r="AJ90" s="640"/>
      <c r="AK90" s="640"/>
      <c r="AL90" s="640"/>
      <c r="AM90" s="119"/>
      <c r="AN90" s="107"/>
    </row>
    <row r="91" spans="1:40" ht="15">
      <c r="A91" s="109"/>
      <c r="B91" s="5832"/>
      <c r="C91" s="149" t="s">
        <v>725</v>
      </c>
      <c r="D91" s="1091"/>
      <c r="E91" s="151"/>
      <c r="F91" s="152">
        <v>28</v>
      </c>
      <c r="G91" s="152" t="s">
        <v>1588</v>
      </c>
      <c r="H91" s="152" t="s">
        <v>1589</v>
      </c>
      <c r="I91" s="152" t="s">
        <v>1689</v>
      </c>
      <c r="J91" s="174" t="s">
        <v>1658</v>
      </c>
      <c r="K91" s="383">
        <v>0</v>
      </c>
      <c r="L91" s="222">
        <v>0</v>
      </c>
      <c r="M91" s="218">
        <v>0</v>
      </c>
      <c r="N91" s="222">
        <v>0</v>
      </c>
      <c r="O91" s="1096">
        <v>0</v>
      </c>
      <c r="P91" s="383">
        <v>0</v>
      </c>
      <c r="Q91" s="222">
        <v>0</v>
      </c>
      <c r="R91" s="222">
        <v>0</v>
      </c>
      <c r="S91" s="223">
        <v>0</v>
      </c>
      <c r="T91" s="152">
        <v>19</v>
      </c>
      <c r="U91" s="898">
        <v>0.36840000000000001</v>
      </c>
      <c r="V91" s="1252">
        <v>0.21049999999999999</v>
      </c>
      <c r="W91" s="349">
        <v>0.1053</v>
      </c>
      <c r="X91" s="1311">
        <v>0.57889999999999997</v>
      </c>
      <c r="Y91" s="580">
        <v>7</v>
      </c>
      <c r="Z91" s="169">
        <v>1</v>
      </c>
      <c r="AA91" s="1159">
        <v>4</v>
      </c>
      <c r="AB91" s="1102">
        <v>2</v>
      </c>
      <c r="AC91" s="279">
        <v>2</v>
      </c>
      <c r="AD91" s="1312">
        <v>3</v>
      </c>
      <c r="AE91" s="173">
        <v>0</v>
      </c>
      <c r="AF91" s="174">
        <v>0</v>
      </c>
      <c r="AG91" s="1313"/>
      <c r="AH91" s="1314"/>
      <c r="AI91" s="151"/>
      <c r="AJ91" s="657"/>
      <c r="AK91" s="657"/>
      <c r="AL91" s="657"/>
      <c r="AM91" s="151"/>
      <c r="AN91" s="107"/>
    </row>
    <row r="92" spans="1:40" ht="15">
      <c r="A92" s="109"/>
      <c r="B92" s="5831">
        <v>12</v>
      </c>
      <c r="C92" s="181" t="s">
        <v>1393</v>
      </c>
      <c r="D92" s="1315"/>
      <c r="E92" s="183"/>
      <c r="F92" s="87">
        <v>29</v>
      </c>
      <c r="G92" s="87" t="s">
        <v>1630</v>
      </c>
      <c r="H92" s="87" t="s">
        <v>1618</v>
      </c>
      <c r="I92" s="87" t="s">
        <v>1690</v>
      </c>
      <c r="J92" s="22" t="s">
        <v>1658</v>
      </c>
      <c r="K92" s="1316">
        <v>1.47</v>
      </c>
      <c r="L92" s="1317">
        <v>0.35</v>
      </c>
      <c r="M92" s="1318">
        <v>2.73</v>
      </c>
      <c r="N92" s="503">
        <v>0.52</v>
      </c>
      <c r="O92" s="809">
        <v>-1.26</v>
      </c>
      <c r="P92" s="1302">
        <v>2</v>
      </c>
      <c r="Q92" s="1319">
        <v>0.33</v>
      </c>
      <c r="R92" s="1320">
        <v>0.66</v>
      </c>
      <c r="S92" s="1321">
        <v>2</v>
      </c>
      <c r="T92" s="87">
        <v>7</v>
      </c>
      <c r="U92" s="1322">
        <v>0.42859999999999998</v>
      </c>
      <c r="V92" s="1323">
        <v>0.28570000000000001</v>
      </c>
      <c r="W92" s="1324">
        <v>0.1429</v>
      </c>
      <c r="X92" s="1325">
        <v>0.71430000000000005</v>
      </c>
      <c r="Y92" s="594">
        <v>3</v>
      </c>
      <c r="Z92" s="201">
        <v>0</v>
      </c>
      <c r="AA92" s="256">
        <v>2</v>
      </c>
      <c r="AB92" s="201">
        <v>0</v>
      </c>
      <c r="AC92" s="138">
        <v>1</v>
      </c>
      <c r="AD92" s="1009">
        <v>1</v>
      </c>
      <c r="AE92" s="62">
        <v>0</v>
      </c>
      <c r="AF92" s="22">
        <v>0</v>
      </c>
      <c r="AG92" s="1326"/>
      <c r="AH92" s="1120"/>
      <c r="AI92" s="1327"/>
      <c r="AJ92" s="1328"/>
      <c r="AK92" s="1329"/>
      <c r="AL92" s="1328"/>
      <c r="AM92" s="183"/>
      <c r="AN92" s="107"/>
    </row>
    <row r="93" spans="1:40" ht="15">
      <c r="A93" s="109"/>
      <c r="B93" s="5832"/>
      <c r="C93" s="211" t="s">
        <v>1394</v>
      </c>
      <c r="D93" s="1330"/>
      <c r="E93" s="213"/>
      <c r="F93" s="85">
        <v>27</v>
      </c>
      <c r="G93" s="85" t="s">
        <v>1623</v>
      </c>
      <c r="H93" s="85" t="s">
        <v>1624</v>
      </c>
      <c r="I93" s="85" t="s">
        <v>1691</v>
      </c>
      <c r="J93" s="23" t="s">
        <v>1661</v>
      </c>
      <c r="K93" s="1331">
        <v>1.93</v>
      </c>
      <c r="L93" s="416">
        <v>0.4</v>
      </c>
      <c r="M93" s="1332">
        <v>4.4800000000000004</v>
      </c>
      <c r="N93" s="1333">
        <v>0.27</v>
      </c>
      <c r="O93" s="1334">
        <v>-2.5499999999999998</v>
      </c>
      <c r="P93" s="1335">
        <v>5.0999999999999996</v>
      </c>
      <c r="Q93" s="1098">
        <v>0.6</v>
      </c>
      <c r="R93" s="222">
        <v>0</v>
      </c>
      <c r="S93" s="1336">
        <v>0.8</v>
      </c>
      <c r="T93" s="85">
        <v>26</v>
      </c>
      <c r="U93" s="1337">
        <v>0.26919999999999999</v>
      </c>
      <c r="V93" s="1338">
        <v>0.3846</v>
      </c>
      <c r="W93" s="384">
        <v>0</v>
      </c>
      <c r="X93" s="1339">
        <v>0.65380000000000005</v>
      </c>
      <c r="Y93" s="580">
        <v>7</v>
      </c>
      <c r="Z93" s="753">
        <v>4</v>
      </c>
      <c r="AA93" s="1340">
        <v>10</v>
      </c>
      <c r="AB93" s="1102">
        <v>2</v>
      </c>
      <c r="AC93" s="387">
        <v>0</v>
      </c>
      <c r="AD93" s="1067">
        <v>1</v>
      </c>
      <c r="AE93" s="229">
        <v>2</v>
      </c>
      <c r="AF93" s="23">
        <v>0</v>
      </c>
      <c r="AG93" s="1341"/>
      <c r="AH93" s="1298"/>
      <c r="AI93" s="1342"/>
      <c r="AJ93" s="1343"/>
      <c r="AK93" s="1344"/>
      <c r="AL93" s="1036"/>
      <c r="AM93" s="1298"/>
      <c r="AN93" s="107"/>
    </row>
    <row r="94" spans="1:40" ht="15">
      <c r="A94" s="109"/>
      <c r="B94" s="5833">
        <v>13</v>
      </c>
      <c r="C94" s="117" t="s">
        <v>728</v>
      </c>
      <c r="D94" s="1345"/>
      <c r="E94" s="119"/>
      <c r="F94" s="120">
        <v>35</v>
      </c>
      <c r="G94" s="120" t="s">
        <v>1630</v>
      </c>
      <c r="H94" s="120" t="s">
        <v>1641</v>
      </c>
      <c r="I94" s="120" t="s">
        <v>1692</v>
      </c>
      <c r="J94" s="143" t="s">
        <v>1661</v>
      </c>
      <c r="K94" s="1346">
        <v>4.92</v>
      </c>
      <c r="L94" s="295">
        <v>0.41</v>
      </c>
      <c r="M94" s="1347">
        <v>4.26</v>
      </c>
      <c r="N94" s="1348">
        <v>0.62</v>
      </c>
      <c r="O94" s="530">
        <f>0.66</f>
        <v>0.66</v>
      </c>
      <c r="P94" s="886">
        <v>0.24</v>
      </c>
      <c r="Q94" s="324">
        <v>0.5</v>
      </c>
      <c r="R94" s="295">
        <v>0.55000000000000004</v>
      </c>
      <c r="S94" s="1349">
        <v>1</v>
      </c>
      <c r="T94" s="120">
        <v>35</v>
      </c>
      <c r="U94" s="1350">
        <v>0.2571</v>
      </c>
      <c r="V94" s="1323">
        <v>0.28570000000000001</v>
      </c>
      <c r="W94" s="1350">
        <v>0.1143</v>
      </c>
      <c r="X94" s="135">
        <v>0.54290000000000005</v>
      </c>
      <c r="Y94" s="1143">
        <v>9</v>
      </c>
      <c r="Z94" s="137">
        <v>4</v>
      </c>
      <c r="AA94" s="1351">
        <v>10</v>
      </c>
      <c r="AB94" s="302">
        <v>3</v>
      </c>
      <c r="AC94" s="1352">
        <v>4</v>
      </c>
      <c r="AD94" s="1353">
        <v>5</v>
      </c>
      <c r="AE94" s="142">
        <v>0</v>
      </c>
      <c r="AF94" s="143">
        <v>0</v>
      </c>
      <c r="AG94" s="1354"/>
      <c r="AH94" s="1355"/>
      <c r="AI94" s="1183"/>
      <c r="AJ94" s="1356"/>
      <c r="AK94" s="1357"/>
      <c r="AL94" s="1358"/>
      <c r="AM94" s="183"/>
      <c r="AN94" s="107"/>
    </row>
    <row r="95" spans="1:40" ht="15">
      <c r="A95" s="109"/>
      <c r="B95" s="5832"/>
      <c r="C95" s="149" t="s">
        <v>729</v>
      </c>
      <c r="D95" s="1359"/>
      <c r="E95" s="151"/>
      <c r="F95" s="152">
        <v>24</v>
      </c>
      <c r="G95" s="152" t="s">
        <v>1582</v>
      </c>
      <c r="H95" s="152" t="s">
        <v>1641</v>
      </c>
      <c r="I95" s="152" t="s">
        <v>1693</v>
      </c>
      <c r="J95" s="174" t="s">
        <v>1673</v>
      </c>
      <c r="K95" s="1360">
        <v>2.91</v>
      </c>
      <c r="L95" s="217">
        <v>0.26</v>
      </c>
      <c r="M95" s="1361">
        <v>4.8600000000000003</v>
      </c>
      <c r="N95" s="897">
        <v>0.49</v>
      </c>
      <c r="O95" s="1362">
        <v>-1.95</v>
      </c>
      <c r="P95" s="383">
        <v>0</v>
      </c>
      <c r="Q95" s="222">
        <v>0</v>
      </c>
      <c r="R95" s="1061">
        <v>0.45</v>
      </c>
      <c r="S95" s="223">
        <v>0</v>
      </c>
      <c r="T95" s="152">
        <v>12</v>
      </c>
      <c r="U95" s="1363">
        <v>0.33329999999999999</v>
      </c>
      <c r="V95" s="1364">
        <v>8.3299999999999999E-2</v>
      </c>
      <c r="W95" s="1365">
        <v>0.33329999999999999</v>
      </c>
      <c r="X95" s="1366">
        <v>0.41670000000000001</v>
      </c>
      <c r="Y95" s="279">
        <v>4</v>
      </c>
      <c r="Z95" s="169">
        <v>1</v>
      </c>
      <c r="AA95" s="353">
        <v>1</v>
      </c>
      <c r="AB95" s="171">
        <v>0</v>
      </c>
      <c r="AC95" s="751">
        <v>4</v>
      </c>
      <c r="AD95" s="1031">
        <v>2</v>
      </c>
      <c r="AE95" s="173">
        <v>0</v>
      </c>
      <c r="AF95" s="174">
        <v>0</v>
      </c>
      <c r="AG95" s="1367"/>
      <c r="AH95" s="1368"/>
      <c r="AI95" s="1197"/>
      <c r="AJ95" s="1369"/>
      <c r="AK95" s="1370"/>
      <c r="AL95" s="1132"/>
      <c r="AM95" s="1109"/>
      <c r="AN95" s="107"/>
    </row>
    <row r="96" spans="1:40" ht="12.75">
      <c r="A96" s="109"/>
      <c r="B96" s="5845"/>
      <c r="C96" s="183"/>
      <c r="D96" s="6"/>
      <c r="E96" s="183"/>
      <c r="F96" s="6"/>
      <c r="G96" s="6"/>
      <c r="H96" s="6"/>
      <c r="I96" s="6"/>
      <c r="J96" s="183"/>
      <c r="K96" s="6"/>
      <c r="L96" s="6"/>
      <c r="M96" s="6"/>
      <c r="N96" s="6"/>
      <c r="O96" s="183"/>
      <c r="P96" s="6"/>
      <c r="Q96" s="6"/>
      <c r="R96" s="6"/>
      <c r="S96" s="183"/>
      <c r="T96" s="6"/>
      <c r="U96" s="6"/>
      <c r="V96" s="6"/>
      <c r="W96" s="6"/>
      <c r="X96" s="183"/>
      <c r="Y96" s="73"/>
      <c r="Z96" s="183"/>
      <c r="AA96" s="73"/>
      <c r="AB96" s="183"/>
      <c r="AC96" s="73"/>
      <c r="AD96" s="183"/>
      <c r="AE96" s="73"/>
      <c r="AF96" s="183"/>
      <c r="AG96" s="6"/>
      <c r="AH96" s="183"/>
      <c r="AI96" s="183"/>
      <c r="AJ96" s="6"/>
      <c r="AK96" s="6"/>
      <c r="AL96" s="6"/>
      <c r="AM96" s="183"/>
      <c r="AN96" s="107"/>
    </row>
    <row r="97" spans="1:40" ht="12.75">
      <c r="A97" s="109"/>
      <c r="B97" s="5832"/>
      <c r="C97" s="213"/>
      <c r="D97" s="5"/>
      <c r="E97" s="213"/>
      <c r="F97" s="5"/>
      <c r="G97" s="5"/>
      <c r="H97" s="5"/>
      <c r="I97" s="5"/>
      <c r="J97" s="213"/>
      <c r="K97" s="5"/>
      <c r="L97" s="5"/>
      <c r="M97" s="5"/>
      <c r="N97" s="5"/>
      <c r="O97" s="213"/>
      <c r="P97" s="5"/>
      <c r="Q97" s="5"/>
      <c r="R97" s="5"/>
      <c r="S97" s="213"/>
      <c r="T97" s="5"/>
      <c r="U97" s="5"/>
      <c r="V97" s="5"/>
      <c r="W97" s="5"/>
      <c r="X97" s="213"/>
      <c r="Y97" s="1371"/>
      <c r="Z97" s="213"/>
      <c r="AA97" s="1371"/>
      <c r="AB97" s="213"/>
      <c r="AC97" s="1371"/>
      <c r="AD97" s="213"/>
      <c r="AE97" s="1371"/>
      <c r="AF97" s="213"/>
      <c r="AG97" s="5"/>
      <c r="AH97" s="213"/>
      <c r="AI97" s="213"/>
      <c r="AJ97" s="5"/>
      <c r="AK97" s="5"/>
      <c r="AL97" s="5"/>
      <c r="AM97" s="213"/>
      <c r="AN97" s="107"/>
    </row>
    <row r="98" spans="1:40" ht="12.75">
      <c r="A98" s="109"/>
      <c r="B98" s="5844"/>
      <c r="C98" s="119"/>
      <c r="D98" s="640"/>
      <c r="E98" s="119"/>
      <c r="F98" s="640"/>
      <c r="G98" s="640"/>
      <c r="H98" s="640"/>
      <c r="I98" s="640"/>
      <c r="J98" s="119"/>
      <c r="K98" s="640"/>
      <c r="L98" s="640"/>
      <c r="M98" s="640"/>
      <c r="N98" s="640"/>
      <c r="O98" s="119"/>
      <c r="P98" s="640"/>
      <c r="Q98" s="640"/>
      <c r="R98" s="640"/>
      <c r="S98" s="119"/>
      <c r="T98" s="640"/>
      <c r="U98" s="640"/>
      <c r="V98" s="640"/>
      <c r="W98" s="640"/>
      <c r="X98" s="119"/>
      <c r="Y98" s="1373"/>
      <c r="Z98" s="119"/>
      <c r="AA98" s="1373"/>
      <c r="AB98" s="119"/>
      <c r="AC98" s="1373"/>
      <c r="AD98" s="119"/>
      <c r="AE98" s="1373"/>
      <c r="AF98" s="119"/>
      <c r="AG98" s="640"/>
      <c r="AH98" s="119"/>
      <c r="AI98" s="119"/>
      <c r="AJ98" s="640"/>
      <c r="AK98" s="640"/>
      <c r="AL98" s="640"/>
      <c r="AM98" s="119"/>
      <c r="AN98" s="107"/>
    </row>
    <row r="99" spans="1:40" ht="12.75">
      <c r="A99" s="109"/>
      <c r="B99" s="5832"/>
      <c r="C99" s="151"/>
      <c r="D99" s="657"/>
      <c r="E99" s="151"/>
      <c r="F99" s="657"/>
      <c r="G99" s="657"/>
      <c r="H99" s="657"/>
      <c r="I99" s="657"/>
      <c r="J99" s="151"/>
      <c r="K99" s="657"/>
      <c r="L99" s="657"/>
      <c r="M99" s="657"/>
      <c r="N99" s="657"/>
      <c r="O99" s="151"/>
      <c r="P99" s="657"/>
      <c r="Q99" s="657"/>
      <c r="R99" s="657"/>
      <c r="S99" s="151"/>
      <c r="T99" s="657"/>
      <c r="U99" s="657"/>
      <c r="V99" s="657"/>
      <c r="W99" s="657"/>
      <c r="X99" s="151"/>
      <c r="Y99" s="1374"/>
      <c r="Z99" s="151"/>
      <c r="AA99" s="1374"/>
      <c r="AB99" s="151"/>
      <c r="AC99" s="1374"/>
      <c r="AD99" s="151"/>
      <c r="AE99" s="1374"/>
      <c r="AF99" s="151"/>
      <c r="AG99" s="657"/>
      <c r="AH99" s="151"/>
      <c r="AI99" s="151"/>
      <c r="AJ99" s="657"/>
      <c r="AK99" s="657"/>
      <c r="AL99" s="657"/>
      <c r="AM99" s="151"/>
      <c r="AN99" s="107"/>
    </row>
    <row r="100" spans="1:40" ht="12.75">
      <c r="A100" s="107"/>
      <c r="B100" s="107"/>
      <c r="C100" s="107"/>
      <c r="D100" s="107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7"/>
      <c r="AK100" s="107"/>
      <c r="AL100" s="107"/>
      <c r="AM100" s="107"/>
      <c r="AN100" s="107"/>
    </row>
    <row r="104" spans="1:40" ht="15">
      <c r="A104" s="108"/>
      <c r="B104" s="108"/>
      <c r="C104" s="1375" t="s">
        <v>1694</v>
      </c>
      <c r="D104" s="108"/>
      <c r="E104" s="108"/>
      <c r="F104" s="108"/>
      <c r="G104" s="108"/>
      <c r="H104" s="108"/>
      <c r="I104" s="108"/>
      <c r="J104" s="108"/>
      <c r="K104" s="108"/>
      <c r="L104" s="108"/>
      <c r="M104" s="108"/>
      <c r="N104" s="108"/>
      <c r="O104" s="108"/>
      <c r="P104" s="108"/>
      <c r="Q104" s="108"/>
      <c r="R104" s="108"/>
      <c r="S104" s="108"/>
      <c r="T104" s="108"/>
      <c r="U104" s="108"/>
      <c r="V104" s="108"/>
      <c r="W104" s="108"/>
      <c r="X104" s="108"/>
      <c r="Y104" s="108"/>
      <c r="Z104" s="108"/>
      <c r="AA104" s="108"/>
      <c r="AB104" s="108"/>
      <c r="AC104" s="108"/>
      <c r="AD104" s="108"/>
      <c r="AE104" s="108"/>
      <c r="AF104" s="108"/>
      <c r="AG104" s="107"/>
    </row>
    <row r="105" spans="1:40">
      <c r="A105" s="109"/>
      <c r="B105" s="5834" t="s">
        <v>1524</v>
      </c>
      <c r="C105" s="5840" t="s">
        <v>1525</v>
      </c>
      <c r="D105" s="5841" t="s">
        <v>1526</v>
      </c>
      <c r="E105" s="5836"/>
      <c r="F105" s="5836"/>
      <c r="G105" s="5836"/>
      <c r="H105" s="5836"/>
      <c r="I105" s="5836"/>
      <c r="J105" s="5832"/>
      <c r="K105" s="5837" t="s">
        <v>1527</v>
      </c>
      <c r="L105" s="5836"/>
      <c r="M105" s="5836"/>
      <c r="N105" s="5836"/>
      <c r="O105" s="5832"/>
      <c r="P105" s="5838" t="s">
        <v>1528</v>
      </c>
      <c r="Q105" s="5836"/>
      <c r="R105" s="5836"/>
      <c r="S105" s="5832"/>
      <c r="T105" s="5839" t="s">
        <v>1529</v>
      </c>
      <c r="U105" s="5836"/>
      <c r="V105" s="5836"/>
      <c r="W105" s="5836"/>
      <c r="X105" s="5836"/>
      <c r="Y105" s="5836"/>
      <c r="Z105" s="5836"/>
      <c r="AA105" s="5836"/>
      <c r="AB105" s="5836"/>
      <c r="AC105" s="5836"/>
      <c r="AD105" s="5836"/>
      <c r="AE105" s="5836"/>
      <c r="AF105" s="5832"/>
      <c r="AG105" s="107"/>
    </row>
    <row r="106" spans="1:40" ht="15">
      <c r="A106" s="109"/>
      <c r="B106" s="5832"/>
      <c r="C106" s="5832"/>
      <c r="D106" s="111" t="s">
        <v>1531</v>
      </c>
      <c r="E106" s="112" t="s">
        <v>1532</v>
      </c>
      <c r="F106" s="111" t="s">
        <v>1533</v>
      </c>
      <c r="G106" s="111" t="s">
        <v>1534</v>
      </c>
      <c r="H106" s="111" t="s">
        <v>1535</v>
      </c>
      <c r="I106" s="111" t="s">
        <v>1536</v>
      </c>
      <c r="J106" s="111" t="s">
        <v>1537</v>
      </c>
      <c r="K106" s="111" t="s">
        <v>1538</v>
      </c>
      <c r="L106" s="111" t="s">
        <v>1539</v>
      </c>
      <c r="M106" s="111" t="s">
        <v>1540</v>
      </c>
      <c r="N106" s="111" t="s">
        <v>1541</v>
      </c>
      <c r="O106" s="111" t="s">
        <v>1542</v>
      </c>
      <c r="P106" s="111" t="s">
        <v>1543</v>
      </c>
      <c r="Q106" s="111" t="s">
        <v>1544</v>
      </c>
      <c r="R106" s="111" t="s">
        <v>1545</v>
      </c>
      <c r="S106" s="111" t="s">
        <v>1546</v>
      </c>
      <c r="T106" s="111" t="s">
        <v>1547</v>
      </c>
      <c r="U106" s="111" t="s">
        <v>1548</v>
      </c>
      <c r="V106" s="111" t="s">
        <v>1549</v>
      </c>
      <c r="W106" s="111" t="s">
        <v>1550</v>
      </c>
      <c r="X106" s="112" t="s">
        <v>1551</v>
      </c>
      <c r="Y106" s="113" t="s">
        <v>1552</v>
      </c>
      <c r="Z106" s="114" t="s">
        <v>1553</v>
      </c>
      <c r="AA106" s="113" t="s">
        <v>1554</v>
      </c>
      <c r="AB106" s="114" t="s">
        <v>1555</v>
      </c>
      <c r="AC106" s="115" t="s">
        <v>1556</v>
      </c>
      <c r="AD106" s="114" t="s">
        <v>1557</v>
      </c>
      <c r="AE106" s="113" t="s">
        <v>1558</v>
      </c>
      <c r="AF106" s="116" t="s">
        <v>1559</v>
      </c>
      <c r="AG106" s="107"/>
    </row>
    <row r="107" spans="1:40" ht="15">
      <c r="A107" s="109"/>
      <c r="B107" s="5833">
        <v>1</v>
      </c>
      <c r="C107" s="117" t="s">
        <v>1109</v>
      </c>
      <c r="D107" s="1376"/>
      <c r="E107" s="119" t="s">
        <v>5</v>
      </c>
      <c r="F107" s="120">
        <v>36</v>
      </c>
      <c r="G107" s="120" t="s">
        <v>1585</v>
      </c>
      <c r="H107" s="120" t="s">
        <v>1568</v>
      </c>
      <c r="I107" s="120" t="s">
        <v>1675</v>
      </c>
      <c r="J107" s="143" t="s">
        <v>1658</v>
      </c>
      <c r="K107" s="1377">
        <v>5</v>
      </c>
      <c r="L107" s="504">
        <v>0.62</v>
      </c>
      <c r="M107" s="1169">
        <v>3.65</v>
      </c>
      <c r="N107" s="368">
        <v>0.5</v>
      </c>
      <c r="O107" s="1378">
        <f>1.35</f>
        <v>1.35</v>
      </c>
      <c r="P107" s="1379">
        <v>0.19</v>
      </c>
      <c r="Q107" s="504">
        <v>1</v>
      </c>
      <c r="R107" s="665">
        <v>0.7</v>
      </c>
      <c r="S107" s="527">
        <v>0.4</v>
      </c>
      <c r="T107" s="120">
        <v>11</v>
      </c>
      <c r="U107" s="1380">
        <v>0.63639999999999997</v>
      </c>
      <c r="V107" s="195">
        <v>0</v>
      </c>
      <c r="W107" s="1324">
        <v>0.18179999999999999</v>
      </c>
      <c r="X107" s="1381">
        <v>0.63639999999999997</v>
      </c>
      <c r="Y107" s="1382">
        <v>7</v>
      </c>
      <c r="Z107" s="203">
        <v>1</v>
      </c>
      <c r="AA107" s="200">
        <v>0</v>
      </c>
      <c r="AB107" s="203">
        <v>1</v>
      </c>
      <c r="AC107" s="1383">
        <v>2</v>
      </c>
      <c r="AD107" s="201">
        <v>0</v>
      </c>
      <c r="AE107" s="142">
        <v>0</v>
      </c>
      <c r="AF107" s="143">
        <v>0</v>
      </c>
      <c r="AG107" s="107"/>
    </row>
    <row r="108" spans="1:40" ht="15">
      <c r="A108" s="109"/>
      <c r="B108" s="5832"/>
      <c r="C108" s="149" t="s">
        <v>1110</v>
      </c>
      <c r="D108" s="1384"/>
      <c r="E108" s="151" t="s">
        <v>1</v>
      </c>
      <c r="F108" s="152">
        <v>32</v>
      </c>
      <c r="G108" s="152" t="s">
        <v>1585</v>
      </c>
      <c r="H108" s="152" t="s">
        <v>1568</v>
      </c>
      <c r="I108" s="152" t="s">
        <v>1695</v>
      </c>
      <c r="J108" s="174" t="s">
        <v>1658</v>
      </c>
      <c r="K108" s="1385">
        <v>7.31</v>
      </c>
      <c r="L108" s="770">
        <v>0.54</v>
      </c>
      <c r="M108" s="1386">
        <v>3.35</v>
      </c>
      <c r="N108" s="1249">
        <v>0.47</v>
      </c>
      <c r="O108" s="382">
        <f>3.96</f>
        <v>3.96</v>
      </c>
      <c r="P108" s="383">
        <v>0</v>
      </c>
      <c r="Q108" s="222">
        <v>0</v>
      </c>
      <c r="R108" s="938">
        <v>0.73</v>
      </c>
      <c r="S108" s="223">
        <v>0</v>
      </c>
      <c r="T108" s="152">
        <v>14</v>
      </c>
      <c r="U108" s="1387">
        <v>0.5</v>
      </c>
      <c r="V108" s="384">
        <v>0</v>
      </c>
      <c r="W108" s="1388">
        <v>0.35709999999999997</v>
      </c>
      <c r="X108" s="1225">
        <v>0.5</v>
      </c>
      <c r="Y108" s="1389">
        <v>7</v>
      </c>
      <c r="Z108" s="169">
        <v>1</v>
      </c>
      <c r="AA108" s="387">
        <v>0</v>
      </c>
      <c r="AB108" s="171">
        <v>0</v>
      </c>
      <c r="AC108" s="386">
        <v>5</v>
      </c>
      <c r="AD108" s="171">
        <v>0</v>
      </c>
      <c r="AE108" s="173">
        <v>0</v>
      </c>
      <c r="AF108" s="174">
        <v>0</v>
      </c>
      <c r="AG108" s="107"/>
    </row>
    <row r="109" spans="1:40" ht="15">
      <c r="A109" s="109"/>
      <c r="B109" s="5831">
        <v>2</v>
      </c>
      <c r="C109" s="181" t="s">
        <v>1137</v>
      </c>
      <c r="D109" s="1390"/>
      <c r="E109" s="183" t="s">
        <v>5</v>
      </c>
      <c r="F109" s="87">
        <v>34</v>
      </c>
      <c r="G109" s="87" t="s">
        <v>1625</v>
      </c>
      <c r="H109" s="87" t="s">
        <v>1686</v>
      </c>
      <c r="I109" s="87" t="s">
        <v>1696</v>
      </c>
      <c r="J109" s="22" t="s">
        <v>1673</v>
      </c>
      <c r="K109" s="1207">
        <v>5.94</v>
      </c>
      <c r="L109" s="395">
        <v>0.51</v>
      </c>
      <c r="M109" s="968">
        <v>3.44</v>
      </c>
      <c r="N109" s="665">
        <v>0.53</v>
      </c>
      <c r="O109" s="1391">
        <f>2.5</f>
        <v>2.5</v>
      </c>
      <c r="P109" s="1392">
        <v>2.29</v>
      </c>
      <c r="Q109" s="557">
        <v>0.42</v>
      </c>
      <c r="R109" s="368">
        <v>0.66</v>
      </c>
      <c r="S109" s="527">
        <v>0.4</v>
      </c>
      <c r="T109" s="87">
        <v>27</v>
      </c>
      <c r="U109" s="1393">
        <v>0.40739999999999998</v>
      </c>
      <c r="V109" s="1394">
        <v>0.29630000000000001</v>
      </c>
      <c r="W109" s="1395">
        <v>0.1852</v>
      </c>
      <c r="X109" s="1396">
        <v>0.70369999999999999</v>
      </c>
      <c r="Y109" s="1397">
        <v>11</v>
      </c>
      <c r="Z109" s="203">
        <v>1</v>
      </c>
      <c r="AA109" s="1398">
        <v>8</v>
      </c>
      <c r="AB109" s="201">
        <v>0</v>
      </c>
      <c r="AC109" s="256">
        <v>5</v>
      </c>
      <c r="AD109" s="203">
        <v>2</v>
      </c>
      <c r="AE109" s="62">
        <v>0</v>
      </c>
      <c r="AF109" s="22">
        <v>0</v>
      </c>
      <c r="AG109" s="107"/>
    </row>
    <row r="110" spans="1:40" ht="15">
      <c r="A110" s="109"/>
      <c r="B110" s="5832"/>
      <c r="C110" s="211" t="s">
        <v>1138</v>
      </c>
      <c r="D110" s="1399"/>
      <c r="E110" s="213" t="s">
        <v>1</v>
      </c>
      <c r="F110" s="85">
        <v>34</v>
      </c>
      <c r="G110" s="85" t="s">
        <v>1623</v>
      </c>
      <c r="H110" s="85" t="s">
        <v>1686</v>
      </c>
      <c r="I110" s="85" t="s">
        <v>1697</v>
      </c>
      <c r="J110" s="23" t="s">
        <v>1673</v>
      </c>
      <c r="K110" s="1400">
        <v>5.55</v>
      </c>
      <c r="L110" s="607">
        <v>0.44</v>
      </c>
      <c r="M110" s="1401">
        <v>3.56</v>
      </c>
      <c r="N110" s="414">
        <v>0.61</v>
      </c>
      <c r="O110" s="1402">
        <f>1.99</f>
        <v>1.99</v>
      </c>
      <c r="P110" s="1403">
        <v>0.86</v>
      </c>
      <c r="Q110" s="715">
        <v>0.66</v>
      </c>
      <c r="R110" s="1404">
        <v>0.7</v>
      </c>
      <c r="S110" s="223">
        <v>0</v>
      </c>
      <c r="T110" s="85">
        <v>21</v>
      </c>
      <c r="U110" s="1405">
        <v>0.38100000000000001</v>
      </c>
      <c r="V110" s="384">
        <v>0</v>
      </c>
      <c r="W110" s="165">
        <v>0.42859999999999998</v>
      </c>
      <c r="X110" s="1406">
        <v>0.38100000000000001</v>
      </c>
      <c r="Y110" s="1407">
        <v>8</v>
      </c>
      <c r="Z110" s="169">
        <v>1</v>
      </c>
      <c r="AA110" s="387">
        <v>0</v>
      </c>
      <c r="AB110" s="169">
        <v>1</v>
      </c>
      <c r="AC110" s="1408">
        <v>9</v>
      </c>
      <c r="AD110" s="459">
        <v>1</v>
      </c>
      <c r="AE110" s="233">
        <v>0</v>
      </c>
      <c r="AF110" s="23">
        <v>0</v>
      </c>
      <c r="AG110" s="107"/>
    </row>
    <row r="111" spans="1:40" ht="15">
      <c r="A111" s="109"/>
      <c r="B111" s="5833">
        <v>3</v>
      </c>
      <c r="C111" s="117" t="s">
        <v>813</v>
      </c>
      <c r="D111" s="1409"/>
      <c r="E111" s="119" t="s">
        <v>1</v>
      </c>
      <c r="F111" s="120">
        <v>35</v>
      </c>
      <c r="G111" s="120" t="s">
        <v>1605</v>
      </c>
      <c r="H111" s="120" t="s">
        <v>1618</v>
      </c>
      <c r="I111" s="120" t="s">
        <v>1698</v>
      </c>
      <c r="J111" s="143" t="s">
        <v>1673</v>
      </c>
      <c r="K111" s="926">
        <v>7.35</v>
      </c>
      <c r="L111" s="1410">
        <v>0.6</v>
      </c>
      <c r="M111" s="123">
        <v>7.5</v>
      </c>
      <c r="N111" s="665">
        <v>0.53</v>
      </c>
      <c r="O111" s="1411">
        <v>-0.15</v>
      </c>
      <c r="P111" s="1412">
        <v>0.13</v>
      </c>
      <c r="Q111" s="1413">
        <v>0.25</v>
      </c>
      <c r="R111" s="1414">
        <v>0.75</v>
      </c>
      <c r="S111" s="131">
        <v>0</v>
      </c>
      <c r="T111" s="120">
        <v>29</v>
      </c>
      <c r="U111" s="1415">
        <v>0.68969999999999998</v>
      </c>
      <c r="V111" s="1416">
        <v>3.4500000000000003E-2</v>
      </c>
      <c r="W111" s="401">
        <v>0.13789999999999999</v>
      </c>
      <c r="X111" s="1417">
        <v>0.72409999999999997</v>
      </c>
      <c r="Y111" s="1418">
        <v>20</v>
      </c>
      <c r="Z111" s="737">
        <v>2</v>
      </c>
      <c r="AA111" s="138">
        <v>1</v>
      </c>
      <c r="AB111" s="302">
        <v>2</v>
      </c>
      <c r="AC111" s="1419">
        <v>4</v>
      </c>
      <c r="AD111" s="201">
        <v>0</v>
      </c>
      <c r="AE111" s="142">
        <v>0</v>
      </c>
      <c r="AF111" s="143">
        <v>0</v>
      </c>
      <c r="AG111" s="107"/>
    </row>
    <row r="112" spans="1:40" ht="15">
      <c r="A112" s="109"/>
      <c r="B112" s="5832"/>
      <c r="C112" s="149" t="s">
        <v>814</v>
      </c>
      <c r="D112" s="1420"/>
      <c r="E112" s="151" t="s">
        <v>5</v>
      </c>
      <c r="F112" s="152">
        <v>32</v>
      </c>
      <c r="G112" s="152" t="s">
        <v>1605</v>
      </c>
      <c r="H112" s="152" t="s">
        <v>1606</v>
      </c>
      <c r="I112" s="152" t="s">
        <v>1699</v>
      </c>
      <c r="J112" s="174" t="s">
        <v>1658</v>
      </c>
      <c r="K112" s="1421">
        <v>7.17</v>
      </c>
      <c r="L112" s="822">
        <v>0.47</v>
      </c>
      <c r="M112" s="1422">
        <v>4.75</v>
      </c>
      <c r="N112" s="648">
        <v>0.59</v>
      </c>
      <c r="O112" s="1423">
        <f>2.42</f>
        <v>2.42</v>
      </c>
      <c r="P112" s="1424">
        <v>0.27</v>
      </c>
      <c r="Q112" s="1425">
        <v>0.53</v>
      </c>
      <c r="R112" s="1426">
        <v>0.84</v>
      </c>
      <c r="S112" s="273">
        <v>0.3</v>
      </c>
      <c r="T112" s="152">
        <v>32</v>
      </c>
      <c r="U112" s="939">
        <v>0.34379999999999999</v>
      </c>
      <c r="V112" s="1427">
        <v>6.25E-2</v>
      </c>
      <c r="W112" s="1026">
        <v>0.375</v>
      </c>
      <c r="X112" s="1428">
        <v>0.40620000000000001</v>
      </c>
      <c r="Y112" s="1429">
        <v>11</v>
      </c>
      <c r="Z112" s="171">
        <v>0</v>
      </c>
      <c r="AA112" s="279">
        <v>2</v>
      </c>
      <c r="AB112" s="169">
        <v>1</v>
      </c>
      <c r="AC112" s="229">
        <v>12</v>
      </c>
      <c r="AD112" s="921">
        <v>6</v>
      </c>
      <c r="AE112" s="173">
        <v>0</v>
      </c>
      <c r="AF112" s="174">
        <v>0</v>
      </c>
      <c r="AG112" s="107"/>
    </row>
    <row r="113" spans="1:33" ht="15">
      <c r="A113" s="109"/>
      <c r="B113" s="5831">
        <v>4</v>
      </c>
      <c r="C113" s="181" t="s">
        <v>733</v>
      </c>
      <c r="D113" s="1430"/>
      <c r="E113" s="183" t="s">
        <v>1</v>
      </c>
      <c r="F113" s="87">
        <v>34</v>
      </c>
      <c r="G113" s="87" t="s">
        <v>1575</v>
      </c>
      <c r="H113" s="87" t="s">
        <v>1589</v>
      </c>
      <c r="I113" s="87" t="s">
        <v>1700</v>
      </c>
      <c r="J113" s="22" t="s">
        <v>1658</v>
      </c>
      <c r="K113" s="1431">
        <v>3.54</v>
      </c>
      <c r="L113" s="1432">
        <v>0.53</v>
      </c>
      <c r="M113" s="1433">
        <v>3.19</v>
      </c>
      <c r="N113" s="291">
        <v>0.51</v>
      </c>
      <c r="O113" s="1434">
        <f>0.35</f>
        <v>0.35</v>
      </c>
      <c r="P113" s="1435">
        <v>2.3199999999999998</v>
      </c>
      <c r="Q113" s="295">
        <v>0.4</v>
      </c>
      <c r="R113" s="1436">
        <v>0.55000000000000004</v>
      </c>
      <c r="S113" s="1139">
        <v>2.7</v>
      </c>
      <c r="T113" s="87">
        <v>44</v>
      </c>
      <c r="U113" s="785">
        <v>0.2273</v>
      </c>
      <c r="V113" s="1437">
        <v>0.4773</v>
      </c>
      <c r="W113" s="1438">
        <v>6.8199999999999997E-2</v>
      </c>
      <c r="X113" s="440">
        <v>0.70450000000000002</v>
      </c>
      <c r="Y113" s="1439">
        <v>10</v>
      </c>
      <c r="Z113" s="1440">
        <v>4</v>
      </c>
      <c r="AA113" s="136">
        <v>21</v>
      </c>
      <c r="AB113" s="137">
        <v>4</v>
      </c>
      <c r="AC113" s="1441">
        <v>3</v>
      </c>
      <c r="AD113" s="373">
        <v>1</v>
      </c>
      <c r="AE113" s="62">
        <v>0</v>
      </c>
      <c r="AF113" s="22">
        <v>0</v>
      </c>
      <c r="AG113" s="107"/>
    </row>
    <row r="114" spans="1:33" ht="15">
      <c r="A114" s="109"/>
      <c r="B114" s="5832"/>
      <c r="C114" s="211" t="s">
        <v>734</v>
      </c>
      <c r="D114" s="1442"/>
      <c r="E114" s="213" t="s">
        <v>5</v>
      </c>
      <c r="F114" s="85">
        <v>27</v>
      </c>
      <c r="G114" s="85" t="s">
        <v>1592</v>
      </c>
      <c r="H114" s="85" t="s">
        <v>1616</v>
      </c>
      <c r="I114" s="85" t="s">
        <v>1701</v>
      </c>
      <c r="J114" s="23" t="s">
        <v>1658</v>
      </c>
      <c r="K114" s="1443">
        <v>3.85</v>
      </c>
      <c r="L114" s="156">
        <v>0.48</v>
      </c>
      <c r="M114" s="1444">
        <v>1.91</v>
      </c>
      <c r="N114" s="1125">
        <v>0.54</v>
      </c>
      <c r="O114" s="1445">
        <f>1.94</f>
        <v>1.94</v>
      </c>
      <c r="P114" s="1446">
        <v>3.4</v>
      </c>
      <c r="Q114" s="1447">
        <v>0.36</v>
      </c>
      <c r="R114" s="917">
        <v>0.75</v>
      </c>
      <c r="S114" s="223">
        <v>0</v>
      </c>
      <c r="T114" s="85">
        <v>24</v>
      </c>
      <c r="U114" s="1448">
        <v>0.375</v>
      </c>
      <c r="V114" s="1405">
        <v>0.20830000000000001</v>
      </c>
      <c r="W114" s="1449">
        <v>0.29170000000000001</v>
      </c>
      <c r="X114" s="1450">
        <v>0.58330000000000004</v>
      </c>
      <c r="Y114" s="386">
        <v>9</v>
      </c>
      <c r="Z114" s="169">
        <v>1</v>
      </c>
      <c r="AA114" s="751">
        <v>5</v>
      </c>
      <c r="AB114" s="171">
        <v>0</v>
      </c>
      <c r="AC114" s="1451">
        <v>7</v>
      </c>
      <c r="AD114" s="169">
        <v>2</v>
      </c>
      <c r="AE114" s="233">
        <v>0</v>
      </c>
      <c r="AF114" s="23">
        <v>0</v>
      </c>
      <c r="AG114" s="107"/>
    </row>
    <row r="115" spans="1:33" ht="15">
      <c r="A115" s="109"/>
      <c r="B115" s="5833">
        <v>5</v>
      </c>
      <c r="C115" s="117" t="s">
        <v>982</v>
      </c>
      <c r="D115" s="724"/>
      <c r="E115" s="119" t="s">
        <v>5</v>
      </c>
      <c r="F115" s="120">
        <v>28</v>
      </c>
      <c r="G115" s="120" t="s">
        <v>1603</v>
      </c>
      <c r="H115" s="120" t="s">
        <v>1576</v>
      </c>
      <c r="I115" s="120" t="s">
        <v>1702</v>
      </c>
      <c r="J115" s="143" t="s">
        <v>1666</v>
      </c>
      <c r="K115" s="1452">
        <v>2.76</v>
      </c>
      <c r="L115" s="504">
        <v>0.62</v>
      </c>
      <c r="M115" s="1453">
        <v>0.55000000000000004</v>
      </c>
      <c r="N115" s="504">
        <v>0.75</v>
      </c>
      <c r="O115" s="1454">
        <f>2.21</f>
        <v>2.21</v>
      </c>
      <c r="P115" s="926">
        <v>11.04</v>
      </c>
      <c r="Q115" s="1239">
        <v>0.5</v>
      </c>
      <c r="R115" s="187">
        <v>0</v>
      </c>
      <c r="S115" s="400">
        <v>13.8</v>
      </c>
      <c r="T115" s="120">
        <v>5</v>
      </c>
      <c r="U115" s="1322">
        <v>0.4</v>
      </c>
      <c r="V115" s="812">
        <v>0.6</v>
      </c>
      <c r="W115" s="195">
        <v>0</v>
      </c>
      <c r="X115" s="908">
        <v>1</v>
      </c>
      <c r="Y115" s="1455">
        <v>2</v>
      </c>
      <c r="Z115" s="201">
        <v>0</v>
      </c>
      <c r="AA115" s="256">
        <v>3</v>
      </c>
      <c r="AB115" s="201">
        <v>0</v>
      </c>
      <c r="AC115" s="200">
        <v>0</v>
      </c>
      <c r="AD115" s="201">
        <v>0</v>
      </c>
      <c r="AE115" s="142">
        <v>0</v>
      </c>
      <c r="AF115" s="143">
        <v>0</v>
      </c>
      <c r="AG115" s="107"/>
    </row>
    <row r="116" spans="1:33" ht="15">
      <c r="A116" s="109"/>
      <c r="B116" s="5832"/>
      <c r="C116" s="149" t="s">
        <v>983</v>
      </c>
      <c r="D116" s="739"/>
      <c r="E116" s="151" t="s">
        <v>1</v>
      </c>
      <c r="F116" s="152">
        <v>29</v>
      </c>
      <c r="G116" s="152" t="s">
        <v>1582</v>
      </c>
      <c r="H116" s="152" t="s">
        <v>1616</v>
      </c>
      <c r="I116" s="152" t="s">
        <v>1703</v>
      </c>
      <c r="J116" s="174" t="s">
        <v>1661</v>
      </c>
      <c r="K116" s="1456">
        <v>1.8</v>
      </c>
      <c r="L116" s="1457">
        <v>0.55000000000000004</v>
      </c>
      <c r="M116" s="1458">
        <v>2.5099999999999998</v>
      </c>
      <c r="N116" s="1061">
        <v>0.43</v>
      </c>
      <c r="O116" s="1459">
        <v>-0.71</v>
      </c>
      <c r="P116" s="1460">
        <v>2.69</v>
      </c>
      <c r="Q116" s="1461">
        <v>0.52</v>
      </c>
      <c r="R116" s="938">
        <v>0.73</v>
      </c>
      <c r="S116" s="1462">
        <v>1.1000000000000001</v>
      </c>
      <c r="T116" s="152">
        <v>15</v>
      </c>
      <c r="U116" s="1463">
        <v>0.33329999999999999</v>
      </c>
      <c r="V116" s="1448">
        <v>0.2</v>
      </c>
      <c r="W116" s="1464">
        <v>6.6699999999999995E-2</v>
      </c>
      <c r="X116" s="1465">
        <v>0.5333</v>
      </c>
      <c r="Y116" s="1466">
        <v>5</v>
      </c>
      <c r="Z116" s="690">
        <v>2</v>
      </c>
      <c r="AA116" s="386">
        <v>3</v>
      </c>
      <c r="AB116" s="169">
        <v>1</v>
      </c>
      <c r="AC116" s="1467">
        <v>1</v>
      </c>
      <c r="AD116" s="169">
        <v>2</v>
      </c>
      <c r="AE116" s="229">
        <v>1</v>
      </c>
      <c r="AF116" s="174">
        <v>0</v>
      </c>
      <c r="AG116" s="107"/>
    </row>
    <row r="117" spans="1:33" ht="15">
      <c r="A117" s="109"/>
      <c r="B117" s="5831">
        <v>6</v>
      </c>
      <c r="C117" s="181" t="s">
        <v>662</v>
      </c>
      <c r="D117" s="1468"/>
      <c r="E117" s="183" t="s">
        <v>5</v>
      </c>
      <c r="F117" s="87">
        <v>31</v>
      </c>
      <c r="G117" s="87" t="s">
        <v>1567</v>
      </c>
      <c r="H117" s="87" t="s">
        <v>1572</v>
      </c>
      <c r="I117" s="87" t="s">
        <v>1704</v>
      </c>
      <c r="J117" s="22" t="s">
        <v>1658</v>
      </c>
      <c r="K117" s="1469">
        <v>5.31</v>
      </c>
      <c r="L117" s="1470">
        <v>0.55000000000000004</v>
      </c>
      <c r="M117" s="1471">
        <v>5.17</v>
      </c>
      <c r="N117" s="1472">
        <v>0.4</v>
      </c>
      <c r="O117" s="1473">
        <f>0.14</f>
        <v>0.14000000000000001</v>
      </c>
      <c r="P117" s="128">
        <v>0.61</v>
      </c>
      <c r="Q117" s="1239">
        <v>0.5</v>
      </c>
      <c r="R117" s="628">
        <v>0.68</v>
      </c>
      <c r="S117" s="250">
        <v>0.3</v>
      </c>
      <c r="T117" s="87">
        <v>34</v>
      </c>
      <c r="U117" s="812">
        <v>0.73529999999999995</v>
      </c>
      <c r="V117" s="1474">
        <v>8.8200000000000001E-2</v>
      </c>
      <c r="W117" s="473">
        <v>2.9399999999999999E-2</v>
      </c>
      <c r="X117" s="1475">
        <v>0.82350000000000001</v>
      </c>
      <c r="Y117" s="136">
        <v>25</v>
      </c>
      <c r="Z117" s="199">
        <v>3</v>
      </c>
      <c r="AA117" s="256">
        <v>3</v>
      </c>
      <c r="AB117" s="203">
        <v>1</v>
      </c>
      <c r="AC117" s="1476">
        <v>1</v>
      </c>
      <c r="AD117" s="201">
        <v>0</v>
      </c>
      <c r="AE117" s="62">
        <v>0</v>
      </c>
      <c r="AF117" s="22">
        <v>0</v>
      </c>
      <c r="AG117" s="107"/>
    </row>
    <row r="118" spans="1:33" ht="15">
      <c r="A118" s="109"/>
      <c r="B118" s="5832"/>
      <c r="C118" s="211" t="s">
        <v>663</v>
      </c>
      <c r="D118" s="1477"/>
      <c r="E118" s="213" t="s">
        <v>1</v>
      </c>
      <c r="F118" s="85">
        <v>32</v>
      </c>
      <c r="G118" s="85" t="s">
        <v>1585</v>
      </c>
      <c r="H118" s="85" t="s">
        <v>1597</v>
      </c>
      <c r="I118" s="85" t="s">
        <v>1705</v>
      </c>
      <c r="J118" s="23" t="s">
        <v>1673</v>
      </c>
      <c r="K118" s="678">
        <v>4.01</v>
      </c>
      <c r="L118" s="1125">
        <v>0.5</v>
      </c>
      <c r="M118" s="1478">
        <v>2.2999999999999998</v>
      </c>
      <c r="N118" s="1404">
        <v>0.53</v>
      </c>
      <c r="O118" s="1479">
        <f>1.71</f>
        <v>1.71</v>
      </c>
      <c r="P118" s="1480">
        <v>0.82</v>
      </c>
      <c r="Q118" s="1481">
        <v>0.25</v>
      </c>
      <c r="R118" s="873">
        <v>0.9</v>
      </c>
      <c r="S118" s="1482">
        <v>0.2</v>
      </c>
      <c r="T118" s="85">
        <v>17</v>
      </c>
      <c r="U118" s="1483">
        <v>0.52939999999999998</v>
      </c>
      <c r="V118" s="1464">
        <v>5.8799999999999998E-2</v>
      </c>
      <c r="W118" s="1484">
        <v>0.23530000000000001</v>
      </c>
      <c r="X118" s="1485">
        <v>0.58819999999999995</v>
      </c>
      <c r="Y118" s="386">
        <v>9</v>
      </c>
      <c r="Z118" s="169">
        <v>1</v>
      </c>
      <c r="AA118" s="354">
        <v>1</v>
      </c>
      <c r="AB118" s="169">
        <v>1</v>
      </c>
      <c r="AC118" s="1486">
        <v>4</v>
      </c>
      <c r="AD118" s="459">
        <v>1</v>
      </c>
      <c r="AE118" s="233">
        <v>0</v>
      </c>
      <c r="AF118" s="23">
        <v>0</v>
      </c>
      <c r="AG118" s="107"/>
    </row>
    <row r="119" spans="1:33" ht="15">
      <c r="A119" s="109"/>
      <c r="B119" s="5833">
        <v>7</v>
      </c>
      <c r="C119" s="117" t="s">
        <v>343</v>
      </c>
      <c r="D119" s="1487"/>
      <c r="E119" s="119" t="s">
        <v>1</v>
      </c>
      <c r="F119" s="120">
        <v>36</v>
      </c>
      <c r="G119" s="120" t="s">
        <v>1605</v>
      </c>
      <c r="H119" s="120" t="s">
        <v>1616</v>
      </c>
      <c r="I119" s="120" t="s">
        <v>1706</v>
      </c>
      <c r="J119" s="143" t="s">
        <v>1661</v>
      </c>
      <c r="K119" s="1435">
        <v>5.12</v>
      </c>
      <c r="L119" s="1488">
        <v>0.39</v>
      </c>
      <c r="M119" s="1489">
        <v>7.1</v>
      </c>
      <c r="N119" s="192">
        <v>0.54</v>
      </c>
      <c r="O119" s="1490">
        <v>-1.98</v>
      </c>
      <c r="P119" s="1491">
        <v>0.42</v>
      </c>
      <c r="Q119" s="1492">
        <v>0.28999999999999998</v>
      </c>
      <c r="R119" s="504">
        <v>0.91</v>
      </c>
      <c r="S119" s="1493">
        <v>0.1</v>
      </c>
      <c r="T119" s="120">
        <v>30</v>
      </c>
      <c r="U119" s="438">
        <v>0.36670000000000003</v>
      </c>
      <c r="V119" s="1494">
        <v>6.6699999999999995E-2</v>
      </c>
      <c r="W119" s="1495">
        <v>0.33329999999999999</v>
      </c>
      <c r="X119" s="1496">
        <v>0.43330000000000002</v>
      </c>
      <c r="Y119" s="1397">
        <v>11</v>
      </c>
      <c r="Z119" s="203">
        <v>1</v>
      </c>
      <c r="AA119" s="672">
        <v>2</v>
      </c>
      <c r="AB119" s="203">
        <v>1</v>
      </c>
      <c r="AC119" s="1497">
        <v>10</v>
      </c>
      <c r="AD119" s="764">
        <v>5</v>
      </c>
      <c r="AE119" s="142">
        <v>0</v>
      </c>
      <c r="AF119" s="143">
        <v>0</v>
      </c>
      <c r="AG119" s="107"/>
    </row>
    <row r="120" spans="1:33" ht="15">
      <c r="A120" s="109"/>
      <c r="B120" s="5832"/>
      <c r="C120" s="149" t="s">
        <v>344</v>
      </c>
      <c r="D120" s="1498"/>
      <c r="E120" s="151" t="s">
        <v>5</v>
      </c>
      <c r="F120" s="152">
        <v>34</v>
      </c>
      <c r="G120" s="152" t="s">
        <v>1592</v>
      </c>
      <c r="H120" s="152" t="s">
        <v>1641</v>
      </c>
      <c r="I120" s="152" t="s">
        <v>1707</v>
      </c>
      <c r="J120" s="174" t="s">
        <v>1658</v>
      </c>
      <c r="K120" s="1499">
        <v>4.7300000000000004</v>
      </c>
      <c r="L120" s="681">
        <v>0.52</v>
      </c>
      <c r="M120" s="1500">
        <v>2.41</v>
      </c>
      <c r="N120" s="1461">
        <v>0.57999999999999996</v>
      </c>
      <c r="O120" s="1501">
        <f>2.32</f>
        <v>2.3199999999999998</v>
      </c>
      <c r="P120" s="1502">
        <v>1.97</v>
      </c>
      <c r="Q120" s="1503">
        <v>0.24</v>
      </c>
      <c r="R120" s="1504">
        <v>0.45</v>
      </c>
      <c r="S120" s="417">
        <v>0.8</v>
      </c>
      <c r="T120" s="152">
        <v>27</v>
      </c>
      <c r="U120" s="1505">
        <v>0.1111</v>
      </c>
      <c r="V120" s="1506">
        <v>0.29630000000000001</v>
      </c>
      <c r="W120" s="1507">
        <v>0.40739999999999998</v>
      </c>
      <c r="X120" s="1508">
        <v>0.40739999999999998</v>
      </c>
      <c r="Y120" s="354">
        <v>3</v>
      </c>
      <c r="Z120" s="690">
        <v>2</v>
      </c>
      <c r="AA120" s="1509">
        <v>8</v>
      </c>
      <c r="AB120" s="171">
        <v>0</v>
      </c>
      <c r="AC120" s="1510">
        <v>11</v>
      </c>
      <c r="AD120" s="169">
        <v>2</v>
      </c>
      <c r="AE120" s="229">
        <v>1</v>
      </c>
      <c r="AF120" s="174">
        <v>0</v>
      </c>
      <c r="AG120" s="107"/>
    </row>
    <row r="121" spans="1:33" ht="15">
      <c r="A121" s="109"/>
      <c r="B121" s="5831">
        <v>8</v>
      </c>
      <c r="C121" s="181" t="s">
        <v>1347</v>
      </c>
      <c r="D121" s="1511"/>
      <c r="E121" s="183" t="s">
        <v>1</v>
      </c>
      <c r="F121" s="87">
        <v>42</v>
      </c>
      <c r="G121" s="87" t="s">
        <v>1630</v>
      </c>
      <c r="H121" s="87" t="s">
        <v>1606</v>
      </c>
      <c r="I121" s="87" t="s">
        <v>1708</v>
      </c>
      <c r="J121" s="22" t="s">
        <v>1709</v>
      </c>
      <c r="K121" s="1512">
        <v>3.21</v>
      </c>
      <c r="L121" s="1513">
        <v>0.4</v>
      </c>
      <c r="M121" s="1514">
        <v>2.79</v>
      </c>
      <c r="N121" s="862">
        <v>0.56000000000000005</v>
      </c>
      <c r="O121" s="1515">
        <f>0.42</f>
        <v>0.42</v>
      </c>
      <c r="P121" s="396">
        <v>0.9</v>
      </c>
      <c r="Q121" s="129">
        <v>0.3</v>
      </c>
      <c r="R121" s="1516">
        <v>0.78</v>
      </c>
      <c r="S121" s="1493">
        <v>0.1</v>
      </c>
      <c r="T121" s="87">
        <v>22</v>
      </c>
      <c r="U121" s="1517">
        <v>0.36359999999999998</v>
      </c>
      <c r="V121" s="195">
        <v>0</v>
      </c>
      <c r="W121" s="1518">
        <v>0.31819999999999998</v>
      </c>
      <c r="X121" s="813">
        <v>0.36359999999999998</v>
      </c>
      <c r="Y121" s="1519">
        <v>8</v>
      </c>
      <c r="Z121" s="203">
        <v>1</v>
      </c>
      <c r="AA121" s="200">
        <v>0</v>
      </c>
      <c r="AB121" s="203">
        <v>1</v>
      </c>
      <c r="AC121" s="1520">
        <v>7</v>
      </c>
      <c r="AD121" s="141">
        <v>4</v>
      </c>
      <c r="AE121" s="62">
        <v>0</v>
      </c>
      <c r="AF121" s="22">
        <v>0</v>
      </c>
      <c r="AG121" s="107"/>
    </row>
    <row r="122" spans="1:33" ht="15">
      <c r="A122" s="109"/>
      <c r="B122" s="5832"/>
      <c r="C122" s="211" t="s">
        <v>1348</v>
      </c>
      <c r="D122" s="1521"/>
      <c r="E122" s="213" t="s">
        <v>5</v>
      </c>
      <c r="F122" s="85">
        <v>33</v>
      </c>
      <c r="G122" s="85" t="s">
        <v>1630</v>
      </c>
      <c r="H122" s="85" t="s">
        <v>1593</v>
      </c>
      <c r="I122" s="85" t="s">
        <v>1710</v>
      </c>
      <c r="J122" s="23" t="s">
        <v>1658</v>
      </c>
      <c r="K122" s="383">
        <v>0</v>
      </c>
      <c r="L122" s="222">
        <v>0</v>
      </c>
      <c r="M122" s="218">
        <v>0</v>
      </c>
      <c r="N122" s="222">
        <v>0</v>
      </c>
      <c r="O122" s="1522">
        <v>0</v>
      </c>
      <c r="P122" s="383">
        <v>0</v>
      </c>
      <c r="Q122" s="222">
        <v>0</v>
      </c>
      <c r="R122" s="222">
        <v>0</v>
      </c>
      <c r="S122" s="223">
        <v>0</v>
      </c>
      <c r="T122" s="85">
        <v>17</v>
      </c>
      <c r="U122" s="1523">
        <v>0.35289999999999999</v>
      </c>
      <c r="V122" s="1524">
        <v>0.35289999999999999</v>
      </c>
      <c r="W122" s="1484">
        <v>0.23530000000000001</v>
      </c>
      <c r="X122" s="1525">
        <v>0.70589999999999997</v>
      </c>
      <c r="Y122" s="279">
        <v>6</v>
      </c>
      <c r="Z122" s="171">
        <v>0</v>
      </c>
      <c r="AA122" s="750">
        <v>6</v>
      </c>
      <c r="AB122" s="171">
        <v>0</v>
      </c>
      <c r="AC122" s="1486">
        <v>4</v>
      </c>
      <c r="AD122" s="459">
        <v>1</v>
      </c>
      <c r="AE122" s="233">
        <v>0</v>
      </c>
      <c r="AF122" s="23">
        <v>0</v>
      </c>
      <c r="AG122" s="107"/>
    </row>
    <row r="123" spans="1:33" ht="15">
      <c r="A123" s="109"/>
      <c r="B123" s="5833">
        <v>9</v>
      </c>
      <c r="C123" s="117" t="s">
        <v>253</v>
      </c>
      <c r="D123" s="1526"/>
      <c r="E123" s="119" t="s">
        <v>1</v>
      </c>
      <c r="F123" s="120">
        <v>30</v>
      </c>
      <c r="G123" s="120" t="s">
        <v>1588</v>
      </c>
      <c r="H123" s="120" t="s">
        <v>1641</v>
      </c>
      <c r="I123" s="120" t="s">
        <v>1711</v>
      </c>
      <c r="J123" s="143" t="s">
        <v>1673</v>
      </c>
      <c r="K123" s="1527">
        <v>5.72</v>
      </c>
      <c r="L123" s="665">
        <v>0.49</v>
      </c>
      <c r="M123" s="1528">
        <v>4.33</v>
      </c>
      <c r="N123" s="192">
        <v>0.54</v>
      </c>
      <c r="O123" s="1529">
        <f>1.39</f>
        <v>1.39</v>
      </c>
      <c r="P123" s="698">
        <v>0.28000000000000003</v>
      </c>
      <c r="Q123" s="1530">
        <v>0.2</v>
      </c>
      <c r="R123" s="1531">
        <v>0.62</v>
      </c>
      <c r="S123" s="527">
        <v>0.4</v>
      </c>
      <c r="T123" s="120">
        <v>16</v>
      </c>
      <c r="U123" s="1532">
        <v>0.375</v>
      </c>
      <c r="V123" s="1438">
        <v>6.25E-2</v>
      </c>
      <c r="W123" s="1003">
        <v>0.375</v>
      </c>
      <c r="X123" s="1533">
        <v>0.4375</v>
      </c>
      <c r="Y123" s="672">
        <v>6</v>
      </c>
      <c r="Z123" s="203">
        <v>1</v>
      </c>
      <c r="AA123" s="138">
        <v>1</v>
      </c>
      <c r="AB123" s="201">
        <v>0</v>
      </c>
      <c r="AC123" s="1534">
        <v>6</v>
      </c>
      <c r="AD123" s="203">
        <v>2</v>
      </c>
      <c r="AE123" s="142">
        <v>0</v>
      </c>
      <c r="AF123" s="143">
        <v>0</v>
      </c>
      <c r="AG123" s="107"/>
    </row>
    <row r="124" spans="1:33" ht="15">
      <c r="A124" s="109"/>
      <c r="B124" s="5832"/>
      <c r="C124" s="149" t="s">
        <v>254</v>
      </c>
      <c r="D124" s="1535"/>
      <c r="E124" s="151" t="s">
        <v>5</v>
      </c>
      <c r="F124" s="152">
        <v>29</v>
      </c>
      <c r="G124" s="152" t="s">
        <v>1605</v>
      </c>
      <c r="H124" s="152" t="s">
        <v>1616</v>
      </c>
      <c r="I124" s="152" t="s">
        <v>1712</v>
      </c>
      <c r="J124" s="174" t="s">
        <v>1658</v>
      </c>
      <c r="K124" s="1536">
        <v>2.4700000000000002</v>
      </c>
      <c r="L124" s="1537">
        <v>0.53</v>
      </c>
      <c r="M124" s="1361">
        <v>4.91</v>
      </c>
      <c r="N124" s="1538">
        <v>0.37</v>
      </c>
      <c r="O124" s="223">
        <v>-2.44</v>
      </c>
      <c r="P124" s="383">
        <v>0</v>
      </c>
      <c r="Q124" s="222">
        <v>0</v>
      </c>
      <c r="R124" s="1539">
        <v>0.42</v>
      </c>
      <c r="S124" s="936">
        <v>5.3</v>
      </c>
      <c r="T124" s="152">
        <v>29</v>
      </c>
      <c r="U124" s="550">
        <v>0.31030000000000002</v>
      </c>
      <c r="V124" s="1540">
        <v>0.4138</v>
      </c>
      <c r="W124" s="1427">
        <v>6.9000000000000006E-2</v>
      </c>
      <c r="X124" s="1541">
        <v>0.72409999999999997</v>
      </c>
      <c r="Y124" s="386">
        <v>9</v>
      </c>
      <c r="Z124" s="690">
        <v>2</v>
      </c>
      <c r="AA124" s="1066">
        <v>12</v>
      </c>
      <c r="AB124" s="171">
        <v>0</v>
      </c>
      <c r="AC124" s="1542">
        <v>2</v>
      </c>
      <c r="AD124" s="422">
        <v>4</v>
      </c>
      <c r="AE124" s="173">
        <v>0</v>
      </c>
      <c r="AF124" s="174">
        <v>0</v>
      </c>
      <c r="AG124" s="107"/>
    </row>
    <row r="125" spans="1:33" ht="15">
      <c r="A125" s="109"/>
      <c r="B125" s="5831">
        <v>10</v>
      </c>
      <c r="C125" s="181" t="s">
        <v>740</v>
      </c>
      <c r="D125" s="1543"/>
      <c r="E125" s="183" t="s">
        <v>1</v>
      </c>
      <c r="F125" s="87">
        <v>28</v>
      </c>
      <c r="G125" s="87" t="s">
        <v>1567</v>
      </c>
      <c r="H125" s="87" t="s">
        <v>1586</v>
      </c>
      <c r="I125" s="87" t="s">
        <v>1713</v>
      </c>
      <c r="J125" s="22" t="s">
        <v>1673</v>
      </c>
      <c r="K125" s="1544">
        <v>6.02</v>
      </c>
      <c r="L125" s="832">
        <v>0.48</v>
      </c>
      <c r="M125" s="1545">
        <v>4.63</v>
      </c>
      <c r="N125" s="1546">
        <v>0.41</v>
      </c>
      <c r="O125" s="1529">
        <f>1.39</f>
        <v>1.39</v>
      </c>
      <c r="P125" s="288">
        <v>0.88</v>
      </c>
      <c r="Q125" s="1236">
        <v>0.55000000000000004</v>
      </c>
      <c r="R125" s="1414">
        <v>0.75</v>
      </c>
      <c r="S125" s="1547">
        <v>1.2</v>
      </c>
      <c r="T125" s="87">
        <v>21</v>
      </c>
      <c r="U125" s="1286">
        <v>0.47620000000000001</v>
      </c>
      <c r="V125" s="438">
        <v>0.1905</v>
      </c>
      <c r="W125" s="195">
        <v>0</v>
      </c>
      <c r="X125" s="1548">
        <v>0.66669999999999996</v>
      </c>
      <c r="Y125" s="1439">
        <v>10</v>
      </c>
      <c r="Z125" s="199">
        <v>3</v>
      </c>
      <c r="AA125" s="534">
        <v>4</v>
      </c>
      <c r="AB125" s="201">
        <v>0</v>
      </c>
      <c r="AC125" s="200">
        <v>0</v>
      </c>
      <c r="AD125" s="141">
        <v>4</v>
      </c>
      <c r="AE125" s="62">
        <v>0</v>
      </c>
      <c r="AF125" s="22">
        <v>0</v>
      </c>
      <c r="AG125" s="107"/>
    </row>
    <row r="126" spans="1:33" ht="15">
      <c r="A126" s="109"/>
      <c r="B126" s="5832"/>
      <c r="C126" s="211" t="s">
        <v>741</v>
      </c>
      <c r="D126" s="1549"/>
      <c r="E126" s="213" t="s">
        <v>5</v>
      </c>
      <c r="F126" s="85">
        <v>34</v>
      </c>
      <c r="G126" s="85" t="s">
        <v>1605</v>
      </c>
      <c r="H126" s="85" t="s">
        <v>1616</v>
      </c>
      <c r="I126" s="85" t="s">
        <v>1714</v>
      </c>
      <c r="J126" s="23" t="s">
        <v>1658</v>
      </c>
      <c r="K126" s="1550">
        <v>4.41</v>
      </c>
      <c r="L126" s="822">
        <v>0.47</v>
      </c>
      <c r="M126" s="1551">
        <v>3.8</v>
      </c>
      <c r="N126" s="1552">
        <v>0.6</v>
      </c>
      <c r="O126" s="1553">
        <f>0.61</f>
        <v>0.61</v>
      </c>
      <c r="P126" s="511">
        <v>1.8</v>
      </c>
      <c r="Q126" s="1554">
        <v>0.47</v>
      </c>
      <c r="R126" s="643">
        <v>0.72</v>
      </c>
      <c r="S126" s="771">
        <v>0.6</v>
      </c>
      <c r="T126" s="85">
        <v>24</v>
      </c>
      <c r="U126" s="384">
        <v>0</v>
      </c>
      <c r="V126" s="1555">
        <v>0.41670000000000001</v>
      </c>
      <c r="W126" s="517">
        <v>0.33329999999999999</v>
      </c>
      <c r="X126" s="612">
        <v>0.41670000000000001</v>
      </c>
      <c r="Y126" s="387">
        <v>0</v>
      </c>
      <c r="Z126" s="827">
        <v>3</v>
      </c>
      <c r="AA126" s="1556">
        <v>10</v>
      </c>
      <c r="AB126" s="169">
        <v>1</v>
      </c>
      <c r="AC126" s="1557">
        <v>8</v>
      </c>
      <c r="AD126" s="459">
        <v>1</v>
      </c>
      <c r="AE126" s="233">
        <v>0</v>
      </c>
      <c r="AF126" s="23">
        <v>0</v>
      </c>
      <c r="AG126" s="107"/>
    </row>
    <row r="127" spans="1:33" ht="15">
      <c r="A127" s="109"/>
      <c r="B127" s="5833">
        <v>11</v>
      </c>
      <c r="C127" s="117" t="s">
        <v>1446</v>
      </c>
      <c r="D127" s="1558"/>
      <c r="E127" s="119" t="s">
        <v>5</v>
      </c>
      <c r="F127" s="120">
        <v>32</v>
      </c>
      <c r="G127" s="120" t="s">
        <v>1611</v>
      </c>
      <c r="H127" s="120" t="s">
        <v>1715</v>
      </c>
      <c r="I127" s="120" t="s">
        <v>1716</v>
      </c>
      <c r="J127" s="143" t="s">
        <v>1661</v>
      </c>
      <c r="K127" s="1559">
        <v>6.67</v>
      </c>
      <c r="L127" s="192">
        <v>0.5</v>
      </c>
      <c r="M127" s="1560">
        <v>5.36</v>
      </c>
      <c r="N127" s="192">
        <v>0.54</v>
      </c>
      <c r="O127" s="397">
        <f>1.31</f>
        <v>1.31</v>
      </c>
      <c r="P127" s="1561">
        <v>2.4500000000000002</v>
      </c>
      <c r="Q127" s="1562">
        <v>0.54</v>
      </c>
      <c r="R127" s="124">
        <v>0.72</v>
      </c>
      <c r="S127" s="527">
        <v>0.4</v>
      </c>
      <c r="T127" s="120">
        <v>37</v>
      </c>
      <c r="U127" s="976">
        <v>0.27029999999999998</v>
      </c>
      <c r="V127" s="1563">
        <v>0.2162</v>
      </c>
      <c r="W127" s="1564">
        <v>0.18920000000000001</v>
      </c>
      <c r="X127" s="1565">
        <v>0.48649999999999999</v>
      </c>
      <c r="Y127" s="1439">
        <v>10</v>
      </c>
      <c r="Z127" s="137">
        <v>5</v>
      </c>
      <c r="AA127" s="1398">
        <v>8</v>
      </c>
      <c r="AB127" s="137">
        <v>4</v>
      </c>
      <c r="AC127" s="1520">
        <v>7</v>
      </c>
      <c r="AD127" s="978">
        <v>3</v>
      </c>
      <c r="AE127" s="142">
        <v>0</v>
      </c>
      <c r="AF127" s="143">
        <v>0</v>
      </c>
      <c r="AG127" s="107"/>
    </row>
    <row r="128" spans="1:33" ht="15">
      <c r="A128" s="109"/>
      <c r="B128" s="5832"/>
      <c r="C128" s="149" t="s">
        <v>1469</v>
      </c>
      <c r="D128" s="1566"/>
      <c r="E128" s="151" t="s">
        <v>1</v>
      </c>
      <c r="F128" s="152">
        <v>36</v>
      </c>
      <c r="G128" s="152" t="s">
        <v>1653</v>
      </c>
      <c r="H128" s="152" t="s">
        <v>1659</v>
      </c>
      <c r="I128" s="152" t="s">
        <v>1717</v>
      </c>
      <c r="J128" s="174" t="s">
        <v>1673</v>
      </c>
      <c r="K128" s="1155">
        <v>4.7699999999999996</v>
      </c>
      <c r="L128" s="156">
        <v>0.48</v>
      </c>
      <c r="M128" s="1567">
        <v>2.89</v>
      </c>
      <c r="N128" s="938">
        <v>0.56000000000000005</v>
      </c>
      <c r="O128" s="1568">
        <f>1.88</f>
        <v>1.88</v>
      </c>
      <c r="P128" s="1569">
        <v>0.25</v>
      </c>
      <c r="Q128" s="1570">
        <v>0.42</v>
      </c>
      <c r="R128" s="453">
        <v>0.66</v>
      </c>
      <c r="S128" s="1482">
        <v>0.2</v>
      </c>
      <c r="T128" s="152">
        <v>22</v>
      </c>
      <c r="U128" s="919">
        <v>0.31819999999999998</v>
      </c>
      <c r="V128" s="1571">
        <v>4.5499999999999999E-2</v>
      </c>
      <c r="W128" s="225">
        <v>0.40910000000000002</v>
      </c>
      <c r="X128" s="489">
        <v>0.36359999999999998</v>
      </c>
      <c r="Y128" s="1389">
        <v>7</v>
      </c>
      <c r="Z128" s="169">
        <v>1</v>
      </c>
      <c r="AA128" s="354">
        <v>1</v>
      </c>
      <c r="AB128" s="171">
        <v>0</v>
      </c>
      <c r="AC128" s="1408">
        <v>9</v>
      </c>
      <c r="AD128" s="169">
        <v>2</v>
      </c>
      <c r="AE128" s="173">
        <v>0</v>
      </c>
      <c r="AF128" s="174">
        <v>0</v>
      </c>
      <c r="AG128" s="107"/>
    </row>
    <row r="129" spans="1:33" ht="15">
      <c r="A129" s="109"/>
      <c r="B129" s="5831">
        <v>12</v>
      </c>
      <c r="C129" s="181" t="s">
        <v>703</v>
      </c>
      <c r="D129" s="992"/>
      <c r="E129" s="183" t="s">
        <v>5</v>
      </c>
      <c r="F129" s="87">
        <v>37</v>
      </c>
      <c r="G129" s="87" t="s">
        <v>1575</v>
      </c>
      <c r="H129" s="87" t="s">
        <v>1641</v>
      </c>
      <c r="I129" s="87" t="s">
        <v>1718</v>
      </c>
      <c r="J129" s="22" t="s">
        <v>1719</v>
      </c>
      <c r="K129" s="1572">
        <v>6.14</v>
      </c>
      <c r="L129" s="806">
        <v>0.52</v>
      </c>
      <c r="M129" s="1573">
        <v>3.74</v>
      </c>
      <c r="N129" s="1574">
        <v>0.62</v>
      </c>
      <c r="O129" s="1575">
        <f>2.4</f>
        <v>2.4</v>
      </c>
      <c r="P129" s="1576">
        <v>1.2</v>
      </c>
      <c r="Q129" s="1262">
        <v>0.37</v>
      </c>
      <c r="R129" s="1239">
        <v>0.74</v>
      </c>
      <c r="S129" s="250">
        <v>0.3</v>
      </c>
      <c r="T129" s="87">
        <v>48</v>
      </c>
      <c r="U129" s="785">
        <v>0.22919999999999999</v>
      </c>
      <c r="V129" s="1517">
        <v>0.1875</v>
      </c>
      <c r="W129" s="329">
        <v>0.22919999999999999</v>
      </c>
      <c r="X129" s="1577">
        <v>0.41670000000000001</v>
      </c>
      <c r="Y129" s="1397">
        <v>11</v>
      </c>
      <c r="Z129" s="137">
        <v>5</v>
      </c>
      <c r="AA129" s="735">
        <v>9</v>
      </c>
      <c r="AB129" s="302">
        <v>2</v>
      </c>
      <c r="AC129" s="1578">
        <v>11</v>
      </c>
      <c r="AD129" s="1579">
        <v>8</v>
      </c>
      <c r="AE129" s="62">
        <v>0</v>
      </c>
      <c r="AF129" s="22">
        <v>0</v>
      </c>
      <c r="AG129" s="107"/>
    </row>
    <row r="130" spans="1:33" ht="15">
      <c r="A130" s="109"/>
      <c r="B130" s="5832"/>
      <c r="C130" s="211" t="s">
        <v>819</v>
      </c>
      <c r="D130" s="1580"/>
      <c r="E130" s="213" t="s">
        <v>1</v>
      </c>
      <c r="F130" s="85">
        <v>40</v>
      </c>
      <c r="G130" s="85" t="s">
        <v>1630</v>
      </c>
      <c r="H130" s="85" t="s">
        <v>1641</v>
      </c>
      <c r="I130" s="85" t="s">
        <v>1720</v>
      </c>
      <c r="J130" s="23" t="s">
        <v>1658</v>
      </c>
      <c r="K130" s="1581">
        <v>2.96</v>
      </c>
      <c r="L130" s="1582">
        <v>0.42</v>
      </c>
      <c r="M130" s="894">
        <v>3.18</v>
      </c>
      <c r="N130" s="1461">
        <v>0.57999999999999996</v>
      </c>
      <c r="O130" s="1583">
        <v>-0.22</v>
      </c>
      <c r="P130" s="1584">
        <v>1.58</v>
      </c>
      <c r="Q130" s="643">
        <v>0.44</v>
      </c>
      <c r="R130" s="647">
        <v>0.48</v>
      </c>
      <c r="S130" s="451">
        <v>1.7</v>
      </c>
      <c r="T130" s="85">
        <v>55</v>
      </c>
      <c r="U130" s="1585">
        <v>0.1273</v>
      </c>
      <c r="V130" s="1586">
        <v>0.36359999999999998</v>
      </c>
      <c r="W130" s="1587">
        <v>0.18179999999999999</v>
      </c>
      <c r="X130" s="1588">
        <v>0.4909</v>
      </c>
      <c r="Y130" s="1389">
        <v>7</v>
      </c>
      <c r="Z130" s="690">
        <v>2</v>
      </c>
      <c r="AA130" s="1589">
        <v>20</v>
      </c>
      <c r="AB130" s="1030">
        <v>3</v>
      </c>
      <c r="AC130" s="1590">
        <v>10</v>
      </c>
      <c r="AD130" s="753">
        <v>12</v>
      </c>
      <c r="AE130" s="233">
        <v>0</v>
      </c>
      <c r="AF130" s="23">
        <v>0</v>
      </c>
      <c r="AG130" s="107"/>
    </row>
    <row r="131" spans="1:33" ht="15">
      <c r="A131" s="109"/>
      <c r="B131" s="5833">
        <v>13</v>
      </c>
      <c r="C131" s="117" t="s">
        <v>99</v>
      </c>
      <c r="D131" s="1591"/>
      <c r="E131" s="119" t="s">
        <v>5</v>
      </c>
      <c r="F131" s="120">
        <v>36</v>
      </c>
      <c r="G131" s="120" t="s">
        <v>1623</v>
      </c>
      <c r="H131" s="120" t="s">
        <v>1631</v>
      </c>
      <c r="I131" s="120" t="s">
        <v>1721</v>
      </c>
      <c r="J131" s="143" t="s">
        <v>1677</v>
      </c>
      <c r="K131" s="1592">
        <v>3.08</v>
      </c>
      <c r="L131" s="1470">
        <v>0.55000000000000004</v>
      </c>
      <c r="M131" s="1593">
        <v>3.46</v>
      </c>
      <c r="N131" s="291">
        <v>0.51</v>
      </c>
      <c r="O131" s="1594">
        <v>-0.38</v>
      </c>
      <c r="P131" s="363">
        <v>1.65</v>
      </c>
      <c r="Q131" s="124">
        <v>0.44</v>
      </c>
      <c r="R131" s="130">
        <v>0.57999999999999996</v>
      </c>
      <c r="S131" s="1237">
        <v>1.6</v>
      </c>
      <c r="T131" s="120">
        <v>26</v>
      </c>
      <c r="U131" s="702">
        <v>0.34620000000000001</v>
      </c>
      <c r="V131" s="251">
        <v>0.30769999999999997</v>
      </c>
      <c r="W131" s="1595">
        <v>0.1923</v>
      </c>
      <c r="X131" s="1596">
        <v>0.65380000000000005</v>
      </c>
      <c r="Y131" s="256">
        <v>9</v>
      </c>
      <c r="Z131" s="203">
        <v>1</v>
      </c>
      <c r="AA131" s="1398">
        <v>8</v>
      </c>
      <c r="AB131" s="203">
        <v>1</v>
      </c>
      <c r="AC131" s="256">
        <v>5</v>
      </c>
      <c r="AD131" s="373">
        <v>1</v>
      </c>
      <c r="AE131" s="142">
        <v>0</v>
      </c>
      <c r="AF131" s="143">
        <v>0</v>
      </c>
      <c r="AG131" s="107"/>
    </row>
    <row r="132" spans="1:33" ht="15">
      <c r="A132" s="109"/>
      <c r="B132" s="5832"/>
      <c r="C132" s="149" t="s">
        <v>100</v>
      </c>
      <c r="D132" s="1597"/>
      <c r="E132" s="151" t="s">
        <v>1</v>
      </c>
      <c r="F132" s="152">
        <v>32</v>
      </c>
      <c r="G132" s="152" t="s">
        <v>1630</v>
      </c>
      <c r="H132" s="152" t="s">
        <v>1659</v>
      </c>
      <c r="I132" s="152" t="s">
        <v>1671</v>
      </c>
      <c r="J132" s="174" t="s">
        <v>1673</v>
      </c>
      <c r="K132" s="937">
        <v>3.06</v>
      </c>
      <c r="L132" s="573">
        <v>0.4</v>
      </c>
      <c r="M132" s="913">
        <v>3.91</v>
      </c>
      <c r="N132" s="1552">
        <v>0.6</v>
      </c>
      <c r="O132" s="1598">
        <v>-0.85</v>
      </c>
      <c r="P132" s="896">
        <v>1.1000000000000001</v>
      </c>
      <c r="Q132" s="342">
        <v>0.34</v>
      </c>
      <c r="R132" s="1599">
        <v>0.8</v>
      </c>
      <c r="S132" s="223">
        <v>0</v>
      </c>
      <c r="T132" s="152">
        <v>19</v>
      </c>
      <c r="U132" s="1600">
        <v>0.57889999999999997</v>
      </c>
      <c r="V132" s="384">
        <v>0</v>
      </c>
      <c r="W132" s="1601">
        <v>0.15790000000000001</v>
      </c>
      <c r="X132" s="1602">
        <v>0.57889999999999997</v>
      </c>
      <c r="Y132" s="1429">
        <v>11</v>
      </c>
      <c r="Z132" s="1603">
        <v>4</v>
      </c>
      <c r="AA132" s="387">
        <v>0</v>
      </c>
      <c r="AB132" s="171">
        <v>0</v>
      </c>
      <c r="AC132" s="1604">
        <v>3</v>
      </c>
      <c r="AD132" s="459">
        <v>1</v>
      </c>
      <c r="AE132" s="173">
        <v>0</v>
      </c>
      <c r="AF132" s="174">
        <v>0</v>
      </c>
      <c r="AG132" s="107"/>
    </row>
    <row r="133" spans="1:33" ht="12.75">
      <c r="A133" s="107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620"/>
    </row>
    <row r="135" spans="1:33" ht="30">
      <c r="A135" s="1375" t="s">
        <v>1694</v>
      </c>
      <c r="B135" s="108"/>
      <c r="C135" s="108"/>
      <c r="D135" s="108"/>
      <c r="E135" s="108"/>
      <c r="F135" s="108"/>
      <c r="G135" s="108"/>
      <c r="H135" s="108"/>
      <c r="I135" s="108"/>
      <c r="J135" s="108"/>
      <c r="K135" s="108"/>
      <c r="L135" s="108"/>
      <c r="M135" s="108"/>
      <c r="N135" s="108"/>
      <c r="O135" s="108"/>
      <c r="P135" s="108"/>
      <c r="Q135" s="108"/>
      <c r="R135" s="108"/>
      <c r="S135" s="108"/>
      <c r="T135" s="108"/>
      <c r="U135" s="108"/>
      <c r="V135" s="108"/>
      <c r="W135" s="108"/>
      <c r="X135" s="108"/>
      <c r="Y135" s="108"/>
      <c r="Z135" s="108"/>
      <c r="AA135" s="108"/>
      <c r="AB135" s="108"/>
      <c r="AC135" s="108"/>
      <c r="AD135" s="108"/>
      <c r="AE135" s="108"/>
      <c r="AF135" s="108"/>
      <c r="AG135" s="107"/>
    </row>
    <row r="136" spans="1:33">
      <c r="A136" s="109"/>
      <c r="B136" s="5834" t="s">
        <v>1524</v>
      </c>
      <c r="C136" s="5840" t="s">
        <v>1525</v>
      </c>
      <c r="D136" s="5841" t="s">
        <v>1526</v>
      </c>
      <c r="E136" s="5836"/>
      <c r="F136" s="5836"/>
      <c r="G136" s="5836"/>
      <c r="H136" s="5836"/>
      <c r="I136" s="5836"/>
      <c r="J136" s="5832"/>
      <c r="K136" s="5837" t="s">
        <v>1527</v>
      </c>
      <c r="L136" s="5836"/>
      <c r="M136" s="5836"/>
      <c r="N136" s="5836"/>
      <c r="O136" s="5832"/>
      <c r="P136" s="5838" t="s">
        <v>1528</v>
      </c>
      <c r="Q136" s="5836"/>
      <c r="R136" s="5836"/>
      <c r="S136" s="5832"/>
      <c r="T136" s="5839" t="s">
        <v>1529</v>
      </c>
      <c r="U136" s="5836"/>
      <c r="V136" s="5836"/>
      <c r="W136" s="5836"/>
      <c r="X136" s="5836"/>
      <c r="Y136" s="5836"/>
      <c r="Z136" s="5836"/>
      <c r="AA136" s="5836"/>
      <c r="AB136" s="5836"/>
      <c r="AC136" s="5836"/>
      <c r="AD136" s="5836"/>
      <c r="AE136" s="5836"/>
      <c r="AF136" s="5832"/>
      <c r="AG136" s="107"/>
    </row>
    <row r="137" spans="1:33" ht="15">
      <c r="A137" s="109"/>
      <c r="B137" s="5832"/>
      <c r="C137" s="5832"/>
      <c r="D137" s="111" t="s">
        <v>1531</v>
      </c>
      <c r="E137" s="112" t="s">
        <v>1532</v>
      </c>
      <c r="F137" s="111" t="s">
        <v>1533</v>
      </c>
      <c r="G137" s="111" t="s">
        <v>1534</v>
      </c>
      <c r="H137" s="111" t="s">
        <v>1535</v>
      </c>
      <c r="I137" s="111" t="s">
        <v>1536</v>
      </c>
      <c r="J137" s="111" t="s">
        <v>1537</v>
      </c>
      <c r="K137" s="111" t="s">
        <v>1538</v>
      </c>
      <c r="L137" s="111" t="s">
        <v>1539</v>
      </c>
      <c r="M137" s="111" t="s">
        <v>1540</v>
      </c>
      <c r="N137" s="111" t="s">
        <v>1541</v>
      </c>
      <c r="O137" s="111" t="s">
        <v>1542</v>
      </c>
      <c r="P137" s="111" t="s">
        <v>1543</v>
      </c>
      <c r="Q137" s="111" t="s">
        <v>1544</v>
      </c>
      <c r="R137" s="111" t="s">
        <v>1545</v>
      </c>
      <c r="S137" s="111" t="s">
        <v>1546</v>
      </c>
      <c r="T137" s="111" t="s">
        <v>1547</v>
      </c>
      <c r="U137" s="111" t="s">
        <v>1548</v>
      </c>
      <c r="V137" s="111" t="s">
        <v>1549</v>
      </c>
      <c r="W137" s="111" t="s">
        <v>1550</v>
      </c>
      <c r="X137" s="112" t="s">
        <v>1551</v>
      </c>
      <c r="Y137" s="113" t="s">
        <v>1552</v>
      </c>
      <c r="Z137" s="114" t="s">
        <v>1553</v>
      </c>
      <c r="AA137" s="113" t="s">
        <v>1554</v>
      </c>
      <c r="AB137" s="114" t="s">
        <v>1555</v>
      </c>
      <c r="AC137" s="115" t="s">
        <v>1556</v>
      </c>
      <c r="AD137" s="114" t="s">
        <v>1557</v>
      </c>
      <c r="AE137" s="113" t="s">
        <v>1558</v>
      </c>
      <c r="AF137" s="116" t="s">
        <v>1559</v>
      </c>
      <c r="AG137" s="107"/>
    </row>
    <row r="138" spans="1:33" ht="15">
      <c r="A138" s="109"/>
      <c r="B138" s="5833">
        <v>1</v>
      </c>
      <c r="C138" s="117" t="s">
        <v>988</v>
      </c>
      <c r="D138" s="1605"/>
      <c r="E138" s="119"/>
      <c r="F138" s="120">
        <v>28</v>
      </c>
      <c r="G138" s="120" t="s">
        <v>1571</v>
      </c>
      <c r="H138" s="120" t="s">
        <v>1622</v>
      </c>
      <c r="I138" s="120" t="s">
        <v>1722</v>
      </c>
      <c r="J138" s="143" t="s">
        <v>1666</v>
      </c>
      <c r="K138" s="1606">
        <v>3.87</v>
      </c>
      <c r="L138" s="1607">
        <v>0.54</v>
      </c>
      <c r="M138" s="906">
        <v>3.6</v>
      </c>
      <c r="N138" s="498">
        <v>0.46</v>
      </c>
      <c r="O138" s="1608">
        <f>0.27</f>
        <v>0.27</v>
      </c>
      <c r="P138" s="1609">
        <v>1.36</v>
      </c>
      <c r="Q138" s="1303">
        <v>0.47</v>
      </c>
      <c r="R138" s="1610">
        <v>0.57999999999999996</v>
      </c>
      <c r="S138" s="1611">
        <v>1.7</v>
      </c>
      <c r="T138" s="120">
        <v>28</v>
      </c>
      <c r="U138" s="1612">
        <v>0.17860000000000001</v>
      </c>
      <c r="V138" s="812">
        <v>0.5</v>
      </c>
      <c r="W138" s="1613">
        <v>0.1429</v>
      </c>
      <c r="X138" s="1614">
        <v>0.67859999999999998</v>
      </c>
      <c r="Y138" s="256">
        <v>5</v>
      </c>
      <c r="Z138" s="302">
        <v>2</v>
      </c>
      <c r="AA138" s="1615">
        <v>14</v>
      </c>
      <c r="AB138" s="564">
        <v>1</v>
      </c>
      <c r="AC138" s="256">
        <v>4</v>
      </c>
      <c r="AD138" s="1616">
        <v>2</v>
      </c>
      <c r="AE138" s="142">
        <v>0</v>
      </c>
      <c r="AF138" s="143">
        <v>0</v>
      </c>
      <c r="AG138" s="107"/>
    </row>
    <row r="139" spans="1:33" ht="15">
      <c r="A139" s="109"/>
      <c r="B139" s="5832"/>
      <c r="C139" s="149" t="s">
        <v>961</v>
      </c>
      <c r="D139" s="1617"/>
      <c r="E139" s="151"/>
      <c r="F139" s="152">
        <v>36</v>
      </c>
      <c r="G139" s="152" t="s">
        <v>1575</v>
      </c>
      <c r="H139" s="152" t="s">
        <v>1622</v>
      </c>
      <c r="I139" s="152" t="s">
        <v>1723</v>
      </c>
      <c r="J139" s="174" t="s">
        <v>1719</v>
      </c>
      <c r="K139" s="1618">
        <v>5.96</v>
      </c>
      <c r="L139" s="1461">
        <v>0.51</v>
      </c>
      <c r="M139" s="380">
        <v>6.58</v>
      </c>
      <c r="N139" s="416">
        <v>0.53</v>
      </c>
      <c r="O139" s="383">
        <v>-0.62</v>
      </c>
      <c r="P139" s="383">
        <v>0</v>
      </c>
      <c r="Q139" s="222">
        <v>0</v>
      </c>
      <c r="R139" s="1619">
        <v>0.92</v>
      </c>
      <c r="S139" s="223">
        <v>0</v>
      </c>
      <c r="T139" s="152">
        <v>42</v>
      </c>
      <c r="U139" s="1620">
        <v>0.40479999999999999</v>
      </c>
      <c r="V139" s="1621">
        <v>2.3800000000000002E-2</v>
      </c>
      <c r="W139" s="849">
        <v>0.3095</v>
      </c>
      <c r="X139" s="1622">
        <v>0.42859999999999998</v>
      </c>
      <c r="Y139" s="229">
        <v>17</v>
      </c>
      <c r="Z139" s="169">
        <v>1</v>
      </c>
      <c r="AA139" s="353">
        <v>1</v>
      </c>
      <c r="AB139" s="1102">
        <v>1</v>
      </c>
      <c r="AC139" s="229">
        <v>13</v>
      </c>
      <c r="AD139" s="1623">
        <v>8</v>
      </c>
      <c r="AE139" s="173">
        <v>0</v>
      </c>
      <c r="AF139" s="174">
        <v>0</v>
      </c>
      <c r="AG139" s="107"/>
    </row>
    <row r="140" spans="1:33" ht="15">
      <c r="A140" s="109"/>
      <c r="B140" s="5831">
        <v>2</v>
      </c>
      <c r="C140" s="181" t="s">
        <v>234</v>
      </c>
      <c r="D140" s="1624"/>
      <c r="E140" s="183"/>
      <c r="F140" s="87">
        <v>31</v>
      </c>
      <c r="G140" s="87" t="s">
        <v>1588</v>
      </c>
      <c r="H140" s="87" t="s">
        <v>1616</v>
      </c>
      <c r="I140" s="87" t="s">
        <v>1713</v>
      </c>
      <c r="J140" s="22" t="s">
        <v>1661</v>
      </c>
      <c r="K140" s="1625">
        <v>4.63</v>
      </c>
      <c r="L140" s="1626">
        <v>0.41</v>
      </c>
      <c r="M140" s="1627">
        <v>4.9000000000000004</v>
      </c>
      <c r="N140" s="1628">
        <v>0.56000000000000005</v>
      </c>
      <c r="O140" s="1629">
        <v>-0.27</v>
      </c>
      <c r="P140" s="1076">
        <v>1.2</v>
      </c>
      <c r="Q140" s="431">
        <v>0.31</v>
      </c>
      <c r="R140" s="1262">
        <v>0.6</v>
      </c>
      <c r="S140" s="1630">
        <v>0.1</v>
      </c>
      <c r="T140" s="87">
        <v>21</v>
      </c>
      <c r="U140" s="702">
        <v>0.28570000000000001</v>
      </c>
      <c r="V140" s="864">
        <v>9.5200000000000007E-2</v>
      </c>
      <c r="W140" s="1631">
        <v>0.28570000000000001</v>
      </c>
      <c r="X140" s="1632">
        <v>0.38100000000000001</v>
      </c>
      <c r="Y140" s="634">
        <v>6</v>
      </c>
      <c r="Z140" s="1006">
        <v>3</v>
      </c>
      <c r="AA140" s="256">
        <v>2</v>
      </c>
      <c r="AB140" s="564">
        <v>1</v>
      </c>
      <c r="AC140" s="954">
        <v>6</v>
      </c>
      <c r="AD140" s="141">
        <v>3</v>
      </c>
      <c r="AE140" s="62">
        <v>0</v>
      </c>
      <c r="AF140" s="22">
        <v>0</v>
      </c>
      <c r="AG140" s="107"/>
    </row>
    <row r="141" spans="1:33" ht="15">
      <c r="A141" s="109"/>
      <c r="B141" s="5832"/>
      <c r="C141" s="211" t="s">
        <v>350</v>
      </c>
      <c r="D141" s="1633"/>
      <c r="E141" s="213"/>
      <c r="F141" s="85">
        <v>35</v>
      </c>
      <c r="G141" s="85" t="s">
        <v>1605</v>
      </c>
      <c r="H141" s="85" t="s">
        <v>1641</v>
      </c>
      <c r="I141" s="85" t="s">
        <v>1724</v>
      </c>
      <c r="J141" s="23" t="s">
        <v>1673</v>
      </c>
      <c r="K141" s="1634">
        <v>3.02</v>
      </c>
      <c r="L141" s="1582">
        <v>0.4</v>
      </c>
      <c r="M141" s="267">
        <v>3.46</v>
      </c>
      <c r="N141" s="1635">
        <v>0.5</v>
      </c>
      <c r="O141" s="1636">
        <v>-0.44</v>
      </c>
      <c r="P141" s="1637">
        <v>2.44</v>
      </c>
      <c r="Q141" s="917">
        <v>0.34</v>
      </c>
      <c r="R141" s="1481">
        <v>0.4</v>
      </c>
      <c r="S141" s="1638">
        <v>1.6</v>
      </c>
      <c r="T141" s="85">
        <v>30</v>
      </c>
      <c r="U141" s="1639">
        <v>0.1333</v>
      </c>
      <c r="V141" s="165">
        <v>0.5</v>
      </c>
      <c r="W141" s="1640">
        <v>0.1</v>
      </c>
      <c r="X141" s="1641">
        <v>0.63329999999999997</v>
      </c>
      <c r="Y141" s="1486">
        <v>4</v>
      </c>
      <c r="Z141" s="753">
        <v>4</v>
      </c>
      <c r="AA141" s="229">
        <v>15</v>
      </c>
      <c r="AB141" s="1102">
        <v>1</v>
      </c>
      <c r="AC141" s="279">
        <v>3</v>
      </c>
      <c r="AD141" s="1067">
        <v>1</v>
      </c>
      <c r="AE141" s="233">
        <v>0</v>
      </c>
      <c r="AF141" s="23">
        <v>0</v>
      </c>
      <c r="AG141" s="107"/>
    </row>
    <row r="142" spans="1:33" ht="15">
      <c r="A142" s="109"/>
      <c r="B142" s="5833">
        <v>3</v>
      </c>
      <c r="C142" s="117" t="s">
        <v>355</v>
      </c>
      <c r="D142" s="1642"/>
      <c r="E142" s="119"/>
      <c r="F142" s="120">
        <v>28</v>
      </c>
      <c r="G142" s="120" t="s">
        <v>1630</v>
      </c>
      <c r="H142" s="120" t="s">
        <v>1606</v>
      </c>
      <c r="I142" s="120" t="s">
        <v>1725</v>
      </c>
      <c r="J142" s="143" t="s">
        <v>1658</v>
      </c>
      <c r="K142" s="1643">
        <v>6.75</v>
      </c>
      <c r="L142" s="1644">
        <v>0.53</v>
      </c>
      <c r="M142" s="1645">
        <v>2.34</v>
      </c>
      <c r="N142" s="504">
        <v>0.78</v>
      </c>
      <c r="O142" s="1646">
        <f>4.41</f>
        <v>4.41</v>
      </c>
      <c r="P142" s="123">
        <v>0</v>
      </c>
      <c r="Q142" s="187">
        <v>0</v>
      </c>
      <c r="R142" s="187">
        <v>0</v>
      </c>
      <c r="S142" s="131">
        <v>0</v>
      </c>
      <c r="T142" s="120">
        <v>29</v>
      </c>
      <c r="U142" s="1647">
        <v>0.37930000000000003</v>
      </c>
      <c r="V142" s="403">
        <v>0.10340000000000001</v>
      </c>
      <c r="W142" s="1648">
        <v>0.1724</v>
      </c>
      <c r="X142" s="1649">
        <v>0.48280000000000001</v>
      </c>
      <c r="Y142" s="1650">
        <v>11</v>
      </c>
      <c r="Z142" s="201">
        <v>0</v>
      </c>
      <c r="AA142" s="1651">
        <v>3</v>
      </c>
      <c r="AB142" s="564">
        <v>1</v>
      </c>
      <c r="AC142" s="1352">
        <v>5</v>
      </c>
      <c r="AD142" s="1652">
        <v>8</v>
      </c>
      <c r="AE142" s="142">
        <v>0</v>
      </c>
      <c r="AF142" s="143">
        <v>0</v>
      </c>
      <c r="AG142" s="107"/>
    </row>
    <row r="143" spans="1:33" ht="15">
      <c r="A143" s="109"/>
      <c r="B143" s="5832"/>
      <c r="C143" s="149" t="s">
        <v>356</v>
      </c>
      <c r="D143" s="1653"/>
      <c r="E143" s="151"/>
      <c r="F143" s="152">
        <v>31</v>
      </c>
      <c r="G143" s="152" t="s">
        <v>1592</v>
      </c>
      <c r="H143" s="152" t="s">
        <v>1606</v>
      </c>
      <c r="I143" s="152" t="s">
        <v>1708</v>
      </c>
      <c r="J143" s="174" t="s">
        <v>1666</v>
      </c>
      <c r="K143" s="896">
        <v>4.67</v>
      </c>
      <c r="L143" s="1654">
        <v>0.53</v>
      </c>
      <c r="M143" s="1655">
        <v>3.95</v>
      </c>
      <c r="N143" s="822">
        <v>0.52</v>
      </c>
      <c r="O143" s="646">
        <f>0.72</f>
        <v>0.72</v>
      </c>
      <c r="P143" s="1656">
        <v>3.22</v>
      </c>
      <c r="Q143" s="1657">
        <v>0.38</v>
      </c>
      <c r="R143" s="219">
        <v>1</v>
      </c>
      <c r="S143" s="1658">
        <v>0.6</v>
      </c>
      <c r="T143" s="152">
        <v>22</v>
      </c>
      <c r="U143" s="1659">
        <v>0.31819999999999998</v>
      </c>
      <c r="V143" s="1275">
        <v>0.13639999999999999</v>
      </c>
      <c r="W143" s="550">
        <v>0.2273</v>
      </c>
      <c r="X143" s="1660">
        <v>0.45450000000000002</v>
      </c>
      <c r="Y143" s="750">
        <v>7</v>
      </c>
      <c r="Z143" s="1030">
        <v>3</v>
      </c>
      <c r="AA143" s="1661">
        <v>3</v>
      </c>
      <c r="AB143" s="171">
        <v>0</v>
      </c>
      <c r="AC143" s="751">
        <v>5</v>
      </c>
      <c r="AD143" s="422">
        <v>3</v>
      </c>
      <c r="AE143" s="173">
        <v>0</v>
      </c>
      <c r="AF143" s="174">
        <v>0</v>
      </c>
      <c r="AG143" s="107"/>
    </row>
    <row r="144" spans="1:33" ht="15">
      <c r="A144" s="109"/>
      <c r="B144" s="5831">
        <v>4</v>
      </c>
      <c r="C144" s="181" t="s">
        <v>825</v>
      </c>
      <c r="D144" s="1662"/>
      <c r="E144" s="183"/>
      <c r="F144" s="87">
        <v>26</v>
      </c>
      <c r="G144" s="87" t="s">
        <v>1567</v>
      </c>
      <c r="H144" s="87" t="s">
        <v>1622</v>
      </c>
      <c r="I144" s="87" t="s">
        <v>1671</v>
      </c>
      <c r="J144" s="22" t="s">
        <v>1673</v>
      </c>
      <c r="K144" s="1663">
        <v>6.97</v>
      </c>
      <c r="L144" s="295">
        <v>0.46</v>
      </c>
      <c r="M144" s="1545">
        <v>4.3600000000000003</v>
      </c>
      <c r="N144" s="1664">
        <v>0.56999999999999995</v>
      </c>
      <c r="O144" s="1665">
        <f>2.61</f>
        <v>2.61</v>
      </c>
      <c r="P144" s="123">
        <v>0</v>
      </c>
      <c r="Q144" s="187">
        <v>0</v>
      </c>
      <c r="R144" s="1666">
        <v>0.85</v>
      </c>
      <c r="S144" s="1667">
        <v>0.4</v>
      </c>
      <c r="T144" s="87">
        <v>19</v>
      </c>
      <c r="U144" s="669">
        <v>0.47370000000000001</v>
      </c>
      <c r="V144" s="1668">
        <v>5.2600000000000001E-2</v>
      </c>
      <c r="W144" s="811">
        <v>0.21049999999999999</v>
      </c>
      <c r="X144" s="1669">
        <v>0.52629999999999999</v>
      </c>
      <c r="Y144" s="735">
        <v>9</v>
      </c>
      <c r="Z144" s="201">
        <v>0</v>
      </c>
      <c r="AA144" s="594">
        <v>1</v>
      </c>
      <c r="AB144" s="302">
        <v>2</v>
      </c>
      <c r="AC144" s="256">
        <v>4</v>
      </c>
      <c r="AD144" s="141">
        <v>3</v>
      </c>
      <c r="AE144" s="62">
        <v>0</v>
      </c>
      <c r="AF144" s="22">
        <v>0</v>
      </c>
      <c r="AG144" s="107"/>
    </row>
    <row r="145" spans="1:33" ht="15">
      <c r="A145" s="109"/>
      <c r="B145" s="5832"/>
      <c r="C145" s="211" t="s">
        <v>826</v>
      </c>
      <c r="D145" s="1670"/>
      <c r="E145" s="213"/>
      <c r="F145" s="85">
        <v>34</v>
      </c>
      <c r="G145" s="85" t="s">
        <v>1575</v>
      </c>
      <c r="H145" s="85" t="s">
        <v>1641</v>
      </c>
      <c r="I145" s="85" t="s">
        <v>1726</v>
      </c>
      <c r="J145" s="23" t="s">
        <v>1661</v>
      </c>
      <c r="K145" s="216">
        <v>2.98</v>
      </c>
      <c r="L145" s="607">
        <v>0.42</v>
      </c>
      <c r="M145" s="543">
        <v>2.95</v>
      </c>
      <c r="N145" s="161">
        <v>0.51</v>
      </c>
      <c r="O145" s="1331">
        <f>0.03</f>
        <v>0.03</v>
      </c>
      <c r="P145" s="1671">
        <v>2.93</v>
      </c>
      <c r="Q145" s="1552">
        <v>0.37</v>
      </c>
      <c r="R145" s="1059">
        <v>0.52</v>
      </c>
      <c r="S145" s="220">
        <v>0.4</v>
      </c>
      <c r="T145" s="85">
        <v>31</v>
      </c>
      <c r="U145" s="550">
        <v>0.2581</v>
      </c>
      <c r="V145" s="275">
        <v>0.129</v>
      </c>
      <c r="W145" s="747">
        <v>0.2581</v>
      </c>
      <c r="X145" s="1588">
        <v>0.3871</v>
      </c>
      <c r="Y145" s="1672">
        <v>8</v>
      </c>
      <c r="Z145" s="1296">
        <v>2</v>
      </c>
      <c r="AA145" s="1673">
        <v>4</v>
      </c>
      <c r="AB145" s="753">
        <v>6</v>
      </c>
      <c r="AC145" s="901">
        <v>8</v>
      </c>
      <c r="AD145" s="422">
        <v>3</v>
      </c>
      <c r="AE145" s="233">
        <v>0</v>
      </c>
      <c r="AF145" s="23">
        <v>0</v>
      </c>
      <c r="AG145" s="107"/>
    </row>
    <row r="146" spans="1:33" ht="15">
      <c r="A146" s="109"/>
      <c r="B146" s="5833">
        <v>5</v>
      </c>
      <c r="C146" s="117" t="s">
        <v>746</v>
      </c>
      <c r="D146" s="724"/>
      <c r="E146" s="119"/>
      <c r="F146" s="120">
        <v>26</v>
      </c>
      <c r="G146" s="120" t="s">
        <v>1667</v>
      </c>
      <c r="H146" s="120" t="s">
        <v>1681</v>
      </c>
      <c r="I146" s="120" t="s">
        <v>1727</v>
      </c>
      <c r="J146" s="143" t="s">
        <v>1666</v>
      </c>
      <c r="K146" s="123">
        <v>0</v>
      </c>
      <c r="L146" s="187">
        <v>0</v>
      </c>
      <c r="M146" s="926">
        <v>0</v>
      </c>
      <c r="N146" s="187">
        <v>0</v>
      </c>
      <c r="O146" s="755">
        <v>0</v>
      </c>
      <c r="P146" s="123">
        <v>0</v>
      </c>
      <c r="Q146" s="187">
        <v>0</v>
      </c>
      <c r="R146" s="187">
        <v>0</v>
      </c>
      <c r="S146" s="131">
        <v>0</v>
      </c>
      <c r="T146" s="120">
        <v>11</v>
      </c>
      <c r="U146" s="1674">
        <v>0.54549999999999998</v>
      </c>
      <c r="V146" s="1675">
        <v>9.0899999999999995E-2</v>
      </c>
      <c r="W146" s="1676">
        <v>0.36359999999999998</v>
      </c>
      <c r="X146" s="1677">
        <v>0.63639999999999997</v>
      </c>
      <c r="Y146" s="634">
        <v>6</v>
      </c>
      <c r="Z146" s="201">
        <v>0</v>
      </c>
      <c r="AA146" s="594">
        <v>1</v>
      </c>
      <c r="AB146" s="201">
        <v>0</v>
      </c>
      <c r="AC146" s="256">
        <v>4</v>
      </c>
      <c r="AD146" s="201">
        <v>0</v>
      </c>
      <c r="AE146" s="142">
        <v>0</v>
      </c>
      <c r="AF146" s="143">
        <v>0</v>
      </c>
      <c r="AG146" s="107"/>
    </row>
    <row r="147" spans="1:33" ht="15">
      <c r="A147" s="109"/>
      <c r="B147" s="5832"/>
      <c r="C147" s="149" t="s">
        <v>747</v>
      </c>
      <c r="D147" s="739"/>
      <c r="E147" s="151"/>
      <c r="F147" s="152">
        <v>31</v>
      </c>
      <c r="G147" s="152" t="s">
        <v>1585</v>
      </c>
      <c r="H147" s="152" t="s">
        <v>1597</v>
      </c>
      <c r="I147" s="152" t="s">
        <v>1728</v>
      </c>
      <c r="J147" s="174" t="s">
        <v>1729</v>
      </c>
      <c r="K147" s="916">
        <v>5.08</v>
      </c>
      <c r="L147" s="1678">
        <v>0.48</v>
      </c>
      <c r="M147" s="267">
        <v>3.46</v>
      </c>
      <c r="N147" s="1679">
        <v>0.56999999999999995</v>
      </c>
      <c r="O147" s="1680">
        <f>1.62</f>
        <v>1.62</v>
      </c>
      <c r="P147" s="1681">
        <v>0.64</v>
      </c>
      <c r="Q147" s="1682">
        <v>0.5</v>
      </c>
      <c r="R147" s="1504">
        <v>0.42</v>
      </c>
      <c r="S147" s="1658">
        <v>0.6</v>
      </c>
      <c r="T147" s="152">
        <v>14</v>
      </c>
      <c r="U147" s="1223">
        <v>0.42859999999999998</v>
      </c>
      <c r="V147" s="1683">
        <v>7.1400000000000005E-2</v>
      </c>
      <c r="W147" s="384">
        <v>7.1400000000000005E-2</v>
      </c>
      <c r="X147" s="1684">
        <v>0.5</v>
      </c>
      <c r="Y147" s="826">
        <v>6</v>
      </c>
      <c r="Z147" s="1296">
        <v>2</v>
      </c>
      <c r="AA147" s="353">
        <v>1</v>
      </c>
      <c r="AB147" s="171">
        <v>0</v>
      </c>
      <c r="AC147" s="387">
        <v>1</v>
      </c>
      <c r="AD147" s="1685">
        <v>2</v>
      </c>
      <c r="AE147" s="173">
        <v>0</v>
      </c>
      <c r="AF147" s="174">
        <v>0</v>
      </c>
      <c r="AG147" s="107"/>
    </row>
    <row r="148" spans="1:33" ht="15">
      <c r="A148" s="109"/>
      <c r="B148" s="5831">
        <v>6</v>
      </c>
      <c r="C148" s="181" t="s">
        <v>1214</v>
      </c>
      <c r="D148" s="1686"/>
      <c r="E148" s="183"/>
      <c r="F148" s="87">
        <v>29</v>
      </c>
      <c r="G148" s="87" t="s">
        <v>1588</v>
      </c>
      <c r="H148" s="87" t="s">
        <v>1618</v>
      </c>
      <c r="I148" s="87" t="s">
        <v>1730</v>
      </c>
      <c r="J148" s="22" t="s">
        <v>1658</v>
      </c>
      <c r="K148" s="1687">
        <v>5.09</v>
      </c>
      <c r="L148" s="1688">
        <v>0.56000000000000005</v>
      </c>
      <c r="M148" s="1689">
        <v>4.37</v>
      </c>
      <c r="N148" s="1690">
        <v>0.44</v>
      </c>
      <c r="O148" s="1625">
        <f>0.72</f>
        <v>0.72</v>
      </c>
      <c r="P148" s="1691">
        <v>1.76</v>
      </c>
      <c r="Q148" s="1692">
        <v>0.5</v>
      </c>
      <c r="R148" s="1436">
        <v>0.51</v>
      </c>
      <c r="S148" s="131">
        <v>0</v>
      </c>
      <c r="T148" s="87">
        <v>11</v>
      </c>
      <c r="U148" s="1693">
        <v>0.72729999999999995</v>
      </c>
      <c r="V148" s="195">
        <v>0</v>
      </c>
      <c r="W148" s="1694">
        <v>9.0899999999999995E-2</v>
      </c>
      <c r="X148" s="1695">
        <v>0.72729999999999995</v>
      </c>
      <c r="Y148" s="1696">
        <v>8</v>
      </c>
      <c r="Z148" s="201">
        <v>0</v>
      </c>
      <c r="AA148" s="200">
        <v>0</v>
      </c>
      <c r="AB148" s="201">
        <v>0</v>
      </c>
      <c r="AC148" s="200">
        <v>1</v>
      </c>
      <c r="AD148" s="1009">
        <v>1</v>
      </c>
      <c r="AE148" s="62">
        <v>0</v>
      </c>
      <c r="AF148" s="22">
        <v>0</v>
      </c>
      <c r="AG148" s="107"/>
    </row>
    <row r="149" spans="1:33" ht="15">
      <c r="A149" s="109"/>
      <c r="B149" s="5832"/>
      <c r="C149" s="211" t="s">
        <v>1215</v>
      </c>
      <c r="D149" s="1697"/>
      <c r="E149" s="213"/>
      <c r="F149" s="85">
        <v>28</v>
      </c>
      <c r="G149" s="85" t="s">
        <v>1582</v>
      </c>
      <c r="H149" s="85" t="s">
        <v>1616</v>
      </c>
      <c r="I149" s="85" t="s">
        <v>1731</v>
      </c>
      <c r="J149" s="23" t="s">
        <v>1658</v>
      </c>
      <c r="K149" s="218">
        <v>11.03</v>
      </c>
      <c r="L149" s="162">
        <v>0.54</v>
      </c>
      <c r="M149" s="1219">
        <v>5.42</v>
      </c>
      <c r="N149" s="917">
        <v>0.6</v>
      </c>
      <c r="O149" s="218">
        <f>5.61</f>
        <v>5.61</v>
      </c>
      <c r="P149" s="383">
        <v>0</v>
      </c>
      <c r="Q149" s="222">
        <v>0</v>
      </c>
      <c r="R149" s="219">
        <v>1</v>
      </c>
      <c r="S149" s="223">
        <v>0</v>
      </c>
      <c r="T149" s="85">
        <v>10</v>
      </c>
      <c r="U149" s="1698">
        <v>0.6</v>
      </c>
      <c r="V149" s="384">
        <v>0</v>
      </c>
      <c r="W149" s="548">
        <v>0.2</v>
      </c>
      <c r="X149" s="1699">
        <v>0.6</v>
      </c>
      <c r="Y149" s="826">
        <v>6</v>
      </c>
      <c r="Z149" s="169">
        <v>1</v>
      </c>
      <c r="AA149" s="387">
        <v>0</v>
      </c>
      <c r="AB149" s="171">
        <v>0</v>
      </c>
      <c r="AC149" s="354">
        <v>2</v>
      </c>
      <c r="AD149" s="1067">
        <v>1</v>
      </c>
      <c r="AE149" s="233">
        <v>0</v>
      </c>
      <c r="AF149" s="23">
        <v>0</v>
      </c>
      <c r="AG149" s="107"/>
    </row>
    <row r="150" spans="1:33" ht="15">
      <c r="A150" s="109"/>
      <c r="B150" s="5833">
        <v>7</v>
      </c>
      <c r="C150" s="117" t="s">
        <v>579</v>
      </c>
      <c r="D150" s="1700"/>
      <c r="E150" s="119"/>
      <c r="F150" s="120">
        <v>39</v>
      </c>
      <c r="G150" s="120" t="s">
        <v>1605</v>
      </c>
      <c r="H150" s="120" t="s">
        <v>1622</v>
      </c>
      <c r="I150" s="120" t="s">
        <v>1732</v>
      </c>
      <c r="J150" s="143" t="s">
        <v>1661</v>
      </c>
      <c r="K150" s="1625">
        <v>4.63</v>
      </c>
      <c r="L150" s="1488">
        <v>0.37</v>
      </c>
      <c r="M150" s="1701">
        <v>3.68</v>
      </c>
      <c r="N150" s="1414">
        <v>0.6</v>
      </c>
      <c r="O150" s="627">
        <f>0.95</f>
        <v>0.95</v>
      </c>
      <c r="P150" s="1702">
        <v>1.89</v>
      </c>
      <c r="Q150" s="1703">
        <v>0.25</v>
      </c>
      <c r="R150" s="395">
        <v>0.69</v>
      </c>
      <c r="S150" s="1667">
        <v>0.4</v>
      </c>
      <c r="T150" s="120">
        <v>34</v>
      </c>
      <c r="U150" s="865">
        <v>8.8200000000000001E-2</v>
      </c>
      <c r="V150" s="194">
        <v>0.23530000000000001</v>
      </c>
      <c r="W150" s="560">
        <v>0.32350000000000001</v>
      </c>
      <c r="X150" s="1704">
        <v>0.32350000000000001</v>
      </c>
      <c r="Y150" s="1441">
        <v>3</v>
      </c>
      <c r="Z150" s="1006">
        <v>3</v>
      </c>
      <c r="AA150" s="1705">
        <v>8</v>
      </c>
      <c r="AB150" s="201">
        <v>0</v>
      </c>
      <c r="AC150" s="738">
        <v>11</v>
      </c>
      <c r="AD150" s="137">
        <v>9</v>
      </c>
      <c r="AE150" s="142">
        <v>0</v>
      </c>
      <c r="AF150" s="143">
        <v>0</v>
      </c>
      <c r="AG150" s="107"/>
    </row>
    <row r="151" spans="1:33" ht="15">
      <c r="A151" s="109"/>
      <c r="B151" s="5832"/>
      <c r="C151" s="149" t="s">
        <v>580</v>
      </c>
      <c r="D151" s="1706"/>
      <c r="E151" s="151"/>
      <c r="F151" s="152">
        <v>33</v>
      </c>
      <c r="G151" s="152" t="s">
        <v>1605</v>
      </c>
      <c r="H151" s="152" t="s">
        <v>1616</v>
      </c>
      <c r="I151" s="152" t="s">
        <v>1733</v>
      </c>
      <c r="J151" s="174" t="s">
        <v>1673</v>
      </c>
      <c r="K151" s="1707">
        <v>5.0199999999999996</v>
      </c>
      <c r="L151" s="1708">
        <v>0.41</v>
      </c>
      <c r="M151" s="1709">
        <v>4.17</v>
      </c>
      <c r="N151" s="1710">
        <v>0.57999999999999996</v>
      </c>
      <c r="O151" s="341">
        <f>0.85</f>
        <v>0.85</v>
      </c>
      <c r="P151" s="601">
        <v>0.34</v>
      </c>
      <c r="Q151" s="342">
        <v>0.22</v>
      </c>
      <c r="R151" s="512">
        <v>0.5</v>
      </c>
      <c r="S151" s="1462">
        <v>0.3</v>
      </c>
      <c r="T151" s="152">
        <v>33</v>
      </c>
      <c r="U151" s="1711">
        <v>0.18179999999999999</v>
      </c>
      <c r="V151" s="1294">
        <v>0.21210000000000001</v>
      </c>
      <c r="W151" s="1405">
        <v>0.2727</v>
      </c>
      <c r="X151" s="1712">
        <v>0.39389999999999997</v>
      </c>
      <c r="Y151" s="826">
        <v>6</v>
      </c>
      <c r="Z151" s="1030">
        <v>3</v>
      </c>
      <c r="AA151" s="1713">
        <v>7</v>
      </c>
      <c r="AB151" s="171">
        <v>0</v>
      </c>
      <c r="AC151" s="1714">
        <v>9</v>
      </c>
      <c r="AD151" s="1715">
        <v>6</v>
      </c>
      <c r="AE151" s="229">
        <v>1</v>
      </c>
      <c r="AF151" s="174">
        <v>0</v>
      </c>
      <c r="AG151" s="107"/>
    </row>
    <row r="152" spans="1:33" ht="15">
      <c r="A152" s="109"/>
      <c r="B152" s="5831">
        <v>8</v>
      </c>
      <c r="C152" s="181" t="s">
        <v>1284</v>
      </c>
      <c r="D152" s="1716"/>
      <c r="E152" s="183"/>
      <c r="F152" s="87">
        <v>33</v>
      </c>
      <c r="G152" s="87" t="s">
        <v>1592</v>
      </c>
      <c r="H152" s="87" t="s">
        <v>1624</v>
      </c>
      <c r="I152" s="87" t="s">
        <v>1734</v>
      </c>
      <c r="J152" s="22" t="s">
        <v>1658</v>
      </c>
      <c r="K152" s="1431">
        <v>3.41</v>
      </c>
      <c r="L152" s="470">
        <v>0.49</v>
      </c>
      <c r="M152" s="1717">
        <v>1.99</v>
      </c>
      <c r="N152" s="1718">
        <v>0.66</v>
      </c>
      <c r="O152" s="1719">
        <f>1.42</f>
        <v>1.42</v>
      </c>
      <c r="P152" s="1720">
        <v>1.39</v>
      </c>
      <c r="Q152" s="504">
        <v>0.64</v>
      </c>
      <c r="R152" s="1721">
        <v>0.72</v>
      </c>
      <c r="S152" s="131">
        <v>0</v>
      </c>
      <c r="T152" s="87">
        <v>12</v>
      </c>
      <c r="U152" s="195">
        <v>0</v>
      </c>
      <c r="V152" s="1722">
        <v>0.16669999999999999</v>
      </c>
      <c r="W152" s="812">
        <v>0.66669999999999996</v>
      </c>
      <c r="X152" s="813">
        <v>0.16669999999999999</v>
      </c>
      <c r="Y152" s="200">
        <v>0</v>
      </c>
      <c r="Z152" s="203">
        <v>1</v>
      </c>
      <c r="AA152" s="256">
        <v>2</v>
      </c>
      <c r="AB152" s="201">
        <v>0</v>
      </c>
      <c r="AC152" s="673">
        <v>8</v>
      </c>
      <c r="AD152" s="1009">
        <v>1</v>
      </c>
      <c r="AE152" s="62">
        <v>0</v>
      </c>
      <c r="AF152" s="22">
        <v>0</v>
      </c>
      <c r="AG152" s="107"/>
    </row>
    <row r="153" spans="1:33" ht="15">
      <c r="A153" s="109"/>
      <c r="B153" s="5832"/>
      <c r="C153" s="211" t="s">
        <v>1285</v>
      </c>
      <c r="D153" s="1723"/>
      <c r="E153" s="213"/>
      <c r="F153" s="85">
        <v>39</v>
      </c>
      <c r="G153" s="85" t="s">
        <v>1588</v>
      </c>
      <c r="H153" s="85" t="s">
        <v>1641</v>
      </c>
      <c r="I153" s="85" t="s">
        <v>1735</v>
      </c>
      <c r="J153" s="23" t="s">
        <v>1658</v>
      </c>
      <c r="K153" s="1724">
        <v>2.72</v>
      </c>
      <c r="L153" s="897">
        <v>0.46</v>
      </c>
      <c r="M153" s="1725">
        <v>2.14</v>
      </c>
      <c r="N153" s="1457">
        <v>0.65</v>
      </c>
      <c r="O153" s="1726">
        <f>0.58</f>
        <v>0.57999999999999996</v>
      </c>
      <c r="P153" s="383">
        <v>0</v>
      </c>
      <c r="Q153" s="222">
        <v>0</v>
      </c>
      <c r="R153" s="1727">
        <v>0.69</v>
      </c>
      <c r="S153" s="220">
        <v>0.4</v>
      </c>
      <c r="T153" s="85">
        <v>14</v>
      </c>
      <c r="U153" s="1728">
        <v>0.28570000000000001</v>
      </c>
      <c r="V153" s="1683">
        <v>7.1400000000000005E-2</v>
      </c>
      <c r="W153" s="1729">
        <v>0.35709999999999997</v>
      </c>
      <c r="X153" s="1730">
        <v>0.35709999999999997</v>
      </c>
      <c r="Y153" s="1486">
        <v>4</v>
      </c>
      <c r="Z153" s="169">
        <v>1</v>
      </c>
      <c r="AA153" s="353">
        <v>1</v>
      </c>
      <c r="AB153" s="1102">
        <v>1</v>
      </c>
      <c r="AC153" s="751">
        <v>5</v>
      </c>
      <c r="AD153" s="1685">
        <v>2</v>
      </c>
      <c r="AE153" s="233">
        <v>0</v>
      </c>
      <c r="AF153" s="23">
        <v>0</v>
      </c>
      <c r="AG153" s="107"/>
    </row>
    <row r="154" spans="1:33" ht="15">
      <c r="A154" s="109"/>
      <c r="B154" s="5833">
        <v>9</v>
      </c>
      <c r="C154" s="117" t="s">
        <v>75</v>
      </c>
      <c r="D154" s="1731"/>
      <c r="E154" s="119"/>
      <c r="F154" s="120">
        <v>31</v>
      </c>
      <c r="G154" s="120" t="s">
        <v>1644</v>
      </c>
      <c r="H154" s="120" t="s">
        <v>1686</v>
      </c>
      <c r="I154" s="120" t="s">
        <v>1736</v>
      </c>
      <c r="J154" s="143" t="s">
        <v>1658</v>
      </c>
      <c r="K154" s="322">
        <v>3.46</v>
      </c>
      <c r="L154" s="295">
        <v>0.46</v>
      </c>
      <c r="M154" s="1732">
        <v>2.98</v>
      </c>
      <c r="N154" s="1664">
        <v>0.56999999999999995</v>
      </c>
      <c r="O154" s="1606">
        <f>0.48</f>
        <v>0.48</v>
      </c>
      <c r="P154" s="926">
        <v>3.31</v>
      </c>
      <c r="Q154" s="1574">
        <v>0.41</v>
      </c>
      <c r="R154" s="192">
        <v>0.66</v>
      </c>
      <c r="S154" s="131">
        <v>0</v>
      </c>
      <c r="T154" s="120">
        <v>10</v>
      </c>
      <c r="U154" s="1733">
        <v>0.5</v>
      </c>
      <c r="V154" s="195">
        <v>0</v>
      </c>
      <c r="W154" s="474">
        <v>0.4</v>
      </c>
      <c r="X154" s="952">
        <v>0.5</v>
      </c>
      <c r="Y154" s="256">
        <v>5</v>
      </c>
      <c r="Z154" s="201">
        <v>0</v>
      </c>
      <c r="AA154" s="200">
        <v>0</v>
      </c>
      <c r="AB154" s="564">
        <v>1</v>
      </c>
      <c r="AC154" s="256">
        <v>4</v>
      </c>
      <c r="AD154" s="201">
        <v>0</v>
      </c>
      <c r="AE154" s="142">
        <v>0</v>
      </c>
      <c r="AF154" s="143">
        <v>0</v>
      </c>
      <c r="AG154" s="107"/>
    </row>
    <row r="155" spans="1:33" ht="15">
      <c r="A155" s="109"/>
      <c r="B155" s="5832"/>
      <c r="C155" s="149" t="s">
        <v>76</v>
      </c>
      <c r="D155" s="1734"/>
      <c r="E155" s="151"/>
      <c r="F155" s="152">
        <v>36</v>
      </c>
      <c r="G155" s="152" t="s">
        <v>1625</v>
      </c>
      <c r="H155" s="152" t="s">
        <v>1626</v>
      </c>
      <c r="I155" s="152" t="s">
        <v>1737</v>
      </c>
      <c r="J155" s="174" t="s">
        <v>1738</v>
      </c>
      <c r="K155" s="1735">
        <v>4.41</v>
      </c>
      <c r="L155" s="573">
        <v>0.38</v>
      </c>
      <c r="M155" s="1736">
        <v>4.12</v>
      </c>
      <c r="N155" s="1737">
        <v>0.64</v>
      </c>
      <c r="O155" s="1738">
        <f>0.29</f>
        <v>0.28999999999999998</v>
      </c>
      <c r="P155" s="1097">
        <v>1.8</v>
      </c>
      <c r="Q155" s="452">
        <v>0.44</v>
      </c>
      <c r="R155" s="1739">
        <v>0.77</v>
      </c>
      <c r="S155" s="1740">
        <v>0.8</v>
      </c>
      <c r="T155" s="152">
        <v>16</v>
      </c>
      <c r="U155" s="798">
        <v>0.125</v>
      </c>
      <c r="V155" s="1741">
        <v>0.1875</v>
      </c>
      <c r="W155" s="796">
        <v>0.25</v>
      </c>
      <c r="X155" s="352">
        <v>0.3125</v>
      </c>
      <c r="Y155" s="1542">
        <v>2</v>
      </c>
      <c r="Z155" s="1296">
        <v>2</v>
      </c>
      <c r="AA155" s="1661">
        <v>3</v>
      </c>
      <c r="AB155" s="171">
        <v>0</v>
      </c>
      <c r="AC155" s="386">
        <v>4</v>
      </c>
      <c r="AD155" s="1296">
        <v>4</v>
      </c>
      <c r="AE155" s="173">
        <v>0</v>
      </c>
      <c r="AF155" s="174">
        <v>0</v>
      </c>
      <c r="AG155" s="107"/>
    </row>
    <row r="156" spans="1:33" ht="15">
      <c r="A156" s="109"/>
      <c r="B156" s="5831">
        <v>10</v>
      </c>
      <c r="C156" s="181" t="s">
        <v>106</v>
      </c>
      <c r="D156" s="1742"/>
      <c r="E156" s="183"/>
      <c r="F156" s="87">
        <v>30</v>
      </c>
      <c r="G156" s="87" t="s">
        <v>1592</v>
      </c>
      <c r="H156" s="87" t="s">
        <v>1631</v>
      </c>
      <c r="I156" s="87" t="s">
        <v>1739</v>
      </c>
      <c r="J156" s="22" t="s">
        <v>1740</v>
      </c>
      <c r="K156" s="1743">
        <v>2.35</v>
      </c>
      <c r="L156" s="327">
        <v>0.47</v>
      </c>
      <c r="M156" s="1304">
        <v>1.9</v>
      </c>
      <c r="N156" s="1703">
        <v>0.52</v>
      </c>
      <c r="O156" s="1744">
        <f>0.45</f>
        <v>0.45</v>
      </c>
      <c r="P156" s="1745">
        <v>2.54</v>
      </c>
      <c r="Q156" s="1692">
        <v>0.5</v>
      </c>
      <c r="R156" s="1262">
        <v>0.6</v>
      </c>
      <c r="S156" s="400">
        <v>1.9</v>
      </c>
      <c r="T156" s="87">
        <v>12</v>
      </c>
      <c r="U156" s="1648">
        <v>0.16669999999999999</v>
      </c>
      <c r="V156" s="1746">
        <v>0.33329999999999999</v>
      </c>
      <c r="W156" s="888">
        <v>0.25</v>
      </c>
      <c r="X156" s="952">
        <v>0.5</v>
      </c>
      <c r="Y156" s="1383">
        <v>2</v>
      </c>
      <c r="Z156" s="201">
        <v>0</v>
      </c>
      <c r="AA156" s="1747">
        <v>4</v>
      </c>
      <c r="AB156" s="201">
        <v>0</v>
      </c>
      <c r="AC156" s="672">
        <v>3</v>
      </c>
      <c r="AD156" s="1009">
        <v>1</v>
      </c>
      <c r="AE156" s="62">
        <v>0</v>
      </c>
      <c r="AF156" s="22">
        <v>0</v>
      </c>
      <c r="AG156" s="107"/>
    </row>
    <row r="157" spans="1:33" ht="15">
      <c r="A157" s="109"/>
      <c r="B157" s="5832"/>
      <c r="C157" s="211" t="s">
        <v>107</v>
      </c>
      <c r="D157" s="1748"/>
      <c r="E157" s="213"/>
      <c r="F157" s="85">
        <v>24</v>
      </c>
      <c r="G157" s="85" t="s">
        <v>1653</v>
      </c>
      <c r="H157" s="85" t="s">
        <v>1631</v>
      </c>
      <c r="I157" s="85" t="s">
        <v>1741</v>
      </c>
      <c r="J157" s="23" t="s">
        <v>1666</v>
      </c>
      <c r="K157" s="1749">
        <v>6.67</v>
      </c>
      <c r="L157" s="512">
        <v>0.36</v>
      </c>
      <c r="M157" s="383">
        <v>6.6</v>
      </c>
      <c r="N157" s="607">
        <v>0.49</v>
      </c>
      <c r="O157" s="1750">
        <f>0.07</f>
        <v>7.0000000000000007E-2</v>
      </c>
      <c r="P157" s="383">
        <v>0</v>
      </c>
      <c r="Q157" s="222">
        <v>0</v>
      </c>
      <c r="R157" s="1125">
        <v>0.66</v>
      </c>
      <c r="S157" s="223">
        <v>0</v>
      </c>
      <c r="T157" s="85">
        <v>14</v>
      </c>
      <c r="U157" s="548">
        <v>0.21429999999999999</v>
      </c>
      <c r="V157" s="1338">
        <v>0.35709999999999997</v>
      </c>
      <c r="W157" s="1586">
        <v>0.42859999999999998</v>
      </c>
      <c r="X157" s="1751">
        <v>0.57140000000000002</v>
      </c>
      <c r="Y157" s="1604">
        <v>3</v>
      </c>
      <c r="Z157" s="171">
        <v>0</v>
      </c>
      <c r="AA157" s="1752">
        <v>5</v>
      </c>
      <c r="AB157" s="171">
        <v>0</v>
      </c>
      <c r="AC157" s="964">
        <v>6</v>
      </c>
      <c r="AD157" s="171">
        <v>0</v>
      </c>
      <c r="AE157" s="233">
        <v>0</v>
      </c>
      <c r="AF157" s="23">
        <v>0</v>
      </c>
      <c r="AG157" s="107"/>
    </row>
    <row r="158" spans="1:33" ht="15">
      <c r="A158" s="109"/>
      <c r="B158" s="5833">
        <v>11</v>
      </c>
      <c r="C158" s="117" t="s">
        <v>993</v>
      </c>
      <c r="D158" s="1753"/>
      <c r="E158" s="119"/>
      <c r="F158" s="120">
        <v>24</v>
      </c>
      <c r="G158" s="120" t="s">
        <v>1582</v>
      </c>
      <c r="H158" s="120" t="s">
        <v>1622</v>
      </c>
      <c r="I158" s="120" t="s">
        <v>1742</v>
      </c>
      <c r="J158" s="143" t="s">
        <v>1658</v>
      </c>
      <c r="K158" s="1754">
        <v>1.47</v>
      </c>
      <c r="L158" s="504">
        <v>0.66</v>
      </c>
      <c r="M158" s="1755">
        <v>0.73</v>
      </c>
      <c r="N158" s="1703">
        <v>0.52</v>
      </c>
      <c r="O158" s="556">
        <f>0.74</f>
        <v>0.74</v>
      </c>
      <c r="P158" s="1756">
        <v>2</v>
      </c>
      <c r="Q158" s="1757">
        <v>0.28000000000000003</v>
      </c>
      <c r="R158" s="504">
        <v>1</v>
      </c>
      <c r="S158" s="1758">
        <v>1</v>
      </c>
      <c r="T158" s="120">
        <v>9</v>
      </c>
      <c r="U158" s="591">
        <v>0.1111</v>
      </c>
      <c r="V158" s="299">
        <v>0.22220000000000001</v>
      </c>
      <c r="W158" s="298">
        <v>0.44440000000000002</v>
      </c>
      <c r="X158" s="1759">
        <v>0.33329999999999999</v>
      </c>
      <c r="Y158" s="1476">
        <v>1</v>
      </c>
      <c r="Z158" s="201">
        <v>0</v>
      </c>
      <c r="AA158" s="256">
        <v>2</v>
      </c>
      <c r="AB158" s="564">
        <v>1</v>
      </c>
      <c r="AC158" s="256">
        <v>4</v>
      </c>
      <c r="AD158" s="1009">
        <v>1</v>
      </c>
      <c r="AE158" s="142">
        <v>0</v>
      </c>
      <c r="AF158" s="143">
        <v>0</v>
      </c>
      <c r="AG158" s="107"/>
    </row>
    <row r="159" spans="1:33" ht="15">
      <c r="A159" s="109"/>
      <c r="B159" s="5832"/>
      <c r="C159" s="149" t="s">
        <v>994</v>
      </c>
      <c r="D159" s="1760"/>
      <c r="E159" s="151"/>
      <c r="F159" s="152">
        <v>36</v>
      </c>
      <c r="G159" s="152" t="s">
        <v>1603</v>
      </c>
      <c r="H159" s="152" t="s">
        <v>1589</v>
      </c>
      <c r="I159" s="152" t="s">
        <v>1743</v>
      </c>
      <c r="J159" s="174" t="s">
        <v>1744</v>
      </c>
      <c r="K159" s="307">
        <v>4.7300000000000004</v>
      </c>
      <c r="L159" s="1761">
        <v>0.61</v>
      </c>
      <c r="M159" s="1762">
        <v>1.87</v>
      </c>
      <c r="N159" s="1708">
        <v>0.48</v>
      </c>
      <c r="O159" s="1763">
        <f>2.86</f>
        <v>2.86</v>
      </c>
      <c r="P159" s="383">
        <v>0</v>
      </c>
      <c r="Q159" s="222">
        <v>0</v>
      </c>
      <c r="R159" s="1764">
        <v>0.7</v>
      </c>
      <c r="S159" s="223">
        <v>0</v>
      </c>
      <c r="T159" s="152">
        <v>4</v>
      </c>
      <c r="U159" s="165">
        <v>0.75</v>
      </c>
      <c r="V159" s="384">
        <v>0</v>
      </c>
      <c r="W159" s="796">
        <v>0.25</v>
      </c>
      <c r="X159" s="385">
        <v>0.75</v>
      </c>
      <c r="Y159" s="1604">
        <v>3</v>
      </c>
      <c r="Z159" s="171">
        <v>0</v>
      </c>
      <c r="AA159" s="387">
        <v>0</v>
      </c>
      <c r="AB159" s="171">
        <v>0</v>
      </c>
      <c r="AC159" s="387">
        <v>1</v>
      </c>
      <c r="AD159" s="171">
        <v>0</v>
      </c>
      <c r="AE159" s="173">
        <v>0</v>
      </c>
      <c r="AF159" s="174">
        <v>0</v>
      </c>
      <c r="AG159" s="107"/>
    </row>
    <row r="160" spans="1:33" ht="15">
      <c r="A160" s="109"/>
      <c r="B160" s="5831">
        <v>12</v>
      </c>
      <c r="C160" s="181" t="s">
        <v>1317</v>
      </c>
      <c r="D160" s="1765"/>
      <c r="E160" s="183"/>
      <c r="F160" s="87">
        <v>34</v>
      </c>
      <c r="G160" s="87" t="s">
        <v>1592</v>
      </c>
      <c r="H160" s="87" t="s">
        <v>1624</v>
      </c>
      <c r="I160" s="87" t="s">
        <v>1745</v>
      </c>
      <c r="J160" s="22" t="s">
        <v>1666</v>
      </c>
      <c r="K160" s="834">
        <v>2.67</v>
      </c>
      <c r="L160" s="729">
        <v>0.51</v>
      </c>
      <c r="M160" s="1766">
        <v>1.2</v>
      </c>
      <c r="N160" s="1664">
        <v>0.56999999999999995</v>
      </c>
      <c r="O160" s="1111">
        <f>1.47</f>
        <v>1.47</v>
      </c>
      <c r="P160" s="123">
        <v>0</v>
      </c>
      <c r="Q160" s="187">
        <v>0</v>
      </c>
      <c r="R160" s="1767">
        <v>0.37</v>
      </c>
      <c r="S160" s="131">
        <v>0</v>
      </c>
      <c r="T160" s="87">
        <v>8</v>
      </c>
      <c r="U160" s="1768">
        <v>0.625</v>
      </c>
      <c r="V160" s="1769">
        <v>0.125</v>
      </c>
      <c r="W160" s="865">
        <v>0.125</v>
      </c>
      <c r="X160" s="908">
        <v>0.75</v>
      </c>
      <c r="Y160" s="256">
        <v>5</v>
      </c>
      <c r="Z160" s="201">
        <v>0</v>
      </c>
      <c r="AA160" s="594">
        <v>1</v>
      </c>
      <c r="AB160" s="201">
        <v>0</v>
      </c>
      <c r="AC160" s="200">
        <v>1</v>
      </c>
      <c r="AD160" s="1009">
        <v>1</v>
      </c>
      <c r="AE160" s="62">
        <v>0</v>
      </c>
      <c r="AF160" s="22">
        <v>0</v>
      </c>
      <c r="AG160" s="107"/>
    </row>
    <row r="161" spans="1:41" ht="15">
      <c r="A161" s="109"/>
      <c r="B161" s="5832"/>
      <c r="C161" s="211" t="s">
        <v>1318</v>
      </c>
      <c r="D161" s="1770"/>
      <c r="E161" s="213"/>
      <c r="F161" s="85">
        <v>32</v>
      </c>
      <c r="G161" s="85" t="s">
        <v>1592</v>
      </c>
      <c r="H161" s="85" t="s">
        <v>1631</v>
      </c>
      <c r="I161" s="85" t="s">
        <v>1670</v>
      </c>
      <c r="J161" s="23" t="s">
        <v>1666</v>
      </c>
      <c r="K161" s="1771">
        <v>3.47</v>
      </c>
      <c r="L161" s="162">
        <v>0.54</v>
      </c>
      <c r="M161" s="1772">
        <v>3.2</v>
      </c>
      <c r="N161" s="1095">
        <v>0.55000000000000004</v>
      </c>
      <c r="O161" s="1773">
        <f>0.27</f>
        <v>0.27</v>
      </c>
      <c r="P161" s="383">
        <v>0</v>
      </c>
      <c r="Q161" s="222">
        <v>0</v>
      </c>
      <c r="R161" s="1774">
        <v>0.75</v>
      </c>
      <c r="S161" s="223">
        <v>0</v>
      </c>
      <c r="T161" s="85">
        <v>6</v>
      </c>
      <c r="U161" s="1483">
        <v>0.5</v>
      </c>
      <c r="V161" s="384">
        <v>0</v>
      </c>
      <c r="W161" s="1775">
        <v>0.5</v>
      </c>
      <c r="X161" s="1684">
        <v>0.5</v>
      </c>
      <c r="Y161" s="1604">
        <v>3</v>
      </c>
      <c r="Z161" s="171">
        <v>0</v>
      </c>
      <c r="AA161" s="387">
        <v>0</v>
      </c>
      <c r="AB161" s="171">
        <v>0</v>
      </c>
      <c r="AC161" s="279">
        <v>3</v>
      </c>
      <c r="AD161" s="171">
        <v>0</v>
      </c>
      <c r="AE161" s="233">
        <v>0</v>
      </c>
      <c r="AF161" s="23">
        <v>0</v>
      </c>
      <c r="AG161" s="107"/>
    </row>
    <row r="162" spans="1:41" ht="12.75">
      <c r="A162" s="107"/>
      <c r="B162" s="107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620"/>
    </row>
    <row r="166" spans="1:41" ht="15">
      <c r="A166" s="108"/>
      <c r="B166" s="108"/>
      <c r="C166" s="1375" t="s">
        <v>1746</v>
      </c>
      <c r="D166" s="108"/>
      <c r="E166" s="108"/>
      <c r="F166" s="108"/>
      <c r="G166" s="108"/>
      <c r="H166" s="108"/>
      <c r="I166" s="108"/>
      <c r="J166" s="108"/>
      <c r="K166" s="108"/>
      <c r="L166" s="108"/>
      <c r="M166" s="108"/>
      <c r="N166" s="108"/>
      <c r="O166" s="108"/>
      <c r="P166" s="108"/>
      <c r="Q166" s="108"/>
      <c r="R166" s="108"/>
      <c r="S166" s="108"/>
      <c r="T166" s="108"/>
      <c r="U166" s="108"/>
      <c r="V166" s="108"/>
      <c r="W166" s="108"/>
      <c r="X166" s="108"/>
      <c r="Y166" s="108"/>
      <c r="Z166" s="108"/>
      <c r="AA166" s="108"/>
      <c r="AB166" s="108"/>
      <c r="AC166" s="108"/>
      <c r="AD166" s="108"/>
      <c r="AE166" s="108"/>
      <c r="AF166" s="108"/>
      <c r="AG166" s="108"/>
      <c r="AH166" s="108"/>
      <c r="AI166" s="108"/>
      <c r="AJ166" s="108"/>
      <c r="AK166" s="108"/>
      <c r="AL166" s="108"/>
      <c r="AM166" s="108"/>
      <c r="AN166" s="107"/>
      <c r="AO166" s="620"/>
    </row>
    <row r="167" spans="1:41">
      <c r="A167" s="109"/>
      <c r="B167" s="5834" t="s">
        <v>1524</v>
      </c>
      <c r="C167" s="5840" t="s">
        <v>1525</v>
      </c>
      <c r="D167" s="5841" t="s">
        <v>1526</v>
      </c>
      <c r="E167" s="5836"/>
      <c r="F167" s="5836"/>
      <c r="G167" s="5836"/>
      <c r="H167" s="5836"/>
      <c r="I167" s="5836"/>
      <c r="J167" s="5832"/>
      <c r="K167" s="5837" t="s">
        <v>1527</v>
      </c>
      <c r="L167" s="5836"/>
      <c r="M167" s="5836"/>
      <c r="N167" s="5836"/>
      <c r="O167" s="5832"/>
      <c r="P167" s="5838" t="s">
        <v>1528</v>
      </c>
      <c r="Q167" s="5836"/>
      <c r="R167" s="5836"/>
      <c r="S167" s="5832"/>
      <c r="T167" s="5839" t="s">
        <v>1529</v>
      </c>
      <c r="U167" s="5836"/>
      <c r="V167" s="5836"/>
      <c r="W167" s="5836"/>
      <c r="X167" s="5836"/>
      <c r="Y167" s="5836"/>
      <c r="Z167" s="5836"/>
      <c r="AA167" s="5836"/>
      <c r="AB167" s="5836"/>
      <c r="AC167" s="5836"/>
      <c r="AD167" s="5836"/>
      <c r="AE167" s="5836"/>
      <c r="AF167" s="5832"/>
      <c r="AG167" s="5842" t="s">
        <v>1530</v>
      </c>
      <c r="AH167" s="5836"/>
      <c r="AI167" s="5836"/>
      <c r="AJ167" s="5836"/>
      <c r="AK167" s="5836"/>
      <c r="AL167" s="5836"/>
      <c r="AM167" s="5836"/>
      <c r="AN167" s="5832"/>
      <c r="AO167" s="107"/>
    </row>
    <row r="168" spans="1:41" ht="15">
      <c r="A168" s="109"/>
      <c r="B168" s="5832"/>
      <c r="C168" s="5832"/>
      <c r="D168" s="111" t="s">
        <v>1531</v>
      </c>
      <c r="E168" s="112" t="s">
        <v>1532</v>
      </c>
      <c r="F168" s="111" t="s">
        <v>1533</v>
      </c>
      <c r="G168" s="111" t="s">
        <v>1534</v>
      </c>
      <c r="H168" s="111" t="s">
        <v>1535</v>
      </c>
      <c r="I168" s="111" t="s">
        <v>1536</v>
      </c>
      <c r="J168" s="111" t="s">
        <v>1537</v>
      </c>
      <c r="K168" s="111" t="s">
        <v>1538</v>
      </c>
      <c r="L168" s="111" t="s">
        <v>1539</v>
      </c>
      <c r="M168" s="111" t="s">
        <v>1540</v>
      </c>
      <c r="N168" s="111" t="s">
        <v>1541</v>
      </c>
      <c r="O168" s="111" t="s">
        <v>1542</v>
      </c>
      <c r="P168" s="111" t="s">
        <v>1543</v>
      </c>
      <c r="Q168" s="111" t="s">
        <v>1544</v>
      </c>
      <c r="R168" s="111" t="s">
        <v>1545</v>
      </c>
      <c r="S168" s="111" t="s">
        <v>1546</v>
      </c>
      <c r="T168" s="111" t="s">
        <v>1547</v>
      </c>
      <c r="U168" s="111" t="s">
        <v>1548</v>
      </c>
      <c r="V168" s="111" t="s">
        <v>1549</v>
      </c>
      <c r="W168" s="111" t="s">
        <v>1550</v>
      </c>
      <c r="X168" s="112" t="s">
        <v>1551</v>
      </c>
      <c r="Y168" s="113" t="s">
        <v>1552</v>
      </c>
      <c r="Z168" s="114" t="s">
        <v>1553</v>
      </c>
      <c r="AA168" s="113" t="s">
        <v>1554</v>
      </c>
      <c r="AB168" s="114" t="s">
        <v>1555</v>
      </c>
      <c r="AC168" s="115" t="s">
        <v>1556</v>
      </c>
      <c r="AD168" s="114" t="s">
        <v>1557</v>
      </c>
      <c r="AE168" s="113" t="s">
        <v>1558</v>
      </c>
      <c r="AF168" s="116" t="s">
        <v>1559</v>
      </c>
      <c r="AG168" s="111" t="s">
        <v>1560</v>
      </c>
      <c r="AH168" s="111"/>
      <c r="AI168" s="112" t="s">
        <v>1561</v>
      </c>
      <c r="AJ168" s="111" t="s">
        <v>1562</v>
      </c>
      <c r="AK168" s="111" t="s">
        <v>1563</v>
      </c>
      <c r="AL168" s="111" t="s">
        <v>1564</v>
      </c>
      <c r="AM168" s="111" t="s">
        <v>1565</v>
      </c>
      <c r="AN168" s="112" t="s">
        <v>1566</v>
      </c>
      <c r="AO168" s="107"/>
    </row>
    <row r="169" spans="1:41">
      <c r="A169" s="109"/>
      <c r="B169" s="5833">
        <v>1</v>
      </c>
      <c r="C169" s="117" t="s">
        <v>1371</v>
      </c>
      <c r="D169" s="1776"/>
      <c r="E169" s="119"/>
      <c r="F169" s="120">
        <v>24</v>
      </c>
      <c r="G169" s="120" t="s">
        <v>1625</v>
      </c>
      <c r="H169" s="120" t="s">
        <v>1593</v>
      </c>
      <c r="I169" s="120" t="s">
        <v>1747</v>
      </c>
      <c r="J169" s="143" t="s">
        <v>1666</v>
      </c>
      <c r="K169" s="1719">
        <v>5.58</v>
      </c>
      <c r="L169" s="1239">
        <v>0.52</v>
      </c>
      <c r="M169" s="968">
        <v>3.32</v>
      </c>
      <c r="N169" s="1777">
        <v>0.62</v>
      </c>
      <c r="O169" s="1778">
        <f>2.26</f>
        <v>2.2599999999999998</v>
      </c>
      <c r="P169" s="1435">
        <v>2.86</v>
      </c>
      <c r="Q169" s="364">
        <v>0.36</v>
      </c>
      <c r="R169" s="1779">
        <v>0.83</v>
      </c>
      <c r="S169" s="501">
        <v>1.2</v>
      </c>
      <c r="T169" s="120">
        <v>13</v>
      </c>
      <c r="U169" s="761">
        <v>0.15379999999999999</v>
      </c>
      <c r="V169" s="1394">
        <v>0.30769999999999997</v>
      </c>
      <c r="W169" s="1780">
        <v>0.46150000000000002</v>
      </c>
      <c r="X169" s="1781">
        <v>0.46150000000000002</v>
      </c>
      <c r="Y169" s="867">
        <v>2</v>
      </c>
      <c r="Z169" s="201">
        <v>0</v>
      </c>
      <c r="AA169" s="534">
        <v>4</v>
      </c>
      <c r="AB169" s="201">
        <v>0</v>
      </c>
      <c r="AC169" s="1782">
        <v>6</v>
      </c>
      <c r="AD169" s="373">
        <v>1</v>
      </c>
      <c r="AE169" s="142">
        <v>0</v>
      </c>
      <c r="AF169" s="143">
        <v>0</v>
      </c>
      <c r="AG169" s="87">
        <v>-110</v>
      </c>
      <c r="AH169" s="1783"/>
      <c r="AI169" s="1784">
        <v>-180</v>
      </c>
      <c r="AJ169" s="1785">
        <v>-125</v>
      </c>
      <c r="AK169" s="1786">
        <f>150</f>
        <v>150</v>
      </c>
      <c r="AL169" s="868">
        <f>750</f>
        <v>750</v>
      </c>
      <c r="AM169" s="1787">
        <f>210</f>
        <v>210</v>
      </c>
      <c r="AN169" s="1788">
        <f>225</f>
        <v>225</v>
      </c>
      <c r="AO169" s="107"/>
    </row>
    <row r="170" spans="1:41">
      <c r="A170" s="109"/>
      <c r="B170" s="5832"/>
      <c r="C170" s="149" t="s">
        <v>1372</v>
      </c>
      <c r="D170" s="1789"/>
      <c r="E170" s="151"/>
      <c r="F170" s="152">
        <v>34</v>
      </c>
      <c r="G170" s="152" t="s">
        <v>1592</v>
      </c>
      <c r="H170" s="152" t="s">
        <v>1659</v>
      </c>
      <c r="I170" s="152" t="s">
        <v>1748</v>
      </c>
      <c r="J170" s="174" t="s">
        <v>1666</v>
      </c>
      <c r="K170" s="1790">
        <v>6.05</v>
      </c>
      <c r="L170" s="1791">
        <v>0.39</v>
      </c>
      <c r="M170" s="1792">
        <v>3.31</v>
      </c>
      <c r="N170" s="219">
        <v>0.69</v>
      </c>
      <c r="O170" s="1793">
        <f>2.74</f>
        <v>2.74</v>
      </c>
      <c r="P170" s="1726">
        <v>1.36</v>
      </c>
      <c r="Q170" s="1794">
        <v>0.46</v>
      </c>
      <c r="R170" s="1795">
        <v>0.91</v>
      </c>
      <c r="S170" s="223">
        <v>0</v>
      </c>
      <c r="T170" s="152">
        <v>12</v>
      </c>
      <c r="U170" s="686">
        <v>0.5</v>
      </c>
      <c r="V170" s="384">
        <v>0</v>
      </c>
      <c r="W170" s="717">
        <v>0.41670000000000001</v>
      </c>
      <c r="X170" s="920">
        <v>0.5</v>
      </c>
      <c r="Y170" s="580">
        <v>6</v>
      </c>
      <c r="Z170" s="171">
        <v>0</v>
      </c>
      <c r="AA170" s="387">
        <v>0</v>
      </c>
      <c r="AB170" s="171">
        <v>0</v>
      </c>
      <c r="AC170" s="613">
        <v>5</v>
      </c>
      <c r="AD170" s="459">
        <v>1</v>
      </c>
      <c r="AE170" s="173">
        <v>0</v>
      </c>
      <c r="AF170" s="174">
        <v>0</v>
      </c>
      <c r="AG170" s="85">
        <v>-110</v>
      </c>
      <c r="AH170" s="1796"/>
      <c r="AI170" s="1797">
        <f>155</f>
        <v>155</v>
      </c>
      <c r="AJ170" s="1798">
        <v>-125</v>
      </c>
      <c r="AK170" s="1799">
        <f>375</f>
        <v>375</v>
      </c>
      <c r="AL170" s="178">
        <f>425</f>
        <v>425</v>
      </c>
      <c r="AM170" s="1800">
        <f>2200</f>
        <v>2200</v>
      </c>
      <c r="AN170" s="1801">
        <f>285</f>
        <v>285</v>
      </c>
      <c r="AO170" s="107"/>
    </row>
    <row r="171" spans="1:41">
      <c r="A171" s="109"/>
      <c r="B171" s="5831">
        <v>2</v>
      </c>
      <c r="C171" s="181" t="s">
        <v>1164</v>
      </c>
      <c r="D171" s="1802"/>
      <c r="E171" s="183"/>
      <c r="F171" s="87">
        <v>32</v>
      </c>
      <c r="G171" s="87" t="s">
        <v>1605</v>
      </c>
      <c r="H171" s="87" t="s">
        <v>1622</v>
      </c>
      <c r="I171" s="87" t="s">
        <v>1749</v>
      </c>
      <c r="J171" s="22" t="s">
        <v>1673</v>
      </c>
      <c r="K171" s="994">
        <v>5.17</v>
      </c>
      <c r="L171" s="1239">
        <v>0.52</v>
      </c>
      <c r="M171" s="1803">
        <v>5.15</v>
      </c>
      <c r="N171" s="192">
        <v>0.52</v>
      </c>
      <c r="O171" s="1606">
        <f>0.02</f>
        <v>0.02</v>
      </c>
      <c r="P171" s="325">
        <v>1.04</v>
      </c>
      <c r="Q171" s="1306">
        <v>0.6</v>
      </c>
      <c r="R171" s="295">
        <v>0.62</v>
      </c>
      <c r="S171" s="530">
        <v>0.7</v>
      </c>
      <c r="T171" s="87">
        <v>32</v>
      </c>
      <c r="U171" s="1322">
        <v>0.34379999999999999</v>
      </c>
      <c r="V171" s="369">
        <v>0.25</v>
      </c>
      <c r="W171" s="1804">
        <v>9.3799999999999994E-2</v>
      </c>
      <c r="X171" s="1805">
        <v>0.59379999999999999</v>
      </c>
      <c r="Y171" s="1782">
        <v>11</v>
      </c>
      <c r="Z171" s="203">
        <v>1</v>
      </c>
      <c r="AA171" s="255">
        <v>8</v>
      </c>
      <c r="AB171" s="139">
        <v>2</v>
      </c>
      <c r="AC171" s="301">
        <v>3</v>
      </c>
      <c r="AD171" s="137">
        <v>6</v>
      </c>
      <c r="AE171" s="62">
        <v>0</v>
      </c>
      <c r="AF171" s="22">
        <v>0</v>
      </c>
      <c r="AG171" s="1806">
        <v>-160</v>
      </c>
      <c r="AH171" s="1807"/>
      <c r="AI171" s="1808">
        <v>-122</v>
      </c>
      <c r="AJ171" s="1809">
        <v>-190</v>
      </c>
      <c r="AK171" s="1810">
        <f>135</f>
        <v>135</v>
      </c>
      <c r="AL171" s="1811">
        <f>230</f>
        <v>230</v>
      </c>
      <c r="AM171" s="1812">
        <f>525</f>
        <v>525</v>
      </c>
      <c r="AN171" s="1813">
        <f>400</f>
        <v>400</v>
      </c>
      <c r="AO171" s="107"/>
    </row>
    <row r="172" spans="1:41">
      <c r="A172" s="109"/>
      <c r="B172" s="5832"/>
      <c r="C172" s="211" t="s">
        <v>1145</v>
      </c>
      <c r="D172" s="1814"/>
      <c r="E172" s="213"/>
      <c r="F172" s="85">
        <v>29</v>
      </c>
      <c r="G172" s="85" t="s">
        <v>1575</v>
      </c>
      <c r="H172" s="85" t="s">
        <v>1576</v>
      </c>
      <c r="I172" s="85" t="s">
        <v>1750</v>
      </c>
      <c r="J172" s="23" t="s">
        <v>1673</v>
      </c>
      <c r="K172" s="1815">
        <v>3.87</v>
      </c>
      <c r="L172" s="222">
        <v>0.33</v>
      </c>
      <c r="M172" s="1792">
        <v>3.31</v>
      </c>
      <c r="N172" s="272">
        <v>0.56999999999999995</v>
      </c>
      <c r="O172" s="267">
        <f>0.56</f>
        <v>0.56000000000000005</v>
      </c>
      <c r="P172" s="1155">
        <v>1.51</v>
      </c>
      <c r="Q172" s="914">
        <v>0.36</v>
      </c>
      <c r="R172" s="716">
        <v>0.65</v>
      </c>
      <c r="S172" s="223">
        <v>0</v>
      </c>
      <c r="T172" s="85">
        <v>23</v>
      </c>
      <c r="U172" s="1816">
        <v>0.52170000000000005</v>
      </c>
      <c r="V172" s="384">
        <v>0</v>
      </c>
      <c r="W172" s="1817">
        <v>0.21740000000000001</v>
      </c>
      <c r="X172" s="1818">
        <v>0.52170000000000005</v>
      </c>
      <c r="Y172" s="355">
        <v>12</v>
      </c>
      <c r="Z172" s="1715">
        <v>4</v>
      </c>
      <c r="AA172" s="387">
        <v>0</v>
      </c>
      <c r="AB172" s="171">
        <v>0</v>
      </c>
      <c r="AC172" s="613">
        <v>5</v>
      </c>
      <c r="AD172" s="169">
        <v>2</v>
      </c>
      <c r="AE172" s="233">
        <v>0</v>
      </c>
      <c r="AF172" s="23">
        <v>0</v>
      </c>
      <c r="AG172" s="1819">
        <f>140</f>
        <v>140</v>
      </c>
      <c r="AH172" s="1820"/>
      <c r="AI172" s="923">
        <f>102</f>
        <v>102</v>
      </c>
      <c r="AJ172" s="1821">
        <v>-190</v>
      </c>
      <c r="AK172" s="85">
        <f>225</f>
        <v>225</v>
      </c>
      <c r="AL172" s="1822">
        <f>255</f>
        <v>255</v>
      </c>
      <c r="AM172" s="752">
        <f>3000</f>
        <v>3000</v>
      </c>
      <c r="AN172" s="1823">
        <f>275</f>
        <v>275</v>
      </c>
      <c r="AO172" s="107"/>
    </row>
    <row r="173" spans="1:41">
      <c r="A173" s="109"/>
      <c r="B173" s="5833">
        <v>3</v>
      </c>
      <c r="C173" s="117" t="s">
        <v>945</v>
      </c>
      <c r="D173" s="1824"/>
      <c r="E173" s="119"/>
      <c r="F173" s="120">
        <v>39</v>
      </c>
      <c r="G173" s="120" t="s">
        <v>1571</v>
      </c>
      <c r="H173" s="120" t="s">
        <v>1597</v>
      </c>
      <c r="I173" s="120" t="s">
        <v>1679</v>
      </c>
      <c r="J173" s="143" t="s">
        <v>1751</v>
      </c>
      <c r="K173" s="1825">
        <v>2.98</v>
      </c>
      <c r="L173" s="1826">
        <v>0.43</v>
      </c>
      <c r="M173" s="290">
        <v>3.27</v>
      </c>
      <c r="N173" s="1262">
        <v>0.5</v>
      </c>
      <c r="O173" s="1827">
        <v>-0.28999999999999998</v>
      </c>
      <c r="P173" s="858">
        <v>3.6</v>
      </c>
      <c r="Q173" s="189">
        <v>0.43</v>
      </c>
      <c r="R173" s="1828">
        <v>0.65</v>
      </c>
      <c r="S173" s="1829">
        <v>0.8</v>
      </c>
      <c r="T173" s="120">
        <v>22</v>
      </c>
      <c r="U173" s="1080">
        <v>0.2727</v>
      </c>
      <c r="V173" s="252">
        <v>0.18179999999999999</v>
      </c>
      <c r="W173" s="559">
        <v>0.2273</v>
      </c>
      <c r="X173" s="1830">
        <v>0.45450000000000002</v>
      </c>
      <c r="Y173" s="140">
        <v>6</v>
      </c>
      <c r="Z173" s="137">
        <v>6</v>
      </c>
      <c r="AA173" s="534">
        <v>4</v>
      </c>
      <c r="AB173" s="201">
        <v>0</v>
      </c>
      <c r="AC173" s="202">
        <v>5</v>
      </c>
      <c r="AD173" s="373">
        <v>1</v>
      </c>
      <c r="AE173" s="142">
        <v>0</v>
      </c>
      <c r="AF173" s="143">
        <v>0</v>
      </c>
      <c r="AG173" s="1831">
        <f>170</f>
        <v>170</v>
      </c>
      <c r="AH173" s="1831"/>
      <c r="AI173" s="1832">
        <f>230</f>
        <v>230</v>
      </c>
      <c r="AJ173" s="1833">
        <v>-325</v>
      </c>
      <c r="AK173" s="374">
        <f>450</f>
        <v>450</v>
      </c>
      <c r="AL173" s="1834">
        <f>1200</f>
        <v>1200</v>
      </c>
      <c r="AM173" s="1835">
        <f>550</f>
        <v>550</v>
      </c>
      <c r="AN173" s="1836">
        <f t="shared" ref="AN173:AN174" si="9">500</f>
        <v>500</v>
      </c>
      <c r="AO173" s="107"/>
    </row>
    <row r="174" spans="1:41">
      <c r="A174" s="109"/>
      <c r="B174" s="5832"/>
      <c r="C174" s="149" t="s">
        <v>946</v>
      </c>
      <c r="D174" s="1837"/>
      <c r="E174" s="151"/>
      <c r="F174" s="152">
        <v>34</v>
      </c>
      <c r="G174" s="152" t="s">
        <v>1582</v>
      </c>
      <c r="H174" s="152" t="s">
        <v>1589</v>
      </c>
      <c r="I174" s="152" t="s">
        <v>1752</v>
      </c>
      <c r="J174" s="174" t="s">
        <v>1751</v>
      </c>
      <c r="K174" s="1838">
        <v>4.43</v>
      </c>
      <c r="L174" s="1554">
        <v>0.51</v>
      </c>
      <c r="M174" s="1839">
        <v>5.33</v>
      </c>
      <c r="N174" s="1539">
        <v>0.43</v>
      </c>
      <c r="O174" s="1581">
        <v>-0.9</v>
      </c>
      <c r="P174" s="1840">
        <v>1.0900000000000001</v>
      </c>
      <c r="Q174" s="647">
        <v>0.27</v>
      </c>
      <c r="R174" s="1841">
        <v>0.73</v>
      </c>
      <c r="S174" s="223">
        <v>0</v>
      </c>
      <c r="T174" s="152">
        <v>33</v>
      </c>
      <c r="U174" s="1842">
        <v>0.60609999999999997</v>
      </c>
      <c r="V174" s="384">
        <v>0</v>
      </c>
      <c r="W174" s="1843">
        <v>9.0899999999999995E-2</v>
      </c>
      <c r="X174" s="1844">
        <v>0.60609999999999997</v>
      </c>
      <c r="Y174" s="229">
        <v>20</v>
      </c>
      <c r="Z174" s="171">
        <v>0</v>
      </c>
      <c r="AA174" s="387">
        <v>0</v>
      </c>
      <c r="AB174" s="753">
        <v>7</v>
      </c>
      <c r="AC174" s="721">
        <v>3</v>
      </c>
      <c r="AD174" s="169">
        <v>2</v>
      </c>
      <c r="AE174" s="173">
        <v>0</v>
      </c>
      <c r="AF174" s="753">
        <v>1</v>
      </c>
      <c r="AG174" s="1845">
        <v>-200</v>
      </c>
      <c r="AH174" s="1846"/>
      <c r="AI174" s="1847">
        <v>-270</v>
      </c>
      <c r="AJ174" s="1848">
        <v>-325</v>
      </c>
      <c r="AK174" s="1849">
        <v>-190</v>
      </c>
      <c r="AL174" s="280">
        <v>-170</v>
      </c>
      <c r="AM174" s="1799">
        <f>2000</f>
        <v>2000</v>
      </c>
      <c r="AN174" s="1850">
        <f t="shared" si="9"/>
        <v>500</v>
      </c>
      <c r="AO174" s="107"/>
    </row>
    <row r="175" spans="1:41">
      <c r="A175" s="109"/>
      <c r="B175" s="5831">
        <v>4</v>
      </c>
      <c r="C175" s="181" t="s">
        <v>999</v>
      </c>
      <c r="D175" s="1851"/>
      <c r="E175" s="183"/>
      <c r="F175" s="87">
        <v>30</v>
      </c>
      <c r="G175" s="87" t="s">
        <v>1579</v>
      </c>
      <c r="H175" s="87" t="s">
        <v>1576</v>
      </c>
      <c r="I175" s="87" t="s">
        <v>1753</v>
      </c>
      <c r="J175" s="22" t="s">
        <v>1666</v>
      </c>
      <c r="K175" s="1852">
        <v>4.68</v>
      </c>
      <c r="L175" s="1853">
        <v>0.66</v>
      </c>
      <c r="M175" s="1854">
        <v>2.34</v>
      </c>
      <c r="N175" s="835">
        <v>0.4</v>
      </c>
      <c r="O175" s="1855">
        <f>2.34</f>
        <v>2.34</v>
      </c>
      <c r="P175" s="926">
        <v>11.69</v>
      </c>
      <c r="Q175" s="504">
        <v>1</v>
      </c>
      <c r="R175" s="187">
        <v>0</v>
      </c>
      <c r="S175" s="131">
        <v>0</v>
      </c>
      <c r="T175" s="87">
        <v>47</v>
      </c>
      <c r="U175" s="1856">
        <v>0.27660000000000001</v>
      </c>
      <c r="V175" s="1857">
        <v>0.42549999999999999</v>
      </c>
      <c r="W175" s="1858">
        <v>4.2599999999999999E-2</v>
      </c>
      <c r="X175" s="1859">
        <v>0.70209999999999995</v>
      </c>
      <c r="Y175" s="1860">
        <v>13</v>
      </c>
      <c r="Z175" s="203">
        <v>1</v>
      </c>
      <c r="AA175" s="136">
        <v>20</v>
      </c>
      <c r="AB175" s="674">
        <v>1</v>
      </c>
      <c r="AC175" s="594">
        <v>2</v>
      </c>
      <c r="AD175" s="137">
        <v>6</v>
      </c>
      <c r="AE175" s="62">
        <v>0</v>
      </c>
      <c r="AF175" s="22">
        <v>0</v>
      </c>
      <c r="AG175" s="1861">
        <v>-150</v>
      </c>
      <c r="AH175" s="1862"/>
      <c r="AI175" s="1863">
        <v>-250</v>
      </c>
      <c r="AJ175" s="145">
        <v>-600</v>
      </c>
      <c r="AK175" s="410">
        <v>-210</v>
      </c>
      <c r="AL175" s="1864">
        <f>275</f>
        <v>275</v>
      </c>
      <c r="AM175" s="410">
        <f>120</f>
        <v>120</v>
      </c>
      <c r="AN175" s="1865">
        <f>600</f>
        <v>600</v>
      </c>
      <c r="AO175" s="107"/>
    </row>
    <row r="176" spans="1:41">
      <c r="A176" s="109"/>
      <c r="B176" s="5832"/>
      <c r="C176" s="211" t="s">
        <v>1000</v>
      </c>
      <c r="D176" s="1866"/>
      <c r="E176" s="213"/>
      <c r="F176" s="85">
        <v>28</v>
      </c>
      <c r="G176" s="85" t="s">
        <v>1571</v>
      </c>
      <c r="H176" s="85" t="s">
        <v>1568</v>
      </c>
      <c r="I176" s="85" t="s">
        <v>1736</v>
      </c>
      <c r="J176" s="23" t="s">
        <v>1658</v>
      </c>
      <c r="K176" s="1867">
        <v>1.88</v>
      </c>
      <c r="L176" s="1153">
        <v>0.49</v>
      </c>
      <c r="M176" s="218">
        <v>2.0099999999999998</v>
      </c>
      <c r="N176" s="648">
        <v>0.56000000000000005</v>
      </c>
      <c r="O176" s="155">
        <v>-0.13</v>
      </c>
      <c r="P176" s="1868">
        <v>0.77</v>
      </c>
      <c r="Q176" s="308">
        <v>0.5</v>
      </c>
      <c r="R176" s="1869">
        <v>0.4</v>
      </c>
      <c r="S176" s="417">
        <v>0.4</v>
      </c>
      <c r="T176" s="85">
        <v>10</v>
      </c>
      <c r="U176" s="315">
        <v>0.4</v>
      </c>
      <c r="V176" s="747">
        <v>0.2</v>
      </c>
      <c r="W176" s="878">
        <v>0.3</v>
      </c>
      <c r="X176" s="1870">
        <v>0.6</v>
      </c>
      <c r="Y176" s="721">
        <v>4</v>
      </c>
      <c r="Z176" s="171">
        <v>0</v>
      </c>
      <c r="AA176" s="279">
        <v>2</v>
      </c>
      <c r="AB176" s="230">
        <v>1</v>
      </c>
      <c r="AC176" s="721">
        <v>3</v>
      </c>
      <c r="AD176" s="171">
        <v>0</v>
      </c>
      <c r="AE176" s="233">
        <v>0</v>
      </c>
      <c r="AF176" s="23">
        <v>0</v>
      </c>
      <c r="AG176" s="1871">
        <f>130</f>
        <v>130</v>
      </c>
      <c r="AH176" s="1872"/>
      <c r="AI176" s="1873">
        <f>210</f>
        <v>210</v>
      </c>
      <c r="AJ176" s="176">
        <v>-600</v>
      </c>
      <c r="AK176" s="1874">
        <f>300</f>
        <v>300</v>
      </c>
      <c r="AL176" s="1875">
        <f>550</f>
        <v>550</v>
      </c>
      <c r="AM176" s="1876">
        <f>1200</f>
        <v>1200</v>
      </c>
      <c r="AN176" s="1877">
        <f>575</f>
        <v>575</v>
      </c>
      <c r="AO176" s="107"/>
    </row>
    <row r="177" spans="1:41">
      <c r="A177" s="109"/>
      <c r="B177" s="5833">
        <v>5</v>
      </c>
      <c r="C177" s="117" t="s">
        <v>235</v>
      </c>
      <c r="D177" s="1878"/>
      <c r="E177" s="119"/>
      <c r="F177" s="120">
        <v>34</v>
      </c>
      <c r="G177" s="120" t="s">
        <v>1582</v>
      </c>
      <c r="H177" s="120" t="s">
        <v>1595</v>
      </c>
      <c r="I177" s="120" t="s">
        <v>1754</v>
      </c>
      <c r="J177" s="143" t="s">
        <v>1658</v>
      </c>
      <c r="K177" s="1469">
        <v>6.11</v>
      </c>
      <c r="L177" s="1239">
        <v>0.52</v>
      </c>
      <c r="M177" s="696">
        <v>4.41</v>
      </c>
      <c r="N177" s="1436">
        <v>0.47</v>
      </c>
      <c r="O177" s="1318">
        <f>1.7</f>
        <v>1.7</v>
      </c>
      <c r="P177" s="1879">
        <v>0.89</v>
      </c>
      <c r="Q177" s="1261">
        <v>0.46</v>
      </c>
      <c r="R177" s="1531">
        <v>0.56000000000000005</v>
      </c>
      <c r="S177" s="666">
        <v>0.1</v>
      </c>
      <c r="T177" s="120">
        <v>25</v>
      </c>
      <c r="U177" s="1474">
        <v>0.16</v>
      </c>
      <c r="V177" s="1880">
        <v>0.28000000000000003</v>
      </c>
      <c r="W177" s="632">
        <v>0.28000000000000003</v>
      </c>
      <c r="X177" s="1881">
        <v>0.44</v>
      </c>
      <c r="Y177" s="301">
        <v>4</v>
      </c>
      <c r="Z177" s="201">
        <v>0</v>
      </c>
      <c r="AA177" s="303">
        <v>7</v>
      </c>
      <c r="AB177" s="139">
        <v>2</v>
      </c>
      <c r="AC177" s="1882">
        <v>7</v>
      </c>
      <c r="AD177" s="1440">
        <v>5</v>
      </c>
      <c r="AE177" s="142">
        <v>0</v>
      </c>
      <c r="AF177" s="143">
        <v>0</v>
      </c>
      <c r="AG177" s="1883">
        <v>-250</v>
      </c>
      <c r="AH177" s="1884"/>
      <c r="AI177" s="1885">
        <v>-235</v>
      </c>
      <c r="AJ177" s="1886">
        <f t="shared" ref="AJ177:AJ178" si="10">155</f>
        <v>155</v>
      </c>
      <c r="AK177" s="640"/>
      <c r="AL177" s="640"/>
      <c r="AM177" s="640"/>
      <c r="AN177" s="119"/>
      <c r="AO177" s="107"/>
    </row>
    <row r="178" spans="1:41">
      <c r="A178" s="109"/>
      <c r="B178" s="5832"/>
      <c r="C178" s="149" t="s">
        <v>260</v>
      </c>
      <c r="D178" s="1887"/>
      <c r="E178" s="151"/>
      <c r="F178" s="152">
        <v>32</v>
      </c>
      <c r="G178" s="152" t="s">
        <v>1605</v>
      </c>
      <c r="H178" s="152" t="s">
        <v>1641</v>
      </c>
      <c r="I178" s="152" t="s">
        <v>1755</v>
      </c>
      <c r="J178" s="174" t="s">
        <v>1677</v>
      </c>
      <c r="K178" s="1888">
        <v>3.46</v>
      </c>
      <c r="L178" s="710">
        <v>0.44</v>
      </c>
      <c r="M178" s="513">
        <v>4.5599999999999996</v>
      </c>
      <c r="N178" s="1125">
        <v>0.52</v>
      </c>
      <c r="O178" s="709">
        <v>-1.1000000000000001</v>
      </c>
      <c r="P178" s="1443">
        <v>1.1499999999999999</v>
      </c>
      <c r="Q178" s="1889">
        <v>0.2</v>
      </c>
      <c r="R178" s="1841">
        <v>0.73</v>
      </c>
      <c r="S178" s="311">
        <v>0.7</v>
      </c>
      <c r="T178" s="152">
        <v>21</v>
      </c>
      <c r="U178" s="1890">
        <v>0.23810000000000001</v>
      </c>
      <c r="V178" s="1817">
        <v>0.1905</v>
      </c>
      <c r="W178" s="748">
        <v>0.28570000000000001</v>
      </c>
      <c r="X178" s="1891">
        <v>0.42859999999999998</v>
      </c>
      <c r="Y178" s="386">
        <v>5</v>
      </c>
      <c r="Z178" s="422">
        <v>2</v>
      </c>
      <c r="AA178" s="278">
        <v>4</v>
      </c>
      <c r="AB178" s="230">
        <v>1</v>
      </c>
      <c r="AC178" s="1892">
        <v>6</v>
      </c>
      <c r="AD178" s="169">
        <v>2</v>
      </c>
      <c r="AE178" s="173">
        <v>0</v>
      </c>
      <c r="AF178" s="174">
        <v>0</v>
      </c>
      <c r="AG178" s="1893">
        <f>210</f>
        <v>210</v>
      </c>
      <c r="AH178" s="1894"/>
      <c r="AI178" s="1895">
        <f>200</f>
        <v>200</v>
      </c>
      <c r="AJ178" s="1896">
        <f t="shared" si="10"/>
        <v>155</v>
      </c>
      <c r="AK178" s="657"/>
      <c r="AL178" s="657"/>
      <c r="AM178" s="657"/>
      <c r="AN178" s="151"/>
      <c r="AO178" s="107"/>
    </row>
    <row r="179" spans="1:41">
      <c r="A179" s="109"/>
      <c r="B179" s="5831">
        <v>6</v>
      </c>
      <c r="C179" s="181" t="s">
        <v>1220</v>
      </c>
      <c r="D179" s="1897"/>
      <c r="E179" s="183"/>
      <c r="F179" s="87">
        <v>35</v>
      </c>
      <c r="G179" s="87" t="s">
        <v>1567</v>
      </c>
      <c r="H179" s="87" t="s">
        <v>1572</v>
      </c>
      <c r="I179" s="87" t="s">
        <v>1756</v>
      </c>
      <c r="J179" s="22" t="s">
        <v>1661</v>
      </c>
      <c r="K179" s="1264">
        <v>4.04</v>
      </c>
      <c r="L179" s="1348">
        <v>0.6</v>
      </c>
      <c r="M179" s="188">
        <v>3.19</v>
      </c>
      <c r="N179" s="1898">
        <v>0.53</v>
      </c>
      <c r="O179" s="627">
        <f>0.85</f>
        <v>0.85</v>
      </c>
      <c r="P179" s="123">
        <v>0</v>
      </c>
      <c r="Q179" s="187">
        <v>0</v>
      </c>
      <c r="R179" s="862">
        <v>0.67</v>
      </c>
      <c r="S179" s="527">
        <v>0.3</v>
      </c>
      <c r="T179" s="87">
        <v>33</v>
      </c>
      <c r="U179" s="330">
        <v>0.42420000000000002</v>
      </c>
      <c r="V179" s="1899">
        <v>3.0300000000000001E-2</v>
      </c>
      <c r="W179" s="702">
        <v>0.21210000000000001</v>
      </c>
      <c r="X179" s="1830">
        <v>0.45450000000000002</v>
      </c>
      <c r="Y179" s="1882">
        <v>14</v>
      </c>
      <c r="Z179" s="333">
        <v>5</v>
      </c>
      <c r="AA179" s="138">
        <v>1</v>
      </c>
      <c r="AB179" s="706">
        <v>3</v>
      </c>
      <c r="AC179" s="1882">
        <v>7</v>
      </c>
      <c r="AD179" s="203">
        <v>2</v>
      </c>
      <c r="AE179" s="62">
        <v>0</v>
      </c>
      <c r="AF179" s="22">
        <v>0</v>
      </c>
      <c r="AG179" s="1900">
        <v>-175</v>
      </c>
      <c r="AH179" s="1901"/>
      <c r="AI179" s="1902">
        <v>-145</v>
      </c>
      <c r="AJ179" s="1833">
        <v>-325</v>
      </c>
      <c r="AK179" s="1903">
        <v>-115</v>
      </c>
      <c r="AL179" s="1904">
        <f>100</f>
        <v>100</v>
      </c>
      <c r="AM179" s="1905">
        <f>900</f>
        <v>900</v>
      </c>
      <c r="AN179" s="1906">
        <f>550</f>
        <v>550</v>
      </c>
      <c r="AO179" s="107"/>
    </row>
    <row r="180" spans="1:41">
      <c r="A180" s="109"/>
      <c r="B180" s="5832"/>
      <c r="C180" s="211" t="s">
        <v>1221</v>
      </c>
      <c r="D180" s="1907"/>
      <c r="E180" s="213"/>
      <c r="F180" s="85">
        <v>28</v>
      </c>
      <c r="G180" s="85" t="s">
        <v>1571</v>
      </c>
      <c r="H180" s="85" t="s">
        <v>1597</v>
      </c>
      <c r="I180" s="85" t="s">
        <v>1757</v>
      </c>
      <c r="J180" s="23" t="s">
        <v>1673</v>
      </c>
      <c r="K180" s="1790">
        <v>6.06</v>
      </c>
      <c r="L180" s="897">
        <v>0.48</v>
      </c>
      <c r="M180" s="1060">
        <v>9.4700000000000006</v>
      </c>
      <c r="N180" s="1504">
        <v>0.44</v>
      </c>
      <c r="O180" s="383">
        <v>-3.41</v>
      </c>
      <c r="P180" s="383">
        <v>0</v>
      </c>
      <c r="Q180" s="222">
        <v>0</v>
      </c>
      <c r="R180" s="986">
        <v>0.33</v>
      </c>
      <c r="S180" s="223">
        <v>0</v>
      </c>
      <c r="T180" s="85">
        <v>19</v>
      </c>
      <c r="U180" s="1908">
        <v>0.52629999999999999</v>
      </c>
      <c r="V180" s="1909">
        <v>0.15790000000000001</v>
      </c>
      <c r="W180" s="384">
        <v>0</v>
      </c>
      <c r="X180" s="1910">
        <v>0.68420000000000003</v>
      </c>
      <c r="Y180" s="777">
        <v>10</v>
      </c>
      <c r="Z180" s="422">
        <v>2</v>
      </c>
      <c r="AA180" s="386">
        <v>3</v>
      </c>
      <c r="AB180" s="171">
        <v>0</v>
      </c>
      <c r="AC180" s="387">
        <v>0</v>
      </c>
      <c r="AD180" s="690">
        <v>3</v>
      </c>
      <c r="AE180" s="233">
        <v>0</v>
      </c>
      <c r="AF180" s="23">
        <v>0</v>
      </c>
      <c r="AG180" s="1911">
        <f>150</f>
        <v>150</v>
      </c>
      <c r="AH180" s="1912"/>
      <c r="AI180" s="1913">
        <f>125</f>
        <v>125</v>
      </c>
      <c r="AJ180" s="1848">
        <v>-325</v>
      </c>
      <c r="AK180" s="85">
        <f>225</f>
        <v>225</v>
      </c>
      <c r="AL180" s="1914">
        <f>235</f>
        <v>235</v>
      </c>
      <c r="AM180" s="1800">
        <f>2200</f>
        <v>2200</v>
      </c>
      <c r="AN180" s="1915">
        <f>600</f>
        <v>600</v>
      </c>
      <c r="AO180" s="107"/>
    </row>
    <row r="181" spans="1:41">
      <c r="A181" s="109"/>
      <c r="B181" s="5833">
        <v>7</v>
      </c>
      <c r="C181" s="117" t="s">
        <v>361</v>
      </c>
      <c r="D181" s="1916"/>
      <c r="E181" s="119"/>
      <c r="F181" s="120">
        <v>35</v>
      </c>
      <c r="G181" s="120" t="s">
        <v>1588</v>
      </c>
      <c r="H181" s="120" t="s">
        <v>1616</v>
      </c>
      <c r="I181" s="120" t="s">
        <v>1758</v>
      </c>
      <c r="J181" s="143" t="s">
        <v>1673</v>
      </c>
      <c r="K181" s="1469">
        <v>6.14</v>
      </c>
      <c r="L181" s="1317">
        <v>0.46</v>
      </c>
      <c r="M181" s="1917">
        <v>5.58</v>
      </c>
      <c r="N181" s="1721">
        <v>0.55000000000000004</v>
      </c>
      <c r="O181" s="396">
        <f>0.56</f>
        <v>0.56000000000000005</v>
      </c>
      <c r="P181" s="1431">
        <v>1.07</v>
      </c>
      <c r="Q181" s="1319">
        <v>0.41</v>
      </c>
      <c r="R181" s="1918">
        <v>0.86</v>
      </c>
      <c r="S181" s="1919">
        <v>1.1000000000000001</v>
      </c>
      <c r="T181" s="120">
        <v>22</v>
      </c>
      <c r="U181" s="1920">
        <v>0.36359999999999998</v>
      </c>
      <c r="V181" s="1921">
        <v>9.0899999999999995E-2</v>
      </c>
      <c r="W181" s="1922">
        <v>0.31819999999999998</v>
      </c>
      <c r="X181" s="1830">
        <v>0.45450000000000002</v>
      </c>
      <c r="Y181" s="202">
        <v>8</v>
      </c>
      <c r="Z181" s="141">
        <v>2</v>
      </c>
      <c r="AA181" s="672">
        <v>2</v>
      </c>
      <c r="AB181" s="674">
        <v>1</v>
      </c>
      <c r="AC181" s="1882">
        <v>7</v>
      </c>
      <c r="AD181" s="203">
        <v>2</v>
      </c>
      <c r="AE181" s="142">
        <v>0</v>
      </c>
      <c r="AF181" s="143">
        <v>0</v>
      </c>
      <c r="AG181" s="87">
        <v>-110</v>
      </c>
      <c r="AH181" s="1923"/>
      <c r="AI181" s="1924">
        <f>186</f>
        <v>186</v>
      </c>
      <c r="AJ181" s="1925">
        <v>-110</v>
      </c>
      <c r="AK181" s="1926">
        <f>300</f>
        <v>300</v>
      </c>
      <c r="AL181" s="261">
        <f>450</f>
        <v>450</v>
      </c>
      <c r="AM181" s="1927">
        <f>850</f>
        <v>850</v>
      </c>
      <c r="AN181" s="1928">
        <f>385</f>
        <v>385</v>
      </c>
      <c r="AO181" s="107"/>
    </row>
    <row r="182" spans="1:41">
      <c r="A182" s="109"/>
      <c r="B182" s="5832"/>
      <c r="C182" s="149" t="s">
        <v>362</v>
      </c>
      <c r="D182" s="1929"/>
      <c r="E182" s="151"/>
      <c r="F182" s="152">
        <v>34</v>
      </c>
      <c r="G182" s="152" t="s">
        <v>1575</v>
      </c>
      <c r="H182" s="152" t="s">
        <v>1589</v>
      </c>
      <c r="I182" s="152" t="s">
        <v>1759</v>
      </c>
      <c r="J182" s="174" t="s">
        <v>1673</v>
      </c>
      <c r="K182" s="1502">
        <v>5.0999999999999996</v>
      </c>
      <c r="L182" s="897">
        <v>0.48</v>
      </c>
      <c r="M182" s="1930">
        <v>3.79</v>
      </c>
      <c r="N182" s="272">
        <v>0.56999999999999995</v>
      </c>
      <c r="O182" s="1931">
        <f>1.31</f>
        <v>1.31</v>
      </c>
      <c r="P182" s="270">
        <v>1.96</v>
      </c>
      <c r="Q182" s="1404">
        <v>0.4</v>
      </c>
      <c r="R182" s="1932">
        <v>0.9</v>
      </c>
      <c r="S182" s="961">
        <v>0.2</v>
      </c>
      <c r="T182" s="152">
        <v>27</v>
      </c>
      <c r="U182" s="1099">
        <v>0.29630000000000001</v>
      </c>
      <c r="V182" s="1933">
        <v>0.1111</v>
      </c>
      <c r="W182" s="1934">
        <v>0.33329999999999999</v>
      </c>
      <c r="X182" s="1935">
        <v>0.40739999999999998</v>
      </c>
      <c r="Y182" s="613">
        <v>8</v>
      </c>
      <c r="Z182" s="422">
        <v>2</v>
      </c>
      <c r="AA182" s="386">
        <v>3</v>
      </c>
      <c r="AB182" s="691">
        <v>2</v>
      </c>
      <c r="AC182" s="229">
        <v>9</v>
      </c>
      <c r="AD182" s="690">
        <v>3</v>
      </c>
      <c r="AE182" s="173">
        <v>0</v>
      </c>
      <c r="AF182" s="174">
        <v>0</v>
      </c>
      <c r="AG182" s="85">
        <v>-110</v>
      </c>
      <c r="AH182" s="1936"/>
      <c r="AI182" s="1937">
        <v>-221</v>
      </c>
      <c r="AJ182" s="1938">
        <v>-110</v>
      </c>
      <c r="AK182" s="1939">
        <f>200</f>
        <v>200</v>
      </c>
      <c r="AL182" s="1940">
        <f>300</f>
        <v>300</v>
      </c>
      <c r="AM182" s="1941">
        <f>900</f>
        <v>900</v>
      </c>
      <c r="AN182" s="520">
        <f>150</f>
        <v>150</v>
      </c>
      <c r="AO182" s="107"/>
    </row>
    <row r="183" spans="1:41">
      <c r="A183" s="109"/>
      <c r="B183" s="5831">
        <v>8</v>
      </c>
      <c r="C183" s="181" t="s">
        <v>1475</v>
      </c>
      <c r="D183" s="1942"/>
      <c r="E183" s="183"/>
      <c r="F183" s="87">
        <v>35</v>
      </c>
      <c r="G183" s="87" t="s">
        <v>1644</v>
      </c>
      <c r="H183" s="87" t="s">
        <v>1626</v>
      </c>
      <c r="I183" s="87" t="s">
        <v>1760</v>
      </c>
      <c r="J183" s="22" t="s">
        <v>1673</v>
      </c>
      <c r="K183" s="663">
        <v>2.34</v>
      </c>
      <c r="L183" s="835">
        <v>0.4</v>
      </c>
      <c r="M183" s="323">
        <v>3.03</v>
      </c>
      <c r="N183" s="1236">
        <v>0.56000000000000005</v>
      </c>
      <c r="O183" s="128">
        <v>-0.69</v>
      </c>
      <c r="P183" s="1377">
        <v>2.42</v>
      </c>
      <c r="Q183" s="832">
        <v>0.39</v>
      </c>
      <c r="R183" s="1238">
        <v>0.73</v>
      </c>
      <c r="S183" s="1943">
        <v>1</v>
      </c>
      <c r="T183" s="87">
        <v>22</v>
      </c>
      <c r="U183" s="195">
        <v>4.5499999999999999E-2</v>
      </c>
      <c r="V183" s="1944">
        <v>0.59089999999999998</v>
      </c>
      <c r="W183" s="559">
        <v>0.2273</v>
      </c>
      <c r="X183" s="1596">
        <v>0.63639999999999997</v>
      </c>
      <c r="Y183" s="200">
        <v>1</v>
      </c>
      <c r="Z183" s="201">
        <v>0</v>
      </c>
      <c r="AA183" s="1945">
        <v>13</v>
      </c>
      <c r="AB183" s="201">
        <v>0</v>
      </c>
      <c r="AC183" s="202">
        <v>5</v>
      </c>
      <c r="AD183" s="737">
        <v>3</v>
      </c>
      <c r="AE183" s="62">
        <v>0</v>
      </c>
      <c r="AF183" s="22">
        <v>0</v>
      </c>
      <c r="AG183" s="1946">
        <f>140</f>
        <v>140</v>
      </c>
      <c r="AH183" s="1947"/>
      <c r="AI183" s="1948">
        <f>170</f>
        <v>170</v>
      </c>
      <c r="AJ183" s="597">
        <f t="shared" ref="AJ183:AJ184" si="11">195</f>
        <v>195</v>
      </c>
      <c r="AK183" s="1949">
        <f>330</f>
        <v>330</v>
      </c>
      <c r="AL183" s="148">
        <f>1400</f>
        <v>1400</v>
      </c>
      <c r="AM183" s="1950">
        <f>425</f>
        <v>425</v>
      </c>
      <c r="AN183" s="1951">
        <f>285</f>
        <v>285</v>
      </c>
      <c r="AO183" s="107"/>
    </row>
    <row r="184" spans="1:41">
      <c r="A184" s="109"/>
      <c r="B184" s="5832"/>
      <c r="C184" s="211" t="s">
        <v>1450</v>
      </c>
      <c r="D184" s="1952"/>
      <c r="E184" s="213"/>
      <c r="F184" s="85">
        <v>30</v>
      </c>
      <c r="G184" s="85" t="s">
        <v>1761</v>
      </c>
      <c r="H184" s="85" t="s">
        <v>1612</v>
      </c>
      <c r="I184" s="85" t="s">
        <v>1762</v>
      </c>
      <c r="J184" s="23" t="s">
        <v>1658</v>
      </c>
      <c r="K184" s="646">
        <v>4.3099999999999996</v>
      </c>
      <c r="L184" s="1153">
        <v>0.49</v>
      </c>
      <c r="M184" s="1930">
        <v>3.76</v>
      </c>
      <c r="N184" s="1023">
        <v>0.62</v>
      </c>
      <c r="O184" s="1499">
        <f>0.55</f>
        <v>0.55000000000000004</v>
      </c>
      <c r="P184" s="1953">
        <v>3.39</v>
      </c>
      <c r="Q184" s="1794">
        <v>0.46</v>
      </c>
      <c r="R184" s="1954">
        <v>0.86</v>
      </c>
      <c r="S184" s="1955">
        <v>1.1000000000000001</v>
      </c>
      <c r="T184" s="85">
        <v>15</v>
      </c>
      <c r="U184" s="609">
        <v>6.6699999999999995E-2</v>
      </c>
      <c r="V184" s="1956">
        <v>0.1333</v>
      </c>
      <c r="W184" s="165">
        <v>0.6</v>
      </c>
      <c r="X184" s="489">
        <v>0.2</v>
      </c>
      <c r="Y184" s="387">
        <v>1</v>
      </c>
      <c r="Z184" s="171">
        <v>0</v>
      </c>
      <c r="AA184" s="279">
        <v>2</v>
      </c>
      <c r="AB184" s="171">
        <v>0</v>
      </c>
      <c r="AC184" s="229">
        <v>9</v>
      </c>
      <c r="AD184" s="690">
        <v>3</v>
      </c>
      <c r="AE184" s="233">
        <v>0</v>
      </c>
      <c r="AF184" s="23">
        <v>0</v>
      </c>
      <c r="AG184" s="1957">
        <v>-160</v>
      </c>
      <c r="AH184" s="1958"/>
      <c r="AI184" s="1959">
        <v>-200</v>
      </c>
      <c r="AJ184" s="616">
        <f t="shared" si="11"/>
        <v>195</v>
      </c>
      <c r="AK184" s="1960">
        <f>450</f>
        <v>450</v>
      </c>
      <c r="AL184" s="1874">
        <f>700</f>
        <v>700</v>
      </c>
      <c r="AM184" s="1876">
        <f>1200</f>
        <v>1200</v>
      </c>
      <c r="AN184" s="171">
        <v>-110</v>
      </c>
      <c r="AO184" s="107"/>
    </row>
    <row r="185" spans="1:41">
      <c r="A185" s="109"/>
      <c r="B185" s="5833">
        <v>9</v>
      </c>
      <c r="C185" s="117" t="s">
        <v>366</v>
      </c>
      <c r="D185" s="1961"/>
      <c r="E185" s="119"/>
      <c r="F185" s="120">
        <v>34</v>
      </c>
      <c r="G185" s="120" t="s">
        <v>1592</v>
      </c>
      <c r="H185" s="120" t="s">
        <v>1618</v>
      </c>
      <c r="I185" s="120" t="s">
        <v>1763</v>
      </c>
      <c r="J185" s="143" t="s">
        <v>1661</v>
      </c>
      <c r="K185" s="556">
        <v>4.38</v>
      </c>
      <c r="L185" s="126">
        <v>0.36</v>
      </c>
      <c r="M185" s="1112">
        <v>3.1</v>
      </c>
      <c r="N185" s="1962">
        <v>0.68</v>
      </c>
      <c r="O185" s="997">
        <f>1.28</f>
        <v>1.28</v>
      </c>
      <c r="P185" s="1963">
        <v>0.49</v>
      </c>
      <c r="Q185" s="1472">
        <v>0.3</v>
      </c>
      <c r="R185" s="504">
        <v>0.95</v>
      </c>
      <c r="S185" s="701">
        <v>0.4</v>
      </c>
      <c r="T185" s="120">
        <v>24</v>
      </c>
      <c r="U185" s="1964">
        <v>0.20830000000000001</v>
      </c>
      <c r="V185" s="196">
        <v>0.20830000000000001</v>
      </c>
      <c r="W185" s="1965">
        <v>0.33329999999999999</v>
      </c>
      <c r="X185" s="1966">
        <v>0.41670000000000001</v>
      </c>
      <c r="Y185" s="256">
        <v>5</v>
      </c>
      <c r="Z185" s="203">
        <v>1</v>
      </c>
      <c r="AA185" s="441">
        <v>5</v>
      </c>
      <c r="AB185" s="674">
        <v>1</v>
      </c>
      <c r="AC185" s="1967">
        <v>8</v>
      </c>
      <c r="AD185" s="199">
        <v>4</v>
      </c>
      <c r="AE185" s="142">
        <v>0</v>
      </c>
      <c r="AF185" s="143">
        <v>0</v>
      </c>
      <c r="AG185" s="1968">
        <v>-225</v>
      </c>
      <c r="AH185" s="410"/>
      <c r="AI185" s="201">
        <v>-400</v>
      </c>
      <c r="AJ185" s="1833">
        <v>-325</v>
      </c>
      <c r="AK185" s="640"/>
      <c r="AL185" s="640"/>
      <c r="AM185" s="640"/>
      <c r="AN185" s="119"/>
      <c r="AO185" s="107"/>
    </row>
    <row r="186" spans="1:41">
      <c r="A186" s="109"/>
      <c r="B186" s="5832"/>
      <c r="C186" s="149" t="s">
        <v>367</v>
      </c>
      <c r="D186" s="1969"/>
      <c r="E186" s="151"/>
      <c r="F186" s="152">
        <v>36</v>
      </c>
      <c r="G186" s="152" t="s">
        <v>1588</v>
      </c>
      <c r="H186" s="152" t="s">
        <v>1595</v>
      </c>
      <c r="I186" s="152" t="s">
        <v>1764</v>
      </c>
      <c r="J186" s="174" t="s">
        <v>1673</v>
      </c>
      <c r="K186" s="383">
        <v>1.61</v>
      </c>
      <c r="L186" s="1554">
        <v>0.51</v>
      </c>
      <c r="M186" s="1970">
        <v>4.74</v>
      </c>
      <c r="N186" s="222">
        <v>0.3</v>
      </c>
      <c r="O186" s="1971">
        <v>-3.13</v>
      </c>
      <c r="P186" s="1972">
        <v>3.92</v>
      </c>
      <c r="Q186" s="1973">
        <v>0.75</v>
      </c>
      <c r="R186" s="822">
        <v>0.6</v>
      </c>
      <c r="S186" s="382">
        <v>3.3</v>
      </c>
      <c r="T186" s="152">
        <v>15</v>
      </c>
      <c r="U186" s="609">
        <v>6.6699999999999995E-2</v>
      </c>
      <c r="V186" s="1974">
        <v>0.5333</v>
      </c>
      <c r="W186" s="1975">
        <v>0.1333</v>
      </c>
      <c r="X186" s="1870">
        <v>0.6</v>
      </c>
      <c r="Y186" s="387">
        <v>1</v>
      </c>
      <c r="Z186" s="422">
        <v>2</v>
      </c>
      <c r="AA186" s="1976">
        <v>8</v>
      </c>
      <c r="AB186" s="171">
        <v>0</v>
      </c>
      <c r="AC186" s="353">
        <v>2</v>
      </c>
      <c r="AD186" s="169">
        <v>2</v>
      </c>
      <c r="AE186" s="173">
        <v>0</v>
      </c>
      <c r="AF186" s="174">
        <v>0</v>
      </c>
      <c r="AG186" s="1977">
        <f>190</f>
        <v>190</v>
      </c>
      <c r="AH186" s="752"/>
      <c r="AI186" s="753">
        <f>300</f>
        <v>300</v>
      </c>
      <c r="AJ186" s="1848">
        <v>-325</v>
      </c>
      <c r="AK186" s="657"/>
      <c r="AL186" s="657"/>
      <c r="AM186" s="657"/>
      <c r="AN186" s="151"/>
      <c r="AO186" s="107"/>
    </row>
    <row r="187" spans="1:41">
      <c r="A187" s="109"/>
      <c r="B187" s="5831">
        <v>10</v>
      </c>
      <c r="C187" s="181" t="s">
        <v>265</v>
      </c>
      <c r="D187" s="1978"/>
      <c r="E187" s="183"/>
      <c r="F187" s="87">
        <v>26</v>
      </c>
      <c r="G187" s="87" t="s">
        <v>1588</v>
      </c>
      <c r="H187" s="87" t="s">
        <v>1618</v>
      </c>
      <c r="I187" s="87" t="s">
        <v>1764</v>
      </c>
      <c r="J187" s="22" t="s">
        <v>1673</v>
      </c>
      <c r="K187" s="242">
        <v>3.3</v>
      </c>
      <c r="L187" s="1826">
        <v>0.43</v>
      </c>
      <c r="M187" s="1979">
        <v>4.93</v>
      </c>
      <c r="N187" s="835">
        <v>0.4</v>
      </c>
      <c r="O187" s="1980">
        <v>-1.63</v>
      </c>
      <c r="P187" s="128">
        <v>0.98</v>
      </c>
      <c r="Q187" s="1472">
        <v>0.3</v>
      </c>
      <c r="R187" s="1238">
        <v>0.73</v>
      </c>
      <c r="S187" s="527">
        <v>0.3</v>
      </c>
      <c r="T187" s="87">
        <v>15</v>
      </c>
      <c r="U187" s="1595">
        <v>0.26669999999999999</v>
      </c>
      <c r="V187" s="1115">
        <v>6.6699999999999995E-2</v>
      </c>
      <c r="W187" s="1981">
        <v>0.4</v>
      </c>
      <c r="X187" s="1982">
        <v>0.33329999999999999</v>
      </c>
      <c r="Y187" s="301">
        <v>4</v>
      </c>
      <c r="Z187" s="203">
        <v>1</v>
      </c>
      <c r="AA187" s="138">
        <v>1</v>
      </c>
      <c r="AB187" s="201">
        <v>0</v>
      </c>
      <c r="AC187" s="1782">
        <v>6</v>
      </c>
      <c r="AD187" s="737">
        <v>3</v>
      </c>
      <c r="AE187" s="62">
        <v>0</v>
      </c>
      <c r="AF187" s="22">
        <v>0</v>
      </c>
      <c r="AG187" s="1983">
        <v>-180</v>
      </c>
      <c r="AH187" s="1984"/>
      <c r="AI187" s="639">
        <v>-127</v>
      </c>
      <c r="AJ187" s="1985">
        <f t="shared" ref="AJ187:AJ188" si="12">100</f>
        <v>100</v>
      </c>
      <c r="AK187" s="87">
        <f>225</f>
        <v>225</v>
      </c>
      <c r="AL187" s="1986">
        <f>350</f>
        <v>350</v>
      </c>
      <c r="AM187" s="1905">
        <f>900</f>
        <v>900</v>
      </c>
      <c r="AN187" s="639">
        <f>200</f>
        <v>200</v>
      </c>
      <c r="AO187" s="107"/>
    </row>
    <row r="188" spans="1:41">
      <c r="A188" s="109"/>
      <c r="B188" s="5832"/>
      <c r="C188" s="211" t="s">
        <v>266</v>
      </c>
      <c r="D188" s="1987"/>
      <c r="E188" s="213"/>
      <c r="F188" s="85">
        <v>31</v>
      </c>
      <c r="G188" s="85" t="s">
        <v>1630</v>
      </c>
      <c r="H188" s="85" t="s">
        <v>1641</v>
      </c>
      <c r="I188" s="85" t="s">
        <v>1745</v>
      </c>
      <c r="J188" s="23" t="s">
        <v>1658</v>
      </c>
      <c r="K188" s="1502">
        <v>5.13</v>
      </c>
      <c r="L188" s="710">
        <v>0.44</v>
      </c>
      <c r="M188" s="1988">
        <v>5.57</v>
      </c>
      <c r="N188" s="483">
        <v>0.55000000000000004</v>
      </c>
      <c r="O188" s="1989">
        <v>-0.44</v>
      </c>
      <c r="P188" s="1990">
        <v>3.5</v>
      </c>
      <c r="Q188" s="272">
        <v>0.57999999999999996</v>
      </c>
      <c r="R188" s="1059">
        <v>0.5</v>
      </c>
      <c r="S188" s="1658">
        <v>1</v>
      </c>
      <c r="T188" s="85">
        <v>8</v>
      </c>
      <c r="U188" s="1427">
        <v>0.125</v>
      </c>
      <c r="V188" s="165">
        <v>0.625</v>
      </c>
      <c r="W188" s="1991">
        <v>0.125</v>
      </c>
      <c r="X188" s="1992">
        <v>0.75</v>
      </c>
      <c r="Y188" s="387">
        <v>1</v>
      </c>
      <c r="Z188" s="171">
        <v>0</v>
      </c>
      <c r="AA188" s="458">
        <v>5</v>
      </c>
      <c r="AB188" s="171">
        <v>0</v>
      </c>
      <c r="AC188" s="168">
        <v>1</v>
      </c>
      <c r="AD188" s="459">
        <v>1</v>
      </c>
      <c r="AE188" s="233">
        <v>0</v>
      </c>
      <c r="AF188" s="23">
        <v>0</v>
      </c>
      <c r="AG188" s="1993">
        <f>155</f>
        <v>155</v>
      </c>
      <c r="AH188" s="922"/>
      <c r="AI188" s="1994">
        <f>107</f>
        <v>107</v>
      </c>
      <c r="AJ188" s="1995">
        <f t="shared" si="12"/>
        <v>100</v>
      </c>
      <c r="AK188" s="1874">
        <f>300</f>
        <v>300</v>
      </c>
      <c r="AL188" s="1875">
        <f>550</f>
        <v>550</v>
      </c>
      <c r="AM188" s="1996">
        <f>600</f>
        <v>600</v>
      </c>
      <c r="AN188" s="1997">
        <f>250</f>
        <v>250</v>
      </c>
      <c r="AO188" s="107"/>
    </row>
    <row r="189" spans="1:41">
      <c r="A189" s="109"/>
      <c r="B189" s="5833">
        <v>11</v>
      </c>
      <c r="C189" s="117" t="s">
        <v>668</v>
      </c>
      <c r="D189" s="1998"/>
      <c r="E189" s="119"/>
      <c r="F189" s="120">
        <v>27</v>
      </c>
      <c r="G189" s="120" t="s">
        <v>1567</v>
      </c>
      <c r="H189" s="120" t="s">
        <v>1586</v>
      </c>
      <c r="I189" s="120" t="s">
        <v>1747</v>
      </c>
      <c r="J189" s="143" t="s">
        <v>1658</v>
      </c>
      <c r="K189" s="1999">
        <v>8.8699999999999992</v>
      </c>
      <c r="L189" s="504">
        <v>0.72</v>
      </c>
      <c r="M189" s="396">
        <v>3.38</v>
      </c>
      <c r="N189" s="2000">
        <v>0.63</v>
      </c>
      <c r="O189" s="926">
        <f>5.49</f>
        <v>5.49</v>
      </c>
      <c r="P189" s="123">
        <v>0</v>
      </c>
      <c r="Q189" s="187">
        <v>0</v>
      </c>
      <c r="R189" s="187">
        <v>0</v>
      </c>
      <c r="S189" s="131">
        <v>0</v>
      </c>
      <c r="T189" s="120">
        <v>13</v>
      </c>
      <c r="U189" s="812">
        <v>0.92310000000000003</v>
      </c>
      <c r="V189" s="195">
        <v>0</v>
      </c>
      <c r="W189" s="195">
        <v>0</v>
      </c>
      <c r="X189" s="908">
        <v>0.92310000000000003</v>
      </c>
      <c r="Y189" s="304">
        <v>12</v>
      </c>
      <c r="Z189" s="201">
        <v>0</v>
      </c>
      <c r="AA189" s="200">
        <v>0</v>
      </c>
      <c r="AB189" s="674">
        <v>1</v>
      </c>
      <c r="AC189" s="200">
        <v>0</v>
      </c>
      <c r="AD189" s="201">
        <v>0</v>
      </c>
      <c r="AE189" s="142">
        <v>0</v>
      </c>
      <c r="AF189" s="143">
        <v>0</v>
      </c>
      <c r="AG189" s="1983">
        <v>-180</v>
      </c>
      <c r="AH189" s="2001"/>
      <c r="AI189" s="2002">
        <v>-130</v>
      </c>
      <c r="AJ189" s="2003">
        <v>-400</v>
      </c>
      <c r="AK189" s="1903">
        <v>-115</v>
      </c>
      <c r="AL189" s="2004">
        <f>105</f>
        <v>105</v>
      </c>
      <c r="AM189" s="537">
        <f>2000</f>
        <v>2000</v>
      </c>
      <c r="AN189" s="137">
        <f>1200</f>
        <v>1200</v>
      </c>
      <c r="AO189" s="107"/>
    </row>
    <row r="190" spans="1:41">
      <c r="A190" s="109"/>
      <c r="B190" s="5832"/>
      <c r="C190" s="149" t="s">
        <v>669</v>
      </c>
      <c r="D190" s="2005"/>
      <c r="E190" s="151"/>
      <c r="F190" s="152">
        <v>27</v>
      </c>
      <c r="G190" s="152" t="s">
        <v>1585</v>
      </c>
      <c r="H190" s="152" t="s">
        <v>1597</v>
      </c>
      <c r="I190" s="152" t="s">
        <v>1765</v>
      </c>
      <c r="J190" s="174" t="s">
        <v>1661</v>
      </c>
      <c r="K190" s="2006">
        <v>1.72</v>
      </c>
      <c r="L190" s="2007">
        <v>0.53</v>
      </c>
      <c r="M190" s="2008">
        <v>2.48</v>
      </c>
      <c r="N190" s="1708">
        <v>0.49</v>
      </c>
      <c r="O190" s="1634">
        <v>-0.76</v>
      </c>
      <c r="P190" s="2009">
        <v>6.55</v>
      </c>
      <c r="Q190" s="483">
        <v>0.51</v>
      </c>
      <c r="R190" s="2010">
        <v>0.16</v>
      </c>
      <c r="S190" s="223">
        <v>0</v>
      </c>
      <c r="T190" s="152">
        <v>11</v>
      </c>
      <c r="U190" s="1157">
        <v>0.45450000000000002</v>
      </c>
      <c r="V190" s="276">
        <v>0.18179999999999999</v>
      </c>
      <c r="W190" s="1843">
        <v>9.0899999999999995E-2</v>
      </c>
      <c r="X190" s="2011">
        <v>0.63639999999999997</v>
      </c>
      <c r="Y190" s="386">
        <v>5</v>
      </c>
      <c r="Z190" s="169">
        <v>1</v>
      </c>
      <c r="AA190" s="279">
        <v>2</v>
      </c>
      <c r="AB190" s="230">
        <v>1</v>
      </c>
      <c r="AC190" s="168">
        <v>1</v>
      </c>
      <c r="AD190" s="459">
        <v>1</v>
      </c>
      <c r="AE190" s="173">
        <v>0</v>
      </c>
      <c r="AF190" s="174">
        <v>0</v>
      </c>
      <c r="AG190" s="1993">
        <f>155</f>
        <v>155</v>
      </c>
      <c r="AH190" s="2012"/>
      <c r="AI190" s="2013">
        <f>110</f>
        <v>110</v>
      </c>
      <c r="AJ190" s="2014">
        <v>-400</v>
      </c>
      <c r="AK190" s="2015">
        <f>195</f>
        <v>195</v>
      </c>
      <c r="AL190" s="2016">
        <f>525</f>
        <v>525</v>
      </c>
      <c r="AM190" s="523">
        <f>275</f>
        <v>275</v>
      </c>
      <c r="AN190" s="2017">
        <f>400</f>
        <v>400</v>
      </c>
      <c r="AO190" s="107"/>
    </row>
    <row r="191" spans="1:41">
      <c r="A191" s="109"/>
      <c r="B191" s="5831">
        <v>12</v>
      </c>
      <c r="C191" s="181" t="s">
        <v>1766</v>
      </c>
      <c r="D191" s="2018"/>
      <c r="E191" s="183"/>
      <c r="F191" s="87">
        <v>25</v>
      </c>
      <c r="G191" s="87" t="s">
        <v>1623</v>
      </c>
      <c r="H191" s="87" t="s">
        <v>1624</v>
      </c>
      <c r="I191" s="87" t="s">
        <v>1767</v>
      </c>
      <c r="J191" s="22" t="s">
        <v>1666</v>
      </c>
      <c r="K191" s="834">
        <v>3.14</v>
      </c>
      <c r="L191" s="1239">
        <v>0.52</v>
      </c>
      <c r="M191" s="2019">
        <v>2.4500000000000002</v>
      </c>
      <c r="N191" s="1262">
        <v>0.5</v>
      </c>
      <c r="O191" s="2020">
        <f>0.69</f>
        <v>0.69</v>
      </c>
      <c r="P191" s="1377">
        <v>2.4500000000000002</v>
      </c>
      <c r="Q191" s="1319">
        <v>0.41</v>
      </c>
      <c r="R191" s="1488">
        <v>0.5</v>
      </c>
      <c r="S191" s="131">
        <v>0</v>
      </c>
      <c r="T191" s="87">
        <v>8</v>
      </c>
      <c r="U191" s="2021">
        <v>0.25</v>
      </c>
      <c r="V191" s="2022">
        <v>0.5</v>
      </c>
      <c r="W191" s="2023">
        <v>0.25</v>
      </c>
      <c r="X191" s="2024">
        <v>0.75</v>
      </c>
      <c r="Y191" s="867">
        <v>2</v>
      </c>
      <c r="Z191" s="201">
        <v>0</v>
      </c>
      <c r="AA191" s="534">
        <v>4</v>
      </c>
      <c r="AB191" s="201">
        <v>0</v>
      </c>
      <c r="AC191" s="594">
        <v>2</v>
      </c>
      <c r="AD191" s="201">
        <v>0</v>
      </c>
      <c r="AE191" s="62">
        <v>0</v>
      </c>
      <c r="AF191" s="22">
        <v>0</v>
      </c>
      <c r="AG191" s="2025">
        <v>-220</v>
      </c>
      <c r="AH191" s="2026"/>
      <c r="AI191" s="2027">
        <f>130</f>
        <v>130</v>
      </c>
      <c r="AJ191" s="2028">
        <f t="shared" ref="AJ191:AJ192" si="13">150</f>
        <v>150</v>
      </c>
      <c r="AK191" s="148">
        <f>500</f>
        <v>500</v>
      </c>
      <c r="AL191" s="1834">
        <f>1200</f>
        <v>1200</v>
      </c>
      <c r="AM191" s="2029">
        <f>750</f>
        <v>750</v>
      </c>
      <c r="AN191" s="639">
        <f>200</f>
        <v>200</v>
      </c>
      <c r="AO191" s="107"/>
    </row>
    <row r="192" spans="1:41">
      <c r="A192" s="109"/>
      <c r="B192" s="5832"/>
      <c r="C192" s="211" t="s">
        <v>1768</v>
      </c>
      <c r="D192" s="2030"/>
      <c r="E192" s="213"/>
      <c r="F192" s="85">
        <v>27</v>
      </c>
      <c r="G192" s="85" t="s">
        <v>1623</v>
      </c>
      <c r="H192" s="85" t="s">
        <v>1606</v>
      </c>
      <c r="I192" s="85" t="s">
        <v>1769</v>
      </c>
      <c r="J192" s="23" t="s">
        <v>1673</v>
      </c>
      <c r="K192" s="1550">
        <v>3.98</v>
      </c>
      <c r="L192" s="897">
        <v>0.48</v>
      </c>
      <c r="M192" s="2031">
        <v>3.13</v>
      </c>
      <c r="N192" s="1764">
        <v>0.54</v>
      </c>
      <c r="O192" s="413">
        <f>0.85</f>
        <v>0.85</v>
      </c>
      <c r="P192" s="155">
        <v>1.18</v>
      </c>
      <c r="Q192" s="986">
        <v>0.21</v>
      </c>
      <c r="R192" s="1404">
        <v>0.63</v>
      </c>
      <c r="S192" s="2032">
        <v>0.3</v>
      </c>
      <c r="T192" s="85">
        <v>12</v>
      </c>
      <c r="U192" s="2033">
        <v>0.16669999999999999</v>
      </c>
      <c r="V192" s="274">
        <v>0.33329999999999999</v>
      </c>
      <c r="W192" s="1601">
        <v>0.16669999999999999</v>
      </c>
      <c r="X192" s="920">
        <v>0.5</v>
      </c>
      <c r="Y192" s="168">
        <v>2</v>
      </c>
      <c r="Z192" s="171">
        <v>0</v>
      </c>
      <c r="AA192" s="278">
        <v>4</v>
      </c>
      <c r="AB192" s="171">
        <v>0</v>
      </c>
      <c r="AC192" s="353">
        <v>2</v>
      </c>
      <c r="AD192" s="169">
        <v>2</v>
      </c>
      <c r="AE192" s="233">
        <v>0</v>
      </c>
      <c r="AF192" s="23">
        <v>0</v>
      </c>
      <c r="AG192" s="1960">
        <f>185</f>
        <v>185</v>
      </c>
      <c r="AH192" s="2034"/>
      <c r="AI192" s="2035">
        <v>-150</v>
      </c>
      <c r="AJ192" s="2036">
        <f t="shared" si="13"/>
        <v>150</v>
      </c>
      <c r="AK192" s="178">
        <f>215</f>
        <v>215</v>
      </c>
      <c r="AL192" s="1874">
        <f>700</f>
        <v>700</v>
      </c>
      <c r="AM192" s="2037">
        <f>400</f>
        <v>400</v>
      </c>
      <c r="AN192" s="2038">
        <f>160</f>
        <v>160</v>
      </c>
      <c r="AO192" s="107"/>
    </row>
    <row r="193" spans="1:41">
      <c r="A193" s="109"/>
      <c r="B193" s="5833">
        <v>13</v>
      </c>
      <c r="C193" s="117" t="s">
        <v>951</v>
      </c>
      <c r="D193" s="2039"/>
      <c r="E193" s="119"/>
      <c r="F193" s="120">
        <v>32</v>
      </c>
      <c r="G193" s="120" t="s">
        <v>1582</v>
      </c>
      <c r="H193" s="120" t="s">
        <v>1595</v>
      </c>
      <c r="I193" s="120" t="s">
        <v>1734</v>
      </c>
      <c r="J193" s="143" t="s">
        <v>1658</v>
      </c>
      <c r="K193" s="1827">
        <v>3.61</v>
      </c>
      <c r="L193" s="2040">
        <v>0.51</v>
      </c>
      <c r="M193" s="323">
        <v>3.03</v>
      </c>
      <c r="N193" s="291">
        <v>0.51</v>
      </c>
      <c r="O193" s="396">
        <f>0.58</f>
        <v>0.57999999999999996</v>
      </c>
      <c r="P193" s="497">
        <v>4.4800000000000004</v>
      </c>
      <c r="Q193" s="525">
        <v>0.54</v>
      </c>
      <c r="R193" s="2041">
        <v>0.71</v>
      </c>
      <c r="S193" s="2042">
        <v>2.5</v>
      </c>
      <c r="T193" s="120">
        <v>13</v>
      </c>
      <c r="U193" s="196">
        <v>0.30769999999999997</v>
      </c>
      <c r="V193" s="1394">
        <v>0.30769999999999997</v>
      </c>
      <c r="W193" s="1350">
        <v>0.15379999999999999</v>
      </c>
      <c r="X193" s="506">
        <v>0.61539999999999995</v>
      </c>
      <c r="Y193" s="301">
        <v>4</v>
      </c>
      <c r="Z193" s="141">
        <v>2</v>
      </c>
      <c r="AA193" s="534">
        <v>4</v>
      </c>
      <c r="AB193" s="674">
        <v>1</v>
      </c>
      <c r="AC193" s="594">
        <v>2</v>
      </c>
      <c r="AD193" s="201">
        <v>0</v>
      </c>
      <c r="AE193" s="142">
        <v>0</v>
      </c>
      <c r="AF193" s="143">
        <v>0</v>
      </c>
      <c r="AG193" s="1831">
        <f>170</f>
        <v>170</v>
      </c>
      <c r="AH193" s="2043"/>
      <c r="AI193" s="2044">
        <f>199</f>
        <v>199</v>
      </c>
      <c r="AJ193" s="2045">
        <f t="shared" ref="AJ193:AJ194" si="14">120</f>
        <v>120</v>
      </c>
      <c r="AK193" s="1926">
        <f>300</f>
        <v>300</v>
      </c>
      <c r="AL193" s="868">
        <f>750</f>
        <v>750</v>
      </c>
      <c r="AM193" s="2046">
        <f>600</f>
        <v>600</v>
      </c>
      <c r="AN193" s="1813">
        <f>400</f>
        <v>400</v>
      </c>
      <c r="AO193" s="107"/>
    </row>
    <row r="194" spans="1:41">
      <c r="A194" s="109"/>
      <c r="B194" s="5832"/>
      <c r="C194" s="149" t="s">
        <v>952</v>
      </c>
      <c r="D194" s="2047"/>
      <c r="E194" s="151"/>
      <c r="F194" s="152">
        <v>28</v>
      </c>
      <c r="G194" s="152" t="s">
        <v>1588</v>
      </c>
      <c r="H194" s="152" t="s">
        <v>1595</v>
      </c>
      <c r="I194" s="152" t="s">
        <v>1770</v>
      </c>
      <c r="J194" s="174" t="s">
        <v>1673</v>
      </c>
      <c r="K194" s="1092">
        <v>3.89</v>
      </c>
      <c r="L194" s="1190">
        <v>0.56000000000000005</v>
      </c>
      <c r="M194" s="2048">
        <v>2.4900000000000002</v>
      </c>
      <c r="N194" s="1635">
        <v>0.5</v>
      </c>
      <c r="O194" s="2049">
        <f>1.4</f>
        <v>1.4</v>
      </c>
      <c r="P194" s="2050">
        <v>7.2</v>
      </c>
      <c r="Q194" s="2051">
        <v>0.44</v>
      </c>
      <c r="R194" s="222">
        <v>0</v>
      </c>
      <c r="S194" s="2052">
        <v>0.5</v>
      </c>
      <c r="T194" s="152">
        <v>10</v>
      </c>
      <c r="U194" s="2053">
        <v>0.2</v>
      </c>
      <c r="V194" s="384">
        <v>0</v>
      </c>
      <c r="W194" s="455">
        <v>0.5</v>
      </c>
      <c r="X194" s="489">
        <v>0.2</v>
      </c>
      <c r="Y194" s="168">
        <v>2</v>
      </c>
      <c r="Z194" s="169">
        <v>1</v>
      </c>
      <c r="AA194" s="387">
        <v>0</v>
      </c>
      <c r="AB194" s="171">
        <v>0</v>
      </c>
      <c r="AC194" s="613">
        <v>5</v>
      </c>
      <c r="AD194" s="459">
        <v>1</v>
      </c>
      <c r="AE194" s="173">
        <v>0</v>
      </c>
      <c r="AF194" s="753">
        <v>1</v>
      </c>
      <c r="AG194" s="1845">
        <v>-200</v>
      </c>
      <c r="AH194" s="2054"/>
      <c r="AI194" s="2055">
        <v>-234</v>
      </c>
      <c r="AJ194" s="2056">
        <f t="shared" si="14"/>
        <v>120</v>
      </c>
      <c r="AK194" s="2057">
        <f>260</f>
        <v>260</v>
      </c>
      <c r="AL194" s="178">
        <f>425</f>
        <v>425</v>
      </c>
      <c r="AM194" s="2058">
        <f>650</f>
        <v>650</v>
      </c>
      <c r="AN194" s="2059">
        <f>120</f>
        <v>120</v>
      </c>
      <c r="AO194" s="107"/>
    </row>
    <row r="195" spans="1:41">
      <c r="A195" s="109"/>
      <c r="B195" s="5831">
        <v>14</v>
      </c>
      <c r="C195" s="181" t="s">
        <v>112</v>
      </c>
      <c r="D195" s="2060"/>
      <c r="E195" s="183"/>
      <c r="F195" s="87">
        <v>32</v>
      </c>
      <c r="G195" s="87" t="s">
        <v>1630</v>
      </c>
      <c r="H195" s="87" t="s">
        <v>1618</v>
      </c>
      <c r="I195" s="87" t="s">
        <v>1742</v>
      </c>
      <c r="J195" s="22" t="s">
        <v>1658</v>
      </c>
      <c r="K195" s="926">
        <v>13.13</v>
      </c>
      <c r="L195" s="835">
        <v>0.4</v>
      </c>
      <c r="M195" s="123">
        <v>13.6</v>
      </c>
      <c r="N195" s="757">
        <v>0.35</v>
      </c>
      <c r="O195" s="2061">
        <v>-0.47</v>
      </c>
      <c r="P195" s="123">
        <v>0</v>
      </c>
      <c r="Q195" s="187">
        <v>0</v>
      </c>
      <c r="R195" s="2062">
        <v>0.33</v>
      </c>
      <c r="S195" s="131">
        <v>0</v>
      </c>
      <c r="T195" s="87">
        <v>9</v>
      </c>
      <c r="U195" s="2063">
        <v>0.55559999999999998</v>
      </c>
      <c r="V195" s="667">
        <v>0.22220000000000001</v>
      </c>
      <c r="W195" s="195">
        <v>0</v>
      </c>
      <c r="X195" s="1475">
        <v>0.77780000000000005</v>
      </c>
      <c r="Y195" s="256">
        <v>5</v>
      </c>
      <c r="Z195" s="201">
        <v>0</v>
      </c>
      <c r="AA195" s="672">
        <v>2</v>
      </c>
      <c r="AB195" s="201">
        <v>0</v>
      </c>
      <c r="AC195" s="200">
        <v>0</v>
      </c>
      <c r="AD195" s="203">
        <v>2</v>
      </c>
      <c r="AE195" s="62">
        <v>0</v>
      </c>
      <c r="AF195" s="22">
        <v>0</v>
      </c>
      <c r="AG195" s="148">
        <f>250</f>
        <v>250</v>
      </c>
      <c r="AH195" s="2064"/>
      <c r="AI195" s="2065">
        <f>285</f>
        <v>285</v>
      </c>
      <c r="AJ195" s="2066">
        <v>-150</v>
      </c>
      <c r="AK195" s="374">
        <f>450</f>
        <v>450</v>
      </c>
      <c r="AL195" s="2067">
        <f>600</f>
        <v>600</v>
      </c>
      <c r="AM195" s="567">
        <f>1300</f>
        <v>1300</v>
      </c>
      <c r="AN195" s="1865">
        <f>600</f>
        <v>600</v>
      </c>
      <c r="AO195" s="107"/>
    </row>
    <row r="196" spans="1:41">
      <c r="A196" s="109"/>
      <c r="B196" s="5832"/>
      <c r="C196" s="211" t="s">
        <v>113</v>
      </c>
      <c r="D196" s="264"/>
      <c r="E196" s="213"/>
      <c r="F196" s="85">
        <v>27</v>
      </c>
      <c r="G196" s="85" t="s">
        <v>1653</v>
      </c>
      <c r="H196" s="85" t="s">
        <v>1631</v>
      </c>
      <c r="I196" s="85" t="s">
        <v>1680</v>
      </c>
      <c r="J196" s="23" t="s">
        <v>1658</v>
      </c>
      <c r="K196" s="2068">
        <v>3.2</v>
      </c>
      <c r="L196" s="2069">
        <v>0.36</v>
      </c>
      <c r="M196" s="1988">
        <v>5.6</v>
      </c>
      <c r="N196" s="746">
        <v>0.48</v>
      </c>
      <c r="O196" s="2070">
        <v>-2.4</v>
      </c>
      <c r="P196" s="2071">
        <v>2</v>
      </c>
      <c r="Q196" s="2072">
        <v>0.18</v>
      </c>
      <c r="R196" s="222">
        <v>0</v>
      </c>
      <c r="S196" s="223">
        <v>0</v>
      </c>
      <c r="T196" s="85">
        <v>9</v>
      </c>
      <c r="U196" s="1586">
        <v>0.55559999999999998</v>
      </c>
      <c r="V196" s="2073">
        <v>0.22220000000000001</v>
      </c>
      <c r="W196" s="577">
        <v>0.1111</v>
      </c>
      <c r="X196" s="2074">
        <v>0.77780000000000005</v>
      </c>
      <c r="Y196" s="386">
        <v>5</v>
      </c>
      <c r="Z196" s="171">
        <v>0</v>
      </c>
      <c r="AA196" s="279">
        <v>2</v>
      </c>
      <c r="AB196" s="171">
        <v>0</v>
      </c>
      <c r="AC196" s="168">
        <v>1</v>
      </c>
      <c r="AD196" s="459">
        <v>1</v>
      </c>
      <c r="AE196" s="233">
        <v>0</v>
      </c>
      <c r="AF196" s="23">
        <v>0</v>
      </c>
      <c r="AG196" s="280">
        <v>-300</v>
      </c>
      <c r="AH196" s="2075"/>
      <c r="AI196" s="2076">
        <v>-350</v>
      </c>
      <c r="AJ196" s="2077">
        <v>-150</v>
      </c>
      <c r="AK196" s="460">
        <f>105</f>
        <v>105</v>
      </c>
      <c r="AL196" s="2078">
        <f>120</f>
        <v>120</v>
      </c>
      <c r="AM196" s="1996">
        <f>600</f>
        <v>600</v>
      </c>
      <c r="AN196" s="1997">
        <f>250</f>
        <v>250</v>
      </c>
      <c r="AO196" s="620"/>
    </row>
    <row r="199" spans="1:41" ht="12.75">
      <c r="A199" s="107"/>
      <c r="B199" s="108"/>
      <c r="C199" s="108"/>
      <c r="D199" s="108"/>
      <c r="E199" s="108"/>
      <c r="F199" s="108"/>
      <c r="G199" s="108"/>
      <c r="H199" s="108"/>
      <c r="I199" s="108"/>
      <c r="J199" s="108"/>
      <c r="K199" s="108"/>
      <c r="L199" s="108"/>
      <c r="M199" s="108"/>
      <c r="N199" s="108"/>
      <c r="O199" s="108"/>
      <c r="P199" s="108"/>
      <c r="Q199" s="108"/>
      <c r="R199" s="108"/>
      <c r="S199" s="108"/>
      <c r="T199" s="108"/>
      <c r="U199" s="108"/>
      <c r="V199" s="108"/>
      <c r="W199" s="108"/>
      <c r="X199" s="108"/>
      <c r="Y199" s="108"/>
      <c r="Z199" s="108"/>
      <c r="AA199" s="108"/>
      <c r="AB199" s="108"/>
      <c r="AC199" s="108"/>
      <c r="AD199" s="108"/>
      <c r="AE199" s="108"/>
      <c r="AF199" s="108"/>
      <c r="AG199" s="107"/>
    </row>
    <row r="200" spans="1:41">
      <c r="A200" s="109"/>
      <c r="B200" s="5834" t="s">
        <v>1524</v>
      </c>
      <c r="C200" s="5840" t="s">
        <v>1525</v>
      </c>
      <c r="D200" s="5841" t="s">
        <v>1526</v>
      </c>
      <c r="E200" s="5836"/>
      <c r="F200" s="5836"/>
      <c r="G200" s="5836"/>
      <c r="H200" s="5836"/>
      <c r="I200" s="5836"/>
      <c r="J200" s="5832"/>
      <c r="K200" s="5837" t="s">
        <v>1527</v>
      </c>
      <c r="L200" s="5836"/>
      <c r="M200" s="5836"/>
      <c r="N200" s="5836"/>
      <c r="O200" s="5832"/>
      <c r="P200" s="5838" t="s">
        <v>1528</v>
      </c>
      <c r="Q200" s="5836"/>
      <c r="R200" s="5836"/>
      <c r="S200" s="5832"/>
      <c r="T200" s="5839" t="s">
        <v>1529</v>
      </c>
      <c r="U200" s="5836"/>
      <c r="V200" s="5836"/>
      <c r="W200" s="5836"/>
      <c r="X200" s="5836"/>
      <c r="Y200" s="5836"/>
      <c r="Z200" s="5836"/>
      <c r="AA200" s="5836"/>
      <c r="AB200" s="5836"/>
      <c r="AC200" s="5836"/>
      <c r="AD200" s="5836"/>
      <c r="AE200" s="5836"/>
      <c r="AF200" s="5832"/>
      <c r="AG200" s="107"/>
    </row>
    <row r="201" spans="1:41" ht="15">
      <c r="A201" s="109"/>
      <c r="B201" s="5832"/>
      <c r="C201" s="5832"/>
      <c r="D201" s="111" t="s">
        <v>1531</v>
      </c>
      <c r="E201" s="112" t="s">
        <v>1532</v>
      </c>
      <c r="F201" s="111" t="s">
        <v>1533</v>
      </c>
      <c r="G201" s="111" t="s">
        <v>1534</v>
      </c>
      <c r="H201" s="111" t="s">
        <v>1535</v>
      </c>
      <c r="I201" s="111" t="s">
        <v>1536</v>
      </c>
      <c r="J201" s="111" t="s">
        <v>1537</v>
      </c>
      <c r="K201" s="111" t="s">
        <v>1538</v>
      </c>
      <c r="L201" s="111" t="s">
        <v>1539</v>
      </c>
      <c r="M201" s="111" t="s">
        <v>1540</v>
      </c>
      <c r="N201" s="111" t="s">
        <v>1541</v>
      </c>
      <c r="O201" s="111" t="s">
        <v>1542</v>
      </c>
      <c r="P201" s="111" t="s">
        <v>1543</v>
      </c>
      <c r="Q201" s="111" t="s">
        <v>1544</v>
      </c>
      <c r="R201" s="111" t="s">
        <v>1545</v>
      </c>
      <c r="S201" s="111" t="s">
        <v>1546</v>
      </c>
      <c r="T201" s="111" t="s">
        <v>1547</v>
      </c>
      <c r="U201" s="111" t="s">
        <v>1548</v>
      </c>
      <c r="V201" s="111" t="s">
        <v>1549</v>
      </c>
      <c r="W201" s="111" t="s">
        <v>1550</v>
      </c>
      <c r="X201" s="112" t="s">
        <v>1551</v>
      </c>
      <c r="Y201" s="113" t="s">
        <v>1552</v>
      </c>
      <c r="Z201" s="114" t="s">
        <v>1553</v>
      </c>
      <c r="AA201" s="113" t="s">
        <v>1554</v>
      </c>
      <c r="AB201" s="114" t="s">
        <v>1555</v>
      </c>
      <c r="AC201" s="115" t="s">
        <v>1556</v>
      </c>
      <c r="AD201" s="114" t="s">
        <v>1557</v>
      </c>
      <c r="AE201" s="113" t="s">
        <v>1558</v>
      </c>
      <c r="AF201" s="116" t="s">
        <v>1559</v>
      </c>
      <c r="AG201" s="107"/>
    </row>
    <row r="202" spans="1:41" ht="15">
      <c r="A202" s="109"/>
      <c r="B202" s="5833">
        <v>1</v>
      </c>
      <c r="C202" s="117" t="s">
        <v>1397</v>
      </c>
      <c r="D202" s="1700"/>
      <c r="E202" s="119"/>
      <c r="F202" s="120">
        <v>30</v>
      </c>
      <c r="G202" s="120" t="s">
        <v>1644</v>
      </c>
      <c r="H202" s="120" t="s">
        <v>1593</v>
      </c>
      <c r="I202" s="2079" t="s">
        <v>1771</v>
      </c>
      <c r="J202" s="2080" t="s">
        <v>1673</v>
      </c>
      <c r="K202" s="905">
        <v>4.92</v>
      </c>
      <c r="L202" s="364">
        <v>0.42</v>
      </c>
      <c r="M202" s="2081">
        <v>3.33</v>
      </c>
      <c r="N202" s="2082">
        <v>0.63</v>
      </c>
      <c r="O202" s="2083">
        <f>1.59</f>
        <v>1.59</v>
      </c>
      <c r="P202" s="905">
        <v>1.99</v>
      </c>
      <c r="Q202" s="660">
        <v>0.51</v>
      </c>
      <c r="R202" s="2082">
        <v>0.87</v>
      </c>
      <c r="S202" s="2084">
        <v>0.8</v>
      </c>
      <c r="T202" s="120">
        <v>16</v>
      </c>
      <c r="U202" s="785">
        <v>0.1875</v>
      </c>
      <c r="V202" s="2085">
        <v>0.25</v>
      </c>
      <c r="W202" s="1920">
        <v>0.3125</v>
      </c>
      <c r="X202" s="670">
        <v>0.4375</v>
      </c>
      <c r="Y202" s="672">
        <v>3</v>
      </c>
      <c r="Z202" s="2086">
        <v>3</v>
      </c>
      <c r="AA202" s="1007">
        <v>4</v>
      </c>
      <c r="AB202" s="201">
        <v>0</v>
      </c>
      <c r="AC202" s="1782">
        <v>5</v>
      </c>
      <c r="AD202" s="203">
        <v>1</v>
      </c>
      <c r="AE202" s="142">
        <v>0</v>
      </c>
      <c r="AF202" s="143">
        <v>0</v>
      </c>
      <c r="AG202" s="107"/>
    </row>
    <row r="203" spans="1:41" ht="15">
      <c r="A203" s="109"/>
      <c r="B203" s="5832"/>
      <c r="C203" s="149" t="s">
        <v>1398</v>
      </c>
      <c r="D203" s="1706"/>
      <c r="E203" s="151"/>
      <c r="F203" s="152">
        <v>31</v>
      </c>
      <c r="G203" s="152" t="s">
        <v>1623</v>
      </c>
      <c r="H203" s="152" t="s">
        <v>1659</v>
      </c>
      <c r="I203" s="2087" t="s">
        <v>1772</v>
      </c>
      <c r="J203" s="2088" t="s">
        <v>1673</v>
      </c>
      <c r="K203" s="2089">
        <v>3.68</v>
      </c>
      <c r="L203" s="2090">
        <v>0.4</v>
      </c>
      <c r="M203" s="2091">
        <v>3.53</v>
      </c>
      <c r="N203" s="2092">
        <v>0.62</v>
      </c>
      <c r="O203" s="958">
        <f>0.15</f>
        <v>0.15</v>
      </c>
      <c r="P203" s="896">
        <v>1.49</v>
      </c>
      <c r="Q203" s="2007">
        <v>0.48</v>
      </c>
      <c r="R203" s="822">
        <v>0.6</v>
      </c>
      <c r="S203" s="1402">
        <v>0.6</v>
      </c>
      <c r="T203" s="152">
        <v>18</v>
      </c>
      <c r="U203" s="2093">
        <v>0.1111</v>
      </c>
      <c r="V203" s="2094">
        <v>0.33329999999999999</v>
      </c>
      <c r="W203" s="747">
        <v>0.22220000000000001</v>
      </c>
      <c r="X203" s="2095">
        <v>0.44440000000000002</v>
      </c>
      <c r="Y203" s="2096">
        <v>2</v>
      </c>
      <c r="Z203" s="2097">
        <v>1</v>
      </c>
      <c r="AA203" s="800">
        <v>6</v>
      </c>
      <c r="AB203" s="690">
        <v>1</v>
      </c>
      <c r="AC203" s="613">
        <v>4</v>
      </c>
      <c r="AD203" s="1603">
        <v>4</v>
      </c>
      <c r="AE203" s="173">
        <v>0</v>
      </c>
      <c r="AF203" s="174">
        <v>0</v>
      </c>
      <c r="AG203" s="107"/>
    </row>
    <row r="204" spans="1:41" ht="15">
      <c r="A204" s="109"/>
      <c r="B204" s="5831">
        <v>2</v>
      </c>
      <c r="C204" s="181" t="s">
        <v>585</v>
      </c>
      <c r="D204" s="2098"/>
      <c r="E204" s="183"/>
      <c r="F204" s="87">
        <v>34</v>
      </c>
      <c r="G204" s="87" t="s">
        <v>1567</v>
      </c>
      <c r="H204" s="87" t="s">
        <v>1568</v>
      </c>
      <c r="I204" s="2099" t="s">
        <v>1736</v>
      </c>
      <c r="J204" s="2100" t="s">
        <v>1666</v>
      </c>
      <c r="K204" s="1592">
        <v>2.93</v>
      </c>
      <c r="L204" s="2040">
        <v>0.49</v>
      </c>
      <c r="M204" s="2101">
        <v>1.8</v>
      </c>
      <c r="N204" s="2102">
        <v>0.62</v>
      </c>
      <c r="O204" s="1561">
        <f>1.13</f>
        <v>1.1299999999999999</v>
      </c>
      <c r="P204" s="2103">
        <v>4</v>
      </c>
      <c r="Q204" s="2104">
        <v>0.46</v>
      </c>
      <c r="R204" s="504">
        <v>1</v>
      </c>
      <c r="S204" s="131">
        <v>0</v>
      </c>
      <c r="T204" s="87">
        <v>10</v>
      </c>
      <c r="U204" s="438">
        <v>0.3</v>
      </c>
      <c r="V204" s="195">
        <v>0</v>
      </c>
      <c r="W204" s="1518">
        <v>0.6</v>
      </c>
      <c r="X204" s="2105">
        <v>0.3</v>
      </c>
      <c r="Y204" s="672">
        <v>3</v>
      </c>
      <c r="Z204" s="201">
        <v>0</v>
      </c>
      <c r="AA204" s="200">
        <v>0</v>
      </c>
      <c r="AB204" s="737">
        <v>1</v>
      </c>
      <c r="AC204" s="1882">
        <v>6</v>
      </c>
      <c r="AD204" s="201">
        <v>0</v>
      </c>
      <c r="AE204" s="62">
        <v>0</v>
      </c>
      <c r="AF204" s="22">
        <v>0</v>
      </c>
      <c r="AG204" s="107"/>
    </row>
    <row r="205" spans="1:41" ht="15">
      <c r="A205" s="109"/>
      <c r="B205" s="5832"/>
      <c r="C205" s="211" t="s">
        <v>586</v>
      </c>
      <c r="D205" s="2106"/>
      <c r="E205" s="213"/>
      <c r="F205" s="85">
        <v>30</v>
      </c>
      <c r="G205" s="85" t="s">
        <v>1582</v>
      </c>
      <c r="H205" s="85" t="s">
        <v>1589</v>
      </c>
      <c r="I205" s="2107" t="s">
        <v>1773</v>
      </c>
      <c r="J205" s="2108" t="s">
        <v>1709</v>
      </c>
      <c r="K205" s="2109">
        <v>5.13</v>
      </c>
      <c r="L205" s="1457">
        <v>0.55000000000000004</v>
      </c>
      <c r="M205" s="2110">
        <v>5.93</v>
      </c>
      <c r="N205" s="1635">
        <v>0.49</v>
      </c>
      <c r="O205" s="2111">
        <v>-0.8</v>
      </c>
      <c r="P205" s="383">
        <v>0</v>
      </c>
      <c r="Q205" s="222">
        <v>0</v>
      </c>
      <c r="R205" s="219">
        <v>1</v>
      </c>
      <c r="S205" s="223">
        <v>0</v>
      </c>
      <c r="T205" s="85">
        <v>11</v>
      </c>
      <c r="U205" s="2112">
        <v>0.63639999999999997</v>
      </c>
      <c r="V205" s="384">
        <v>0</v>
      </c>
      <c r="W205" s="384">
        <v>0</v>
      </c>
      <c r="X205" s="2113">
        <v>0.63639999999999997</v>
      </c>
      <c r="Y205" s="1713">
        <v>7</v>
      </c>
      <c r="Z205" s="2097">
        <v>1</v>
      </c>
      <c r="AA205" s="387">
        <v>0</v>
      </c>
      <c r="AB205" s="171">
        <v>0</v>
      </c>
      <c r="AC205" s="387">
        <v>0</v>
      </c>
      <c r="AD205" s="690">
        <v>2</v>
      </c>
      <c r="AE205" s="233">
        <v>0</v>
      </c>
      <c r="AF205" s="23">
        <v>0</v>
      </c>
      <c r="AG205" s="107"/>
    </row>
    <row r="206" spans="1:41" ht="15">
      <c r="A206" s="109"/>
      <c r="B206" s="5833">
        <v>3</v>
      </c>
      <c r="C206" s="117" t="s">
        <v>1004</v>
      </c>
      <c r="D206" s="1662"/>
      <c r="E206" s="119"/>
      <c r="F206" s="120">
        <v>26</v>
      </c>
      <c r="G206" s="120" t="s">
        <v>1571</v>
      </c>
      <c r="H206" s="120" t="s">
        <v>1622</v>
      </c>
      <c r="I206" s="2079" t="s">
        <v>1771</v>
      </c>
      <c r="J206" s="2080" t="s">
        <v>1751</v>
      </c>
      <c r="K206" s="2114">
        <v>3.46</v>
      </c>
      <c r="L206" s="2115">
        <v>0.51</v>
      </c>
      <c r="M206" s="1169">
        <v>4.13</v>
      </c>
      <c r="N206" s="1690">
        <v>0.43</v>
      </c>
      <c r="O206" s="2116">
        <v>-0.67</v>
      </c>
      <c r="P206" s="945">
        <v>2.17</v>
      </c>
      <c r="Q206" s="2117">
        <v>0.39</v>
      </c>
      <c r="R206" s="665">
        <v>0.63</v>
      </c>
      <c r="S206" s="2118">
        <v>0.6</v>
      </c>
      <c r="T206" s="120">
        <v>16</v>
      </c>
      <c r="U206" s="2119">
        <v>0.625</v>
      </c>
      <c r="V206" s="1115">
        <v>6.25E-2</v>
      </c>
      <c r="W206" s="2120">
        <v>6.25E-2</v>
      </c>
      <c r="X206" s="2121">
        <v>0.6875</v>
      </c>
      <c r="Y206" s="2122">
        <v>10</v>
      </c>
      <c r="Z206" s="2086">
        <v>3</v>
      </c>
      <c r="AA206" s="1383">
        <v>1</v>
      </c>
      <c r="AB206" s="201">
        <v>0</v>
      </c>
      <c r="AC206" s="138">
        <v>1</v>
      </c>
      <c r="AD206" s="203">
        <v>1</v>
      </c>
      <c r="AE206" s="142">
        <v>0</v>
      </c>
      <c r="AF206" s="143">
        <v>0</v>
      </c>
      <c r="AG206" s="107"/>
    </row>
    <row r="207" spans="1:41" ht="15">
      <c r="A207" s="109"/>
      <c r="B207" s="5832"/>
      <c r="C207" s="149" t="s">
        <v>1005</v>
      </c>
      <c r="D207" s="1670"/>
      <c r="E207" s="151"/>
      <c r="F207" s="152">
        <v>32</v>
      </c>
      <c r="G207" s="152" t="s">
        <v>1603</v>
      </c>
      <c r="H207" s="152" t="s">
        <v>1576</v>
      </c>
      <c r="I207" s="2087" t="s">
        <v>1774</v>
      </c>
      <c r="J207" s="2088" t="s">
        <v>1673</v>
      </c>
      <c r="K207" s="1735">
        <v>4.38</v>
      </c>
      <c r="L207" s="1125">
        <v>0.47</v>
      </c>
      <c r="M207" s="2123">
        <v>5.25</v>
      </c>
      <c r="N207" s="1249">
        <v>0.47</v>
      </c>
      <c r="O207" s="2124">
        <v>-0.87</v>
      </c>
      <c r="P207" s="413">
        <v>1.82</v>
      </c>
      <c r="Q207" s="2125">
        <v>0.75</v>
      </c>
      <c r="R207" s="1125">
        <v>0.64</v>
      </c>
      <c r="S207" s="2126">
        <v>0.3</v>
      </c>
      <c r="T207" s="152">
        <v>10</v>
      </c>
      <c r="U207" s="516">
        <v>0.3</v>
      </c>
      <c r="V207" s="1405">
        <v>0.2</v>
      </c>
      <c r="W207" s="1463">
        <v>0.2</v>
      </c>
      <c r="X207" s="1818">
        <v>0.5</v>
      </c>
      <c r="Y207" s="279">
        <v>3</v>
      </c>
      <c r="Z207" s="171">
        <v>0</v>
      </c>
      <c r="AA207" s="1486">
        <v>2</v>
      </c>
      <c r="AB207" s="171">
        <v>0</v>
      </c>
      <c r="AC207" s="279">
        <v>2</v>
      </c>
      <c r="AD207" s="690">
        <v>2</v>
      </c>
      <c r="AE207" s="173">
        <v>0</v>
      </c>
      <c r="AF207" s="174">
        <v>0</v>
      </c>
      <c r="AG207" s="107"/>
    </row>
    <row r="208" spans="1:41" ht="15">
      <c r="A208" s="109"/>
      <c r="B208" s="5831">
        <v>4</v>
      </c>
      <c r="C208" s="181" t="s">
        <v>120</v>
      </c>
      <c r="D208" s="1642"/>
      <c r="E208" s="183"/>
      <c r="F208" s="87">
        <v>25</v>
      </c>
      <c r="G208" s="87" t="s">
        <v>1575</v>
      </c>
      <c r="H208" s="87" t="s">
        <v>1618</v>
      </c>
      <c r="I208" s="2099" t="s">
        <v>1775</v>
      </c>
      <c r="J208" s="2100" t="s">
        <v>1666</v>
      </c>
      <c r="K208" s="2127">
        <v>6.66</v>
      </c>
      <c r="L208" s="2115">
        <v>0.51</v>
      </c>
      <c r="M208" s="1318">
        <v>3.12</v>
      </c>
      <c r="N208" s="291">
        <v>0.51</v>
      </c>
      <c r="O208" s="2128">
        <f>3.54</f>
        <v>3.54</v>
      </c>
      <c r="P208" s="123">
        <v>0</v>
      </c>
      <c r="Q208" s="187">
        <v>0</v>
      </c>
      <c r="R208" s="2129">
        <v>0.88</v>
      </c>
      <c r="S208" s="2118">
        <v>0.6</v>
      </c>
      <c r="T208" s="87">
        <v>7</v>
      </c>
      <c r="U208" s="2130">
        <v>0.71430000000000005</v>
      </c>
      <c r="V208" s="2131">
        <v>0.1429</v>
      </c>
      <c r="W208" s="974">
        <v>0.1429</v>
      </c>
      <c r="X208" s="2132">
        <v>0.85709999999999997</v>
      </c>
      <c r="Y208" s="1651">
        <v>5</v>
      </c>
      <c r="Z208" s="201">
        <v>0</v>
      </c>
      <c r="AA208" s="1383">
        <v>1</v>
      </c>
      <c r="AB208" s="201">
        <v>0</v>
      </c>
      <c r="AC208" s="138">
        <v>1</v>
      </c>
      <c r="AD208" s="201">
        <v>0</v>
      </c>
      <c r="AE208" s="62">
        <v>0</v>
      </c>
      <c r="AF208" s="22">
        <v>0</v>
      </c>
      <c r="AG208" s="107"/>
    </row>
    <row r="209" spans="1:33" ht="15">
      <c r="A209" s="109"/>
      <c r="B209" s="5832"/>
      <c r="C209" s="211" t="s">
        <v>121</v>
      </c>
      <c r="D209" s="1653"/>
      <c r="E209" s="213"/>
      <c r="F209" s="85">
        <v>23</v>
      </c>
      <c r="G209" s="85" t="s">
        <v>1630</v>
      </c>
      <c r="H209" s="85" t="s">
        <v>1624</v>
      </c>
      <c r="I209" s="2107" t="s">
        <v>1736</v>
      </c>
      <c r="J209" s="2108" t="s">
        <v>1658</v>
      </c>
      <c r="K209" s="605">
        <v>5.28</v>
      </c>
      <c r="L209" s="1404">
        <v>0.46</v>
      </c>
      <c r="M209" s="2133">
        <v>3.24</v>
      </c>
      <c r="N209" s="1679">
        <v>0.55000000000000004</v>
      </c>
      <c r="O209" s="2134">
        <f>2.04</f>
        <v>2.04</v>
      </c>
      <c r="P209" s="1360">
        <v>1</v>
      </c>
      <c r="Q209" s="1251">
        <v>0.36</v>
      </c>
      <c r="R209" s="1538">
        <v>0.44</v>
      </c>
      <c r="S209" s="2135">
        <v>0.8</v>
      </c>
      <c r="T209" s="85">
        <v>10</v>
      </c>
      <c r="U209" s="1338">
        <v>0.6</v>
      </c>
      <c r="V209" s="718">
        <v>0.1</v>
      </c>
      <c r="W209" s="1463">
        <v>0.2</v>
      </c>
      <c r="X209" s="2136">
        <v>0.7</v>
      </c>
      <c r="Y209" s="1752">
        <v>6</v>
      </c>
      <c r="Z209" s="171">
        <v>0</v>
      </c>
      <c r="AA209" s="1542">
        <v>1</v>
      </c>
      <c r="AB209" s="171">
        <v>0</v>
      </c>
      <c r="AC209" s="279">
        <v>2</v>
      </c>
      <c r="AD209" s="169">
        <v>1</v>
      </c>
      <c r="AE209" s="233">
        <v>0</v>
      </c>
      <c r="AF209" s="23">
        <v>0</v>
      </c>
      <c r="AG209" s="107"/>
    </row>
    <row r="210" spans="1:33" ht="15">
      <c r="A210" s="109"/>
      <c r="B210" s="5833">
        <v>5</v>
      </c>
      <c r="C210" s="117" t="s">
        <v>270</v>
      </c>
      <c r="D210" s="1716"/>
      <c r="E210" s="119"/>
      <c r="F210" s="120">
        <v>35</v>
      </c>
      <c r="G210" s="120" t="s">
        <v>1575</v>
      </c>
      <c r="H210" s="120" t="s">
        <v>1618</v>
      </c>
      <c r="I210" s="2079" t="s">
        <v>1776</v>
      </c>
      <c r="J210" s="2080" t="s">
        <v>1673</v>
      </c>
      <c r="K210" s="2137">
        <v>7.71</v>
      </c>
      <c r="L210" s="2138">
        <v>0.56999999999999995</v>
      </c>
      <c r="M210" s="1627">
        <v>5.61</v>
      </c>
      <c r="N210" s="1690">
        <v>0.43</v>
      </c>
      <c r="O210" s="2139">
        <f>2.1</f>
        <v>2.1</v>
      </c>
      <c r="P210" s="396">
        <v>1.31</v>
      </c>
      <c r="Q210" s="1826">
        <v>0.23</v>
      </c>
      <c r="R210" s="665">
        <v>0.63</v>
      </c>
      <c r="S210" s="400">
        <v>1.2</v>
      </c>
      <c r="T210" s="120">
        <v>23</v>
      </c>
      <c r="U210" s="2140">
        <v>0.3478</v>
      </c>
      <c r="V210" s="2140">
        <v>0.21740000000000001</v>
      </c>
      <c r="W210" s="438">
        <v>0.21740000000000001</v>
      </c>
      <c r="X210" s="2141">
        <v>0.56520000000000004</v>
      </c>
      <c r="Y210" s="2142">
        <v>8</v>
      </c>
      <c r="Z210" s="737">
        <v>2</v>
      </c>
      <c r="AA210" s="2143">
        <v>5</v>
      </c>
      <c r="AB210" s="201">
        <v>0</v>
      </c>
      <c r="AC210" s="1782">
        <v>5</v>
      </c>
      <c r="AD210" s="199">
        <v>3</v>
      </c>
      <c r="AE210" s="142">
        <v>0</v>
      </c>
      <c r="AF210" s="143">
        <v>0</v>
      </c>
      <c r="AG210" s="107"/>
    </row>
    <row r="211" spans="1:33" ht="15">
      <c r="A211" s="109"/>
      <c r="B211" s="5832"/>
      <c r="C211" s="149" t="s">
        <v>271</v>
      </c>
      <c r="D211" s="1723"/>
      <c r="E211" s="151"/>
      <c r="F211" s="152">
        <v>27</v>
      </c>
      <c r="G211" s="152" t="s">
        <v>1575</v>
      </c>
      <c r="H211" s="152" t="s">
        <v>1616</v>
      </c>
      <c r="I211" s="2087" t="s">
        <v>1757</v>
      </c>
      <c r="J211" s="2088" t="s">
        <v>1777</v>
      </c>
      <c r="K211" s="1724">
        <v>2.75</v>
      </c>
      <c r="L211" s="643">
        <v>0.48</v>
      </c>
      <c r="M211" s="768">
        <v>1.75</v>
      </c>
      <c r="N211" s="1954">
        <v>0.64</v>
      </c>
      <c r="O211" s="160">
        <f>1</f>
        <v>1</v>
      </c>
      <c r="P211" s="2144">
        <v>2.14</v>
      </c>
      <c r="Q211" s="1249">
        <v>0.31</v>
      </c>
      <c r="R211" s="822">
        <v>0.6</v>
      </c>
      <c r="S211" s="2145">
        <v>1.1000000000000001</v>
      </c>
      <c r="T211" s="152">
        <v>19</v>
      </c>
      <c r="U211" s="548">
        <v>0.21049999999999999</v>
      </c>
      <c r="V211" s="2146">
        <v>0.31580000000000003</v>
      </c>
      <c r="W211" s="1337">
        <v>0.15790000000000001</v>
      </c>
      <c r="X211" s="2147">
        <v>0.52629999999999999</v>
      </c>
      <c r="Y211" s="1407">
        <v>4</v>
      </c>
      <c r="Z211" s="171">
        <v>0</v>
      </c>
      <c r="AA211" s="800">
        <v>6</v>
      </c>
      <c r="AB211" s="171">
        <v>0</v>
      </c>
      <c r="AC211" s="386">
        <v>3</v>
      </c>
      <c r="AD211" s="753">
        <v>5</v>
      </c>
      <c r="AE211" s="173">
        <v>0</v>
      </c>
      <c r="AF211" s="174">
        <v>0</v>
      </c>
      <c r="AG211" s="107"/>
    </row>
    <row r="212" spans="1:33" ht="15">
      <c r="A212" s="109"/>
      <c r="B212" s="5831">
        <v>6</v>
      </c>
      <c r="C212" s="181" t="s">
        <v>277</v>
      </c>
      <c r="D212" s="1624"/>
      <c r="E212" s="183"/>
      <c r="F212" s="87">
        <v>27</v>
      </c>
      <c r="G212" s="87" t="s">
        <v>1603</v>
      </c>
      <c r="H212" s="87" t="s">
        <v>1576</v>
      </c>
      <c r="I212" s="2099" t="s">
        <v>1778</v>
      </c>
      <c r="J212" s="2100" t="s">
        <v>1673</v>
      </c>
      <c r="K212" s="191">
        <v>5.51</v>
      </c>
      <c r="L212" s="1513">
        <v>0.38</v>
      </c>
      <c r="M212" s="2148">
        <v>5.81</v>
      </c>
      <c r="N212" s="665">
        <v>0.53</v>
      </c>
      <c r="O212" s="2149">
        <v>-0.3</v>
      </c>
      <c r="P212" s="123">
        <v>0</v>
      </c>
      <c r="Q212" s="187">
        <v>0</v>
      </c>
      <c r="R212" s="504">
        <v>1</v>
      </c>
      <c r="S212" s="131">
        <v>0</v>
      </c>
      <c r="T212" s="87">
        <v>20</v>
      </c>
      <c r="U212" s="864">
        <v>0.25</v>
      </c>
      <c r="V212" s="2119">
        <v>0.4</v>
      </c>
      <c r="W212" s="1668">
        <v>0.1</v>
      </c>
      <c r="X212" s="2150">
        <v>0.65</v>
      </c>
      <c r="Y212" s="1651">
        <v>5</v>
      </c>
      <c r="Z212" s="201">
        <v>0</v>
      </c>
      <c r="AA212" s="2151">
        <v>8</v>
      </c>
      <c r="AB212" s="201">
        <v>0</v>
      </c>
      <c r="AC212" s="672">
        <v>2</v>
      </c>
      <c r="AD212" s="137">
        <v>5</v>
      </c>
      <c r="AE212" s="62">
        <v>0</v>
      </c>
      <c r="AF212" s="22">
        <v>0</v>
      </c>
      <c r="AG212" s="107"/>
    </row>
    <row r="213" spans="1:33" ht="15">
      <c r="A213" s="109"/>
      <c r="B213" s="5832"/>
      <c r="C213" s="211" t="s">
        <v>278</v>
      </c>
      <c r="D213" s="1633"/>
      <c r="E213" s="213"/>
      <c r="F213" s="85">
        <v>29</v>
      </c>
      <c r="G213" s="85" t="s">
        <v>1575</v>
      </c>
      <c r="H213" s="85" t="s">
        <v>1606</v>
      </c>
      <c r="I213" s="2107" t="s">
        <v>1680</v>
      </c>
      <c r="J213" s="2108" t="s">
        <v>1666</v>
      </c>
      <c r="K213" s="2152">
        <v>9.15</v>
      </c>
      <c r="L213" s="2153">
        <v>0.61</v>
      </c>
      <c r="M213" s="2154">
        <v>5.1100000000000003</v>
      </c>
      <c r="N213" s="2092">
        <v>0.62</v>
      </c>
      <c r="O213" s="2155">
        <f>4.04</f>
        <v>4.04</v>
      </c>
      <c r="P213" s="383">
        <v>0</v>
      </c>
      <c r="Q213" s="222">
        <v>0</v>
      </c>
      <c r="R213" s="2051">
        <v>0.66</v>
      </c>
      <c r="S213" s="223">
        <v>0</v>
      </c>
      <c r="T213" s="85">
        <v>9</v>
      </c>
      <c r="U213" s="165">
        <v>0.77780000000000005</v>
      </c>
      <c r="V213" s="384">
        <v>0</v>
      </c>
      <c r="W213" s="2033">
        <v>0.1111</v>
      </c>
      <c r="X213" s="2156">
        <v>0.77780000000000005</v>
      </c>
      <c r="Y213" s="1713">
        <v>7</v>
      </c>
      <c r="Z213" s="171">
        <v>0</v>
      </c>
      <c r="AA213" s="387">
        <v>0</v>
      </c>
      <c r="AB213" s="171">
        <v>0</v>
      </c>
      <c r="AC213" s="354">
        <v>1</v>
      </c>
      <c r="AD213" s="169">
        <v>1</v>
      </c>
      <c r="AE213" s="233">
        <v>0</v>
      </c>
      <c r="AF213" s="23">
        <v>0</v>
      </c>
      <c r="AG213" s="107"/>
    </row>
    <row r="214" spans="1:33" ht="15">
      <c r="A214" s="109"/>
      <c r="B214" s="5833">
        <v>7</v>
      </c>
      <c r="C214" s="117" t="s">
        <v>752</v>
      </c>
      <c r="D214" s="2157"/>
      <c r="E214" s="119"/>
      <c r="F214" s="120">
        <v>37</v>
      </c>
      <c r="G214" s="120" t="s">
        <v>1605</v>
      </c>
      <c r="H214" s="120" t="s">
        <v>1618</v>
      </c>
      <c r="I214" s="2079" t="s">
        <v>1779</v>
      </c>
      <c r="J214" s="2080" t="s">
        <v>1673</v>
      </c>
      <c r="K214" s="1172">
        <v>4.8899999999999997</v>
      </c>
      <c r="L214" s="1703">
        <v>0.44</v>
      </c>
      <c r="M214" s="2158">
        <v>4.4400000000000004</v>
      </c>
      <c r="N214" s="364">
        <v>0.48</v>
      </c>
      <c r="O214" s="396">
        <f>0.45</f>
        <v>0.45</v>
      </c>
      <c r="P214" s="1512">
        <v>0.87</v>
      </c>
      <c r="Q214" s="1319">
        <v>0.36</v>
      </c>
      <c r="R214" s="1488">
        <v>0.5</v>
      </c>
      <c r="S214" s="2159">
        <v>1.1000000000000001</v>
      </c>
      <c r="T214" s="120">
        <v>29</v>
      </c>
      <c r="U214" s="1595">
        <v>0.27589999999999998</v>
      </c>
      <c r="V214" s="930">
        <v>0.3448</v>
      </c>
      <c r="W214" s="1474">
        <v>0.10340000000000001</v>
      </c>
      <c r="X214" s="1047">
        <v>0.62070000000000003</v>
      </c>
      <c r="Y214" s="2142">
        <v>8</v>
      </c>
      <c r="Z214" s="2160">
        <v>1</v>
      </c>
      <c r="AA214" s="2161">
        <v>10</v>
      </c>
      <c r="AB214" s="737">
        <v>1</v>
      </c>
      <c r="AC214" s="256">
        <v>3</v>
      </c>
      <c r="AD214" s="137">
        <v>5</v>
      </c>
      <c r="AE214" s="142">
        <v>0</v>
      </c>
      <c r="AF214" s="143">
        <v>0</v>
      </c>
      <c r="AG214" s="107"/>
    </row>
    <row r="215" spans="1:33" ht="15">
      <c r="A215" s="109"/>
      <c r="B215" s="5832"/>
      <c r="C215" s="149" t="s">
        <v>753</v>
      </c>
      <c r="D215" s="2162"/>
      <c r="E215" s="151"/>
      <c r="F215" s="152">
        <v>34</v>
      </c>
      <c r="G215" s="152" t="s">
        <v>1605</v>
      </c>
      <c r="H215" s="152" t="s">
        <v>1616</v>
      </c>
      <c r="I215" s="2087" t="s">
        <v>1780</v>
      </c>
      <c r="J215" s="2088" t="s">
        <v>1719</v>
      </c>
      <c r="K215" s="1443">
        <v>3.64</v>
      </c>
      <c r="L215" s="1125">
        <v>0.47</v>
      </c>
      <c r="M215" s="267">
        <v>4.0199999999999996</v>
      </c>
      <c r="N215" s="1552">
        <v>0.57999999999999996</v>
      </c>
      <c r="O215" s="2163">
        <v>-0.38</v>
      </c>
      <c r="P215" s="1499">
        <v>1.29</v>
      </c>
      <c r="Q215" s="2072">
        <v>0.16</v>
      </c>
      <c r="R215" s="219">
        <v>1</v>
      </c>
      <c r="S215" s="2135">
        <v>0.8</v>
      </c>
      <c r="T215" s="152">
        <v>23</v>
      </c>
      <c r="U215" s="384">
        <v>0</v>
      </c>
      <c r="V215" s="2164">
        <v>0.4783</v>
      </c>
      <c r="W215" s="516">
        <v>0.21740000000000001</v>
      </c>
      <c r="X215" s="579">
        <v>0.4783</v>
      </c>
      <c r="Y215" s="387">
        <v>0</v>
      </c>
      <c r="Z215" s="171">
        <v>0</v>
      </c>
      <c r="AA215" s="2165">
        <v>11</v>
      </c>
      <c r="AB215" s="1603">
        <v>3</v>
      </c>
      <c r="AC215" s="1892">
        <v>5</v>
      </c>
      <c r="AD215" s="827">
        <v>3</v>
      </c>
      <c r="AE215" s="173">
        <v>0</v>
      </c>
      <c r="AF215" s="174">
        <v>0</v>
      </c>
      <c r="AG215" s="107"/>
    </row>
    <row r="216" spans="1:33" ht="15">
      <c r="A216" s="109"/>
      <c r="B216" s="5831">
        <v>8</v>
      </c>
      <c r="C216" s="181" t="s">
        <v>371</v>
      </c>
      <c r="D216" s="1605"/>
      <c r="E216" s="183"/>
      <c r="F216" s="87">
        <v>28</v>
      </c>
      <c r="G216" s="87" t="s">
        <v>1588</v>
      </c>
      <c r="H216" s="87" t="s">
        <v>1616</v>
      </c>
      <c r="I216" s="2099" t="s">
        <v>1781</v>
      </c>
      <c r="J216" s="2100" t="s">
        <v>1661</v>
      </c>
      <c r="K216" s="186">
        <v>3.21</v>
      </c>
      <c r="L216" s="1488">
        <v>0.37</v>
      </c>
      <c r="M216" s="2166">
        <v>3.78</v>
      </c>
      <c r="N216" s="2115">
        <v>0.56999999999999995</v>
      </c>
      <c r="O216" s="2167">
        <v>-0.56999999999999995</v>
      </c>
      <c r="P216" s="929">
        <v>2.79</v>
      </c>
      <c r="Q216" s="949">
        <v>0.59</v>
      </c>
      <c r="R216" s="1562">
        <v>0.72</v>
      </c>
      <c r="S216" s="2168">
        <v>0.7</v>
      </c>
      <c r="T216" s="87">
        <v>21</v>
      </c>
      <c r="U216" s="2169">
        <v>0.1905</v>
      </c>
      <c r="V216" s="2170">
        <v>0.33329999999999999</v>
      </c>
      <c r="W216" s="1532">
        <v>0.23810000000000001</v>
      </c>
      <c r="X216" s="197">
        <v>0.52380000000000004</v>
      </c>
      <c r="Y216" s="1519">
        <v>4</v>
      </c>
      <c r="Z216" s="737">
        <v>2</v>
      </c>
      <c r="AA216" s="2171">
        <v>7</v>
      </c>
      <c r="AB216" s="199">
        <v>2</v>
      </c>
      <c r="AC216" s="1782">
        <v>5</v>
      </c>
      <c r="AD216" s="203">
        <v>1</v>
      </c>
      <c r="AE216" s="62">
        <v>0</v>
      </c>
      <c r="AF216" s="22">
        <v>0</v>
      </c>
      <c r="AG216" s="107"/>
    </row>
    <row r="217" spans="1:33" ht="15">
      <c r="A217" s="109"/>
      <c r="B217" s="5832"/>
      <c r="C217" s="211" t="s">
        <v>372</v>
      </c>
      <c r="D217" s="1617"/>
      <c r="E217" s="213"/>
      <c r="F217" s="85">
        <v>34</v>
      </c>
      <c r="G217" s="85" t="s">
        <v>1603</v>
      </c>
      <c r="H217" s="85" t="s">
        <v>1589</v>
      </c>
      <c r="I217" s="2107" t="s">
        <v>1782</v>
      </c>
      <c r="J217" s="2108" t="s">
        <v>1673</v>
      </c>
      <c r="K217" s="1022">
        <v>6.22</v>
      </c>
      <c r="L217" s="643">
        <v>0.48</v>
      </c>
      <c r="M217" s="2172">
        <v>6.35</v>
      </c>
      <c r="N217" s="1249">
        <v>0.47</v>
      </c>
      <c r="O217" s="1634">
        <v>-0.13</v>
      </c>
      <c r="P217" s="912">
        <v>1.66</v>
      </c>
      <c r="Q217" s="2173">
        <v>0.46</v>
      </c>
      <c r="R217" s="416">
        <v>0.61</v>
      </c>
      <c r="S217" s="1402">
        <v>0.6</v>
      </c>
      <c r="T217" s="85">
        <v>40</v>
      </c>
      <c r="U217" s="1463">
        <v>0.27500000000000002</v>
      </c>
      <c r="V217" s="2174">
        <v>0.3</v>
      </c>
      <c r="W217" s="1933">
        <v>0.125</v>
      </c>
      <c r="X217" s="2175">
        <v>0.57499999999999996</v>
      </c>
      <c r="Y217" s="229">
        <v>11</v>
      </c>
      <c r="Z217" s="753">
        <v>8</v>
      </c>
      <c r="AA217" s="229">
        <v>12</v>
      </c>
      <c r="AB217" s="171">
        <v>0</v>
      </c>
      <c r="AC217" s="1892">
        <v>5</v>
      </c>
      <c r="AD217" s="1603">
        <v>4</v>
      </c>
      <c r="AE217" s="233">
        <v>0</v>
      </c>
      <c r="AF217" s="23">
        <v>0</v>
      </c>
      <c r="AG217" s="107"/>
    </row>
    <row r="218" spans="1:33" ht="15">
      <c r="A218" s="109"/>
      <c r="B218" s="5833">
        <v>9</v>
      </c>
      <c r="C218" s="117" t="s">
        <v>129</v>
      </c>
      <c r="D218" s="2176"/>
      <c r="E218" s="119"/>
      <c r="F218" s="120">
        <v>30</v>
      </c>
      <c r="G218" s="120" t="s">
        <v>1592</v>
      </c>
      <c r="H218" s="120" t="s">
        <v>1593</v>
      </c>
      <c r="I218" s="2079" t="s">
        <v>1783</v>
      </c>
      <c r="J218" s="2080" t="s">
        <v>1709</v>
      </c>
      <c r="K218" s="1827">
        <v>3.51</v>
      </c>
      <c r="L218" s="124">
        <v>0.48</v>
      </c>
      <c r="M218" s="2177">
        <v>2.75</v>
      </c>
      <c r="N218" s="504">
        <v>0.68</v>
      </c>
      <c r="O218" s="1172">
        <f>0.76</f>
        <v>0.76</v>
      </c>
      <c r="P218" s="2178">
        <v>1.03</v>
      </c>
      <c r="Q218" s="625">
        <v>0.21</v>
      </c>
      <c r="R218" s="436">
        <v>0.85</v>
      </c>
      <c r="S218" s="131">
        <v>0</v>
      </c>
      <c r="T218" s="120">
        <v>16</v>
      </c>
      <c r="U218" s="864">
        <v>0.25</v>
      </c>
      <c r="V218" s="1964">
        <v>0.125</v>
      </c>
      <c r="W218" s="299">
        <v>0.4375</v>
      </c>
      <c r="X218" s="1881">
        <v>0.375</v>
      </c>
      <c r="Y218" s="1519">
        <v>4</v>
      </c>
      <c r="Z218" s="2160">
        <v>1</v>
      </c>
      <c r="AA218" s="1419">
        <v>2</v>
      </c>
      <c r="AB218" s="737">
        <v>1</v>
      </c>
      <c r="AC218" s="1967">
        <v>7</v>
      </c>
      <c r="AD218" s="201">
        <v>0</v>
      </c>
      <c r="AE218" s="142">
        <v>0</v>
      </c>
      <c r="AF218" s="143">
        <v>0</v>
      </c>
      <c r="AG218" s="107"/>
    </row>
    <row r="219" spans="1:33" ht="15">
      <c r="A219" s="109"/>
      <c r="B219" s="5832"/>
      <c r="C219" s="149" t="s">
        <v>130</v>
      </c>
      <c r="D219" s="2179"/>
      <c r="E219" s="151"/>
      <c r="F219" s="152">
        <v>36</v>
      </c>
      <c r="G219" s="152" t="s">
        <v>1575</v>
      </c>
      <c r="H219" s="152" t="s">
        <v>1641</v>
      </c>
      <c r="I219" s="2087" t="s">
        <v>1784</v>
      </c>
      <c r="J219" s="2088" t="s">
        <v>1673</v>
      </c>
      <c r="K219" s="912">
        <v>4.75</v>
      </c>
      <c r="L219" s="2180">
        <v>0.45</v>
      </c>
      <c r="M219" s="1736">
        <v>4.7300000000000004</v>
      </c>
      <c r="N219" s="1679">
        <v>0.55000000000000004</v>
      </c>
      <c r="O219" s="1840">
        <f>0.02</f>
        <v>0.02</v>
      </c>
      <c r="P219" s="267">
        <v>1.35</v>
      </c>
      <c r="Q219" s="1404">
        <v>0.35</v>
      </c>
      <c r="R219" s="1125">
        <v>0.64</v>
      </c>
      <c r="S219" s="2126">
        <v>0.3</v>
      </c>
      <c r="T219" s="152">
        <v>29</v>
      </c>
      <c r="U219" s="1909">
        <v>0.2414</v>
      </c>
      <c r="V219" s="276">
        <v>0.1724</v>
      </c>
      <c r="W219" s="2181">
        <v>0.27589999999999998</v>
      </c>
      <c r="X219" s="687">
        <v>0.4138</v>
      </c>
      <c r="Y219" s="1713">
        <v>7</v>
      </c>
      <c r="Z219" s="171">
        <v>0</v>
      </c>
      <c r="AA219" s="1029">
        <v>5</v>
      </c>
      <c r="AB219" s="753">
        <v>4</v>
      </c>
      <c r="AC219" s="229">
        <v>8</v>
      </c>
      <c r="AD219" s="753">
        <v>5</v>
      </c>
      <c r="AE219" s="173">
        <v>0</v>
      </c>
      <c r="AF219" s="174">
        <v>0</v>
      </c>
      <c r="AG219" s="107"/>
    </row>
    <row r="220" spans="1:33" ht="15">
      <c r="A220" s="109"/>
      <c r="B220" s="5831">
        <v>10</v>
      </c>
      <c r="C220" s="181" t="s">
        <v>284</v>
      </c>
      <c r="D220" s="1202"/>
      <c r="E220" s="183"/>
      <c r="F220" s="87">
        <v>29</v>
      </c>
      <c r="G220" s="87" t="s">
        <v>1605</v>
      </c>
      <c r="H220" s="87" t="s">
        <v>1595</v>
      </c>
      <c r="I220" s="2099" t="s">
        <v>1757</v>
      </c>
      <c r="J220" s="2100" t="s">
        <v>1661</v>
      </c>
      <c r="K220" s="2182">
        <v>1.67</v>
      </c>
      <c r="L220" s="1513">
        <v>0.38</v>
      </c>
      <c r="M220" s="756">
        <v>2.93</v>
      </c>
      <c r="N220" s="832">
        <v>0.52</v>
      </c>
      <c r="O220" s="123">
        <v>-1.26</v>
      </c>
      <c r="P220" s="123">
        <v>0</v>
      </c>
      <c r="Q220" s="187">
        <v>0</v>
      </c>
      <c r="R220" s="2062">
        <v>0.33</v>
      </c>
      <c r="S220" s="2183">
        <v>0.5</v>
      </c>
      <c r="T220" s="87">
        <v>19</v>
      </c>
      <c r="U220" s="2184">
        <v>0.15790000000000001</v>
      </c>
      <c r="V220" s="2185">
        <v>0.26319999999999999</v>
      </c>
      <c r="W220" s="733">
        <v>0.26319999999999999</v>
      </c>
      <c r="X220" s="2186">
        <v>0.42109999999999997</v>
      </c>
      <c r="Y220" s="672">
        <v>3</v>
      </c>
      <c r="Z220" s="201">
        <v>0</v>
      </c>
      <c r="AA220" s="2143">
        <v>5</v>
      </c>
      <c r="AB220" s="737">
        <v>1</v>
      </c>
      <c r="AC220" s="1782">
        <v>5</v>
      </c>
      <c r="AD220" s="1440">
        <v>4</v>
      </c>
      <c r="AE220" s="62">
        <v>0</v>
      </c>
      <c r="AF220" s="22">
        <v>0</v>
      </c>
      <c r="AG220" s="107"/>
    </row>
    <row r="221" spans="1:33" ht="15">
      <c r="A221" s="109"/>
      <c r="B221" s="5832"/>
      <c r="C221" s="211" t="s">
        <v>285</v>
      </c>
      <c r="D221" s="1217"/>
      <c r="E221" s="213"/>
      <c r="F221" s="85">
        <v>30</v>
      </c>
      <c r="G221" s="85" t="s">
        <v>1605</v>
      </c>
      <c r="H221" s="85" t="s">
        <v>1595</v>
      </c>
      <c r="I221" s="2107" t="s">
        <v>1736</v>
      </c>
      <c r="J221" s="2108" t="s">
        <v>1658</v>
      </c>
      <c r="K221" s="2187">
        <v>8.2899999999999991</v>
      </c>
      <c r="L221" s="161">
        <v>0.43</v>
      </c>
      <c r="M221" s="383">
        <v>7.49</v>
      </c>
      <c r="N221" s="2188">
        <v>0.63</v>
      </c>
      <c r="O221" s="448">
        <f>0.8</f>
        <v>0.8</v>
      </c>
      <c r="P221" s="383">
        <v>0</v>
      </c>
      <c r="Q221" s="222">
        <v>0</v>
      </c>
      <c r="R221" s="2189">
        <v>0.83</v>
      </c>
      <c r="S221" s="223">
        <v>0</v>
      </c>
      <c r="T221" s="85">
        <v>10</v>
      </c>
      <c r="U221" s="962">
        <v>0.4</v>
      </c>
      <c r="V221" s="2174">
        <v>0.3</v>
      </c>
      <c r="W221" s="1463">
        <v>0.2</v>
      </c>
      <c r="X221" s="2136">
        <v>0.7</v>
      </c>
      <c r="Y221" s="1407">
        <v>4</v>
      </c>
      <c r="Z221" s="2097">
        <v>1</v>
      </c>
      <c r="AA221" s="2190">
        <v>3</v>
      </c>
      <c r="AB221" s="171">
        <v>0</v>
      </c>
      <c r="AC221" s="279">
        <v>2</v>
      </c>
      <c r="AD221" s="171">
        <v>0</v>
      </c>
      <c r="AE221" s="233">
        <v>0</v>
      </c>
      <c r="AF221" s="23">
        <v>0</v>
      </c>
      <c r="AG221" s="107"/>
    </row>
    <row r="222" spans="1:33" ht="15">
      <c r="A222" s="109"/>
      <c r="B222" s="5833">
        <v>11</v>
      </c>
      <c r="C222" s="117" t="s">
        <v>1291</v>
      </c>
      <c r="D222" s="1742"/>
      <c r="E222" s="119"/>
      <c r="F222" s="120">
        <v>35</v>
      </c>
      <c r="G222" s="120" t="s">
        <v>1630</v>
      </c>
      <c r="H222" s="120" t="s">
        <v>1631</v>
      </c>
      <c r="I222" s="2079" t="s">
        <v>1670</v>
      </c>
      <c r="J222" s="2080" t="s">
        <v>1666</v>
      </c>
      <c r="K222" s="1625">
        <v>4.5999999999999996</v>
      </c>
      <c r="L222" s="1488">
        <v>0.37</v>
      </c>
      <c r="M222" s="728">
        <v>4</v>
      </c>
      <c r="N222" s="130">
        <v>0.44</v>
      </c>
      <c r="O222" s="2191">
        <f>0.6</f>
        <v>0.6</v>
      </c>
      <c r="P222" s="1720">
        <v>3</v>
      </c>
      <c r="Q222" s="2192">
        <v>0.6</v>
      </c>
      <c r="R222" s="504">
        <v>1</v>
      </c>
      <c r="S222" s="131">
        <v>0</v>
      </c>
      <c r="T222" s="120">
        <v>6</v>
      </c>
      <c r="U222" s="195">
        <v>0</v>
      </c>
      <c r="V222" s="195">
        <v>0</v>
      </c>
      <c r="W222" s="812">
        <v>1</v>
      </c>
      <c r="X222" s="813">
        <v>0</v>
      </c>
      <c r="Y222" s="200">
        <v>0</v>
      </c>
      <c r="Z222" s="201">
        <v>0</v>
      </c>
      <c r="AA222" s="200">
        <v>0</v>
      </c>
      <c r="AB222" s="201">
        <v>0</v>
      </c>
      <c r="AC222" s="1882">
        <v>6</v>
      </c>
      <c r="AD222" s="201">
        <v>0</v>
      </c>
      <c r="AE222" s="142">
        <v>0</v>
      </c>
      <c r="AF222" s="143">
        <v>0</v>
      </c>
      <c r="AG222" s="107"/>
    </row>
    <row r="223" spans="1:33" ht="15">
      <c r="A223" s="109"/>
      <c r="B223" s="5832"/>
      <c r="C223" s="149" t="s">
        <v>1292</v>
      </c>
      <c r="D223" s="1748"/>
      <c r="E223" s="151"/>
      <c r="F223" s="152">
        <v>28</v>
      </c>
      <c r="G223" s="152" t="s">
        <v>1588</v>
      </c>
      <c r="H223" s="152" t="s">
        <v>1659</v>
      </c>
      <c r="I223" s="2087" t="s">
        <v>1680</v>
      </c>
      <c r="J223" s="2088" t="s">
        <v>1658</v>
      </c>
      <c r="K223" s="383">
        <v>0</v>
      </c>
      <c r="L223" s="222">
        <v>0</v>
      </c>
      <c r="M223" s="218">
        <v>0</v>
      </c>
      <c r="N223" s="222">
        <v>0</v>
      </c>
      <c r="O223" s="1989">
        <v>0</v>
      </c>
      <c r="P223" s="383">
        <v>0</v>
      </c>
      <c r="Q223" s="222">
        <v>0</v>
      </c>
      <c r="R223" s="222">
        <v>0</v>
      </c>
      <c r="S223" s="223">
        <v>0</v>
      </c>
      <c r="T223" s="152">
        <v>9</v>
      </c>
      <c r="U223" s="2193">
        <v>0.55559999999999998</v>
      </c>
      <c r="V223" s="384">
        <v>0</v>
      </c>
      <c r="W223" s="684">
        <v>0.33329999999999999</v>
      </c>
      <c r="X223" s="2194">
        <v>0.55559999999999998</v>
      </c>
      <c r="Y223" s="1661">
        <v>5</v>
      </c>
      <c r="Z223" s="2097">
        <v>1</v>
      </c>
      <c r="AA223" s="387">
        <v>0</v>
      </c>
      <c r="AB223" s="171">
        <v>0</v>
      </c>
      <c r="AC223" s="386">
        <v>3</v>
      </c>
      <c r="AD223" s="171">
        <v>0</v>
      </c>
      <c r="AE223" s="173">
        <v>0</v>
      </c>
      <c r="AF223" s="174">
        <v>0</v>
      </c>
      <c r="AG223" s="107"/>
    </row>
    <row r="224" spans="1:33" ht="15">
      <c r="A224" s="109"/>
      <c r="B224" s="5831">
        <v>12</v>
      </c>
      <c r="C224" s="181" t="s">
        <v>461</v>
      </c>
      <c r="D224" s="1686"/>
      <c r="E224" s="183"/>
      <c r="F224" s="87">
        <v>20</v>
      </c>
      <c r="G224" s="87" t="s">
        <v>1592</v>
      </c>
      <c r="H224" s="87" t="s">
        <v>1606</v>
      </c>
      <c r="I224" s="2099" t="s">
        <v>1767</v>
      </c>
      <c r="J224" s="2100" t="s">
        <v>1666</v>
      </c>
      <c r="K224" s="926">
        <v>9.85</v>
      </c>
      <c r="L224" s="1470">
        <v>0.55000000000000004</v>
      </c>
      <c r="M224" s="805">
        <v>4.8600000000000003</v>
      </c>
      <c r="N224" s="1531">
        <v>0.47</v>
      </c>
      <c r="O224" s="926">
        <f>4.99</f>
        <v>4.99</v>
      </c>
      <c r="P224" s="926">
        <v>9.85</v>
      </c>
      <c r="Q224" s="504">
        <v>1</v>
      </c>
      <c r="R224" s="187">
        <v>0</v>
      </c>
      <c r="S224" s="131">
        <v>0</v>
      </c>
      <c r="T224" s="87">
        <v>8</v>
      </c>
      <c r="U224" s="2195">
        <v>0.5</v>
      </c>
      <c r="V224" s="812">
        <v>0.5</v>
      </c>
      <c r="W224" s="195">
        <v>0</v>
      </c>
      <c r="X224" s="908">
        <v>1</v>
      </c>
      <c r="Y224" s="1519">
        <v>4</v>
      </c>
      <c r="Z224" s="201">
        <v>0</v>
      </c>
      <c r="AA224" s="1007">
        <v>4</v>
      </c>
      <c r="AB224" s="201">
        <v>0</v>
      </c>
      <c r="AC224" s="200">
        <v>0</v>
      </c>
      <c r="AD224" s="201">
        <v>0</v>
      </c>
      <c r="AE224" s="62">
        <v>0</v>
      </c>
      <c r="AF224" s="22">
        <v>0</v>
      </c>
      <c r="AG224" s="107"/>
    </row>
    <row r="225" spans="1:41" ht="15">
      <c r="A225" s="109"/>
      <c r="B225" s="5832"/>
      <c r="C225" s="211" t="s">
        <v>462</v>
      </c>
      <c r="D225" s="1697"/>
      <c r="E225" s="213"/>
      <c r="F225" s="85">
        <v>25</v>
      </c>
      <c r="G225" s="85" t="s">
        <v>1592</v>
      </c>
      <c r="H225" s="85" t="s">
        <v>1624</v>
      </c>
      <c r="I225" s="2107" t="s">
        <v>1775</v>
      </c>
      <c r="J225" s="2108" t="s">
        <v>1666</v>
      </c>
      <c r="K225" s="2196">
        <v>4.07</v>
      </c>
      <c r="L225" s="219">
        <v>0.66</v>
      </c>
      <c r="M225" s="309">
        <v>1.67</v>
      </c>
      <c r="N225" s="2197">
        <v>0.67</v>
      </c>
      <c r="O225" s="2198">
        <f>2.4</f>
        <v>2.4</v>
      </c>
      <c r="P225" s="1360">
        <v>1</v>
      </c>
      <c r="Q225" s="219">
        <v>1</v>
      </c>
      <c r="R225" s="219">
        <v>1</v>
      </c>
      <c r="S225" s="223">
        <v>0</v>
      </c>
      <c r="T225" s="85">
        <v>7</v>
      </c>
      <c r="U225" s="2199">
        <v>0.71430000000000005</v>
      </c>
      <c r="V225" s="384">
        <v>0</v>
      </c>
      <c r="W225" s="2200">
        <v>0.28570000000000001</v>
      </c>
      <c r="X225" s="1910">
        <v>0.71430000000000005</v>
      </c>
      <c r="Y225" s="1661">
        <v>5</v>
      </c>
      <c r="Z225" s="171">
        <v>0</v>
      </c>
      <c r="AA225" s="387">
        <v>0</v>
      </c>
      <c r="AB225" s="171">
        <v>0</v>
      </c>
      <c r="AC225" s="279">
        <v>2</v>
      </c>
      <c r="AD225" s="171">
        <v>0</v>
      </c>
      <c r="AE225" s="233">
        <v>0</v>
      </c>
      <c r="AF225" s="23">
        <v>0</v>
      </c>
      <c r="AG225" s="107"/>
    </row>
    <row r="226" spans="1:41" ht="15">
      <c r="A226" s="109"/>
      <c r="B226" s="5833">
        <v>13</v>
      </c>
      <c r="C226" s="117" t="s">
        <v>590</v>
      </c>
      <c r="D226" s="2201"/>
      <c r="E226" s="119"/>
      <c r="F226" s="120">
        <v>35</v>
      </c>
      <c r="G226" s="120" t="s">
        <v>1571</v>
      </c>
      <c r="H226" s="120" t="s">
        <v>1568</v>
      </c>
      <c r="I226" s="2079" t="s">
        <v>1734</v>
      </c>
      <c r="J226" s="2080" t="s">
        <v>1658</v>
      </c>
      <c r="K226" s="1592">
        <v>2.92</v>
      </c>
      <c r="L226" s="399">
        <v>0.4</v>
      </c>
      <c r="M226" s="2202">
        <v>3.96</v>
      </c>
      <c r="N226" s="832">
        <v>0.52</v>
      </c>
      <c r="O226" s="2203">
        <v>-1.04</v>
      </c>
      <c r="P226" s="993">
        <v>1.26</v>
      </c>
      <c r="Q226" s="2204">
        <v>0.18</v>
      </c>
      <c r="R226" s="187">
        <v>0</v>
      </c>
      <c r="S226" s="131">
        <v>0</v>
      </c>
      <c r="T226" s="120">
        <v>13</v>
      </c>
      <c r="U226" s="559">
        <v>0.30769999999999997</v>
      </c>
      <c r="V226" s="2205">
        <v>0.15379999999999999</v>
      </c>
      <c r="W226" s="2206">
        <v>0.3846</v>
      </c>
      <c r="X226" s="2207">
        <v>0.46150000000000002</v>
      </c>
      <c r="Y226" s="1519">
        <v>4</v>
      </c>
      <c r="Z226" s="201">
        <v>0</v>
      </c>
      <c r="AA226" s="1419">
        <v>2</v>
      </c>
      <c r="AB226" s="737">
        <v>1</v>
      </c>
      <c r="AC226" s="1782">
        <v>5</v>
      </c>
      <c r="AD226" s="203">
        <v>1</v>
      </c>
      <c r="AE226" s="142">
        <v>0</v>
      </c>
      <c r="AF226" s="143">
        <v>0</v>
      </c>
      <c r="AG226" s="107"/>
    </row>
    <row r="227" spans="1:41" ht="15">
      <c r="A227" s="109"/>
      <c r="B227" s="5832"/>
      <c r="C227" s="149" t="s">
        <v>565</v>
      </c>
      <c r="D227" s="2208"/>
      <c r="E227" s="151"/>
      <c r="F227" s="152">
        <v>28</v>
      </c>
      <c r="G227" s="152" t="s">
        <v>1585</v>
      </c>
      <c r="H227" s="152" t="s">
        <v>1568</v>
      </c>
      <c r="I227" s="2087" t="s">
        <v>1767</v>
      </c>
      <c r="J227" s="2088" t="s">
        <v>1666</v>
      </c>
      <c r="K227" s="345">
        <v>4.41</v>
      </c>
      <c r="L227" s="1774">
        <v>0.52</v>
      </c>
      <c r="M227" s="267">
        <v>4.01</v>
      </c>
      <c r="N227" s="1679">
        <v>0.55000000000000004</v>
      </c>
      <c r="O227" s="345">
        <f>0.4</f>
        <v>0.4</v>
      </c>
      <c r="P227" s="2209">
        <v>2.35</v>
      </c>
      <c r="Q227" s="1727">
        <v>0.41</v>
      </c>
      <c r="R227" s="1059">
        <v>0.5</v>
      </c>
      <c r="S227" s="1222">
        <v>0.5</v>
      </c>
      <c r="T227" s="152">
        <v>8</v>
      </c>
      <c r="U227" s="988">
        <v>0.625</v>
      </c>
      <c r="V227" s="2210">
        <v>0.125</v>
      </c>
      <c r="W227" s="275">
        <v>0.25</v>
      </c>
      <c r="X227" s="2211">
        <v>0.75</v>
      </c>
      <c r="Y227" s="1661">
        <v>5</v>
      </c>
      <c r="Z227" s="171">
        <v>0</v>
      </c>
      <c r="AA227" s="1542">
        <v>1</v>
      </c>
      <c r="AB227" s="171">
        <v>0</v>
      </c>
      <c r="AC227" s="279">
        <v>2</v>
      </c>
      <c r="AD227" s="171">
        <v>0</v>
      </c>
      <c r="AE227" s="173">
        <v>0</v>
      </c>
      <c r="AF227" s="174">
        <v>0</v>
      </c>
      <c r="AG227" s="107"/>
    </row>
    <row r="228" spans="1:41" ht="12.75">
      <c r="A228" s="10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620"/>
    </row>
    <row r="231" spans="1:41" ht="12.75">
      <c r="A231" s="108"/>
      <c r="B231" s="108"/>
      <c r="C231" s="107"/>
      <c r="D231" s="108"/>
      <c r="E231" s="108"/>
      <c r="F231" s="108"/>
      <c r="G231" s="108"/>
      <c r="H231" s="108"/>
      <c r="I231" s="108"/>
      <c r="J231" s="108"/>
      <c r="K231" s="108"/>
      <c r="L231" s="108"/>
      <c r="M231" s="108"/>
      <c r="N231" s="108"/>
      <c r="O231" s="108"/>
      <c r="P231" s="108"/>
      <c r="Q231" s="108"/>
      <c r="R231" s="108"/>
      <c r="S231" s="108"/>
      <c r="T231" s="108"/>
      <c r="U231" s="108"/>
      <c r="V231" s="108"/>
      <c r="W231" s="108"/>
      <c r="X231" s="108"/>
      <c r="Y231" s="108"/>
      <c r="Z231" s="108"/>
      <c r="AA231" s="108"/>
      <c r="AB231" s="108"/>
      <c r="AC231" s="108"/>
      <c r="AD231" s="108"/>
      <c r="AE231" s="108"/>
      <c r="AF231" s="108"/>
      <c r="AG231" s="108"/>
      <c r="AH231" s="108"/>
      <c r="AI231" s="108"/>
      <c r="AJ231" s="108"/>
      <c r="AK231" s="108"/>
      <c r="AL231" s="108"/>
      <c r="AM231" s="108"/>
      <c r="AN231" s="107"/>
      <c r="AO231" s="620"/>
    </row>
    <row r="232" spans="1:41">
      <c r="A232" s="109"/>
      <c r="B232" s="5834" t="s">
        <v>1524</v>
      </c>
      <c r="C232" s="5840" t="s">
        <v>1525</v>
      </c>
      <c r="D232" s="5841" t="s">
        <v>1526</v>
      </c>
      <c r="E232" s="5836"/>
      <c r="F232" s="5836"/>
      <c r="G232" s="5836"/>
      <c r="H232" s="5836"/>
      <c r="I232" s="5836"/>
      <c r="J232" s="5832"/>
      <c r="K232" s="5837" t="s">
        <v>1527</v>
      </c>
      <c r="L232" s="5836"/>
      <c r="M232" s="5836"/>
      <c r="N232" s="5836"/>
      <c r="O232" s="5832"/>
      <c r="P232" s="5838" t="s">
        <v>1528</v>
      </c>
      <c r="Q232" s="5836"/>
      <c r="R232" s="5836"/>
      <c r="S232" s="5832"/>
      <c r="T232" s="5839" t="s">
        <v>1529</v>
      </c>
      <c r="U232" s="5836"/>
      <c r="V232" s="5836"/>
      <c r="W232" s="5836"/>
      <c r="X232" s="5836"/>
      <c r="Y232" s="5836"/>
      <c r="Z232" s="5836"/>
      <c r="AA232" s="5836"/>
      <c r="AB232" s="5836"/>
      <c r="AC232" s="5836"/>
      <c r="AD232" s="5836"/>
      <c r="AE232" s="5836"/>
      <c r="AF232" s="5832"/>
      <c r="AG232" s="5842" t="s">
        <v>1530</v>
      </c>
      <c r="AH232" s="5836"/>
      <c r="AI232" s="5836"/>
      <c r="AJ232" s="5836"/>
      <c r="AK232" s="5836"/>
      <c r="AL232" s="5836"/>
      <c r="AM232" s="5836"/>
      <c r="AN232" s="5832"/>
      <c r="AO232" s="107"/>
    </row>
    <row r="233" spans="1:41" ht="15">
      <c r="A233" s="109"/>
      <c r="B233" s="5832"/>
      <c r="C233" s="5832"/>
      <c r="D233" s="111" t="s">
        <v>1531</v>
      </c>
      <c r="E233" s="112" t="s">
        <v>1532</v>
      </c>
      <c r="F233" s="111" t="s">
        <v>1533</v>
      </c>
      <c r="G233" s="111" t="s">
        <v>1534</v>
      </c>
      <c r="H233" s="111" t="s">
        <v>1535</v>
      </c>
      <c r="I233" s="111" t="s">
        <v>1536</v>
      </c>
      <c r="J233" s="111" t="s">
        <v>1537</v>
      </c>
      <c r="K233" s="111" t="s">
        <v>1538</v>
      </c>
      <c r="L233" s="111" t="s">
        <v>1539</v>
      </c>
      <c r="M233" s="111" t="s">
        <v>1540</v>
      </c>
      <c r="N233" s="111" t="s">
        <v>1541</v>
      </c>
      <c r="O233" s="111" t="s">
        <v>1542</v>
      </c>
      <c r="P233" s="111" t="s">
        <v>1543</v>
      </c>
      <c r="Q233" s="111" t="s">
        <v>1544</v>
      </c>
      <c r="R233" s="111" t="s">
        <v>1545</v>
      </c>
      <c r="S233" s="111" t="s">
        <v>1546</v>
      </c>
      <c r="T233" s="111" t="s">
        <v>1547</v>
      </c>
      <c r="U233" s="111" t="s">
        <v>1548</v>
      </c>
      <c r="V233" s="111" t="s">
        <v>1549</v>
      </c>
      <c r="W233" s="111" t="s">
        <v>1550</v>
      </c>
      <c r="X233" s="112" t="s">
        <v>1551</v>
      </c>
      <c r="Y233" s="113" t="s">
        <v>1552</v>
      </c>
      <c r="Z233" s="114" t="s">
        <v>1553</v>
      </c>
      <c r="AA233" s="113" t="s">
        <v>1554</v>
      </c>
      <c r="AB233" s="114" t="s">
        <v>1555</v>
      </c>
      <c r="AC233" s="115" t="s">
        <v>1556</v>
      </c>
      <c r="AD233" s="114" t="s">
        <v>1557</v>
      </c>
      <c r="AE233" s="113" t="s">
        <v>1558</v>
      </c>
      <c r="AF233" s="116" t="s">
        <v>1559</v>
      </c>
      <c r="AG233" s="111" t="s">
        <v>1560</v>
      </c>
      <c r="AH233" s="111"/>
      <c r="AI233" s="112" t="s">
        <v>1561</v>
      </c>
      <c r="AJ233" s="111" t="s">
        <v>1562</v>
      </c>
      <c r="AK233" s="111" t="s">
        <v>1563</v>
      </c>
      <c r="AL233" s="111" t="s">
        <v>1564</v>
      </c>
      <c r="AM233" s="111" t="s">
        <v>1565</v>
      </c>
      <c r="AN233" s="112" t="s">
        <v>1566</v>
      </c>
      <c r="AO233" s="107"/>
    </row>
    <row r="234" spans="1:41" ht="15">
      <c r="A234" s="109"/>
      <c r="B234" s="5833">
        <v>1</v>
      </c>
      <c r="C234" s="117" t="s">
        <v>594</v>
      </c>
      <c r="D234" s="466"/>
      <c r="E234" s="119"/>
      <c r="F234" s="120">
        <v>31</v>
      </c>
      <c r="G234" s="120" t="s">
        <v>1571</v>
      </c>
      <c r="H234" s="120" t="s">
        <v>1622</v>
      </c>
      <c r="I234" s="2079" t="s">
        <v>1785</v>
      </c>
      <c r="J234" s="2080" t="s">
        <v>1661</v>
      </c>
      <c r="K234" s="2020">
        <v>3.98</v>
      </c>
      <c r="L234" s="193">
        <v>0.49</v>
      </c>
      <c r="M234" s="365">
        <v>4.9800000000000004</v>
      </c>
      <c r="N234" s="835">
        <v>0.43</v>
      </c>
      <c r="O234" s="1980">
        <v>-1</v>
      </c>
      <c r="P234" s="123">
        <v>0</v>
      </c>
      <c r="Q234" s="187">
        <v>0</v>
      </c>
      <c r="R234" s="364">
        <v>0.54</v>
      </c>
      <c r="S234" s="131">
        <v>0</v>
      </c>
      <c r="T234" s="120">
        <v>21</v>
      </c>
      <c r="U234" s="812">
        <v>0.67</v>
      </c>
      <c r="V234" s="195">
        <v>0</v>
      </c>
      <c r="W234" s="2212">
        <v>0.05</v>
      </c>
      <c r="X234" s="2213">
        <v>0.66669999999999996</v>
      </c>
      <c r="Y234" s="136">
        <v>14</v>
      </c>
      <c r="Z234" s="2214">
        <v>3</v>
      </c>
      <c r="AA234" s="200">
        <v>0</v>
      </c>
      <c r="AB234" s="141">
        <v>2</v>
      </c>
      <c r="AC234" s="138">
        <v>1</v>
      </c>
      <c r="AD234" s="203">
        <v>1</v>
      </c>
      <c r="AE234" s="142">
        <v>0</v>
      </c>
      <c r="AF234" s="143">
        <v>0</v>
      </c>
      <c r="AG234" s="2215">
        <v>-130</v>
      </c>
      <c r="AH234" s="2216"/>
      <c r="AI234" s="2217">
        <v>-125</v>
      </c>
      <c r="AJ234" s="119"/>
      <c r="AK234" s="640"/>
      <c r="AL234" s="640"/>
      <c r="AM234" s="640"/>
      <c r="AN234" s="119"/>
      <c r="AO234" s="107"/>
    </row>
    <row r="235" spans="1:41" ht="15">
      <c r="A235" s="109"/>
      <c r="B235" s="5832"/>
      <c r="C235" s="149" t="s">
        <v>595</v>
      </c>
      <c r="D235" s="482"/>
      <c r="E235" s="151"/>
      <c r="F235" s="152">
        <v>38</v>
      </c>
      <c r="G235" s="152" t="s">
        <v>1567</v>
      </c>
      <c r="H235" s="152" t="s">
        <v>1597</v>
      </c>
      <c r="I235" s="2087" t="s">
        <v>1660</v>
      </c>
      <c r="J235" s="2088" t="s">
        <v>1673</v>
      </c>
      <c r="K235" s="2196">
        <v>3.55</v>
      </c>
      <c r="L235" s="2218">
        <v>0.48</v>
      </c>
      <c r="M235" s="894">
        <v>3.35</v>
      </c>
      <c r="N235" s="1018">
        <v>0.55000000000000004</v>
      </c>
      <c r="O235" s="1155">
        <f>0.2</f>
        <v>0.2</v>
      </c>
      <c r="P235" s="1499">
        <v>1.39</v>
      </c>
      <c r="Q235" s="822">
        <v>0.33</v>
      </c>
      <c r="R235" s="2219">
        <v>0.79</v>
      </c>
      <c r="S235" s="683">
        <v>0.1</v>
      </c>
      <c r="T235" s="152">
        <v>32</v>
      </c>
      <c r="U235" s="1728">
        <v>0.28000000000000003</v>
      </c>
      <c r="V235" s="2220">
        <v>0.19</v>
      </c>
      <c r="W235" s="652">
        <v>0.28000000000000003</v>
      </c>
      <c r="X235" s="920">
        <v>0.46879999999999999</v>
      </c>
      <c r="Y235" s="901">
        <v>9</v>
      </c>
      <c r="Z235" s="753">
        <v>5</v>
      </c>
      <c r="AA235" s="2221">
        <v>6</v>
      </c>
      <c r="AB235" s="171">
        <v>0</v>
      </c>
      <c r="AC235" s="2222">
        <v>9</v>
      </c>
      <c r="AD235" s="690">
        <v>3</v>
      </c>
      <c r="AE235" s="173">
        <v>0</v>
      </c>
      <c r="AF235" s="174">
        <v>0</v>
      </c>
      <c r="AG235" s="494">
        <f>110</f>
        <v>110</v>
      </c>
      <c r="AH235" s="2223"/>
      <c r="AI235" s="2224">
        <f>105</f>
        <v>105</v>
      </c>
      <c r="AJ235" s="151"/>
      <c r="AK235" s="657"/>
      <c r="AL235" s="657"/>
      <c r="AM235" s="657"/>
      <c r="AN235" s="151"/>
      <c r="AO235" s="107"/>
    </row>
    <row r="236" spans="1:41" ht="15">
      <c r="A236" s="109"/>
      <c r="B236" s="5831">
        <v>2</v>
      </c>
      <c r="C236" s="181" t="s">
        <v>1204</v>
      </c>
      <c r="D236" s="2225"/>
      <c r="E236" s="183"/>
      <c r="F236" s="87">
        <v>29</v>
      </c>
      <c r="G236" s="87" t="s">
        <v>1603</v>
      </c>
      <c r="H236" s="87" t="s">
        <v>1586</v>
      </c>
      <c r="I236" s="2099" t="s">
        <v>1734</v>
      </c>
      <c r="J236" s="2100" t="s">
        <v>1658</v>
      </c>
      <c r="K236" s="905">
        <v>4.5199999999999996</v>
      </c>
      <c r="L236" s="1574">
        <v>0.54</v>
      </c>
      <c r="M236" s="396">
        <v>3.73</v>
      </c>
      <c r="N236" s="2226">
        <v>0.42</v>
      </c>
      <c r="O236" s="363">
        <f>0.79</f>
        <v>0.79</v>
      </c>
      <c r="P236" s="1512">
        <v>0.94</v>
      </c>
      <c r="Q236" s="2227">
        <v>0.25</v>
      </c>
      <c r="R236" s="2228">
        <v>0.45</v>
      </c>
      <c r="S236" s="2229">
        <v>0.6</v>
      </c>
      <c r="T236" s="87">
        <v>13</v>
      </c>
      <c r="U236" s="2230">
        <v>0.23</v>
      </c>
      <c r="V236" s="1780">
        <v>0.46</v>
      </c>
      <c r="W236" s="561">
        <v>0.15</v>
      </c>
      <c r="X236" s="440">
        <v>0.69230000000000003</v>
      </c>
      <c r="Y236" s="1441">
        <v>3</v>
      </c>
      <c r="Z236" s="201">
        <v>0</v>
      </c>
      <c r="AA236" s="1007">
        <v>6</v>
      </c>
      <c r="AB236" s="1616">
        <v>1</v>
      </c>
      <c r="AC236" s="672">
        <v>2</v>
      </c>
      <c r="AD236" s="203">
        <v>1</v>
      </c>
      <c r="AE236" s="62">
        <v>0</v>
      </c>
      <c r="AF236" s="22">
        <v>0</v>
      </c>
      <c r="AG236" s="1864">
        <v>-140</v>
      </c>
      <c r="AH236" s="1811"/>
      <c r="AI236" s="2231">
        <v>-180</v>
      </c>
      <c r="AJ236" s="183"/>
      <c r="AK236" s="6"/>
      <c r="AL236" s="6"/>
      <c r="AM236" s="6"/>
      <c r="AN236" s="183"/>
      <c r="AO236" s="107"/>
    </row>
    <row r="237" spans="1:41" ht="15">
      <c r="A237" s="109"/>
      <c r="B237" s="5832"/>
      <c r="C237" s="211" t="s">
        <v>1205</v>
      </c>
      <c r="D237" s="2232"/>
      <c r="E237" s="213"/>
      <c r="F237" s="85">
        <v>31</v>
      </c>
      <c r="G237" s="85" t="s">
        <v>1575</v>
      </c>
      <c r="H237" s="85" t="s">
        <v>1589</v>
      </c>
      <c r="I237" s="2107" t="s">
        <v>1786</v>
      </c>
      <c r="J237" s="2108" t="s">
        <v>1673</v>
      </c>
      <c r="K237" s="2233">
        <v>6.32</v>
      </c>
      <c r="L237" s="416">
        <v>0.46</v>
      </c>
      <c r="M237" s="2234">
        <v>6.88</v>
      </c>
      <c r="N237" s="897">
        <v>0.51</v>
      </c>
      <c r="O237" s="216">
        <v>-0.56000000000000005</v>
      </c>
      <c r="P237" s="575">
        <v>2.25</v>
      </c>
      <c r="Q237" s="2235">
        <v>0.45</v>
      </c>
      <c r="R237" s="219">
        <v>1</v>
      </c>
      <c r="S237" s="961">
        <v>0.2</v>
      </c>
      <c r="T237" s="85">
        <v>13</v>
      </c>
      <c r="U237" s="1620">
        <v>0.38</v>
      </c>
      <c r="V237" s="1364">
        <v>0.08</v>
      </c>
      <c r="W237" s="274">
        <v>0.31</v>
      </c>
      <c r="X237" s="2236">
        <v>0.46150000000000002</v>
      </c>
      <c r="Y237" s="386">
        <v>5</v>
      </c>
      <c r="Z237" s="171">
        <v>0</v>
      </c>
      <c r="AA237" s="353">
        <v>1</v>
      </c>
      <c r="AB237" s="171">
        <v>0</v>
      </c>
      <c r="AC237" s="776">
        <v>4</v>
      </c>
      <c r="AD237" s="690">
        <v>3</v>
      </c>
      <c r="AE237" s="233">
        <v>0</v>
      </c>
      <c r="AF237" s="23">
        <v>0</v>
      </c>
      <c r="AG237" s="2237">
        <f>120</f>
        <v>120</v>
      </c>
      <c r="AH237" s="2238"/>
      <c r="AI237" s="2239">
        <f>155</f>
        <v>155</v>
      </c>
      <c r="AJ237" s="213"/>
      <c r="AK237" s="5"/>
      <c r="AL237" s="5"/>
      <c r="AM237" s="5"/>
      <c r="AN237" s="213"/>
      <c r="AO237" s="107"/>
    </row>
    <row r="238" spans="1:41" ht="15">
      <c r="A238" s="109"/>
      <c r="B238" s="5833">
        <v>3</v>
      </c>
      <c r="C238" s="117" t="s">
        <v>633</v>
      </c>
      <c r="D238" s="287"/>
      <c r="E238" s="119"/>
      <c r="F238" s="120">
        <v>40</v>
      </c>
      <c r="G238" s="120" t="s">
        <v>1567</v>
      </c>
      <c r="H238" s="120" t="s">
        <v>1572</v>
      </c>
      <c r="I238" s="2079" t="s">
        <v>1787</v>
      </c>
      <c r="J238" s="2080" t="s">
        <v>1661</v>
      </c>
      <c r="K238" s="2240">
        <v>2.71</v>
      </c>
      <c r="L238" s="969">
        <v>0.47</v>
      </c>
      <c r="M238" s="2241">
        <v>3.14</v>
      </c>
      <c r="N238" s="1826">
        <v>0.46</v>
      </c>
      <c r="O238" s="325">
        <v>-0.43</v>
      </c>
      <c r="P238" s="2242">
        <v>1.1499999999999999</v>
      </c>
      <c r="Q238" s="189">
        <v>0.38</v>
      </c>
      <c r="R238" s="1239">
        <v>0.66</v>
      </c>
      <c r="S238" s="2243">
        <v>0.5</v>
      </c>
      <c r="T238" s="120">
        <v>43</v>
      </c>
      <c r="U238" s="559">
        <v>0.3</v>
      </c>
      <c r="V238" s="1178">
        <v>0.16</v>
      </c>
      <c r="W238" s="2244">
        <v>0.14000000000000001</v>
      </c>
      <c r="X238" s="2207">
        <v>0.46510000000000001</v>
      </c>
      <c r="Y238" s="815">
        <v>13</v>
      </c>
      <c r="Z238" s="137">
        <v>5</v>
      </c>
      <c r="AA238" s="202">
        <v>7</v>
      </c>
      <c r="AB238" s="302">
        <v>3</v>
      </c>
      <c r="AC238" s="979">
        <v>6</v>
      </c>
      <c r="AD238" s="137">
        <v>9</v>
      </c>
      <c r="AE238" s="142">
        <v>0</v>
      </c>
      <c r="AF238" s="143">
        <v>0</v>
      </c>
      <c r="AG238" s="148">
        <f>375</f>
        <v>375</v>
      </c>
      <c r="AH238" s="148"/>
      <c r="AI238" s="137">
        <f>385</f>
        <v>385</v>
      </c>
      <c r="AJ238" s="119"/>
      <c r="AK238" s="640"/>
      <c r="AL238" s="640"/>
      <c r="AM238" s="640"/>
      <c r="AN238" s="119"/>
      <c r="AO238" s="107"/>
    </row>
    <row r="239" spans="1:41" ht="15">
      <c r="A239" s="109"/>
      <c r="B239" s="5832"/>
      <c r="C239" s="149" t="s">
        <v>634</v>
      </c>
      <c r="D239" s="306"/>
      <c r="E239" s="151"/>
      <c r="F239" s="152">
        <v>31</v>
      </c>
      <c r="G239" s="152" t="s">
        <v>1579</v>
      </c>
      <c r="H239" s="152" t="s">
        <v>1788</v>
      </c>
      <c r="I239" s="2087" t="s">
        <v>1771</v>
      </c>
      <c r="J239" s="2088" t="s">
        <v>1673</v>
      </c>
      <c r="K239" s="2109">
        <v>4.8600000000000003</v>
      </c>
      <c r="L239" s="416">
        <v>0.46</v>
      </c>
      <c r="M239" s="2245">
        <v>4.2699999999999996</v>
      </c>
      <c r="N239" s="897">
        <v>0.51</v>
      </c>
      <c r="O239" s="270">
        <f>0.59</f>
        <v>0.59</v>
      </c>
      <c r="P239" s="1192">
        <v>0.68</v>
      </c>
      <c r="Q239" s="571">
        <v>0.5</v>
      </c>
      <c r="R239" s="2246">
        <v>0.8</v>
      </c>
      <c r="S239" s="2032">
        <v>0.3</v>
      </c>
      <c r="T239" s="152">
        <v>16</v>
      </c>
      <c r="U239" s="1540">
        <v>0.5</v>
      </c>
      <c r="V239" s="164">
        <v>0.06</v>
      </c>
      <c r="W239" s="1099">
        <v>0.19</v>
      </c>
      <c r="X239" s="2247">
        <v>0.5625</v>
      </c>
      <c r="Y239" s="777">
        <v>8</v>
      </c>
      <c r="Z239" s="1296">
        <v>2</v>
      </c>
      <c r="AA239" s="353">
        <v>1</v>
      </c>
      <c r="AB239" s="1685">
        <v>1</v>
      </c>
      <c r="AC239" s="386">
        <v>3</v>
      </c>
      <c r="AD239" s="169">
        <v>1</v>
      </c>
      <c r="AE239" s="173">
        <v>0</v>
      </c>
      <c r="AF239" s="174">
        <v>0</v>
      </c>
      <c r="AG239" s="280">
        <v>-500</v>
      </c>
      <c r="AH239" s="280"/>
      <c r="AI239" s="171">
        <v>-510</v>
      </c>
      <c r="AJ239" s="151"/>
      <c r="AK239" s="657"/>
      <c r="AL239" s="657"/>
      <c r="AM239" s="657"/>
      <c r="AN239" s="151"/>
      <c r="AO239" s="107"/>
    </row>
    <row r="240" spans="1:41" ht="15">
      <c r="A240" s="109"/>
      <c r="B240" s="5831">
        <v>4</v>
      </c>
      <c r="C240" s="181" t="s">
        <v>215</v>
      </c>
      <c r="D240" s="393"/>
      <c r="E240" s="183"/>
      <c r="F240" s="87">
        <v>26</v>
      </c>
      <c r="G240" s="87" t="s">
        <v>1592</v>
      </c>
      <c r="H240" s="87" t="s">
        <v>1641</v>
      </c>
      <c r="I240" s="2099" t="s">
        <v>1789</v>
      </c>
      <c r="J240" s="2100" t="s">
        <v>1658</v>
      </c>
      <c r="K240" s="2248">
        <v>3.51</v>
      </c>
      <c r="L240" s="291">
        <v>0.46</v>
      </c>
      <c r="M240" s="2249">
        <v>2.46</v>
      </c>
      <c r="N240" s="1306">
        <v>0.57999999999999996</v>
      </c>
      <c r="O240" s="945">
        <f>1.05</f>
        <v>1.05</v>
      </c>
      <c r="P240" s="396">
        <v>1.4</v>
      </c>
      <c r="Q240" s="249">
        <v>0.54</v>
      </c>
      <c r="R240" s="2250">
        <v>0.7</v>
      </c>
      <c r="S240" s="2251">
        <v>1.4</v>
      </c>
      <c r="T240" s="87">
        <v>11</v>
      </c>
      <c r="U240" s="1595">
        <v>0.27</v>
      </c>
      <c r="V240" s="2195">
        <v>0.36</v>
      </c>
      <c r="W240" s="330">
        <v>0.27</v>
      </c>
      <c r="X240" s="1596">
        <v>0.63639999999999997</v>
      </c>
      <c r="Y240" s="1441">
        <v>3</v>
      </c>
      <c r="Z240" s="201">
        <v>0</v>
      </c>
      <c r="AA240" s="634">
        <v>4</v>
      </c>
      <c r="AB240" s="201">
        <v>0</v>
      </c>
      <c r="AC240" s="256">
        <v>3</v>
      </c>
      <c r="AD240" s="203">
        <v>1</v>
      </c>
      <c r="AE240" s="62">
        <v>0</v>
      </c>
      <c r="AF240" s="22">
        <v>0</v>
      </c>
      <c r="AG240" s="2252">
        <f>105</f>
        <v>105</v>
      </c>
      <c r="AH240" s="2253"/>
      <c r="AI240" s="2254">
        <f>159</f>
        <v>159</v>
      </c>
      <c r="AJ240" s="183"/>
      <c r="AK240" s="6"/>
      <c r="AL240" s="6"/>
      <c r="AM240" s="6"/>
      <c r="AN240" s="183"/>
      <c r="AO240" s="107"/>
    </row>
    <row r="241" spans="1:41" ht="15">
      <c r="A241" s="109"/>
      <c r="B241" s="5832"/>
      <c r="C241" s="211" t="s">
        <v>289</v>
      </c>
      <c r="D241" s="412"/>
      <c r="E241" s="213"/>
      <c r="F241" s="85">
        <v>27</v>
      </c>
      <c r="G241" s="85" t="s">
        <v>1592</v>
      </c>
      <c r="H241" s="85" t="s">
        <v>1641</v>
      </c>
      <c r="I241" s="2107" t="s">
        <v>1670</v>
      </c>
      <c r="J241" s="2108" t="s">
        <v>1666</v>
      </c>
      <c r="K241" s="1151">
        <v>7.29</v>
      </c>
      <c r="L241" s="219">
        <v>0.66</v>
      </c>
      <c r="M241" s="218">
        <v>0.42</v>
      </c>
      <c r="N241" s="219">
        <v>0.71</v>
      </c>
      <c r="O241" s="2255">
        <f>6.87</f>
        <v>6.87</v>
      </c>
      <c r="P241" s="2256">
        <v>3.13</v>
      </c>
      <c r="Q241" s="219">
        <v>1</v>
      </c>
      <c r="R241" s="222">
        <v>0</v>
      </c>
      <c r="S241" s="223">
        <v>0</v>
      </c>
      <c r="T241" s="85">
        <v>6</v>
      </c>
      <c r="U241" s="165">
        <v>0.67</v>
      </c>
      <c r="V241" s="2257">
        <v>0.33</v>
      </c>
      <c r="W241" s="384">
        <v>0</v>
      </c>
      <c r="X241" s="385">
        <v>1</v>
      </c>
      <c r="Y241" s="1486">
        <v>4</v>
      </c>
      <c r="Z241" s="171">
        <v>0</v>
      </c>
      <c r="AA241" s="386">
        <v>2</v>
      </c>
      <c r="AB241" s="171">
        <v>0</v>
      </c>
      <c r="AC241" s="387">
        <v>0</v>
      </c>
      <c r="AD241" s="171">
        <v>0</v>
      </c>
      <c r="AE241" s="233">
        <v>0</v>
      </c>
      <c r="AF241" s="23">
        <v>0</v>
      </c>
      <c r="AG241" s="2258">
        <v>-125</v>
      </c>
      <c r="AH241" s="2259"/>
      <c r="AI241" s="2260">
        <v>-184</v>
      </c>
      <c r="AJ241" s="213"/>
      <c r="AK241" s="5"/>
      <c r="AL241" s="5"/>
      <c r="AM241" s="5"/>
      <c r="AN241" s="213"/>
      <c r="AO241" s="107"/>
    </row>
    <row r="242" spans="1:41" ht="15">
      <c r="A242" s="109"/>
      <c r="B242" s="5833">
        <v>5</v>
      </c>
      <c r="C242" s="117" t="s">
        <v>1297</v>
      </c>
      <c r="D242" s="362"/>
      <c r="E242" s="119"/>
      <c r="F242" s="120">
        <v>32</v>
      </c>
      <c r="G242" s="120" t="s">
        <v>1592</v>
      </c>
      <c r="H242" s="120" t="s">
        <v>1593</v>
      </c>
      <c r="I242" s="2079" t="s">
        <v>1790</v>
      </c>
      <c r="J242" s="2080" t="s">
        <v>1673</v>
      </c>
      <c r="K242" s="1076">
        <v>4.87</v>
      </c>
      <c r="L242" s="193">
        <v>0.49</v>
      </c>
      <c r="M242" s="661">
        <v>3.75</v>
      </c>
      <c r="N242" s="2261">
        <v>0.53</v>
      </c>
      <c r="O242" s="994">
        <f>1.12</f>
        <v>1.1200000000000001</v>
      </c>
      <c r="P242" s="2262">
        <v>0.35</v>
      </c>
      <c r="Q242" s="1626">
        <v>0.3</v>
      </c>
      <c r="R242" s="2263">
        <v>0.71</v>
      </c>
      <c r="S242" s="666">
        <v>0.1</v>
      </c>
      <c r="T242" s="120">
        <v>24</v>
      </c>
      <c r="U242" s="836">
        <v>0.13</v>
      </c>
      <c r="V242" s="195">
        <v>0</v>
      </c>
      <c r="W242" s="812">
        <v>0.57999999999999996</v>
      </c>
      <c r="X242" s="813">
        <v>0.125</v>
      </c>
      <c r="Y242" s="1441">
        <v>3</v>
      </c>
      <c r="Z242" s="2264">
        <v>1</v>
      </c>
      <c r="AA242" s="200">
        <v>0</v>
      </c>
      <c r="AB242" s="141">
        <v>2</v>
      </c>
      <c r="AC242" s="136">
        <v>14</v>
      </c>
      <c r="AD242" s="2086">
        <v>4</v>
      </c>
      <c r="AE242" s="142">
        <v>0</v>
      </c>
      <c r="AF242" s="143">
        <v>0</v>
      </c>
      <c r="AG242" s="336">
        <f>155</f>
        <v>155</v>
      </c>
      <c r="AH242" s="537"/>
      <c r="AI242" s="2265">
        <f>205</f>
        <v>205</v>
      </c>
      <c r="AJ242" s="119"/>
      <c r="AK242" s="640"/>
      <c r="AL242" s="640"/>
      <c r="AM242" s="640"/>
      <c r="AN242" s="119"/>
      <c r="AO242" s="107"/>
    </row>
    <row r="243" spans="1:41" ht="15">
      <c r="A243" s="109"/>
      <c r="B243" s="5832"/>
      <c r="C243" s="149" t="s">
        <v>1298</v>
      </c>
      <c r="D243" s="379"/>
      <c r="E243" s="151"/>
      <c r="F243" s="152">
        <v>32</v>
      </c>
      <c r="G243" s="152" t="s">
        <v>1605</v>
      </c>
      <c r="H243" s="152" t="s">
        <v>1616</v>
      </c>
      <c r="I243" s="2087" t="s">
        <v>1765</v>
      </c>
      <c r="J243" s="2088" t="s">
        <v>1673</v>
      </c>
      <c r="K243" s="2266">
        <v>3.64</v>
      </c>
      <c r="L243" s="895">
        <v>0.44</v>
      </c>
      <c r="M243" s="2267">
        <v>2.61</v>
      </c>
      <c r="N243" s="2268">
        <v>0.46</v>
      </c>
      <c r="O243" s="1502">
        <f>1.03</f>
        <v>1.03</v>
      </c>
      <c r="P243" s="1680">
        <v>2.17</v>
      </c>
      <c r="Q243" s="897">
        <v>0.34</v>
      </c>
      <c r="R243" s="938">
        <v>0.64</v>
      </c>
      <c r="S243" s="2032">
        <v>0.3</v>
      </c>
      <c r="T243" s="152">
        <v>12</v>
      </c>
      <c r="U243" s="550">
        <v>0.25</v>
      </c>
      <c r="V243" s="747">
        <v>0.17</v>
      </c>
      <c r="W243" s="1387">
        <v>0.33</v>
      </c>
      <c r="X243" s="1225">
        <v>0.41670000000000001</v>
      </c>
      <c r="Y243" s="1604">
        <v>3</v>
      </c>
      <c r="Z243" s="2269">
        <v>1</v>
      </c>
      <c r="AA243" s="386">
        <v>2</v>
      </c>
      <c r="AB243" s="1685">
        <v>1</v>
      </c>
      <c r="AC243" s="776">
        <v>4</v>
      </c>
      <c r="AD243" s="169">
        <v>1</v>
      </c>
      <c r="AE243" s="173">
        <v>0</v>
      </c>
      <c r="AF243" s="174">
        <v>0</v>
      </c>
      <c r="AG243" s="2259">
        <v>-180</v>
      </c>
      <c r="AH243" s="2270"/>
      <c r="AI243" s="2271">
        <v>-240</v>
      </c>
      <c r="AJ243" s="151"/>
      <c r="AK243" s="657"/>
      <c r="AL243" s="657"/>
      <c r="AM243" s="657"/>
      <c r="AN243" s="151"/>
      <c r="AO243" s="107"/>
    </row>
    <row r="244" spans="1:41" ht="15">
      <c r="A244" s="109"/>
      <c r="B244" s="5831">
        <v>6</v>
      </c>
      <c r="C244" s="181" t="s">
        <v>1010</v>
      </c>
      <c r="D244" s="2272"/>
      <c r="E244" s="183"/>
      <c r="F244" s="87">
        <v>36</v>
      </c>
      <c r="G244" s="87" t="s">
        <v>1603</v>
      </c>
      <c r="H244" s="87" t="s">
        <v>1586</v>
      </c>
      <c r="I244" s="2099" t="s">
        <v>1791</v>
      </c>
      <c r="J244" s="2100" t="s">
        <v>1661</v>
      </c>
      <c r="K244" s="2273">
        <v>3.3</v>
      </c>
      <c r="L244" s="1472">
        <v>0.44</v>
      </c>
      <c r="M244" s="1136">
        <v>3.5</v>
      </c>
      <c r="N244" s="2261">
        <v>0.53</v>
      </c>
      <c r="O244" s="2274">
        <v>-0.2</v>
      </c>
      <c r="P244" s="1561">
        <v>2.0099999999999998</v>
      </c>
      <c r="Q244" s="1828">
        <v>0.37</v>
      </c>
      <c r="R244" s="558">
        <v>0.34</v>
      </c>
      <c r="S244" s="437">
        <v>1.5</v>
      </c>
      <c r="T244" s="87">
        <v>52</v>
      </c>
      <c r="U244" s="2275">
        <v>0.12</v>
      </c>
      <c r="V244" s="2276">
        <v>0.52</v>
      </c>
      <c r="W244" s="2277">
        <v>0.04</v>
      </c>
      <c r="X244" s="2278">
        <v>0.63460000000000005</v>
      </c>
      <c r="Y244" s="1352">
        <v>6</v>
      </c>
      <c r="Z244" s="2279">
        <v>4</v>
      </c>
      <c r="AA244" s="136">
        <v>27</v>
      </c>
      <c r="AB244" s="137">
        <v>8</v>
      </c>
      <c r="AC244" s="672">
        <v>2</v>
      </c>
      <c r="AD244" s="199">
        <v>5</v>
      </c>
      <c r="AE244" s="62">
        <v>0</v>
      </c>
      <c r="AF244" s="22">
        <v>0</v>
      </c>
      <c r="AG244" s="909">
        <v>-155</v>
      </c>
      <c r="AH244" s="2280"/>
      <c r="AI244" s="2281">
        <v>-238</v>
      </c>
      <c r="AJ244" s="183"/>
      <c r="AK244" s="6"/>
      <c r="AL244" s="6"/>
      <c r="AM244" s="6"/>
      <c r="AN244" s="183"/>
      <c r="AO244" s="107"/>
    </row>
    <row r="245" spans="1:41" ht="15">
      <c r="A245" s="109"/>
      <c r="B245" s="5832"/>
      <c r="C245" s="211" t="s">
        <v>1011</v>
      </c>
      <c r="D245" s="2282"/>
      <c r="E245" s="213"/>
      <c r="F245" s="85">
        <v>34</v>
      </c>
      <c r="G245" s="85" t="s">
        <v>1582</v>
      </c>
      <c r="H245" s="85" t="s">
        <v>1616</v>
      </c>
      <c r="I245" s="2107" t="s">
        <v>1792</v>
      </c>
      <c r="J245" s="2108" t="s">
        <v>1661</v>
      </c>
      <c r="K245" s="2283">
        <v>5.53</v>
      </c>
      <c r="L245" s="2218">
        <v>0.48</v>
      </c>
      <c r="M245" s="513">
        <v>4.74</v>
      </c>
      <c r="N245" s="986">
        <v>0.44</v>
      </c>
      <c r="O245" s="1707">
        <f>0.79</f>
        <v>0.79</v>
      </c>
      <c r="P245" s="1867">
        <v>0.14000000000000001</v>
      </c>
      <c r="Q245" s="1869">
        <v>0.22</v>
      </c>
      <c r="R245" s="746">
        <v>0.49</v>
      </c>
      <c r="S245" s="2032">
        <v>0.3</v>
      </c>
      <c r="T245" s="85">
        <v>29</v>
      </c>
      <c r="U245" s="1620">
        <v>0.38</v>
      </c>
      <c r="V245" s="650">
        <v>7.0000000000000007E-2</v>
      </c>
      <c r="W245" s="1463">
        <v>0.17</v>
      </c>
      <c r="X245" s="1622">
        <v>0.44829999999999998</v>
      </c>
      <c r="Y245" s="1227">
        <v>11</v>
      </c>
      <c r="Z245" s="1296">
        <v>2</v>
      </c>
      <c r="AA245" s="386">
        <v>2</v>
      </c>
      <c r="AB245" s="1296">
        <v>3</v>
      </c>
      <c r="AC245" s="853">
        <v>5</v>
      </c>
      <c r="AD245" s="2284">
        <v>6</v>
      </c>
      <c r="AE245" s="233">
        <v>0</v>
      </c>
      <c r="AF245" s="23">
        <v>0</v>
      </c>
      <c r="AG245" s="922">
        <f>135</f>
        <v>135</v>
      </c>
      <c r="AH245" s="2285"/>
      <c r="AI245" s="2286">
        <f>203</f>
        <v>203</v>
      </c>
      <c r="AJ245" s="213"/>
      <c r="AK245" s="5"/>
      <c r="AL245" s="5"/>
      <c r="AM245" s="5"/>
      <c r="AN245" s="213"/>
      <c r="AO245" s="107"/>
    </row>
    <row r="246" spans="1:41" ht="15">
      <c r="A246" s="109"/>
      <c r="B246" s="5833">
        <v>7</v>
      </c>
      <c r="C246" s="117" t="s">
        <v>830</v>
      </c>
      <c r="D246" s="555"/>
      <c r="E246" s="119"/>
      <c r="F246" s="120">
        <v>32</v>
      </c>
      <c r="G246" s="120" t="s">
        <v>1588</v>
      </c>
      <c r="H246" s="120" t="s">
        <v>1641</v>
      </c>
      <c r="I246" s="2079" t="s">
        <v>1680</v>
      </c>
      <c r="J246" s="2080" t="s">
        <v>1658</v>
      </c>
      <c r="K246" s="1576">
        <v>4.01</v>
      </c>
      <c r="L246" s="525">
        <v>0.51</v>
      </c>
      <c r="M246" s="1235">
        <v>3.52</v>
      </c>
      <c r="N246" s="1306">
        <v>0.57999999999999996</v>
      </c>
      <c r="O246" s="2191">
        <f>0.49</f>
        <v>0.49</v>
      </c>
      <c r="P246" s="926">
        <v>5.37</v>
      </c>
      <c r="Q246" s="1078">
        <v>0.56999999999999995</v>
      </c>
      <c r="R246" s="700">
        <v>0.41</v>
      </c>
      <c r="S246" s="2243">
        <v>0.5</v>
      </c>
      <c r="T246" s="120">
        <v>9</v>
      </c>
      <c r="U246" s="195">
        <v>0</v>
      </c>
      <c r="V246" s="474">
        <v>0.33</v>
      </c>
      <c r="W246" s="1693">
        <v>0.56000000000000005</v>
      </c>
      <c r="X246" s="2287">
        <v>0.33329999999999999</v>
      </c>
      <c r="Y246" s="200">
        <v>0</v>
      </c>
      <c r="Z246" s="201">
        <v>0</v>
      </c>
      <c r="AA246" s="2288">
        <v>3</v>
      </c>
      <c r="AB246" s="201">
        <v>0</v>
      </c>
      <c r="AC246" s="2289">
        <v>5</v>
      </c>
      <c r="AD246" s="203">
        <v>1</v>
      </c>
      <c r="AE246" s="142">
        <v>0</v>
      </c>
      <c r="AF246" s="143">
        <v>0</v>
      </c>
      <c r="AG246" s="2043">
        <f>250</f>
        <v>250</v>
      </c>
      <c r="AH246" s="2290"/>
      <c r="AI246" s="2291">
        <f>265</f>
        <v>265</v>
      </c>
      <c r="AJ246" s="119"/>
      <c r="AK246" s="640"/>
      <c r="AL246" s="640"/>
      <c r="AM246" s="640"/>
      <c r="AN246" s="119"/>
      <c r="AO246" s="107"/>
    </row>
    <row r="247" spans="1:41" ht="15">
      <c r="A247" s="109"/>
      <c r="B247" s="5832"/>
      <c r="C247" s="149" t="s">
        <v>831</v>
      </c>
      <c r="D247" s="569"/>
      <c r="E247" s="151"/>
      <c r="F247" s="152">
        <v>31</v>
      </c>
      <c r="G247" s="152" t="s">
        <v>1582</v>
      </c>
      <c r="H247" s="152" t="s">
        <v>1616</v>
      </c>
      <c r="I247" s="2087" t="s">
        <v>1734</v>
      </c>
      <c r="J247" s="2088" t="s">
        <v>1658</v>
      </c>
      <c r="K247" s="1790">
        <v>5.83</v>
      </c>
      <c r="L247" s="1552">
        <v>0.52</v>
      </c>
      <c r="M247" s="2292">
        <v>6.2</v>
      </c>
      <c r="N247" s="571">
        <v>0.56000000000000005</v>
      </c>
      <c r="O247" s="1840">
        <v>-0.37</v>
      </c>
      <c r="P247" s="2293">
        <v>3.04</v>
      </c>
      <c r="Q247" s="2294">
        <v>0.53</v>
      </c>
      <c r="R247" s="2295">
        <v>0.69</v>
      </c>
      <c r="S247" s="961">
        <v>0.2</v>
      </c>
      <c r="T247" s="152">
        <v>12</v>
      </c>
      <c r="U247" s="2296">
        <v>0.57999999999999996</v>
      </c>
      <c r="V247" s="1364">
        <v>0.08</v>
      </c>
      <c r="W247" s="1463">
        <v>0.17</v>
      </c>
      <c r="X247" s="1751">
        <v>0.66669999999999996</v>
      </c>
      <c r="Y247" s="964">
        <v>7</v>
      </c>
      <c r="Z247" s="171">
        <v>0</v>
      </c>
      <c r="AA247" s="353">
        <v>1</v>
      </c>
      <c r="AB247" s="1685">
        <v>1</v>
      </c>
      <c r="AC247" s="279">
        <v>2</v>
      </c>
      <c r="AD247" s="169">
        <v>1</v>
      </c>
      <c r="AE247" s="173">
        <v>0</v>
      </c>
      <c r="AF247" s="174">
        <v>0</v>
      </c>
      <c r="AG247" s="2297">
        <v>-300</v>
      </c>
      <c r="AH247" s="2298"/>
      <c r="AI247" s="2299">
        <v>-315</v>
      </c>
      <c r="AJ247" s="151"/>
      <c r="AK247" s="657"/>
      <c r="AL247" s="657"/>
      <c r="AM247" s="657"/>
      <c r="AN247" s="151"/>
      <c r="AO247" s="107"/>
    </row>
    <row r="248" spans="1:41" ht="15">
      <c r="A248" s="109"/>
      <c r="B248" s="5831">
        <v>8</v>
      </c>
      <c r="C248" s="181" t="s">
        <v>1304</v>
      </c>
      <c r="D248" s="118"/>
      <c r="E248" s="183"/>
      <c r="F248" s="87">
        <v>30</v>
      </c>
      <c r="G248" s="87" t="s">
        <v>1761</v>
      </c>
      <c r="H248" s="87" t="s">
        <v>1624</v>
      </c>
      <c r="I248" s="2099" t="s">
        <v>1789</v>
      </c>
      <c r="J248" s="2100" t="s">
        <v>1666</v>
      </c>
      <c r="K248" s="1691">
        <v>7.22</v>
      </c>
      <c r="L248" s="1472">
        <v>0.44</v>
      </c>
      <c r="M248" s="2300">
        <v>5.85</v>
      </c>
      <c r="N248" s="969">
        <v>0.52</v>
      </c>
      <c r="O248" s="1435">
        <f>1.37</f>
        <v>1.37</v>
      </c>
      <c r="P248" s="123">
        <v>0</v>
      </c>
      <c r="Q248" s="187">
        <v>0</v>
      </c>
      <c r="R248" s="2250">
        <v>0.7</v>
      </c>
      <c r="S248" s="131">
        <v>0</v>
      </c>
      <c r="T248" s="87">
        <v>11</v>
      </c>
      <c r="U248" s="1944">
        <v>0.64</v>
      </c>
      <c r="V248" s="195">
        <v>0</v>
      </c>
      <c r="W248" s="330">
        <v>0.27</v>
      </c>
      <c r="X248" s="1596">
        <v>0.63639999999999997</v>
      </c>
      <c r="Y248" s="954">
        <v>7</v>
      </c>
      <c r="Z248" s="201">
        <v>0</v>
      </c>
      <c r="AA248" s="200">
        <v>0</v>
      </c>
      <c r="AB248" s="201">
        <v>0</v>
      </c>
      <c r="AC248" s="256">
        <v>3</v>
      </c>
      <c r="AD248" s="203">
        <v>1</v>
      </c>
      <c r="AE248" s="62">
        <v>0</v>
      </c>
      <c r="AF248" s="22">
        <v>0</v>
      </c>
      <c r="AG248" s="2301">
        <v>-150</v>
      </c>
      <c r="AH248" s="1864"/>
      <c r="AI248" s="2302">
        <v>-143</v>
      </c>
      <c r="AJ248" s="183"/>
      <c r="AK248" s="6"/>
      <c r="AL248" s="6"/>
      <c r="AM248" s="6"/>
      <c r="AN248" s="183"/>
      <c r="AO248" s="107"/>
    </row>
    <row r="249" spans="1:41" ht="15">
      <c r="A249" s="109"/>
      <c r="B249" s="5832"/>
      <c r="C249" s="211" t="s">
        <v>1305</v>
      </c>
      <c r="D249" s="150"/>
      <c r="E249" s="213"/>
      <c r="F249" s="85">
        <v>33</v>
      </c>
      <c r="G249" s="85" t="s">
        <v>1630</v>
      </c>
      <c r="H249" s="85" t="s">
        <v>1631</v>
      </c>
      <c r="I249" s="2107" t="s">
        <v>1793</v>
      </c>
      <c r="J249" s="2108" t="s">
        <v>1658</v>
      </c>
      <c r="K249" s="1058">
        <v>3.12</v>
      </c>
      <c r="L249" s="1582">
        <v>0.45</v>
      </c>
      <c r="M249" s="2303">
        <v>3.06</v>
      </c>
      <c r="N249" s="1791">
        <v>0.42</v>
      </c>
      <c r="O249" s="1403">
        <f>0.06</f>
        <v>0.06</v>
      </c>
      <c r="P249" s="2304">
        <v>0.78</v>
      </c>
      <c r="Q249" s="822">
        <v>0.33</v>
      </c>
      <c r="R249" s="1156">
        <v>0.33</v>
      </c>
      <c r="S249" s="223">
        <v>0</v>
      </c>
      <c r="T249" s="85">
        <v>7</v>
      </c>
      <c r="U249" s="796">
        <v>0.28999999999999998</v>
      </c>
      <c r="V249" s="550">
        <v>0.14000000000000001</v>
      </c>
      <c r="W249" s="1157">
        <v>0.28999999999999998</v>
      </c>
      <c r="X249" s="687">
        <v>0.42859999999999998</v>
      </c>
      <c r="Y249" s="1542">
        <v>2</v>
      </c>
      <c r="Z249" s="171">
        <v>0</v>
      </c>
      <c r="AA249" s="353">
        <v>1</v>
      </c>
      <c r="AB249" s="171">
        <v>0</v>
      </c>
      <c r="AC249" s="279">
        <v>2</v>
      </c>
      <c r="AD249" s="2097">
        <v>2</v>
      </c>
      <c r="AE249" s="233">
        <v>0</v>
      </c>
      <c r="AF249" s="23">
        <v>0</v>
      </c>
      <c r="AG249" s="1820">
        <f>130</f>
        <v>130</v>
      </c>
      <c r="AH249" s="2237"/>
      <c r="AI249" s="693">
        <f>123</f>
        <v>123</v>
      </c>
      <c r="AJ249" s="213"/>
      <c r="AK249" s="5"/>
      <c r="AL249" s="5"/>
      <c r="AM249" s="5"/>
      <c r="AN249" s="213"/>
      <c r="AO249" s="107"/>
    </row>
    <row r="250" spans="1:41" ht="15">
      <c r="A250" s="109"/>
      <c r="B250" s="5833">
        <v>9</v>
      </c>
      <c r="C250" s="117" t="s">
        <v>436</v>
      </c>
      <c r="D250" s="182"/>
      <c r="E250" s="119"/>
      <c r="F250" s="120">
        <v>30</v>
      </c>
      <c r="G250" s="120" t="s">
        <v>1592</v>
      </c>
      <c r="H250" s="120" t="s">
        <v>1631</v>
      </c>
      <c r="I250" s="2079" t="s">
        <v>1663</v>
      </c>
      <c r="J250" s="2080" t="s">
        <v>1658</v>
      </c>
      <c r="K250" s="123">
        <v>2</v>
      </c>
      <c r="L250" s="187">
        <v>0.37</v>
      </c>
      <c r="M250" s="2305">
        <v>2.31</v>
      </c>
      <c r="N250" s="699">
        <v>0.45</v>
      </c>
      <c r="O250" s="1827">
        <v>-0.31</v>
      </c>
      <c r="P250" s="1576">
        <v>1.53</v>
      </c>
      <c r="Q250" s="1436">
        <v>0.27</v>
      </c>
      <c r="R250" s="248">
        <v>0.55000000000000004</v>
      </c>
      <c r="S250" s="2084">
        <v>2</v>
      </c>
      <c r="T250" s="120">
        <v>18</v>
      </c>
      <c r="U250" s="702">
        <v>0.28000000000000003</v>
      </c>
      <c r="V250" s="1768">
        <v>0.5</v>
      </c>
      <c r="W250" s="1438">
        <v>0.06</v>
      </c>
      <c r="X250" s="2306">
        <v>0.77780000000000005</v>
      </c>
      <c r="Y250" s="256">
        <v>5</v>
      </c>
      <c r="Z250" s="201">
        <v>0</v>
      </c>
      <c r="AA250" s="1520">
        <v>9</v>
      </c>
      <c r="AB250" s="141">
        <v>2</v>
      </c>
      <c r="AC250" s="138">
        <v>1</v>
      </c>
      <c r="AD250" s="203">
        <v>1</v>
      </c>
      <c r="AE250" s="142">
        <v>0</v>
      </c>
      <c r="AF250" s="143">
        <v>0</v>
      </c>
      <c r="AG250" s="909">
        <v>-155</v>
      </c>
      <c r="AH250" s="2307"/>
      <c r="AI250" s="2308">
        <v>-178</v>
      </c>
      <c r="AJ250" s="119"/>
      <c r="AK250" s="640"/>
      <c r="AL250" s="640"/>
      <c r="AM250" s="640"/>
      <c r="AN250" s="119"/>
      <c r="AO250" s="107"/>
    </row>
    <row r="251" spans="1:41" ht="15">
      <c r="A251" s="109"/>
      <c r="B251" s="5832"/>
      <c r="C251" s="149" t="s">
        <v>437</v>
      </c>
      <c r="D251" s="212"/>
      <c r="E251" s="151"/>
      <c r="F251" s="152">
        <v>32</v>
      </c>
      <c r="G251" s="152" t="s">
        <v>1592</v>
      </c>
      <c r="H251" s="152" t="s">
        <v>1595</v>
      </c>
      <c r="I251" s="2087" t="s">
        <v>1794</v>
      </c>
      <c r="J251" s="2088" t="s">
        <v>1673</v>
      </c>
      <c r="K251" s="267">
        <v>3.74</v>
      </c>
      <c r="L251" s="2309">
        <v>0.39</v>
      </c>
      <c r="M251" s="1550">
        <v>4.41</v>
      </c>
      <c r="N251" s="1503">
        <v>0.45</v>
      </c>
      <c r="O251" s="2310">
        <v>-0.67</v>
      </c>
      <c r="P251" s="345">
        <v>1.37</v>
      </c>
      <c r="Q251" s="2311">
        <v>0.27</v>
      </c>
      <c r="R251" s="917">
        <v>0.68</v>
      </c>
      <c r="S251" s="2032">
        <v>0.3</v>
      </c>
      <c r="T251" s="152">
        <v>19</v>
      </c>
      <c r="U251" s="824">
        <v>0.26</v>
      </c>
      <c r="V251" s="2312">
        <v>0.21</v>
      </c>
      <c r="W251" s="1587">
        <v>0.16</v>
      </c>
      <c r="X251" s="579">
        <v>0.47370000000000001</v>
      </c>
      <c r="Y251" s="386">
        <v>5</v>
      </c>
      <c r="Z251" s="1296">
        <v>2</v>
      </c>
      <c r="AA251" s="826">
        <v>4</v>
      </c>
      <c r="AB251" s="1296">
        <v>3</v>
      </c>
      <c r="AC251" s="386">
        <v>3</v>
      </c>
      <c r="AD251" s="169">
        <v>1</v>
      </c>
      <c r="AE251" s="173">
        <v>0</v>
      </c>
      <c r="AF251" s="174">
        <v>0</v>
      </c>
      <c r="AG251" s="922">
        <f>135</f>
        <v>135</v>
      </c>
      <c r="AH251" s="2313"/>
      <c r="AI251" s="943">
        <f>153</f>
        <v>153</v>
      </c>
      <c r="AJ251" s="151"/>
      <c r="AK251" s="657"/>
      <c r="AL251" s="657"/>
      <c r="AM251" s="657"/>
      <c r="AN251" s="151"/>
      <c r="AO251" s="107"/>
    </row>
    <row r="252" spans="1:41" ht="15">
      <c r="A252" s="109"/>
      <c r="B252" s="5831">
        <v>10</v>
      </c>
      <c r="C252" s="181" t="s">
        <v>378</v>
      </c>
      <c r="D252" s="466"/>
      <c r="E252" s="183"/>
      <c r="F252" s="87">
        <v>29</v>
      </c>
      <c r="G252" s="87" t="s">
        <v>1588</v>
      </c>
      <c r="H252" s="87" t="s">
        <v>1618</v>
      </c>
      <c r="I252" s="2099" t="s">
        <v>1795</v>
      </c>
      <c r="J252" s="2100" t="s">
        <v>1661</v>
      </c>
      <c r="K252" s="1629">
        <v>2.4700000000000002</v>
      </c>
      <c r="L252" s="289">
        <v>0.39</v>
      </c>
      <c r="M252" s="781">
        <v>4.4000000000000004</v>
      </c>
      <c r="N252" s="193">
        <v>0.54</v>
      </c>
      <c r="O252" s="123">
        <v>-1.93</v>
      </c>
      <c r="P252" s="1576">
        <v>1.53</v>
      </c>
      <c r="Q252" s="2261">
        <v>0.4</v>
      </c>
      <c r="R252" s="368">
        <v>0.56000000000000005</v>
      </c>
      <c r="S252" s="2314">
        <v>1.3</v>
      </c>
      <c r="T252" s="87">
        <v>24</v>
      </c>
      <c r="U252" s="836">
        <v>0.13</v>
      </c>
      <c r="V252" s="474">
        <v>0.33</v>
      </c>
      <c r="W252" s="1140">
        <v>0.25</v>
      </c>
      <c r="X252" s="2315">
        <v>0.45829999999999999</v>
      </c>
      <c r="Y252" s="1441">
        <v>3</v>
      </c>
      <c r="Z252" s="302">
        <v>2</v>
      </c>
      <c r="AA252" s="2316">
        <v>8</v>
      </c>
      <c r="AB252" s="1616">
        <v>1</v>
      </c>
      <c r="AC252" s="979">
        <v>6</v>
      </c>
      <c r="AD252" s="2086">
        <v>4</v>
      </c>
      <c r="AE252" s="62">
        <v>0</v>
      </c>
      <c r="AF252" s="22">
        <v>0</v>
      </c>
      <c r="AG252" s="2317">
        <v>-335</v>
      </c>
      <c r="AH252" s="2318"/>
      <c r="AI252" s="2319">
        <v>-425</v>
      </c>
      <c r="AJ252" s="183"/>
      <c r="AK252" s="6"/>
      <c r="AL252" s="6"/>
      <c r="AM252" s="6"/>
      <c r="AN252" s="183"/>
      <c r="AO252" s="107"/>
    </row>
    <row r="253" spans="1:41" ht="15">
      <c r="A253" s="109"/>
      <c r="B253" s="5832"/>
      <c r="C253" s="211" t="s">
        <v>379</v>
      </c>
      <c r="D253" s="2320"/>
      <c r="E253" s="213"/>
      <c r="F253" s="85">
        <v>31</v>
      </c>
      <c r="G253" s="85" t="s">
        <v>1605</v>
      </c>
      <c r="H253" s="85" t="s">
        <v>1641</v>
      </c>
      <c r="I253" s="2107" t="s">
        <v>1680</v>
      </c>
      <c r="J253" s="2108" t="s">
        <v>1658</v>
      </c>
      <c r="K253" s="345">
        <v>3.69</v>
      </c>
      <c r="L253" s="1552">
        <v>0.52</v>
      </c>
      <c r="M253" s="343">
        <v>4.8099999999999996</v>
      </c>
      <c r="N253" s="222">
        <v>0.36</v>
      </c>
      <c r="O253" s="2321">
        <v>-1.1200000000000001</v>
      </c>
      <c r="P253" s="2322">
        <v>2.41</v>
      </c>
      <c r="Q253" s="219">
        <v>1</v>
      </c>
      <c r="R253" s="222">
        <v>0</v>
      </c>
      <c r="S253" s="223">
        <v>0</v>
      </c>
      <c r="T253" s="85">
        <v>9</v>
      </c>
      <c r="U253" s="2112">
        <v>0.56000000000000005</v>
      </c>
      <c r="V253" s="1252">
        <v>0.22</v>
      </c>
      <c r="W253" s="1975">
        <v>0.11</v>
      </c>
      <c r="X253" s="2323">
        <v>0.77780000000000005</v>
      </c>
      <c r="Y253" s="386">
        <v>5</v>
      </c>
      <c r="Z253" s="2269">
        <v>1</v>
      </c>
      <c r="AA253" s="386">
        <v>2</v>
      </c>
      <c r="AB253" s="171">
        <v>0</v>
      </c>
      <c r="AC253" s="354">
        <v>1</v>
      </c>
      <c r="AD253" s="171">
        <v>0</v>
      </c>
      <c r="AE253" s="233">
        <v>0</v>
      </c>
      <c r="AF253" s="23">
        <v>0</v>
      </c>
      <c r="AG253" s="1993">
        <f>275</f>
        <v>275</v>
      </c>
      <c r="AH253" s="2324"/>
      <c r="AI253" s="2325">
        <f>325</f>
        <v>325</v>
      </c>
      <c r="AJ253" s="213"/>
      <c r="AK253" s="5"/>
      <c r="AL253" s="5"/>
      <c r="AM253" s="5"/>
      <c r="AN253" s="213"/>
      <c r="AO253" s="107"/>
    </row>
    <row r="254" spans="1:41" ht="15">
      <c r="A254" s="109"/>
      <c r="B254" s="5833">
        <v>11</v>
      </c>
      <c r="C254" s="117" t="s">
        <v>1480</v>
      </c>
      <c r="D254" s="2326"/>
      <c r="E254" s="119"/>
      <c r="F254" s="120">
        <v>29</v>
      </c>
      <c r="G254" s="120" t="s">
        <v>1575</v>
      </c>
      <c r="H254" s="120" t="s">
        <v>1595</v>
      </c>
      <c r="I254" s="2079" t="s">
        <v>1796</v>
      </c>
      <c r="J254" s="2080" t="s">
        <v>1777</v>
      </c>
      <c r="K254" s="1316">
        <v>2.68</v>
      </c>
      <c r="L254" s="760">
        <v>0.42</v>
      </c>
      <c r="M254" s="1076">
        <v>3.29</v>
      </c>
      <c r="N254" s="525">
        <v>0.56000000000000005</v>
      </c>
      <c r="O254" s="2327">
        <v>-0.61</v>
      </c>
      <c r="P254" s="123">
        <v>0</v>
      </c>
      <c r="Q254" s="187">
        <v>0</v>
      </c>
      <c r="R254" s="243">
        <v>0.72</v>
      </c>
      <c r="S254" s="2328">
        <v>0.4</v>
      </c>
      <c r="T254" s="120">
        <v>14</v>
      </c>
      <c r="U254" s="1647">
        <v>0.36</v>
      </c>
      <c r="V254" s="297">
        <v>7.0000000000000007E-2</v>
      </c>
      <c r="W254" s="1733">
        <v>0.36</v>
      </c>
      <c r="X254" s="533">
        <v>0.42859999999999998</v>
      </c>
      <c r="Y254" s="256">
        <v>5</v>
      </c>
      <c r="Z254" s="2264">
        <v>1</v>
      </c>
      <c r="AA254" s="594">
        <v>1</v>
      </c>
      <c r="AB254" s="201">
        <v>0</v>
      </c>
      <c r="AC254" s="2289">
        <v>5</v>
      </c>
      <c r="AD254" s="203">
        <v>1</v>
      </c>
      <c r="AE254" s="142">
        <v>0</v>
      </c>
      <c r="AF254" s="143">
        <v>0</v>
      </c>
      <c r="AG254" s="2329">
        <v>-240</v>
      </c>
      <c r="AH254" s="2330"/>
      <c r="AI254" s="2331">
        <v>-186</v>
      </c>
      <c r="AJ254" s="119"/>
      <c r="AK254" s="640"/>
      <c r="AL254" s="640"/>
      <c r="AM254" s="640"/>
      <c r="AN254" s="119"/>
      <c r="AO254" s="107"/>
    </row>
    <row r="255" spans="1:41" ht="15">
      <c r="A255" s="109"/>
      <c r="B255" s="5832"/>
      <c r="C255" s="149" t="s">
        <v>1481</v>
      </c>
      <c r="D255" s="2332"/>
      <c r="E255" s="151"/>
      <c r="F255" s="152">
        <v>27</v>
      </c>
      <c r="G255" s="152" t="s">
        <v>1605</v>
      </c>
      <c r="H255" s="152" t="s">
        <v>1618</v>
      </c>
      <c r="I255" s="2087" t="s">
        <v>1680</v>
      </c>
      <c r="J255" s="2088" t="s">
        <v>1658</v>
      </c>
      <c r="K255" s="218">
        <v>13.6</v>
      </c>
      <c r="L255" s="2333">
        <v>0.64</v>
      </c>
      <c r="M255" s="383">
        <v>13.13</v>
      </c>
      <c r="N255" s="2334">
        <v>0.59</v>
      </c>
      <c r="O255" s="341">
        <f>0.47</f>
        <v>0.47</v>
      </c>
      <c r="P255" s="1931">
        <v>2</v>
      </c>
      <c r="Q255" s="2335">
        <v>0.66</v>
      </c>
      <c r="R255" s="219">
        <v>1</v>
      </c>
      <c r="S255" s="223">
        <v>0</v>
      </c>
      <c r="T255" s="152">
        <v>9</v>
      </c>
      <c r="U255" s="2112">
        <v>0.56000000000000005</v>
      </c>
      <c r="V255" s="384">
        <v>0</v>
      </c>
      <c r="W255" s="1387">
        <v>0.33</v>
      </c>
      <c r="X255" s="2336">
        <v>0.55559999999999998</v>
      </c>
      <c r="Y255" s="386">
        <v>5</v>
      </c>
      <c r="Z255" s="171">
        <v>0</v>
      </c>
      <c r="AA255" s="387">
        <v>0</v>
      </c>
      <c r="AB255" s="171">
        <v>0</v>
      </c>
      <c r="AC255" s="386">
        <v>3</v>
      </c>
      <c r="AD255" s="169">
        <v>1</v>
      </c>
      <c r="AE255" s="173">
        <v>0</v>
      </c>
      <c r="AF255" s="174">
        <v>0</v>
      </c>
      <c r="AG255" s="2337">
        <f>205</f>
        <v>205</v>
      </c>
      <c r="AH255" s="2338"/>
      <c r="AI255" s="2339">
        <f>161</f>
        <v>161</v>
      </c>
      <c r="AJ255" s="151"/>
      <c r="AK255" s="657"/>
      <c r="AL255" s="657"/>
      <c r="AM255" s="657"/>
      <c r="AN255" s="151"/>
      <c r="AO255" s="107"/>
    </row>
    <row r="256" spans="1:41" ht="15">
      <c r="A256" s="109"/>
      <c r="B256" s="5831">
        <v>12</v>
      </c>
      <c r="C256" s="181" t="s">
        <v>838</v>
      </c>
      <c r="D256" s="587"/>
      <c r="E256" s="183"/>
      <c r="F256" s="87">
        <v>28</v>
      </c>
      <c r="G256" s="87" t="s">
        <v>1644</v>
      </c>
      <c r="H256" s="87" t="s">
        <v>1631</v>
      </c>
      <c r="I256" s="2099" t="s">
        <v>1745</v>
      </c>
      <c r="J256" s="2100" t="s">
        <v>1658</v>
      </c>
      <c r="K256" s="2242">
        <v>3.42</v>
      </c>
      <c r="L256" s="2340">
        <v>0.52</v>
      </c>
      <c r="M256" s="2341">
        <v>1.81</v>
      </c>
      <c r="N256" s="2342">
        <v>0.62</v>
      </c>
      <c r="O256" s="2343">
        <f>1.61</f>
        <v>1.61</v>
      </c>
      <c r="P256" s="2344">
        <v>1.57</v>
      </c>
      <c r="Q256" s="2345">
        <v>0.23</v>
      </c>
      <c r="R256" s="187">
        <v>0</v>
      </c>
      <c r="S256" s="400">
        <v>3.7</v>
      </c>
      <c r="T256" s="87">
        <v>8</v>
      </c>
      <c r="U256" s="2021">
        <v>0.25</v>
      </c>
      <c r="V256" s="812">
        <v>0.63</v>
      </c>
      <c r="W256" s="195">
        <v>0</v>
      </c>
      <c r="X256" s="2346">
        <v>0.875</v>
      </c>
      <c r="Y256" s="1383">
        <v>2</v>
      </c>
      <c r="Z256" s="201">
        <v>0</v>
      </c>
      <c r="AA256" s="2347">
        <v>5</v>
      </c>
      <c r="AB256" s="201">
        <v>0</v>
      </c>
      <c r="AC256" s="200">
        <v>0</v>
      </c>
      <c r="AD256" s="203">
        <v>1</v>
      </c>
      <c r="AE256" s="62">
        <v>0</v>
      </c>
      <c r="AF256" s="22">
        <v>0</v>
      </c>
      <c r="AG256" s="1864">
        <v>-140</v>
      </c>
      <c r="AH256" s="2348"/>
      <c r="AI256" s="2349">
        <f>109</f>
        <v>109</v>
      </c>
      <c r="AJ256" s="183"/>
      <c r="AK256" s="6"/>
      <c r="AL256" s="6"/>
      <c r="AM256" s="6"/>
      <c r="AN256" s="183"/>
      <c r="AO256" s="107"/>
    </row>
    <row r="257" spans="1:41" ht="15">
      <c r="A257" s="109"/>
      <c r="B257" s="5832"/>
      <c r="C257" s="211" t="s">
        <v>839</v>
      </c>
      <c r="D257" s="600"/>
      <c r="E257" s="213"/>
      <c r="F257" s="85">
        <v>24</v>
      </c>
      <c r="G257" s="85" t="s">
        <v>1644</v>
      </c>
      <c r="H257" s="85" t="s">
        <v>1797</v>
      </c>
      <c r="I257" s="2107" t="s">
        <v>1731</v>
      </c>
      <c r="J257" s="2108" t="s">
        <v>1658</v>
      </c>
      <c r="K257" s="2350">
        <v>3.01</v>
      </c>
      <c r="L257" s="2351">
        <v>0.4</v>
      </c>
      <c r="M257" s="2352">
        <v>3.22</v>
      </c>
      <c r="N257" s="2311">
        <v>0.48</v>
      </c>
      <c r="O257" s="958">
        <v>-0.21</v>
      </c>
      <c r="P257" s="983">
        <v>2.04</v>
      </c>
      <c r="Q257" s="1739">
        <v>0.56000000000000005</v>
      </c>
      <c r="R257" s="2294">
        <v>0.71</v>
      </c>
      <c r="S257" s="1462">
        <v>0.5</v>
      </c>
      <c r="T257" s="85">
        <v>10</v>
      </c>
      <c r="U257" s="2353">
        <v>0.2</v>
      </c>
      <c r="V257" s="2181">
        <v>0.2</v>
      </c>
      <c r="W257" s="1540">
        <v>0.4</v>
      </c>
      <c r="X257" s="2354">
        <v>0.4</v>
      </c>
      <c r="Y257" s="1542">
        <v>2</v>
      </c>
      <c r="Z257" s="171">
        <v>0</v>
      </c>
      <c r="AA257" s="386">
        <v>2</v>
      </c>
      <c r="AB257" s="171">
        <v>0</v>
      </c>
      <c r="AC257" s="776">
        <v>4</v>
      </c>
      <c r="AD257" s="2097">
        <v>2</v>
      </c>
      <c r="AE257" s="233">
        <v>0</v>
      </c>
      <c r="AF257" s="23">
        <v>0</v>
      </c>
      <c r="AG257" s="2237">
        <f>120</f>
        <v>120</v>
      </c>
      <c r="AH257" s="2355"/>
      <c r="AI257" s="2356">
        <v>-129</v>
      </c>
      <c r="AJ257" s="213"/>
      <c r="AK257" s="5"/>
      <c r="AL257" s="5"/>
      <c r="AM257" s="5"/>
      <c r="AN257" s="213"/>
      <c r="AO257" s="107"/>
    </row>
    <row r="258" spans="1:41" ht="15">
      <c r="A258" s="109"/>
      <c r="B258" s="5833">
        <v>13</v>
      </c>
      <c r="C258" s="117" t="s">
        <v>13</v>
      </c>
      <c r="D258" s="2357"/>
      <c r="E258" s="119"/>
      <c r="F258" s="120">
        <v>31</v>
      </c>
      <c r="G258" s="120" t="s">
        <v>1592</v>
      </c>
      <c r="H258" s="120" t="s">
        <v>1624</v>
      </c>
      <c r="I258" s="2079" t="s">
        <v>1765</v>
      </c>
      <c r="J258" s="2080" t="s">
        <v>1673</v>
      </c>
      <c r="K258" s="2358">
        <v>13</v>
      </c>
      <c r="L258" s="2359">
        <v>0.65</v>
      </c>
      <c r="M258" s="1169">
        <v>4</v>
      </c>
      <c r="N258" s="2360">
        <v>0.63</v>
      </c>
      <c r="O258" s="926">
        <f>9</f>
        <v>9</v>
      </c>
      <c r="P258" s="123">
        <v>0</v>
      </c>
      <c r="Q258" s="187">
        <v>0</v>
      </c>
      <c r="R258" s="187">
        <v>0</v>
      </c>
      <c r="S258" s="131">
        <v>0</v>
      </c>
      <c r="T258" s="120">
        <v>11</v>
      </c>
      <c r="U258" s="2119">
        <v>0.55000000000000004</v>
      </c>
      <c r="V258" s="195">
        <v>0</v>
      </c>
      <c r="W258" s="1178">
        <v>0.18</v>
      </c>
      <c r="X258" s="2361">
        <v>0.54549999999999998</v>
      </c>
      <c r="Y258" s="1352">
        <v>6</v>
      </c>
      <c r="Z258" s="2264">
        <v>1</v>
      </c>
      <c r="AA258" s="200">
        <v>0</v>
      </c>
      <c r="AB258" s="201">
        <v>0</v>
      </c>
      <c r="AC258" s="672">
        <v>2</v>
      </c>
      <c r="AD258" s="2160">
        <v>2</v>
      </c>
      <c r="AE258" s="142">
        <v>0</v>
      </c>
      <c r="AF258" s="143">
        <v>0</v>
      </c>
      <c r="AG258" s="2362">
        <v>-220</v>
      </c>
      <c r="AH258" s="909"/>
      <c r="AI258" s="2363">
        <v>-158</v>
      </c>
      <c r="AJ258" s="119"/>
      <c r="AK258" s="640"/>
      <c r="AL258" s="640"/>
      <c r="AM258" s="640"/>
      <c r="AN258" s="119"/>
      <c r="AO258" s="107"/>
    </row>
    <row r="259" spans="1:41" ht="15">
      <c r="A259" s="109"/>
      <c r="B259" s="5832"/>
      <c r="C259" s="149" t="s">
        <v>14</v>
      </c>
      <c r="D259" s="2364"/>
      <c r="E259" s="151"/>
      <c r="F259" s="152">
        <v>37</v>
      </c>
      <c r="G259" s="152" t="s">
        <v>1653</v>
      </c>
      <c r="H259" s="152" t="s">
        <v>1626</v>
      </c>
      <c r="I259" s="2087" t="s">
        <v>1798</v>
      </c>
      <c r="J259" s="2088" t="s">
        <v>1658</v>
      </c>
      <c r="K259" s="1581">
        <v>3.07</v>
      </c>
      <c r="L259" s="2365">
        <v>0.42</v>
      </c>
      <c r="M259" s="2366">
        <v>3.55</v>
      </c>
      <c r="N259" s="897">
        <v>0.51</v>
      </c>
      <c r="O259" s="1773">
        <v>-0.48</v>
      </c>
      <c r="P259" s="2367">
        <v>1.03</v>
      </c>
      <c r="Q259" s="1570">
        <v>0.36</v>
      </c>
      <c r="R259" s="1059">
        <v>0.47</v>
      </c>
      <c r="S259" s="1479">
        <v>0.8</v>
      </c>
      <c r="T259" s="152">
        <v>19</v>
      </c>
      <c r="U259" s="2368">
        <v>0.37</v>
      </c>
      <c r="V259" s="1817">
        <v>0.16</v>
      </c>
      <c r="W259" s="1975">
        <v>0.11</v>
      </c>
      <c r="X259" s="1295">
        <v>0.52629999999999999</v>
      </c>
      <c r="Y259" s="964">
        <v>7</v>
      </c>
      <c r="Z259" s="171">
        <v>0</v>
      </c>
      <c r="AA259" s="2369">
        <v>3</v>
      </c>
      <c r="AB259" s="2370">
        <v>6</v>
      </c>
      <c r="AC259" s="279">
        <v>2</v>
      </c>
      <c r="AD259" s="169">
        <v>1</v>
      </c>
      <c r="AE259" s="173">
        <v>0</v>
      </c>
      <c r="AF259" s="174">
        <v>0</v>
      </c>
      <c r="AG259" s="2371">
        <f>185</f>
        <v>185</v>
      </c>
      <c r="AH259" s="922"/>
      <c r="AI259" s="1994">
        <f>138</f>
        <v>138</v>
      </c>
      <c r="AJ259" s="151"/>
      <c r="AK259" s="657"/>
      <c r="AL259" s="657"/>
      <c r="AM259" s="657"/>
      <c r="AN259" s="151"/>
      <c r="AO259" s="107"/>
    </row>
    <row r="260" spans="1:41" ht="12.75">
      <c r="A260" s="10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620"/>
    </row>
    <row r="265" spans="1:41" ht="12.75">
      <c r="A265" s="106" t="s">
        <v>1799</v>
      </c>
    </row>
    <row r="266" spans="1:41" ht="12.75">
      <c r="A266" s="108"/>
      <c r="B266" s="108"/>
      <c r="C266" s="107"/>
      <c r="D266" s="108"/>
      <c r="E266" s="108"/>
      <c r="F266" s="108"/>
      <c r="G266" s="108"/>
      <c r="H266" s="108"/>
      <c r="I266" s="108"/>
      <c r="J266" s="108"/>
      <c r="K266" s="108"/>
      <c r="L266" s="108"/>
      <c r="M266" s="108"/>
      <c r="N266" s="108"/>
      <c r="O266" s="108"/>
      <c r="P266" s="108"/>
      <c r="Q266" s="108"/>
      <c r="R266" s="108"/>
      <c r="S266" s="108"/>
      <c r="T266" s="108"/>
      <c r="U266" s="108"/>
      <c r="V266" s="108"/>
      <c r="W266" s="108"/>
      <c r="X266" s="108"/>
      <c r="Y266" s="108"/>
      <c r="Z266" s="108"/>
      <c r="AA266" s="108"/>
      <c r="AB266" s="108"/>
      <c r="AC266" s="108"/>
      <c r="AD266" s="108"/>
      <c r="AE266" s="108"/>
      <c r="AF266" s="108"/>
      <c r="AG266" s="108"/>
      <c r="AH266" s="108"/>
      <c r="AI266" s="108"/>
      <c r="AJ266" s="108"/>
      <c r="AK266" s="108"/>
      <c r="AL266" s="108"/>
      <c r="AM266" s="108"/>
      <c r="AN266" s="107"/>
      <c r="AO266" s="620"/>
    </row>
    <row r="267" spans="1:41">
      <c r="A267" s="109"/>
      <c r="B267" s="5834" t="s">
        <v>1524</v>
      </c>
      <c r="C267" s="5840" t="s">
        <v>1525</v>
      </c>
      <c r="D267" s="5841" t="s">
        <v>1526</v>
      </c>
      <c r="E267" s="5836"/>
      <c r="F267" s="5836"/>
      <c r="G267" s="5836"/>
      <c r="H267" s="5836"/>
      <c r="I267" s="5836"/>
      <c r="J267" s="5832"/>
      <c r="K267" s="5837" t="s">
        <v>1527</v>
      </c>
      <c r="L267" s="5836"/>
      <c r="M267" s="5836"/>
      <c r="N267" s="5836"/>
      <c r="O267" s="5832"/>
      <c r="P267" s="5838" t="s">
        <v>1528</v>
      </c>
      <c r="Q267" s="5836"/>
      <c r="R267" s="5836"/>
      <c r="S267" s="5832"/>
      <c r="T267" s="5839" t="s">
        <v>1529</v>
      </c>
      <c r="U267" s="5836"/>
      <c r="V267" s="5836"/>
      <c r="W267" s="5836"/>
      <c r="X267" s="5836"/>
      <c r="Y267" s="5836"/>
      <c r="Z267" s="5836"/>
      <c r="AA267" s="5836"/>
      <c r="AB267" s="5836"/>
      <c r="AC267" s="5836"/>
      <c r="AD267" s="5836"/>
      <c r="AE267" s="5836"/>
      <c r="AF267" s="5832"/>
      <c r="AG267" s="5842" t="s">
        <v>1530</v>
      </c>
      <c r="AH267" s="5836"/>
      <c r="AI267" s="5836"/>
      <c r="AJ267" s="5836"/>
      <c r="AK267" s="5836"/>
      <c r="AL267" s="5836"/>
      <c r="AM267" s="5836"/>
      <c r="AN267" s="5832"/>
      <c r="AO267" s="107"/>
    </row>
    <row r="268" spans="1:41" ht="15">
      <c r="A268" s="109"/>
      <c r="B268" s="5832"/>
      <c r="C268" s="5832"/>
      <c r="D268" s="111" t="s">
        <v>1531</v>
      </c>
      <c r="E268" s="112" t="s">
        <v>1532</v>
      </c>
      <c r="F268" s="111" t="s">
        <v>1533</v>
      </c>
      <c r="G268" s="111" t="s">
        <v>1534</v>
      </c>
      <c r="H268" s="111" t="s">
        <v>1535</v>
      </c>
      <c r="I268" s="111" t="s">
        <v>1536</v>
      </c>
      <c r="J268" s="111" t="s">
        <v>1537</v>
      </c>
      <c r="K268" s="111" t="s">
        <v>1538</v>
      </c>
      <c r="L268" s="111" t="s">
        <v>1539</v>
      </c>
      <c r="M268" s="111" t="s">
        <v>1540</v>
      </c>
      <c r="N268" s="111" t="s">
        <v>1541</v>
      </c>
      <c r="O268" s="111" t="s">
        <v>1542</v>
      </c>
      <c r="P268" s="111" t="s">
        <v>1543</v>
      </c>
      <c r="Q268" s="111" t="s">
        <v>1544</v>
      </c>
      <c r="R268" s="111" t="s">
        <v>1545</v>
      </c>
      <c r="S268" s="111" t="s">
        <v>1546</v>
      </c>
      <c r="T268" s="111" t="s">
        <v>1547</v>
      </c>
      <c r="U268" s="111" t="s">
        <v>1548</v>
      </c>
      <c r="V268" s="111" t="s">
        <v>1549</v>
      </c>
      <c r="W268" s="111" t="s">
        <v>1550</v>
      </c>
      <c r="X268" s="112" t="s">
        <v>1551</v>
      </c>
      <c r="Y268" s="113" t="s">
        <v>1552</v>
      </c>
      <c r="Z268" s="114" t="s">
        <v>1553</v>
      </c>
      <c r="AA268" s="113" t="s">
        <v>1554</v>
      </c>
      <c r="AB268" s="114" t="s">
        <v>1555</v>
      </c>
      <c r="AC268" s="115" t="s">
        <v>1556</v>
      </c>
      <c r="AD268" s="114" t="s">
        <v>1557</v>
      </c>
      <c r="AE268" s="113" t="s">
        <v>1558</v>
      </c>
      <c r="AF268" s="116" t="s">
        <v>1559</v>
      </c>
      <c r="AG268" s="111" t="s">
        <v>1560</v>
      </c>
      <c r="AH268" s="111"/>
      <c r="AI268" s="112" t="s">
        <v>1561</v>
      </c>
      <c r="AJ268" s="111" t="s">
        <v>1562</v>
      </c>
      <c r="AK268" s="111" t="s">
        <v>1563</v>
      </c>
      <c r="AL268" s="111" t="s">
        <v>1564</v>
      </c>
      <c r="AM268" s="111" t="s">
        <v>1565</v>
      </c>
      <c r="AN268" s="112" t="s">
        <v>1566</v>
      </c>
      <c r="AO268" s="107"/>
    </row>
    <row r="269" spans="1:41" ht="15">
      <c r="A269" s="109"/>
      <c r="B269" s="5833">
        <v>1</v>
      </c>
      <c r="C269" s="117" t="s">
        <v>1082</v>
      </c>
      <c r="D269" s="2372"/>
      <c r="E269" s="119"/>
      <c r="F269" s="120">
        <v>29</v>
      </c>
      <c r="G269" s="120" t="s">
        <v>1605</v>
      </c>
      <c r="H269" s="120" t="s">
        <v>1616</v>
      </c>
      <c r="I269" s="2079" t="s">
        <v>1800</v>
      </c>
      <c r="J269" s="2080" t="s">
        <v>1801</v>
      </c>
      <c r="K269" s="2373">
        <v>7.25</v>
      </c>
      <c r="L269" s="2374">
        <v>0.61</v>
      </c>
      <c r="M269" s="2375">
        <v>3.51</v>
      </c>
      <c r="N269" s="2376">
        <v>0.61</v>
      </c>
      <c r="O269" s="2377">
        <f>3.74</f>
        <v>3.74</v>
      </c>
      <c r="P269" s="2378">
        <v>0.43</v>
      </c>
      <c r="Q269" s="2379">
        <v>0.42</v>
      </c>
      <c r="R269" s="2380">
        <v>0.62</v>
      </c>
      <c r="S269" s="2381">
        <v>0.4</v>
      </c>
      <c r="T269" s="120">
        <v>19</v>
      </c>
      <c r="U269" s="2382">
        <v>0.63160000000000005</v>
      </c>
      <c r="V269" s="2383">
        <v>5.2600000000000001E-2</v>
      </c>
      <c r="W269" s="2384">
        <v>0.21049999999999999</v>
      </c>
      <c r="X269" s="2385">
        <v>0.68420000000000003</v>
      </c>
      <c r="Y269" s="1882">
        <v>12</v>
      </c>
      <c r="Z269" s="203">
        <v>1</v>
      </c>
      <c r="AA269" s="138">
        <v>1</v>
      </c>
      <c r="AB269" s="201">
        <v>0</v>
      </c>
      <c r="AC269" s="1419">
        <v>4</v>
      </c>
      <c r="AD269" s="201">
        <v>0</v>
      </c>
      <c r="AE269" s="142">
        <v>0</v>
      </c>
      <c r="AF269" s="143">
        <v>0</v>
      </c>
      <c r="AG269" s="2386">
        <v>-220</v>
      </c>
      <c r="AH269" s="933"/>
      <c r="AI269" s="477">
        <v>-275</v>
      </c>
      <c r="AJ269" s="1372"/>
      <c r="AK269" s="640"/>
      <c r="AL269" s="640"/>
      <c r="AM269" s="640"/>
      <c r="AN269" s="119"/>
      <c r="AO269" s="107"/>
    </row>
    <row r="270" spans="1:41" ht="15">
      <c r="A270" s="109"/>
      <c r="B270" s="5832"/>
      <c r="C270" s="149" t="s">
        <v>1083</v>
      </c>
      <c r="D270" s="2387"/>
      <c r="E270" s="151"/>
      <c r="F270" s="152">
        <v>31</v>
      </c>
      <c r="G270" s="152" t="s">
        <v>1630</v>
      </c>
      <c r="H270" s="152" t="s">
        <v>1618</v>
      </c>
      <c r="I270" s="2087" t="s">
        <v>1802</v>
      </c>
      <c r="J270" s="2088" t="s">
        <v>1658</v>
      </c>
      <c r="K270" s="2388">
        <v>4.37</v>
      </c>
      <c r="L270" s="2389">
        <v>0.5</v>
      </c>
      <c r="M270" s="2390">
        <v>5.16</v>
      </c>
      <c r="N270" s="2391">
        <v>0.51</v>
      </c>
      <c r="O270" s="2392">
        <v>-0.79</v>
      </c>
      <c r="P270" s="2393">
        <v>0.57999999999999996</v>
      </c>
      <c r="Q270" s="2394">
        <v>0.39</v>
      </c>
      <c r="R270" s="2395">
        <v>0.7</v>
      </c>
      <c r="S270" s="2396">
        <v>0.9</v>
      </c>
      <c r="T270" s="152">
        <v>32</v>
      </c>
      <c r="U270" s="2397">
        <v>0.25</v>
      </c>
      <c r="V270" s="2398">
        <v>0.3125</v>
      </c>
      <c r="W270" s="2399">
        <v>0.15620000000000001</v>
      </c>
      <c r="X270" s="2400">
        <v>0.5625</v>
      </c>
      <c r="Y270" s="580">
        <v>8</v>
      </c>
      <c r="Z270" s="171">
        <v>0</v>
      </c>
      <c r="AA270" s="2401">
        <v>10</v>
      </c>
      <c r="AB270" s="171">
        <v>0</v>
      </c>
      <c r="AC270" s="386">
        <v>5</v>
      </c>
      <c r="AD270" s="1030">
        <v>8</v>
      </c>
      <c r="AE270" s="173">
        <v>0</v>
      </c>
      <c r="AF270" s="174">
        <v>0</v>
      </c>
      <c r="AG270" s="2402">
        <f>185</f>
        <v>185</v>
      </c>
      <c r="AH270" s="2403"/>
      <c r="AI270" s="2404">
        <f>235</f>
        <v>235</v>
      </c>
      <c r="AJ270" s="151"/>
      <c r="AK270" s="657"/>
      <c r="AL270" s="657"/>
      <c r="AM270" s="657"/>
      <c r="AN270" s="151"/>
      <c r="AO270" s="107"/>
    </row>
    <row r="271" spans="1:41" ht="15">
      <c r="A271" s="109"/>
      <c r="B271" s="5831">
        <v>2</v>
      </c>
      <c r="C271" s="181" t="s">
        <v>846</v>
      </c>
      <c r="D271" s="2405"/>
      <c r="E271" s="183"/>
      <c r="F271" s="87">
        <v>35</v>
      </c>
      <c r="G271" s="87" t="s">
        <v>1588</v>
      </c>
      <c r="H271" s="87" t="s">
        <v>1616</v>
      </c>
      <c r="I271" s="2099" t="s">
        <v>1803</v>
      </c>
      <c r="J271" s="2100" t="s">
        <v>1673</v>
      </c>
      <c r="K271" s="2406">
        <v>5.49</v>
      </c>
      <c r="L271" s="2389">
        <v>0.5</v>
      </c>
      <c r="M271" s="2407">
        <v>4.3</v>
      </c>
      <c r="N271" s="2380">
        <v>0.53</v>
      </c>
      <c r="O271" s="2408">
        <f>1.19</f>
        <v>1.19</v>
      </c>
      <c r="P271" s="2409">
        <v>1.36</v>
      </c>
      <c r="Q271" s="2410">
        <v>0.36</v>
      </c>
      <c r="R271" s="2410">
        <v>0.63</v>
      </c>
      <c r="S271" s="2411">
        <v>1.2</v>
      </c>
      <c r="T271" s="87">
        <v>38</v>
      </c>
      <c r="U271" s="2412">
        <v>0.3947</v>
      </c>
      <c r="V271" s="2413">
        <v>0.1842</v>
      </c>
      <c r="W271" s="2414">
        <v>0.1842</v>
      </c>
      <c r="X271" s="2415">
        <v>0.57889999999999997</v>
      </c>
      <c r="Y271" s="136">
        <v>15</v>
      </c>
      <c r="Z271" s="1006">
        <v>3</v>
      </c>
      <c r="AA271" s="1650">
        <v>7</v>
      </c>
      <c r="AB271" s="1579">
        <v>3</v>
      </c>
      <c r="AC271" s="2289">
        <v>7</v>
      </c>
      <c r="AD271" s="203">
        <v>2</v>
      </c>
      <c r="AE271" s="62">
        <v>0</v>
      </c>
      <c r="AF271" s="22">
        <v>0</v>
      </c>
      <c r="AG271" s="840">
        <f>130</f>
        <v>130</v>
      </c>
      <c r="AH271" s="2416"/>
      <c r="AI271" s="2417">
        <f>170</f>
        <v>170</v>
      </c>
      <c r="AJ271" s="54"/>
      <c r="AK271" s="6"/>
      <c r="AL271" s="6"/>
      <c r="AM271" s="6"/>
      <c r="AN271" s="183"/>
      <c r="AO271" s="107"/>
    </row>
    <row r="272" spans="1:41" ht="15">
      <c r="A272" s="109"/>
      <c r="B272" s="5832"/>
      <c r="C272" s="211" t="s">
        <v>847</v>
      </c>
      <c r="D272" s="2418"/>
      <c r="E272" s="213"/>
      <c r="F272" s="85">
        <v>28</v>
      </c>
      <c r="G272" s="85" t="s">
        <v>1605</v>
      </c>
      <c r="H272" s="85" t="s">
        <v>1595</v>
      </c>
      <c r="I272" s="2107" t="s">
        <v>1804</v>
      </c>
      <c r="J272" s="2108" t="s">
        <v>1666</v>
      </c>
      <c r="K272" s="2419">
        <v>5.53</v>
      </c>
      <c r="L272" s="2420">
        <v>0.52</v>
      </c>
      <c r="M272" s="2421">
        <v>5.2</v>
      </c>
      <c r="N272" s="2422">
        <v>0.44</v>
      </c>
      <c r="O272" s="2423">
        <f>0.33</f>
        <v>0.33</v>
      </c>
      <c r="P272" s="2424">
        <v>4.55</v>
      </c>
      <c r="Q272" s="2410">
        <v>0.36</v>
      </c>
      <c r="R272" s="2425">
        <v>0.66</v>
      </c>
      <c r="S272" s="2426">
        <v>1.4</v>
      </c>
      <c r="T272" s="85">
        <v>15</v>
      </c>
      <c r="U272" s="2427">
        <v>0.26669999999999999</v>
      </c>
      <c r="V272" s="2428">
        <v>0.6</v>
      </c>
      <c r="W272" s="2429">
        <v>0</v>
      </c>
      <c r="X272" s="2430">
        <v>0.86670000000000003</v>
      </c>
      <c r="Y272" s="2431">
        <v>4</v>
      </c>
      <c r="Z272" s="171">
        <v>0</v>
      </c>
      <c r="AA272" s="2432">
        <v>9</v>
      </c>
      <c r="AB272" s="171">
        <v>0</v>
      </c>
      <c r="AC272" s="387">
        <v>0</v>
      </c>
      <c r="AD272" s="459">
        <v>1</v>
      </c>
      <c r="AE272" s="233">
        <v>0</v>
      </c>
      <c r="AF272" s="23">
        <v>0</v>
      </c>
      <c r="AG272" s="2433">
        <v>-150</v>
      </c>
      <c r="AH272" s="2434"/>
      <c r="AI272" s="2435">
        <v>-200</v>
      </c>
      <c r="AJ272" s="213"/>
      <c r="AK272" s="5"/>
      <c r="AL272" s="5"/>
      <c r="AM272" s="5"/>
      <c r="AN272" s="213"/>
      <c r="AO272" s="107"/>
    </row>
    <row r="273" spans="1:41" ht="15">
      <c r="A273" s="109"/>
      <c r="B273" s="5833">
        <v>3</v>
      </c>
      <c r="C273" s="117" t="s">
        <v>1226</v>
      </c>
      <c r="D273" s="2436"/>
      <c r="E273" s="119"/>
      <c r="F273" s="120">
        <v>31</v>
      </c>
      <c r="G273" s="120" t="s">
        <v>1567</v>
      </c>
      <c r="H273" s="120" t="s">
        <v>1681</v>
      </c>
      <c r="I273" s="2079" t="s">
        <v>1805</v>
      </c>
      <c r="J273" s="2080" t="s">
        <v>1661</v>
      </c>
      <c r="K273" s="2437">
        <v>4.3899999999999997</v>
      </c>
      <c r="L273" s="2438">
        <v>0.49</v>
      </c>
      <c r="M273" s="2439">
        <v>3.22</v>
      </c>
      <c r="N273" s="2391">
        <v>0.51</v>
      </c>
      <c r="O273" s="2440">
        <f>1.17</f>
        <v>1.17</v>
      </c>
      <c r="P273" s="2441">
        <v>0.78</v>
      </c>
      <c r="Q273" s="2442">
        <v>0.38</v>
      </c>
      <c r="R273" s="2443">
        <v>0.53</v>
      </c>
      <c r="S273" s="2444">
        <v>0.5</v>
      </c>
      <c r="T273" s="120">
        <v>36</v>
      </c>
      <c r="U273" s="2445">
        <v>0.36109999999999998</v>
      </c>
      <c r="V273" s="2446">
        <v>0.22220000000000001</v>
      </c>
      <c r="W273" s="2447">
        <v>0.1111</v>
      </c>
      <c r="X273" s="2448">
        <v>0.58330000000000004</v>
      </c>
      <c r="Y273" s="2449">
        <v>13</v>
      </c>
      <c r="Z273" s="203">
        <v>1</v>
      </c>
      <c r="AA273" s="2450">
        <v>8</v>
      </c>
      <c r="AB273" s="1579">
        <v>3</v>
      </c>
      <c r="AC273" s="1419">
        <v>4</v>
      </c>
      <c r="AD273" s="1084">
        <v>6</v>
      </c>
      <c r="AE273" s="142">
        <v>0</v>
      </c>
      <c r="AF273" s="143">
        <v>0</v>
      </c>
      <c r="AG273" s="2451">
        <v>-135</v>
      </c>
      <c r="AH273" s="2452"/>
      <c r="AI273" s="2453">
        <v>-132</v>
      </c>
      <c r="AJ273" s="1372"/>
      <c r="AK273" s="640"/>
      <c r="AL273" s="640"/>
      <c r="AM273" s="640"/>
      <c r="AN273" s="119"/>
      <c r="AO273" s="107"/>
    </row>
    <row r="274" spans="1:41" ht="15">
      <c r="A274" s="109"/>
      <c r="B274" s="5832"/>
      <c r="C274" s="149" t="s">
        <v>1227</v>
      </c>
      <c r="D274" s="2454"/>
      <c r="E274" s="151"/>
      <c r="F274" s="152">
        <v>36</v>
      </c>
      <c r="G274" s="152" t="s">
        <v>1567</v>
      </c>
      <c r="H274" s="152" t="s">
        <v>1568</v>
      </c>
      <c r="I274" s="2087" t="s">
        <v>1806</v>
      </c>
      <c r="J274" s="2088" t="s">
        <v>1658</v>
      </c>
      <c r="K274" s="2455">
        <v>4.53</v>
      </c>
      <c r="L274" s="2456">
        <v>0.76</v>
      </c>
      <c r="M274" s="2457">
        <v>0.45</v>
      </c>
      <c r="N274" s="2456">
        <v>0.77</v>
      </c>
      <c r="O274" s="2373">
        <f>4.08</f>
        <v>4.08</v>
      </c>
      <c r="P274" s="2458">
        <v>3.4</v>
      </c>
      <c r="Q274" s="2456">
        <v>1</v>
      </c>
      <c r="R274" s="2456">
        <v>1</v>
      </c>
      <c r="S274" s="2459">
        <v>0</v>
      </c>
      <c r="T274" s="152">
        <v>23</v>
      </c>
      <c r="U274" s="2460">
        <v>0.56520000000000004</v>
      </c>
      <c r="V274" s="2461">
        <v>0.13039999999999999</v>
      </c>
      <c r="W274" s="2462">
        <v>0.21740000000000001</v>
      </c>
      <c r="X274" s="2463">
        <v>0.69569999999999999</v>
      </c>
      <c r="Y274" s="2464">
        <v>13</v>
      </c>
      <c r="Z274" s="169">
        <v>1</v>
      </c>
      <c r="AA274" s="386">
        <v>3</v>
      </c>
      <c r="AB274" s="171">
        <v>0</v>
      </c>
      <c r="AC274" s="386">
        <v>5</v>
      </c>
      <c r="AD274" s="459">
        <v>1</v>
      </c>
      <c r="AE274" s="173">
        <v>0</v>
      </c>
      <c r="AF274" s="174">
        <v>0</v>
      </c>
      <c r="AG274" s="2465">
        <f>115</f>
        <v>115</v>
      </c>
      <c r="AH274" s="2238"/>
      <c r="AI274" s="2239">
        <f>112</f>
        <v>112</v>
      </c>
      <c r="AJ274" s="151"/>
      <c r="AK274" s="657"/>
      <c r="AL274" s="657"/>
      <c r="AM274" s="657"/>
      <c r="AN274" s="151"/>
      <c r="AO274" s="107"/>
    </row>
    <row r="275" spans="1:41" ht="15">
      <c r="A275" s="109"/>
      <c r="B275" s="5831">
        <v>4</v>
      </c>
      <c r="C275" s="181" t="s">
        <v>1232</v>
      </c>
      <c r="D275" s="2466"/>
      <c r="E275" s="183"/>
      <c r="F275" s="87">
        <v>37</v>
      </c>
      <c r="G275" s="87" t="s">
        <v>1575</v>
      </c>
      <c r="H275" s="87" t="s">
        <v>1641</v>
      </c>
      <c r="I275" s="2099" t="s">
        <v>1807</v>
      </c>
      <c r="J275" s="2100" t="s">
        <v>1673</v>
      </c>
      <c r="K275" s="2467">
        <v>3.36</v>
      </c>
      <c r="L275" s="2380">
        <v>0.48</v>
      </c>
      <c r="M275" s="2468">
        <v>3.34</v>
      </c>
      <c r="N275" s="2438">
        <v>0.54</v>
      </c>
      <c r="O275" s="2469">
        <f>0.02</f>
        <v>0.02</v>
      </c>
      <c r="P275" s="2470">
        <v>1.95</v>
      </c>
      <c r="Q275" s="2471">
        <v>0.35</v>
      </c>
      <c r="R275" s="2472">
        <v>0.47</v>
      </c>
      <c r="S275" s="2444">
        <v>0.5</v>
      </c>
      <c r="T275" s="87">
        <v>28</v>
      </c>
      <c r="U275" s="2473">
        <v>0.21429999999999999</v>
      </c>
      <c r="V275" s="2474">
        <v>0.32140000000000002</v>
      </c>
      <c r="W275" s="2475">
        <v>0.25</v>
      </c>
      <c r="X275" s="2476">
        <v>0.53569999999999995</v>
      </c>
      <c r="Y275" s="2477">
        <v>6</v>
      </c>
      <c r="Z275" s="302">
        <v>2</v>
      </c>
      <c r="AA275" s="2478">
        <v>9</v>
      </c>
      <c r="AB275" s="201">
        <v>0</v>
      </c>
      <c r="AC275" s="2289">
        <v>7</v>
      </c>
      <c r="AD275" s="2479">
        <v>4</v>
      </c>
      <c r="AE275" s="62">
        <v>0</v>
      </c>
      <c r="AF275" s="22">
        <v>0</v>
      </c>
      <c r="AG275" s="2480">
        <v>-115</v>
      </c>
      <c r="AH275" s="2481"/>
      <c r="AI275" s="507">
        <f>144</f>
        <v>144</v>
      </c>
      <c r="AJ275" s="54"/>
      <c r="AK275" s="6"/>
      <c r="AL275" s="6"/>
      <c r="AM275" s="6"/>
      <c r="AN275" s="183"/>
      <c r="AO275" s="107"/>
    </row>
    <row r="276" spans="1:41" ht="15">
      <c r="A276" s="109"/>
      <c r="B276" s="5832"/>
      <c r="C276" s="211" t="s">
        <v>1233</v>
      </c>
      <c r="D276" s="2482"/>
      <c r="E276" s="213"/>
      <c r="F276" s="85">
        <v>27</v>
      </c>
      <c r="G276" s="85" t="s">
        <v>1605</v>
      </c>
      <c r="H276" s="85" t="s">
        <v>1595</v>
      </c>
      <c r="I276" s="2107" t="s">
        <v>1808</v>
      </c>
      <c r="J276" s="2108" t="s">
        <v>1666</v>
      </c>
      <c r="K276" s="2483">
        <v>7.2</v>
      </c>
      <c r="L276" s="2484">
        <v>0.53</v>
      </c>
      <c r="M276" s="2485">
        <v>4.83</v>
      </c>
      <c r="N276" s="2486">
        <v>0.67</v>
      </c>
      <c r="O276" s="2487">
        <f>2.37</f>
        <v>2.37</v>
      </c>
      <c r="P276" s="2488">
        <v>0.27</v>
      </c>
      <c r="Q276" s="2489">
        <v>0.2</v>
      </c>
      <c r="R276" s="2490">
        <v>0.82</v>
      </c>
      <c r="S276" s="2491">
        <v>0.3</v>
      </c>
      <c r="T276" s="85">
        <v>18</v>
      </c>
      <c r="U276" s="2492">
        <v>0.61109999999999998</v>
      </c>
      <c r="V276" s="2493">
        <v>0.1111</v>
      </c>
      <c r="W276" s="2494">
        <v>0.16669999999999999</v>
      </c>
      <c r="X276" s="2495">
        <v>0.72219999999999995</v>
      </c>
      <c r="Y276" s="355">
        <v>11</v>
      </c>
      <c r="Z276" s="169">
        <v>1</v>
      </c>
      <c r="AA276" s="279">
        <v>2</v>
      </c>
      <c r="AB276" s="422">
        <v>1</v>
      </c>
      <c r="AC276" s="1604">
        <v>3</v>
      </c>
      <c r="AD276" s="171">
        <v>0</v>
      </c>
      <c r="AE276" s="233">
        <v>0</v>
      </c>
      <c r="AF276" s="23">
        <v>0</v>
      </c>
      <c r="AG276" s="2496">
        <v>-105</v>
      </c>
      <c r="AH276" s="2497"/>
      <c r="AI276" s="2498">
        <v>-164</v>
      </c>
      <c r="AJ276" s="213"/>
      <c r="AK276" s="5"/>
      <c r="AL276" s="5"/>
      <c r="AM276" s="5"/>
      <c r="AN276" s="213"/>
      <c r="AO276" s="107"/>
    </row>
    <row r="277" spans="1:41" ht="15">
      <c r="A277" s="109"/>
      <c r="B277" s="5833">
        <v>5</v>
      </c>
      <c r="C277" s="117" t="s">
        <v>134</v>
      </c>
      <c r="D277" s="2499"/>
      <c r="E277" s="119"/>
      <c r="F277" s="120">
        <v>31</v>
      </c>
      <c r="G277" s="120" t="s">
        <v>1592</v>
      </c>
      <c r="H277" s="120" t="s">
        <v>1624</v>
      </c>
      <c r="I277" s="2079" t="s">
        <v>1781</v>
      </c>
      <c r="J277" s="2080" t="s">
        <v>1751</v>
      </c>
      <c r="K277" s="2500">
        <v>5.03</v>
      </c>
      <c r="L277" s="2484">
        <v>0.53</v>
      </c>
      <c r="M277" s="2501">
        <v>4.26</v>
      </c>
      <c r="N277" s="2502">
        <v>0.59</v>
      </c>
      <c r="O277" s="2503">
        <f>0.77</f>
        <v>0.77</v>
      </c>
      <c r="P277" s="2504">
        <v>1.71</v>
      </c>
      <c r="Q277" s="2505">
        <v>0.52</v>
      </c>
      <c r="R277" s="2506">
        <v>0.85</v>
      </c>
      <c r="S277" s="2507">
        <v>0.1</v>
      </c>
      <c r="T277" s="120">
        <v>21</v>
      </c>
      <c r="U277" s="2508">
        <v>0.33329999999999999</v>
      </c>
      <c r="V277" s="2509">
        <v>4.7600000000000003E-2</v>
      </c>
      <c r="W277" s="2510">
        <v>0.38100000000000001</v>
      </c>
      <c r="X277" s="2511">
        <v>0.38100000000000001</v>
      </c>
      <c r="Y277" s="2512">
        <v>7</v>
      </c>
      <c r="Z277" s="201">
        <v>0</v>
      </c>
      <c r="AA277" s="138">
        <v>1</v>
      </c>
      <c r="AB277" s="201">
        <v>0</v>
      </c>
      <c r="AC277" s="979">
        <v>8</v>
      </c>
      <c r="AD277" s="2479">
        <v>4</v>
      </c>
      <c r="AE277" s="142">
        <v>0</v>
      </c>
      <c r="AF277" s="137">
        <v>1</v>
      </c>
      <c r="AG277" s="2480">
        <v>-115</v>
      </c>
      <c r="AH277" s="2513"/>
      <c r="AI277" s="2514">
        <v>-113</v>
      </c>
      <c r="AJ277" s="1372"/>
      <c r="AK277" s="640"/>
      <c r="AL277" s="640"/>
      <c r="AM277" s="640"/>
      <c r="AN277" s="119"/>
      <c r="AO277" s="107"/>
    </row>
    <row r="278" spans="1:41" ht="15">
      <c r="A278" s="109"/>
      <c r="B278" s="5832"/>
      <c r="C278" s="149" t="s">
        <v>50</v>
      </c>
      <c r="D278" s="2515"/>
      <c r="E278" s="151"/>
      <c r="F278" s="152">
        <v>26</v>
      </c>
      <c r="G278" s="152" t="s">
        <v>1630</v>
      </c>
      <c r="H278" s="152" t="s">
        <v>1624</v>
      </c>
      <c r="I278" s="2087" t="s">
        <v>1809</v>
      </c>
      <c r="J278" s="2088" t="s">
        <v>1658</v>
      </c>
      <c r="K278" s="2388">
        <v>4.38</v>
      </c>
      <c r="L278" s="2516">
        <v>0.42</v>
      </c>
      <c r="M278" s="2517">
        <v>3.73</v>
      </c>
      <c r="N278" s="2518">
        <v>0.56999999999999995</v>
      </c>
      <c r="O278" s="2519">
        <f>0.65</f>
        <v>0.65</v>
      </c>
      <c r="P278" s="2520">
        <v>0.63</v>
      </c>
      <c r="Q278" s="2521">
        <v>0.57999999999999996</v>
      </c>
      <c r="R278" s="2505">
        <v>0.73</v>
      </c>
      <c r="S278" s="2522">
        <v>0.2</v>
      </c>
      <c r="T278" s="152">
        <v>30</v>
      </c>
      <c r="U278" s="2523">
        <v>0.3</v>
      </c>
      <c r="V278" s="2524">
        <v>0.1</v>
      </c>
      <c r="W278" s="2525">
        <v>0.3</v>
      </c>
      <c r="X278" s="2526">
        <v>0.4</v>
      </c>
      <c r="Y278" s="613">
        <v>9</v>
      </c>
      <c r="Z278" s="1296">
        <v>2</v>
      </c>
      <c r="AA278" s="386">
        <v>3</v>
      </c>
      <c r="AB278" s="171">
        <v>0</v>
      </c>
      <c r="AC278" s="800">
        <v>9</v>
      </c>
      <c r="AD278" s="2527">
        <v>4</v>
      </c>
      <c r="AE278" s="173">
        <v>0</v>
      </c>
      <c r="AF278" s="753">
        <v>1</v>
      </c>
      <c r="AG278" s="2496">
        <v>-105</v>
      </c>
      <c r="AH278" s="85"/>
      <c r="AI278" s="23">
        <v>-107</v>
      </c>
      <c r="AJ278" s="151"/>
      <c r="AK278" s="657"/>
      <c r="AL278" s="657"/>
      <c r="AM278" s="657"/>
      <c r="AN278" s="151"/>
      <c r="AO278" s="107"/>
    </row>
    <row r="279" spans="1:41" ht="15">
      <c r="A279" s="109"/>
      <c r="B279" s="5831">
        <v>6</v>
      </c>
      <c r="C279" s="181" t="s">
        <v>600</v>
      </c>
      <c r="D279" s="2528"/>
      <c r="E279" s="183"/>
      <c r="F279" s="87">
        <v>33</v>
      </c>
      <c r="G279" s="87" t="s">
        <v>1585</v>
      </c>
      <c r="H279" s="87" t="s">
        <v>1572</v>
      </c>
      <c r="I279" s="2099" t="s">
        <v>1665</v>
      </c>
      <c r="J279" s="2100" t="s">
        <v>1673</v>
      </c>
      <c r="K279" s="2529">
        <v>3.56</v>
      </c>
      <c r="L279" s="2438">
        <v>0.49</v>
      </c>
      <c r="M279" s="2530">
        <v>1.89</v>
      </c>
      <c r="N279" s="2502">
        <v>0.59</v>
      </c>
      <c r="O279" s="2531">
        <f>1.67</f>
        <v>1.67</v>
      </c>
      <c r="P279" s="2373">
        <v>5.93</v>
      </c>
      <c r="Q279" s="2532">
        <v>0.53</v>
      </c>
      <c r="R279" s="2533">
        <v>0.33</v>
      </c>
      <c r="S279" s="2459">
        <v>0</v>
      </c>
      <c r="T279" s="87">
        <v>22</v>
      </c>
      <c r="U279" s="2534">
        <v>0.54549999999999998</v>
      </c>
      <c r="V279" s="2429">
        <v>0</v>
      </c>
      <c r="W279" s="2535">
        <v>0.2273</v>
      </c>
      <c r="X279" s="2536">
        <v>0.54549999999999998</v>
      </c>
      <c r="Y279" s="1882">
        <v>12</v>
      </c>
      <c r="Z279" s="137">
        <v>4</v>
      </c>
      <c r="AA279" s="200">
        <v>0</v>
      </c>
      <c r="AB279" s="201">
        <v>0</v>
      </c>
      <c r="AC279" s="256">
        <v>5</v>
      </c>
      <c r="AD279" s="201">
        <v>0</v>
      </c>
      <c r="AE279" s="62">
        <v>0</v>
      </c>
      <c r="AF279" s="22">
        <v>0</v>
      </c>
      <c r="AG279" s="2537">
        <f>160</f>
        <v>160</v>
      </c>
      <c r="AH279" s="87"/>
      <c r="AI279" s="22">
        <v>-108</v>
      </c>
      <c r="AJ279" s="54"/>
      <c r="AK279" s="6"/>
      <c r="AL279" s="6"/>
      <c r="AM279" s="6"/>
      <c r="AN279" s="183"/>
      <c r="AO279" s="107"/>
    </row>
    <row r="280" spans="1:41" ht="15">
      <c r="A280" s="109"/>
      <c r="B280" s="5832"/>
      <c r="C280" s="211" t="s">
        <v>601</v>
      </c>
      <c r="D280" s="2538"/>
      <c r="E280" s="213"/>
      <c r="F280" s="85">
        <v>32</v>
      </c>
      <c r="G280" s="85" t="s">
        <v>1567</v>
      </c>
      <c r="H280" s="85" t="s">
        <v>1568</v>
      </c>
      <c r="I280" s="2107" t="s">
        <v>1810</v>
      </c>
      <c r="J280" s="2108" t="s">
        <v>1666</v>
      </c>
      <c r="K280" s="2539">
        <v>2.78</v>
      </c>
      <c r="L280" s="2540">
        <v>0.64</v>
      </c>
      <c r="M280" s="2541">
        <v>0.52</v>
      </c>
      <c r="N280" s="2542">
        <v>0.43</v>
      </c>
      <c r="O280" s="2543">
        <f>2.26</f>
        <v>2.2599999999999998</v>
      </c>
      <c r="P280" s="2544">
        <v>5.14</v>
      </c>
      <c r="Q280" s="2545">
        <v>0.55000000000000004</v>
      </c>
      <c r="R280" s="2546">
        <v>0.75</v>
      </c>
      <c r="S280" s="2547">
        <v>2.4</v>
      </c>
      <c r="T280" s="85">
        <v>22</v>
      </c>
      <c r="U280" s="2548">
        <v>0.31819999999999998</v>
      </c>
      <c r="V280" s="2549">
        <v>0.5</v>
      </c>
      <c r="W280" s="2550">
        <v>4.5499999999999999E-2</v>
      </c>
      <c r="X280" s="2551">
        <v>0.81820000000000004</v>
      </c>
      <c r="Y280" s="2552">
        <v>7</v>
      </c>
      <c r="Z280" s="169">
        <v>1</v>
      </c>
      <c r="AA280" s="229">
        <v>11</v>
      </c>
      <c r="AB280" s="171">
        <v>0</v>
      </c>
      <c r="AC280" s="1467">
        <v>1</v>
      </c>
      <c r="AD280" s="459">
        <v>1</v>
      </c>
      <c r="AE280" s="233">
        <v>0</v>
      </c>
      <c r="AF280" s="23">
        <v>0</v>
      </c>
      <c r="AG280" s="1940">
        <v>-200</v>
      </c>
      <c r="AH280" s="2553"/>
      <c r="AI280" s="2554">
        <v>-112</v>
      </c>
      <c r="AJ280" s="213"/>
      <c r="AK280" s="5"/>
      <c r="AL280" s="5"/>
      <c r="AM280" s="5"/>
      <c r="AN280" s="213"/>
      <c r="AO280" s="107"/>
    </row>
    <row r="281" spans="1:41" ht="15">
      <c r="A281" s="109"/>
      <c r="B281" s="5833">
        <v>7</v>
      </c>
      <c r="C281" s="117" t="s">
        <v>1403</v>
      </c>
      <c r="D281" s="2555"/>
      <c r="E281" s="119"/>
      <c r="F281" s="120">
        <v>35</v>
      </c>
      <c r="G281" s="120" t="s">
        <v>1588</v>
      </c>
      <c r="H281" s="120" t="s">
        <v>1631</v>
      </c>
      <c r="I281" s="2079" t="s">
        <v>1776</v>
      </c>
      <c r="J281" s="2080" t="s">
        <v>1658</v>
      </c>
      <c r="K281" s="2556">
        <v>4.59</v>
      </c>
      <c r="L281" s="2557">
        <v>0.34</v>
      </c>
      <c r="M281" s="2558">
        <v>4.41</v>
      </c>
      <c r="N281" s="2559">
        <v>0.63</v>
      </c>
      <c r="O281" s="2560">
        <f>0.18</f>
        <v>0.18</v>
      </c>
      <c r="P281" s="2488">
        <v>0.27</v>
      </c>
      <c r="Q281" s="2561">
        <v>0.15</v>
      </c>
      <c r="R281" s="2562">
        <v>0.54</v>
      </c>
      <c r="S281" s="2491">
        <v>0.3</v>
      </c>
      <c r="T281" s="120">
        <v>23</v>
      </c>
      <c r="U281" s="2563">
        <v>8.6999999999999994E-2</v>
      </c>
      <c r="V281" s="2564">
        <v>4.3499999999999997E-2</v>
      </c>
      <c r="W281" s="2428">
        <v>0.6522</v>
      </c>
      <c r="X281" s="2565">
        <v>0.13039999999999999</v>
      </c>
      <c r="Y281" s="2566">
        <v>2</v>
      </c>
      <c r="Z281" s="302">
        <v>2</v>
      </c>
      <c r="AA281" s="138">
        <v>1</v>
      </c>
      <c r="AB281" s="201">
        <v>0</v>
      </c>
      <c r="AC281" s="765">
        <v>15</v>
      </c>
      <c r="AD281" s="2264">
        <v>3</v>
      </c>
      <c r="AE281" s="142">
        <v>0</v>
      </c>
      <c r="AF281" s="143">
        <v>0</v>
      </c>
      <c r="AG281" s="2567">
        <f>165</f>
        <v>165</v>
      </c>
      <c r="AH281" s="2416"/>
      <c r="AI281" s="2417">
        <f>170</f>
        <v>170</v>
      </c>
      <c r="AJ281" s="1372"/>
      <c r="AK281" s="640"/>
      <c r="AL281" s="640"/>
      <c r="AM281" s="640"/>
      <c r="AN281" s="119"/>
      <c r="AO281" s="107"/>
    </row>
    <row r="282" spans="1:41" ht="15">
      <c r="A282" s="109"/>
      <c r="B282" s="5832"/>
      <c r="C282" s="149" t="s">
        <v>1404</v>
      </c>
      <c r="D282" s="2568"/>
      <c r="E282" s="151"/>
      <c r="F282" s="152">
        <v>25</v>
      </c>
      <c r="G282" s="152" t="s">
        <v>1623</v>
      </c>
      <c r="H282" s="152" t="s">
        <v>1659</v>
      </c>
      <c r="I282" s="2087" t="s">
        <v>1811</v>
      </c>
      <c r="J282" s="2088" t="s">
        <v>1666</v>
      </c>
      <c r="K282" s="2569">
        <v>4.5999999999999996</v>
      </c>
      <c r="L282" s="2420">
        <v>0.52</v>
      </c>
      <c r="M282" s="2570">
        <v>2.72</v>
      </c>
      <c r="N282" s="2438">
        <v>0.54</v>
      </c>
      <c r="O282" s="2571">
        <f>1.88</f>
        <v>1.88</v>
      </c>
      <c r="P282" s="2529">
        <v>1.1399999999999999</v>
      </c>
      <c r="Q282" s="2471">
        <v>0.35</v>
      </c>
      <c r="R282" s="2572">
        <v>0.45</v>
      </c>
      <c r="S282" s="2507">
        <v>0.1</v>
      </c>
      <c r="T282" s="152">
        <v>15</v>
      </c>
      <c r="U282" s="2573">
        <v>0.4</v>
      </c>
      <c r="V282" s="2574">
        <v>0.1333</v>
      </c>
      <c r="W282" s="2575">
        <v>0.33329999999999999</v>
      </c>
      <c r="X282" s="2476">
        <v>0.5333</v>
      </c>
      <c r="Y282" s="2576">
        <v>6</v>
      </c>
      <c r="Z282" s="171">
        <v>0</v>
      </c>
      <c r="AA282" s="279">
        <v>2</v>
      </c>
      <c r="AB282" s="171">
        <v>0</v>
      </c>
      <c r="AC282" s="386">
        <v>5</v>
      </c>
      <c r="AD282" s="169">
        <v>2</v>
      </c>
      <c r="AE282" s="173">
        <v>0</v>
      </c>
      <c r="AF282" s="174">
        <v>0</v>
      </c>
      <c r="AG282" s="2577">
        <v>-190</v>
      </c>
      <c r="AH282" s="2434"/>
      <c r="AI282" s="2435">
        <v>-200</v>
      </c>
      <c r="AJ282" s="151"/>
      <c r="AK282" s="657"/>
      <c r="AL282" s="657"/>
      <c r="AM282" s="657"/>
      <c r="AN282" s="151"/>
      <c r="AO282" s="107"/>
    </row>
    <row r="283" spans="1:41" ht="15">
      <c r="A283" s="109"/>
      <c r="B283" s="5831">
        <v>8</v>
      </c>
      <c r="C283" s="181" t="s">
        <v>851</v>
      </c>
      <c r="D283" s="2578"/>
      <c r="E283" s="183"/>
      <c r="F283" s="87">
        <v>33</v>
      </c>
      <c r="G283" s="87" t="s">
        <v>1575</v>
      </c>
      <c r="H283" s="87" t="s">
        <v>1618</v>
      </c>
      <c r="I283" s="2099" t="s">
        <v>1812</v>
      </c>
      <c r="J283" s="2100" t="s">
        <v>1658</v>
      </c>
      <c r="K283" s="2579">
        <v>2.97</v>
      </c>
      <c r="L283" s="2389">
        <v>0.5</v>
      </c>
      <c r="M283" s="2580">
        <v>3.17</v>
      </c>
      <c r="N283" s="2581">
        <v>0.6</v>
      </c>
      <c r="O283" s="2582">
        <v>-0.2</v>
      </c>
      <c r="P283" s="2583">
        <v>4.3600000000000003</v>
      </c>
      <c r="Q283" s="2422">
        <v>0.3</v>
      </c>
      <c r="R283" s="2584">
        <v>0.9</v>
      </c>
      <c r="S283" s="2522">
        <v>0.2</v>
      </c>
      <c r="T283" s="87">
        <v>26</v>
      </c>
      <c r="U283" s="2585">
        <v>0.30769999999999997</v>
      </c>
      <c r="V283" s="2586">
        <v>0.1923</v>
      </c>
      <c r="W283" s="2587">
        <v>0.3846</v>
      </c>
      <c r="X283" s="2588">
        <v>0.5</v>
      </c>
      <c r="Y283" s="140">
        <v>8</v>
      </c>
      <c r="Z283" s="201">
        <v>0</v>
      </c>
      <c r="AA283" s="1696">
        <v>5</v>
      </c>
      <c r="AB283" s="201">
        <v>0</v>
      </c>
      <c r="AC283" s="736">
        <v>10</v>
      </c>
      <c r="AD283" s="203">
        <v>2</v>
      </c>
      <c r="AE283" s="62">
        <v>0</v>
      </c>
      <c r="AF283" s="22">
        <v>0</v>
      </c>
      <c r="AG283" s="2589">
        <v>-400</v>
      </c>
      <c r="AH283" s="2590"/>
      <c r="AI283" s="2591">
        <v>-455</v>
      </c>
      <c r="AJ283" s="54"/>
      <c r="AK283" s="6"/>
      <c r="AL283" s="6"/>
      <c r="AM283" s="6"/>
      <c r="AN283" s="183"/>
      <c r="AO283" s="107"/>
    </row>
    <row r="284" spans="1:41" ht="15">
      <c r="A284" s="109"/>
      <c r="B284" s="5832"/>
      <c r="C284" s="211" t="s">
        <v>852</v>
      </c>
      <c r="D284" s="2592"/>
      <c r="E284" s="213"/>
      <c r="F284" s="85">
        <v>39</v>
      </c>
      <c r="G284" s="85" t="s">
        <v>1630</v>
      </c>
      <c r="H284" s="85" t="s">
        <v>1618</v>
      </c>
      <c r="I284" s="2107" t="s">
        <v>1813</v>
      </c>
      <c r="J284" s="2108" t="s">
        <v>1673</v>
      </c>
      <c r="K284" s="2593">
        <v>3.52</v>
      </c>
      <c r="L284" s="2594">
        <v>0.47</v>
      </c>
      <c r="M284" s="2595">
        <v>3.19</v>
      </c>
      <c r="N284" s="2581">
        <v>0.6</v>
      </c>
      <c r="O284" s="2423">
        <f>0.33</f>
        <v>0.33</v>
      </c>
      <c r="P284" s="2596">
        <v>2.0099999999999998</v>
      </c>
      <c r="Q284" s="2471">
        <v>0.35</v>
      </c>
      <c r="R284" s="2597">
        <v>0.56000000000000005</v>
      </c>
      <c r="S284" s="2598">
        <v>0.6</v>
      </c>
      <c r="T284" s="85">
        <v>47</v>
      </c>
      <c r="U284" s="2599">
        <v>0.10639999999999999</v>
      </c>
      <c r="V284" s="2600">
        <v>0.23400000000000001</v>
      </c>
      <c r="W284" s="2601">
        <v>0.34039999999999998</v>
      </c>
      <c r="X284" s="2602">
        <v>0.34039999999999998</v>
      </c>
      <c r="Y284" s="2603">
        <v>5</v>
      </c>
      <c r="Z284" s="1030">
        <v>3</v>
      </c>
      <c r="AA284" s="229">
        <v>11</v>
      </c>
      <c r="AB284" s="422">
        <v>1</v>
      </c>
      <c r="AC284" s="229">
        <v>16</v>
      </c>
      <c r="AD284" s="753">
        <v>11</v>
      </c>
      <c r="AE284" s="233">
        <v>0</v>
      </c>
      <c r="AF284" s="23">
        <v>0</v>
      </c>
      <c r="AG284" s="2604">
        <f>330</f>
        <v>330</v>
      </c>
      <c r="AH284" s="2605"/>
      <c r="AI284" s="2606">
        <f>355</f>
        <v>355</v>
      </c>
      <c r="AJ284" s="213"/>
      <c r="AK284" s="5"/>
      <c r="AL284" s="5"/>
      <c r="AM284" s="5"/>
      <c r="AN284" s="213"/>
      <c r="AO284" s="107"/>
    </row>
    <row r="285" spans="1:41" ht="15">
      <c r="A285" s="109"/>
      <c r="B285" s="5833">
        <v>9</v>
      </c>
      <c r="C285" s="117" t="s">
        <v>139</v>
      </c>
      <c r="D285" s="2607"/>
      <c r="E285" s="119"/>
      <c r="F285" s="120">
        <v>37</v>
      </c>
      <c r="G285" s="120" t="s">
        <v>1653</v>
      </c>
      <c r="H285" s="120" t="s">
        <v>1659</v>
      </c>
      <c r="I285" s="2079" t="s">
        <v>1814</v>
      </c>
      <c r="J285" s="2080" t="s">
        <v>1729</v>
      </c>
      <c r="K285" s="2608">
        <v>5.45</v>
      </c>
      <c r="L285" s="2609">
        <v>0.43</v>
      </c>
      <c r="M285" s="2392">
        <v>6.14</v>
      </c>
      <c r="N285" s="2425">
        <v>0.56000000000000005</v>
      </c>
      <c r="O285" s="2610">
        <v>-0.69</v>
      </c>
      <c r="P285" s="2611">
        <v>0.47</v>
      </c>
      <c r="Q285" s="2533">
        <v>0.19</v>
      </c>
      <c r="R285" s="2490">
        <v>0.82</v>
      </c>
      <c r="S285" s="2444">
        <v>0.5</v>
      </c>
      <c r="T285" s="120">
        <v>30</v>
      </c>
      <c r="U285" s="2383">
        <v>0.16669999999999999</v>
      </c>
      <c r="V285" s="2612">
        <v>0.26669999999999999</v>
      </c>
      <c r="W285" s="2613">
        <v>0.23330000000000001</v>
      </c>
      <c r="X285" s="2614">
        <v>0.43330000000000002</v>
      </c>
      <c r="Y285" s="2615">
        <v>5</v>
      </c>
      <c r="Z285" s="201">
        <v>0</v>
      </c>
      <c r="AA285" s="2450">
        <v>8</v>
      </c>
      <c r="AB285" s="201">
        <v>0</v>
      </c>
      <c r="AC285" s="2289">
        <v>7</v>
      </c>
      <c r="AD285" s="1006">
        <v>8</v>
      </c>
      <c r="AE285" s="142">
        <v>0</v>
      </c>
      <c r="AF285" s="143">
        <v>0</v>
      </c>
      <c r="AG285" s="2616">
        <f>170</f>
        <v>170</v>
      </c>
      <c r="AH285" s="2617"/>
      <c r="AI285" s="2618">
        <f>180</f>
        <v>180</v>
      </c>
      <c r="AJ285" s="1372"/>
      <c r="AK285" s="640"/>
      <c r="AL285" s="640"/>
      <c r="AM285" s="640"/>
      <c r="AN285" s="119"/>
      <c r="AO285" s="107"/>
    </row>
    <row r="286" spans="1:41" ht="15">
      <c r="A286" s="109"/>
      <c r="B286" s="5832"/>
      <c r="C286" s="149" t="s">
        <v>140</v>
      </c>
      <c r="D286" s="2619"/>
      <c r="E286" s="151"/>
      <c r="F286" s="152">
        <v>28</v>
      </c>
      <c r="G286" s="152" t="s">
        <v>1630</v>
      </c>
      <c r="H286" s="152" t="s">
        <v>1616</v>
      </c>
      <c r="I286" s="2087" t="s">
        <v>1672</v>
      </c>
      <c r="J286" s="2088" t="s">
        <v>1658</v>
      </c>
      <c r="K286" s="2620">
        <v>5.36</v>
      </c>
      <c r="L286" s="2621">
        <v>0.46</v>
      </c>
      <c r="M286" s="2622">
        <v>3.36</v>
      </c>
      <c r="N286" s="2376">
        <v>0.61</v>
      </c>
      <c r="O286" s="2608">
        <f>2</f>
        <v>2</v>
      </c>
      <c r="P286" s="2623">
        <v>2.87</v>
      </c>
      <c r="Q286" s="2624">
        <v>0.46</v>
      </c>
      <c r="R286" s="2395">
        <v>0.7</v>
      </c>
      <c r="S286" s="2598">
        <v>0.6</v>
      </c>
      <c r="T286" s="152">
        <v>13</v>
      </c>
      <c r="U286" s="2625">
        <v>0.3846</v>
      </c>
      <c r="V286" s="2445">
        <v>0.15379999999999999</v>
      </c>
      <c r="W286" s="2626">
        <v>0.30769999999999997</v>
      </c>
      <c r="X286" s="2627">
        <v>0.53849999999999998</v>
      </c>
      <c r="Y286" s="2603">
        <v>5</v>
      </c>
      <c r="Z286" s="171">
        <v>0</v>
      </c>
      <c r="AA286" s="279">
        <v>2</v>
      </c>
      <c r="AB286" s="171">
        <v>0</v>
      </c>
      <c r="AC286" s="1486">
        <v>4</v>
      </c>
      <c r="AD286" s="169">
        <v>2</v>
      </c>
      <c r="AE286" s="173">
        <v>0</v>
      </c>
      <c r="AF286" s="174">
        <v>0</v>
      </c>
      <c r="AG286" s="1940">
        <v>-200</v>
      </c>
      <c r="AH286" s="2628"/>
      <c r="AI286" s="801">
        <v>-210</v>
      </c>
      <c r="AJ286" s="151"/>
      <c r="AK286" s="657"/>
      <c r="AL286" s="657"/>
      <c r="AM286" s="657"/>
      <c r="AN286" s="151"/>
      <c r="AO286" s="107"/>
    </row>
    <row r="287" spans="1:41" ht="15">
      <c r="A287" s="109"/>
      <c r="B287" s="5831">
        <v>10</v>
      </c>
      <c r="C287" s="181" t="s">
        <v>639</v>
      </c>
      <c r="D287" s="2629"/>
      <c r="E287" s="183"/>
      <c r="F287" s="87">
        <v>30</v>
      </c>
      <c r="G287" s="87" t="s">
        <v>1603</v>
      </c>
      <c r="H287" s="87" t="s">
        <v>1622</v>
      </c>
      <c r="I287" s="2099" t="s">
        <v>1815</v>
      </c>
      <c r="J287" s="2100" t="s">
        <v>1673</v>
      </c>
      <c r="K287" s="2630">
        <v>4.63</v>
      </c>
      <c r="L287" s="2609">
        <v>0.43</v>
      </c>
      <c r="M287" s="2631">
        <v>3.29</v>
      </c>
      <c r="N287" s="2597">
        <v>0.48</v>
      </c>
      <c r="O287" s="2632">
        <f>1.34</f>
        <v>1.34</v>
      </c>
      <c r="P287" s="2633">
        <v>4.75</v>
      </c>
      <c r="Q287" s="2521">
        <v>0.57999999999999996</v>
      </c>
      <c r="R287" s="2634">
        <v>0.77</v>
      </c>
      <c r="S287" s="2459">
        <v>0</v>
      </c>
      <c r="T287" s="87">
        <v>28</v>
      </c>
      <c r="U287" s="2626">
        <v>0.46429999999999999</v>
      </c>
      <c r="V287" s="2635">
        <v>7.1400000000000005E-2</v>
      </c>
      <c r="W287" s="2636">
        <v>7.1400000000000005E-2</v>
      </c>
      <c r="X287" s="2476">
        <v>0.53569999999999995</v>
      </c>
      <c r="Y287" s="2449">
        <v>13</v>
      </c>
      <c r="Z287" s="1006">
        <v>3</v>
      </c>
      <c r="AA287" s="672">
        <v>2</v>
      </c>
      <c r="AB287" s="333">
        <v>4</v>
      </c>
      <c r="AC287" s="1383">
        <v>2</v>
      </c>
      <c r="AD287" s="373">
        <v>1</v>
      </c>
      <c r="AE287" s="62">
        <v>0</v>
      </c>
      <c r="AF287" s="137">
        <v>1</v>
      </c>
      <c r="AG287" s="2637">
        <v>-175</v>
      </c>
      <c r="AH287" s="2638"/>
      <c r="AI287" s="2639">
        <v>-145</v>
      </c>
      <c r="AJ287" s="54"/>
      <c r="AK287" s="6"/>
      <c r="AL287" s="6"/>
      <c r="AM287" s="6"/>
      <c r="AN287" s="183"/>
      <c r="AO287" s="107"/>
    </row>
    <row r="288" spans="1:41" ht="15">
      <c r="A288" s="109"/>
      <c r="B288" s="5832"/>
      <c r="C288" s="211" t="s">
        <v>640</v>
      </c>
      <c r="D288" s="2640"/>
      <c r="E288" s="213"/>
      <c r="F288" s="85">
        <v>38</v>
      </c>
      <c r="G288" s="85" t="s">
        <v>1571</v>
      </c>
      <c r="H288" s="85" t="s">
        <v>1597</v>
      </c>
      <c r="I288" s="2107" t="s">
        <v>1758</v>
      </c>
      <c r="J288" s="2108" t="s">
        <v>1661</v>
      </c>
      <c r="K288" s="2529">
        <v>3.59</v>
      </c>
      <c r="L288" s="2621">
        <v>0.46</v>
      </c>
      <c r="M288" s="2517">
        <v>3.73</v>
      </c>
      <c r="N288" s="2422">
        <v>0.44</v>
      </c>
      <c r="O288" s="2641">
        <v>-0.14000000000000001</v>
      </c>
      <c r="P288" s="2642">
        <v>1.55</v>
      </c>
      <c r="Q288" s="2471">
        <v>0.35</v>
      </c>
      <c r="R288" s="2456">
        <v>1</v>
      </c>
      <c r="S288" s="2459">
        <v>0</v>
      </c>
      <c r="T288" s="85">
        <v>22</v>
      </c>
      <c r="U288" s="2643">
        <v>0.40910000000000002</v>
      </c>
      <c r="V288" s="2413">
        <v>0.18179999999999999</v>
      </c>
      <c r="W288" s="2414">
        <v>0.18179999999999999</v>
      </c>
      <c r="X288" s="2644">
        <v>0.59089999999999998</v>
      </c>
      <c r="Y288" s="613">
        <v>9</v>
      </c>
      <c r="Z288" s="753">
        <v>4</v>
      </c>
      <c r="AA288" s="1429">
        <v>4</v>
      </c>
      <c r="AB288" s="171">
        <v>0</v>
      </c>
      <c r="AC288" s="1486">
        <v>4</v>
      </c>
      <c r="AD288" s="459">
        <v>1</v>
      </c>
      <c r="AE288" s="233">
        <v>0</v>
      </c>
      <c r="AF288" s="23">
        <v>0</v>
      </c>
      <c r="AG288" s="2285">
        <f>150</f>
        <v>150</v>
      </c>
      <c r="AH288" s="2645"/>
      <c r="AI288" s="2646">
        <f>125</f>
        <v>125</v>
      </c>
      <c r="AJ288" s="213"/>
      <c r="AK288" s="5"/>
      <c r="AL288" s="5"/>
      <c r="AM288" s="5"/>
      <c r="AN288" s="213"/>
      <c r="AO288" s="107"/>
    </row>
    <row r="289" spans="1:41" ht="15">
      <c r="A289" s="109"/>
      <c r="B289" s="5833">
        <v>11</v>
      </c>
      <c r="C289" s="117" t="s">
        <v>970</v>
      </c>
      <c r="D289" s="2647"/>
      <c r="E289" s="119"/>
      <c r="F289" s="120">
        <v>30</v>
      </c>
      <c r="G289" s="120" t="s">
        <v>1603</v>
      </c>
      <c r="H289" s="120" t="s">
        <v>1595</v>
      </c>
      <c r="I289" s="2079" t="s">
        <v>1816</v>
      </c>
      <c r="J289" s="2080" t="s">
        <v>1666</v>
      </c>
      <c r="K289" s="2648">
        <v>5.09</v>
      </c>
      <c r="L289" s="2484">
        <v>0.53</v>
      </c>
      <c r="M289" s="2517">
        <v>3.74</v>
      </c>
      <c r="N289" s="2649">
        <v>0.57999999999999996</v>
      </c>
      <c r="O289" s="2596">
        <f>1.35</f>
        <v>1.35</v>
      </c>
      <c r="P289" s="2642">
        <v>1.56</v>
      </c>
      <c r="Q289" s="2545">
        <v>0.55000000000000004</v>
      </c>
      <c r="R289" s="2650">
        <v>0.94</v>
      </c>
      <c r="S289" s="2598">
        <v>0.6</v>
      </c>
      <c r="T289" s="120">
        <v>42</v>
      </c>
      <c r="U289" s="2651">
        <v>0.26190000000000002</v>
      </c>
      <c r="V289" s="2652">
        <v>0.16669999999999999</v>
      </c>
      <c r="W289" s="2653">
        <v>0.26190000000000002</v>
      </c>
      <c r="X289" s="2654">
        <v>0.42859999999999998</v>
      </c>
      <c r="Y289" s="304">
        <v>11</v>
      </c>
      <c r="Z289" s="203">
        <v>1</v>
      </c>
      <c r="AA289" s="1650">
        <v>7</v>
      </c>
      <c r="AB289" s="141">
        <v>1</v>
      </c>
      <c r="AC289" s="788">
        <v>11</v>
      </c>
      <c r="AD289" s="1006">
        <v>8</v>
      </c>
      <c r="AE289" s="142">
        <v>0</v>
      </c>
      <c r="AF289" s="137">
        <v>1</v>
      </c>
      <c r="AG289" s="410">
        <v>-500</v>
      </c>
      <c r="AH289" s="2329"/>
      <c r="AI289" s="539">
        <v>-326</v>
      </c>
      <c r="AJ289" s="1372"/>
      <c r="AK289" s="640"/>
      <c r="AL289" s="640"/>
      <c r="AM289" s="640"/>
      <c r="AN289" s="119"/>
      <c r="AO289" s="107"/>
    </row>
    <row r="290" spans="1:41" ht="15">
      <c r="A290" s="109"/>
      <c r="B290" s="5832"/>
      <c r="C290" s="149" t="s">
        <v>1017</v>
      </c>
      <c r="D290" s="2655"/>
      <c r="E290" s="151"/>
      <c r="F290" s="152">
        <v>29</v>
      </c>
      <c r="G290" s="152" t="s">
        <v>1582</v>
      </c>
      <c r="H290" s="152" t="s">
        <v>1589</v>
      </c>
      <c r="I290" s="2087" t="s">
        <v>1817</v>
      </c>
      <c r="J290" s="2088" t="s">
        <v>1673</v>
      </c>
      <c r="K290" s="2656">
        <v>5.12</v>
      </c>
      <c r="L290" s="2389">
        <v>0.5</v>
      </c>
      <c r="M290" s="2657">
        <v>4.17</v>
      </c>
      <c r="N290" s="2658">
        <v>0.62</v>
      </c>
      <c r="O290" s="2659">
        <f>0.95</f>
        <v>0.95</v>
      </c>
      <c r="P290" s="2660">
        <v>0.76</v>
      </c>
      <c r="Q290" s="2661">
        <v>0.44</v>
      </c>
      <c r="R290" s="2662">
        <v>0.48</v>
      </c>
      <c r="S290" s="2459">
        <v>0</v>
      </c>
      <c r="T290" s="152">
        <v>26</v>
      </c>
      <c r="U290" s="2663">
        <v>0.53849999999999998</v>
      </c>
      <c r="V290" s="2664">
        <v>3.85E-2</v>
      </c>
      <c r="W290" s="2665">
        <v>0.15379999999999999</v>
      </c>
      <c r="X290" s="2666">
        <v>0.57689999999999997</v>
      </c>
      <c r="Y290" s="2667">
        <v>14</v>
      </c>
      <c r="Z290" s="169">
        <v>1</v>
      </c>
      <c r="AA290" s="354">
        <v>1</v>
      </c>
      <c r="AB290" s="232">
        <v>4</v>
      </c>
      <c r="AC290" s="1486">
        <v>4</v>
      </c>
      <c r="AD290" s="459">
        <v>1</v>
      </c>
      <c r="AE290" s="173">
        <v>0</v>
      </c>
      <c r="AF290" s="174">
        <v>0</v>
      </c>
      <c r="AG290" s="752">
        <f>375</f>
        <v>375</v>
      </c>
      <c r="AH290" s="1894"/>
      <c r="AI290" s="1895">
        <f>251</f>
        <v>251</v>
      </c>
      <c r="AJ290" s="151"/>
      <c r="AK290" s="657"/>
      <c r="AL290" s="657"/>
      <c r="AM290" s="657"/>
      <c r="AN290" s="151"/>
      <c r="AO290" s="107"/>
    </row>
    <row r="291" spans="1:41" ht="15">
      <c r="A291" s="109"/>
      <c r="B291" s="5831">
        <v>12</v>
      </c>
      <c r="C291" s="181" t="s">
        <v>569</v>
      </c>
      <c r="D291" s="2668"/>
      <c r="E291" s="183"/>
      <c r="F291" s="87">
        <v>35</v>
      </c>
      <c r="G291" s="87" t="s">
        <v>1600</v>
      </c>
      <c r="H291" s="87" t="s">
        <v>1818</v>
      </c>
      <c r="I291" s="2099" t="s">
        <v>1743</v>
      </c>
      <c r="J291" s="2100" t="s">
        <v>1744</v>
      </c>
      <c r="K291" s="2392">
        <v>0</v>
      </c>
      <c r="L291" s="2669">
        <v>0</v>
      </c>
      <c r="M291" s="2373">
        <v>0</v>
      </c>
      <c r="N291" s="2669">
        <v>0</v>
      </c>
      <c r="O291" s="2670">
        <v>0</v>
      </c>
      <c r="P291" s="2392">
        <v>0</v>
      </c>
      <c r="Q291" s="2669">
        <v>0</v>
      </c>
      <c r="R291" s="2669">
        <v>0</v>
      </c>
      <c r="S291" s="2459">
        <v>0</v>
      </c>
      <c r="T291" s="87">
        <v>4</v>
      </c>
      <c r="U291" s="2428">
        <v>1</v>
      </c>
      <c r="V291" s="2429">
        <v>0</v>
      </c>
      <c r="W291" s="2429">
        <v>0</v>
      </c>
      <c r="X291" s="2671">
        <v>1</v>
      </c>
      <c r="Y291" s="2672">
        <v>4</v>
      </c>
      <c r="Z291" s="201">
        <v>0</v>
      </c>
      <c r="AA291" s="200">
        <v>0</v>
      </c>
      <c r="AB291" s="201">
        <v>0</v>
      </c>
      <c r="AC291" s="200">
        <v>0</v>
      </c>
      <c r="AD291" s="201">
        <v>0</v>
      </c>
      <c r="AE291" s="62">
        <v>0</v>
      </c>
      <c r="AF291" s="22">
        <v>0</v>
      </c>
      <c r="AG291" s="2673">
        <f>310</f>
        <v>310</v>
      </c>
      <c r="AH291" s="148"/>
      <c r="AI291" s="137">
        <f>425</f>
        <v>425</v>
      </c>
      <c r="AJ291" s="54"/>
      <c r="AK291" s="6"/>
      <c r="AL291" s="6"/>
      <c r="AM291" s="6"/>
      <c r="AN291" s="183"/>
      <c r="AO291" s="107"/>
    </row>
    <row r="292" spans="1:41" ht="15">
      <c r="A292" s="109"/>
      <c r="B292" s="5832"/>
      <c r="C292" s="211" t="s">
        <v>606</v>
      </c>
      <c r="D292" s="2674"/>
      <c r="E292" s="213"/>
      <c r="F292" s="85">
        <v>34</v>
      </c>
      <c r="G292" s="85" t="s">
        <v>1585</v>
      </c>
      <c r="H292" s="85" t="s">
        <v>1568</v>
      </c>
      <c r="I292" s="2107" t="s">
        <v>1679</v>
      </c>
      <c r="J292" s="2108" t="s">
        <v>1661</v>
      </c>
      <c r="K292" s="2455">
        <v>4.54</v>
      </c>
      <c r="L292" s="2380">
        <v>0.48</v>
      </c>
      <c r="M292" s="2675">
        <v>4.8099999999999996</v>
      </c>
      <c r="N292" s="2676">
        <v>0.41</v>
      </c>
      <c r="O292" s="2378">
        <v>-0.27</v>
      </c>
      <c r="P292" s="2677">
        <v>0.99</v>
      </c>
      <c r="Q292" s="2678">
        <v>0.33</v>
      </c>
      <c r="R292" s="2679">
        <v>0.46</v>
      </c>
      <c r="S292" s="2522">
        <v>0.2</v>
      </c>
      <c r="T292" s="85">
        <v>22</v>
      </c>
      <c r="U292" s="2680">
        <v>0.5</v>
      </c>
      <c r="V292" s="2681">
        <v>9.0899999999999995E-2</v>
      </c>
      <c r="W292" s="2682">
        <v>9.0899999999999995E-2</v>
      </c>
      <c r="X292" s="2644">
        <v>0.59089999999999998</v>
      </c>
      <c r="Y292" s="355">
        <v>11</v>
      </c>
      <c r="Z292" s="1296">
        <v>2</v>
      </c>
      <c r="AA292" s="279">
        <v>2</v>
      </c>
      <c r="AB292" s="921">
        <v>2</v>
      </c>
      <c r="AC292" s="1542">
        <v>2</v>
      </c>
      <c r="AD292" s="2269">
        <v>3</v>
      </c>
      <c r="AE292" s="233">
        <v>0</v>
      </c>
      <c r="AF292" s="23">
        <v>0</v>
      </c>
      <c r="AG292" s="2683">
        <v>-375</v>
      </c>
      <c r="AH292" s="280"/>
      <c r="AI292" s="171">
        <v>-575</v>
      </c>
      <c r="AJ292" s="213"/>
      <c r="AK292" s="5"/>
      <c r="AL292" s="5"/>
      <c r="AM292" s="5"/>
      <c r="AN292" s="213"/>
      <c r="AO292" s="107"/>
    </row>
    <row r="293" spans="1:41" ht="15">
      <c r="A293" s="109"/>
      <c r="B293" s="5833">
        <v>13</v>
      </c>
      <c r="C293" s="117" t="s">
        <v>469</v>
      </c>
      <c r="D293" s="2684"/>
      <c r="E293" s="119"/>
      <c r="F293" s="120">
        <v>32</v>
      </c>
      <c r="G293" s="120" t="s">
        <v>1653</v>
      </c>
      <c r="H293" s="120" t="s">
        <v>1631</v>
      </c>
      <c r="I293" s="2079" t="s">
        <v>1819</v>
      </c>
      <c r="J293" s="2080" t="s">
        <v>1673</v>
      </c>
      <c r="K293" s="2685">
        <v>6.01</v>
      </c>
      <c r="L293" s="2376">
        <v>0.56999999999999995</v>
      </c>
      <c r="M293" s="2686">
        <v>5.01</v>
      </c>
      <c r="N293" s="2380">
        <v>0.53</v>
      </c>
      <c r="O293" s="2556">
        <f>1</f>
        <v>1</v>
      </c>
      <c r="P293" s="2392">
        <v>0</v>
      </c>
      <c r="Q293" s="2669">
        <v>0</v>
      </c>
      <c r="R293" s="2687">
        <v>0.74</v>
      </c>
      <c r="S293" s="2522">
        <v>0.2</v>
      </c>
      <c r="T293" s="120">
        <v>17</v>
      </c>
      <c r="U293" s="2688">
        <v>0.4118</v>
      </c>
      <c r="V293" s="2429">
        <v>0</v>
      </c>
      <c r="W293" s="2689">
        <v>0.29409999999999997</v>
      </c>
      <c r="X293" s="2690">
        <v>0.4118</v>
      </c>
      <c r="Y293" s="2512">
        <v>7</v>
      </c>
      <c r="Z293" s="201">
        <v>0</v>
      </c>
      <c r="AA293" s="200">
        <v>0</v>
      </c>
      <c r="AB293" s="2691">
        <v>2</v>
      </c>
      <c r="AC293" s="256">
        <v>5</v>
      </c>
      <c r="AD293" s="203">
        <v>2</v>
      </c>
      <c r="AE293" s="142">
        <v>0</v>
      </c>
      <c r="AF293" s="143">
        <v>0</v>
      </c>
      <c r="AG293" s="2692">
        <f>134</f>
        <v>134</v>
      </c>
      <c r="AH293" s="2537"/>
      <c r="AI293" s="2693">
        <f>185</f>
        <v>185</v>
      </c>
      <c r="AJ293" s="1372"/>
      <c r="AK293" s="640"/>
      <c r="AL293" s="640"/>
      <c r="AM293" s="640"/>
      <c r="AN293" s="119"/>
      <c r="AO293" s="107"/>
    </row>
    <row r="294" spans="1:41" ht="15">
      <c r="A294" s="109"/>
      <c r="B294" s="5832"/>
      <c r="C294" s="149" t="s">
        <v>470</v>
      </c>
      <c r="D294" s="2694"/>
      <c r="E294" s="151"/>
      <c r="F294" s="152">
        <v>30</v>
      </c>
      <c r="G294" s="152" t="s">
        <v>1625</v>
      </c>
      <c r="H294" s="152" t="s">
        <v>1659</v>
      </c>
      <c r="I294" s="2087" t="s">
        <v>1820</v>
      </c>
      <c r="J294" s="2088" t="s">
        <v>1666</v>
      </c>
      <c r="K294" s="2695">
        <v>3.18</v>
      </c>
      <c r="L294" s="2696">
        <v>0.65</v>
      </c>
      <c r="M294" s="2697">
        <v>0.49</v>
      </c>
      <c r="N294" s="2456">
        <v>0.77</v>
      </c>
      <c r="O294" s="2698">
        <f>2.69</f>
        <v>2.69</v>
      </c>
      <c r="P294" s="2699">
        <v>3.67</v>
      </c>
      <c r="Q294" s="2700">
        <v>0.4</v>
      </c>
      <c r="R294" s="2669">
        <v>0</v>
      </c>
      <c r="S294" s="2701">
        <v>3.7</v>
      </c>
      <c r="T294" s="152">
        <v>20</v>
      </c>
      <c r="U294" s="2564">
        <v>0.15</v>
      </c>
      <c r="V294" s="2702">
        <v>0.45</v>
      </c>
      <c r="W294" s="2525">
        <v>0.3</v>
      </c>
      <c r="X294" s="2703">
        <v>0.6</v>
      </c>
      <c r="Y294" s="2704">
        <v>3</v>
      </c>
      <c r="Z294" s="169">
        <v>1</v>
      </c>
      <c r="AA294" s="2432">
        <v>9</v>
      </c>
      <c r="AB294" s="171">
        <v>0</v>
      </c>
      <c r="AC294" s="776">
        <v>6</v>
      </c>
      <c r="AD294" s="459">
        <v>1</v>
      </c>
      <c r="AE294" s="173">
        <v>0</v>
      </c>
      <c r="AF294" s="174">
        <v>0</v>
      </c>
      <c r="AG294" s="2705">
        <v>-154</v>
      </c>
      <c r="AH294" s="2355"/>
      <c r="AI294" s="2356">
        <v>-220</v>
      </c>
      <c r="AJ294" s="151"/>
      <c r="AK294" s="657"/>
      <c r="AL294" s="657"/>
      <c r="AM294" s="657"/>
      <c r="AN294" s="151"/>
      <c r="AO294" s="107"/>
    </row>
    <row r="295" spans="1:41" ht="15">
      <c r="A295" s="109"/>
      <c r="B295" s="5831">
        <v>14</v>
      </c>
      <c r="C295" s="181" t="s">
        <v>1408</v>
      </c>
      <c r="D295" s="2706"/>
      <c r="E295" s="183"/>
      <c r="F295" s="87">
        <v>38</v>
      </c>
      <c r="G295" s="87" t="s">
        <v>1653</v>
      </c>
      <c r="H295" s="87" t="s">
        <v>1659</v>
      </c>
      <c r="I295" s="2099" t="s">
        <v>1821</v>
      </c>
      <c r="J295" s="2100" t="s">
        <v>1661</v>
      </c>
      <c r="K295" s="2707">
        <v>6.93</v>
      </c>
      <c r="L295" s="2708">
        <v>0.51</v>
      </c>
      <c r="M295" s="2709">
        <v>4.72</v>
      </c>
      <c r="N295" s="2391">
        <v>0.51</v>
      </c>
      <c r="O295" s="2710">
        <f>2.21</f>
        <v>2.21</v>
      </c>
      <c r="P295" s="2630">
        <v>1.57</v>
      </c>
      <c r="Q295" s="2376">
        <v>0.54</v>
      </c>
      <c r="R295" s="2711">
        <v>0.59</v>
      </c>
      <c r="S295" s="2491">
        <v>0.3</v>
      </c>
      <c r="T295" s="87">
        <v>24</v>
      </c>
      <c r="U295" s="2712">
        <v>0.20830000000000001</v>
      </c>
      <c r="V295" s="2713">
        <v>4.1700000000000001E-2</v>
      </c>
      <c r="W295" s="2714">
        <v>0.41670000000000001</v>
      </c>
      <c r="X295" s="2715">
        <v>0.25</v>
      </c>
      <c r="Y295" s="2615">
        <v>5</v>
      </c>
      <c r="Z295" s="201">
        <v>0</v>
      </c>
      <c r="AA295" s="138">
        <v>1</v>
      </c>
      <c r="AB295" s="137">
        <v>5</v>
      </c>
      <c r="AC295" s="736">
        <v>10</v>
      </c>
      <c r="AD295" s="2264">
        <v>3</v>
      </c>
      <c r="AE295" s="62">
        <v>0</v>
      </c>
      <c r="AF295" s="22">
        <v>0</v>
      </c>
      <c r="AG295" s="2716">
        <v>-160</v>
      </c>
      <c r="AH295" s="2717"/>
      <c r="AI295" s="2718">
        <v>-133</v>
      </c>
      <c r="AJ295" s="54"/>
      <c r="AK295" s="6"/>
      <c r="AL295" s="6"/>
      <c r="AM295" s="6"/>
      <c r="AN295" s="183"/>
      <c r="AO295" s="107"/>
    </row>
    <row r="296" spans="1:41" ht="15">
      <c r="A296" s="109"/>
      <c r="B296" s="5832"/>
      <c r="C296" s="211" t="s">
        <v>1409</v>
      </c>
      <c r="D296" s="2719"/>
      <c r="E296" s="213"/>
      <c r="F296" s="85">
        <v>32</v>
      </c>
      <c r="G296" s="85" t="s">
        <v>1592</v>
      </c>
      <c r="H296" s="85" t="s">
        <v>1624</v>
      </c>
      <c r="I296" s="2107" t="s">
        <v>1822</v>
      </c>
      <c r="J296" s="2108" t="s">
        <v>1673</v>
      </c>
      <c r="K296" s="2720">
        <v>4.1500000000000004</v>
      </c>
      <c r="L296" s="2721">
        <v>0.31</v>
      </c>
      <c r="M296" s="2558">
        <v>4.42</v>
      </c>
      <c r="N296" s="2380">
        <v>0.53</v>
      </c>
      <c r="O296" s="2378">
        <v>-0.27</v>
      </c>
      <c r="P296" s="2469">
        <v>0.67</v>
      </c>
      <c r="Q296" s="2722">
        <v>0.22</v>
      </c>
      <c r="R296" s="2572">
        <v>0.45</v>
      </c>
      <c r="S296" s="2723">
        <v>0.7</v>
      </c>
      <c r="T296" s="85">
        <v>16</v>
      </c>
      <c r="U296" s="2429">
        <v>6.25E-2</v>
      </c>
      <c r="V296" s="2724">
        <v>0.375</v>
      </c>
      <c r="W296" s="2475">
        <v>0.25</v>
      </c>
      <c r="X296" s="2725">
        <v>0.4375</v>
      </c>
      <c r="Y296" s="387">
        <v>1</v>
      </c>
      <c r="Z296" s="171">
        <v>0</v>
      </c>
      <c r="AA296" s="2726">
        <v>6</v>
      </c>
      <c r="AB296" s="422">
        <v>1</v>
      </c>
      <c r="AC296" s="1486">
        <v>4</v>
      </c>
      <c r="AD296" s="2527">
        <v>4</v>
      </c>
      <c r="AE296" s="233">
        <v>0</v>
      </c>
      <c r="AF296" s="23">
        <v>0</v>
      </c>
      <c r="AG296" s="2727">
        <f>140</f>
        <v>140</v>
      </c>
      <c r="AH296" s="2238"/>
      <c r="AI296" s="2239">
        <f>113</f>
        <v>113</v>
      </c>
      <c r="AJ296" s="213"/>
      <c r="AK296" s="5"/>
      <c r="AL296" s="5"/>
      <c r="AM296" s="5"/>
      <c r="AN296" s="213"/>
      <c r="AO296" s="107"/>
    </row>
    <row r="297" spans="1:41" ht="12.75">
      <c r="A297" s="10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620"/>
    </row>
    <row r="300" spans="1:41" ht="12.75">
      <c r="A300" s="620" t="s">
        <v>31</v>
      </c>
      <c r="D300" s="2728">
        <v>20240302</v>
      </c>
    </row>
    <row r="301" spans="1:41" ht="12.75">
      <c r="A301" s="108"/>
      <c r="B301" s="107"/>
      <c r="C301" s="108"/>
      <c r="D301" s="108"/>
      <c r="E301" s="108"/>
      <c r="F301" s="108"/>
      <c r="G301" s="108"/>
      <c r="H301" s="2729"/>
      <c r="I301" s="2729"/>
      <c r="J301" s="108"/>
      <c r="K301" s="108"/>
      <c r="L301" s="108"/>
      <c r="M301" s="108"/>
      <c r="N301" s="108"/>
      <c r="O301" s="108"/>
      <c r="P301" s="108"/>
      <c r="Q301" s="108"/>
      <c r="R301" s="108"/>
      <c r="S301" s="108"/>
      <c r="T301" s="108"/>
      <c r="U301" s="108"/>
      <c r="V301" s="108"/>
      <c r="W301" s="108"/>
      <c r="X301" s="108"/>
      <c r="Y301" s="108"/>
      <c r="Z301" s="108"/>
      <c r="AA301" s="108"/>
      <c r="AB301" s="108"/>
      <c r="AC301" s="108"/>
      <c r="AD301" s="108"/>
      <c r="AE301" s="108"/>
      <c r="AF301" s="108"/>
      <c r="AG301" s="108"/>
      <c r="AH301" s="108"/>
      <c r="AI301" s="108"/>
      <c r="AJ301" s="108"/>
      <c r="AK301" s="108"/>
      <c r="AL301" s="108"/>
      <c r="AM301" s="107"/>
      <c r="AN301" s="620"/>
    </row>
    <row r="302" spans="1:41">
      <c r="A302" s="109"/>
      <c r="B302" s="5840" t="s">
        <v>1525</v>
      </c>
      <c r="C302" s="5841" t="s">
        <v>1526</v>
      </c>
      <c r="D302" s="5836"/>
      <c r="E302" s="5836"/>
      <c r="F302" s="5836"/>
      <c r="G302" s="5836"/>
      <c r="H302" s="5836"/>
      <c r="I302" s="5832"/>
      <c r="J302" s="5837" t="s">
        <v>1527</v>
      </c>
      <c r="K302" s="5836"/>
      <c r="L302" s="5836"/>
      <c r="M302" s="5836"/>
      <c r="N302" s="5832"/>
      <c r="O302" s="5838" t="s">
        <v>1528</v>
      </c>
      <c r="P302" s="5836"/>
      <c r="Q302" s="5836"/>
      <c r="R302" s="5832"/>
      <c r="S302" s="5839" t="s">
        <v>1529</v>
      </c>
      <c r="T302" s="5836"/>
      <c r="U302" s="5836"/>
      <c r="V302" s="5836"/>
      <c r="W302" s="5836"/>
      <c r="X302" s="5836"/>
      <c r="Y302" s="5836"/>
      <c r="Z302" s="5836"/>
      <c r="AA302" s="5836"/>
      <c r="AB302" s="5836"/>
      <c r="AC302" s="5836"/>
      <c r="AD302" s="5836"/>
      <c r="AE302" s="5832"/>
      <c r="AF302" s="5842" t="s">
        <v>1530</v>
      </c>
      <c r="AG302" s="5836"/>
      <c r="AH302" s="5836"/>
      <c r="AI302" s="5836"/>
      <c r="AJ302" s="5836"/>
      <c r="AK302" s="5836"/>
      <c r="AL302" s="5836"/>
      <c r="AM302" s="5832"/>
      <c r="AN302" s="107"/>
    </row>
    <row r="303" spans="1:41" ht="15">
      <c r="A303" s="109"/>
      <c r="B303" s="5832"/>
      <c r="C303" s="2730" t="s">
        <v>1823</v>
      </c>
      <c r="D303" s="112" t="s">
        <v>1532</v>
      </c>
      <c r="E303" s="111"/>
      <c r="F303" s="111" t="s">
        <v>1533</v>
      </c>
      <c r="G303" s="111" t="s">
        <v>1534</v>
      </c>
      <c r="H303" s="111" t="s">
        <v>1535</v>
      </c>
      <c r="I303" s="2731" t="s">
        <v>1536</v>
      </c>
      <c r="J303" s="2731" t="s">
        <v>1537</v>
      </c>
      <c r="K303" s="111" t="s">
        <v>1538</v>
      </c>
      <c r="L303" s="111" t="s">
        <v>1539</v>
      </c>
      <c r="M303" s="111" t="s">
        <v>1540</v>
      </c>
      <c r="N303" s="111" t="s">
        <v>1541</v>
      </c>
      <c r="O303" s="111" t="s">
        <v>1542</v>
      </c>
      <c r="P303" s="111" t="s">
        <v>1543</v>
      </c>
      <c r="Q303" s="111" t="s">
        <v>1544</v>
      </c>
      <c r="R303" s="111" t="s">
        <v>1545</v>
      </c>
      <c r="S303" s="111" t="s">
        <v>1546</v>
      </c>
      <c r="T303" s="111" t="s">
        <v>1547</v>
      </c>
      <c r="U303" s="111" t="s">
        <v>1548</v>
      </c>
      <c r="V303" s="111" t="s">
        <v>1549</v>
      </c>
      <c r="W303" s="111" t="s">
        <v>1550</v>
      </c>
      <c r="X303" s="112" t="s">
        <v>1551</v>
      </c>
      <c r="Y303" s="113" t="s">
        <v>1552</v>
      </c>
      <c r="Z303" s="114" t="s">
        <v>1553</v>
      </c>
      <c r="AA303" s="113" t="s">
        <v>1554</v>
      </c>
      <c r="AB303" s="114" t="s">
        <v>1555</v>
      </c>
      <c r="AC303" s="115" t="s">
        <v>1556</v>
      </c>
      <c r="AD303" s="114" t="s">
        <v>1557</v>
      </c>
      <c r="AE303" s="113" t="s">
        <v>1558</v>
      </c>
      <c r="AF303" s="116" t="s">
        <v>1559</v>
      </c>
      <c r="AG303" s="111" t="s">
        <v>1560</v>
      </c>
      <c r="AH303" s="111"/>
      <c r="AI303" s="112" t="s">
        <v>1561</v>
      </c>
      <c r="AJ303" s="111" t="s">
        <v>1562</v>
      </c>
      <c r="AK303" s="111" t="s">
        <v>1563</v>
      </c>
      <c r="AL303" s="111" t="s">
        <v>1564</v>
      </c>
      <c r="AM303" s="111" t="s">
        <v>1565</v>
      </c>
      <c r="AN303" s="112" t="s">
        <v>1566</v>
      </c>
      <c r="AO303" s="107"/>
    </row>
    <row r="304" spans="1:41" ht="15">
      <c r="A304" s="109"/>
      <c r="B304" s="5833">
        <v>1</v>
      </c>
      <c r="C304" s="2732" t="s">
        <v>545</v>
      </c>
      <c r="D304" s="119"/>
      <c r="E304" s="2733"/>
      <c r="F304" s="2733">
        <v>35</v>
      </c>
      <c r="G304" s="2733" t="s">
        <v>1571</v>
      </c>
      <c r="H304" s="2733" t="s">
        <v>1597</v>
      </c>
      <c r="I304" s="2734" t="s">
        <v>1824</v>
      </c>
      <c r="J304" s="2735" t="s">
        <v>1661</v>
      </c>
      <c r="K304" s="2736">
        <v>2.81</v>
      </c>
      <c r="L304" s="2737">
        <v>0.45</v>
      </c>
      <c r="M304" s="2738">
        <v>3.15</v>
      </c>
      <c r="N304" s="2739">
        <v>0.45</v>
      </c>
      <c r="O304" s="2740">
        <v>-0.34</v>
      </c>
      <c r="P304" s="2741">
        <v>0</v>
      </c>
      <c r="Q304" s="2742">
        <v>0</v>
      </c>
      <c r="R304" s="2743">
        <v>0.73</v>
      </c>
      <c r="S304" s="2744">
        <v>0</v>
      </c>
      <c r="T304" s="2733">
        <v>18</v>
      </c>
      <c r="U304" s="2745">
        <v>0.67</v>
      </c>
      <c r="V304" s="2746">
        <v>0</v>
      </c>
      <c r="W304" s="2747">
        <v>0.06</v>
      </c>
      <c r="X304" s="2748">
        <v>0.66669999999999996</v>
      </c>
      <c r="Y304" s="2749">
        <v>12</v>
      </c>
      <c r="Z304" s="2750">
        <v>2</v>
      </c>
      <c r="AA304" s="2751">
        <v>0</v>
      </c>
      <c r="AB304" s="2752">
        <v>1</v>
      </c>
      <c r="AC304" s="2753">
        <v>1</v>
      </c>
      <c r="AD304" s="2752">
        <v>2</v>
      </c>
      <c r="AE304" s="2754">
        <v>0</v>
      </c>
      <c r="AF304" s="2755">
        <v>0</v>
      </c>
      <c r="AG304" s="2756">
        <f>130</f>
        <v>130</v>
      </c>
      <c r="AH304" s="2757"/>
      <c r="AI304" s="2758">
        <f>140</f>
        <v>140</v>
      </c>
      <c r="AJ304" s="2759">
        <v>-1400</v>
      </c>
      <c r="AK304" s="2760">
        <f t="shared" ref="AK304:AL304" si="15">125</f>
        <v>125</v>
      </c>
      <c r="AL304" s="2761">
        <f t="shared" si="15"/>
        <v>125</v>
      </c>
      <c r="AM304" s="2741">
        <f>4000</f>
        <v>4000</v>
      </c>
      <c r="AN304" s="2744">
        <f>1600</f>
        <v>1600</v>
      </c>
      <c r="AO304" s="107"/>
    </row>
    <row r="305" spans="1:41" ht="15">
      <c r="A305" s="109"/>
      <c r="B305" s="5832"/>
      <c r="C305" s="2762" t="s">
        <v>546</v>
      </c>
      <c r="D305" s="151"/>
      <c r="E305" s="2763"/>
      <c r="F305" s="2763">
        <v>34</v>
      </c>
      <c r="G305" s="2763" t="s">
        <v>1585</v>
      </c>
      <c r="H305" s="2763" t="s">
        <v>1597</v>
      </c>
      <c r="I305" s="2764" t="s">
        <v>1825</v>
      </c>
      <c r="J305" s="2765" t="s">
        <v>1666</v>
      </c>
      <c r="K305" s="2766">
        <v>6.19</v>
      </c>
      <c r="L305" s="2767">
        <v>0.51</v>
      </c>
      <c r="M305" s="2768">
        <v>0.93</v>
      </c>
      <c r="N305" s="2769">
        <v>0.6</v>
      </c>
      <c r="O305" s="2770">
        <f>5.26</f>
        <v>5.26</v>
      </c>
      <c r="P305" s="2771">
        <v>0</v>
      </c>
      <c r="Q305" s="2772">
        <v>0</v>
      </c>
      <c r="R305" s="2773">
        <v>1</v>
      </c>
      <c r="S305" s="2774">
        <v>1.8</v>
      </c>
      <c r="T305" s="2763">
        <v>12</v>
      </c>
      <c r="U305" s="2775">
        <v>0.67</v>
      </c>
      <c r="V305" s="2776">
        <v>0.25</v>
      </c>
      <c r="W305" s="2777">
        <v>0.08</v>
      </c>
      <c r="X305" s="2778">
        <v>0.91669999999999996</v>
      </c>
      <c r="Y305" s="2779">
        <v>8</v>
      </c>
      <c r="Z305" s="2774">
        <v>0</v>
      </c>
      <c r="AA305" s="2780">
        <v>3</v>
      </c>
      <c r="AB305" s="2774">
        <v>0</v>
      </c>
      <c r="AC305" s="2781">
        <v>1</v>
      </c>
      <c r="AD305" s="2774">
        <v>0</v>
      </c>
      <c r="AE305" s="2782">
        <v>0</v>
      </c>
      <c r="AF305" s="2783">
        <v>0</v>
      </c>
      <c r="AG305" s="2784">
        <v>-150</v>
      </c>
      <c r="AH305" s="2785"/>
      <c r="AI305" s="2786">
        <v>-160</v>
      </c>
      <c r="AJ305" s="2787">
        <v>-1400</v>
      </c>
      <c r="AK305" s="2788">
        <v>-125</v>
      </c>
      <c r="AL305" s="2789">
        <f>175</f>
        <v>175</v>
      </c>
      <c r="AM305" s="2790">
        <f t="shared" ref="AM305:AM306" si="16">275</f>
        <v>275</v>
      </c>
      <c r="AN305" s="2791">
        <f>1200</f>
        <v>1200</v>
      </c>
      <c r="AO305" s="107"/>
    </row>
    <row r="306" spans="1:41" ht="15">
      <c r="A306" s="109"/>
      <c r="B306" s="5831">
        <v>2</v>
      </c>
      <c r="C306" s="2792" t="s">
        <v>623</v>
      </c>
      <c r="D306" s="183"/>
      <c r="E306" s="88"/>
      <c r="F306" s="88">
        <v>26</v>
      </c>
      <c r="G306" s="88" t="s">
        <v>1571</v>
      </c>
      <c r="H306" s="88" t="s">
        <v>1826</v>
      </c>
      <c r="I306" s="2793" t="s">
        <v>1827</v>
      </c>
      <c r="J306" s="2794" t="s">
        <v>1666</v>
      </c>
      <c r="K306" s="2795">
        <v>3.07</v>
      </c>
      <c r="L306" s="2796">
        <v>0.48</v>
      </c>
      <c r="M306" s="2797">
        <v>2.65</v>
      </c>
      <c r="N306" s="2798">
        <v>0.43</v>
      </c>
      <c r="O306" s="2799">
        <f>0.42</f>
        <v>0.42</v>
      </c>
      <c r="P306" s="2800">
        <v>4.1500000000000004</v>
      </c>
      <c r="Q306" s="2801">
        <v>0.7</v>
      </c>
      <c r="R306" s="2802">
        <v>0.68</v>
      </c>
      <c r="S306" s="2803">
        <v>1</v>
      </c>
      <c r="T306" s="88">
        <v>10</v>
      </c>
      <c r="U306" s="2804">
        <v>0.7</v>
      </c>
      <c r="V306" s="2805">
        <v>0.1</v>
      </c>
      <c r="W306" s="2806">
        <v>0.2</v>
      </c>
      <c r="X306" s="2807">
        <v>0.8</v>
      </c>
      <c r="Y306" s="2808">
        <v>7</v>
      </c>
      <c r="Z306" s="2809">
        <v>0</v>
      </c>
      <c r="AA306" s="2753">
        <v>1</v>
      </c>
      <c r="AB306" s="2809">
        <v>0</v>
      </c>
      <c r="AC306" s="2810">
        <v>2</v>
      </c>
      <c r="AD306" s="2809">
        <v>0</v>
      </c>
      <c r="AE306" s="63">
        <v>0</v>
      </c>
      <c r="AF306" s="27">
        <v>0</v>
      </c>
      <c r="AG306" s="2811">
        <v>-350</v>
      </c>
      <c r="AH306" s="2812"/>
      <c r="AI306" s="2813">
        <v>-319</v>
      </c>
      <c r="AJ306" s="2814">
        <v>-275</v>
      </c>
      <c r="AK306" s="2815">
        <v>-145</v>
      </c>
      <c r="AL306" s="2816">
        <f>165</f>
        <v>165</v>
      </c>
      <c r="AM306" s="2817">
        <f t="shared" si="16"/>
        <v>275</v>
      </c>
      <c r="AN306" s="2818">
        <f>400</f>
        <v>400</v>
      </c>
      <c r="AO306" s="107"/>
    </row>
    <row r="307" spans="1:41" ht="15">
      <c r="A307" s="109"/>
      <c r="B307" s="5832"/>
      <c r="C307" s="2819" t="s">
        <v>673</v>
      </c>
      <c r="D307" s="213"/>
      <c r="E307" s="2820"/>
      <c r="F307" s="2820">
        <v>32</v>
      </c>
      <c r="G307" s="2820" t="s">
        <v>1567</v>
      </c>
      <c r="H307" s="2820" t="s">
        <v>1568</v>
      </c>
      <c r="I307" s="2821" t="s">
        <v>1735</v>
      </c>
      <c r="J307" s="2822" t="s">
        <v>1673</v>
      </c>
      <c r="K307" s="2823">
        <v>3.11</v>
      </c>
      <c r="L307" s="2824">
        <v>0.61</v>
      </c>
      <c r="M307" s="2825">
        <v>2.5299999999999998</v>
      </c>
      <c r="N307" s="2826">
        <v>0.54</v>
      </c>
      <c r="O307" s="2827">
        <f>0.58</f>
        <v>0.57999999999999996</v>
      </c>
      <c r="P307" s="2828">
        <v>0.94</v>
      </c>
      <c r="Q307" s="2829">
        <v>0.36</v>
      </c>
      <c r="R307" s="2830">
        <v>0.52</v>
      </c>
      <c r="S307" s="2831">
        <v>0.9</v>
      </c>
      <c r="T307" s="2820">
        <v>14</v>
      </c>
      <c r="U307" s="2832">
        <v>0.36</v>
      </c>
      <c r="V307" s="2833">
        <v>0.36</v>
      </c>
      <c r="W307" s="2834">
        <v>0</v>
      </c>
      <c r="X307" s="2835">
        <v>0.71430000000000005</v>
      </c>
      <c r="Y307" s="2836">
        <v>5</v>
      </c>
      <c r="Z307" s="2837">
        <v>1</v>
      </c>
      <c r="AA307" s="2838">
        <v>5</v>
      </c>
      <c r="AB307" s="2839">
        <v>1</v>
      </c>
      <c r="AC307" s="2840">
        <v>0</v>
      </c>
      <c r="AD307" s="2839">
        <v>2</v>
      </c>
      <c r="AE307" s="2841">
        <v>0</v>
      </c>
      <c r="AF307" s="28">
        <v>0</v>
      </c>
      <c r="AG307" s="2842">
        <f>285</f>
        <v>285</v>
      </c>
      <c r="AH307" s="2843"/>
      <c r="AI307" s="2844">
        <f>269</f>
        <v>269</v>
      </c>
      <c r="AJ307" s="2845">
        <v>-275</v>
      </c>
      <c r="AK307" s="2846">
        <f>360</f>
        <v>360</v>
      </c>
      <c r="AL307" s="2847">
        <f>500</f>
        <v>500</v>
      </c>
      <c r="AM307" s="2848">
        <f>750</f>
        <v>750</v>
      </c>
      <c r="AN307" s="2849">
        <f>800</f>
        <v>800</v>
      </c>
      <c r="AO307" s="107"/>
    </row>
    <row r="308" spans="1:41" ht="15">
      <c r="A308" s="109"/>
      <c r="B308" s="5833">
        <v>3</v>
      </c>
      <c r="C308" s="2732" t="s">
        <v>433</v>
      </c>
      <c r="D308" s="119"/>
      <c r="E308" s="2733"/>
      <c r="F308" s="2733">
        <v>31</v>
      </c>
      <c r="G308" s="2733" t="s">
        <v>1653</v>
      </c>
      <c r="H308" s="2733" t="s">
        <v>1828</v>
      </c>
      <c r="I308" s="2734" t="s">
        <v>1829</v>
      </c>
      <c r="J308" s="2735" t="s">
        <v>1673</v>
      </c>
      <c r="K308" s="2850">
        <v>4.67</v>
      </c>
      <c r="L308" s="2796">
        <v>0.48</v>
      </c>
      <c r="M308" s="2851">
        <v>3.14</v>
      </c>
      <c r="N308" s="2852">
        <v>0.6</v>
      </c>
      <c r="O308" s="2853">
        <f>1.53</f>
        <v>1.53</v>
      </c>
      <c r="P308" s="2854">
        <v>2.84</v>
      </c>
      <c r="Q308" s="2855">
        <v>0.44</v>
      </c>
      <c r="R308" s="2856">
        <v>0.77</v>
      </c>
      <c r="S308" s="2857">
        <v>1.3</v>
      </c>
      <c r="T308" s="2733">
        <v>31</v>
      </c>
      <c r="U308" s="2858">
        <v>0.16</v>
      </c>
      <c r="V308" s="2859">
        <v>0.23</v>
      </c>
      <c r="W308" s="2860">
        <v>0.39</v>
      </c>
      <c r="X308" s="2861">
        <v>0.3871</v>
      </c>
      <c r="Y308" s="2810">
        <v>5</v>
      </c>
      <c r="Z308" s="2862">
        <v>1</v>
      </c>
      <c r="AA308" s="2863">
        <v>7</v>
      </c>
      <c r="AB308" s="2744">
        <v>5</v>
      </c>
      <c r="AC308" s="2864">
        <v>12</v>
      </c>
      <c r="AD308" s="2862">
        <v>1</v>
      </c>
      <c r="AE308" s="2754">
        <v>0</v>
      </c>
      <c r="AF308" s="2755">
        <v>0</v>
      </c>
      <c r="AG308" s="2865">
        <f>275</f>
        <v>275</v>
      </c>
      <c r="AH308" s="2866"/>
      <c r="AI308" s="2867">
        <f>290</f>
        <v>290</v>
      </c>
      <c r="AJ308" s="2868">
        <v>-135</v>
      </c>
      <c r="AK308" s="2869">
        <f>700</f>
        <v>700</v>
      </c>
      <c r="AL308" s="2870">
        <f>800</f>
        <v>800</v>
      </c>
      <c r="AM308" s="2871">
        <f>1400</f>
        <v>1400</v>
      </c>
      <c r="AN308" s="2872">
        <f>700</f>
        <v>700</v>
      </c>
      <c r="AO308" s="107"/>
    </row>
    <row r="309" spans="1:41" ht="15">
      <c r="A309" s="109"/>
      <c r="B309" s="5832"/>
      <c r="C309" s="2762" t="s">
        <v>475</v>
      </c>
      <c r="D309" s="151"/>
      <c r="E309" s="2763"/>
      <c r="F309" s="2763">
        <v>23</v>
      </c>
      <c r="G309" s="2763" t="s">
        <v>1592</v>
      </c>
      <c r="H309" s="2763" t="s">
        <v>1618</v>
      </c>
      <c r="I309" s="2764" t="s">
        <v>1830</v>
      </c>
      <c r="J309" s="2765" t="s">
        <v>1666</v>
      </c>
      <c r="K309" s="2873">
        <v>1.1200000000000001</v>
      </c>
      <c r="L309" s="2767">
        <v>0.51</v>
      </c>
      <c r="M309" s="2874">
        <v>1.19</v>
      </c>
      <c r="N309" s="2875">
        <v>0.52</v>
      </c>
      <c r="O309" s="2876">
        <v>-7.0000000000000007E-2</v>
      </c>
      <c r="P309" s="2877">
        <v>6.47</v>
      </c>
      <c r="Q309" s="2878">
        <v>0.53</v>
      </c>
      <c r="R309" s="2772">
        <v>0</v>
      </c>
      <c r="S309" s="2770">
        <v>1.3</v>
      </c>
      <c r="T309" s="2763">
        <v>10</v>
      </c>
      <c r="U309" s="2879">
        <v>0.1</v>
      </c>
      <c r="V309" s="2880">
        <v>0.6</v>
      </c>
      <c r="W309" s="2881">
        <v>0.3</v>
      </c>
      <c r="X309" s="2882">
        <v>0.7</v>
      </c>
      <c r="Y309" s="2840">
        <v>1</v>
      </c>
      <c r="Z309" s="2774">
        <v>0</v>
      </c>
      <c r="AA309" s="2883">
        <v>6</v>
      </c>
      <c r="AB309" s="2774">
        <v>0</v>
      </c>
      <c r="AC309" s="2780">
        <v>3</v>
      </c>
      <c r="AD309" s="2774">
        <v>0</v>
      </c>
      <c r="AE309" s="2782">
        <v>0</v>
      </c>
      <c r="AF309" s="2783">
        <v>0</v>
      </c>
      <c r="AG309" s="2884">
        <v>-325</v>
      </c>
      <c r="AH309" s="2885"/>
      <c r="AI309" s="2886">
        <v>-355</v>
      </c>
      <c r="AJ309" s="2887">
        <v>-135</v>
      </c>
      <c r="AK309" s="2888">
        <v>-105</v>
      </c>
      <c r="AL309" s="2889">
        <f>900</f>
        <v>900</v>
      </c>
      <c r="AM309" s="2890">
        <f>110</f>
        <v>110</v>
      </c>
      <c r="AN309" s="2891">
        <f>180</f>
        <v>180</v>
      </c>
      <c r="AO309" s="107"/>
    </row>
    <row r="310" spans="1:41" ht="15">
      <c r="A310" s="109"/>
      <c r="B310" s="5831">
        <v>4</v>
      </c>
      <c r="C310" s="2792" t="s">
        <v>144</v>
      </c>
      <c r="D310" s="183"/>
      <c r="E310" s="88"/>
      <c r="F310" s="88">
        <v>28</v>
      </c>
      <c r="G310" s="88" t="s">
        <v>1630</v>
      </c>
      <c r="H310" s="88" t="s">
        <v>1606</v>
      </c>
      <c r="I310" s="2793" t="s">
        <v>1831</v>
      </c>
      <c r="J310" s="2794" t="s">
        <v>1666</v>
      </c>
      <c r="K310" s="2892">
        <v>4.8499999999999996</v>
      </c>
      <c r="L310" s="2801">
        <v>0.7</v>
      </c>
      <c r="M310" s="2893">
        <v>0.73</v>
      </c>
      <c r="N310" s="2894">
        <v>0.75</v>
      </c>
      <c r="O310" s="2895">
        <f>4.12</f>
        <v>4.12</v>
      </c>
      <c r="P310" s="2896">
        <v>4.28</v>
      </c>
      <c r="Q310" s="2897">
        <v>0.45</v>
      </c>
      <c r="R310" s="2801">
        <v>1</v>
      </c>
      <c r="S310" s="2898">
        <v>0.9</v>
      </c>
      <c r="T310" s="88">
        <v>16</v>
      </c>
      <c r="U310" s="2899">
        <v>0.13</v>
      </c>
      <c r="V310" s="2900">
        <v>0.44</v>
      </c>
      <c r="W310" s="2901">
        <v>0.44</v>
      </c>
      <c r="X310" s="2902">
        <v>0.5625</v>
      </c>
      <c r="Y310" s="2903">
        <v>2</v>
      </c>
      <c r="Z310" s="2809">
        <v>0</v>
      </c>
      <c r="AA310" s="2863">
        <v>7</v>
      </c>
      <c r="AB310" s="2809">
        <v>0</v>
      </c>
      <c r="AC310" s="2904">
        <v>7</v>
      </c>
      <c r="AD310" s="2809">
        <v>0</v>
      </c>
      <c r="AE310" s="63">
        <v>0</v>
      </c>
      <c r="AF310" s="27">
        <v>0</v>
      </c>
      <c r="AG310" s="2905">
        <v>-550</v>
      </c>
      <c r="AH310" s="2905"/>
      <c r="AI310" s="2809">
        <v>-1000</v>
      </c>
      <c r="AJ310" s="110">
        <v>-165</v>
      </c>
      <c r="AK310" s="2906">
        <v>-160</v>
      </c>
      <c r="AL310" s="88">
        <f>350</f>
        <v>350</v>
      </c>
      <c r="AM310" s="2907">
        <f>160</f>
        <v>160</v>
      </c>
      <c r="AN310" s="2908">
        <f>135</f>
        <v>135</v>
      </c>
      <c r="AO310" s="107"/>
    </row>
    <row r="311" spans="1:41" ht="15">
      <c r="A311" s="109"/>
      <c r="B311" s="5832"/>
      <c r="C311" s="2819" t="s">
        <v>145</v>
      </c>
      <c r="D311" s="213"/>
      <c r="E311" s="2820"/>
      <c r="F311" s="2820">
        <v>26</v>
      </c>
      <c r="G311" s="2820" t="s">
        <v>1592</v>
      </c>
      <c r="H311" s="2820" t="s">
        <v>1832</v>
      </c>
      <c r="I311" s="2821" t="s">
        <v>1800</v>
      </c>
      <c r="J311" s="2822" t="s">
        <v>1666</v>
      </c>
      <c r="K311" s="2771">
        <v>0</v>
      </c>
      <c r="L311" s="2772">
        <v>0</v>
      </c>
      <c r="M311" s="2890">
        <v>0</v>
      </c>
      <c r="N311" s="2909">
        <v>0</v>
      </c>
      <c r="O311" s="2910">
        <v>0</v>
      </c>
      <c r="P311" s="2771">
        <v>0</v>
      </c>
      <c r="Q311" s="2772">
        <v>0</v>
      </c>
      <c r="R311" s="2772">
        <v>0</v>
      </c>
      <c r="S311" s="2911">
        <v>0</v>
      </c>
      <c r="T311" s="2820">
        <v>18</v>
      </c>
      <c r="U311" s="2912">
        <v>0.72</v>
      </c>
      <c r="V311" s="2913">
        <v>0.11</v>
      </c>
      <c r="W311" s="2914">
        <v>0.11</v>
      </c>
      <c r="X311" s="2915">
        <v>0.83330000000000004</v>
      </c>
      <c r="Y311" s="2916">
        <v>13</v>
      </c>
      <c r="Z311" s="2774">
        <v>0</v>
      </c>
      <c r="AA311" s="2836">
        <v>2</v>
      </c>
      <c r="AB311" s="2839">
        <v>1</v>
      </c>
      <c r="AC311" s="2836">
        <v>2</v>
      </c>
      <c r="AD311" s="2774">
        <v>0</v>
      </c>
      <c r="AE311" s="2841">
        <v>0</v>
      </c>
      <c r="AF311" s="28">
        <v>0</v>
      </c>
      <c r="AG311" s="2771">
        <f>400</f>
        <v>400</v>
      </c>
      <c r="AH311" s="2771"/>
      <c r="AI311" s="2911">
        <f>700</f>
        <v>700</v>
      </c>
      <c r="AJ311" s="112">
        <v>-165</v>
      </c>
      <c r="AK311" s="2771">
        <f>1100</f>
        <v>1100</v>
      </c>
      <c r="AL311" s="2771">
        <f>1200</f>
        <v>1200</v>
      </c>
      <c r="AM311" s="2917">
        <f>3000</f>
        <v>3000</v>
      </c>
      <c r="AN311" s="2918">
        <f>900</f>
        <v>900</v>
      </c>
      <c r="AO311" s="107"/>
    </row>
    <row r="312" spans="1:41" ht="15">
      <c r="A312" s="109"/>
      <c r="B312" s="5833">
        <v>5</v>
      </c>
      <c r="C312" s="2732" t="s">
        <v>479</v>
      </c>
      <c r="D312" s="119"/>
      <c r="E312" s="2733"/>
      <c r="F312" s="2733">
        <v>34</v>
      </c>
      <c r="G312" s="2733" t="s">
        <v>1630</v>
      </c>
      <c r="H312" s="2733" t="s">
        <v>1618</v>
      </c>
      <c r="I312" s="2734" t="s">
        <v>1833</v>
      </c>
      <c r="J312" s="2735" t="s">
        <v>1719</v>
      </c>
      <c r="K312" s="2919">
        <v>4.24</v>
      </c>
      <c r="L312" s="2920">
        <v>0.39</v>
      </c>
      <c r="M312" s="2921">
        <v>4.46</v>
      </c>
      <c r="N312" s="2922">
        <v>0.55000000000000004</v>
      </c>
      <c r="O312" s="2923">
        <v>-0.22</v>
      </c>
      <c r="P312" s="2924">
        <v>0.63</v>
      </c>
      <c r="Q312" s="2855">
        <v>0.44</v>
      </c>
      <c r="R312" s="2925">
        <v>0.46</v>
      </c>
      <c r="S312" s="2926">
        <v>1.1000000000000001</v>
      </c>
      <c r="T312" s="2733">
        <v>23</v>
      </c>
      <c r="U312" s="2927">
        <v>0.09</v>
      </c>
      <c r="V312" s="2928">
        <v>0.39</v>
      </c>
      <c r="W312" s="2859">
        <v>0.17</v>
      </c>
      <c r="X312" s="2929">
        <v>0.4783</v>
      </c>
      <c r="Y312" s="2903">
        <v>2</v>
      </c>
      <c r="Z312" s="2744">
        <v>4</v>
      </c>
      <c r="AA312" s="2864">
        <v>9</v>
      </c>
      <c r="AB312" s="2930">
        <v>2</v>
      </c>
      <c r="AC312" s="2931">
        <v>4</v>
      </c>
      <c r="AD312" s="2862">
        <v>1</v>
      </c>
      <c r="AE312" s="2864">
        <v>1</v>
      </c>
      <c r="AF312" s="2755">
        <v>0</v>
      </c>
      <c r="AG312" s="2932">
        <f>185</f>
        <v>185</v>
      </c>
      <c r="AH312" s="2933"/>
      <c r="AI312" s="2934">
        <f>255</f>
        <v>255</v>
      </c>
      <c r="AJ312" s="2935">
        <v>-215</v>
      </c>
      <c r="AK312" s="2869">
        <f>700</f>
        <v>700</v>
      </c>
      <c r="AL312" s="2936">
        <f>900</f>
        <v>900</v>
      </c>
      <c r="AM312" s="2937">
        <f>950</f>
        <v>950</v>
      </c>
      <c r="AN312" s="2938">
        <f>550</f>
        <v>550</v>
      </c>
      <c r="AO312" s="107"/>
    </row>
    <row r="313" spans="1:41" ht="15">
      <c r="A313" s="109"/>
      <c r="B313" s="5832"/>
      <c r="C313" s="2762" t="s">
        <v>480</v>
      </c>
      <c r="D313" s="151"/>
      <c r="E313" s="2763"/>
      <c r="F313" s="2763">
        <v>28</v>
      </c>
      <c r="G313" s="2763" t="s">
        <v>1630</v>
      </c>
      <c r="H313" s="2763" t="s">
        <v>1834</v>
      </c>
      <c r="I313" s="2764" t="s">
        <v>1748</v>
      </c>
      <c r="J313" s="2765" t="s">
        <v>1666</v>
      </c>
      <c r="K313" s="2939">
        <v>4.2699999999999996</v>
      </c>
      <c r="L313" s="2940">
        <v>0.48</v>
      </c>
      <c r="M313" s="2941">
        <v>3.57</v>
      </c>
      <c r="N313" s="2942">
        <v>0.49</v>
      </c>
      <c r="O313" s="2943">
        <f>0.7</f>
        <v>0.7</v>
      </c>
      <c r="P313" s="2944">
        <v>2</v>
      </c>
      <c r="Q313" s="2945">
        <v>0.33</v>
      </c>
      <c r="R313" s="2946">
        <v>0.77</v>
      </c>
      <c r="S313" s="2947">
        <v>1</v>
      </c>
      <c r="T313" s="2763">
        <v>12</v>
      </c>
      <c r="U313" s="2834">
        <v>0.08</v>
      </c>
      <c r="V313" s="2948">
        <v>0.5</v>
      </c>
      <c r="W313" s="2949">
        <v>0.33</v>
      </c>
      <c r="X313" s="2950">
        <v>0.58330000000000004</v>
      </c>
      <c r="Y313" s="2840">
        <v>1</v>
      </c>
      <c r="Z313" s="2774">
        <v>0</v>
      </c>
      <c r="AA313" s="2883">
        <v>6</v>
      </c>
      <c r="AB313" s="2774">
        <v>0</v>
      </c>
      <c r="AC313" s="2951">
        <v>4</v>
      </c>
      <c r="AD313" s="2837">
        <v>1</v>
      </c>
      <c r="AE313" s="2782">
        <v>0</v>
      </c>
      <c r="AF313" s="2783">
        <v>0</v>
      </c>
      <c r="AG313" s="2952">
        <v>-220</v>
      </c>
      <c r="AH313" s="2953"/>
      <c r="AI313" s="2954">
        <v>-305</v>
      </c>
      <c r="AJ313" s="2955">
        <v>-215</v>
      </c>
      <c r="AK313" s="2890">
        <v>-175</v>
      </c>
      <c r="AL313" s="2956">
        <f>215</f>
        <v>215</v>
      </c>
      <c r="AM313" s="2957">
        <f>225</f>
        <v>225</v>
      </c>
      <c r="AN313" s="2958">
        <f>275</f>
        <v>275</v>
      </c>
      <c r="AO313" s="107"/>
    </row>
    <row r="314" spans="1:41" ht="15">
      <c r="A314" s="109"/>
      <c r="B314" s="5831">
        <v>6</v>
      </c>
      <c r="C314" s="2792" t="s">
        <v>1022</v>
      </c>
      <c r="D314" s="183"/>
      <c r="E314" s="88"/>
      <c r="F314" s="88">
        <v>36</v>
      </c>
      <c r="G314" s="88" t="s">
        <v>1603</v>
      </c>
      <c r="H314" s="88" t="s">
        <v>1622</v>
      </c>
      <c r="I314" s="2793" t="s">
        <v>1835</v>
      </c>
      <c r="J314" s="2794" t="s">
        <v>1661</v>
      </c>
      <c r="K314" s="2959">
        <v>3.56</v>
      </c>
      <c r="L314" s="2960">
        <v>0.47</v>
      </c>
      <c r="M314" s="2961">
        <v>4.3899999999999997</v>
      </c>
      <c r="N314" s="2962">
        <v>0.5</v>
      </c>
      <c r="O314" s="2963">
        <v>-0.83</v>
      </c>
      <c r="P314" s="2964">
        <v>1.54</v>
      </c>
      <c r="Q314" s="2965">
        <v>0.24</v>
      </c>
      <c r="R314" s="2966">
        <v>0.79</v>
      </c>
      <c r="S314" s="2967">
        <v>0.1</v>
      </c>
      <c r="T314" s="88">
        <v>23</v>
      </c>
      <c r="U314" s="2968">
        <v>0.39</v>
      </c>
      <c r="V314" s="2899">
        <v>0.04</v>
      </c>
      <c r="W314" s="2969">
        <v>0.22</v>
      </c>
      <c r="X314" s="2970">
        <v>0.43480000000000002</v>
      </c>
      <c r="Y314" s="2971">
        <v>9</v>
      </c>
      <c r="Z314" s="2862">
        <v>1</v>
      </c>
      <c r="AA314" s="2753">
        <v>1</v>
      </c>
      <c r="AB314" s="2752">
        <v>1</v>
      </c>
      <c r="AC314" s="2972">
        <v>5</v>
      </c>
      <c r="AD314" s="2744">
        <v>6</v>
      </c>
      <c r="AE314" s="63">
        <v>0</v>
      </c>
      <c r="AF314" s="27">
        <v>0</v>
      </c>
      <c r="AG314" s="2973">
        <v>-250</v>
      </c>
      <c r="AH314" s="2973"/>
      <c r="AI314" s="2974">
        <v>-450</v>
      </c>
      <c r="AJ314" s="2975">
        <v>-110</v>
      </c>
      <c r="AK314" s="2976">
        <f>145</f>
        <v>145</v>
      </c>
      <c r="AL314" s="2977">
        <f>250</f>
        <v>250</v>
      </c>
      <c r="AM314" s="2811">
        <f>375</f>
        <v>375</v>
      </c>
      <c r="AN314" s="2978">
        <f>185</f>
        <v>185</v>
      </c>
      <c r="AO314" s="107"/>
    </row>
    <row r="315" spans="1:41" ht="15">
      <c r="A315" s="109"/>
      <c r="B315" s="5832"/>
      <c r="C315" s="2819" t="s">
        <v>1023</v>
      </c>
      <c r="D315" s="213"/>
      <c r="E315" s="2820"/>
      <c r="F315" s="2820">
        <v>35</v>
      </c>
      <c r="G315" s="2820" t="s">
        <v>1571</v>
      </c>
      <c r="H315" s="2820" t="s">
        <v>1572</v>
      </c>
      <c r="I315" s="2821" t="s">
        <v>1836</v>
      </c>
      <c r="J315" s="2822" t="s">
        <v>1751</v>
      </c>
      <c r="K315" s="2979">
        <v>2.84</v>
      </c>
      <c r="L315" s="2940">
        <v>0.48</v>
      </c>
      <c r="M315" s="2980">
        <v>3.92</v>
      </c>
      <c r="N315" s="2942">
        <v>0.49</v>
      </c>
      <c r="O315" s="2981">
        <v>-1.08</v>
      </c>
      <c r="P315" s="2982">
        <v>1.44</v>
      </c>
      <c r="Q315" s="2983">
        <v>0.4</v>
      </c>
      <c r="R315" s="2984">
        <v>0.69</v>
      </c>
      <c r="S315" s="2985">
        <v>0.1</v>
      </c>
      <c r="T315" s="2820">
        <v>23</v>
      </c>
      <c r="U315" s="2986">
        <v>0.35</v>
      </c>
      <c r="V315" s="2987">
        <v>0.04</v>
      </c>
      <c r="W315" s="2988">
        <v>0.17</v>
      </c>
      <c r="X315" s="2989">
        <v>0.39129999999999998</v>
      </c>
      <c r="Y315" s="2779">
        <v>8</v>
      </c>
      <c r="Z315" s="2990">
        <v>2</v>
      </c>
      <c r="AA315" s="2781">
        <v>1</v>
      </c>
      <c r="AB315" s="2991">
        <v>4</v>
      </c>
      <c r="AC315" s="2951">
        <v>4</v>
      </c>
      <c r="AD315" s="2992">
        <v>4</v>
      </c>
      <c r="AE315" s="2841">
        <v>0</v>
      </c>
      <c r="AF315" s="28">
        <v>0</v>
      </c>
      <c r="AG315" s="2993">
        <f>210</f>
        <v>210</v>
      </c>
      <c r="AH315" s="2994"/>
      <c r="AI315" s="2995">
        <f>350</f>
        <v>350</v>
      </c>
      <c r="AJ315" s="2996">
        <v>-110</v>
      </c>
      <c r="AK315" s="2997">
        <f>470</f>
        <v>470</v>
      </c>
      <c r="AL315" s="2847">
        <f>500</f>
        <v>500</v>
      </c>
      <c r="AM315" s="2998">
        <f>2200</f>
        <v>2200</v>
      </c>
      <c r="AN315" s="2999">
        <f>450</f>
        <v>450</v>
      </c>
      <c r="AO315" s="107"/>
    </row>
    <row r="316" spans="1:41" ht="15">
      <c r="A316" s="109"/>
      <c r="B316" s="5833">
        <v>7</v>
      </c>
      <c r="C316" s="2732" t="s">
        <v>149</v>
      </c>
      <c r="D316" s="119"/>
      <c r="E316" s="2733"/>
      <c r="F316" s="2733">
        <v>28</v>
      </c>
      <c r="G316" s="2733" t="s">
        <v>1588</v>
      </c>
      <c r="H316" s="2733" t="s">
        <v>1837</v>
      </c>
      <c r="I316" s="2734" t="s">
        <v>1760</v>
      </c>
      <c r="J316" s="2735" t="s">
        <v>1658</v>
      </c>
      <c r="K316" s="2905">
        <v>9.56</v>
      </c>
      <c r="L316" s="3000">
        <v>0.49</v>
      </c>
      <c r="M316" s="3001">
        <v>2.31</v>
      </c>
      <c r="N316" s="3002">
        <v>0.61</v>
      </c>
      <c r="O316" s="2809">
        <f>7.25</f>
        <v>7.25</v>
      </c>
      <c r="P316" s="2741">
        <v>0</v>
      </c>
      <c r="Q316" s="2742">
        <v>0</v>
      </c>
      <c r="R316" s="2801">
        <v>1</v>
      </c>
      <c r="S316" s="2744">
        <v>0</v>
      </c>
      <c r="T316" s="2733">
        <v>22</v>
      </c>
      <c r="U316" s="3003">
        <v>0.68</v>
      </c>
      <c r="V316" s="3004">
        <v>0.09</v>
      </c>
      <c r="W316" s="3005">
        <v>0.09</v>
      </c>
      <c r="X316" s="3006">
        <v>0.77270000000000005</v>
      </c>
      <c r="Y316" s="2864">
        <v>15</v>
      </c>
      <c r="Z316" s="3007">
        <v>3</v>
      </c>
      <c r="AA316" s="2810">
        <v>2</v>
      </c>
      <c r="AB316" s="2809">
        <v>0</v>
      </c>
      <c r="AC316" s="2810">
        <v>2</v>
      </c>
      <c r="AD316" s="2809">
        <v>0</v>
      </c>
      <c r="AE316" s="2754">
        <v>0</v>
      </c>
      <c r="AF316" s="2755">
        <v>0</v>
      </c>
      <c r="AG316" s="3008">
        <v>-225</v>
      </c>
      <c r="AH316" s="3009"/>
      <c r="AI316" s="3010">
        <v>-144</v>
      </c>
      <c r="AJ316" s="1372"/>
      <c r="AK316" s="640"/>
      <c r="AL316" s="640"/>
      <c r="AM316" s="640"/>
      <c r="AN316" s="119"/>
      <c r="AO316" s="107"/>
    </row>
    <row r="317" spans="1:41" ht="15">
      <c r="A317" s="109"/>
      <c r="B317" s="5832"/>
      <c r="C317" s="2762" t="s">
        <v>150</v>
      </c>
      <c r="D317" s="151"/>
      <c r="E317" s="2763"/>
      <c r="F317" s="2763">
        <v>23</v>
      </c>
      <c r="G317" s="2763" t="s">
        <v>1653</v>
      </c>
      <c r="H317" s="2763" t="s">
        <v>1832</v>
      </c>
      <c r="I317" s="2764" t="s">
        <v>1672</v>
      </c>
      <c r="J317" s="2765" t="s">
        <v>1658</v>
      </c>
      <c r="K317" s="2771">
        <v>0</v>
      </c>
      <c r="L317" s="2772">
        <v>0</v>
      </c>
      <c r="M317" s="2890">
        <v>0</v>
      </c>
      <c r="N317" s="2909">
        <v>0</v>
      </c>
      <c r="O317" s="2910">
        <v>0</v>
      </c>
      <c r="P317" s="2771">
        <v>0</v>
      </c>
      <c r="Q317" s="2772">
        <v>0</v>
      </c>
      <c r="R317" s="2772">
        <v>0</v>
      </c>
      <c r="S317" s="2911">
        <v>0</v>
      </c>
      <c r="T317" s="2763">
        <v>13</v>
      </c>
      <c r="U317" s="3011">
        <v>0.54</v>
      </c>
      <c r="V317" s="2988">
        <v>0.23</v>
      </c>
      <c r="W317" s="2777">
        <v>0.08</v>
      </c>
      <c r="X317" s="3012">
        <v>0.76919999999999999</v>
      </c>
      <c r="Y317" s="2780">
        <v>7</v>
      </c>
      <c r="Z317" s="2774">
        <v>0</v>
      </c>
      <c r="AA317" s="2780">
        <v>3</v>
      </c>
      <c r="AB317" s="2774">
        <v>0</v>
      </c>
      <c r="AC317" s="2781">
        <v>1</v>
      </c>
      <c r="AD317" s="2839">
        <v>2</v>
      </c>
      <c r="AE317" s="2782">
        <v>0</v>
      </c>
      <c r="AF317" s="2783">
        <v>0</v>
      </c>
      <c r="AG317" s="3013">
        <f>185</f>
        <v>185</v>
      </c>
      <c r="AH317" s="2846"/>
      <c r="AI317" s="3014">
        <f>124</f>
        <v>124</v>
      </c>
      <c r="AJ317" s="151"/>
      <c r="AK317" s="657"/>
      <c r="AL317" s="657"/>
      <c r="AM317" s="657"/>
      <c r="AN317" s="151"/>
      <c r="AO317" s="107"/>
    </row>
    <row r="318" spans="1:41" ht="15">
      <c r="A318" s="109"/>
      <c r="B318" s="5831">
        <v>8</v>
      </c>
      <c r="C318" s="2792" t="s">
        <v>26</v>
      </c>
      <c r="D318" s="183"/>
      <c r="E318" s="88"/>
      <c r="F318" s="88">
        <v>36</v>
      </c>
      <c r="G318" s="88" t="s">
        <v>1630</v>
      </c>
      <c r="H318" s="88" t="s">
        <v>1631</v>
      </c>
      <c r="I318" s="2793" t="s">
        <v>1734</v>
      </c>
      <c r="J318" s="2794" t="s">
        <v>1673</v>
      </c>
      <c r="K318" s="2795">
        <v>3.04</v>
      </c>
      <c r="L318" s="3015">
        <v>0.43</v>
      </c>
      <c r="M318" s="3016">
        <v>3.4</v>
      </c>
      <c r="N318" s="3017">
        <v>0.72</v>
      </c>
      <c r="O318" s="2740">
        <v>-0.36</v>
      </c>
      <c r="P318" s="3018">
        <v>0.25</v>
      </c>
      <c r="Q318" s="3019">
        <v>0.16</v>
      </c>
      <c r="R318" s="3020">
        <v>0.75</v>
      </c>
      <c r="S318" s="2744">
        <v>0</v>
      </c>
      <c r="T318" s="88">
        <v>12</v>
      </c>
      <c r="U318" s="3021">
        <v>0.42</v>
      </c>
      <c r="V318" s="3022">
        <v>0.25</v>
      </c>
      <c r="W318" s="2859">
        <v>0.17</v>
      </c>
      <c r="X318" s="2748">
        <v>0.66669999999999996</v>
      </c>
      <c r="Y318" s="2810">
        <v>5</v>
      </c>
      <c r="Z318" s="2862">
        <v>1</v>
      </c>
      <c r="AA318" s="2808">
        <v>3</v>
      </c>
      <c r="AB318" s="2809">
        <v>0</v>
      </c>
      <c r="AC318" s="2810">
        <v>2</v>
      </c>
      <c r="AD318" s="2862">
        <v>1</v>
      </c>
      <c r="AE318" s="63">
        <v>0</v>
      </c>
      <c r="AF318" s="27">
        <v>0</v>
      </c>
      <c r="AG318" s="3023">
        <f>330</f>
        <v>330</v>
      </c>
      <c r="AH318" s="3024"/>
      <c r="AI318" s="3025">
        <f>500</f>
        <v>500</v>
      </c>
      <c r="AJ318" s="3026">
        <f t="shared" ref="AJ318:AJ319" si="17">150</f>
        <v>150</v>
      </c>
      <c r="AK318" s="2869">
        <f>700</f>
        <v>700</v>
      </c>
      <c r="AL318" s="2936">
        <f>900</f>
        <v>900</v>
      </c>
      <c r="AM318" s="3027">
        <f>2500</f>
        <v>2500</v>
      </c>
      <c r="AN318" s="3028">
        <f>800</f>
        <v>800</v>
      </c>
      <c r="AO318" s="107"/>
    </row>
    <row r="319" spans="1:41" ht="15">
      <c r="A319" s="109"/>
      <c r="B319" s="5832"/>
      <c r="C319" s="2819" t="s">
        <v>27</v>
      </c>
      <c r="D319" s="213"/>
      <c r="E319" s="2820"/>
      <c r="F319" s="2820">
        <v>28</v>
      </c>
      <c r="G319" s="2820" t="s">
        <v>1588</v>
      </c>
      <c r="H319" s="2820" t="s">
        <v>1606</v>
      </c>
      <c r="I319" s="2821" t="s">
        <v>1838</v>
      </c>
      <c r="J319" s="2822" t="s">
        <v>1801</v>
      </c>
      <c r="K319" s="3029">
        <v>5.65</v>
      </c>
      <c r="L319" s="2824">
        <v>0.61</v>
      </c>
      <c r="M319" s="3030">
        <v>2.5</v>
      </c>
      <c r="N319" s="3031">
        <v>0.63</v>
      </c>
      <c r="O319" s="3032">
        <f>3.15</f>
        <v>3.15</v>
      </c>
      <c r="P319" s="3033">
        <v>2.09</v>
      </c>
      <c r="Q319" s="3034">
        <v>0.5</v>
      </c>
      <c r="R319" s="3035">
        <v>0.85</v>
      </c>
      <c r="S319" s="3036">
        <v>0.2</v>
      </c>
      <c r="T319" s="2820">
        <v>14</v>
      </c>
      <c r="U319" s="2832">
        <v>0.36</v>
      </c>
      <c r="V319" s="3037">
        <v>0.43</v>
      </c>
      <c r="W319" s="3038">
        <v>0.21</v>
      </c>
      <c r="X319" s="3039">
        <v>0.78569999999999995</v>
      </c>
      <c r="Y319" s="2836">
        <v>5</v>
      </c>
      <c r="Z319" s="2774">
        <v>0</v>
      </c>
      <c r="AA319" s="2883">
        <v>6</v>
      </c>
      <c r="AB319" s="2774">
        <v>0</v>
      </c>
      <c r="AC319" s="2780">
        <v>3</v>
      </c>
      <c r="AD319" s="2774">
        <v>0</v>
      </c>
      <c r="AE319" s="2841">
        <v>0</v>
      </c>
      <c r="AF319" s="28">
        <v>0</v>
      </c>
      <c r="AG319" s="3040">
        <v>-400</v>
      </c>
      <c r="AH319" s="3041"/>
      <c r="AI319" s="3042">
        <v>-800</v>
      </c>
      <c r="AJ319" s="3043">
        <f t="shared" si="17"/>
        <v>150</v>
      </c>
      <c r="AK319" s="3044">
        <f>180</f>
        <v>180</v>
      </c>
      <c r="AL319" s="3045">
        <f t="shared" ref="AL319:AM319" si="18">400</f>
        <v>400</v>
      </c>
      <c r="AM319" s="3046">
        <f t="shared" si="18"/>
        <v>400</v>
      </c>
      <c r="AN319" s="2774">
        <v>-145</v>
      </c>
      <c r="AO319" s="107"/>
    </row>
    <row r="320" spans="1:41" ht="15">
      <c r="A320" s="109"/>
      <c r="B320" s="5833">
        <v>9</v>
      </c>
      <c r="C320" s="2732" t="s">
        <v>1027</v>
      </c>
      <c r="D320" s="119"/>
      <c r="E320" s="2733"/>
      <c r="F320" s="2733">
        <v>28</v>
      </c>
      <c r="G320" s="2733" t="s">
        <v>1571</v>
      </c>
      <c r="H320" s="2733" t="s">
        <v>1568</v>
      </c>
      <c r="I320" s="2734" t="s">
        <v>1736</v>
      </c>
      <c r="J320" s="2735" t="s">
        <v>1658</v>
      </c>
      <c r="K320" s="3047">
        <v>5.0599999999999996</v>
      </c>
      <c r="L320" s="3048">
        <v>0.59</v>
      </c>
      <c r="M320" s="3049">
        <v>4.68</v>
      </c>
      <c r="N320" s="3050">
        <v>0.47</v>
      </c>
      <c r="O320" s="3051">
        <f>0.38</f>
        <v>0.38</v>
      </c>
      <c r="P320" s="2741">
        <v>0</v>
      </c>
      <c r="Q320" s="2742">
        <v>0</v>
      </c>
      <c r="R320" s="3052">
        <v>0.5</v>
      </c>
      <c r="S320" s="2744">
        <v>0</v>
      </c>
      <c r="T320" s="2733">
        <v>10</v>
      </c>
      <c r="U320" s="2804">
        <v>0.7</v>
      </c>
      <c r="V320" s="2805">
        <v>0.1</v>
      </c>
      <c r="W320" s="3053">
        <v>0.1</v>
      </c>
      <c r="X320" s="2807">
        <v>0.8</v>
      </c>
      <c r="Y320" s="2808">
        <v>7</v>
      </c>
      <c r="Z320" s="2809">
        <v>0</v>
      </c>
      <c r="AA320" s="2753">
        <v>1</v>
      </c>
      <c r="AB320" s="2809">
        <v>0</v>
      </c>
      <c r="AC320" s="2753">
        <v>1</v>
      </c>
      <c r="AD320" s="2862">
        <v>1</v>
      </c>
      <c r="AE320" s="2754">
        <v>0</v>
      </c>
      <c r="AF320" s="2755">
        <v>0</v>
      </c>
      <c r="AG320" s="3054">
        <f>210</f>
        <v>210</v>
      </c>
      <c r="AH320" s="3055"/>
      <c r="AI320" s="3056">
        <v>-300</v>
      </c>
      <c r="AJ320" s="3057">
        <v>-400</v>
      </c>
      <c r="AK320" s="2906">
        <v>-160</v>
      </c>
      <c r="AL320" s="2905">
        <v>-120</v>
      </c>
      <c r="AM320" s="3058">
        <f>750</f>
        <v>750</v>
      </c>
      <c r="AN320" s="3059">
        <f>350</f>
        <v>350</v>
      </c>
      <c r="AO320" s="107"/>
    </row>
    <row r="321" spans="1:41" ht="15">
      <c r="A321" s="109"/>
      <c r="B321" s="5832"/>
      <c r="C321" s="2762" t="s">
        <v>1028</v>
      </c>
      <c r="D321" s="151"/>
      <c r="E321" s="2763"/>
      <c r="F321" s="2763">
        <v>31</v>
      </c>
      <c r="G321" s="2763" t="s">
        <v>1603</v>
      </c>
      <c r="H321" s="2763" t="s">
        <v>1586</v>
      </c>
      <c r="I321" s="2764" t="s">
        <v>1764</v>
      </c>
      <c r="J321" s="2765" t="s">
        <v>1673</v>
      </c>
      <c r="K321" s="3060">
        <v>4.6500000000000004</v>
      </c>
      <c r="L321" s="3061">
        <v>0.56999999999999995</v>
      </c>
      <c r="M321" s="3062">
        <v>3.34</v>
      </c>
      <c r="N321" s="3063">
        <v>0.31</v>
      </c>
      <c r="O321" s="3064">
        <f>1.31</f>
        <v>1.31</v>
      </c>
      <c r="P321" s="3065">
        <v>0.76</v>
      </c>
      <c r="Q321" s="3034">
        <v>0.5</v>
      </c>
      <c r="R321" s="3066">
        <v>0.75</v>
      </c>
      <c r="S321" s="2911">
        <v>0</v>
      </c>
      <c r="T321" s="2763">
        <v>15</v>
      </c>
      <c r="U321" s="2880">
        <v>0.73</v>
      </c>
      <c r="V321" s="2834">
        <v>0</v>
      </c>
      <c r="W321" s="2834">
        <v>0</v>
      </c>
      <c r="X321" s="3067">
        <v>0.73329999999999995</v>
      </c>
      <c r="Y321" s="2883">
        <v>11</v>
      </c>
      <c r="Z321" s="2990">
        <v>2</v>
      </c>
      <c r="AA321" s="2840">
        <v>0</v>
      </c>
      <c r="AB321" s="2839">
        <v>1</v>
      </c>
      <c r="AC321" s="2840">
        <v>0</v>
      </c>
      <c r="AD321" s="2837">
        <v>1</v>
      </c>
      <c r="AE321" s="2782">
        <v>0</v>
      </c>
      <c r="AF321" s="2783">
        <v>0</v>
      </c>
      <c r="AG321" s="3068">
        <v>-250</v>
      </c>
      <c r="AH321" s="3069"/>
      <c r="AI321" s="3070">
        <f>250</f>
        <v>250</v>
      </c>
      <c r="AJ321" s="3071">
        <v>-400</v>
      </c>
      <c r="AK321" s="3072">
        <f>285</f>
        <v>285</v>
      </c>
      <c r="AL321" s="2820">
        <f>350</f>
        <v>350</v>
      </c>
      <c r="AM321" s="3073">
        <f>2500</f>
        <v>2500</v>
      </c>
      <c r="AN321" s="3074">
        <f>1000</f>
        <v>1000</v>
      </c>
      <c r="AO321" s="107"/>
    </row>
    <row r="322" spans="1:41" ht="15">
      <c r="A322" s="109"/>
      <c r="B322" s="5831">
        <v>10</v>
      </c>
      <c r="C322" s="2792" t="s">
        <v>856</v>
      </c>
      <c r="D322" s="183"/>
      <c r="E322" s="88"/>
      <c r="F322" s="88">
        <v>29</v>
      </c>
      <c r="G322" s="88" t="s">
        <v>1592</v>
      </c>
      <c r="H322" s="88" t="s">
        <v>1839</v>
      </c>
      <c r="I322" s="2793" t="s">
        <v>1840</v>
      </c>
      <c r="J322" s="2794" t="s">
        <v>1777</v>
      </c>
      <c r="K322" s="3075">
        <v>3.49</v>
      </c>
      <c r="L322" s="3076">
        <v>0.54</v>
      </c>
      <c r="M322" s="3077">
        <v>3.53</v>
      </c>
      <c r="N322" s="3078">
        <v>0.53</v>
      </c>
      <c r="O322" s="3079">
        <v>-0.04</v>
      </c>
      <c r="P322" s="3080">
        <v>1.52</v>
      </c>
      <c r="Q322" s="2897">
        <v>0.45</v>
      </c>
      <c r="R322" s="3081">
        <v>0.83</v>
      </c>
      <c r="S322" s="2744">
        <v>0</v>
      </c>
      <c r="T322" s="88">
        <v>25</v>
      </c>
      <c r="U322" s="3082">
        <v>0.32</v>
      </c>
      <c r="V322" s="3083">
        <v>0.32</v>
      </c>
      <c r="W322" s="3084">
        <v>0.16</v>
      </c>
      <c r="X322" s="3085">
        <v>0.64</v>
      </c>
      <c r="Y322" s="3086">
        <v>8</v>
      </c>
      <c r="Z322" s="2862">
        <v>1</v>
      </c>
      <c r="AA322" s="3087">
        <v>8</v>
      </c>
      <c r="AB322" s="2930">
        <v>2</v>
      </c>
      <c r="AC322" s="2931">
        <v>4</v>
      </c>
      <c r="AD322" s="2862">
        <v>1</v>
      </c>
      <c r="AE322" s="63">
        <v>0</v>
      </c>
      <c r="AF322" s="27">
        <v>0</v>
      </c>
      <c r="AG322" s="3088">
        <v>-500</v>
      </c>
      <c r="AH322" s="3089"/>
      <c r="AI322" s="3090">
        <v>-800</v>
      </c>
      <c r="AJ322" s="54"/>
      <c r="AK322" s="6"/>
      <c r="AL322" s="6"/>
      <c r="AM322" s="6"/>
      <c r="AN322" s="183"/>
      <c r="AO322" s="107"/>
    </row>
    <row r="323" spans="1:41" ht="15">
      <c r="A323" s="109"/>
      <c r="B323" s="5832"/>
      <c r="C323" s="2819" t="s">
        <v>857</v>
      </c>
      <c r="D323" s="213"/>
      <c r="E323" s="2820"/>
      <c r="F323" s="2820">
        <v>29</v>
      </c>
      <c r="G323" s="2820" t="s">
        <v>1575</v>
      </c>
      <c r="H323" s="2820" t="s">
        <v>1641</v>
      </c>
      <c r="I323" s="2821" t="s">
        <v>1841</v>
      </c>
      <c r="J323" s="2822" t="s">
        <v>1658</v>
      </c>
      <c r="K323" s="3091">
        <v>7.58</v>
      </c>
      <c r="L323" s="3092">
        <v>0.24</v>
      </c>
      <c r="M323" s="2771">
        <v>11.32</v>
      </c>
      <c r="N323" s="2826">
        <v>0.54</v>
      </c>
      <c r="O323" s="2911">
        <v>-3.74</v>
      </c>
      <c r="P323" s="2771">
        <v>0</v>
      </c>
      <c r="Q323" s="2772">
        <v>0</v>
      </c>
      <c r="R323" s="2772">
        <v>0</v>
      </c>
      <c r="S323" s="2911">
        <v>0</v>
      </c>
      <c r="T323" s="2820">
        <v>14</v>
      </c>
      <c r="U323" s="3093">
        <v>0.28999999999999998</v>
      </c>
      <c r="V323" s="3094">
        <v>0.28999999999999998</v>
      </c>
      <c r="W323" s="3038">
        <v>0.21</v>
      </c>
      <c r="X323" s="3095">
        <v>0.57140000000000002</v>
      </c>
      <c r="Y323" s="3096">
        <v>4</v>
      </c>
      <c r="Z323" s="2837">
        <v>1</v>
      </c>
      <c r="AA323" s="3097">
        <v>4</v>
      </c>
      <c r="AB323" s="2774">
        <v>0</v>
      </c>
      <c r="AC323" s="2780">
        <v>3</v>
      </c>
      <c r="AD323" s="2839">
        <v>2</v>
      </c>
      <c r="AE323" s="2841">
        <v>0</v>
      </c>
      <c r="AF323" s="28">
        <v>0</v>
      </c>
      <c r="AG323" s="3098">
        <f>385</f>
        <v>385</v>
      </c>
      <c r="AH323" s="3099"/>
      <c r="AI323" s="3100">
        <f>575</f>
        <v>575</v>
      </c>
      <c r="AJ323" s="213"/>
      <c r="AK323" s="5"/>
      <c r="AL323" s="5"/>
      <c r="AM323" s="5"/>
      <c r="AN323" s="213"/>
      <c r="AO323" s="107"/>
    </row>
    <row r="324" spans="1:41" ht="15">
      <c r="A324" s="109"/>
      <c r="B324" s="5833">
        <v>11</v>
      </c>
      <c r="C324" s="2732" t="s">
        <v>758</v>
      </c>
      <c r="D324" s="119"/>
      <c r="E324" s="2733"/>
      <c r="F324" s="2733">
        <v>33</v>
      </c>
      <c r="G324" s="2733" t="s">
        <v>1605</v>
      </c>
      <c r="H324" s="2733" t="s">
        <v>1606</v>
      </c>
      <c r="I324" s="2734" t="s">
        <v>1842</v>
      </c>
      <c r="J324" s="2735" t="s">
        <v>1673</v>
      </c>
      <c r="K324" s="3101">
        <v>4.5999999999999996</v>
      </c>
      <c r="L324" s="3102">
        <v>0.28000000000000003</v>
      </c>
      <c r="M324" s="3103">
        <v>3.6</v>
      </c>
      <c r="N324" s="3002">
        <v>0.61</v>
      </c>
      <c r="O324" s="3104">
        <f>1</f>
        <v>1</v>
      </c>
      <c r="P324" s="3105">
        <v>1</v>
      </c>
      <c r="Q324" s="3019">
        <v>0.16</v>
      </c>
      <c r="R324" s="2742">
        <v>0</v>
      </c>
      <c r="S324" s="2744">
        <v>0</v>
      </c>
      <c r="T324" s="2733">
        <v>18</v>
      </c>
      <c r="U324" s="3106">
        <v>0.44</v>
      </c>
      <c r="V324" s="3107">
        <v>0.11</v>
      </c>
      <c r="W324" s="3108">
        <v>0.28000000000000003</v>
      </c>
      <c r="X324" s="3109">
        <v>0.55559999999999998</v>
      </c>
      <c r="Y324" s="3086">
        <v>8</v>
      </c>
      <c r="Z324" s="3007">
        <v>3</v>
      </c>
      <c r="AA324" s="2810">
        <v>2</v>
      </c>
      <c r="AB324" s="2809">
        <v>0</v>
      </c>
      <c r="AC324" s="2972">
        <v>5</v>
      </c>
      <c r="AD324" s="2809">
        <v>0</v>
      </c>
      <c r="AE324" s="2754">
        <v>0</v>
      </c>
      <c r="AF324" s="2755">
        <v>0</v>
      </c>
      <c r="AG324" s="3110">
        <f>150</f>
        <v>150</v>
      </c>
      <c r="AH324" s="3111"/>
      <c r="AI324" s="3112">
        <v>-182</v>
      </c>
      <c r="AJ324" s="3113">
        <f t="shared" ref="AJ324:AJ325" si="19">100</f>
        <v>100</v>
      </c>
      <c r="AK324" s="3114">
        <f>200</f>
        <v>200</v>
      </c>
      <c r="AL324" s="3058">
        <f>300</f>
        <v>300</v>
      </c>
      <c r="AM324" s="3115">
        <f>900</f>
        <v>900</v>
      </c>
      <c r="AN324" s="3116">
        <f>180</f>
        <v>180</v>
      </c>
      <c r="AO324" s="107"/>
    </row>
    <row r="325" spans="1:41" ht="15">
      <c r="A325" s="109"/>
      <c r="B325" s="5832"/>
      <c r="C325" s="2762" t="s">
        <v>759</v>
      </c>
      <c r="D325" s="151"/>
      <c r="E325" s="2763"/>
      <c r="F325" s="2763">
        <v>28</v>
      </c>
      <c r="G325" s="2763" t="s">
        <v>1630</v>
      </c>
      <c r="H325" s="2763" t="s">
        <v>1606</v>
      </c>
      <c r="I325" s="2764" t="s">
        <v>1663</v>
      </c>
      <c r="J325" s="2765" t="s">
        <v>1666</v>
      </c>
      <c r="K325" s="3117">
        <v>2.61</v>
      </c>
      <c r="L325" s="3118">
        <v>0.42</v>
      </c>
      <c r="M325" s="3119">
        <v>5.31</v>
      </c>
      <c r="N325" s="3120">
        <v>0.46</v>
      </c>
      <c r="O325" s="3121">
        <v>-2.7</v>
      </c>
      <c r="P325" s="2890">
        <v>7.3</v>
      </c>
      <c r="Q325" s="3122">
        <v>0.52</v>
      </c>
      <c r="R325" s="3123">
        <v>0.5</v>
      </c>
      <c r="S325" s="2911">
        <v>0</v>
      </c>
      <c r="T325" s="2763">
        <v>23</v>
      </c>
      <c r="U325" s="3124">
        <v>0.3</v>
      </c>
      <c r="V325" s="3125">
        <v>0.22</v>
      </c>
      <c r="W325" s="3126">
        <v>0.22</v>
      </c>
      <c r="X325" s="3127">
        <v>0.52170000000000005</v>
      </c>
      <c r="Y325" s="2780">
        <v>7</v>
      </c>
      <c r="Z325" s="2837">
        <v>1</v>
      </c>
      <c r="AA325" s="2838">
        <v>5</v>
      </c>
      <c r="AB325" s="2774">
        <v>0</v>
      </c>
      <c r="AC325" s="3128">
        <v>5</v>
      </c>
      <c r="AD325" s="2992">
        <v>4</v>
      </c>
      <c r="AE325" s="2782">
        <v>0</v>
      </c>
      <c r="AF325" s="2783">
        <v>0</v>
      </c>
      <c r="AG325" s="3129">
        <v>-175</v>
      </c>
      <c r="AH325" s="3130"/>
      <c r="AI325" s="3131">
        <f>157</f>
        <v>157</v>
      </c>
      <c r="AJ325" s="3132">
        <f t="shared" si="19"/>
        <v>100</v>
      </c>
      <c r="AK325" s="3133">
        <f>335</f>
        <v>335</v>
      </c>
      <c r="AL325" s="3134">
        <f>325</f>
        <v>325</v>
      </c>
      <c r="AM325" s="3135">
        <f>1000</f>
        <v>1000</v>
      </c>
      <c r="AN325" s="3136">
        <f>375</f>
        <v>375</v>
      </c>
      <c r="AO325" s="107"/>
    </row>
    <row r="326" spans="1:41" ht="14.25">
      <c r="A326" s="3137"/>
      <c r="B326" s="3138"/>
      <c r="C326" s="3137"/>
      <c r="D326" s="3137"/>
      <c r="E326" s="3137"/>
      <c r="F326" s="3137"/>
      <c r="G326" s="3137"/>
      <c r="H326" s="3137"/>
      <c r="I326" s="3137"/>
      <c r="J326" s="3137"/>
      <c r="K326" s="3137"/>
      <c r="L326" s="3137"/>
      <c r="M326" s="3137"/>
      <c r="N326" s="3137"/>
      <c r="O326" s="3137"/>
      <c r="P326" s="3137"/>
      <c r="Q326" s="3137"/>
      <c r="R326" s="3137"/>
      <c r="S326" s="3137"/>
      <c r="T326" s="3137"/>
      <c r="U326" s="3137"/>
      <c r="V326" s="3137"/>
      <c r="W326" s="3137"/>
      <c r="X326" s="3137"/>
      <c r="Y326" s="3137"/>
      <c r="Z326" s="3137"/>
      <c r="AA326" s="3137"/>
      <c r="AB326" s="3137"/>
      <c r="AC326" s="3137"/>
      <c r="AD326" s="3137"/>
      <c r="AE326" s="3137"/>
      <c r="AF326" s="3137"/>
      <c r="AG326" s="3137"/>
      <c r="AH326" s="3137"/>
      <c r="AI326" s="3137"/>
      <c r="AJ326" s="3137"/>
      <c r="AK326" s="3137"/>
      <c r="AL326" s="3137"/>
      <c r="AM326" s="3137"/>
      <c r="AN326" s="3137"/>
    </row>
    <row r="327" spans="1:41" ht="14.25">
      <c r="B327" s="76"/>
    </row>
    <row r="328" spans="1:41" ht="14.25">
      <c r="B328" s="76"/>
    </row>
    <row r="329" spans="1:41" ht="14.25">
      <c r="B329" s="76"/>
    </row>
    <row r="330" spans="1:41" ht="14.25">
      <c r="A330" s="620" t="s">
        <v>1843</v>
      </c>
      <c r="B330" s="76"/>
      <c r="D330" s="2728">
        <v>20240224</v>
      </c>
    </row>
    <row r="331" spans="1:41" ht="12.75">
      <c r="A331" s="107"/>
      <c r="B331" s="108"/>
      <c r="C331" s="108"/>
      <c r="D331" s="108"/>
      <c r="E331" s="108"/>
      <c r="F331" s="108"/>
      <c r="G331" s="108"/>
      <c r="H331" s="108"/>
      <c r="I331" s="2729"/>
      <c r="J331" s="108"/>
      <c r="K331" s="108"/>
      <c r="L331" s="108"/>
      <c r="M331" s="108"/>
      <c r="N331" s="108"/>
      <c r="O331" s="108"/>
      <c r="P331" s="108"/>
      <c r="Q331" s="108"/>
      <c r="R331" s="108"/>
      <c r="S331" s="108"/>
      <c r="T331" s="108"/>
      <c r="U331" s="108"/>
      <c r="V331" s="108"/>
      <c r="W331" s="108"/>
      <c r="X331" s="108"/>
      <c r="Y331" s="108"/>
      <c r="Z331" s="108"/>
      <c r="AA331" s="108"/>
      <c r="AB331" s="108"/>
      <c r="AC331" s="108"/>
      <c r="AD331" s="108"/>
      <c r="AE331" s="108"/>
      <c r="AF331" s="108"/>
      <c r="AG331" s="108"/>
      <c r="AH331" s="108"/>
      <c r="AI331" s="108"/>
      <c r="AJ331" s="108"/>
      <c r="AK331" s="108"/>
      <c r="AL331" s="108"/>
      <c r="AM331" s="108"/>
      <c r="AN331" s="108"/>
      <c r="AO331" s="107"/>
    </row>
    <row r="332" spans="1:41">
      <c r="A332" s="109"/>
      <c r="B332" s="5834" t="s">
        <v>1524</v>
      </c>
      <c r="C332" s="5840" t="s">
        <v>1525</v>
      </c>
      <c r="D332" s="5841" t="s">
        <v>1526</v>
      </c>
      <c r="E332" s="5836"/>
      <c r="F332" s="5836"/>
      <c r="G332" s="5836"/>
      <c r="H332" s="5836"/>
      <c r="I332" s="5836"/>
      <c r="J332" s="5832"/>
      <c r="K332" s="5837" t="s">
        <v>1527</v>
      </c>
      <c r="L332" s="5836"/>
      <c r="M332" s="5836"/>
      <c r="N332" s="5836"/>
      <c r="O332" s="5832"/>
      <c r="P332" s="5838" t="s">
        <v>1528</v>
      </c>
      <c r="Q332" s="5836"/>
      <c r="R332" s="5836"/>
      <c r="S332" s="5832"/>
      <c r="T332" s="5839" t="s">
        <v>1529</v>
      </c>
      <c r="U332" s="5836"/>
      <c r="V332" s="5836"/>
      <c r="W332" s="5836"/>
      <c r="X332" s="5836"/>
      <c r="Y332" s="5836"/>
      <c r="Z332" s="5836"/>
      <c r="AA332" s="5836"/>
      <c r="AB332" s="5836"/>
      <c r="AC332" s="5836"/>
      <c r="AD332" s="5836"/>
      <c r="AE332" s="5836"/>
      <c r="AF332" s="5832"/>
      <c r="AG332" s="5842" t="s">
        <v>1530</v>
      </c>
      <c r="AH332" s="5836"/>
      <c r="AI332" s="5836"/>
      <c r="AJ332" s="5836"/>
      <c r="AK332" s="5836"/>
      <c r="AL332" s="5836"/>
      <c r="AM332" s="5836"/>
      <c r="AN332" s="5832"/>
      <c r="AO332" s="107"/>
    </row>
    <row r="333" spans="1:41" ht="15">
      <c r="A333" s="109"/>
      <c r="B333" s="5832"/>
      <c r="C333" s="5832"/>
      <c r="D333" s="111" t="s">
        <v>1531</v>
      </c>
      <c r="E333" s="112" t="s">
        <v>1532</v>
      </c>
      <c r="F333" s="111" t="s">
        <v>1533</v>
      </c>
      <c r="G333" s="111" t="s">
        <v>1534</v>
      </c>
      <c r="H333" s="111" t="s">
        <v>1535</v>
      </c>
      <c r="I333" s="2731" t="s">
        <v>1536</v>
      </c>
      <c r="J333" s="111" t="s">
        <v>1537</v>
      </c>
      <c r="K333" s="111" t="s">
        <v>1538</v>
      </c>
      <c r="L333" s="111" t="s">
        <v>1539</v>
      </c>
      <c r="M333" s="111" t="s">
        <v>1540</v>
      </c>
      <c r="N333" s="111" t="s">
        <v>1541</v>
      </c>
      <c r="O333" s="111" t="s">
        <v>1542</v>
      </c>
      <c r="P333" s="111" t="s">
        <v>1543</v>
      </c>
      <c r="Q333" s="111" t="s">
        <v>1544</v>
      </c>
      <c r="R333" s="111" t="s">
        <v>1545</v>
      </c>
      <c r="S333" s="111" t="s">
        <v>1546</v>
      </c>
      <c r="T333" s="111" t="s">
        <v>1547</v>
      </c>
      <c r="U333" s="111" t="s">
        <v>1548</v>
      </c>
      <c r="V333" s="111" t="s">
        <v>1549</v>
      </c>
      <c r="W333" s="111" t="s">
        <v>1550</v>
      </c>
      <c r="X333" s="112" t="s">
        <v>1551</v>
      </c>
      <c r="Y333" s="113" t="s">
        <v>1552</v>
      </c>
      <c r="Z333" s="114" t="s">
        <v>1553</v>
      </c>
      <c r="AA333" s="113" t="s">
        <v>1554</v>
      </c>
      <c r="AB333" s="114" t="s">
        <v>1555</v>
      </c>
      <c r="AC333" s="115" t="s">
        <v>1556</v>
      </c>
      <c r="AD333" s="114" t="s">
        <v>1557</v>
      </c>
      <c r="AE333" s="113" t="s">
        <v>1558</v>
      </c>
      <c r="AF333" s="116" t="s">
        <v>1559</v>
      </c>
      <c r="AG333" s="111" t="s">
        <v>1560</v>
      </c>
      <c r="AH333" s="111"/>
      <c r="AI333" s="112" t="s">
        <v>1561</v>
      </c>
      <c r="AJ333" s="111" t="s">
        <v>1562</v>
      </c>
      <c r="AK333" s="111" t="s">
        <v>1563</v>
      </c>
      <c r="AL333" s="111" t="s">
        <v>1564</v>
      </c>
      <c r="AM333" s="111" t="s">
        <v>1565</v>
      </c>
      <c r="AN333" s="112" t="s">
        <v>1566</v>
      </c>
      <c r="AO333" s="107"/>
    </row>
    <row r="334" spans="1:41" ht="15">
      <c r="A334" s="109"/>
      <c r="B334" s="5833">
        <v>1</v>
      </c>
      <c r="C334" s="3139" t="s">
        <v>443</v>
      </c>
      <c r="D334" s="3140"/>
      <c r="E334" s="119"/>
      <c r="F334" s="2733">
        <v>30</v>
      </c>
      <c r="G334" s="2733" t="s">
        <v>1592</v>
      </c>
      <c r="H334" s="2733" t="s">
        <v>1618</v>
      </c>
      <c r="I334" s="3141" t="s">
        <v>1844</v>
      </c>
      <c r="J334" s="3142">
        <v>45353</v>
      </c>
      <c r="K334" s="3143">
        <v>3.8</v>
      </c>
      <c r="L334" s="3144">
        <v>0.43</v>
      </c>
      <c r="M334" s="3145">
        <v>3.4</v>
      </c>
      <c r="N334" s="3146">
        <v>0.56000000000000005</v>
      </c>
      <c r="O334" s="2799">
        <f>0.4</f>
        <v>0.4</v>
      </c>
      <c r="P334" s="3147">
        <v>1.73</v>
      </c>
      <c r="Q334" s="3148">
        <v>0.45</v>
      </c>
      <c r="R334" s="3149">
        <v>0.64</v>
      </c>
      <c r="S334" s="3150">
        <v>0.5</v>
      </c>
      <c r="T334" s="2733">
        <v>30</v>
      </c>
      <c r="U334" s="3151">
        <v>0.17</v>
      </c>
      <c r="V334" s="3152">
        <v>0.37</v>
      </c>
      <c r="W334" s="3153">
        <v>0.17</v>
      </c>
      <c r="X334" s="3154">
        <v>0.5333</v>
      </c>
      <c r="Y334" s="3155">
        <v>5</v>
      </c>
      <c r="Z334" s="2809">
        <v>0</v>
      </c>
      <c r="AA334" s="3156">
        <v>11</v>
      </c>
      <c r="AB334" s="2809">
        <v>0</v>
      </c>
      <c r="AC334" s="3157">
        <v>5</v>
      </c>
      <c r="AD334" s="2744">
        <v>7</v>
      </c>
      <c r="AE334" s="2754">
        <v>0</v>
      </c>
      <c r="AF334" s="2755">
        <v>0</v>
      </c>
      <c r="AG334" s="3158">
        <v>-250</v>
      </c>
      <c r="AH334" s="3159"/>
      <c r="AI334" s="3160">
        <v>-275</v>
      </c>
      <c r="AJ334" s="110">
        <v>-160</v>
      </c>
      <c r="AK334" s="640"/>
      <c r="AL334" s="640"/>
      <c r="AM334" s="640"/>
      <c r="AN334" s="119"/>
      <c r="AO334" s="107"/>
    </row>
    <row r="335" spans="1:41" ht="15">
      <c r="A335" s="109"/>
      <c r="B335" s="5832"/>
      <c r="C335" s="2762" t="s">
        <v>444</v>
      </c>
      <c r="D335" s="3161"/>
      <c r="E335" s="151"/>
      <c r="F335" s="2763">
        <v>31</v>
      </c>
      <c r="G335" s="2763" t="s">
        <v>1588</v>
      </c>
      <c r="H335" s="2763" t="s">
        <v>1837</v>
      </c>
      <c r="I335" s="3162" t="s">
        <v>1845</v>
      </c>
      <c r="J335" s="3163">
        <v>45353</v>
      </c>
      <c r="K335" s="3164">
        <v>3.8</v>
      </c>
      <c r="L335" s="3165">
        <v>0.43</v>
      </c>
      <c r="M335" s="3166">
        <v>3.05</v>
      </c>
      <c r="N335" s="3167">
        <v>0.45</v>
      </c>
      <c r="O335" s="3168">
        <f>0.75</f>
        <v>0.75</v>
      </c>
      <c r="P335" s="3169">
        <v>0.43</v>
      </c>
      <c r="Q335" s="3170">
        <v>0.66</v>
      </c>
      <c r="R335" s="3171">
        <v>0.4</v>
      </c>
      <c r="S335" s="2770">
        <v>1.5</v>
      </c>
      <c r="T335" s="2763">
        <v>22</v>
      </c>
      <c r="U335" s="3172">
        <v>0.18</v>
      </c>
      <c r="V335" s="3173">
        <v>0.41</v>
      </c>
      <c r="W335" s="3174">
        <v>0.09</v>
      </c>
      <c r="X335" s="3175">
        <v>0.59089999999999998</v>
      </c>
      <c r="Y335" s="2780">
        <v>4</v>
      </c>
      <c r="Z335" s="3176">
        <v>1</v>
      </c>
      <c r="AA335" s="3177">
        <v>9</v>
      </c>
      <c r="AB335" s="2990">
        <v>1</v>
      </c>
      <c r="AC335" s="2836">
        <v>2</v>
      </c>
      <c r="AD335" s="3178">
        <v>5</v>
      </c>
      <c r="AE335" s="2782">
        <v>0</v>
      </c>
      <c r="AF335" s="2783">
        <v>0</v>
      </c>
      <c r="AG335" s="3179">
        <f>210</f>
        <v>210</v>
      </c>
      <c r="AH335" s="3180"/>
      <c r="AI335" s="3181">
        <f>235</f>
        <v>235</v>
      </c>
      <c r="AJ335" s="112">
        <v>-160</v>
      </c>
      <c r="AK335" s="657"/>
      <c r="AL335" s="657"/>
      <c r="AM335" s="657"/>
      <c r="AN335" s="151"/>
      <c r="AO335" s="107"/>
    </row>
    <row r="336" spans="1:41" ht="15">
      <c r="A336" s="109"/>
      <c r="B336" s="5831">
        <v>2</v>
      </c>
      <c r="C336" s="2792" t="s">
        <v>295</v>
      </c>
      <c r="D336" s="3182"/>
      <c r="E336" s="183"/>
      <c r="F336" s="88">
        <v>31</v>
      </c>
      <c r="G336" s="88" t="s">
        <v>1605</v>
      </c>
      <c r="H336" s="88" t="s">
        <v>1641</v>
      </c>
      <c r="I336" s="3183" t="s">
        <v>1846</v>
      </c>
      <c r="J336" s="3184">
        <v>45353</v>
      </c>
      <c r="K336" s="3185">
        <v>4.63</v>
      </c>
      <c r="L336" s="2796">
        <v>0.46</v>
      </c>
      <c r="M336" s="3105">
        <v>4.07</v>
      </c>
      <c r="N336" s="3186">
        <v>0.51</v>
      </c>
      <c r="O336" s="3187">
        <f>0.56</f>
        <v>0.56000000000000005</v>
      </c>
      <c r="P336" s="3188">
        <v>0.73</v>
      </c>
      <c r="Q336" s="3015">
        <v>0.28000000000000003</v>
      </c>
      <c r="R336" s="3189">
        <v>0.59</v>
      </c>
      <c r="S336" s="3190">
        <v>0.7</v>
      </c>
      <c r="T336" s="88">
        <v>22</v>
      </c>
      <c r="U336" s="3191">
        <v>0.32</v>
      </c>
      <c r="V336" s="3192">
        <v>0.23</v>
      </c>
      <c r="W336" s="3191">
        <v>0.27</v>
      </c>
      <c r="X336" s="3193">
        <v>0.54549999999999998</v>
      </c>
      <c r="Y336" s="3194">
        <v>7</v>
      </c>
      <c r="Z336" s="3195">
        <v>3</v>
      </c>
      <c r="AA336" s="3196">
        <v>5</v>
      </c>
      <c r="AB336" s="2809">
        <v>0</v>
      </c>
      <c r="AC336" s="3197">
        <v>6</v>
      </c>
      <c r="AD336" s="2862">
        <v>1</v>
      </c>
      <c r="AE336" s="63">
        <v>0</v>
      </c>
      <c r="AF336" s="27">
        <v>0</v>
      </c>
      <c r="AG336" s="3198">
        <f>130</f>
        <v>130</v>
      </c>
      <c r="AH336" s="3199"/>
      <c r="AI336" s="3200">
        <v>-148</v>
      </c>
      <c r="AJ336" s="3201">
        <v>-200</v>
      </c>
      <c r="AK336" s="6"/>
      <c r="AL336" s="6"/>
      <c r="AM336" s="6"/>
      <c r="AN336" s="183"/>
      <c r="AO336" s="107"/>
    </row>
    <row r="337" spans="1:41" ht="15">
      <c r="A337" s="109"/>
      <c r="B337" s="5832"/>
      <c r="C337" s="2819" t="s">
        <v>296</v>
      </c>
      <c r="D337" s="3202"/>
      <c r="E337" s="213"/>
      <c r="F337" s="2820">
        <v>33</v>
      </c>
      <c r="G337" s="2820" t="s">
        <v>1630</v>
      </c>
      <c r="H337" s="2820" t="s">
        <v>1606</v>
      </c>
      <c r="I337" s="3203" t="s">
        <v>1847</v>
      </c>
      <c r="J337" s="3204">
        <v>45325</v>
      </c>
      <c r="K337" s="3205">
        <v>4.1900000000000004</v>
      </c>
      <c r="L337" s="3206">
        <v>0.38</v>
      </c>
      <c r="M337" s="3207">
        <v>6.66</v>
      </c>
      <c r="N337" s="3208">
        <v>0.49</v>
      </c>
      <c r="O337" s="3209">
        <v>-2.4700000000000002</v>
      </c>
      <c r="P337" s="3210">
        <v>0.95</v>
      </c>
      <c r="Q337" s="2830">
        <v>0.23</v>
      </c>
      <c r="R337" s="3211">
        <v>0.56000000000000005</v>
      </c>
      <c r="S337" s="2947">
        <v>1.2</v>
      </c>
      <c r="T337" s="2820">
        <v>18</v>
      </c>
      <c r="U337" s="3212">
        <v>0.17</v>
      </c>
      <c r="V337" s="3213">
        <v>0.39</v>
      </c>
      <c r="W337" s="3214">
        <v>0.28000000000000003</v>
      </c>
      <c r="X337" s="3215">
        <v>0.55559999999999998</v>
      </c>
      <c r="Y337" s="2836">
        <v>3</v>
      </c>
      <c r="Z337" s="3216">
        <v>2</v>
      </c>
      <c r="AA337" s="3217">
        <v>7</v>
      </c>
      <c r="AB337" s="2774">
        <v>0</v>
      </c>
      <c r="AC337" s="3218">
        <v>5</v>
      </c>
      <c r="AD337" s="2837">
        <v>1</v>
      </c>
      <c r="AE337" s="2841">
        <v>0</v>
      </c>
      <c r="AF337" s="28">
        <v>0</v>
      </c>
      <c r="AG337" s="3219">
        <v>-150</v>
      </c>
      <c r="AH337" s="3220"/>
      <c r="AI337" s="3221">
        <f>128</f>
        <v>128</v>
      </c>
      <c r="AJ337" s="3222">
        <v>-200</v>
      </c>
      <c r="AK337" s="5"/>
      <c r="AL337" s="5"/>
      <c r="AM337" s="5"/>
      <c r="AN337" s="213"/>
      <c r="AO337" s="107"/>
    </row>
    <row r="338" spans="1:41" ht="15">
      <c r="A338" s="109"/>
      <c r="B338" s="5833">
        <v>3</v>
      </c>
      <c r="C338" s="2732" t="s">
        <v>863</v>
      </c>
      <c r="D338" s="3223"/>
      <c r="E338" s="119"/>
      <c r="F338" s="2733">
        <v>24</v>
      </c>
      <c r="G338" s="2733" t="s">
        <v>1603</v>
      </c>
      <c r="H338" s="2733" t="s">
        <v>1586</v>
      </c>
      <c r="I338" s="3141" t="s">
        <v>1848</v>
      </c>
      <c r="J338" s="3142">
        <v>45383</v>
      </c>
      <c r="K338" s="3224">
        <v>5.26</v>
      </c>
      <c r="L338" s="3225">
        <v>0.39</v>
      </c>
      <c r="M338" s="3226">
        <v>4.79</v>
      </c>
      <c r="N338" s="3227">
        <v>0.53</v>
      </c>
      <c r="O338" s="3228">
        <f>0.47</f>
        <v>0.47</v>
      </c>
      <c r="P338" s="3229">
        <v>0.28000000000000003</v>
      </c>
      <c r="Q338" s="3230">
        <v>0.33</v>
      </c>
      <c r="R338" s="3231">
        <v>0.94</v>
      </c>
      <c r="S338" s="2967">
        <v>0.3</v>
      </c>
      <c r="T338" s="2733">
        <v>15</v>
      </c>
      <c r="U338" s="3232">
        <v>0.47</v>
      </c>
      <c r="V338" s="3233">
        <v>0.2</v>
      </c>
      <c r="W338" s="3191">
        <v>0.27</v>
      </c>
      <c r="X338" s="3234">
        <v>0.66669999999999996</v>
      </c>
      <c r="Y338" s="3194">
        <v>7</v>
      </c>
      <c r="Z338" s="2809">
        <v>0</v>
      </c>
      <c r="AA338" s="2810">
        <v>3</v>
      </c>
      <c r="AB338" s="2809">
        <v>0</v>
      </c>
      <c r="AC338" s="3235">
        <v>4</v>
      </c>
      <c r="AD338" s="2862">
        <v>1</v>
      </c>
      <c r="AE338" s="2754">
        <v>0</v>
      </c>
      <c r="AF338" s="2755">
        <v>0</v>
      </c>
      <c r="AG338" s="2905">
        <v>-450</v>
      </c>
      <c r="AH338" s="3236"/>
      <c r="AI338" s="3237">
        <v>-260</v>
      </c>
      <c r="AJ338" s="3238">
        <v>-165</v>
      </c>
      <c r="AK338" s="640"/>
      <c r="AL338" s="640"/>
      <c r="AM338" s="640"/>
      <c r="AN338" s="119"/>
      <c r="AO338" s="107"/>
    </row>
    <row r="339" spans="1:41" ht="15">
      <c r="A339" s="109"/>
      <c r="B339" s="5832"/>
      <c r="C339" s="2762" t="s">
        <v>864</v>
      </c>
      <c r="D339" s="3239"/>
      <c r="E339" s="151"/>
      <c r="F339" s="2763">
        <v>21</v>
      </c>
      <c r="G339" s="2763" t="s">
        <v>1605</v>
      </c>
      <c r="H339" s="2763" t="s">
        <v>1606</v>
      </c>
      <c r="I339" s="2764" t="s">
        <v>1849</v>
      </c>
      <c r="J339" s="3163">
        <v>45383</v>
      </c>
      <c r="K339" s="3240">
        <v>3.46</v>
      </c>
      <c r="L339" s="2983">
        <v>0.5</v>
      </c>
      <c r="M339" s="3241">
        <v>3.83</v>
      </c>
      <c r="N339" s="3242">
        <v>0.46</v>
      </c>
      <c r="O339" s="3243">
        <v>-0.37</v>
      </c>
      <c r="P339" s="2771">
        <v>0</v>
      </c>
      <c r="Q339" s="2772">
        <v>0</v>
      </c>
      <c r="R339" s="3244">
        <v>0.25</v>
      </c>
      <c r="S339" s="3245">
        <v>0.8</v>
      </c>
      <c r="T339" s="2763">
        <v>13</v>
      </c>
      <c r="U339" s="3246">
        <v>0.46</v>
      </c>
      <c r="V339" s="3011">
        <v>0.46</v>
      </c>
      <c r="W339" s="2834">
        <v>0</v>
      </c>
      <c r="X339" s="2778">
        <v>0.92310000000000003</v>
      </c>
      <c r="Y339" s="2838">
        <v>6</v>
      </c>
      <c r="Z339" s="2774">
        <v>0</v>
      </c>
      <c r="AA339" s="3247">
        <v>6</v>
      </c>
      <c r="AB339" s="2774">
        <v>0</v>
      </c>
      <c r="AC339" s="2840">
        <v>0</v>
      </c>
      <c r="AD339" s="2837">
        <v>1</v>
      </c>
      <c r="AE339" s="2782">
        <v>0</v>
      </c>
      <c r="AF339" s="2783">
        <v>0</v>
      </c>
      <c r="AG339" s="2771">
        <f>350</f>
        <v>350</v>
      </c>
      <c r="AH339" s="3248"/>
      <c r="AI339" s="3249">
        <f>220</f>
        <v>220</v>
      </c>
      <c r="AJ339" s="3250">
        <v>-165</v>
      </c>
      <c r="AK339" s="657"/>
      <c r="AL339" s="657"/>
      <c r="AM339" s="657"/>
      <c r="AN339" s="151"/>
      <c r="AO339" s="107"/>
    </row>
    <row r="340" spans="1:41" ht="15">
      <c r="A340" s="109"/>
      <c r="B340" s="5831">
        <v>4</v>
      </c>
      <c r="C340" s="2792" t="s">
        <v>1850</v>
      </c>
      <c r="D340" s="3251"/>
      <c r="E340" s="183"/>
      <c r="F340" s="88">
        <v>19</v>
      </c>
      <c r="G340" s="88" t="s">
        <v>1588</v>
      </c>
      <c r="H340" s="88" t="s">
        <v>1624</v>
      </c>
      <c r="I340" s="2793" t="s">
        <v>1851</v>
      </c>
      <c r="J340" s="3184">
        <v>45383</v>
      </c>
      <c r="K340" s="2741">
        <v>1.28</v>
      </c>
      <c r="L340" s="3252">
        <v>0.44</v>
      </c>
      <c r="M340" s="3253">
        <v>1.52</v>
      </c>
      <c r="N340" s="3254">
        <v>0.46</v>
      </c>
      <c r="O340" s="3255">
        <v>-0.24</v>
      </c>
      <c r="P340" s="3256">
        <v>3.57</v>
      </c>
      <c r="Q340" s="3230">
        <v>0.33</v>
      </c>
      <c r="R340" s="2742">
        <v>0</v>
      </c>
      <c r="S340" s="3257">
        <v>1.8</v>
      </c>
      <c r="T340" s="88">
        <v>9</v>
      </c>
      <c r="U340" s="3258">
        <v>0.22</v>
      </c>
      <c r="V340" s="3259">
        <v>0.56000000000000005</v>
      </c>
      <c r="W340" s="3107">
        <v>0.11</v>
      </c>
      <c r="X340" s="2807">
        <v>0.77780000000000005</v>
      </c>
      <c r="Y340" s="2753">
        <v>2</v>
      </c>
      <c r="Z340" s="2809">
        <v>0</v>
      </c>
      <c r="AA340" s="3196">
        <v>5</v>
      </c>
      <c r="AB340" s="2809">
        <v>0</v>
      </c>
      <c r="AC340" s="2753">
        <v>1</v>
      </c>
      <c r="AD340" s="2862">
        <v>1</v>
      </c>
      <c r="AE340" s="63">
        <v>0</v>
      </c>
      <c r="AF340" s="27">
        <v>0</v>
      </c>
      <c r="AG340" s="3260">
        <v>-300</v>
      </c>
      <c r="AH340" s="3261"/>
      <c r="AI340" s="3262">
        <v>-220</v>
      </c>
      <c r="AJ340" s="3263">
        <v>-130</v>
      </c>
      <c r="AK340" s="6"/>
      <c r="AL340" s="6"/>
      <c r="AM340" s="6"/>
      <c r="AN340" s="183"/>
      <c r="AO340" s="107"/>
    </row>
    <row r="341" spans="1:41" ht="15">
      <c r="A341" s="109"/>
      <c r="B341" s="5832"/>
      <c r="C341" s="2819" t="s">
        <v>1852</v>
      </c>
      <c r="D341" s="3264"/>
      <c r="E341" s="213"/>
      <c r="F341" s="2820">
        <v>30</v>
      </c>
      <c r="G341" s="2820" t="s">
        <v>1588</v>
      </c>
      <c r="H341" s="2820" t="s">
        <v>1641</v>
      </c>
      <c r="I341" s="2821" t="s">
        <v>1853</v>
      </c>
      <c r="J341" s="3204">
        <v>45353</v>
      </c>
      <c r="K341" s="3265">
        <v>5.08</v>
      </c>
      <c r="L341" s="3266">
        <v>0.37</v>
      </c>
      <c r="M341" s="3267">
        <v>3.7</v>
      </c>
      <c r="N341" s="3268">
        <v>0.55000000000000004</v>
      </c>
      <c r="O341" s="3269">
        <f>1.38</f>
        <v>1.38</v>
      </c>
      <c r="P341" s="3270">
        <v>1</v>
      </c>
      <c r="Q341" s="3271">
        <v>0.25</v>
      </c>
      <c r="R341" s="3272">
        <v>0.45</v>
      </c>
      <c r="S341" s="3273">
        <v>0.2</v>
      </c>
      <c r="T341" s="2820">
        <v>15</v>
      </c>
      <c r="U341" s="3274">
        <v>0.2</v>
      </c>
      <c r="V341" s="3275">
        <v>7.0000000000000007E-2</v>
      </c>
      <c r="W341" s="2880">
        <v>0.53</v>
      </c>
      <c r="X341" s="3276">
        <v>0.26669999999999999</v>
      </c>
      <c r="Y341" s="2836">
        <v>3</v>
      </c>
      <c r="Z341" s="3176">
        <v>1</v>
      </c>
      <c r="AA341" s="3277">
        <v>1</v>
      </c>
      <c r="AB341" s="2774">
        <v>0</v>
      </c>
      <c r="AC341" s="3278">
        <v>8</v>
      </c>
      <c r="AD341" s="3279">
        <v>2</v>
      </c>
      <c r="AE341" s="2841">
        <v>0</v>
      </c>
      <c r="AF341" s="28">
        <v>0</v>
      </c>
      <c r="AG341" s="3280">
        <f>250</f>
        <v>250</v>
      </c>
      <c r="AH341" s="3013"/>
      <c r="AI341" s="3281">
        <f>185</f>
        <v>185</v>
      </c>
      <c r="AJ341" s="3282">
        <v>-130</v>
      </c>
      <c r="AK341" s="5"/>
      <c r="AL341" s="5"/>
      <c r="AM341" s="5"/>
      <c r="AN341" s="213"/>
      <c r="AO341" s="107"/>
    </row>
    <row r="342" spans="1:41" ht="15">
      <c r="A342" s="109"/>
      <c r="B342" s="5833">
        <v>5</v>
      </c>
      <c r="C342" s="2732" t="s">
        <v>1485</v>
      </c>
      <c r="D342" s="3283"/>
      <c r="E342" s="119"/>
      <c r="F342" s="2733">
        <v>24</v>
      </c>
      <c r="G342" s="2733" t="s">
        <v>1644</v>
      </c>
      <c r="H342" s="2733" t="s">
        <v>1626</v>
      </c>
      <c r="I342" s="2734" t="s">
        <v>1854</v>
      </c>
      <c r="J342" s="3142">
        <v>45383</v>
      </c>
      <c r="K342" s="3284">
        <v>6.26</v>
      </c>
      <c r="L342" s="3285">
        <v>0.41</v>
      </c>
      <c r="M342" s="3286">
        <v>4.87</v>
      </c>
      <c r="N342" s="3287">
        <v>0.54</v>
      </c>
      <c r="O342" s="3288">
        <f>1.39</f>
        <v>1.39</v>
      </c>
      <c r="P342" s="2741">
        <v>0</v>
      </c>
      <c r="Q342" s="2742">
        <v>0</v>
      </c>
      <c r="R342" s="2801">
        <v>1</v>
      </c>
      <c r="S342" s="2744">
        <v>0</v>
      </c>
      <c r="T342" s="2733">
        <v>11</v>
      </c>
      <c r="U342" s="2901">
        <v>0.64</v>
      </c>
      <c r="V342" s="2746">
        <v>0</v>
      </c>
      <c r="W342" s="3191">
        <v>0.27</v>
      </c>
      <c r="X342" s="3289">
        <v>0.63639999999999997</v>
      </c>
      <c r="Y342" s="3194">
        <v>7</v>
      </c>
      <c r="Z342" s="3290">
        <v>1</v>
      </c>
      <c r="AA342" s="2751">
        <v>0</v>
      </c>
      <c r="AB342" s="2809">
        <v>0</v>
      </c>
      <c r="AC342" s="2808">
        <v>3</v>
      </c>
      <c r="AD342" s="2809">
        <v>0</v>
      </c>
      <c r="AE342" s="2754">
        <v>0</v>
      </c>
      <c r="AF342" s="2755">
        <v>0</v>
      </c>
      <c r="AG342" s="3260">
        <v>-300</v>
      </c>
      <c r="AH342" s="2905"/>
      <c r="AI342" s="2809">
        <v>-525</v>
      </c>
      <c r="AJ342" s="3291">
        <f t="shared" ref="AJ342:AJ343" si="20">150</f>
        <v>150</v>
      </c>
      <c r="AK342" s="640"/>
      <c r="AL342" s="640"/>
      <c r="AM342" s="640"/>
      <c r="AN342" s="119"/>
      <c r="AO342" s="107"/>
    </row>
    <row r="343" spans="1:41" ht="15">
      <c r="A343" s="109"/>
      <c r="B343" s="5832"/>
      <c r="C343" s="2762" t="s">
        <v>1486</v>
      </c>
      <c r="D343" s="3292"/>
      <c r="E343" s="151"/>
      <c r="F343" s="2763">
        <v>31</v>
      </c>
      <c r="G343" s="2763" t="s">
        <v>1623</v>
      </c>
      <c r="H343" s="2763" t="s">
        <v>1855</v>
      </c>
      <c r="I343" s="2764" t="s">
        <v>1856</v>
      </c>
      <c r="J343" s="3163">
        <v>45353</v>
      </c>
      <c r="K343" s="2980">
        <v>3.79</v>
      </c>
      <c r="L343" s="2940">
        <v>0.46</v>
      </c>
      <c r="M343" s="2941">
        <v>4.2300000000000004</v>
      </c>
      <c r="N343" s="3293">
        <v>0.54</v>
      </c>
      <c r="O343" s="3294">
        <v>-0.44</v>
      </c>
      <c r="P343" s="3295">
        <v>1.1200000000000001</v>
      </c>
      <c r="Q343" s="3066">
        <v>0.41</v>
      </c>
      <c r="R343" s="2945">
        <v>0.56999999999999995</v>
      </c>
      <c r="S343" s="2911">
        <v>0</v>
      </c>
      <c r="T343" s="2763">
        <v>13</v>
      </c>
      <c r="U343" s="3296">
        <v>0.15</v>
      </c>
      <c r="V343" s="3093">
        <v>0.23</v>
      </c>
      <c r="W343" s="2988">
        <v>0.23</v>
      </c>
      <c r="X343" s="3297">
        <v>0.3846</v>
      </c>
      <c r="Y343" s="2781">
        <v>2</v>
      </c>
      <c r="Z343" s="3176">
        <v>1</v>
      </c>
      <c r="AA343" s="2836">
        <v>3</v>
      </c>
      <c r="AB343" s="2990">
        <v>1</v>
      </c>
      <c r="AC343" s="2780">
        <v>3</v>
      </c>
      <c r="AD343" s="2990">
        <v>3</v>
      </c>
      <c r="AE343" s="2782">
        <v>0</v>
      </c>
      <c r="AF343" s="2783">
        <v>0</v>
      </c>
      <c r="AG343" s="3280">
        <f>250</f>
        <v>250</v>
      </c>
      <c r="AH343" s="2771"/>
      <c r="AI343" s="2911">
        <f>400</f>
        <v>400</v>
      </c>
      <c r="AJ343" s="3298">
        <f t="shared" si="20"/>
        <v>150</v>
      </c>
      <c r="AK343" s="657"/>
      <c r="AL343" s="657"/>
      <c r="AM343" s="657"/>
      <c r="AN343" s="151"/>
      <c r="AO343" s="107"/>
    </row>
    <row r="344" spans="1:41" ht="15">
      <c r="A344" s="109"/>
      <c r="B344" s="5831">
        <v>6</v>
      </c>
      <c r="C344" s="2792" t="s">
        <v>868</v>
      </c>
      <c r="D344" s="3299"/>
      <c r="E344" s="183"/>
      <c r="F344" s="88">
        <v>28</v>
      </c>
      <c r="G344" s="88" t="s">
        <v>1575</v>
      </c>
      <c r="H344" s="88" t="s">
        <v>1595</v>
      </c>
      <c r="I344" s="3183" t="s">
        <v>1857</v>
      </c>
      <c r="J344" s="27" t="s">
        <v>1629</v>
      </c>
      <c r="K344" s="2905">
        <v>9.66</v>
      </c>
      <c r="L344" s="3300">
        <v>0.57999999999999996</v>
      </c>
      <c r="M344" s="3301">
        <v>3.76</v>
      </c>
      <c r="N344" s="3146">
        <v>0.56000000000000005</v>
      </c>
      <c r="O344" s="2809">
        <f>5.9</f>
        <v>5.9</v>
      </c>
      <c r="P344" s="2741">
        <v>0</v>
      </c>
      <c r="Q344" s="2742">
        <v>0</v>
      </c>
      <c r="R344" s="2801">
        <v>1</v>
      </c>
      <c r="S344" s="2744">
        <v>0</v>
      </c>
      <c r="T344" s="88">
        <v>16</v>
      </c>
      <c r="U344" s="3302">
        <v>0.44</v>
      </c>
      <c r="V344" s="3303">
        <v>0.38</v>
      </c>
      <c r="W344" s="3304">
        <v>0.06</v>
      </c>
      <c r="X344" s="3305">
        <v>0.8125</v>
      </c>
      <c r="Y344" s="3194">
        <v>7</v>
      </c>
      <c r="Z344" s="2809">
        <v>0</v>
      </c>
      <c r="AA344" s="3306">
        <v>6</v>
      </c>
      <c r="AB344" s="3007">
        <v>2</v>
      </c>
      <c r="AC344" s="2753">
        <v>1</v>
      </c>
      <c r="AD344" s="2809">
        <v>0</v>
      </c>
      <c r="AE344" s="63">
        <v>0</v>
      </c>
      <c r="AF344" s="27">
        <v>0</v>
      </c>
      <c r="AG344" s="3307">
        <v>-200</v>
      </c>
      <c r="AH344" s="2812"/>
      <c r="AI344" s="2813">
        <v>-170</v>
      </c>
      <c r="AJ344" s="2759">
        <v>-700</v>
      </c>
      <c r="AK344" s="6"/>
      <c r="AL344" s="6"/>
      <c r="AM344" s="6"/>
      <c r="AN344" s="183"/>
      <c r="AO344" s="107"/>
    </row>
    <row r="345" spans="1:41" ht="15">
      <c r="A345" s="109"/>
      <c r="B345" s="5832"/>
      <c r="C345" s="2819" t="s">
        <v>869</v>
      </c>
      <c r="D345" s="3308"/>
      <c r="E345" s="213"/>
      <c r="F345" s="2820">
        <v>30</v>
      </c>
      <c r="G345" s="2820" t="s">
        <v>1575</v>
      </c>
      <c r="H345" s="2820" t="s">
        <v>1858</v>
      </c>
      <c r="I345" s="2821" t="s">
        <v>1859</v>
      </c>
      <c r="J345" s="3204">
        <v>45383</v>
      </c>
      <c r="K345" s="3265">
        <v>5.08</v>
      </c>
      <c r="L345" s="2940">
        <v>0.46</v>
      </c>
      <c r="M345" s="3309">
        <v>3.74</v>
      </c>
      <c r="N345" s="3208">
        <v>0.49</v>
      </c>
      <c r="O345" s="3310">
        <f>1.34</f>
        <v>1.34</v>
      </c>
      <c r="P345" s="3311">
        <v>3.63</v>
      </c>
      <c r="Q345" s="3312">
        <v>0.39</v>
      </c>
      <c r="R345" s="2773">
        <v>1</v>
      </c>
      <c r="S345" s="2911">
        <v>0</v>
      </c>
      <c r="T345" s="2820">
        <v>12</v>
      </c>
      <c r="U345" s="3313">
        <v>0.57999999999999996</v>
      </c>
      <c r="V345" s="3314">
        <v>0.08</v>
      </c>
      <c r="W345" s="3315">
        <v>0.25</v>
      </c>
      <c r="X345" s="3316">
        <v>0.66669999999999996</v>
      </c>
      <c r="Y345" s="2883">
        <v>7</v>
      </c>
      <c r="Z345" s="3176">
        <v>1</v>
      </c>
      <c r="AA345" s="3277">
        <v>1</v>
      </c>
      <c r="AB345" s="2774">
        <v>0</v>
      </c>
      <c r="AC345" s="2780">
        <v>3</v>
      </c>
      <c r="AD345" s="2774">
        <v>0</v>
      </c>
      <c r="AE345" s="2841">
        <v>0</v>
      </c>
      <c r="AF345" s="28">
        <v>0</v>
      </c>
      <c r="AG345" s="3317">
        <f>170</f>
        <v>170</v>
      </c>
      <c r="AH345" s="3318"/>
      <c r="AI345" s="3319">
        <f>145</f>
        <v>145</v>
      </c>
      <c r="AJ345" s="2787">
        <v>-700</v>
      </c>
      <c r="AK345" s="5"/>
      <c r="AL345" s="5"/>
      <c r="AM345" s="5"/>
      <c r="AN345" s="213"/>
      <c r="AO345" s="107"/>
    </row>
    <row r="346" spans="1:41" ht="14.25">
      <c r="A346" s="109"/>
      <c r="B346" s="5833">
        <v>7</v>
      </c>
      <c r="C346" s="2732" t="s">
        <v>156</v>
      </c>
      <c r="D346" s="3320"/>
      <c r="E346" s="119"/>
      <c r="F346" s="2733">
        <v>27</v>
      </c>
      <c r="G346" s="2733" t="s">
        <v>1630</v>
      </c>
      <c r="H346" s="2733" t="s">
        <v>1618</v>
      </c>
      <c r="I346" s="3141" t="s">
        <v>1860</v>
      </c>
      <c r="J346" s="3142">
        <v>45383</v>
      </c>
      <c r="K346" s="3321">
        <v>5.23</v>
      </c>
      <c r="L346" s="3322">
        <v>0.42</v>
      </c>
      <c r="M346" s="3323">
        <v>5.13</v>
      </c>
      <c r="N346" s="3324">
        <v>0.59</v>
      </c>
      <c r="O346" s="3325">
        <f>0.1</f>
        <v>0.1</v>
      </c>
      <c r="P346" s="3188">
        <v>0.73</v>
      </c>
      <c r="Q346" s="2801">
        <v>1</v>
      </c>
      <c r="R346" s="3326">
        <v>0.85</v>
      </c>
      <c r="S346" s="2744">
        <v>0</v>
      </c>
      <c r="T346" s="2733">
        <v>22</v>
      </c>
      <c r="U346" s="3327">
        <v>0.45</v>
      </c>
      <c r="V346" s="2805">
        <v>0.14000000000000001</v>
      </c>
      <c r="W346" s="2859">
        <v>0.23</v>
      </c>
      <c r="X346" s="3328">
        <v>0.59089999999999998</v>
      </c>
      <c r="Y346" s="2864">
        <v>10</v>
      </c>
      <c r="Z346" s="3329">
        <v>2</v>
      </c>
      <c r="AA346" s="2810">
        <v>3</v>
      </c>
      <c r="AB346" s="3007">
        <v>2</v>
      </c>
      <c r="AC346" s="3157">
        <v>5</v>
      </c>
      <c r="AD346" s="2809">
        <v>0</v>
      </c>
      <c r="AE346" s="2754">
        <v>0</v>
      </c>
      <c r="AF346" s="2755">
        <v>0</v>
      </c>
      <c r="AG346" s="3198">
        <f>130</f>
        <v>130</v>
      </c>
      <c r="AH346" s="2866"/>
      <c r="AI346" s="2867">
        <f>165</f>
        <v>165</v>
      </c>
      <c r="AJ346" s="1372"/>
      <c r="AK346" s="640"/>
      <c r="AL346" s="640"/>
      <c r="AM346" s="640"/>
      <c r="AN346" s="119"/>
      <c r="AO346" s="107"/>
    </row>
    <row r="347" spans="1:41" ht="14.25">
      <c r="A347" s="109"/>
      <c r="B347" s="5832"/>
      <c r="C347" s="2762" t="s">
        <v>157</v>
      </c>
      <c r="D347" s="3330"/>
      <c r="E347" s="151"/>
      <c r="F347" s="2763">
        <v>36</v>
      </c>
      <c r="G347" s="2763" t="s">
        <v>1630</v>
      </c>
      <c r="H347" s="2763" t="s">
        <v>1616</v>
      </c>
      <c r="I347" s="3162" t="s">
        <v>1861</v>
      </c>
      <c r="J347" s="3163">
        <v>45295</v>
      </c>
      <c r="K347" s="3331">
        <v>5.38</v>
      </c>
      <c r="L347" s="3332">
        <v>0.51</v>
      </c>
      <c r="M347" s="3333">
        <v>5.03</v>
      </c>
      <c r="N347" s="3334">
        <v>0.61</v>
      </c>
      <c r="O347" s="3335">
        <f>0.35</f>
        <v>0.35</v>
      </c>
      <c r="P347" s="3265">
        <v>1.8</v>
      </c>
      <c r="Q347" s="3336">
        <v>0.37</v>
      </c>
      <c r="R347" s="3337">
        <v>0.9</v>
      </c>
      <c r="S347" s="3036">
        <v>0.4</v>
      </c>
      <c r="T347" s="2763">
        <v>22</v>
      </c>
      <c r="U347" s="3338">
        <v>0.36</v>
      </c>
      <c r="V347" s="3339">
        <v>0.09</v>
      </c>
      <c r="W347" s="3173">
        <v>0.32</v>
      </c>
      <c r="X347" s="3340">
        <v>0.45450000000000002</v>
      </c>
      <c r="Y347" s="3341">
        <v>8</v>
      </c>
      <c r="Z347" s="3176">
        <v>1</v>
      </c>
      <c r="AA347" s="3342">
        <v>2</v>
      </c>
      <c r="AB347" s="2990">
        <v>1</v>
      </c>
      <c r="AC347" s="3343">
        <v>7</v>
      </c>
      <c r="AD347" s="2990">
        <v>3</v>
      </c>
      <c r="AE347" s="2782">
        <v>0</v>
      </c>
      <c r="AF347" s="2783">
        <v>0</v>
      </c>
      <c r="AG347" s="3219">
        <v>-150</v>
      </c>
      <c r="AH347" s="2885"/>
      <c r="AI347" s="2886">
        <v>-190</v>
      </c>
      <c r="AJ347" s="151"/>
      <c r="AK347" s="657"/>
      <c r="AL347" s="657"/>
      <c r="AM347" s="657"/>
      <c r="AN347" s="151"/>
      <c r="AO347" s="107"/>
    </row>
    <row r="348" spans="1:41" ht="15">
      <c r="A348" s="109"/>
      <c r="B348" s="5831">
        <v>8</v>
      </c>
      <c r="C348" s="2792" t="s">
        <v>485</v>
      </c>
      <c r="D348" s="3344"/>
      <c r="E348" s="183"/>
      <c r="F348" s="88">
        <v>27</v>
      </c>
      <c r="G348" s="88" t="s">
        <v>1625</v>
      </c>
      <c r="H348" s="88" t="s">
        <v>1715</v>
      </c>
      <c r="I348" s="2793" t="s">
        <v>1862</v>
      </c>
      <c r="J348" s="3184">
        <v>45383</v>
      </c>
      <c r="K348" s="3345">
        <v>1.69</v>
      </c>
      <c r="L348" s="3346">
        <v>0.49</v>
      </c>
      <c r="M348" s="2905">
        <v>1.03</v>
      </c>
      <c r="N348" s="3347">
        <v>0.63</v>
      </c>
      <c r="O348" s="3348">
        <f>0.66</f>
        <v>0.66</v>
      </c>
      <c r="P348" s="3349">
        <v>2.72</v>
      </c>
      <c r="Q348" s="3350">
        <v>0.37</v>
      </c>
      <c r="R348" s="2742">
        <v>0</v>
      </c>
      <c r="S348" s="3257">
        <v>1.8</v>
      </c>
      <c r="T348" s="88">
        <v>11</v>
      </c>
      <c r="U348" s="2746">
        <v>0.09</v>
      </c>
      <c r="V348" s="3351">
        <v>0.55000000000000004</v>
      </c>
      <c r="W348" s="3352">
        <v>0.18</v>
      </c>
      <c r="X348" s="3289">
        <v>0.63639999999999997</v>
      </c>
      <c r="Y348" s="2751">
        <v>1</v>
      </c>
      <c r="Z348" s="2809">
        <v>0</v>
      </c>
      <c r="AA348" s="3306">
        <v>6</v>
      </c>
      <c r="AB348" s="3007">
        <v>2</v>
      </c>
      <c r="AC348" s="2810">
        <v>2</v>
      </c>
      <c r="AD348" s="2809">
        <v>0</v>
      </c>
      <c r="AE348" s="63">
        <v>0</v>
      </c>
      <c r="AF348" s="27">
        <v>0</v>
      </c>
      <c r="AG348" s="88">
        <v>-110</v>
      </c>
      <c r="AH348" s="3353"/>
      <c r="AI348" s="3354">
        <f>135</f>
        <v>135</v>
      </c>
      <c r="AJ348" s="54"/>
      <c r="AK348" s="6"/>
      <c r="AL348" s="6"/>
      <c r="AM348" s="6"/>
      <c r="AN348" s="183"/>
      <c r="AO348" s="107"/>
    </row>
    <row r="349" spans="1:41" ht="15">
      <c r="A349" s="109"/>
      <c r="B349" s="5832"/>
      <c r="C349" s="2819" t="s">
        <v>414</v>
      </c>
      <c r="D349" s="3355"/>
      <c r="E349" s="213"/>
      <c r="F349" s="2820">
        <v>25</v>
      </c>
      <c r="G349" s="2820" t="s">
        <v>1653</v>
      </c>
      <c r="H349" s="2820" t="s">
        <v>1858</v>
      </c>
      <c r="I349" s="2821" t="s">
        <v>1863</v>
      </c>
      <c r="J349" s="3204">
        <v>45353</v>
      </c>
      <c r="K349" s="3356">
        <v>2</v>
      </c>
      <c r="L349" s="3206">
        <v>0.38</v>
      </c>
      <c r="M349" s="3357">
        <v>6.25</v>
      </c>
      <c r="N349" s="2909">
        <v>0.26</v>
      </c>
      <c r="O349" s="3358">
        <v>-4.25</v>
      </c>
      <c r="P349" s="3359">
        <v>1.47</v>
      </c>
      <c r="Q349" s="3360">
        <v>0.14000000000000001</v>
      </c>
      <c r="R349" s="3171">
        <v>0.4</v>
      </c>
      <c r="S349" s="2911">
        <v>0</v>
      </c>
      <c r="T349" s="2820">
        <v>11</v>
      </c>
      <c r="U349" s="2988">
        <v>0.27</v>
      </c>
      <c r="V349" s="3361">
        <v>0.27</v>
      </c>
      <c r="W349" s="3362">
        <v>0.27</v>
      </c>
      <c r="X349" s="3363">
        <v>0.54549999999999998</v>
      </c>
      <c r="Y349" s="2836">
        <v>3</v>
      </c>
      <c r="Z349" s="3176">
        <v>1</v>
      </c>
      <c r="AA349" s="2836">
        <v>3</v>
      </c>
      <c r="AB349" s="2774">
        <v>0</v>
      </c>
      <c r="AC349" s="2780">
        <v>3</v>
      </c>
      <c r="AD349" s="2837">
        <v>1</v>
      </c>
      <c r="AE349" s="2841">
        <v>0</v>
      </c>
      <c r="AF349" s="28">
        <v>0</v>
      </c>
      <c r="AG349" s="2820">
        <v>-110</v>
      </c>
      <c r="AH349" s="3364"/>
      <c r="AI349" s="3365">
        <v>-155</v>
      </c>
      <c r="AJ349" s="213"/>
      <c r="AK349" s="5"/>
      <c r="AL349" s="5"/>
      <c r="AM349" s="5"/>
      <c r="AN349" s="213"/>
      <c r="AO349" s="107"/>
    </row>
    <row r="350" spans="1:41" ht="15">
      <c r="A350" s="109"/>
      <c r="B350" s="5833">
        <v>9</v>
      </c>
      <c r="C350" s="2732" t="s">
        <v>489</v>
      </c>
      <c r="D350" s="3366"/>
      <c r="E350" s="119"/>
      <c r="F350" s="2733">
        <v>28</v>
      </c>
      <c r="G350" s="2733" t="s">
        <v>1592</v>
      </c>
      <c r="H350" s="2733" t="s">
        <v>1616</v>
      </c>
      <c r="I350" s="2734" t="s">
        <v>1864</v>
      </c>
      <c r="J350" s="2755" t="s">
        <v>1865</v>
      </c>
      <c r="K350" s="3367">
        <v>2.6</v>
      </c>
      <c r="L350" s="3350">
        <v>0.48</v>
      </c>
      <c r="M350" s="3368">
        <v>4.26</v>
      </c>
      <c r="N350" s="3369">
        <v>0.41</v>
      </c>
      <c r="O350" s="3370">
        <v>-1.66</v>
      </c>
      <c r="P350" s="2741">
        <v>0</v>
      </c>
      <c r="Q350" s="2742">
        <v>0</v>
      </c>
      <c r="R350" s="3371">
        <v>0.45</v>
      </c>
      <c r="S350" s="2926">
        <v>1.3</v>
      </c>
      <c r="T350" s="2733">
        <v>15</v>
      </c>
      <c r="U350" s="2859">
        <v>0.27</v>
      </c>
      <c r="V350" s="3372">
        <v>0.4</v>
      </c>
      <c r="W350" s="2746">
        <v>0</v>
      </c>
      <c r="X350" s="3234">
        <v>0.66669999999999996</v>
      </c>
      <c r="Y350" s="2808">
        <v>4</v>
      </c>
      <c r="Z350" s="2809">
        <v>0</v>
      </c>
      <c r="AA350" s="3306">
        <v>6</v>
      </c>
      <c r="AB350" s="3007">
        <v>2</v>
      </c>
      <c r="AC350" s="2751">
        <v>0</v>
      </c>
      <c r="AD350" s="2750">
        <v>3</v>
      </c>
      <c r="AE350" s="2754">
        <v>0</v>
      </c>
      <c r="AF350" s="2755">
        <v>0</v>
      </c>
      <c r="AG350" s="3373">
        <v>-400</v>
      </c>
      <c r="AH350" s="3374"/>
      <c r="AI350" s="3375">
        <v>-365</v>
      </c>
      <c r="AJ350" s="3376">
        <v>-600</v>
      </c>
      <c r="AK350" s="640"/>
      <c r="AL350" s="640"/>
      <c r="AM350" s="640"/>
      <c r="AN350" s="119"/>
      <c r="AO350" s="107"/>
    </row>
    <row r="351" spans="1:41" ht="15">
      <c r="A351" s="109"/>
      <c r="B351" s="5832"/>
      <c r="C351" s="2762" t="s">
        <v>490</v>
      </c>
      <c r="D351" s="3377"/>
      <c r="E351" s="151"/>
      <c r="F351" s="2763">
        <v>27</v>
      </c>
      <c r="G351" s="2763" t="s">
        <v>1653</v>
      </c>
      <c r="H351" s="2763" t="s">
        <v>1618</v>
      </c>
      <c r="I351" s="2764" t="s">
        <v>1866</v>
      </c>
      <c r="J351" s="2783" t="s">
        <v>1867</v>
      </c>
      <c r="K351" s="3378">
        <v>4.16</v>
      </c>
      <c r="L351" s="3379">
        <v>0.47</v>
      </c>
      <c r="M351" s="2771">
        <v>8.6999999999999993</v>
      </c>
      <c r="N351" s="3380">
        <v>0.34</v>
      </c>
      <c r="O351" s="2911">
        <v>-4.54</v>
      </c>
      <c r="P351" s="3381">
        <v>1.91</v>
      </c>
      <c r="Q351" s="3382">
        <v>0.42</v>
      </c>
      <c r="R351" s="2772">
        <v>0</v>
      </c>
      <c r="S351" s="3383">
        <v>1.3</v>
      </c>
      <c r="T351" s="2763">
        <v>16</v>
      </c>
      <c r="U351" s="3384">
        <v>0.31</v>
      </c>
      <c r="V351" s="3385">
        <v>0.38</v>
      </c>
      <c r="W351" s="2834">
        <v>0</v>
      </c>
      <c r="X351" s="3386">
        <v>0.6875</v>
      </c>
      <c r="Y351" s="3097">
        <v>5</v>
      </c>
      <c r="Z351" s="2911">
        <v>4</v>
      </c>
      <c r="AA351" s="3247">
        <v>6</v>
      </c>
      <c r="AB351" s="2990">
        <v>1</v>
      </c>
      <c r="AC351" s="2840">
        <v>0</v>
      </c>
      <c r="AD351" s="2774">
        <v>0</v>
      </c>
      <c r="AE351" s="2782">
        <v>0</v>
      </c>
      <c r="AF351" s="2783">
        <v>0</v>
      </c>
      <c r="AG351" s="3387">
        <f>330</f>
        <v>330</v>
      </c>
      <c r="AH351" s="3388"/>
      <c r="AI351" s="3389">
        <f>290</f>
        <v>290</v>
      </c>
      <c r="AJ351" s="3390">
        <v>-600</v>
      </c>
      <c r="AK351" s="657"/>
      <c r="AL351" s="657"/>
      <c r="AM351" s="657"/>
      <c r="AN351" s="151"/>
      <c r="AO351" s="107"/>
    </row>
    <row r="352" spans="1:41" ht="15">
      <c r="A352" s="109"/>
      <c r="B352" s="5831">
        <v>10</v>
      </c>
      <c r="C352" s="2792" t="s">
        <v>873</v>
      </c>
      <c r="D352" s="3391"/>
      <c r="E352" s="183"/>
      <c r="F352" s="88">
        <v>27</v>
      </c>
      <c r="G352" s="88" t="s">
        <v>1575</v>
      </c>
      <c r="H352" s="88" t="s">
        <v>1616</v>
      </c>
      <c r="I352" s="2793" t="s">
        <v>1853</v>
      </c>
      <c r="J352" s="3184">
        <v>45383</v>
      </c>
      <c r="K352" s="3392">
        <v>1.82</v>
      </c>
      <c r="L352" s="3346">
        <v>0.49</v>
      </c>
      <c r="M352" s="3393">
        <v>2.93</v>
      </c>
      <c r="N352" s="3394">
        <v>0.47</v>
      </c>
      <c r="O352" s="3395">
        <v>-1.1100000000000001</v>
      </c>
      <c r="P352" s="3396">
        <v>2.41</v>
      </c>
      <c r="Q352" s="3397">
        <v>0.3</v>
      </c>
      <c r="R352" s="3398">
        <v>0.6</v>
      </c>
      <c r="S352" s="3399">
        <v>1.4</v>
      </c>
      <c r="T352" s="88">
        <v>15</v>
      </c>
      <c r="U352" s="3400">
        <v>0.13</v>
      </c>
      <c r="V352" s="3401">
        <v>0.47</v>
      </c>
      <c r="W352" s="3402">
        <v>0.2</v>
      </c>
      <c r="X352" s="3403">
        <v>0.6</v>
      </c>
      <c r="Y352" s="2753">
        <v>2</v>
      </c>
      <c r="Z352" s="3329">
        <v>2</v>
      </c>
      <c r="AA352" s="3404">
        <v>7</v>
      </c>
      <c r="AB352" s="2809">
        <v>0</v>
      </c>
      <c r="AC352" s="2808">
        <v>3</v>
      </c>
      <c r="AD352" s="2862">
        <v>1</v>
      </c>
      <c r="AE352" s="63">
        <v>0</v>
      </c>
      <c r="AF352" s="27">
        <v>0</v>
      </c>
      <c r="AG352" s="3405">
        <f>190</f>
        <v>190</v>
      </c>
      <c r="AH352" s="2932"/>
      <c r="AI352" s="3406">
        <f>185</f>
        <v>185</v>
      </c>
      <c r="AJ352" s="54"/>
      <c r="AK352" s="6"/>
      <c r="AL352" s="6"/>
      <c r="AM352" s="6"/>
      <c r="AN352" s="183"/>
      <c r="AO352" s="107"/>
    </row>
    <row r="353" spans="1:41" ht="14.25">
      <c r="A353" s="109"/>
      <c r="B353" s="5832"/>
      <c r="C353" s="2819" t="s">
        <v>874</v>
      </c>
      <c r="D353" s="3407"/>
      <c r="E353" s="213"/>
      <c r="F353" s="2820">
        <v>26</v>
      </c>
      <c r="G353" s="2820" t="s">
        <v>1603</v>
      </c>
      <c r="H353" s="2820" t="s">
        <v>1622</v>
      </c>
      <c r="I353" s="3203" t="s">
        <v>1868</v>
      </c>
      <c r="J353" s="3204">
        <v>45383</v>
      </c>
      <c r="K353" s="3408">
        <v>2.82</v>
      </c>
      <c r="L353" s="3379">
        <v>0.47</v>
      </c>
      <c r="M353" s="3409">
        <v>2.0099999999999998</v>
      </c>
      <c r="N353" s="3410">
        <v>0.65</v>
      </c>
      <c r="O353" s="3411">
        <f>0.81</f>
        <v>0.81</v>
      </c>
      <c r="P353" s="3412">
        <v>0.97</v>
      </c>
      <c r="Q353" s="2830">
        <v>0.23</v>
      </c>
      <c r="R353" s="3413">
        <v>0.75</v>
      </c>
      <c r="S353" s="2911">
        <v>0</v>
      </c>
      <c r="T353" s="2820">
        <v>18</v>
      </c>
      <c r="U353" s="3414">
        <v>0.22</v>
      </c>
      <c r="V353" s="3415">
        <v>0.28000000000000003</v>
      </c>
      <c r="W353" s="3214">
        <v>0.28000000000000003</v>
      </c>
      <c r="X353" s="3416">
        <v>0.5</v>
      </c>
      <c r="Y353" s="2780">
        <v>4</v>
      </c>
      <c r="Z353" s="2774">
        <v>0</v>
      </c>
      <c r="AA353" s="3417">
        <v>5</v>
      </c>
      <c r="AB353" s="2911">
        <v>3</v>
      </c>
      <c r="AC353" s="3218">
        <v>5</v>
      </c>
      <c r="AD353" s="2837">
        <v>1</v>
      </c>
      <c r="AE353" s="2841">
        <v>0</v>
      </c>
      <c r="AF353" s="28">
        <v>0</v>
      </c>
      <c r="AG353" s="3418">
        <v>-225</v>
      </c>
      <c r="AH353" s="3419"/>
      <c r="AI353" s="3420">
        <v>-220</v>
      </c>
      <c r="AJ353" s="213"/>
      <c r="AK353" s="5"/>
      <c r="AL353" s="5"/>
      <c r="AM353" s="5"/>
      <c r="AN353" s="213"/>
      <c r="AO353" s="107"/>
    </row>
    <row r="354" spans="1:41" ht="15">
      <c r="A354" s="109"/>
      <c r="B354" s="5833">
        <v>11</v>
      </c>
      <c r="C354" s="2732" t="s">
        <v>451</v>
      </c>
      <c r="D354" s="3421"/>
      <c r="E354" s="119"/>
      <c r="F354" s="2733">
        <v>24</v>
      </c>
      <c r="G354" s="2733" t="s">
        <v>1653</v>
      </c>
      <c r="H354" s="2733" t="s">
        <v>1659</v>
      </c>
      <c r="I354" s="3141" t="s">
        <v>1869</v>
      </c>
      <c r="J354" s="2755" t="s">
        <v>1629</v>
      </c>
      <c r="K354" s="2741">
        <v>1.27</v>
      </c>
      <c r="L354" s="3422">
        <v>0.37</v>
      </c>
      <c r="M354" s="3423">
        <v>3.2</v>
      </c>
      <c r="N354" s="3287">
        <v>0.54</v>
      </c>
      <c r="O354" s="3424">
        <v>-1.93</v>
      </c>
      <c r="P354" s="3425">
        <v>2</v>
      </c>
      <c r="Q354" s="3076">
        <v>0.5</v>
      </c>
      <c r="R354" s="2801">
        <v>1</v>
      </c>
      <c r="S354" s="2809">
        <v>2</v>
      </c>
      <c r="T354" s="2733">
        <v>17</v>
      </c>
      <c r="U354" s="3426">
        <v>0.41</v>
      </c>
      <c r="V354" s="3427">
        <v>0.24</v>
      </c>
      <c r="W354" s="3352">
        <v>0.18</v>
      </c>
      <c r="X354" s="3428">
        <v>0.64710000000000001</v>
      </c>
      <c r="Y354" s="3194">
        <v>7</v>
      </c>
      <c r="Z354" s="2809">
        <v>0</v>
      </c>
      <c r="AA354" s="3429">
        <v>4</v>
      </c>
      <c r="AB354" s="2809">
        <v>0</v>
      </c>
      <c r="AC354" s="2808">
        <v>3</v>
      </c>
      <c r="AD354" s="3430">
        <v>2</v>
      </c>
      <c r="AE354" s="2864">
        <v>1</v>
      </c>
      <c r="AF354" s="2755">
        <v>0</v>
      </c>
      <c r="AG354" s="3431">
        <f>145</f>
        <v>145</v>
      </c>
      <c r="AH354" s="3432"/>
      <c r="AI354" s="3433">
        <v>-130</v>
      </c>
      <c r="AJ354" s="3434">
        <f t="shared" ref="AJ354:AJ355" si="21">115</f>
        <v>115</v>
      </c>
      <c r="AK354" s="640"/>
      <c r="AL354" s="640"/>
      <c r="AM354" s="640"/>
      <c r="AN354" s="119"/>
      <c r="AO354" s="107"/>
    </row>
    <row r="355" spans="1:41" ht="15">
      <c r="A355" s="109"/>
      <c r="B355" s="5832"/>
      <c r="C355" s="2762" t="s">
        <v>452</v>
      </c>
      <c r="D355" s="3435"/>
      <c r="E355" s="151"/>
      <c r="F355" s="2763">
        <v>31</v>
      </c>
      <c r="G355" s="2763" t="s">
        <v>1653</v>
      </c>
      <c r="H355" s="2763" t="s">
        <v>1606</v>
      </c>
      <c r="I355" s="3162" t="s">
        <v>1632</v>
      </c>
      <c r="J355" s="3163">
        <v>45353</v>
      </c>
      <c r="K355" s="3436">
        <v>4.8899999999999997</v>
      </c>
      <c r="L355" s="3437">
        <v>0.45</v>
      </c>
      <c r="M355" s="3438">
        <v>6.42</v>
      </c>
      <c r="N355" s="3439">
        <v>0.56000000000000005</v>
      </c>
      <c r="O355" s="3440">
        <v>-1.53</v>
      </c>
      <c r="P355" s="3441">
        <v>2.75</v>
      </c>
      <c r="Q355" s="3442">
        <v>0.5</v>
      </c>
      <c r="R355" s="3443">
        <v>0.62</v>
      </c>
      <c r="S355" s="2911">
        <v>0</v>
      </c>
      <c r="T355" s="2763">
        <v>21</v>
      </c>
      <c r="U355" s="3444">
        <v>0.19</v>
      </c>
      <c r="V355" s="2880">
        <v>0.62</v>
      </c>
      <c r="W355" s="2834">
        <v>0</v>
      </c>
      <c r="X355" s="3445">
        <v>0.8095</v>
      </c>
      <c r="Y355" s="2780">
        <v>4</v>
      </c>
      <c r="Z355" s="3176">
        <v>1</v>
      </c>
      <c r="AA355" s="3278">
        <v>13</v>
      </c>
      <c r="AB355" s="2990">
        <v>1</v>
      </c>
      <c r="AC355" s="2840">
        <v>0</v>
      </c>
      <c r="AD355" s="3279">
        <v>2</v>
      </c>
      <c r="AE355" s="2782">
        <v>0</v>
      </c>
      <c r="AF355" s="2783">
        <v>0</v>
      </c>
      <c r="AG355" s="3446">
        <v>-170</v>
      </c>
      <c r="AH355" s="3447"/>
      <c r="AI355" s="3448">
        <f>110</f>
        <v>110</v>
      </c>
      <c r="AJ355" s="3449">
        <f t="shared" si="21"/>
        <v>115</v>
      </c>
      <c r="AK355" s="657"/>
      <c r="AL355" s="657"/>
      <c r="AM355" s="657"/>
      <c r="AN355" s="151"/>
      <c r="AO355" s="107"/>
    </row>
    <row r="356" spans="1:41" ht="15">
      <c r="A356" s="109"/>
      <c r="B356" s="5831">
        <v>12</v>
      </c>
      <c r="C356" s="2792" t="s">
        <v>456</v>
      </c>
      <c r="D356" s="3450"/>
      <c r="E356" s="183"/>
      <c r="F356" s="88">
        <v>33</v>
      </c>
      <c r="G356" s="88" t="s">
        <v>1630</v>
      </c>
      <c r="H356" s="88" t="s">
        <v>1618</v>
      </c>
      <c r="I356" s="2793" t="s">
        <v>1853</v>
      </c>
      <c r="J356" s="3184">
        <v>45353</v>
      </c>
      <c r="K356" s="3451">
        <v>5</v>
      </c>
      <c r="L356" s="3452">
        <v>0.56999999999999995</v>
      </c>
      <c r="M356" s="3453">
        <v>3.99</v>
      </c>
      <c r="N356" s="3227">
        <v>0.53</v>
      </c>
      <c r="O356" s="3454">
        <f>1.01</f>
        <v>1.01</v>
      </c>
      <c r="P356" s="3455">
        <v>2.12</v>
      </c>
      <c r="Q356" s="3456">
        <v>0.25</v>
      </c>
      <c r="R356" s="3457">
        <v>0.63</v>
      </c>
      <c r="S356" s="2744">
        <v>0</v>
      </c>
      <c r="T356" s="88">
        <v>15</v>
      </c>
      <c r="U356" s="3400">
        <v>0.13</v>
      </c>
      <c r="V356" s="3458">
        <v>0.27</v>
      </c>
      <c r="W356" s="2900">
        <v>0.4</v>
      </c>
      <c r="X356" s="3459">
        <v>0.4</v>
      </c>
      <c r="Y356" s="2753">
        <v>2</v>
      </c>
      <c r="Z356" s="2809">
        <v>0</v>
      </c>
      <c r="AA356" s="3429">
        <v>4</v>
      </c>
      <c r="AB356" s="2750">
        <v>1</v>
      </c>
      <c r="AC356" s="3197">
        <v>6</v>
      </c>
      <c r="AD356" s="3430">
        <v>2</v>
      </c>
      <c r="AE356" s="63">
        <v>0</v>
      </c>
      <c r="AF356" s="27">
        <v>0</v>
      </c>
      <c r="AG356" s="2865">
        <f>210</f>
        <v>210</v>
      </c>
      <c r="AH356" s="3460"/>
      <c r="AI356" s="3461">
        <f>245</f>
        <v>245</v>
      </c>
      <c r="AJ356" s="3026">
        <f t="shared" ref="AJ356:AJ357" si="22">170</f>
        <v>170</v>
      </c>
      <c r="AK356" s="6"/>
      <c r="AL356" s="6"/>
      <c r="AM356" s="6"/>
      <c r="AN356" s="183"/>
      <c r="AO356" s="107"/>
    </row>
    <row r="357" spans="1:41" ht="15">
      <c r="A357" s="109"/>
      <c r="B357" s="5832"/>
      <c r="C357" s="2819" t="s">
        <v>457</v>
      </c>
      <c r="D357" s="3462"/>
      <c r="E357" s="213"/>
      <c r="F357" s="2820">
        <v>23</v>
      </c>
      <c r="G357" s="2820" t="s">
        <v>1592</v>
      </c>
      <c r="H357" s="2820" t="s">
        <v>1618</v>
      </c>
      <c r="I357" s="3203" t="s">
        <v>1870</v>
      </c>
      <c r="J357" s="28" t="s">
        <v>1871</v>
      </c>
      <c r="K357" s="3463">
        <v>6.6</v>
      </c>
      <c r="L357" s="2772">
        <v>0.32</v>
      </c>
      <c r="M357" s="3464">
        <v>7.47</v>
      </c>
      <c r="N357" s="3465">
        <v>0.38</v>
      </c>
      <c r="O357" s="3466">
        <v>-0.87</v>
      </c>
      <c r="P357" s="2771">
        <v>0</v>
      </c>
      <c r="Q357" s="2772">
        <v>0</v>
      </c>
      <c r="R357" s="2772">
        <v>0</v>
      </c>
      <c r="S357" s="2911">
        <v>0</v>
      </c>
      <c r="T357" s="2820">
        <v>8</v>
      </c>
      <c r="U357" s="3467">
        <v>0.25</v>
      </c>
      <c r="V357" s="3385">
        <v>0.38</v>
      </c>
      <c r="W357" s="3315">
        <v>0.25</v>
      </c>
      <c r="X357" s="3468">
        <v>0.625</v>
      </c>
      <c r="Y357" s="2781">
        <v>2</v>
      </c>
      <c r="Z357" s="2774">
        <v>0</v>
      </c>
      <c r="AA357" s="2836">
        <v>3</v>
      </c>
      <c r="AB357" s="2774">
        <v>0</v>
      </c>
      <c r="AC357" s="2836">
        <v>2</v>
      </c>
      <c r="AD357" s="2837">
        <v>1</v>
      </c>
      <c r="AE357" s="2841">
        <v>0</v>
      </c>
      <c r="AF357" s="28">
        <v>0</v>
      </c>
      <c r="AG357" s="3469">
        <v>-250</v>
      </c>
      <c r="AH357" s="3470"/>
      <c r="AI357" s="3471">
        <v>-285</v>
      </c>
      <c r="AJ357" s="3043">
        <f t="shared" si="22"/>
        <v>170</v>
      </c>
      <c r="AK357" s="5"/>
      <c r="AL357" s="5"/>
      <c r="AM357" s="5"/>
      <c r="AN357" s="213"/>
      <c r="AO357" s="107"/>
    </row>
    <row r="358" spans="1:41" ht="15">
      <c r="A358" s="109"/>
      <c r="B358" s="5833">
        <v>13</v>
      </c>
      <c r="C358" s="2732" t="s">
        <v>301</v>
      </c>
      <c r="D358" s="3472"/>
      <c r="E358" s="119"/>
      <c r="F358" s="2733">
        <v>36</v>
      </c>
      <c r="G358" s="2733" t="s">
        <v>1588</v>
      </c>
      <c r="H358" s="2733" t="s">
        <v>1641</v>
      </c>
      <c r="I358" s="2734" t="s">
        <v>1862</v>
      </c>
      <c r="J358" s="3142">
        <v>45383</v>
      </c>
      <c r="K358" s="3473">
        <v>2.17</v>
      </c>
      <c r="L358" s="2801">
        <v>0.71</v>
      </c>
      <c r="M358" s="3474">
        <v>1.58</v>
      </c>
      <c r="N358" s="3475">
        <v>0.4</v>
      </c>
      <c r="O358" s="3476">
        <f>0.59</f>
        <v>0.59</v>
      </c>
      <c r="P358" s="2905">
        <v>3.94</v>
      </c>
      <c r="Q358" s="3477">
        <v>0.8</v>
      </c>
      <c r="R358" s="3478">
        <v>0.71</v>
      </c>
      <c r="S358" s="2744">
        <v>0</v>
      </c>
      <c r="T358" s="2733">
        <v>11</v>
      </c>
      <c r="U358" s="2859">
        <v>0.27</v>
      </c>
      <c r="V358" s="3191">
        <v>0.36</v>
      </c>
      <c r="W358" s="3352">
        <v>0.18</v>
      </c>
      <c r="X358" s="3289">
        <v>0.63639999999999997</v>
      </c>
      <c r="Y358" s="2810">
        <v>3</v>
      </c>
      <c r="Z358" s="2809">
        <v>0</v>
      </c>
      <c r="AA358" s="3429">
        <v>4</v>
      </c>
      <c r="AB358" s="3007">
        <v>2</v>
      </c>
      <c r="AC358" s="2810">
        <v>2</v>
      </c>
      <c r="AD358" s="2809">
        <v>0</v>
      </c>
      <c r="AE358" s="2754">
        <v>0</v>
      </c>
      <c r="AF358" s="2755">
        <v>0</v>
      </c>
      <c r="AG358" s="3479">
        <f>275</f>
        <v>275</v>
      </c>
      <c r="AH358" s="3480"/>
      <c r="AI358" s="3481">
        <f>300</f>
        <v>300</v>
      </c>
      <c r="AJ358" s="1372"/>
      <c r="AK358" s="640"/>
      <c r="AL358" s="640"/>
      <c r="AM358" s="640"/>
      <c r="AN358" s="119"/>
      <c r="AO358" s="107"/>
    </row>
    <row r="359" spans="1:41" ht="15">
      <c r="A359" s="109"/>
      <c r="B359" s="5832"/>
      <c r="C359" s="2762" t="s">
        <v>302</v>
      </c>
      <c r="D359" s="3482"/>
      <c r="E359" s="119"/>
      <c r="F359" s="2763">
        <v>29</v>
      </c>
      <c r="G359" s="2763" t="s">
        <v>1588</v>
      </c>
      <c r="H359" s="2763" t="s">
        <v>1618</v>
      </c>
      <c r="I359" s="2764" t="s">
        <v>1863</v>
      </c>
      <c r="J359" s="2783" t="s">
        <v>1629</v>
      </c>
      <c r="K359" s="3270">
        <v>3.37</v>
      </c>
      <c r="L359" s="2940">
        <v>0.46</v>
      </c>
      <c r="M359" s="3483">
        <v>4.66</v>
      </c>
      <c r="N359" s="3484">
        <v>0.41</v>
      </c>
      <c r="O359" s="3485">
        <v>-1.29</v>
      </c>
      <c r="P359" s="3486">
        <v>1.58</v>
      </c>
      <c r="Q359" s="3487">
        <v>0.28000000000000003</v>
      </c>
      <c r="R359" s="2945">
        <v>0.56999999999999995</v>
      </c>
      <c r="S359" s="2911">
        <v>0</v>
      </c>
      <c r="T359" s="2763">
        <v>12</v>
      </c>
      <c r="U359" s="3094">
        <v>0.33</v>
      </c>
      <c r="V359" s="3488">
        <v>0.25</v>
      </c>
      <c r="W359" s="3315">
        <v>0.25</v>
      </c>
      <c r="X359" s="3489">
        <v>0.58330000000000004</v>
      </c>
      <c r="Y359" s="2780">
        <v>4</v>
      </c>
      <c r="Z359" s="2774">
        <v>0</v>
      </c>
      <c r="AA359" s="2836">
        <v>3</v>
      </c>
      <c r="AB359" s="2774">
        <v>0</v>
      </c>
      <c r="AC359" s="2780">
        <v>3</v>
      </c>
      <c r="AD359" s="3279">
        <v>2</v>
      </c>
      <c r="AE359" s="2782">
        <v>0</v>
      </c>
      <c r="AF359" s="2783">
        <v>0</v>
      </c>
      <c r="AG359" s="3490">
        <v>-325</v>
      </c>
      <c r="AH359" s="3491"/>
      <c r="AI359" s="3492">
        <v>-400</v>
      </c>
      <c r="AJ359" s="151"/>
      <c r="AK359" s="657"/>
      <c r="AL359" s="657"/>
      <c r="AM359" s="657"/>
      <c r="AN359" s="151"/>
      <c r="AO359" s="107"/>
    </row>
    <row r="360" spans="1:41" ht="12.75">
      <c r="A360" s="107"/>
      <c r="B360" s="107"/>
      <c r="C360" s="107"/>
      <c r="D360" s="107"/>
      <c r="E360" s="107"/>
      <c r="F360" s="107"/>
      <c r="G360" s="107"/>
      <c r="H360" s="107"/>
      <c r="I360" s="3493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620"/>
    </row>
    <row r="364" spans="1:41" ht="12.75">
      <c r="A364" s="106" t="s">
        <v>1872</v>
      </c>
      <c r="D364" s="2728">
        <v>20240217</v>
      </c>
    </row>
    <row r="365" spans="1:41" ht="30">
      <c r="A365" s="1375" t="s">
        <v>1694</v>
      </c>
      <c r="B365" s="108"/>
      <c r="C365" s="108"/>
      <c r="D365" s="108"/>
      <c r="E365" s="108"/>
      <c r="F365" s="108"/>
      <c r="G365" s="108"/>
      <c r="H365" s="108"/>
      <c r="I365" s="2729"/>
      <c r="J365" s="108"/>
      <c r="K365" s="108"/>
      <c r="L365" s="108"/>
      <c r="M365" s="108"/>
      <c r="N365" s="108"/>
      <c r="O365" s="108"/>
      <c r="P365" s="108"/>
      <c r="Q365" s="108"/>
      <c r="R365" s="108"/>
      <c r="S365" s="108"/>
      <c r="T365" s="108"/>
      <c r="U365" s="108"/>
      <c r="V365" s="108"/>
      <c r="W365" s="108"/>
      <c r="X365" s="108"/>
      <c r="Y365" s="108"/>
      <c r="Z365" s="108"/>
      <c r="AA365" s="108"/>
      <c r="AB365" s="108"/>
      <c r="AC365" s="108"/>
      <c r="AD365" s="108"/>
      <c r="AE365" s="108"/>
      <c r="AF365" s="108"/>
      <c r="AG365" s="108"/>
      <c r="AH365" s="108"/>
      <c r="AI365" s="108"/>
      <c r="AJ365" s="108"/>
      <c r="AK365" s="108"/>
      <c r="AL365" s="108"/>
      <c r="AM365" s="108"/>
      <c r="AN365" s="108"/>
      <c r="AO365" s="107"/>
    </row>
    <row r="366" spans="1:41">
      <c r="A366" s="109"/>
      <c r="B366" s="5834" t="s">
        <v>1524</v>
      </c>
      <c r="C366" s="5840" t="s">
        <v>1525</v>
      </c>
      <c r="D366" s="5841" t="s">
        <v>1526</v>
      </c>
      <c r="E366" s="5836"/>
      <c r="F366" s="5836"/>
      <c r="G366" s="5836"/>
      <c r="H366" s="5836"/>
      <c r="I366" s="5836"/>
      <c r="J366" s="5832"/>
      <c r="K366" s="5837" t="s">
        <v>1527</v>
      </c>
      <c r="L366" s="5836"/>
      <c r="M366" s="5836"/>
      <c r="N366" s="5836"/>
      <c r="O366" s="5832"/>
      <c r="P366" s="5838" t="s">
        <v>1528</v>
      </c>
      <c r="Q366" s="5836"/>
      <c r="R366" s="5836"/>
      <c r="S366" s="5832"/>
      <c r="T366" s="5839" t="s">
        <v>1529</v>
      </c>
      <c r="U366" s="5836"/>
      <c r="V366" s="5836"/>
      <c r="W366" s="5836"/>
      <c r="X366" s="5836"/>
      <c r="Y366" s="5836"/>
      <c r="Z366" s="5836"/>
      <c r="AA366" s="5836"/>
      <c r="AB366" s="5836"/>
      <c r="AC366" s="5836"/>
      <c r="AD366" s="5836"/>
      <c r="AE366" s="5836"/>
      <c r="AF366" s="5832"/>
      <c r="AG366" s="5842" t="s">
        <v>1530</v>
      </c>
      <c r="AH366" s="5836"/>
      <c r="AI366" s="5836"/>
      <c r="AJ366" s="5836"/>
      <c r="AK366" s="5836"/>
      <c r="AL366" s="5836"/>
      <c r="AM366" s="5836"/>
      <c r="AN366" s="5832"/>
      <c r="AO366" s="107"/>
    </row>
    <row r="367" spans="1:41" ht="15">
      <c r="A367" s="109"/>
      <c r="B367" s="5832"/>
      <c r="C367" s="5832"/>
      <c r="D367" s="111" t="s">
        <v>1531</v>
      </c>
      <c r="E367" s="112" t="s">
        <v>1532</v>
      </c>
      <c r="F367" s="111" t="s">
        <v>1533</v>
      </c>
      <c r="G367" s="111" t="s">
        <v>1534</v>
      </c>
      <c r="H367" s="111" t="s">
        <v>1535</v>
      </c>
      <c r="I367" s="2731" t="s">
        <v>1536</v>
      </c>
      <c r="J367" s="111" t="s">
        <v>1537</v>
      </c>
      <c r="K367" s="111" t="s">
        <v>1538</v>
      </c>
      <c r="L367" s="111" t="s">
        <v>1539</v>
      </c>
      <c r="M367" s="111" t="s">
        <v>1540</v>
      </c>
      <c r="N367" s="111" t="s">
        <v>1541</v>
      </c>
      <c r="O367" s="111" t="s">
        <v>1542</v>
      </c>
      <c r="P367" s="111" t="s">
        <v>1543</v>
      </c>
      <c r="Q367" s="111" t="s">
        <v>1544</v>
      </c>
      <c r="R367" s="111" t="s">
        <v>1545</v>
      </c>
      <c r="S367" s="111" t="s">
        <v>1546</v>
      </c>
      <c r="T367" s="111" t="s">
        <v>1547</v>
      </c>
      <c r="U367" s="111" t="s">
        <v>1548</v>
      </c>
      <c r="V367" s="111" t="s">
        <v>1549</v>
      </c>
      <c r="W367" s="111" t="s">
        <v>1550</v>
      </c>
      <c r="X367" s="112" t="s">
        <v>1551</v>
      </c>
      <c r="Y367" s="113" t="s">
        <v>1552</v>
      </c>
      <c r="Z367" s="114" t="s">
        <v>1553</v>
      </c>
      <c r="AA367" s="113" t="s">
        <v>1554</v>
      </c>
      <c r="AB367" s="114" t="s">
        <v>1555</v>
      </c>
      <c r="AC367" s="115" t="s">
        <v>1556</v>
      </c>
      <c r="AD367" s="114" t="s">
        <v>1557</v>
      </c>
      <c r="AE367" s="113" t="s">
        <v>1558</v>
      </c>
      <c r="AF367" s="116" t="s">
        <v>1559</v>
      </c>
      <c r="AG367" s="111" t="s">
        <v>1560</v>
      </c>
      <c r="AH367" s="111"/>
      <c r="AI367" s="112" t="s">
        <v>1561</v>
      </c>
      <c r="AJ367" s="111" t="s">
        <v>1562</v>
      </c>
      <c r="AK367" s="111" t="s">
        <v>1563</v>
      </c>
      <c r="AL367" s="111" t="s">
        <v>1564</v>
      </c>
      <c r="AM367" s="111" t="s">
        <v>1565</v>
      </c>
      <c r="AN367" s="112" t="s">
        <v>1566</v>
      </c>
      <c r="AO367" s="107"/>
    </row>
    <row r="368" spans="1:41" ht="15">
      <c r="A368" s="109"/>
      <c r="B368" s="5833">
        <v>1</v>
      </c>
      <c r="C368" s="2732" t="s">
        <v>1088</v>
      </c>
      <c r="D368" s="3494"/>
      <c r="E368" s="119"/>
      <c r="F368" s="2733">
        <v>35</v>
      </c>
      <c r="G368" s="2733" t="s">
        <v>1653</v>
      </c>
      <c r="H368" s="2733" t="s">
        <v>1858</v>
      </c>
      <c r="I368" s="3141" t="s">
        <v>1873</v>
      </c>
      <c r="J368" s="3142">
        <v>45353</v>
      </c>
      <c r="K368" s="3224">
        <v>6.19</v>
      </c>
      <c r="L368" s="3495">
        <v>0.56999999999999995</v>
      </c>
      <c r="M368" s="3496">
        <v>3.42</v>
      </c>
      <c r="N368" s="3497">
        <v>0.57999999999999996</v>
      </c>
      <c r="O368" s="3498">
        <f>2.77</f>
        <v>2.77</v>
      </c>
      <c r="P368" s="2892">
        <v>1.84</v>
      </c>
      <c r="Q368" s="3015">
        <v>0.37</v>
      </c>
      <c r="R368" s="3499">
        <v>0.7</v>
      </c>
      <c r="S368" s="3500">
        <v>0.2</v>
      </c>
      <c r="T368" s="2733">
        <v>29</v>
      </c>
      <c r="U368" s="2859">
        <v>0.45</v>
      </c>
      <c r="V368" s="3501">
        <v>0.1</v>
      </c>
      <c r="W368" s="3502">
        <v>0.34</v>
      </c>
      <c r="X368" s="3503">
        <v>0.55169999999999997</v>
      </c>
      <c r="Y368" s="2864">
        <v>13</v>
      </c>
      <c r="Z368" s="3504">
        <v>2</v>
      </c>
      <c r="AA368" s="2808">
        <v>3</v>
      </c>
      <c r="AB368" s="2809">
        <v>0</v>
      </c>
      <c r="AC368" s="3505">
        <v>10</v>
      </c>
      <c r="AD368" s="2862">
        <v>1</v>
      </c>
      <c r="AE368" s="2754">
        <v>0</v>
      </c>
      <c r="AF368" s="2755">
        <v>0</v>
      </c>
      <c r="AG368" s="3506">
        <v>-170</v>
      </c>
      <c r="AH368" s="2976"/>
      <c r="AI368" s="3507">
        <v>-132</v>
      </c>
      <c r="AJ368" s="3508">
        <v>-165</v>
      </c>
      <c r="AK368" s="88">
        <f>210</f>
        <v>210</v>
      </c>
      <c r="AL368" s="3509">
        <f>250</f>
        <v>250</v>
      </c>
      <c r="AM368" s="3510">
        <f>2000</f>
        <v>2000</v>
      </c>
      <c r="AN368" s="3511">
        <f>235</f>
        <v>235</v>
      </c>
      <c r="AO368" s="107"/>
    </row>
    <row r="369" spans="1:41" ht="15">
      <c r="A369" s="109"/>
      <c r="B369" s="5832"/>
      <c r="C369" s="2762" t="s">
        <v>1089</v>
      </c>
      <c r="D369" s="3512"/>
      <c r="E369" s="151"/>
      <c r="F369" s="2763">
        <v>27</v>
      </c>
      <c r="G369" s="2763" t="s">
        <v>1592</v>
      </c>
      <c r="H369" s="2763" t="s">
        <v>1606</v>
      </c>
      <c r="I369" s="3162" t="s">
        <v>1874</v>
      </c>
      <c r="J369" s="2783" t="s">
        <v>1629</v>
      </c>
      <c r="K369" s="3513">
        <v>4.4400000000000004</v>
      </c>
      <c r="L369" s="3514">
        <v>0.46</v>
      </c>
      <c r="M369" s="3515">
        <v>3.05</v>
      </c>
      <c r="N369" s="3516">
        <v>0.67</v>
      </c>
      <c r="O369" s="3517">
        <f>1.39</f>
        <v>1.39</v>
      </c>
      <c r="P369" s="2825">
        <v>2.19</v>
      </c>
      <c r="Q369" s="3518">
        <v>0.56000000000000005</v>
      </c>
      <c r="R369" s="3519">
        <v>0.92</v>
      </c>
      <c r="S369" s="3520">
        <v>1.5</v>
      </c>
      <c r="T369" s="2763">
        <v>14</v>
      </c>
      <c r="U369" s="3521">
        <v>0.28999999999999998</v>
      </c>
      <c r="V369" s="2880">
        <v>0.56999999999999995</v>
      </c>
      <c r="W369" s="3522">
        <v>0.14000000000000001</v>
      </c>
      <c r="X369" s="2778">
        <v>0.85709999999999997</v>
      </c>
      <c r="Y369" s="2836">
        <v>4</v>
      </c>
      <c r="Z369" s="2774">
        <v>0</v>
      </c>
      <c r="AA369" s="3278">
        <v>8</v>
      </c>
      <c r="AB369" s="2774">
        <v>0</v>
      </c>
      <c r="AC369" s="2836">
        <v>2</v>
      </c>
      <c r="AD369" s="2774">
        <v>0</v>
      </c>
      <c r="AE369" s="2782">
        <v>0</v>
      </c>
      <c r="AF369" s="2783">
        <v>0</v>
      </c>
      <c r="AG369" s="3523">
        <f>145</f>
        <v>145</v>
      </c>
      <c r="AH369" s="3524"/>
      <c r="AI369" s="3525">
        <f>112</f>
        <v>112</v>
      </c>
      <c r="AJ369" s="3526">
        <v>-165</v>
      </c>
      <c r="AK369" s="3527">
        <f>165</f>
        <v>165</v>
      </c>
      <c r="AL369" s="2820">
        <f t="shared" ref="AL369:AL371" si="23">300</f>
        <v>300</v>
      </c>
      <c r="AM369" s="3528">
        <f>525</f>
        <v>525</v>
      </c>
      <c r="AN369" s="3529">
        <f>400</f>
        <v>400</v>
      </c>
      <c r="AO369" s="107"/>
    </row>
    <row r="370" spans="1:41" ht="15">
      <c r="A370" s="109"/>
      <c r="B370" s="5831">
        <v>2</v>
      </c>
      <c r="C370" s="2792" t="s">
        <v>1033</v>
      </c>
      <c r="D370" s="3530"/>
      <c r="E370" s="183"/>
      <c r="F370" s="88">
        <v>33</v>
      </c>
      <c r="G370" s="88" t="s">
        <v>1582</v>
      </c>
      <c r="H370" s="88" t="s">
        <v>1875</v>
      </c>
      <c r="I370" s="3183" t="s">
        <v>1876</v>
      </c>
      <c r="J370" s="3184">
        <v>45353</v>
      </c>
      <c r="K370" s="3105">
        <v>4.47</v>
      </c>
      <c r="L370" s="3252">
        <v>0.42</v>
      </c>
      <c r="M370" s="3531">
        <v>3.39</v>
      </c>
      <c r="N370" s="3532">
        <v>0.6</v>
      </c>
      <c r="O370" s="3533">
        <f>1.08</f>
        <v>1.08</v>
      </c>
      <c r="P370" s="3105">
        <v>0.85</v>
      </c>
      <c r="Q370" s="2737">
        <v>0.39</v>
      </c>
      <c r="R370" s="3534">
        <v>0.82</v>
      </c>
      <c r="S370" s="2744">
        <v>0</v>
      </c>
      <c r="T370" s="88">
        <v>31</v>
      </c>
      <c r="U370" s="3535">
        <v>0.28999999999999998</v>
      </c>
      <c r="V370" s="3536">
        <v>0.16</v>
      </c>
      <c r="W370" s="3537">
        <v>0.32</v>
      </c>
      <c r="X370" s="3538">
        <v>0.4516</v>
      </c>
      <c r="Y370" s="3539">
        <v>9</v>
      </c>
      <c r="Z370" s="2744">
        <v>3</v>
      </c>
      <c r="AA370" s="3157">
        <v>5</v>
      </c>
      <c r="AB370" s="2752">
        <v>1</v>
      </c>
      <c r="AC370" s="3505">
        <v>10</v>
      </c>
      <c r="AD370" s="2750">
        <v>3</v>
      </c>
      <c r="AE370" s="63">
        <v>0</v>
      </c>
      <c r="AF370" s="27">
        <v>0</v>
      </c>
      <c r="AG370" s="3540">
        <v>-300</v>
      </c>
      <c r="AH370" s="3541"/>
      <c r="AI370" s="3542">
        <v>-225</v>
      </c>
      <c r="AJ370" s="3543">
        <v>-105</v>
      </c>
      <c r="AK370" s="3544">
        <f>230</f>
        <v>230</v>
      </c>
      <c r="AL370" s="88">
        <f t="shared" si="23"/>
        <v>300</v>
      </c>
      <c r="AM370" s="3545">
        <f>1100</f>
        <v>1100</v>
      </c>
      <c r="AN370" s="3546">
        <f>130</f>
        <v>130</v>
      </c>
      <c r="AO370" s="107"/>
    </row>
    <row r="371" spans="1:41" ht="15">
      <c r="A371" s="109"/>
      <c r="B371" s="5832"/>
      <c r="C371" s="2819" t="s">
        <v>1034</v>
      </c>
      <c r="D371" s="3547"/>
      <c r="E371" s="213"/>
      <c r="F371" s="2820">
        <v>32</v>
      </c>
      <c r="G371" s="2820" t="s">
        <v>1603</v>
      </c>
      <c r="H371" s="2820" t="s">
        <v>1616</v>
      </c>
      <c r="I371" s="3203" t="s">
        <v>1857</v>
      </c>
      <c r="J371" s="3204">
        <v>45353</v>
      </c>
      <c r="K371" s="3548">
        <v>6.5</v>
      </c>
      <c r="L371" s="3549">
        <v>0.6</v>
      </c>
      <c r="M371" s="3550">
        <v>6.38</v>
      </c>
      <c r="N371" s="3551">
        <v>0.47</v>
      </c>
      <c r="O371" s="3552">
        <f>0.12</f>
        <v>0.12</v>
      </c>
      <c r="P371" s="3553">
        <v>0.53</v>
      </c>
      <c r="Q371" s="3554">
        <v>0.75</v>
      </c>
      <c r="R371" s="3413">
        <v>0.79</v>
      </c>
      <c r="S371" s="2911">
        <v>0</v>
      </c>
      <c r="T371" s="2820">
        <v>16</v>
      </c>
      <c r="U371" s="3555">
        <v>0.69</v>
      </c>
      <c r="V371" s="3174">
        <v>0.06</v>
      </c>
      <c r="W371" s="3556">
        <v>0.13</v>
      </c>
      <c r="X371" s="3557">
        <v>0.75</v>
      </c>
      <c r="Y371" s="3558">
        <v>11</v>
      </c>
      <c r="Z371" s="2837">
        <v>1</v>
      </c>
      <c r="AA371" s="2781">
        <v>1</v>
      </c>
      <c r="AB371" s="2774">
        <v>0</v>
      </c>
      <c r="AC371" s="2836">
        <v>2</v>
      </c>
      <c r="AD371" s="2837">
        <v>1</v>
      </c>
      <c r="AE371" s="2841">
        <v>0</v>
      </c>
      <c r="AF371" s="28">
        <v>0</v>
      </c>
      <c r="AG371" s="2994">
        <f>250</f>
        <v>250</v>
      </c>
      <c r="AH371" s="3559"/>
      <c r="AI371" s="3560">
        <f>190</f>
        <v>190</v>
      </c>
      <c r="AJ371" s="3561">
        <v>-105</v>
      </c>
      <c r="AK371" s="3562">
        <f>275</f>
        <v>275</v>
      </c>
      <c r="AL371" s="2820">
        <f t="shared" si="23"/>
        <v>300</v>
      </c>
      <c r="AM371" s="3563">
        <f>1800</f>
        <v>1800</v>
      </c>
      <c r="AN371" s="3564">
        <f>500</f>
        <v>500</v>
      </c>
      <c r="AO371" s="107"/>
    </row>
    <row r="372" spans="1:41" ht="15">
      <c r="A372" s="109"/>
      <c r="B372" s="5833">
        <v>3</v>
      </c>
      <c r="C372" s="2732" t="s">
        <v>1238</v>
      </c>
      <c r="D372" s="3565"/>
      <c r="E372" s="119"/>
      <c r="F372" s="2733">
        <v>33</v>
      </c>
      <c r="G372" s="2733" t="s">
        <v>1605</v>
      </c>
      <c r="H372" s="2733" t="s">
        <v>1622</v>
      </c>
      <c r="I372" s="3141" t="s">
        <v>1646</v>
      </c>
      <c r="J372" s="3142">
        <v>45325</v>
      </c>
      <c r="K372" s="3566">
        <v>5.22</v>
      </c>
      <c r="L372" s="3149">
        <v>0.5</v>
      </c>
      <c r="M372" s="3567">
        <v>5.6</v>
      </c>
      <c r="N372" s="3497">
        <v>0.57999999999999996</v>
      </c>
      <c r="O372" s="3568">
        <v>-0.38</v>
      </c>
      <c r="P372" s="3569">
        <v>0.51</v>
      </c>
      <c r="Q372" s="3570">
        <v>0.44</v>
      </c>
      <c r="R372" s="3571">
        <v>0.87</v>
      </c>
      <c r="S372" s="3572">
        <v>0.1</v>
      </c>
      <c r="T372" s="2733">
        <v>20</v>
      </c>
      <c r="U372" s="2859">
        <v>0.45</v>
      </c>
      <c r="V372" s="3501">
        <v>0.1</v>
      </c>
      <c r="W372" s="3573">
        <v>0.2</v>
      </c>
      <c r="X372" s="3574">
        <v>0.55000000000000004</v>
      </c>
      <c r="Y372" s="3539">
        <v>9</v>
      </c>
      <c r="Z372" s="2862">
        <v>1</v>
      </c>
      <c r="AA372" s="2810">
        <v>2</v>
      </c>
      <c r="AB372" s="2930">
        <v>2</v>
      </c>
      <c r="AC372" s="2931">
        <v>4</v>
      </c>
      <c r="AD372" s="3430">
        <v>2</v>
      </c>
      <c r="AE372" s="2754">
        <v>0</v>
      </c>
      <c r="AF372" s="2755">
        <v>0</v>
      </c>
      <c r="AG372" s="3575">
        <f>205</f>
        <v>205</v>
      </c>
      <c r="AH372" s="3576"/>
      <c r="AI372" s="3577">
        <f>180</f>
        <v>180</v>
      </c>
      <c r="AJ372" s="3578">
        <v>-130</v>
      </c>
      <c r="AK372" s="3544">
        <f>230</f>
        <v>230</v>
      </c>
      <c r="AL372" s="3579">
        <f>235</f>
        <v>235</v>
      </c>
      <c r="AM372" s="3580">
        <f>2200</f>
        <v>2200</v>
      </c>
      <c r="AN372" s="3581">
        <f>650</f>
        <v>650</v>
      </c>
      <c r="AO372" s="107"/>
    </row>
    <row r="373" spans="1:41" ht="15">
      <c r="A373" s="109"/>
      <c r="B373" s="5832"/>
      <c r="C373" s="2762" t="s">
        <v>1239</v>
      </c>
      <c r="D373" s="3582"/>
      <c r="E373" s="151"/>
      <c r="F373" s="2763">
        <v>26</v>
      </c>
      <c r="G373" s="2763" t="s">
        <v>1567</v>
      </c>
      <c r="H373" s="2763" t="s">
        <v>1589</v>
      </c>
      <c r="I373" s="3162" t="s">
        <v>1877</v>
      </c>
      <c r="J373" s="2783" t="s">
        <v>1629</v>
      </c>
      <c r="K373" s="3583">
        <v>6.67</v>
      </c>
      <c r="L373" s="3584">
        <v>0.56000000000000005</v>
      </c>
      <c r="M373" s="3585">
        <v>3.58</v>
      </c>
      <c r="N373" s="3586">
        <v>0.53</v>
      </c>
      <c r="O373" s="3587">
        <f>3.09</f>
        <v>3.09</v>
      </c>
      <c r="P373" s="3240">
        <v>0.67</v>
      </c>
      <c r="Q373" s="3554">
        <v>0.75</v>
      </c>
      <c r="R373" s="3588">
        <v>0.69</v>
      </c>
      <c r="S373" s="2911">
        <v>0</v>
      </c>
      <c r="T373" s="2763">
        <v>13</v>
      </c>
      <c r="U373" s="3589">
        <v>0.54</v>
      </c>
      <c r="V373" s="3590">
        <v>0.08</v>
      </c>
      <c r="W373" s="3591">
        <v>0.38</v>
      </c>
      <c r="X373" s="3592">
        <v>0.61539999999999995</v>
      </c>
      <c r="Y373" s="3593">
        <v>7</v>
      </c>
      <c r="Z373" s="2774">
        <v>0</v>
      </c>
      <c r="AA373" s="2781">
        <v>1</v>
      </c>
      <c r="AB373" s="2774">
        <v>0</v>
      </c>
      <c r="AC373" s="3128">
        <v>5</v>
      </c>
      <c r="AD373" s="2774">
        <v>0</v>
      </c>
      <c r="AE373" s="2782">
        <v>0</v>
      </c>
      <c r="AF373" s="2783">
        <v>0</v>
      </c>
      <c r="AG373" s="3594">
        <v>-240</v>
      </c>
      <c r="AH373" s="3595"/>
      <c r="AI373" s="3596">
        <v>-210</v>
      </c>
      <c r="AJ373" s="3597">
        <v>-130</v>
      </c>
      <c r="AK373" s="2820">
        <f>210</f>
        <v>210</v>
      </c>
      <c r="AL373" s="2820">
        <f>315</f>
        <v>315</v>
      </c>
      <c r="AM373" s="3598">
        <f>700</f>
        <v>700</v>
      </c>
      <c r="AN373" s="3599">
        <f>150</f>
        <v>150</v>
      </c>
      <c r="AO373" s="107"/>
    </row>
    <row r="374" spans="1:41" ht="15">
      <c r="A374" s="109"/>
      <c r="B374" s="5831">
        <v>4</v>
      </c>
      <c r="C374" s="2792" t="s">
        <v>164</v>
      </c>
      <c r="D374" s="3600"/>
      <c r="E374" s="183"/>
      <c r="F374" s="88">
        <v>33</v>
      </c>
      <c r="G374" s="88" t="s">
        <v>1653</v>
      </c>
      <c r="H374" s="88" t="s">
        <v>1631</v>
      </c>
      <c r="I374" s="3183" t="s">
        <v>1878</v>
      </c>
      <c r="J374" s="27" t="s">
        <v>1629</v>
      </c>
      <c r="K374" s="3105">
        <v>4.46</v>
      </c>
      <c r="L374" s="3601">
        <v>0.41</v>
      </c>
      <c r="M374" s="3602">
        <v>2.41</v>
      </c>
      <c r="N374" s="3186">
        <v>0.56000000000000005</v>
      </c>
      <c r="O374" s="3603">
        <f>2.05</f>
        <v>2.0499999999999998</v>
      </c>
      <c r="P374" s="3604">
        <v>6.55</v>
      </c>
      <c r="Q374" s="3605">
        <v>0.36</v>
      </c>
      <c r="R374" s="3606">
        <v>0.78</v>
      </c>
      <c r="S374" s="3607">
        <v>0.3</v>
      </c>
      <c r="T374" s="88">
        <v>20</v>
      </c>
      <c r="U374" s="3608">
        <v>0.15</v>
      </c>
      <c r="V374" s="3608">
        <v>0.05</v>
      </c>
      <c r="W374" s="2901">
        <v>0.6</v>
      </c>
      <c r="X374" s="2861">
        <v>0.2</v>
      </c>
      <c r="Y374" s="3609">
        <v>3</v>
      </c>
      <c r="Z374" s="2809">
        <v>0</v>
      </c>
      <c r="AA374" s="2753">
        <v>1</v>
      </c>
      <c r="AB374" s="2752">
        <v>1</v>
      </c>
      <c r="AC374" s="2864">
        <v>12</v>
      </c>
      <c r="AD374" s="2750">
        <v>3</v>
      </c>
      <c r="AE374" s="63">
        <v>0</v>
      </c>
      <c r="AF374" s="27">
        <v>0</v>
      </c>
      <c r="AG374" s="3610">
        <v>-160</v>
      </c>
      <c r="AH374" s="3611"/>
      <c r="AI374" s="3612">
        <v>-210</v>
      </c>
      <c r="AJ374" s="3613">
        <f t="shared" ref="AJ374:AJ375" si="24">215</f>
        <v>215</v>
      </c>
      <c r="AK374" s="3614">
        <f>440</f>
        <v>440</v>
      </c>
      <c r="AL374" s="3615">
        <f t="shared" ref="AL374:AL375" si="25">550</f>
        <v>550</v>
      </c>
      <c r="AM374" s="3510">
        <f>2000</f>
        <v>2000</v>
      </c>
      <c r="AN374" s="2809">
        <v>-125</v>
      </c>
      <c r="AO374" s="107"/>
    </row>
    <row r="375" spans="1:41" ht="15">
      <c r="A375" s="109"/>
      <c r="B375" s="5832"/>
      <c r="C375" s="2819" t="s">
        <v>165</v>
      </c>
      <c r="D375" s="3616"/>
      <c r="E375" s="213"/>
      <c r="F375" s="2820">
        <v>37</v>
      </c>
      <c r="G375" s="2820" t="s">
        <v>1625</v>
      </c>
      <c r="H375" s="2820" t="s">
        <v>1879</v>
      </c>
      <c r="I375" s="3203" t="s">
        <v>1647</v>
      </c>
      <c r="J375" s="3204">
        <v>45383</v>
      </c>
      <c r="K375" s="3617">
        <v>3.93</v>
      </c>
      <c r="L375" s="2984">
        <v>0.47</v>
      </c>
      <c r="M375" s="3618">
        <v>3.15</v>
      </c>
      <c r="N375" s="3619">
        <v>0.6</v>
      </c>
      <c r="O375" s="3620">
        <f>0.78</f>
        <v>0.78</v>
      </c>
      <c r="P375" s="3621">
        <v>2.0699999999999998</v>
      </c>
      <c r="Q375" s="3622">
        <v>0.34</v>
      </c>
      <c r="R375" s="3170">
        <v>0.83</v>
      </c>
      <c r="S375" s="3623">
        <v>0.2</v>
      </c>
      <c r="T375" s="2820">
        <v>19</v>
      </c>
      <c r="U375" s="3624">
        <v>0.37</v>
      </c>
      <c r="V375" s="3625">
        <v>0.05</v>
      </c>
      <c r="W375" s="3626">
        <v>0.42</v>
      </c>
      <c r="X375" s="3627">
        <v>0.42109999999999997</v>
      </c>
      <c r="Y375" s="3593">
        <v>7</v>
      </c>
      <c r="Z375" s="2837">
        <v>1</v>
      </c>
      <c r="AA375" s="2781">
        <v>1</v>
      </c>
      <c r="AB375" s="2774">
        <v>0</v>
      </c>
      <c r="AC375" s="3628">
        <v>8</v>
      </c>
      <c r="AD375" s="3279">
        <v>2</v>
      </c>
      <c r="AE375" s="2841">
        <v>0</v>
      </c>
      <c r="AF375" s="28">
        <v>0</v>
      </c>
      <c r="AG375" s="3629">
        <f>140</f>
        <v>140</v>
      </c>
      <c r="AH375" s="3630"/>
      <c r="AI375" s="3631">
        <f>180</f>
        <v>180</v>
      </c>
      <c r="AJ375" s="3632">
        <f t="shared" si="24"/>
        <v>215</v>
      </c>
      <c r="AK375" s="3633">
        <f>375</f>
        <v>375</v>
      </c>
      <c r="AL375" s="3634">
        <f t="shared" si="25"/>
        <v>550</v>
      </c>
      <c r="AM375" s="3635">
        <f>1700</f>
        <v>1700</v>
      </c>
      <c r="AN375" s="3636">
        <f>275</f>
        <v>275</v>
      </c>
      <c r="AO375" s="107"/>
    </row>
    <row r="376" spans="1:41" ht="15">
      <c r="A376" s="109"/>
      <c r="B376" s="5833">
        <v>5</v>
      </c>
      <c r="C376" s="2732" t="s">
        <v>1038</v>
      </c>
      <c r="D376" s="3637"/>
      <c r="E376" s="119"/>
      <c r="F376" s="2733">
        <v>30</v>
      </c>
      <c r="G376" s="2733" t="s">
        <v>1582</v>
      </c>
      <c r="H376" s="2733" t="s">
        <v>1622</v>
      </c>
      <c r="I376" s="3141" t="s">
        <v>1880</v>
      </c>
      <c r="J376" s="3142">
        <v>45383</v>
      </c>
      <c r="K376" s="3638">
        <v>4.33</v>
      </c>
      <c r="L376" s="2801">
        <v>0.62</v>
      </c>
      <c r="M376" s="3639">
        <v>3.36</v>
      </c>
      <c r="N376" s="3640">
        <v>0.46</v>
      </c>
      <c r="O376" s="3641">
        <f>0.97</f>
        <v>0.97</v>
      </c>
      <c r="P376" s="2905">
        <v>6.79</v>
      </c>
      <c r="Q376" s="3606">
        <v>0.56999999999999995</v>
      </c>
      <c r="R376" s="3397">
        <v>0.63</v>
      </c>
      <c r="S376" s="2809">
        <v>2.9</v>
      </c>
      <c r="T376" s="2733">
        <v>13</v>
      </c>
      <c r="U376" s="3608">
        <v>0.15</v>
      </c>
      <c r="V376" s="3642">
        <v>0.54</v>
      </c>
      <c r="W376" s="3233">
        <v>0.15</v>
      </c>
      <c r="X376" s="3643">
        <v>0.69230000000000003</v>
      </c>
      <c r="Y376" s="2753">
        <v>2</v>
      </c>
      <c r="Z376" s="2862">
        <v>1</v>
      </c>
      <c r="AA376" s="3644">
        <v>7</v>
      </c>
      <c r="AB376" s="2752">
        <v>1</v>
      </c>
      <c r="AC376" s="2810">
        <v>2</v>
      </c>
      <c r="AD376" s="2809">
        <v>0</v>
      </c>
      <c r="AE376" s="2754">
        <v>0</v>
      </c>
      <c r="AF376" s="2755">
        <v>0</v>
      </c>
      <c r="AG376" s="3645">
        <v>-150</v>
      </c>
      <c r="AH376" s="3611"/>
      <c r="AI376" s="3612">
        <v>-210</v>
      </c>
      <c r="AJ376" s="3646">
        <v>-325</v>
      </c>
      <c r="AK376" s="3647">
        <f>100</f>
        <v>100</v>
      </c>
      <c r="AL376" s="3648">
        <f>400</f>
        <v>400</v>
      </c>
      <c r="AM376" s="2905">
        <f>175</f>
        <v>175</v>
      </c>
      <c r="AN376" s="3649">
        <f>400</f>
        <v>400</v>
      </c>
      <c r="AO376" s="107"/>
    </row>
    <row r="377" spans="1:41" ht="15">
      <c r="A377" s="109"/>
      <c r="B377" s="5832"/>
      <c r="C377" s="2762" t="s">
        <v>1039</v>
      </c>
      <c r="D377" s="3650"/>
      <c r="E377" s="151"/>
      <c r="F377" s="2763">
        <v>32</v>
      </c>
      <c r="G377" s="2763" t="s">
        <v>1582</v>
      </c>
      <c r="H377" s="2763" t="s">
        <v>1622</v>
      </c>
      <c r="I377" s="2764" t="s">
        <v>1881</v>
      </c>
      <c r="J377" s="3163">
        <v>45383</v>
      </c>
      <c r="K377" s="3378">
        <v>4.72</v>
      </c>
      <c r="L377" s="3518">
        <v>0.53</v>
      </c>
      <c r="M377" s="3651">
        <v>4.1100000000000003</v>
      </c>
      <c r="N377" s="3619">
        <v>0.6</v>
      </c>
      <c r="O377" s="2910">
        <f>0.61</f>
        <v>0.61</v>
      </c>
      <c r="P377" s="3652">
        <v>0.47</v>
      </c>
      <c r="Q377" s="3653">
        <v>0.5</v>
      </c>
      <c r="R377" s="3519">
        <v>0.92</v>
      </c>
      <c r="S377" s="2911">
        <v>0</v>
      </c>
      <c r="T377" s="2763">
        <v>14</v>
      </c>
      <c r="U377" s="2880">
        <v>0.79</v>
      </c>
      <c r="V377" s="2834">
        <v>0</v>
      </c>
      <c r="W377" s="3654">
        <v>7.0000000000000007E-2</v>
      </c>
      <c r="X377" s="3655">
        <v>0.78569999999999995</v>
      </c>
      <c r="Y377" s="3558">
        <v>11</v>
      </c>
      <c r="Z377" s="2774">
        <v>0</v>
      </c>
      <c r="AA377" s="2840">
        <v>0</v>
      </c>
      <c r="AB377" s="2839">
        <v>1</v>
      </c>
      <c r="AC377" s="2781">
        <v>1</v>
      </c>
      <c r="AD377" s="2837">
        <v>1</v>
      </c>
      <c r="AE377" s="2782">
        <v>0</v>
      </c>
      <c r="AF377" s="2783">
        <v>0</v>
      </c>
      <c r="AG377" s="3220">
        <f>130</f>
        <v>130</v>
      </c>
      <c r="AH377" s="3630"/>
      <c r="AI377" s="3631">
        <f>180</f>
        <v>180</v>
      </c>
      <c r="AJ377" s="3656">
        <v>-325</v>
      </c>
      <c r="AK377" s="3044">
        <f>195</f>
        <v>195</v>
      </c>
      <c r="AL377" s="3446">
        <f>225</f>
        <v>225</v>
      </c>
      <c r="AM377" s="2771">
        <f>3000</f>
        <v>3000</v>
      </c>
      <c r="AN377" s="3014">
        <f>650</f>
        <v>650</v>
      </c>
      <c r="AO377" s="107"/>
    </row>
    <row r="378" spans="1:41" ht="15">
      <c r="A378" s="109"/>
      <c r="B378" s="5831">
        <v>6</v>
      </c>
      <c r="C378" s="2792" t="s">
        <v>1491</v>
      </c>
      <c r="D378" s="3657"/>
      <c r="E378" s="183"/>
      <c r="F378" s="88">
        <v>36</v>
      </c>
      <c r="G378" s="88" t="s">
        <v>1625</v>
      </c>
      <c r="H378" s="88" t="s">
        <v>1659</v>
      </c>
      <c r="I378" s="3183" t="s">
        <v>1882</v>
      </c>
      <c r="J378" s="3184">
        <v>45353</v>
      </c>
      <c r="K378" s="3658">
        <v>3.54</v>
      </c>
      <c r="L378" s="3659">
        <v>0.55000000000000004</v>
      </c>
      <c r="M378" s="2961">
        <v>4.66</v>
      </c>
      <c r="N378" s="3660">
        <v>0.42</v>
      </c>
      <c r="O378" s="3661">
        <v>-1.1200000000000001</v>
      </c>
      <c r="P378" s="3662">
        <v>0.82</v>
      </c>
      <c r="Q378" s="3663">
        <v>0.55000000000000004</v>
      </c>
      <c r="R378" s="3664">
        <v>0.55000000000000004</v>
      </c>
      <c r="S378" s="3665">
        <v>0.8</v>
      </c>
      <c r="T378" s="88">
        <v>17</v>
      </c>
      <c r="U378" s="3666">
        <v>0.47</v>
      </c>
      <c r="V378" s="3667">
        <v>0.18</v>
      </c>
      <c r="W378" s="3668">
        <v>0.12</v>
      </c>
      <c r="X378" s="3669">
        <v>0.64710000000000001</v>
      </c>
      <c r="Y378" s="3670">
        <v>8</v>
      </c>
      <c r="Z378" s="2862">
        <v>1</v>
      </c>
      <c r="AA378" s="2808">
        <v>3</v>
      </c>
      <c r="AB378" s="2752">
        <v>1</v>
      </c>
      <c r="AC378" s="2810">
        <v>2</v>
      </c>
      <c r="AD378" s="2862">
        <v>1</v>
      </c>
      <c r="AE378" s="63">
        <v>0</v>
      </c>
      <c r="AF378" s="27">
        <v>0</v>
      </c>
      <c r="AG378" s="3671">
        <v>-270</v>
      </c>
      <c r="AH378" s="3672"/>
      <c r="AI378" s="3673">
        <v>-135</v>
      </c>
      <c r="AJ378" s="3263">
        <v>-155</v>
      </c>
      <c r="AK378" s="3674">
        <f>150</f>
        <v>150</v>
      </c>
      <c r="AL378" s="3675">
        <f>160</f>
        <v>160</v>
      </c>
      <c r="AM378" s="3676">
        <f>1600</f>
        <v>1600</v>
      </c>
      <c r="AN378" s="3200">
        <f>250</f>
        <v>250</v>
      </c>
      <c r="AO378" s="107"/>
    </row>
    <row r="379" spans="1:41" ht="15">
      <c r="A379" s="109"/>
      <c r="B379" s="5832"/>
      <c r="C379" s="2819" t="s">
        <v>1447</v>
      </c>
      <c r="D379" s="3677"/>
      <c r="E379" s="213"/>
      <c r="F379" s="2820">
        <v>30</v>
      </c>
      <c r="G379" s="2820" t="s">
        <v>1625</v>
      </c>
      <c r="H379" s="2820" t="s">
        <v>1686</v>
      </c>
      <c r="I379" s="3203" t="s">
        <v>1650</v>
      </c>
      <c r="J379" s="3204">
        <v>45325</v>
      </c>
      <c r="K379" s="3065">
        <v>3.49</v>
      </c>
      <c r="L379" s="3678">
        <v>0.4</v>
      </c>
      <c r="M379" s="3679">
        <v>4.21</v>
      </c>
      <c r="N379" s="3680">
        <v>0.51</v>
      </c>
      <c r="O379" s="3273">
        <v>-0.72</v>
      </c>
      <c r="P379" s="2980">
        <v>0.77</v>
      </c>
      <c r="Q379" s="3681">
        <v>0.14000000000000001</v>
      </c>
      <c r="R379" s="3682">
        <v>0.4</v>
      </c>
      <c r="S379" s="3683">
        <v>1.4</v>
      </c>
      <c r="T379" s="2820">
        <v>17</v>
      </c>
      <c r="U379" s="2834">
        <v>0</v>
      </c>
      <c r="V379" s="3684">
        <v>0.41</v>
      </c>
      <c r="W379" s="3685">
        <v>0.35</v>
      </c>
      <c r="X379" s="3686">
        <v>0.4118</v>
      </c>
      <c r="Y379" s="2840">
        <v>0</v>
      </c>
      <c r="Z379" s="2837">
        <v>1</v>
      </c>
      <c r="AA379" s="3343">
        <v>7</v>
      </c>
      <c r="AB379" s="2774">
        <v>0</v>
      </c>
      <c r="AC379" s="2838">
        <v>6</v>
      </c>
      <c r="AD379" s="2990">
        <v>3</v>
      </c>
      <c r="AE379" s="2841">
        <v>0</v>
      </c>
      <c r="AF379" s="28">
        <v>0</v>
      </c>
      <c r="AG379" s="3687">
        <f>230</f>
        <v>230</v>
      </c>
      <c r="AH379" s="2847"/>
      <c r="AI379" s="3688">
        <f>115</f>
        <v>115</v>
      </c>
      <c r="AJ379" s="3282">
        <v>-155</v>
      </c>
      <c r="AK379" s="3689">
        <f>255</f>
        <v>255</v>
      </c>
      <c r="AL379" s="3690">
        <f>1000</f>
        <v>1000</v>
      </c>
      <c r="AM379" s="3691">
        <f>275</f>
        <v>275</v>
      </c>
      <c r="AN379" s="3692">
        <f>550</f>
        <v>550</v>
      </c>
      <c r="AO379" s="107"/>
    </row>
    <row r="380" spans="1:41" ht="15">
      <c r="A380" s="109"/>
      <c r="B380" s="5833">
        <v>7</v>
      </c>
      <c r="C380" s="2732" t="s">
        <v>611</v>
      </c>
      <c r="D380" s="3693"/>
      <c r="E380" s="119"/>
      <c r="F380" s="2733">
        <v>38</v>
      </c>
      <c r="G380" s="2733" t="s">
        <v>1603</v>
      </c>
      <c r="H380" s="2733" t="s">
        <v>1622</v>
      </c>
      <c r="I380" s="3141" t="s">
        <v>1883</v>
      </c>
      <c r="J380" s="3142">
        <v>45353</v>
      </c>
      <c r="K380" s="3694">
        <v>3.61</v>
      </c>
      <c r="L380" s="3695">
        <v>0.56000000000000005</v>
      </c>
      <c r="M380" s="3696">
        <v>2.96</v>
      </c>
      <c r="N380" s="3697">
        <v>0.51</v>
      </c>
      <c r="O380" s="3698">
        <f>0.65</f>
        <v>0.65</v>
      </c>
      <c r="P380" s="3080">
        <v>1.34</v>
      </c>
      <c r="Q380" s="3699">
        <v>0.47</v>
      </c>
      <c r="R380" s="3015">
        <v>0.59</v>
      </c>
      <c r="S380" s="3700">
        <v>0.5</v>
      </c>
      <c r="T380" s="2733">
        <v>31</v>
      </c>
      <c r="U380" s="3701">
        <v>0.42</v>
      </c>
      <c r="V380" s="3702">
        <v>0.13</v>
      </c>
      <c r="W380" s="3703">
        <v>0.13</v>
      </c>
      <c r="X380" s="3574">
        <v>0.5484</v>
      </c>
      <c r="Y380" s="2864">
        <v>13</v>
      </c>
      <c r="Z380" s="3504">
        <v>2</v>
      </c>
      <c r="AA380" s="3235">
        <v>4</v>
      </c>
      <c r="AB380" s="2744">
        <v>5</v>
      </c>
      <c r="AC380" s="2931">
        <v>4</v>
      </c>
      <c r="AD380" s="3430">
        <v>2</v>
      </c>
      <c r="AE380" s="2754">
        <v>0</v>
      </c>
      <c r="AF380" s="2755">
        <v>0</v>
      </c>
      <c r="AG380" s="3704">
        <v>-190</v>
      </c>
      <c r="AH380" s="3705"/>
      <c r="AI380" s="3059">
        <v>-140</v>
      </c>
      <c r="AJ380" s="3706">
        <v>-500</v>
      </c>
      <c r="AK380" s="3707">
        <f t="shared" ref="AK380:AK381" si="26">120</f>
        <v>120</v>
      </c>
      <c r="AL380" s="3708">
        <f>280</f>
        <v>280</v>
      </c>
      <c r="AM380" s="3709">
        <f>400</f>
        <v>400</v>
      </c>
      <c r="AN380" s="3710">
        <f>375</f>
        <v>375</v>
      </c>
      <c r="AO380" s="107"/>
    </row>
    <row r="381" spans="1:41" ht="15">
      <c r="A381" s="109"/>
      <c r="B381" s="5832"/>
      <c r="C381" s="2762" t="s">
        <v>586</v>
      </c>
      <c r="D381" s="3711"/>
      <c r="E381" s="151"/>
      <c r="F381" s="2763">
        <v>30</v>
      </c>
      <c r="G381" s="2763" t="s">
        <v>1582</v>
      </c>
      <c r="H381" s="2763" t="s">
        <v>1589</v>
      </c>
      <c r="I381" s="3162" t="s">
        <v>1884</v>
      </c>
      <c r="J381" s="2783" t="s">
        <v>1871</v>
      </c>
      <c r="K381" s="3712">
        <v>5.13</v>
      </c>
      <c r="L381" s="3713">
        <v>0.55000000000000004</v>
      </c>
      <c r="M381" s="3714">
        <v>5.93</v>
      </c>
      <c r="N381" s="3715">
        <v>0.49</v>
      </c>
      <c r="O381" s="3716">
        <v>-0.8</v>
      </c>
      <c r="P381" s="2771">
        <v>0</v>
      </c>
      <c r="Q381" s="2772">
        <v>0</v>
      </c>
      <c r="R381" s="2773">
        <v>1</v>
      </c>
      <c r="S381" s="2911">
        <v>0</v>
      </c>
      <c r="T381" s="2763">
        <v>10</v>
      </c>
      <c r="U381" s="3717">
        <v>0.7</v>
      </c>
      <c r="V381" s="2834">
        <v>0</v>
      </c>
      <c r="W381" s="2834">
        <v>0</v>
      </c>
      <c r="X381" s="3718">
        <v>0.7</v>
      </c>
      <c r="Y381" s="3593">
        <v>7</v>
      </c>
      <c r="Z381" s="2837">
        <v>1</v>
      </c>
      <c r="AA381" s="2840">
        <v>0</v>
      </c>
      <c r="AB381" s="2774">
        <v>0</v>
      </c>
      <c r="AC381" s="2840">
        <v>0</v>
      </c>
      <c r="AD381" s="3279">
        <v>2</v>
      </c>
      <c r="AE381" s="2782">
        <v>0</v>
      </c>
      <c r="AF381" s="2783">
        <v>0</v>
      </c>
      <c r="AG381" s="3719">
        <f>165</f>
        <v>165</v>
      </c>
      <c r="AH381" s="3720"/>
      <c r="AI381" s="3721">
        <f>120</f>
        <v>120</v>
      </c>
      <c r="AJ381" s="3722">
        <v>-500</v>
      </c>
      <c r="AK381" s="3723">
        <f t="shared" si="26"/>
        <v>120</v>
      </c>
      <c r="AL381" s="2952">
        <f>135</f>
        <v>135</v>
      </c>
      <c r="AM381" s="3724">
        <f>2500</f>
        <v>2500</v>
      </c>
      <c r="AN381" s="3725">
        <f>850</f>
        <v>850</v>
      </c>
      <c r="AO381" s="107"/>
    </row>
    <row r="382" spans="1:41" ht="15">
      <c r="A382" s="109"/>
      <c r="B382" s="5831">
        <v>8</v>
      </c>
      <c r="C382" s="2792" t="s">
        <v>171</v>
      </c>
      <c r="D382" s="3283"/>
      <c r="E382" s="183"/>
      <c r="F382" s="88">
        <v>28</v>
      </c>
      <c r="G382" s="88" t="s">
        <v>1592</v>
      </c>
      <c r="H382" s="88" t="s">
        <v>1631</v>
      </c>
      <c r="I382" s="3183" t="s">
        <v>1885</v>
      </c>
      <c r="J382" s="27" t="s">
        <v>1629</v>
      </c>
      <c r="K382" s="3726">
        <v>4.2300000000000004</v>
      </c>
      <c r="L382" s="3727">
        <v>0.54</v>
      </c>
      <c r="M382" s="3728">
        <v>1.78</v>
      </c>
      <c r="N382" s="2894">
        <v>0.7</v>
      </c>
      <c r="O382" s="3729">
        <f>2.45</f>
        <v>2.4500000000000002</v>
      </c>
      <c r="P382" s="3730">
        <v>4.2300000000000004</v>
      </c>
      <c r="Q382" s="2801">
        <v>0.85</v>
      </c>
      <c r="R382" s="2801">
        <v>1</v>
      </c>
      <c r="S382" s="3731">
        <v>2.8</v>
      </c>
      <c r="T382" s="88">
        <v>8</v>
      </c>
      <c r="U382" s="3732">
        <v>0.63</v>
      </c>
      <c r="V382" s="3702">
        <v>0.13</v>
      </c>
      <c r="W382" s="3733">
        <v>0.25</v>
      </c>
      <c r="X382" s="3734">
        <v>0.75</v>
      </c>
      <c r="Y382" s="3735">
        <v>5</v>
      </c>
      <c r="Z382" s="2809">
        <v>0</v>
      </c>
      <c r="AA382" s="2753">
        <v>1</v>
      </c>
      <c r="AB382" s="2809">
        <v>0</v>
      </c>
      <c r="AC382" s="2810">
        <v>2</v>
      </c>
      <c r="AD382" s="2809">
        <v>0</v>
      </c>
      <c r="AE382" s="63">
        <v>0</v>
      </c>
      <c r="AF382" s="27">
        <v>0</v>
      </c>
      <c r="AG382" s="2905">
        <v>-900</v>
      </c>
      <c r="AH382" s="2905"/>
      <c r="AI382" s="2809">
        <v>-1000</v>
      </c>
      <c r="AJ382" s="3646">
        <v>-325</v>
      </c>
      <c r="AK382" s="2905">
        <v>-325</v>
      </c>
      <c r="AL382" s="2905">
        <v>-125</v>
      </c>
      <c r="AM382" s="2815">
        <f>240</f>
        <v>240</v>
      </c>
      <c r="AN382" s="3507">
        <f>325</f>
        <v>325</v>
      </c>
      <c r="AO382" s="107"/>
    </row>
    <row r="383" spans="1:41" ht="15">
      <c r="A383" s="109"/>
      <c r="B383" s="5832"/>
      <c r="C383" s="2819" t="s">
        <v>172</v>
      </c>
      <c r="D383" s="3292"/>
      <c r="E383" s="213"/>
      <c r="F383" s="2820">
        <v>36</v>
      </c>
      <c r="G383" s="2820" t="s">
        <v>1653</v>
      </c>
      <c r="H383" s="2820" t="s">
        <v>1886</v>
      </c>
      <c r="I383" s="2821" t="s">
        <v>1887</v>
      </c>
      <c r="J383" s="3204">
        <v>45383</v>
      </c>
      <c r="K383" s="2771">
        <v>0</v>
      </c>
      <c r="L383" s="2772">
        <v>0</v>
      </c>
      <c r="M383" s="2890">
        <v>0</v>
      </c>
      <c r="N383" s="2909">
        <v>0</v>
      </c>
      <c r="O383" s="3736">
        <v>0</v>
      </c>
      <c r="P383" s="2771">
        <v>0</v>
      </c>
      <c r="Q383" s="2772">
        <v>0</v>
      </c>
      <c r="R383" s="2772">
        <v>0</v>
      </c>
      <c r="S383" s="2911">
        <v>0</v>
      </c>
      <c r="T383" s="2820">
        <v>14</v>
      </c>
      <c r="U383" s="3737">
        <v>7.0000000000000007E-2</v>
      </c>
      <c r="V383" s="3626">
        <v>0.36</v>
      </c>
      <c r="W383" s="3738">
        <v>0.36</v>
      </c>
      <c r="X383" s="3340">
        <v>0.42859999999999998</v>
      </c>
      <c r="Y383" s="3739">
        <v>1</v>
      </c>
      <c r="Z383" s="2774">
        <v>0</v>
      </c>
      <c r="AA383" s="3218">
        <v>5</v>
      </c>
      <c r="AB383" s="3740">
        <v>2</v>
      </c>
      <c r="AC383" s="3128">
        <v>5</v>
      </c>
      <c r="AD383" s="2837">
        <v>1</v>
      </c>
      <c r="AE383" s="2841">
        <v>0</v>
      </c>
      <c r="AF383" s="28">
        <v>0</v>
      </c>
      <c r="AG383" s="2771">
        <f>600</f>
        <v>600</v>
      </c>
      <c r="AH383" s="2771"/>
      <c r="AI383" s="2911">
        <f>700</f>
        <v>700</v>
      </c>
      <c r="AJ383" s="3656">
        <v>-325</v>
      </c>
      <c r="AK383" s="2771">
        <f>1200</f>
        <v>1200</v>
      </c>
      <c r="AL383" s="2771">
        <f>2500</f>
        <v>2500</v>
      </c>
      <c r="AM383" s="3741">
        <f>1400</f>
        <v>1400</v>
      </c>
      <c r="AN383" s="2911">
        <f>1800</f>
        <v>1800</v>
      </c>
      <c r="AO383" s="107"/>
    </row>
    <row r="384" spans="1:41" ht="15">
      <c r="A384" s="109"/>
      <c r="B384" s="5833">
        <v>9</v>
      </c>
      <c r="C384" s="2732" t="s">
        <v>677</v>
      </c>
      <c r="D384" s="3742"/>
      <c r="E384" s="119"/>
      <c r="F384" s="2733">
        <v>25</v>
      </c>
      <c r="G384" s="2733" t="s">
        <v>1571</v>
      </c>
      <c r="H384" s="2733" t="s">
        <v>1622</v>
      </c>
      <c r="I384" s="3141" t="s">
        <v>1888</v>
      </c>
      <c r="J384" s="2755" t="s">
        <v>1629</v>
      </c>
      <c r="K384" s="3743">
        <v>8.86</v>
      </c>
      <c r="L384" s="3695">
        <v>0.56000000000000005</v>
      </c>
      <c r="M384" s="3567">
        <v>5.57</v>
      </c>
      <c r="N384" s="3744">
        <v>0.59</v>
      </c>
      <c r="O384" s="3745">
        <f>3.29</f>
        <v>3.29</v>
      </c>
      <c r="P384" s="2741">
        <v>0</v>
      </c>
      <c r="Q384" s="2742">
        <v>0</v>
      </c>
      <c r="R384" s="2742">
        <v>0</v>
      </c>
      <c r="S384" s="2744">
        <v>0</v>
      </c>
      <c r="T384" s="2733">
        <v>22</v>
      </c>
      <c r="U384" s="2859">
        <v>0.45</v>
      </c>
      <c r="V384" s="3746">
        <v>0.27</v>
      </c>
      <c r="W384" s="2746">
        <v>0</v>
      </c>
      <c r="X384" s="3747">
        <v>0.72729999999999995</v>
      </c>
      <c r="Y384" s="3748">
        <v>10</v>
      </c>
      <c r="Z384" s="2744">
        <v>3</v>
      </c>
      <c r="AA384" s="3197">
        <v>6</v>
      </c>
      <c r="AB384" s="2930">
        <v>2</v>
      </c>
      <c r="AC384" s="2751">
        <v>0</v>
      </c>
      <c r="AD384" s="2862">
        <v>1</v>
      </c>
      <c r="AE384" s="2754">
        <v>0</v>
      </c>
      <c r="AF384" s="2755">
        <v>0</v>
      </c>
      <c r="AG384" s="3749">
        <v>-115</v>
      </c>
      <c r="AH384" s="3674"/>
      <c r="AI384" s="3750">
        <v>-121</v>
      </c>
      <c r="AJ384" s="2759">
        <v>-700</v>
      </c>
      <c r="AK384" s="3751">
        <v>-110</v>
      </c>
      <c r="AL384" s="3752">
        <f>170</f>
        <v>170</v>
      </c>
      <c r="AM384" s="3753">
        <f t="shared" ref="AM384:AN384" si="27">550</f>
        <v>550</v>
      </c>
      <c r="AN384" s="3754">
        <f t="shared" si="27"/>
        <v>550</v>
      </c>
      <c r="AO384" s="107"/>
    </row>
    <row r="385" spans="1:41" ht="15">
      <c r="A385" s="109"/>
      <c r="B385" s="5832"/>
      <c r="C385" s="2762" t="s">
        <v>678</v>
      </c>
      <c r="D385" s="3755"/>
      <c r="E385" s="151"/>
      <c r="F385" s="2763">
        <v>27</v>
      </c>
      <c r="G385" s="2763" t="s">
        <v>1567</v>
      </c>
      <c r="H385" s="2763" t="s">
        <v>1681</v>
      </c>
      <c r="I385" s="3162" t="s">
        <v>1889</v>
      </c>
      <c r="J385" s="3163">
        <v>45353</v>
      </c>
      <c r="K385" s="3756">
        <v>8.4600000000000009</v>
      </c>
      <c r="L385" s="3514">
        <v>0.46</v>
      </c>
      <c r="M385" s="3757">
        <v>5.29</v>
      </c>
      <c r="N385" s="3758">
        <v>0.64</v>
      </c>
      <c r="O385" s="3759">
        <f>3.17</f>
        <v>3.17</v>
      </c>
      <c r="P385" s="2771">
        <v>0</v>
      </c>
      <c r="Q385" s="2772">
        <v>0</v>
      </c>
      <c r="R385" s="2772">
        <v>0</v>
      </c>
      <c r="S385" s="2911">
        <v>0</v>
      </c>
      <c r="T385" s="2763">
        <v>20</v>
      </c>
      <c r="U385" s="2988">
        <v>0.45</v>
      </c>
      <c r="V385" s="3760">
        <v>0.3</v>
      </c>
      <c r="W385" s="2834">
        <v>0</v>
      </c>
      <c r="X385" s="3557">
        <v>0.75</v>
      </c>
      <c r="Y385" s="3761">
        <v>9</v>
      </c>
      <c r="Z385" s="3762">
        <v>2</v>
      </c>
      <c r="AA385" s="3763">
        <v>6</v>
      </c>
      <c r="AB385" s="3740">
        <v>2</v>
      </c>
      <c r="AC385" s="2840">
        <v>0</v>
      </c>
      <c r="AD385" s="2837">
        <v>1</v>
      </c>
      <c r="AE385" s="2782">
        <v>0</v>
      </c>
      <c r="AF385" s="2783">
        <v>0</v>
      </c>
      <c r="AG385" s="2820">
        <v>-105</v>
      </c>
      <c r="AH385" s="3764"/>
      <c r="AI385" s="3765">
        <f>101</f>
        <v>101</v>
      </c>
      <c r="AJ385" s="2787">
        <v>-700</v>
      </c>
      <c r="AK385" s="3766">
        <f>140</f>
        <v>140</v>
      </c>
      <c r="AL385" s="3767">
        <f>220</f>
        <v>220</v>
      </c>
      <c r="AM385" s="3768">
        <f>650</f>
        <v>650</v>
      </c>
      <c r="AN385" s="3448">
        <f>800</f>
        <v>800</v>
      </c>
      <c r="AO385" s="107"/>
    </row>
    <row r="386" spans="1:41" ht="15">
      <c r="A386" s="109"/>
      <c r="B386" s="5831">
        <v>10</v>
      </c>
      <c r="C386" s="2792" t="s">
        <v>1243</v>
      </c>
      <c r="D386" s="3769"/>
      <c r="E386" s="183"/>
      <c r="F386" s="88">
        <v>31</v>
      </c>
      <c r="G386" s="88" t="s">
        <v>1582</v>
      </c>
      <c r="H386" s="88" t="s">
        <v>1616</v>
      </c>
      <c r="I386" s="3183" t="s">
        <v>1890</v>
      </c>
      <c r="J386" s="27" t="s">
        <v>1871</v>
      </c>
      <c r="K386" s="3770">
        <v>3.68</v>
      </c>
      <c r="L386" s="3601">
        <v>0.41</v>
      </c>
      <c r="M386" s="3771">
        <v>5.97</v>
      </c>
      <c r="N386" s="2739">
        <v>0.5</v>
      </c>
      <c r="O386" s="3772">
        <v>-2.29</v>
      </c>
      <c r="P386" s="3105">
        <v>0.84</v>
      </c>
      <c r="Q386" s="3773">
        <v>0.12</v>
      </c>
      <c r="R386" s="3774">
        <v>0.6</v>
      </c>
      <c r="S386" s="2744">
        <v>0</v>
      </c>
      <c r="T386" s="88">
        <v>7</v>
      </c>
      <c r="U386" s="3775">
        <v>0.56999999999999995</v>
      </c>
      <c r="V386" s="3776">
        <v>0.28999999999999998</v>
      </c>
      <c r="W386" s="2746">
        <v>0</v>
      </c>
      <c r="X386" s="3777">
        <v>0.85709999999999997</v>
      </c>
      <c r="Y386" s="2810">
        <v>4</v>
      </c>
      <c r="Z386" s="2809">
        <v>0</v>
      </c>
      <c r="AA386" s="2810">
        <v>2</v>
      </c>
      <c r="AB386" s="2809">
        <v>0</v>
      </c>
      <c r="AC386" s="2751">
        <v>0</v>
      </c>
      <c r="AD386" s="2862">
        <v>1</v>
      </c>
      <c r="AE386" s="63">
        <v>0</v>
      </c>
      <c r="AF386" s="27">
        <v>0</v>
      </c>
      <c r="AG386" s="3778">
        <f>150</f>
        <v>150</v>
      </c>
      <c r="AH386" s="3779"/>
      <c r="AI386" s="3780">
        <f>158</f>
        <v>158</v>
      </c>
      <c r="AJ386" s="3781">
        <v>-250</v>
      </c>
      <c r="AK386" s="3782">
        <f>250</f>
        <v>250</v>
      </c>
      <c r="AL386" s="3545">
        <f>415</f>
        <v>415</v>
      </c>
      <c r="AM386" s="3579">
        <f>875</f>
        <v>875</v>
      </c>
      <c r="AN386" s="3581">
        <f>650</f>
        <v>650</v>
      </c>
      <c r="AO386" s="107"/>
    </row>
    <row r="387" spans="1:41" ht="15">
      <c r="A387" s="109"/>
      <c r="B387" s="5832"/>
      <c r="C387" s="2819" t="s">
        <v>1244</v>
      </c>
      <c r="D387" s="3783"/>
      <c r="E387" s="213"/>
      <c r="F387" s="2820">
        <v>28</v>
      </c>
      <c r="G387" s="2820" t="s">
        <v>1571</v>
      </c>
      <c r="H387" s="2820" t="s">
        <v>1572</v>
      </c>
      <c r="I387" s="3203" t="s">
        <v>1891</v>
      </c>
      <c r="J387" s="28" t="s">
        <v>1629</v>
      </c>
      <c r="K387" s="2890">
        <v>12.15</v>
      </c>
      <c r="L387" s="3784">
        <v>0.56999999999999995</v>
      </c>
      <c r="M387" s="3757">
        <v>5.32</v>
      </c>
      <c r="N387" s="3785">
        <v>0.61</v>
      </c>
      <c r="O387" s="2774">
        <f>6.83</f>
        <v>6.83</v>
      </c>
      <c r="P387" s="2771">
        <v>0</v>
      </c>
      <c r="Q387" s="2772">
        <v>0</v>
      </c>
      <c r="R387" s="2772">
        <v>0</v>
      </c>
      <c r="S387" s="2911">
        <v>0</v>
      </c>
      <c r="T387" s="2820">
        <v>7</v>
      </c>
      <c r="U387" s="2833">
        <v>0.56999999999999995</v>
      </c>
      <c r="V387" s="3786">
        <v>0.14000000000000001</v>
      </c>
      <c r="W387" s="3787">
        <v>0.28999999999999998</v>
      </c>
      <c r="X387" s="3788">
        <v>0.71430000000000005</v>
      </c>
      <c r="Y387" s="2836">
        <v>4</v>
      </c>
      <c r="Z387" s="2774">
        <v>0</v>
      </c>
      <c r="AA387" s="2781">
        <v>1</v>
      </c>
      <c r="AB387" s="2774">
        <v>0</v>
      </c>
      <c r="AC387" s="2836">
        <v>2</v>
      </c>
      <c r="AD387" s="2774">
        <v>0</v>
      </c>
      <c r="AE387" s="2841">
        <v>0</v>
      </c>
      <c r="AF387" s="28">
        <v>0</v>
      </c>
      <c r="AG387" s="3789">
        <v>-175</v>
      </c>
      <c r="AH387" s="3446"/>
      <c r="AI387" s="3790">
        <v>-183</v>
      </c>
      <c r="AJ387" s="3791">
        <v>-250</v>
      </c>
      <c r="AK387" s="3792">
        <f t="shared" ref="AK387:AK388" si="28">100</f>
        <v>100</v>
      </c>
      <c r="AL387" s="3469">
        <f>125</f>
        <v>125</v>
      </c>
      <c r="AM387" s="3793">
        <f>900</f>
        <v>900</v>
      </c>
      <c r="AN387" s="3636">
        <f>275</f>
        <v>275</v>
      </c>
      <c r="AO387" s="107"/>
    </row>
    <row r="388" spans="1:41" ht="15">
      <c r="A388" s="109"/>
      <c r="B388" s="5833">
        <v>11</v>
      </c>
      <c r="C388" s="2732" t="s">
        <v>1248</v>
      </c>
      <c r="D388" s="3794"/>
      <c r="E388" s="119"/>
      <c r="F388" s="2733">
        <v>26</v>
      </c>
      <c r="G388" s="2733" t="s">
        <v>1582</v>
      </c>
      <c r="H388" s="2733" t="s">
        <v>1616</v>
      </c>
      <c r="I388" s="2734" t="s">
        <v>1862</v>
      </c>
      <c r="J388" s="2755" t="s">
        <v>1629</v>
      </c>
      <c r="K388" s="3795">
        <v>3.87</v>
      </c>
      <c r="L388" s="3774">
        <v>0.44</v>
      </c>
      <c r="M388" s="3796">
        <v>2.8</v>
      </c>
      <c r="N388" s="3797">
        <v>0.61</v>
      </c>
      <c r="O388" s="3533">
        <f>1.07</f>
        <v>1.07</v>
      </c>
      <c r="P388" s="3798">
        <v>4</v>
      </c>
      <c r="Q388" s="3570">
        <v>0.44</v>
      </c>
      <c r="R388" s="2742">
        <v>0</v>
      </c>
      <c r="S388" s="2744">
        <v>0</v>
      </c>
      <c r="T388" s="2733">
        <v>11</v>
      </c>
      <c r="U388" s="3799">
        <v>0.18</v>
      </c>
      <c r="V388" s="3746">
        <v>0.27</v>
      </c>
      <c r="W388" s="3776">
        <v>0.36</v>
      </c>
      <c r="X388" s="3109">
        <v>0.45450000000000002</v>
      </c>
      <c r="Y388" s="2753">
        <v>2</v>
      </c>
      <c r="Z388" s="3504">
        <v>2</v>
      </c>
      <c r="AA388" s="2808">
        <v>3</v>
      </c>
      <c r="AB388" s="2809">
        <v>0</v>
      </c>
      <c r="AC388" s="2931">
        <v>4</v>
      </c>
      <c r="AD388" s="2809">
        <v>0</v>
      </c>
      <c r="AE388" s="2754">
        <v>0</v>
      </c>
      <c r="AF388" s="2755">
        <v>0</v>
      </c>
      <c r="AG388" s="3800">
        <v>-260</v>
      </c>
      <c r="AH388" s="3801"/>
      <c r="AI388" s="3802">
        <v>-310</v>
      </c>
      <c r="AJ388" s="3803">
        <v>-220</v>
      </c>
      <c r="AK388" s="3647">
        <f t="shared" si="28"/>
        <v>100</v>
      </c>
      <c r="AL388" s="3804">
        <f>350</f>
        <v>350</v>
      </c>
      <c r="AM388" s="3088">
        <f>250</f>
        <v>250</v>
      </c>
      <c r="AN388" s="3805">
        <f>225</f>
        <v>225</v>
      </c>
      <c r="AO388" s="107"/>
    </row>
    <row r="389" spans="1:41" ht="15">
      <c r="A389" s="109"/>
      <c r="B389" s="5832"/>
      <c r="C389" s="2762" t="s">
        <v>1249</v>
      </c>
      <c r="D389" s="3806"/>
      <c r="E389" s="151"/>
      <c r="F389" s="2763">
        <v>30</v>
      </c>
      <c r="G389" s="2763" t="s">
        <v>1630</v>
      </c>
      <c r="H389" s="2763" t="s">
        <v>1589</v>
      </c>
      <c r="I389" s="2764" t="s">
        <v>1892</v>
      </c>
      <c r="J389" s="3163">
        <v>45383</v>
      </c>
      <c r="K389" s="3807">
        <v>3.16</v>
      </c>
      <c r="L389" s="3360">
        <v>0.22</v>
      </c>
      <c r="M389" s="2771">
        <v>11.05</v>
      </c>
      <c r="N389" s="3808">
        <v>0.3</v>
      </c>
      <c r="O389" s="2911">
        <v>-7.89</v>
      </c>
      <c r="P389" s="2771">
        <v>0</v>
      </c>
      <c r="Q389" s="2772">
        <v>0</v>
      </c>
      <c r="R389" s="2773">
        <v>1</v>
      </c>
      <c r="S389" s="2911">
        <v>0</v>
      </c>
      <c r="T389" s="2763">
        <v>8</v>
      </c>
      <c r="U389" s="3809">
        <v>0.63</v>
      </c>
      <c r="V389" s="2834">
        <v>0</v>
      </c>
      <c r="W389" s="3810">
        <v>0.25</v>
      </c>
      <c r="X389" s="3811">
        <v>0.625</v>
      </c>
      <c r="Y389" s="3812">
        <v>5</v>
      </c>
      <c r="Z389" s="2837">
        <v>1</v>
      </c>
      <c r="AA389" s="2840">
        <v>0</v>
      </c>
      <c r="AB389" s="2774">
        <v>0</v>
      </c>
      <c r="AC389" s="2836">
        <v>2</v>
      </c>
      <c r="AD389" s="2774">
        <v>0</v>
      </c>
      <c r="AE389" s="2782">
        <v>0</v>
      </c>
      <c r="AF389" s="2783">
        <v>0</v>
      </c>
      <c r="AG389" s="3813">
        <f>220</f>
        <v>220</v>
      </c>
      <c r="AH389" s="3814"/>
      <c r="AI389" s="3815">
        <f>260</f>
        <v>260</v>
      </c>
      <c r="AJ389" s="3816">
        <v>-220</v>
      </c>
      <c r="AK389" s="3562">
        <f>275</f>
        <v>275</v>
      </c>
      <c r="AL389" s="2820">
        <f>300</f>
        <v>300</v>
      </c>
      <c r="AM389" s="3817">
        <f>2000</f>
        <v>2000</v>
      </c>
      <c r="AN389" s="3818">
        <f>700</f>
        <v>700</v>
      </c>
      <c r="AO389" s="107"/>
    </row>
    <row r="390" spans="1:41" ht="15">
      <c r="A390" s="109"/>
      <c r="B390" s="5831">
        <v>12</v>
      </c>
      <c r="C390" s="2792" t="s">
        <v>1413</v>
      </c>
      <c r="D390" s="3819"/>
      <c r="E390" s="183"/>
      <c r="F390" s="88">
        <v>35</v>
      </c>
      <c r="G390" s="88" t="s">
        <v>1653</v>
      </c>
      <c r="H390" s="88" t="s">
        <v>1886</v>
      </c>
      <c r="I390" s="2793" t="s">
        <v>1893</v>
      </c>
      <c r="J390" s="3184">
        <v>45325</v>
      </c>
      <c r="K390" s="2919">
        <v>4.91</v>
      </c>
      <c r="L390" s="3820">
        <v>0.47</v>
      </c>
      <c r="M390" s="3105">
        <v>3.69</v>
      </c>
      <c r="N390" s="3821">
        <v>0.63</v>
      </c>
      <c r="O390" s="2799">
        <f>1.22</f>
        <v>1.22</v>
      </c>
      <c r="P390" s="2892">
        <v>1.84</v>
      </c>
      <c r="Q390" s="3606">
        <v>0.56999999999999995</v>
      </c>
      <c r="R390" s="2920">
        <v>0.54</v>
      </c>
      <c r="S390" s="3822">
        <v>0.6</v>
      </c>
      <c r="T390" s="88">
        <v>21</v>
      </c>
      <c r="U390" s="3823">
        <v>0.14000000000000001</v>
      </c>
      <c r="V390" s="3824">
        <v>0.24</v>
      </c>
      <c r="W390" s="2859">
        <v>0.24</v>
      </c>
      <c r="X390" s="3825">
        <v>0.38100000000000001</v>
      </c>
      <c r="Y390" s="3609">
        <v>3</v>
      </c>
      <c r="Z390" s="2809">
        <v>0</v>
      </c>
      <c r="AA390" s="3157">
        <v>5</v>
      </c>
      <c r="AB390" s="2752">
        <v>1</v>
      </c>
      <c r="AC390" s="2972">
        <v>5</v>
      </c>
      <c r="AD390" s="2744">
        <v>7</v>
      </c>
      <c r="AE390" s="63">
        <v>0</v>
      </c>
      <c r="AF390" s="27">
        <v>0</v>
      </c>
      <c r="AG390" s="3826">
        <f>145</f>
        <v>145</v>
      </c>
      <c r="AH390" s="3827"/>
      <c r="AI390" s="3828">
        <f>145</f>
        <v>145</v>
      </c>
      <c r="AJ390" s="3026">
        <f t="shared" ref="AJ390:AJ391" si="29">225</f>
        <v>225</v>
      </c>
      <c r="AK390" s="3829">
        <f>800</f>
        <v>800</v>
      </c>
      <c r="AL390" s="3830">
        <f>1100</f>
        <v>1100</v>
      </c>
      <c r="AM390" s="3831">
        <f>1800</f>
        <v>1800</v>
      </c>
      <c r="AN390" s="3832">
        <f>200</f>
        <v>200</v>
      </c>
      <c r="AO390" s="107"/>
    </row>
    <row r="391" spans="1:41" ht="15">
      <c r="A391" s="109"/>
      <c r="B391" s="5832"/>
      <c r="C391" s="2819" t="s">
        <v>1414</v>
      </c>
      <c r="D391" s="3833"/>
      <c r="E391" s="213"/>
      <c r="F391" s="2820">
        <v>26</v>
      </c>
      <c r="G391" s="2820" t="s">
        <v>1644</v>
      </c>
      <c r="H391" s="2820" t="s">
        <v>1828</v>
      </c>
      <c r="I391" s="2821" t="s">
        <v>1894</v>
      </c>
      <c r="J391" s="3204">
        <v>45353</v>
      </c>
      <c r="K391" s="3834">
        <v>3.71</v>
      </c>
      <c r="L391" s="3514">
        <v>0.46</v>
      </c>
      <c r="M391" s="3835">
        <v>2.62</v>
      </c>
      <c r="N391" s="3836">
        <v>0.59</v>
      </c>
      <c r="O391" s="3837">
        <f>1.09</f>
        <v>1.0900000000000001</v>
      </c>
      <c r="P391" s="3548">
        <v>2.41</v>
      </c>
      <c r="Q391" s="3382">
        <v>0.48</v>
      </c>
      <c r="R391" s="3838">
        <v>0.42</v>
      </c>
      <c r="S391" s="3064">
        <v>0.5</v>
      </c>
      <c r="T391" s="2820">
        <v>17</v>
      </c>
      <c r="U391" s="3839">
        <v>0.06</v>
      </c>
      <c r="V391" s="3684">
        <v>0.41</v>
      </c>
      <c r="W391" s="2988">
        <v>0.24</v>
      </c>
      <c r="X391" s="3840">
        <v>0.47060000000000002</v>
      </c>
      <c r="Y391" s="3739">
        <v>1</v>
      </c>
      <c r="Z391" s="2774">
        <v>0</v>
      </c>
      <c r="AA391" s="3343">
        <v>7</v>
      </c>
      <c r="AB391" s="2774">
        <v>0</v>
      </c>
      <c r="AC391" s="2951">
        <v>4</v>
      </c>
      <c r="AD391" s="3178">
        <v>5</v>
      </c>
      <c r="AE391" s="2841">
        <v>0</v>
      </c>
      <c r="AF391" s="28">
        <v>0</v>
      </c>
      <c r="AG391" s="3841">
        <v>-170</v>
      </c>
      <c r="AH391" s="3842"/>
      <c r="AI391" s="3843">
        <v>-170</v>
      </c>
      <c r="AJ391" s="3043">
        <f t="shared" si="29"/>
        <v>225</v>
      </c>
      <c r="AK391" s="3135">
        <f>265</f>
        <v>265</v>
      </c>
      <c r="AL391" s="3844">
        <f>1200</f>
        <v>1200</v>
      </c>
      <c r="AM391" s="3845">
        <f>350</f>
        <v>350</v>
      </c>
      <c r="AN391" s="3846">
        <f>110</f>
        <v>110</v>
      </c>
      <c r="AO391" s="107"/>
    </row>
    <row r="392" spans="1:41" ht="12.75">
      <c r="A392" s="107"/>
      <c r="B392" s="107"/>
      <c r="C392" s="107"/>
      <c r="D392" s="107"/>
      <c r="E392" s="107"/>
      <c r="F392" s="107"/>
      <c r="G392" s="107"/>
      <c r="H392" s="107"/>
      <c r="I392" s="3493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620"/>
    </row>
    <row r="396" spans="1:41" ht="12.75">
      <c r="A396" s="620" t="s">
        <v>177</v>
      </c>
      <c r="D396" s="2728">
        <v>20240210</v>
      </c>
      <c r="E396" s="2728"/>
      <c r="F396" s="1"/>
      <c r="G396" s="620"/>
    </row>
    <row r="397" spans="1:41" ht="30">
      <c r="A397" s="1375" t="s">
        <v>1694</v>
      </c>
      <c r="B397" s="108"/>
      <c r="C397" s="108"/>
      <c r="D397" s="108"/>
      <c r="E397" s="108"/>
      <c r="F397" s="108"/>
      <c r="G397" s="108"/>
      <c r="H397" s="108"/>
      <c r="I397" s="108"/>
      <c r="J397" s="108"/>
      <c r="K397" s="108"/>
      <c r="L397" s="108"/>
      <c r="M397" s="108"/>
      <c r="N397" s="108"/>
      <c r="O397" s="108"/>
      <c r="P397" s="108"/>
      <c r="Q397" s="108"/>
      <c r="R397" s="108"/>
      <c r="S397" s="108"/>
      <c r="T397" s="108"/>
      <c r="U397" s="108"/>
      <c r="V397" s="108"/>
      <c r="W397" s="108"/>
      <c r="X397" s="108"/>
      <c r="Y397" s="108"/>
      <c r="Z397" s="108"/>
      <c r="AA397" s="108"/>
      <c r="AB397" s="108"/>
      <c r="AC397" s="108"/>
      <c r="AD397" s="108"/>
      <c r="AE397" s="108"/>
      <c r="AF397" s="108"/>
      <c r="AG397" s="108"/>
      <c r="AH397" s="108"/>
      <c r="AI397" s="108"/>
      <c r="AJ397" s="108"/>
      <c r="AK397" s="108"/>
      <c r="AL397" s="108"/>
      <c r="AM397" s="108"/>
      <c r="AN397" s="108"/>
      <c r="AO397" s="107"/>
    </row>
    <row r="398" spans="1:41">
      <c r="A398" s="109"/>
      <c r="B398" s="5834" t="s">
        <v>1524</v>
      </c>
      <c r="C398" s="5840" t="s">
        <v>1525</v>
      </c>
      <c r="D398" s="5841" t="s">
        <v>1526</v>
      </c>
      <c r="E398" s="5836"/>
      <c r="F398" s="5836"/>
      <c r="G398" s="5836"/>
      <c r="H398" s="5836"/>
      <c r="I398" s="5836"/>
      <c r="J398" s="5832"/>
      <c r="K398" s="5837" t="s">
        <v>1527</v>
      </c>
      <c r="L398" s="5836"/>
      <c r="M398" s="5836"/>
      <c r="N398" s="5836"/>
      <c r="O398" s="5832"/>
      <c r="P398" s="5838" t="s">
        <v>1528</v>
      </c>
      <c r="Q398" s="5836"/>
      <c r="R398" s="5836"/>
      <c r="S398" s="5832"/>
      <c r="T398" s="5839" t="s">
        <v>1529</v>
      </c>
      <c r="U398" s="5836"/>
      <c r="V398" s="5836"/>
      <c r="W398" s="5836"/>
      <c r="X398" s="5836"/>
      <c r="Y398" s="5836"/>
      <c r="Z398" s="5836"/>
      <c r="AA398" s="5836"/>
      <c r="AB398" s="5836"/>
      <c r="AC398" s="5836"/>
      <c r="AD398" s="5836"/>
      <c r="AE398" s="5836"/>
      <c r="AF398" s="5832"/>
      <c r="AG398" s="5842" t="s">
        <v>1530</v>
      </c>
      <c r="AH398" s="5836"/>
      <c r="AI398" s="5836"/>
      <c r="AJ398" s="5836"/>
      <c r="AK398" s="5836"/>
      <c r="AL398" s="5836"/>
      <c r="AM398" s="5836"/>
      <c r="AN398" s="5832"/>
      <c r="AO398" s="107"/>
    </row>
    <row r="399" spans="1:41" ht="15">
      <c r="A399" s="109"/>
      <c r="B399" s="5832"/>
      <c r="C399" s="5832"/>
      <c r="D399" s="111" t="s">
        <v>1531</v>
      </c>
      <c r="E399" s="112" t="s">
        <v>1532</v>
      </c>
      <c r="F399" s="111" t="s">
        <v>1533</v>
      </c>
      <c r="G399" s="111" t="s">
        <v>1534</v>
      </c>
      <c r="H399" s="111" t="s">
        <v>1535</v>
      </c>
      <c r="I399" s="111" t="s">
        <v>1536</v>
      </c>
      <c r="J399" s="111" t="s">
        <v>1537</v>
      </c>
      <c r="K399" s="111" t="s">
        <v>1538</v>
      </c>
      <c r="L399" s="111" t="s">
        <v>1539</v>
      </c>
      <c r="M399" s="111" t="s">
        <v>1540</v>
      </c>
      <c r="N399" s="111" t="s">
        <v>1541</v>
      </c>
      <c r="O399" s="111" t="s">
        <v>1542</v>
      </c>
      <c r="P399" s="111" t="s">
        <v>1543</v>
      </c>
      <c r="Q399" s="111" t="s">
        <v>1544</v>
      </c>
      <c r="R399" s="111" t="s">
        <v>1545</v>
      </c>
      <c r="S399" s="111" t="s">
        <v>1546</v>
      </c>
      <c r="T399" s="111" t="s">
        <v>1547</v>
      </c>
      <c r="U399" s="111" t="s">
        <v>1548</v>
      </c>
      <c r="V399" s="111" t="s">
        <v>1549</v>
      </c>
      <c r="W399" s="111" t="s">
        <v>1550</v>
      </c>
      <c r="X399" s="112" t="s">
        <v>1551</v>
      </c>
      <c r="Y399" s="113" t="s">
        <v>1552</v>
      </c>
      <c r="Z399" s="114" t="s">
        <v>1553</v>
      </c>
      <c r="AA399" s="113" t="s">
        <v>1554</v>
      </c>
      <c r="AB399" s="114" t="s">
        <v>1555</v>
      </c>
      <c r="AC399" s="115" t="s">
        <v>1556</v>
      </c>
      <c r="AD399" s="114" t="s">
        <v>1557</v>
      </c>
      <c r="AE399" s="113" t="s">
        <v>1558</v>
      </c>
      <c r="AF399" s="116" t="s">
        <v>1559</v>
      </c>
      <c r="AG399" s="111" t="s">
        <v>1560</v>
      </c>
      <c r="AH399" s="111"/>
      <c r="AI399" s="112" t="s">
        <v>1561</v>
      </c>
      <c r="AJ399" s="111" t="s">
        <v>1562</v>
      </c>
      <c r="AK399" s="111" t="s">
        <v>1563</v>
      </c>
      <c r="AL399" s="111" t="s">
        <v>1564</v>
      </c>
      <c r="AM399" s="111" t="s">
        <v>1565</v>
      </c>
      <c r="AN399" s="112" t="s">
        <v>1566</v>
      </c>
      <c r="AO399" s="107"/>
    </row>
    <row r="400" spans="1:41" ht="14.25">
      <c r="A400" s="109"/>
      <c r="B400" s="5833">
        <v>1</v>
      </c>
      <c r="C400" s="2732" t="s">
        <v>957</v>
      </c>
      <c r="D400" s="640"/>
      <c r="E400" s="119"/>
      <c r="F400" s="2733">
        <v>35</v>
      </c>
      <c r="G400" s="2733" t="s">
        <v>1603</v>
      </c>
      <c r="H400" s="2733" t="s">
        <v>1826</v>
      </c>
      <c r="I400" s="3141" t="s">
        <v>1895</v>
      </c>
      <c r="J400" s="3142">
        <v>45325</v>
      </c>
      <c r="K400" s="3847">
        <v>5.13</v>
      </c>
      <c r="L400" s="3252">
        <v>0.44</v>
      </c>
      <c r="M400" s="3848">
        <v>3.69</v>
      </c>
      <c r="N400" s="3849">
        <v>0.55000000000000004</v>
      </c>
      <c r="O400" s="3850">
        <f>1.44</f>
        <v>1.44</v>
      </c>
      <c r="P400" s="3851">
        <v>1.66</v>
      </c>
      <c r="Q400" s="3852">
        <v>0.28999999999999998</v>
      </c>
      <c r="R400" s="2897">
        <v>0.75</v>
      </c>
      <c r="S400" s="3603">
        <v>0.4</v>
      </c>
      <c r="T400" s="2733">
        <v>31</v>
      </c>
      <c r="U400" s="3853">
        <v>0.3226</v>
      </c>
      <c r="V400" s="3106">
        <v>0.2258</v>
      </c>
      <c r="W400" s="3854">
        <v>0.19350000000000001</v>
      </c>
      <c r="X400" s="3855">
        <v>0.5484</v>
      </c>
      <c r="Y400" s="3856">
        <v>10</v>
      </c>
      <c r="Z400" s="3007">
        <v>3</v>
      </c>
      <c r="AA400" s="3087">
        <v>7</v>
      </c>
      <c r="AB400" s="3857">
        <v>2</v>
      </c>
      <c r="AC400" s="3086">
        <v>6</v>
      </c>
      <c r="AD400" s="2752">
        <v>3</v>
      </c>
      <c r="AE400" s="2754">
        <v>0</v>
      </c>
      <c r="AF400" s="2755">
        <v>0</v>
      </c>
      <c r="AG400" s="3858">
        <f>210</f>
        <v>210</v>
      </c>
      <c r="AH400" s="3859"/>
      <c r="AI400" s="3860">
        <f>205</f>
        <v>205</v>
      </c>
      <c r="AJ400" s="1372"/>
      <c r="AK400" s="640"/>
      <c r="AL400" s="640"/>
      <c r="AM400" s="640"/>
      <c r="AN400" s="119"/>
      <c r="AO400" s="107"/>
    </row>
    <row r="401" spans="1:41" ht="15">
      <c r="A401" s="109"/>
      <c r="B401" s="5832"/>
      <c r="C401" s="2762" t="s">
        <v>941</v>
      </c>
      <c r="D401" s="657"/>
      <c r="E401" s="151"/>
      <c r="F401" s="2763">
        <v>27</v>
      </c>
      <c r="G401" s="2763" t="s">
        <v>1571</v>
      </c>
      <c r="H401" s="2763" t="s">
        <v>1622</v>
      </c>
      <c r="I401" s="2764" t="s">
        <v>1881</v>
      </c>
      <c r="J401" s="2783" t="s">
        <v>1629</v>
      </c>
      <c r="K401" s="3861">
        <v>3.64</v>
      </c>
      <c r="L401" s="3862">
        <v>0.45</v>
      </c>
      <c r="M401" s="3863">
        <v>2.34</v>
      </c>
      <c r="N401" s="3864">
        <v>0.55000000000000004</v>
      </c>
      <c r="O401" s="3865">
        <f>1.3</f>
        <v>1.3</v>
      </c>
      <c r="P401" s="3866">
        <v>2.97</v>
      </c>
      <c r="Q401" s="2773">
        <v>0.83</v>
      </c>
      <c r="R401" s="3867">
        <v>0.5</v>
      </c>
      <c r="S401" s="2774">
        <v>1.8</v>
      </c>
      <c r="T401" s="2763">
        <v>14</v>
      </c>
      <c r="U401" s="3868">
        <v>0.57140000000000002</v>
      </c>
      <c r="V401" s="3094">
        <v>0.21429999999999999</v>
      </c>
      <c r="W401" s="3654">
        <v>7.1400000000000005E-2</v>
      </c>
      <c r="X401" s="3869">
        <v>0.78569999999999995</v>
      </c>
      <c r="Y401" s="2951">
        <v>8</v>
      </c>
      <c r="Z401" s="2837">
        <v>1</v>
      </c>
      <c r="AA401" s="3097">
        <v>3</v>
      </c>
      <c r="AB401" s="2837">
        <v>1</v>
      </c>
      <c r="AC401" s="3277">
        <v>1</v>
      </c>
      <c r="AD401" s="2774">
        <v>0</v>
      </c>
      <c r="AE401" s="2782">
        <v>0</v>
      </c>
      <c r="AF401" s="2783">
        <v>0</v>
      </c>
      <c r="AG401" s="3870">
        <v>-250</v>
      </c>
      <c r="AH401" s="3871"/>
      <c r="AI401" s="3872">
        <v>-240</v>
      </c>
      <c r="AJ401" s="151"/>
      <c r="AK401" s="657"/>
      <c r="AL401" s="657"/>
      <c r="AM401" s="657"/>
      <c r="AN401" s="151"/>
      <c r="AO401" s="107"/>
    </row>
    <row r="402" spans="1:41" ht="14.25">
      <c r="A402" s="109"/>
      <c r="B402" s="5831">
        <v>2</v>
      </c>
      <c r="C402" s="2792" t="s">
        <v>386</v>
      </c>
      <c r="D402" s="6"/>
      <c r="E402" s="183"/>
      <c r="F402" s="88">
        <v>32</v>
      </c>
      <c r="G402" s="88" t="s">
        <v>1592</v>
      </c>
      <c r="H402" s="88" t="s">
        <v>1641</v>
      </c>
      <c r="I402" s="3183" t="s">
        <v>1652</v>
      </c>
      <c r="J402" s="3184">
        <v>45325</v>
      </c>
      <c r="K402" s="3726">
        <v>3.76</v>
      </c>
      <c r="L402" s="3873">
        <v>0.45</v>
      </c>
      <c r="M402" s="3874">
        <v>3.53</v>
      </c>
      <c r="N402" s="3875">
        <v>0.56999999999999995</v>
      </c>
      <c r="O402" s="3876">
        <f>0.23</f>
        <v>0.23</v>
      </c>
      <c r="P402" s="3877">
        <v>1.07</v>
      </c>
      <c r="Q402" s="3144">
        <v>0.26</v>
      </c>
      <c r="R402" s="3015">
        <v>0.57999999999999996</v>
      </c>
      <c r="S402" s="3104">
        <v>0.3</v>
      </c>
      <c r="T402" s="88">
        <v>24</v>
      </c>
      <c r="U402" s="3878">
        <v>0.20830000000000001</v>
      </c>
      <c r="V402" s="3879">
        <v>0.20830000000000001</v>
      </c>
      <c r="W402" s="3021">
        <v>0.29170000000000001</v>
      </c>
      <c r="X402" s="3880">
        <v>0.41670000000000001</v>
      </c>
      <c r="Y402" s="3881">
        <v>5</v>
      </c>
      <c r="Z402" s="2809">
        <v>0</v>
      </c>
      <c r="AA402" s="3194">
        <v>5</v>
      </c>
      <c r="AB402" s="2809">
        <v>0</v>
      </c>
      <c r="AC402" s="3882">
        <v>7</v>
      </c>
      <c r="AD402" s="3883">
        <v>7</v>
      </c>
      <c r="AE402" s="63">
        <v>0</v>
      </c>
      <c r="AF402" s="27">
        <v>0</v>
      </c>
      <c r="AG402" s="3884">
        <v>-150</v>
      </c>
      <c r="AH402" s="3801"/>
      <c r="AI402" s="3802">
        <v>-163</v>
      </c>
      <c r="AJ402" s="54"/>
      <c r="AK402" s="6"/>
      <c r="AL402" s="6"/>
      <c r="AM402" s="6"/>
      <c r="AN402" s="183"/>
      <c r="AO402" s="107"/>
    </row>
    <row r="403" spans="1:41" ht="14.25">
      <c r="A403" s="109"/>
      <c r="B403" s="5832"/>
      <c r="C403" s="2819" t="s">
        <v>319</v>
      </c>
      <c r="D403" s="5"/>
      <c r="E403" s="213"/>
      <c r="F403" s="2820">
        <v>33</v>
      </c>
      <c r="G403" s="2820" t="s">
        <v>1605</v>
      </c>
      <c r="H403" s="2820" t="s">
        <v>1589</v>
      </c>
      <c r="I403" s="3203" t="s">
        <v>1896</v>
      </c>
      <c r="J403" s="28" t="s">
        <v>1865</v>
      </c>
      <c r="K403" s="2828">
        <v>3.86</v>
      </c>
      <c r="L403" s="2830">
        <v>0.37</v>
      </c>
      <c r="M403" s="3885">
        <v>4.1100000000000003</v>
      </c>
      <c r="N403" s="3886">
        <v>0.51</v>
      </c>
      <c r="O403" s="3552">
        <v>-0.25</v>
      </c>
      <c r="P403" s="3887">
        <v>2.19</v>
      </c>
      <c r="Q403" s="3888">
        <v>0.47</v>
      </c>
      <c r="R403" s="3889">
        <v>0.69</v>
      </c>
      <c r="S403" s="3890">
        <v>0.3</v>
      </c>
      <c r="T403" s="2820">
        <v>33</v>
      </c>
      <c r="U403" s="3891">
        <v>0.30299999999999999</v>
      </c>
      <c r="V403" s="3892">
        <v>9.0899999999999995E-2</v>
      </c>
      <c r="W403" s="3893">
        <v>0.30299999999999999</v>
      </c>
      <c r="X403" s="3894">
        <v>0.39389999999999997</v>
      </c>
      <c r="Y403" s="3628">
        <v>10</v>
      </c>
      <c r="Z403" s="3178">
        <v>3</v>
      </c>
      <c r="AA403" s="3097">
        <v>3</v>
      </c>
      <c r="AB403" s="3895">
        <v>2</v>
      </c>
      <c r="AC403" s="3896">
        <v>10</v>
      </c>
      <c r="AD403" s="3897">
        <v>5</v>
      </c>
      <c r="AE403" s="2841">
        <v>0</v>
      </c>
      <c r="AF403" s="28">
        <v>0</v>
      </c>
      <c r="AG403" s="2993">
        <f>130</f>
        <v>130</v>
      </c>
      <c r="AH403" s="3898"/>
      <c r="AI403" s="3899">
        <f>143</f>
        <v>143</v>
      </c>
      <c r="AJ403" s="213"/>
      <c r="AK403" s="5"/>
      <c r="AL403" s="5"/>
      <c r="AM403" s="5"/>
      <c r="AN403" s="213"/>
      <c r="AO403" s="107"/>
    </row>
    <row r="404" spans="1:41" ht="14.25">
      <c r="A404" s="109"/>
      <c r="B404" s="5833">
        <v>3</v>
      </c>
      <c r="C404" s="2732" t="s">
        <v>1044</v>
      </c>
      <c r="D404" s="640"/>
      <c r="E404" s="119"/>
      <c r="F404" s="2733">
        <v>33</v>
      </c>
      <c r="G404" s="2733" t="s">
        <v>1582</v>
      </c>
      <c r="H404" s="2733" t="s">
        <v>1832</v>
      </c>
      <c r="I404" s="3141" t="s">
        <v>1861</v>
      </c>
      <c r="J404" s="2755" t="s">
        <v>1629</v>
      </c>
      <c r="K404" s="2741">
        <v>0</v>
      </c>
      <c r="L404" s="2742">
        <v>0</v>
      </c>
      <c r="M404" s="2905">
        <v>0</v>
      </c>
      <c r="N404" s="3900">
        <v>0</v>
      </c>
      <c r="O404" s="3079">
        <v>0</v>
      </c>
      <c r="P404" s="2741">
        <v>0</v>
      </c>
      <c r="Q404" s="2742">
        <v>0</v>
      </c>
      <c r="R404" s="2742">
        <v>0</v>
      </c>
      <c r="S404" s="2744">
        <v>0</v>
      </c>
      <c r="T404" s="2733">
        <v>22</v>
      </c>
      <c r="U404" s="3901">
        <v>0.5</v>
      </c>
      <c r="V404" s="3004">
        <v>4.5499999999999999E-2</v>
      </c>
      <c r="W404" s="3701">
        <v>0.2273</v>
      </c>
      <c r="X404" s="3902">
        <v>0.54549999999999998</v>
      </c>
      <c r="Y404" s="3505">
        <v>11</v>
      </c>
      <c r="Z404" s="2862">
        <v>1</v>
      </c>
      <c r="AA404" s="3609">
        <v>1</v>
      </c>
      <c r="AB404" s="2862">
        <v>1</v>
      </c>
      <c r="AC404" s="3903">
        <v>5</v>
      </c>
      <c r="AD404" s="2752">
        <v>3</v>
      </c>
      <c r="AE404" s="2754">
        <v>0</v>
      </c>
      <c r="AF404" s="2755">
        <v>0</v>
      </c>
      <c r="AG404" s="3904">
        <v>-275</v>
      </c>
      <c r="AH404" s="3905"/>
      <c r="AI404" s="3906">
        <v>-190</v>
      </c>
      <c r="AJ404" s="1372"/>
      <c r="AK404" s="640"/>
      <c r="AL404" s="640"/>
      <c r="AM404" s="640"/>
      <c r="AN404" s="119"/>
      <c r="AO404" s="107"/>
    </row>
    <row r="405" spans="1:41" ht="14.25">
      <c r="A405" s="109"/>
      <c r="B405" s="5832"/>
      <c r="C405" s="2762" t="s">
        <v>652</v>
      </c>
      <c r="D405" s="657"/>
      <c r="E405" s="151"/>
      <c r="F405" s="2763">
        <v>27</v>
      </c>
      <c r="G405" s="2763" t="s">
        <v>1567</v>
      </c>
      <c r="H405" s="2763" t="s">
        <v>1622</v>
      </c>
      <c r="I405" s="3162" t="s">
        <v>1897</v>
      </c>
      <c r="J405" s="3163">
        <v>45325</v>
      </c>
      <c r="K405" s="3907">
        <v>5.59</v>
      </c>
      <c r="L405" s="3908">
        <v>0.56000000000000005</v>
      </c>
      <c r="M405" s="3909">
        <v>6.56</v>
      </c>
      <c r="N405" s="3242">
        <v>0.41</v>
      </c>
      <c r="O405" s="3910">
        <v>-0.97</v>
      </c>
      <c r="P405" s="2771">
        <v>0</v>
      </c>
      <c r="Q405" s="2772">
        <v>0</v>
      </c>
      <c r="R405" s="3862">
        <v>0.56999999999999995</v>
      </c>
      <c r="S405" s="2911">
        <v>0</v>
      </c>
      <c r="T405" s="2763">
        <v>25</v>
      </c>
      <c r="U405" s="3384">
        <v>0.36</v>
      </c>
      <c r="V405" s="3911">
        <v>0.28000000000000003</v>
      </c>
      <c r="W405" s="3912">
        <v>0.16</v>
      </c>
      <c r="X405" s="3913">
        <v>0.64</v>
      </c>
      <c r="Y405" s="2838">
        <v>9</v>
      </c>
      <c r="Z405" s="2911">
        <v>4</v>
      </c>
      <c r="AA405" s="3914">
        <v>7</v>
      </c>
      <c r="AB405" s="2774">
        <v>0</v>
      </c>
      <c r="AC405" s="3915">
        <v>4</v>
      </c>
      <c r="AD405" s="3916">
        <v>1</v>
      </c>
      <c r="AE405" s="2782">
        <v>0</v>
      </c>
      <c r="AF405" s="2783">
        <v>0</v>
      </c>
      <c r="AG405" s="3917">
        <f>235</f>
        <v>235</v>
      </c>
      <c r="AH405" s="3918"/>
      <c r="AI405" s="3919">
        <f>165</f>
        <v>165</v>
      </c>
      <c r="AJ405" s="151"/>
      <c r="AK405" s="657"/>
      <c r="AL405" s="657"/>
      <c r="AM405" s="657"/>
      <c r="AN405" s="151"/>
      <c r="AO405" s="107"/>
    </row>
    <row r="406" spans="1:41" ht="14.25">
      <c r="A406" s="109"/>
      <c r="B406" s="5831">
        <v>4</v>
      </c>
      <c r="C406" s="2792" t="s">
        <v>1048</v>
      </c>
      <c r="D406" s="6"/>
      <c r="E406" s="183"/>
      <c r="F406" s="88">
        <v>36</v>
      </c>
      <c r="G406" s="88" t="s">
        <v>1603</v>
      </c>
      <c r="H406" s="88" t="s">
        <v>1589</v>
      </c>
      <c r="I406" s="3183" t="s">
        <v>1898</v>
      </c>
      <c r="J406" s="3184">
        <v>45353</v>
      </c>
      <c r="K406" s="3226">
        <v>3.38</v>
      </c>
      <c r="L406" s="3920">
        <v>0.43</v>
      </c>
      <c r="M406" s="3921">
        <v>3.03</v>
      </c>
      <c r="N406" s="3922">
        <v>0.56000000000000005</v>
      </c>
      <c r="O406" s="3533">
        <f>0.35</f>
        <v>0.35</v>
      </c>
      <c r="P406" s="3923">
        <v>0.81</v>
      </c>
      <c r="Q406" s="3144">
        <v>0.26</v>
      </c>
      <c r="R406" s="3924">
        <v>0.82</v>
      </c>
      <c r="S406" s="2744">
        <v>0</v>
      </c>
      <c r="T406" s="88">
        <v>28</v>
      </c>
      <c r="U406" s="2805">
        <v>0.17860000000000001</v>
      </c>
      <c r="V406" s="3233">
        <v>7.1400000000000005E-2</v>
      </c>
      <c r="W406" s="3925">
        <v>0.46429999999999999</v>
      </c>
      <c r="X406" s="2929">
        <v>0.25</v>
      </c>
      <c r="Y406" s="3881">
        <v>5</v>
      </c>
      <c r="Z406" s="2744">
        <v>4</v>
      </c>
      <c r="AA406" s="2808">
        <v>2</v>
      </c>
      <c r="AB406" s="2809">
        <v>0</v>
      </c>
      <c r="AC406" s="3926">
        <v>13</v>
      </c>
      <c r="AD406" s="2750">
        <v>4</v>
      </c>
      <c r="AE406" s="63">
        <v>0</v>
      </c>
      <c r="AF406" s="27">
        <v>0</v>
      </c>
      <c r="AG406" s="3927">
        <f>225</f>
        <v>225</v>
      </c>
      <c r="AH406" s="3928"/>
      <c r="AI406" s="3929">
        <f>195</f>
        <v>195</v>
      </c>
      <c r="AJ406" s="54"/>
      <c r="AK406" s="6"/>
      <c r="AL406" s="6"/>
      <c r="AM406" s="6"/>
      <c r="AN406" s="183"/>
      <c r="AO406" s="107"/>
    </row>
    <row r="407" spans="1:41" ht="14.25">
      <c r="A407" s="109"/>
      <c r="B407" s="5832"/>
      <c r="C407" s="2819" t="s">
        <v>1049</v>
      </c>
      <c r="D407" s="5"/>
      <c r="E407" s="213"/>
      <c r="F407" s="2820">
        <v>31</v>
      </c>
      <c r="G407" s="2820" t="s">
        <v>1567</v>
      </c>
      <c r="H407" s="2820" t="s">
        <v>1622</v>
      </c>
      <c r="I407" s="3203" t="s">
        <v>1899</v>
      </c>
      <c r="J407" s="3204">
        <v>45353</v>
      </c>
      <c r="K407" s="3548">
        <v>5.99</v>
      </c>
      <c r="L407" s="3930">
        <v>0.55000000000000004</v>
      </c>
      <c r="M407" s="3931">
        <v>5.67</v>
      </c>
      <c r="N407" s="3886">
        <v>0.51</v>
      </c>
      <c r="O407" s="2837">
        <f>0.32</f>
        <v>0.32</v>
      </c>
      <c r="P407" s="3932">
        <v>2.4</v>
      </c>
      <c r="Q407" s="3933">
        <v>0.5</v>
      </c>
      <c r="R407" s="2773">
        <v>1</v>
      </c>
      <c r="S407" s="3934">
        <v>0.5</v>
      </c>
      <c r="T407" s="2820">
        <v>19</v>
      </c>
      <c r="U407" s="3589">
        <v>0.42109999999999997</v>
      </c>
      <c r="V407" s="3935">
        <v>0.21049999999999999</v>
      </c>
      <c r="W407" s="3936">
        <v>0.1053</v>
      </c>
      <c r="X407" s="3937">
        <v>0.63160000000000005</v>
      </c>
      <c r="Y407" s="2951">
        <v>8</v>
      </c>
      <c r="Z407" s="3178">
        <v>3</v>
      </c>
      <c r="AA407" s="2838">
        <v>4</v>
      </c>
      <c r="AB407" s="2774">
        <v>0</v>
      </c>
      <c r="AC407" s="3342">
        <v>2</v>
      </c>
      <c r="AD407" s="3938">
        <v>2</v>
      </c>
      <c r="AE407" s="2841">
        <v>0</v>
      </c>
      <c r="AF407" s="28">
        <v>0</v>
      </c>
      <c r="AG407" s="3691">
        <v>-265</v>
      </c>
      <c r="AH407" s="3939"/>
      <c r="AI407" s="3940">
        <v>-230</v>
      </c>
      <c r="AJ407" s="213"/>
      <c r="AK407" s="5"/>
      <c r="AL407" s="5"/>
      <c r="AM407" s="5"/>
      <c r="AN407" s="213"/>
      <c r="AO407" s="107"/>
    </row>
    <row r="408" spans="1:41" ht="14.25">
      <c r="A408" s="109"/>
      <c r="B408" s="5833">
        <v>5</v>
      </c>
      <c r="C408" s="2732" t="s">
        <v>878</v>
      </c>
      <c r="D408" s="640"/>
      <c r="E408" s="119"/>
      <c r="F408" s="2733">
        <v>37</v>
      </c>
      <c r="G408" s="2733" t="s">
        <v>1575</v>
      </c>
      <c r="H408" s="2733" t="s">
        <v>1875</v>
      </c>
      <c r="I408" s="3141" t="s">
        <v>1900</v>
      </c>
      <c r="J408" s="3142">
        <v>45325</v>
      </c>
      <c r="K408" s="3941">
        <v>4.28</v>
      </c>
      <c r="L408" s="3942">
        <v>0.39</v>
      </c>
      <c r="M408" s="3943">
        <v>3.91</v>
      </c>
      <c r="N408" s="3944">
        <v>0.57999999999999996</v>
      </c>
      <c r="O408" s="3533">
        <f>0.37</f>
        <v>0.37</v>
      </c>
      <c r="P408" s="3367">
        <v>0.46</v>
      </c>
      <c r="Q408" s="3945">
        <v>0.38</v>
      </c>
      <c r="R408" s="3452">
        <v>0.8</v>
      </c>
      <c r="S408" s="2862">
        <v>0.1</v>
      </c>
      <c r="T408" s="2733">
        <v>40</v>
      </c>
      <c r="U408" s="3233">
        <v>0.22500000000000001</v>
      </c>
      <c r="V408" s="2805">
        <v>0.05</v>
      </c>
      <c r="W408" s="3853">
        <v>0.25</v>
      </c>
      <c r="X408" s="3459">
        <v>0.27500000000000002</v>
      </c>
      <c r="Y408" s="3946">
        <v>9</v>
      </c>
      <c r="Z408" s="3007">
        <v>3</v>
      </c>
      <c r="AA408" s="2808">
        <v>2</v>
      </c>
      <c r="AB408" s="2744">
        <v>9</v>
      </c>
      <c r="AC408" s="3947">
        <v>10</v>
      </c>
      <c r="AD408" s="3883">
        <v>7</v>
      </c>
      <c r="AE408" s="2754">
        <v>0</v>
      </c>
      <c r="AF408" s="2755">
        <v>0</v>
      </c>
      <c r="AG408" s="2816">
        <v>-125</v>
      </c>
      <c r="AH408" s="3610"/>
      <c r="AI408" s="3948">
        <v>-121</v>
      </c>
      <c r="AJ408" s="1372"/>
      <c r="AK408" s="640"/>
      <c r="AL408" s="640"/>
      <c r="AM408" s="640"/>
      <c r="AN408" s="119"/>
      <c r="AO408" s="107"/>
    </row>
    <row r="409" spans="1:41" ht="15">
      <c r="A409" s="109"/>
      <c r="B409" s="5832"/>
      <c r="C409" s="2762" t="s">
        <v>879</v>
      </c>
      <c r="D409" s="657"/>
      <c r="E409" s="151"/>
      <c r="F409" s="2763">
        <v>29</v>
      </c>
      <c r="G409" s="2763" t="s">
        <v>1588</v>
      </c>
      <c r="H409" s="2763" t="s">
        <v>1641</v>
      </c>
      <c r="I409" s="2764" t="s">
        <v>1901</v>
      </c>
      <c r="J409" s="3163">
        <v>45383</v>
      </c>
      <c r="K409" s="3949">
        <v>4.1900000000000004</v>
      </c>
      <c r="L409" s="3908">
        <v>0.56000000000000005</v>
      </c>
      <c r="M409" s="2771">
        <v>7.02</v>
      </c>
      <c r="N409" s="3950">
        <v>0.4</v>
      </c>
      <c r="O409" s="3951">
        <v>-2.83</v>
      </c>
      <c r="P409" s="3952">
        <v>1.7</v>
      </c>
      <c r="Q409" s="2940">
        <v>0.33</v>
      </c>
      <c r="R409" s="2773">
        <v>1</v>
      </c>
      <c r="S409" s="2911">
        <v>0</v>
      </c>
      <c r="T409" s="2763">
        <v>19</v>
      </c>
      <c r="U409" s="3589">
        <v>0.42109999999999997</v>
      </c>
      <c r="V409" s="3953">
        <v>5.2600000000000001E-2</v>
      </c>
      <c r="W409" s="2914">
        <v>0.15790000000000001</v>
      </c>
      <c r="X409" s="3954">
        <v>0.47370000000000001</v>
      </c>
      <c r="Y409" s="2951">
        <v>8</v>
      </c>
      <c r="Z409" s="2837">
        <v>1</v>
      </c>
      <c r="AA409" s="3096">
        <v>1</v>
      </c>
      <c r="AB409" s="3762">
        <v>5</v>
      </c>
      <c r="AC409" s="2836">
        <v>3</v>
      </c>
      <c r="AD409" s="2774">
        <v>0</v>
      </c>
      <c r="AE409" s="2782">
        <v>0</v>
      </c>
      <c r="AF409" s="2783">
        <v>0</v>
      </c>
      <c r="AG409" s="3955">
        <f>105</f>
        <v>105</v>
      </c>
      <c r="AH409" s="3956"/>
      <c r="AI409" s="3957">
        <f>101</f>
        <v>101</v>
      </c>
      <c r="AJ409" s="151"/>
      <c r="AK409" s="657"/>
      <c r="AL409" s="657"/>
      <c r="AM409" s="657"/>
      <c r="AN409" s="151"/>
      <c r="AO409" s="107"/>
    </row>
    <row r="410" spans="1:41" ht="15">
      <c r="A410" s="109"/>
      <c r="B410" s="5831">
        <v>6</v>
      </c>
      <c r="C410" s="2792" t="s">
        <v>1052</v>
      </c>
      <c r="D410" s="6"/>
      <c r="E410" s="183"/>
      <c r="F410" s="88">
        <v>34</v>
      </c>
      <c r="G410" s="88" t="s">
        <v>1582</v>
      </c>
      <c r="H410" s="88" t="s">
        <v>1595</v>
      </c>
      <c r="I410" s="2793" t="s">
        <v>1862</v>
      </c>
      <c r="J410" s="3184">
        <v>45353</v>
      </c>
      <c r="K410" s="3958">
        <v>3.36</v>
      </c>
      <c r="L410" s="3959">
        <v>0.54</v>
      </c>
      <c r="M410" s="3960">
        <v>4.84</v>
      </c>
      <c r="N410" s="3961">
        <v>0.48</v>
      </c>
      <c r="O410" s="3962">
        <v>-1.48</v>
      </c>
      <c r="P410" s="3963">
        <v>3.7</v>
      </c>
      <c r="Q410" s="3144">
        <v>0.26</v>
      </c>
      <c r="R410" s="2801">
        <v>1</v>
      </c>
      <c r="S410" s="3964">
        <v>1.4</v>
      </c>
      <c r="T410" s="88">
        <v>11</v>
      </c>
      <c r="U410" s="3965">
        <v>9.0899999999999995E-2</v>
      </c>
      <c r="V410" s="2901">
        <v>0.72729999999999995</v>
      </c>
      <c r="W410" s="2746">
        <v>0</v>
      </c>
      <c r="X410" s="3966">
        <v>0.81820000000000004</v>
      </c>
      <c r="Y410" s="2751">
        <v>1</v>
      </c>
      <c r="Z410" s="2809">
        <v>0</v>
      </c>
      <c r="AA410" s="2864">
        <v>8</v>
      </c>
      <c r="AB410" s="2862">
        <v>1</v>
      </c>
      <c r="AC410" s="2751">
        <v>0</v>
      </c>
      <c r="AD410" s="3967">
        <v>1</v>
      </c>
      <c r="AE410" s="63">
        <v>0</v>
      </c>
      <c r="AF410" s="27">
        <v>0</v>
      </c>
      <c r="AG410" s="3968">
        <v>-130</v>
      </c>
      <c r="AH410" s="3969"/>
      <c r="AI410" s="3970">
        <v>-119</v>
      </c>
      <c r="AJ410" s="54"/>
      <c r="AK410" s="6"/>
      <c r="AL410" s="6"/>
      <c r="AM410" s="6"/>
      <c r="AN410" s="183"/>
      <c r="AO410" s="107"/>
    </row>
    <row r="411" spans="1:41" ht="15">
      <c r="A411" s="109"/>
      <c r="B411" s="5832"/>
      <c r="C411" s="2819" t="s">
        <v>1053</v>
      </c>
      <c r="D411" s="5"/>
      <c r="E411" s="213"/>
      <c r="F411" s="2820">
        <v>33</v>
      </c>
      <c r="G411" s="2820" t="s">
        <v>1567</v>
      </c>
      <c r="H411" s="2820" t="s">
        <v>1641</v>
      </c>
      <c r="I411" s="2821" t="s">
        <v>1902</v>
      </c>
      <c r="J411" s="3204">
        <v>45383</v>
      </c>
      <c r="K411" s="3548">
        <v>5.97</v>
      </c>
      <c r="L411" s="3971">
        <v>0.52</v>
      </c>
      <c r="M411" s="3972">
        <v>3.03</v>
      </c>
      <c r="N411" s="3973">
        <v>0.56000000000000005</v>
      </c>
      <c r="O411" s="3974">
        <f>2.94</f>
        <v>2.94</v>
      </c>
      <c r="P411" s="3975">
        <v>0.23</v>
      </c>
      <c r="Q411" s="2940">
        <v>0.33</v>
      </c>
      <c r="R411" s="3976">
        <v>0.36</v>
      </c>
      <c r="S411" s="2911">
        <v>0</v>
      </c>
      <c r="T411" s="2820">
        <v>10</v>
      </c>
      <c r="U411" s="3011">
        <v>0.5</v>
      </c>
      <c r="V411" s="2834">
        <v>0</v>
      </c>
      <c r="W411" s="3977">
        <v>0.3</v>
      </c>
      <c r="X411" s="3978">
        <v>0.5</v>
      </c>
      <c r="Y411" s="3979">
        <v>5</v>
      </c>
      <c r="Z411" s="2837">
        <v>1</v>
      </c>
      <c r="AA411" s="2840">
        <v>0</v>
      </c>
      <c r="AB411" s="2774">
        <v>0</v>
      </c>
      <c r="AC411" s="2836">
        <v>3</v>
      </c>
      <c r="AD411" s="3916">
        <v>1</v>
      </c>
      <c r="AE411" s="2841">
        <v>0</v>
      </c>
      <c r="AF411" s="28">
        <v>0</v>
      </c>
      <c r="AG411" s="3980">
        <f>110</f>
        <v>110</v>
      </c>
      <c r="AH411" s="3981"/>
      <c r="AI411" s="3982">
        <v>-101</v>
      </c>
      <c r="AJ411" s="213"/>
      <c r="AK411" s="5"/>
      <c r="AL411" s="5"/>
      <c r="AM411" s="5"/>
      <c r="AN411" s="213"/>
      <c r="AO411" s="107"/>
    </row>
    <row r="412" spans="1:41" ht="14.25">
      <c r="A412" s="109"/>
      <c r="B412" s="5833">
        <v>7</v>
      </c>
      <c r="C412" s="2732" t="s">
        <v>1253</v>
      </c>
      <c r="D412" s="640"/>
      <c r="E412" s="119"/>
      <c r="F412" s="2733">
        <v>31</v>
      </c>
      <c r="G412" s="2733" t="s">
        <v>1582</v>
      </c>
      <c r="H412" s="2733" t="s">
        <v>1589</v>
      </c>
      <c r="I412" s="3141" t="s">
        <v>1903</v>
      </c>
      <c r="J412" s="3142">
        <v>45325</v>
      </c>
      <c r="K412" s="3983">
        <v>2.97</v>
      </c>
      <c r="L412" s="3499">
        <v>0.53</v>
      </c>
      <c r="M412" s="3984">
        <v>2.09</v>
      </c>
      <c r="N412" s="3985">
        <v>0.59</v>
      </c>
      <c r="O412" s="3607">
        <f>0.88</f>
        <v>0.88</v>
      </c>
      <c r="P412" s="3986">
        <v>1.27</v>
      </c>
      <c r="Q412" s="3452">
        <v>0.55000000000000004</v>
      </c>
      <c r="R412" s="3987">
        <v>0.71</v>
      </c>
      <c r="S412" s="3104">
        <v>0.3</v>
      </c>
      <c r="T412" s="2733">
        <v>21</v>
      </c>
      <c r="U412" s="3402">
        <v>0.28570000000000001</v>
      </c>
      <c r="V412" s="3303">
        <v>0.23810000000000001</v>
      </c>
      <c r="W412" s="3988">
        <v>0.23810000000000001</v>
      </c>
      <c r="X412" s="3989">
        <v>0.52380000000000004</v>
      </c>
      <c r="Y412" s="3990">
        <v>6</v>
      </c>
      <c r="Z412" s="2750">
        <v>2</v>
      </c>
      <c r="AA412" s="3194">
        <v>5</v>
      </c>
      <c r="AB412" s="3991">
        <v>3</v>
      </c>
      <c r="AC412" s="3903">
        <v>5</v>
      </c>
      <c r="AD412" s="2809">
        <v>0</v>
      </c>
      <c r="AE412" s="2754">
        <v>0</v>
      </c>
      <c r="AF412" s="2755">
        <v>0</v>
      </c>
      <c r="AG412" s="3992">
        <f>140</f>
        <v>140</v>
      </c>
      <c r="AH412" s="3993"/>
      <c r="AI412" s="3994">
        <f>208</f>
        <v>208</v>
      </c>
      <c r="AJ412" s="1372"/>
      <c r="AK412" s="640"/>
      <c r="AL412" s="640"/>
      <c r="AM412" s="640"/>
      <c r="AN412" s="119"/>
      <c r="AO412" s="107"/>
    </row>
    <row r="413" spans="1:41" ht="14.25">
      <c r="A413" s="109"/>
      <c r="B413" s="5832"/>
      <c r="C413" s="2762" t="s">
        <v>1254</v>
      </c>
      <c r="D413" s="657"/>
      <c r="E413" s="151"/>
      <c r="F413" s="2763">
        <v>30</v>
      </c>
      <c r="G413" s="2763" t="s">
        <v>1603</v>
      </c>
      <c r="H413" s="2763" t="s">
        <v>1597</v>
      </c>
      <c r="I413" s="3162" t="s">
        <v>1904</v>
      </c>
      <c r="J413" s="2783" t="s">
        <v>1629</v>
      </c>
      <c r="K413" s="3486">
        <v>4.8099999999999996</v>
      </c>
      <c r="L413" s="3995">
        <v>0.63</v>
      </c>
      <c r="M413" s="3996">
        <v>3.69</v>
      </c>
      <c r="N413" s="3208">
        <v>0.47</v>
      </c>
      <c r="O413" s="3997">
        <f>1.12</f>
        <v>1.1200000000000001</v>
      </c>
      <c r="P413" s="2771">
        <v>0</v>
      </c>
      <c r="Q413" s="2772">
        <v>0</v>
      </c>
      <c r="R413" s="2772">
        <v>0</v>
      </c>
      <c r="S413" s="2911">
        <v>0</v>
      </c>
      <c r="T413" s="2763">
        <v>23</v>
      </c>
      <c r="U413" s="3998">
        <v>0.52170000000000005</v>
      </c>
      <c r="V413" s="3999">
        <v>0.13039999999999999</v>
      </c>
      <c r="W413" s="4000">
        <v>8.6999999999999994E-2</v>
      </c>
      <c r="X413" s="4001">
        <v>0.6522</v>
      </c>
      <c r="Y413" s="3278">
        <v>12</v>
      </c>
      <c r="Z413" s="2990">
        <v>2</v>
      </c>
      <c r="AA413" s="3097">
        <v>3</v>
      </c>
      <c r="AB413" s="4002">
        <v>3</v>
      </c>
      <c r="AC413" s="3342">
        <v>2</v>
      </c>
      <c r="AD413" s="3916">
        <v>1</v>
      </c>
      <c r="AE413" s="2782">
        <v>0</v>
      </c>
      <c r="AF413" s="2783">
        <v>0</v>
      </c>
      <c r="AG413" s="4003">
        <v>-160</v>
      </c>
      <c r="AH413" s="3491"/>
      <c r="AI413" s="3492">
        <v>-243</v>
      </c>
      <c r="AJ413" s="151"/>
      <c r="AK413" s="657"/>
      <c r="AL413" s="657"/>
      <c r="AM413" s="657"/>
      <c r="AN413" s="151"/>
      <c r="AO413" s="107"/>
    </row>
    <row r="414" spans="1:41" ht="14.25">
      <c r="A414" s="109"/>
      <c r="B414" s="5831">
        <v>8</v>
      </c>
      <c r="C414" s="2792" t="s">
        <v>883</v>
      </c>
      <c r="D414" s="6"/>
      <c r="E414" s="183"/>
      <c r="F414" s="88">
        <v>37</v>
      </c>
      <c r="G414" s="88" t="s">
        <v>1588</v>
      </c>
      <c r="H414" s="88" t="s">
        <v>1618</v>
      </c>
      <c r="I414" s="3183" t="s">
        <v>1905</v>
      </c>
      <c r="J414" s="3184">
        <v>45325</v>
      </c>
      <c r="K414" s="3958">
        <v>3.36</v>
      </c>
      <c r="L414" s="2737">
        <v>0.48</v>
      </c>
      <c r="M414" s="4004">
        <v>3.26</v>
      </c>
      <c r="N414" s="4005">
        <v>0.62</v>
      </c>
      <c r="O414" s="4006">
        <f>0.1</f>
        <v>0.1</v>
      </c>
      <c r="P414" s="3770">
        <v>0.78</v>
      </c>
      <c r="Q414" s="3452">
        <v>0.55000000000000004</v>
      </c>
      <c r="R414" s="4007">
        <v>0.34</v>
      </c>
      <c r="S414" s="3187">
        <v>0.2</v>
      </c>
      <c r="T414" s="88">
        <v>21</v>
      </c>
      <c r="U414" s="4008">
        <v>0.33329999999999999</v>
      </c>
      <c r="V414" s="2968">
        <v>0.1429</v>
      </c>
      <c r="W414" s="3352">
        <v>0.1905</v>
      </c>
      <c r="X414" s="3085">
        <v>0.47620000000000001</v>
      </c>
      <c r="Y414" s="4009">
        <v>7</v>
      </c>
      <c r="Z414" s="2862">
        <v>1</v>
      </c>
      <c r="AA414" s="3155">
        <v>3</v>
      </c>
      <c r="AB414" s="2862">
        <v>1</v>
      </c>
      <c r="AC414" s="3429">
        <v>4</v>
      </c>
      <c r="AD414" s="4010">
        <v>5</v>
      </c>
      <c r="AE414" s="63">
        <v>0</v>
      </c>
      <c r="AF414" s="27">
        <v>0</v>
      </c>
      <c r="AG414" s="2741">
        <f>250</f>
        <v>250</v>
      </c>
      <c r="AH414" s="2741"/>
      <c r="AI414" s="2744">
        <f>245</f>
        <v>245</v>
      </c>
      <c r="AJ414" s="54"/>
      <c r="AK414" s="6"/>
      <c r="AL414" s="6"/>
      <c r="AM414" s="6"/>
      <c r="AN414" s="183"/>
      <c r="AO414" s="107"/>
    </row>
    <row r="415" spans="1:41" ht="15">
      <c r="A415" s="109"/>
      <c r="B415" s="5832"/>
      <c r="C415" s="2819" t="s">
        <v>884</v>
      </c>
      <c r="D415" s="5"/>
      <c r="E415" s="213"/>
      <c r="F415" s="2820">
        <v>28</v>
      </c>
      <c r="G415" s="2820" t="s">
        <v>1575</v>
      </c>
      <c r="H415" s="2820" t="s">
        <v>1595</v>
      </c>
      <c r="I415" s="2821" t="s">
        <v>1851</v>
      </c>
      <c r="J415" s="28" t="s">
        <v>1629</v>
      </c>
      <c r="K415" s="2890">
        <v>11.57</v>
      </c>
      <c r="L415" s="4011">
        <v>0.53</v>
      </c>
      <c r="M415" s="3333">
        <v>4.34</v>
      </c>
      <c r="N415" s="4012">
        <v>0.62</v>
      </c>
      <c r="O415" s="2774">
        <f>7.23</f>
        <v>7.23</v>
      </c>
      <c r="P415" s="2771">
        <v>0</v>
      </c>
      <c r="Q415" s="2772">
        <v>0</v>
      </c>
      <c r="R415" s="2772">
        <v>0</v>
      </c>
      <c r="S415" s="2911">
        <v>0</v>
      </c>
      <c r="T415" s="2820">
        <v>9</v>
      </c>
      <c r="U415" s="4013">
        <v>0.55559999999999998</v>
      </c>
      <c r="V415" s="4014">
        <v>0.1111</v>
      </c>
      <c r="W415" s="4015">
        <v>0.22220000000000001</v>
      </c>
      <c r="X415" s="4016">
        <v>0.66669999999999996</v>
      </c>
      <c r="Y415" s="3979">
        <v>5</v>
      </c>
      <c r="Z415" s="2774">
        <v>0</v>
      </c>
      <c r="AA415" s="3096">
        <v>1</v>
      </c>
      <c r="AB415" s="2774">
        <v>0</v>
      </c>
      <c r="AC415" s="3342">
        <v>2</v>
      </c>
      <c r="AD415" s="3916">
        <v>1</v>
      </c>
      <c r="AE415" s="2841">
        <v>0</v>
      </c>
      <c r="AF415" s="28">
        <v>0</v>
      </c>
      <c r="AG415" s="2890">
        <v>-300</v>
      </c>
      <c r="AH415" s="2890"/>
      <c r="AI415" s="2774">
        <v>-285</v>
      </c>
      <c r="AJ415" s="213"/>
      <c r="AK415" s="5"/>
      <c r="AL415" s="5"/>
      <c r="AM415" s="5"/>
      <c r="AN415" s="213"/>
      <c r="AO415" s="107"/>
    </row>
    <row r="416" spans="1:41" ht="15">
      <c r="A416" s="109"/>
      <c r="B416" s="5833">
        <v>9</v>
      </c>
      <c r="C416" s="2732" t="s">
        <v>1494</v>
      </c>
      <c r="D416" s="640"/>
      <c r="E416" s="119"/>
      <c r="F416" s="2733">
        <v>28</v>
      </c>
      <c r="G416" s="2733" t="s">
        <v>1611</v>
      </c>
      <c r="H416" s="2733" t="s">
        <v>1906</v>
      </c>
      <c r="I416" s="2734" t="s">
        <v>1907</v>
      </c>
      <c r="J416" s="3142">
        <v>45383</v>
      </c>
      <c r="K416" s="4017">
        <v>4.1399999999999997</v>
      </c>
      <c r="L416" s="3081">
        <v>0.57999999999999996</v>
      </c>
      <c r="M416" s="4018">
        <v>2.58</v>
      </c>
      <c r="N416" s="4019">
        <v>0.52</v>
      </c>
      <c r="O416" s="4020">
        <f>1.56</f>
        <v>1.56</v>
      </c>
      <c r="P416" s="4021">
        <v>2.04</v>
      </c>
      <c r="Q416" s="4022">
        <v>0.5</v>
      </c>
      <c r="R416" s="2855">
        <v>0.74</v>
      </c>
      <c r="S416" s="3187">
        <v>0.2</v>
      </c>
      <c r="T416" s="2733">
        <v>11</v>
      </c>
      <c r="U416" s="3965">
        <v>9.0899999999999995E-2</v>
      </c>
      <c r="V416" s="3854">
        <v>9.0899999999999995E-2</v>
      </c>
      <c r="W416" s="4023">
        <v>0.54549999999999998</v>
      </c>
      <c r="X416" s="4024">
        <v>0.18179999999999999</v>
      </c>
      <c r="Y416" s="2751">
        <v>1</v>
      </c>
      <c r="Z416" s="2809">
        <v>0</v>
      </c>
      <c r="AA416" s="3609">
        <v>1</v>
      </c>
      <c r="AB416" s="2862">
        <v>1</v>
      </c>
      <c r="AC416" s="3086">
        <v>6</v>
      </c>
      <c r="AD416" s="4025">
        <v>2</v>
      </c>
      <c r="AE416" s="2754">
        <v>0</v>
      </c>
      <c r="AF416" s="2755">
        <v>0</v>
      </c>
      <c r="AG416" s="4026">
        <v>-193</v>
      </c>
      <c r="AH416" s="4027"/>
      <c r="AI416" s="4028">
        <v>-260</v>
      </c>
      <c r="AJ416" s="1372"/>
      <c r="AK416" s="640"/>
      <c r="AL416" s="640"/>
      <c r="AM416" s="640"/>
      <c r="AN416" s="119"/>
      <c r="AO416" s="107"/>
    </row>
    <row r="417" spans="1:41" ht="15">
      <c r="A417" s="109"/>
      <c r="B417" s="5832"/>
      <c r="C417" s="2762" t="s">
        <v>1495</v>
      </c>
      <c r="D417" s="657"/>
      <c r="E417" s="151"/>
      <c r="F417" s="2763">
        <v>30</v>
      </c>
      <c r="G417" s="2763" t="s">
        <v>1653</v>
      </c>
      <c r="H417" s="2763" t="s">
        <v>1828</v>
      </c>
      <c r="I417" s="2764" t="s">
        <v>1908</v>
      </c>
      <c r="J417" s="3163">
        <v>45383</v>
      </c>
      <c r="K417" s="3295">
        <v>3.44</v>
      </c>
      <c r="L417" s="2773">
        <v>0.68</v>
      </c>
      <c r="M417" s="4029">
        <v>3.94</v>
      </c>
      <c r="N417" s="4030">
        <v>0.53</v>
      </c>
      <c r="O417" s="4031">
        <v>-0.5</v>
      </c>
      <c r="P417" s="4032">
        <v>1.86</v>
      </c>
      <c r="Q417" s="4033">
        <v>0.66</v>
      </c>
      <c r="R417" s="3622">
        <v>0.53</v>
      </c>
      <c r="S417" s="2911">
        <v>0</v>
      </c>
      <c r="T417" s="2763">
        <v>13</v>
      </c>
      <c r="U417" s="2914">
        <v>0.23080000000000001</v>
      </c>
      <c r="V417" s="4034">
        <v>0.15379999999999999</v>
      </c>
      <c r="W417" s="3214">
        <v>0.30769999999999997</v>
      </c>
      <c r="X417" s="3416">
        <v>0.3846</v>
      </c>
      <c r="Y417" s="4035">
        <v>3</v>
      </c>
      <c r="Z417" s="3178">
        <v>3</v>
      </c>
      <c r="AA417" s="2780">
        <v>2</v>
      </c>
      <c r="AB417" s="2774">
        <v>0</v>
      </c>
      <c r="AC417" s="3915">
        <v>4</v>
      </c>
      <c r="AD417" s="2774">
        <v>0</v>
      </c>
      <c r="AE417" s="2782">
        <v>0</v>
      </c>
      <c r="AF417" s="2783">
        <v>0</v>
      </c>
      <c r="AG417" s="2917">
        <f>168</f>
        <v>168</v>
      </c>
      <c r="AH417" s="4036"/>
      <c r="AI417" s="4037">
        <f>220</f>
        <v>220</v>
      </c>
      <c r="AJ417" s="151"/>
      <c r="AK417" s="657"/>
      <c r="AL417" s="657"/>
      <c r="AM417" s="657"/>
      <c r="AN417" s="151"/>
      <c r="AO417" s="107"/>
    </row>
    <row r="418" spans="1:41" ht="14.25">
      <c r="A418" s="109"/>
      <c r="B418" s="5831">
        <v>10</v>
      </c>
      <c r="C418" s="2792" t="s">
        <v>682</v>
      </c>
      <c r="D418" s="6"/>
      <c r="E418" s="183"/>
      <c r="F418" s="88">
        <v>33</v>
      </c>
      <c r="G418" s="88" t="s">
        <v>1582</v>
      </c>
      <c r="H418" s="88" t="s">
        <v>1622</v>
      </c>
      <c r="I418" s="3183" t="s">
        <v>1909</v>
      </c>
      <c r="J418" s="3184">
        <v>45325</v>
      </c>
      <c r="K418" s="3983">
        <v>2.99</v>
      </c>
      <c r="L418" s="4038">
        <v>0.55000000000000004</v>
      </c>
      <c r="M418" s="2797">
        <v>2.95</v>
      </c>
      <c r="N418" s="2798">
        <v>0.43</v>
      </c>
      <c r="O418" s="4039">
        <f>0.04</f>
        <v>0.04</v>
      </c>
      <c r="P418" s="4040">
        <v>2.35</v>
      </c>
      <c r="Q418" s="2796">
        <v>0.33</v>
      </c>
      <c r="R418" s="4041">
        <v>0.6</v>
      </c>
      <c r="S418" s="2862">
        <v>0.1</v>
      </c>
      <c r="T418" s="88">
        <v>22</v>
      </c>
      <c r="U418" s="3151">
        <v>0.18179999999999999</v>
      </c>
      <c r="V418" s="3004">
        <v>4.5499999999999999E-2</v>
      </c>
      <c r="W418" s="2928">
        <v>0.40910000000000002</v>
      </c>
      <c r="X418" s="4042">
        <v>0.2273</v>
      </c>
      <c r="Y418" s="4043">
        <v>4</v>
      </c>
      <c r="Z418" s="3007">
        <v>3</v>
      </c>
      <c r="AA418" s="3609">
        <v>1</v>
      </c>
      <c r="AB418" s="4044">
        <v>4</v>
      </c>
      <c r="AC418" s="4045">
        <v>9</v>
      </c>
      <c r="AD418" s="3967">
        <v>1</v>
      </c>
      <c r="AE418" s="63">
        <v>0</v>
      </c>
      <c r="AF418" s="27">
        <v>0</v>
      </c>
      <c r="AG418" s="3968">
        <v>-130</v>
      </c>
      <c r="AH418" s="4046"/>
      <c r="AI418" s="4047">
        <v>-210</v>
      </c>
      <c r="AJ418" s="54"/>
      <c r="AK418" s="6"/>
      <c r="AL418" s="6"/>
      <c r="AM418" s="6"/>
      <c r="AN418" s="183"/>
      <c r="AO418" s="107"/>
    </row>
    <row r="419" spans="1:41" ht="14.25">
      <c r="A419" s="109"/>
      <c r="B419" s="5832"/>
      <c r="C419" s="2819" t="s">
        <v>683</v>
      </c>
      <c r="D419" s="5"/>
      <c r="E419" s="213"/>
      <c r="F419" s="2820">
        <v>35</v>
      </c>
      <c r="G419" s="2820" t="s">
        <v>1567</v>
      </c>
      <c r="H419" s="2820" t="s">
        <v>1589</v>
      </c>
      <c r="I419" s="3203" t="s">
        <v>1645</v>
      </c>
      <c r="J419" s="3204">
        <v>45353</v>
      </c>
      <c r="K419" s="4048">
        <v>5.39</v>
      </c>
      <c r="L419" s="3930">
        <v>0.55000000000000004</v>
      </c>
      <c r="M419" s="3309">
        <v>3.25</v>
      </c>
      <c r="N419" s="4030">
        <v>0.53</v>
      </c>
      <c r="O419" s="4049">
        <f>2.14</f>
        <v>2.14</v>
      </c>
      <c r="P419" s="2771">
        <v>0</v>
      </c>
      <c r="Q419" s="2772">
        <v>0</v>
      </c>
      <c r="R419" s="4050">
        <v>0.54</v>
      </c>
      <c r="S419" s="2911">
        <v>0</v>
      </c>
      <c r="T419" s="2820">
        <v>23</v>
      </c>
      <c r="U419" s="4051">
        <v>0.4783</v>
      </c>
      <c r="V419" s="4052">
        <v>4.3499999999999997E-2</v>
      </c>
      <c r="W419" s="3093">
        <v>0.1739</v>
      </c>
      <c r="X419" s="4053">
        <v>0.52170000000000005</v>
      </c>
      <c r="Y419" s="4054">
        <v>11</v>
      </c>
      <c r="Z419" s="2911">
        <v>4</v>
      </c>
      <c r="AA419" s="3096">
        <v>1</v>
      </c>
      <c r="AB419" s="2837">
        <v>1</v>
      </c>
      <c r="AC419" s="3915">
        <v>4</v>
      </c>
      <c r="AD419" s="3938">
        <v>2</v>
      </c>
      <c r="AE419" s="2841">
        <v>0</v>
      </c>
      <c r="AF419" s="28">
        <v>0</v>
      </c>
      <c r="AG419" s="3980">
        <f>110</f>
        <v>110</v>
      </c>
      <c r="AH419" s="4055"/>
      <c r="AI419" s="4056">
        <f>180</f>
        <v>180</v>
      </c>
      <c r="AJ419" s="213"/>
      <c r="AK419" s="5"/>
      <c r="AL419" s="5"/>
      <c r="AM419" s="5"/>
      <c r="AN419" s="213"/>
      <c r="AO419" s="107"/>
    </row>
    <row r="420" spans="1:41" ht="14.25">
      <c r="A420" s="109"/>
      <c r="B420" s="5833">
        <v>11</v>
      </c>
      <c r="C420" s="2732" t="s">
        <v>1168</v>
      </c>
      <c r="D420" s="640"/>
      <c r="E420" s="119"/>
      <c r="F420" s="2733">
        <v>38</v>
      </c>
      <c r="G420" s="2733" t="s">
        <v>1605</v>
      </c>
      <c r="H420" s="2733" t="s">
        <v>1576</v>
      </c>
      <c r="I420" s="3141" t="s">
        <v>1910</v>
      </c>
      <c r="J420" s="3142">
        <v>45353</v>
      </c>
      <c r="K420" s="4057">
        <v>4.09</v>
      </c>
      <c r="L420" s="4058">
        <v>0.49</v>
      </c>
      <c r="M420" s="4059">
        <v>3.94</v>
      </c>
      <c r="N420" s="3875">
        <v>0.56999999999999995</v>
      </c>
      <c r="O420" s="3325">
        <f>0.15</f>
        <v>0.15</v>
      </c>
      <c r="P420" s="3451">
        <v>1.48</v>
      </c>
      <c r="Q420" s="4060">
        <v>0.41</v>
      </c>
      <c r="R420" s="3699">
        <v>0.69</v>
      </c>
      <c r="S420" s="3104">
        <v>0.3</v>
      </c>
      <c r="T420" s="2733">
        <v>29</v>
      </c>
      <c r="U420" s="3988">
        <v>0.31030000000000002</v>
      </c>
      <c r="V420" s="4061">
        <v>6.9000000000000006E-2</v>
      </c>
      <c r="W420" s="4062">
        <v>0.27589999999999998</v>
      </c>
      <c r="X420" s="4063">
        <v>0.37930000000000003</v>
      </c>
      <c r="Y420" s="3946">
        <v>9</v>
      </c>
      <c r="Z420" s="2862">
        <v>1</v>
      </c>
      <c r="AA420" s="2808">
        <v>2</v>
      </c>
      <c r="AB420" s="2809">
        <v>0</v>
      </c>
      <c r="AC420" s="4064">
        <v>8</v>
      </c>
      <c r="AD420" s="2744">
        <v>9</v>
      </c>
      <c r="AE420" s="2754">
        <v>0</v>
      </c>
      <c r="AF420" s="2755">
        <v>0</v>
      </c>
      <c r="AG420" s="4065">
        <f>150</f>
        <v>150</v>
      </c>
      <c r="AH420" s="3024"/>
      <c r="AI420" s="3025">
        <f>145</f>
        <v>145</v>
      </c>
      <c r="AJ420" s="1372"/>
      <c r="AK420" s="640"/>
      <c r="AL420" s="640"/>
      <c r="AM420" s="640"/>
      <c r="AN420" s="119"/>
      <c r="AO420" s="107"/>
    </row>
    <row r="421" spans="1:41" ht="15">
      <c r="A421" s="109"/>
      <c r="B421" s="5832"/>
      <c r="C421" s="2762" t="s">
        <v>1169</v>
      </c>
      <c r="D421" s="657"/>
      <c r="E421" s="151"/>
      <c r="F421" s="2763">
        <v>37</v>
      </c>
      <c r="G421" s="2763" t="s">
        <v>1588</v>
      </c>
      <c r="H421" s="2763" t="s">
        <v>1589</v>
      </c>
      <c r="I421" s="2764" t="s">
        <v>1911</v>
      </c>
      <c r="J421" s="3163">
        <v>45383</v>
      </c>
      <c r="K421" s="3553">
        <v>2.52</v>
      </c>
      <c r="L421" s="3862">
        <v>0.45</v>
      </c>
      <c r="M421" s="4066">
        <v>1.1399999999999999</v>
      </c>
      <c r="N421" s="3208">
        <v>0.47</v>
      </c>
      <c r="O421" s="3064">
        <f>1.38</f>
        <v>1.38</v>
      </c>
      <c r="P421" s="2890">
        <v>3.89</v>
      </c>
      <c r="Q421" s="3332">
        <v>0.43</v>
      </c>
      <c r="R421" s="2773">
        <v>1</v>
      </c>
      <c r="S421" s="4067">
        <v>1.2</v>
      </c>
      <c r="T421" s="2763">
        <v>16</v>
      </c>
      <c r="U421" s="4068">
        <v>0.3125</v>
      </c>
      <c r="V421" s="4069">
        <v>0.25</v>
      </c>
      <c r="W421" s="4070">
        <v>0.1875</v>
      </c>
      <c r="X421" s="4071">
        <v>0.5625</v>
      </c>
      <c r="Y421" s="3979">
        <v>5</v>
      </c>
      <c r="Z421" s="2774">
        <v>0</v>
      </c>
      <c r="AA421" s="2838">
        <v>4</v>
      </c>
      <c r="AB421" s="2837">
        <v>1</v>
      </c>
      <c r="AC421" s="2836">
        <v>3</v>
      </c>
      <c r="AD421" s="3938">
        <v>2</v>
      </c>
      <c r="AE421" s="2782">
        <v>0</v>
      </c>
      <c r="AF421" s="2783">
        <v>0</v>
      </c>
      <c r="AG421" s="4072">
        <v>-175</v>
      </c>
      <c r="AH421" s="4073"/>
      <c r="AI421" s="4074">
        <v>-170</v>
      </c>
      <c r="AJ421" s="151"/>
      <c r="AK421" s="657"/>
      <c r="AL421" s="657"/>
      <c r="AM421" s="657"/>
      <c r="AN421" s="151"/>
      <c r="AO421" s="107"/>
    </row>
    <row r="422" spans="1:41" ht="15">
      <c r="A422" s="109"/>
      <c r="B422" s="5831">
        <v>12</v>
      </c>
      <c r="C422" s="2792" t="s">
        <v>645</v>
      </c>
      <c r="D422" s="6"/>
      <c r="E422" s="183"/>
      <c r="F422" s="88">
        <v>35</v>
      </c>
      <c r="G422" s="88" t="s">
        <v>1571</v>
      </c>
      <c r="H422" s="88" t="s">
        <v>1576</v>
      </c>
      <c r="I422" s="2793" t="s">
        <v>1912</v>
      </c>
      <c r="J422" s="3184">
        <v>45353</v>
      </c>
      <c r="K422" s="2919">
        <v>4.4400000000000004</v>
      </c>
      <c r="L422" s="4075">
        <v>0.62</v>
      </c>
      <c r="M422" s="4076">
        <v>2.72</v>
      </c>
      <c r="N422" s="3875">
        <v>0.56999999999999995</v>
      </c>
      <c r="O422" s="3288">
        <f>1.72</f>
        <v>1.72</v>
      </c>
      <c r="P422" s="4077">
        <v>0.42</v>
      </c>
      <c r="Q422" s="4078">
        <v>0.09</v>
      </c>
      <c r="R422" s="2801">
        <v>1</v>
      </c>
      <c r="S422" s="2744">
        <v>0</v>
      </c>
      <c r="T422" s="88">
        <v>8</v>
      </c>
      <c r="U422" s="4079">
        <v>0.125</v>
      </c>
      <c r="V422" s="2746">
        <v>0</v>
      </c>
      <c r="W422" s="2901">
        <v>0.625</v>
      </c>
      <c r="X422" s="2861">
        <v>0.125</v>
      </c>
      <c r="Y422" s="2751">
        <v>1</v>
      </c>
      <c r="Z422" s="2862">
        <v>1</v>
      </c>
      <c r="AA422" s="2751">
        <v>0</v>
      </c>
      <c r="AB422" s="2809">
        <v>0</v>
      </c>
      <c r="AC422" s="3903">
        <v>5</v>
      </c>
      <c r="AD422" s="3967">
        <v>1</v>
      </c>
      <c r="AE422" s="63">
        <v>0</v>
      </c>
      <c r="AF422" s="27">
        <v>0</v>
      </c>
      <c r="AG422" s="4080">
        <v>-160</v>
      </c>
      <c r="AH422" s="4081"/>
      <c r="AI422" s="4082">
        <v>-135</v>
      </c>
      <c r="AJ422" s="54"/>
      <c r="AK422" s="6"/>
      <c r="AL422" s="6"/>
      <c r="AM422" s="6"/>
      <c r="AN422" s="183"/>
      <c r="AO422" s="107"/>
    </row>
    <row r="423" spans="1:41" ht="14.25">
      <c r="A423" s="109"/>
      <c r="B423" s="5832"/>
      <c r="C423" s="2819" t="s">
        <v>630</v>
      </c>
      <c r="D423" s="5"/>
      <c r="E423" s="213"/>
      <c r="F423" s="2820">
        <v>31</v>
      </c>
      <c r="G423" s="2820" t="s">
        <v>1567</v>
      </c>
      <c r="H423" s="2820" t="s">
        <v>1576</v>
      </c>
      <c r="I423" s="3203" t="s">
        <v>1656</v>
      </c>
      <c r="J423" s="3204">
        <v>45383</v>
      </c>
      <c r="K423" s="4083">
        <v>2.12</v>
      </c>
      <c r="L423" s="4084">
        <v>0.32</v>
      </c>
      <c r="M423" s="4085">
        <v>6.9</v>
      </c>
      <c r="N423" s="4086">
        <v>0.43</v>
      </c>
      <c r="O423" s="2911">
        <v>-4.78</v>
      </c>
      <c r="P423" s="2771">
        <v>0</v>
      </c>
      <c r="Q423" s="2772">
        <v>0</v>
      </c>
      <c r="R423" s="2772">
        <v>0</v>
      </c>
      <c r="S423" s="2911">
        <v>0</v>
      </c>
      <c r="T423" s="2820">
        <v>17</v>
      </c>
      <c r="U423" s="2880">
        <v>0.70589999999999997</v>
      </c>
      <c r="V423" s="2988">
        <v>0.1176</v>
      </c>
      <c r="W423" s="2834">
        <v>0</v>
      </c>
      <c r="X423" s="2778">
        <v>0.82350000000000001</v>
      </c>
      <c r="Y423" s="3278">
        <v>12</v>
      </c>
      <c r="Z423" s="2837">
        <v>1</v>
      </c>
      <c r="AA423" s="2780">
        <v>2</v>
      </c>
      <c r="AB423" s="2837">
        <v>1</v>
      </c>
      <c r="AC423" s="2840">
        <v>0</v>
      </c>
      <c r="AD423" s="3916">
        <v>1</v>
      </c>
      <c r="AE423" s="2841">
        <v>0</v>
      </c>
      <c r="AF423" s="28">
        <v>0</v>
      </c>
      <c r="AG423" s="4087">
        <f>140</f>
        <v>140</v>
      </c>
      <c r="AH423" s="4088"/>
      <c r="AI423" s="4089">
        <f>115</f>
        <v>115</v>
      </c>
      <c r="AJ423" s="213"/>
      <c r="AK423" s="5"/>
      <c r="AL423" s="5"/>
      <c r="AM423" s="5"/>
      <c r="AN423" s="213"/>
      <c r="AO423" s="107"/>
    </row>
    <row r="424" spans="1:41" ht="15">
      <c r="A424" s="109"/>
      <c r="B424" s="5833">
        <v>13</v>
      </c>
      <c r="C424" s="2732" t="s">
        <v>389</v>
      </c>
      <c r="D424" s="640"/>
      <c r="E424" s="119"/>
      <c r="F424" s="2733">
        <v>31</v>
      </c>
      <c r="G424" s="2733" t="s">
        <v>1592</v>
      </c>
      <c r="H424" s="2733" t="s">
        <v>1624</v>
      </c>
      <c r="I424" s="2734" t="s">
        <v>1913</v>
      </c>
      <c r="J424" s="3142">
        <v>45325</v>
      </c>
      <c r="K424" s="4077">
        <v>1.8</v>
      </c>
      <c r="L424" s="4090">
        <v>0.34</v>
      </c>
      <c r="M424" s="4091">
        <v>2.69</v>
      </c>
      <c r="N424" s="4092">
        <v>0.5</v>
      </c>
      <c r="O424" s="4093">
        <v>-0.89</v>
      </c>
      <c r="P424" s="4094">
        <v>0.32</v>
      </c>
      <c r="Q424" s="4022">
        <v>0.5</v>
      </c>
      <c r="R424" s="4095">
        <v>0.47</v>
      </c>
      <c r="S424" s="4096">
        <v>0.6</v>
      </c>
      <c r="T424" s="2733">
        <v>14</v>
      </c>
      <c r="U424" s="2746">
        <v>7.1400000000000005E-2</v>
      </c>
      <c r="V424" s="3152">
        <v>0.21429999999999999</v>
      </c>
      <c r="W424" s="3327">
        <v>0.42859999999999998</v>
      </c>
      <c r="X424" s="4097">
        <v>0.28570000000000001</v>
      </c>
      <c r="Y424" s="2751">
        <v>1</v>
      </c>
      <c r="Z424" s="2809">
        <v>0</v>
      </c>
      <c r="AA424" s="3155">
        <v>3</v>
      </c>
      <c r="AB424" s="2809">
        <v>0</v>
      </c>
      <c r="AC424" s="3086">
        <v>6</v>
      </c>
      <c r="AD424" s="2750">
        <v>4</v>
      </c>
      <c r="AE424" s="2754">
        <v>0</v>
      </c>
      <c r="AF424" s="2755">
        <v>0</v>
      </c>
      <c r="AG424" s="4098">
        <f>215</f>
        <v>215</v>
      </c>
      <c r="AH424" s="4099"/>
      <c r="AI424" s="4100">
        <f>147</f>
        <v>147</v>
      </c>
      <c r="AJ424" s="1372"/>
      <c r="AK424" s="640"/>
      <c r="AL424" s="640"/>
      <c r="AM424" s="640"/>
      <c r="AN424" s="119"/>
      <c r="AO424" s="107"/>
    </row>
    <row r="425" spans="1:41" ht="14.25">
      <c r="A425" s="109"/>
      <c r="B425" s="5832"/>
      <c r="C425" s="2762" t="s">
        <v>390</v>
      </c>
      <c r="D425" s="657"/>
      <c r="E425" s="151"/>
      <c r="F425" s="2763">
        <v>33</v>
      </c>
      <c r="G425" s="2763" t="s">
        <v>1575</v>
      </c>
      <c r="H425" s="2763" t="s">
        <v>1618</v>
      </c>
      <c r="I425" s="3162" t="s">
        <v>1885</v>
      </c>
      <c r="J425" s="2783" t="s">
        <v>1629</v>
      </c>
      <c r="K425" s="4101">
        <v>1.73</v>
      </c>
      <c r="L425" s="3971">
        <v>0.52</v>
      </c>
      <c r="M425" s="4102">
        <v>1.47</v>
      </c>
      <c r="N425" s="4030">
        <v>0.53</v>
      </c>
      <c r="O425" s="4103">
        <f>0.26</f>
        <v>0.26</v>
      </c>
      <c r="P425" s="2771">
        <v>0</v>
      </c>
      <c r="Q425" s="2772">
        <v>0</v>
      </c>
      <c r="R425" s="4104">
        <v>0.78</v>
      </c>
      <c r="S425" s="4105">
        <v>1</v>
      </c>
      <c r="T425" s="2763">
        <v>8</v>
      </c>
      <c r="U425" s="3011">
        <v>0.5</v>
      </c>
      <c r="V425" s="4106">
        <v>0.125</v>
      </c>
      <c r="W425" s="4107">
        <v>0.375</v>
      </c>
      <c r="X425" s="4108">
        <v>0.625</v>
      </c>
      <c r="Y425" s="4109">
        <v>4</v>
      </c>
      <c r="Z425" s="2774">
        <v>0</v>
      </c>
      <c r="AA425" s="3096">
        <v>1</v>
      </c>
      <c r="AB425" s="2774">
        <v>0</v>
      </c>
      <c r="AC425" s="2836">
        <v>3</v>
      </c>
      <c r="AD425" s="2774">
        <v>0</v>
      </c>
      <c r="AE425" s="2782">
        <v>0</v>
      </c>
      <c r="AF425" s="2783">
        <v>0</v>
      </c>
      <c r="AG425" s="4110">
        <v>-255</v>
      </c>
      <c r="AH425" s="4111"/>
      <c r="AI425" s="4112">
        <v>-172</v>
      </c>
      <c r="AJ425" s="151"/>
      <c r="AK425" s="657"/>
      <c r="AL425" s="657"/>
      <c r="AM425" s="657"/>
      <c r="AN425" s="151"/>
      <c r="AO425" s="107"/>
    </row>
    <row r="426" spans="1:41" ht="14.25">
      <c r="A426" s="109"/>
      <c r="B426" s="5831">
        <v>14</v>
      </c>
      <c r="C426" s="2792" t="s">
        <v>176</v>
      </c>
      <c r="D426" s="6"/>
      <c r="E426" s="183"/>
      <c r="F426" s="88">
        <v>30</v>
      </c>
      <c r="G426" s="88" t="s">
        <v>1592</v>
      </c>
      <c r="H426" s="88" t="s">
        <v>1606</v>
      </c>
      <c r="I426" s="3183" t="s">
        <v>1914</v>
      </c>
      <c r="J426" s="27" t="s">
        <v>1629</v>
      </c>
      <c r="K426" s="3101">
        <v>4.88</v>
      </c>
      <c r="L426" s="3774">
        <v>0.46</v>
      </c>
      <c r="M426" s="3848">
        <v>3.7</v>
      </c>
      <c r="N426" s="2894">
        <v>0.69</v>
      </c>
      <c r="O426" s="4113">
        <f>1.18</f>
        <v>1.18</v>
      </c>
      <c r="P426" s="4114">
        <v>0.4</v>
      </c>
      <c r="Q426" s="4022">
        <v>0.5</v>
      </c>
      <c r="R426" s="4115">
        <v>0.89</v>
      </c>
      <c r="S426" s="2744">
        <v>0</v>
      </c>
      <c r="T426" s="88">
        <v>15</v>
      </c>
      <c r="U426" s="4116">
        <v>0.5333</v>
      </c>
      <c r="V426" s="2746">
        <v>0</v>
      </c>
      <c r="W426" s="4117">
        <v>0.4667</v>
      </c>
      <c r="X426" s="4118">
        <v>0.5333</v>
      </c>
      <c r="Y426" s="2931">
        <v>8</v>
      </c>
      <c r="Z426" s="2809">
        <v>0</v>
      </c>
      <c r="AA426" s="2751">
        <v>0</v>
      </c>
      <c r="AB426" s="2809">
        <v>0</v>
      </c>
      <c r="AC426" s="3882">
        <v>7</v>
      </c>
      <c r="AD426" s="2809">
        <v>0</v>
      </c>
      <c r="AE426" s="63">
        <v>0</v>
      </c>
      <c r="AF426" s="27">
        <v>0</v>
      </c>
      <c r="AG426" s="4080">
        <v>-160</v>
      </c>
      <c r="AH426" s="3374"/>
      <c r="AI426" s="3375">
        <v>-230</v>
      </c>
      <c r="AJ426" s="54"/>
      <c r="AK426" s="6"/>
      <c r="AL426" s="6"/>
      <c r="AM426" s="6"/>
      <c r="AN426" s="183"/>
      <c r="AO426" s="107"/>
    </row>
    <row r="427" spans="1:41" ht="14.25">
      <c r="A427" s="109"/>
      <c r="B427" s="5832"/>
      <c r="C427" s="2819" t="s">
        <v>3</v>
      </c>
      <c r="D427" s="5"/>
      <c r="E427" s="213"/>
      <c r="F427" s="2820">
        <v>30</v>
      </c>
      <c r="G427" s="2820" t="s">
        <v>1592</v>
      </c>
      <c r="H427" s="2820" t="s">
        <v>1915</v>
      </c>
      <c r="I427" s="3203" t="s">
        <v>1916</v>
      </c>
      <c r="J427" s="3204">
        <v>45353</v>
      </c>
      <c r="K427" s="3033">
        <v>5.31</v>
      </c>
      <c r="L427" s="4119">
        <v>0.5</v>
      </c>
      <c r="M427" s="4120">
        <v>5.56</v>
      </c>
      <c r="N427" s="4121">
        <v>0.5</v>
      </c>
      <c r="O427" s="3552">
        <v>-0.25</v>
      </c>
      <c r="P427" s="3381">
        <v>1.64</v>
      </c>
      <c r="Q427" s="4122">
        <v>0.46</v>
      </c>
      <c r="R427" s="3487">
        <v>0.57999999999999996</v>
      </c>
      <c r="S427" s="2911">
        <v>0</v>
      </c>
      <c r="T427" s="2820">
        <v>36</v>
      </c>
      <c r="U427" s="3414">
        <v>0.25</v>
      </c>
      <c r="V427" s="2834">
        <v>0</v>
      </c>
      <c r="W427" s="3998">
        <v>0.44440000000000002</v>
      </c>
      <c r="X427" s="4123">
        <v>0.25</v>
      </c>
      <c r="Y427" s="2838">
        <v>9</v>
      </c>
      <c r="Z427" s="2837">
        <v>1</v>
      </c>
      <c r="AA427" s="2840">
        <v>0</v>
      </c>
      <c r="AB427" s="4002">
        <v>3</v>
      </c>
      <c r="AC427" s="3278">
        <v>16</v>
      </c>
      <c r="AD427" s="4124">
        <v>7</v>
      </c>
      <c r="AE427" s="2841">
        <v>0</v>
      </c>
      <c r="AF427" s="28">
        <v>0</v>
      </c>
      <c r="AG427" s="4087">
        <f>140</f>
        <v>140</v>
      </c>
      <c r="AH427" s="4125"/>
      <c r="AI427" s="4126">
        <f>195</f>
        <v>195</v>
      </c>
      <c r="AJ427" s="213"/>
      <c r="AK427" s="5"/>
      <c r="AL427" s="5"/>
      <c r="AM427" s="5"/>
      <c r="AN427" s="213"/>
      <c r="AO427" s="107"/>
    </row>
    <row r="428" spans="1:41" ht="12.75">
      <c r="A428" s="10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620"/>
    </row>
    <row r="432" spans="1:41" ht="12.75">
      <c r="A432" s="4127" t="s">
        <v>1917</v>
      </c>
      <c r="B432" s="620"/>
      <c r="D432" s="2728">
        <v>20240203</v>
      </c>
    </row>
    <row r="433" spans="1:41" ht="30">
      <c r="A433" s="1375" t="s">
        <v>1694</v>
      </c>
      <c r="B433" s="108"/>
      <c r="C433" s="108"/>
      <c r="D433" s="108"/>
      <c r="E433" s="108"/>
      <c r="F433" s="108"/>
      <c r="G433" s="108"/>
      <c r="H433" s="108"/>
      <c r="I433" s="108"/>
      <c r="J433" s="108"/>
      <c r="K433" s="108"/>
      <c r="L433" s="108"/>
      <c r="M433" s="108"/>
      <c r="N433" s="108"/>
      <c r="O433" s="108"/>
      <c r="P433" s="108"/>
      <c r="Q433" s="108"/>
      <c r="R433" s="108"/>
      <c r="S433" s="108"/>
      <c r="T433" s="108"/>
      <c r="U433" s="108"/>
      <c r="V433" s="108"/>
      <c r="W433" s="108"/>
      <c r="X433" s="108"/>
      <c r="Y433" s="108"/>
      <c r="Z433" s="108"/>
      <c r="AA433" s="108"/>
      <c r="AB433" s="108"/>
      <c r="AC433" s="108"/>
      <c r="AD433" s="108"/>
      <c r="AE433" s="108"/>
      <c r="AF433" s="108"/>
      <c r="AG433" s="108"/>
      <c r="AH433" s="108"/>
      <c r="AI433" s="108"/>
      <c r="AJ433" s="108"/>
      <c r="AK433" s="108"/>
      <c r="AL433" s="108"/>
      <c r="AM433" s="107"/>
    </row>
    <row r="434" spans="1:41">
      <c r="A434" s="109"/>
      <c r="B434" s="5834" t="s">
        <v>1524</v>
      </c>
      <c r="C434" s="5840" t="s">
        <v>1525</v>
      </c>
      <c r="D434" s="5846"/>
      <c r="E434" s="5836"/>
      <c r="F434" s="5836"/>
      <c r="G434" s="5836"/>
      <c r="H434" s="5832"/>
      <c r="I434" s="5837" t="s">
        <v>1527</v>
      </c>
      <c r="J434" s="5836"/>
      <c r="K434" s="5836"/>
      <c r="L434" s="5836"/>
      <c r="M434" s="5832"/>
      <c r="N434" s="5838" t="s">
        <v>1528</v>
      </c>
      <c r="O434" s="5836"/>
      <c r="P434" s="5836"/>
      <c r="Q434" s="5832"/>
      <c r="R434" s="5839" t="s">
        <v>1529</v>
      </c>
      <c r="S434" s="5836"/>
      <c r="T434" s="5836"/>
      <c r="U434" s="5836"/>
      <c r="V434" s="5836"/>
      <c r="W434" s="5836"/>
      <c r="X434" s="5836"/>
      <c r="Y434" s="5836"/>
      <c r="Z434" s="5836"/>
      <c r="AA434" s="5836"/>
      <c r="AB434" s="5836"/>
      <c r="AC434" s="5836"/>
      <c r="AD434" s="5832"/>
      <c r="AE434" s="5842" t="s">
        <v>1530</v>
      </c>
      <c r="AF434" s="5836"/>
      <c r="AG434" s="5836"/>
      <c r="AH434" s="5836"/>
      <c r="AI434" s="5836"/>
      <c r="AJ434" s="5836"/>
      <c r="AK434" s="5836"/>
      <c r="AL434" s="5832"/>
      <c r="AM434" s="107"/>
    </row>
    <row r="435" spans="1:41" ht="15">
      <c r="A435" s="109"/>
      <c r="B435" s="5832"/>
      <c r="C435" s="5832"/>
      <c r="D435" s="111"/>
      <c r="E435" s="111"/>
      <c r="F435" s="111" t="s">
        <v>1533</v>
      </c>
      <c r="G435" s="111" t="s">
        <v>1534</v>
      </c>
      <c r="H435" s="111" t="s">
        <v>1535</v>
      </c>
      <c r="I435" s="111" t="s">
        <v>1536</v>
      </c>
      <c r="J435" s="111" t="s">
        <v>1537</v>
      </c>
      <c r="K435" s="111" t="s">
        <v>1538</v>
      </c>
      <c r="L435" s="111" t="s">
        <v>1539</v>
      </c>
      <c r="M435" s="111" t="s">
        <v>1540</v>
      </c>
      <c r="N435" s="111" t="s">
        <v>1541</v>
      </c>
      <c r="O435" s="111" t="s">
        <v>1542</v>
      </c>
      <c r="P435" s="111" t="s">
        <v>1543</v>
      </c>
      <c r="Q435" s="111" t="s">
        <v>1544</v>
      </c>
      <c r="R435" s="111" t="s">
        <v>1545</v>
      </c>
      <c r="S435" s="111" t="s">
        <v>1546</v>
      </c>
      <c r="T435" s="111" t="s">
        <v>1547</v>
      </c>
      <c r="U435" s="111" t="s">
        <v>1548</v>
      </c>
      <c r="V435" s="111" t="s">
        <v>1549</v>
      </c>
      <c r="W435" s="111" t="s">
        <v>1550</v>
      </c>
      <c r="X435" s="112" t="s">
        <v>1551</v>
      </c>
      <c r="Y435" s="113" t="s">
        <v>1552</v>
      </c>
      <c r="Z435" s="114" t="s">
        <v>1553</v>
      </c>
      <c r="AA435" s="113" t="s">
        <v>1554</v>
      </c>
      <c r="AB435" s="114" t="s">
        <v>1555</v>
      </c>
      <c r="AC435" s="115" t="s">
        <v>1556</v>
      </c>
      <c r="AD435" s="114" t="s">
        <v>1557</v>
      </c>
      <c r="AE435" s="113" t="s">
        <v>1558</v>
      </c>
      <c r="AF435" s="116" t="s">
        <v>1559</v>
      </c>
      <c r="AG435" s="111" t="s">
        <v>1560</v>
      </c>
      <c r="AH435" s="111"/>
      <c r="AI435" s="112" t="s">
        <v>1561</v>
      </c>
      <c r="AJ435" s="111" t="s">
        <v>1562</v>
      </c>
      <c r="AK435" s="111" t="s">
        <v>1563</v>
      </c>
      <c r="AL435" s="111" t="s">
        <v>1564</v>
      </c>
      <c r="AM435" s="111" t="s">
        <v>1565</v>
      </c>
      <c r="AN435" s="112" t="s">
        <v>1566</v>
      </c>
      <c r="AO435" s="107"/>
    </row>
    <row r="436" spans="1:41" ht="14.25">
      <c r="A436" s="109"/>
      <c r="B436" s="5833">
        <v>1</v>
      </c>
      <c r="C436" s="2732" t="s">
        <v>1057</v>
      </c>
      <c r="D436" s="2733"/>
      <c r="E436" s="2733"/>
      <c r="F436" s="2733">
        <v>35</v>
      </c>
      <c r="G436" s="2733" t="s">
        <v>1571</v>
      </c>
      <c r="H436" s="2733" t="s">
        <v>1576</v>
      </c>
      <c r="I436" s="4128">
        <v>36862</v>
      </c>
      <c r="J436" s="3142">
        <v>45383</v>
      </c>
      <c r="K436" s="4129">
        <v>3.02</v>
      </c>
      <c r="L436" s="3605">
        <v>0.44</v>
      </c>
      <c r="M436" s="4130">
        <v>3.01</v>
      </c>
      <c r="N436" s="4131">
        <v>0.55000000000000004</v>
      </c>
      <c r="O436" s="4132">
        <f>0.01</f>
        <v>0.01</v>
      </c>
      <c r="P436" s="4133">
        <v>1.72</v>
      </c>
      <c r="Q436" s="4134">
        <v>0.5</v>
      </c>
      <c r="R436" s="4135">
        <v>0.33</v>
      </c>
      <c r="S436" s="4136">
        <v>1.7</v>
      </c>
      <c r="T436" s="2733">
        <v>14</v>
      </c>
      <c r="U436" s="4137">
        <v>0.5</v>
      </c>
      <c r="V436" s="3988">
        <v>0.21</v>
      </c>
      <c r="W436" s="4138">
        <v>0.14000000000000001</v>
      </c>
      <c r="X436" s="4139">
        <v>0.71430000000000005</v>
      </c>
      <c r="Y436" s="3155">
        <v>7</v>
      </c>
      <c r="Z436" s="2809">
        <v>0</v>
      </c>
      <c r="AA436" s="4140">
        <v>3</v>
      </c>
      <c r="AB436" s="2809">
        <v>0</v>
      </c>
      <c r="AC436" s="3609">
        <v>2</v>
      </c>
      <c r="AD436" s="4141">
        <v>2</v>
      </c>
      <c r="AE436" s="2754">
        <v>0</v>
      </c>
      <c r="AF436" s="2755">
        <v>0</v>
      </c>
      <c r="AG436" s="4142">
        <f>110</f>
        <v>110</v>
      </c>
      <c r="AH436" s="4143"/>
      <c r="AI436" s="4144">
        <f>139</f>
        <v>139</v>
      </c>
      <c r="AJ436" s="1372"/>
      <c r="AK436" s="640"/>
      <c r="AL436" s="640"/>
      <c r="AM436" s="640"/>
      <c r="AN436" s="119"/>
      <c r="AO436" s="107"/>
    </row>
    <row r="437" spans="1:41" ht="14.25">
      <c r="A437" s="109"/>
      <c r="B437" s="5832"/>
      <c r="C437" s="2762" t="s">
        <v>1056</v>
      </c>
      <c r="D437" s="2763"/>
      <c r="E437" s="2763"/>
      <c r="F437" s="2763">
        <v>27</v>
      </c>
      <c r="G437" s="2763" t="s">
        <v>1567</v>
      </c>
      <c r="H437" s="2763" t="s">
        <v>1622</v>
      </c>
      <c r="I437" s="2763" t="s">
        <v>1918</v>
      </c>
      <c r="J437" s="2783" t="s">
        <v>1871</v>
      </c>
      <c r="K437" s="4145">
        <v>4.55</v>
      </c>
      <c r="L437" s="4146">
        <v>0.53</v>
      </c>
      <c r="M437" s="4147">
        <v>3.76</v>
      </c>
      <c r="N437" s="2769">
        <v>0.57999999999999996</v>
      </c>
      <c r="O437" s="3036">
        <f>0.79</f>
        <v>0.79</v>
      </c>
      <c r="P437" s="4148">
        <v>1.0900000000000001</v>
      </c>
      <c r="Q437" s="4149">
        <v>0.31</v>
      </c>
      <c r="R437" s="4119">
        <v>0.72</v>
      </c>
      <c r="S437" s="4150">
        <v>1.7</v>
      </c>
      <c r="T437" s="2763">
        <v>16</v>
      </c>
      <c r="U437" s="4151">
        <v>0.31</v>
      </c>
      <c r="V437" s="4152">
        <v>0.25</v>
      </c>
      <c r="W437" s="4153">
        <v>0.19</v>
      </c>
      <c r="X437" s="4154">
        <v>0.5625</v>
      </c>
      <c r="Y437" s="2780">
        <v>5</v>
      </c>
      <c r="Z437" s="2774">
        <v>0</v>
      </c>
      <c r="AA437" s="4155">
        <v>4</v>
      </c>
      <c r="AB437" s="2837">
        <v>1</v>
      </c>
      <c r="AC437" s="4156">
        <v>3</v>
      </c>
      <c r="AD437" s="2990">
        <v>3</v>
      </c>
      <c r="AE437" s="2782">
        <v>0</v>
      </c>
      <c r="AF437" s="2783">
        <v>0</v>
      </c>
      <c r="AG437" s="4157">
        <v>-130</v>
      </c>
      <c r="AH437" s="4158"/>
      <c r="AI437" s="4159">
        <v>-159</v>
      </c>
      <c r="AJ437" s="151"/>
      <c r="AK437" s="657"/>
      <c r="AL437" s="657"/>
      <c r="AM437" s="657"/>
      <c r="AN437" s="151"/>
      <c r="AO437" s="107"/>
    </row>
    <row r="438" spans="1:41" ht="14.25">
      <c r="A438" s="109"/>
      <c r="B438" s="5831">
        <v>2</v>
      </c>
      <c r="C438" s="2792" t="s">
        <v>741</v>
      </c>
      <c r="D438" s="88"/>
      <c r="E438" s="88"/>
      <c r="F438" s="88">
        <v>34</v>
      </c>
      <c r="G438" s="88" t="s">
        <v>1605</v>
      </c>
      <c r="H438" s="88" t="s">
        <v>1616</v>
      </c>
      <c r="I438" s="88" t="s">
        <v>1919</v>
      </c>
      <c r="J438" s="3184">
        <v>45353</v>
      </c>
      <c r="K438" s="4160">
        <v>4.75</v>
      </c>
      <c r="L438" s="2796">
        <v>0.47</v>
      </c>
      <c r="M438" s="3105">
        <v>4.07</v>
      </c>
      <c r="N438" s="4161">
        <v>0.6</v>
      </c>
      <c r="O438" s="3500">
        <f>0.68</f>
        <v>0.68</v>
      </c>
      <c r="P438" s="3566">
        <v>1.66</v>
      </c>
      <c r="Q438" s="3987">
        <v>0.46</v>
      </c>
      <c r="R438" s="3230">
        <v>0.74</v>
      </c>
      <c r="S438" s="4162">
        <v>0.7</v>
      </c>
      <c r="T438" s="88">
        <v>23</v>
      </c>
      <c r="U438" s="2746">
        <v>0</v>
      </c>
      <c r="V438" s="4163">
        <v>0.43</v>
      </c>
      <c r="W438" s="4164">
        <v>0.3</v>
      </c>
      <c r="X438" s="4165">
        <v>0.43480000000000002</v>
      </c>
      <c r="Y438" s="2751">
        <v>0</v>
      </c>
      <c r="Z438" s="2744">
        <v>3</v>
      </c>
      <c r="AA438" s="2864">
        <v>10</v>
      </c>
      <c r="AB438" s="2862">
        <v>1</v>
      </c>
      <c r="AC438" s="2864">
        <v>7</v>
      </c>
      <c r="AD438" s="3967">
        <v>1</v>
      </c>
      <c r="AE438" s="63">
        <v>0</v>
      </c>
      <c r="AF438" s="27">
        <v>0</v>
      </c>
      <c r="AG438" s="4142">
        <f>110</f>
        <v>110</v>
      </c>
      <c r="AH438" s="4166"/>
      <c r="AI438" s="4167">
        <v>-145</v>
      </c>
      <c r="AJ438" s="54"/>
      <c r="AK438" s="6"/>
      <c r="AL438" s="6"/>
      <c r="AM438" s="6"/>
      <c r="AN438" s="183"/>
      <c r="AO438" s="107"/>
    </row>
    <row r="439" spans="1:41" ht="14.25">
      <c r="A439" s="109"/>
      <c r="B439" s="5832"/>
      <c r="C439" s="2819" t="s">
        <v>698</v>
      </c>
      <c r="D439" s="2820"/>
      <c r="E439" s="2820"/>
      <c r="F439" s="2820">
        <v>35</v>
      </c>
      <c r="G439" s="2820" t="s">
        <v>1630</v>
      </c>
      <c r="H439" s="2820" t="s">
        <v>1618</v>
      </c>
      <c r="I439" s="2820" t="s">
        <v>1920</v>
      </c>
      <c r="J439" s="3204">
        <v>45383</v>
      </c>
      <c r="K439" s="4168">
        <v>4.58</v>
      </c>
      <c r="L439" s="4169">
        <v>0.4</v>
      </c>
      <c r="M439" s="4170">
        <v>4.46</v>
      </c>
      <c r="N439" s="4171">
        <v>0.51</v>
      </c>
      <c r="O439" s="3294">
        <f>0.12</f>
        <v>0.12</v>
      </c>
      <c r="P439" s="4172">
        <v>0.68</v>
      </c>
      <c r="Q439" s="3092">
        <v>0.17</v>
      </c>
      <c r="R439" s="4173">
        <v>0.56000000000000005</v>
      </c>
      <c r="S439" s="4174">
        <v>0.1</v>
      </c>
      <c r="T439" s="2820">
        <v>39</v>
      </c>
      <c r="U439" s="4068">
        <v>0.28000000000000003</v>
      </c>
      <c r="V439" s="4175">
        <v>0.23</v>
      </c>
      <c r="W439" s="4176">
        <v>0.18</v>
      </c>
      <c r="X439" s="3978">
        <v>0.51280000000000003</v>
      </c>
      <c r="Y439" s="2883">
        <v>11</v>
      </c>
      <c r="Z439" s="3762">
        <v>2</v>
      </c>
      <c r="AA439" s="4177">
        <v>9</v>
      </c>
      <c r="AB439" s="2911">
        <v>4</v>
      </c>
      <c r="AC439" s="3278">
        <v>7</v>
      </c>
      <c r="AD439" s="2911">
        <v>6</v>
      </c>
      <c r="AE439" s="2841">
        <v>0</v>
      </c>
      <c r="AF439" s="28">
        <v>0</v>
      </c>
      <c r="AG439" s="4157">
        <v>-130</v>
      </c>
      <c r="AH439" s="3956"/>
      <c r="AI439" s="3957">
        <f>125</f>
        <v>125</v>
      </c>
      <c r="AJ439" s="213"/>
      <c r="AK439" s="5"/>
      <c r="AL439" s="5"/>
      <c r="AM439" s="5"/>
      <c r="AN439" s="213"/>
      <c r="AO439" s="107"/>
    </row>
    <row r="440" spans="1:41" ht="14.25">
      <c r="A440" s="109"/>
      <c r="B440" s="5833">
        <v>3</v>
      </c>
      <c r="C440" s="2732" t="s">
        <v>1257</v>
      </c>
      <c r="D440" s="2733"/>
      <c r="E440" s="2733"/>
      <c r="F440" s="2733">
        <v>33</v>
      </c>
      <c r="G440" s="2733" t="s">
        <v>1567</v>
      </c>
      <c r="H440" s="2733" t="s">
        <v>1597</v>
      </c>
      <c r="I440" s="2733" t="s">
        <v>1861</v>
      </c>
      <c r="J440" s="3142">
        <v>45383</v>
      </c>
      <c r="K440" s="3638">
        <v>4.38</v>
      </c>
      <c r="L440" s="2796">
        <v>0.47</v>
      </c>
      <c r="M440" s="4178">
        <v>3.33</v>
      </c>
      <c r="N440" s="3186">
        <v>0.54</v>
      </c>
      <c r="O440" s="3850">
        <f>1.05</f>
        <v>1.05</v>
      </c>
      <c r="P440" s="4179">
        <v>0.8</v>
      </c>
      <c r="Q440" s="4180">
        <v>0.39</v>
      </c>
      <c r="R440" s="3230">
        <v>0.74</v>
      </c>
      <c r="S440" s="3228">
        <v>0.5</v>
      </c>
      <c r="T440" s="2733">
        <v>22</v>
      </c>
      <c r="U440" s="4181">
        <v>0.27</v>
      </c>
      <c r="V440" s="4182">
        <v>0.23</v>
      </c>
      <c r="W440" s="4183">
        <v>0.27</v>
      </c>
      <c r="X440" s="4184">
        <v>0.5</v>
      </c>
      <c r="Y440" s="4185">
        <v>6</v>
      </c>
      <c r="Z440" s="3504">
        <v>2</v>
      </c>
      <c r="AA440" s="4186">
        <v>5</v>
      </c>
      <c r="AB440" s="2750">
        <v>2</v>
      </c>
      <c r="AC440" s="2863">
        <v>6</v>
      </c>
      <c r="AD440" s="3967">
        <v>1</v>
      </c>
      <c r="AE440" s="2754">
        <v>0</v>
      </c>
      <c r="AF440" s="2755">
        <v>0</v>
      </c>
      <c r="AG440" s="4187">
        <v>-260</v>
      </c>
      <c r="AH440" s="4188"/>
      <c r="AI440" s="4189">
        <v>-230</v>
      </c>
      <c r="AJ440" s="1372"/>
      <c r="AK440" s="640"/>
      <c r="AL440" s="640"/>
      <c r="AM440" s="640"/>
      <c r="AN440" s="119"/>
      <c r="AO440" s="107"/>
    </row>
    <row r="441" spans="1:41" ht="14.25">
      <c r="A441" s="109"/>
      <c r="B441" s="5832"/>
      <c r="C441" s="2762" t="s">
        <v>1258</v>
      </c>
      <c r="D441" s="2763"/>
      <c r="E441" s="2763"/>
      <c r="F441" s="2763">
        <v>39</v>
      </c>
      <c r="G441" s="2763" t="s">
        <v>1605</v>
      </c>
      <c r="H441" s="2763" t="s">
        <v>1618</v>
      </c>
      <c r="I441" s="2763" t="s">
        <v>1632</v>
      </c>
      <c r="J441" s="3163">
        <v>45353</v>
      </c>
      <c r="K441" s="4190">
        <v>3.37</v>
      </c>
      <c r="L441" s="3382">
        <v>0.51</v>
      </c>
      <c r="M441" s="4191">
        <v>2.91</v>
      </c>
      <c r="N441" s="4192">
        <v>0.62</v>
      </c>
      <c r="O441" s="4193">
        <f>0.46</f>
        <v>0.46</v>
      </c>
      <c r="P441" s="4194">
        <v>1.31</v>
      </c>
      <c r="Q441" s="4195">
        <v>0.4</v>
      </c>
      <c r="R441" s="4196">
        <v>0.73</v>
      </c>
      <c r="S441" s="2911">
        <v>0</v>
      </c>
      <c r="T441" s="2763">
        <v>23</v>
      </c>
      <c r="U441" s="4197">
        <v>0.52</v>
      </c>
      <c r="V441" s="4198">
        <v>0.13</v>
      </c>
      <c r="W441" s="4199">
        <v>0.17</v>
      </c>
      <c r="X441" s="4200">
        <v>0.6522</v>
      </c>
      <c r="Y441" s="4201">
        <v>12</v>
      </c>
      <c r="Z441" s="2837">
        <v>1</v>
      </c>
      <c r="AA441" s="4202">
        <v>3</v>
      </c>
      <c r="AB441" s="2990">
        <v>2</v>
      </c>
      <c r="AC441" s="2780">
        <v>4</v>
      </c>
      <c r="AD441" s="3916">
        <v>1</v>
      </c>
      <c r="AE441" s="2782">
        <v>0</v>
      </c>
      <c r="AF441" s="2783">
        <v>0</v>
      </c>
      <c r="AG441" s="3280">
        <f>220</f>
        <v>220</v>
      </c>
      <c r="AH441" s="3918"/>
      <c r="AI441" s="3919">
        <f>195</f>
        <v>195</v>
      </c>
      <c r="AJ441" s="151"/>
      <c r="AK441" s="657"/>
      <c r="AL441" s="657"/>
      <c r="AM441" s="657"/>
      <c r="AN441" s="151"/>
      <c r="AO441" s="107"/>
    </row>
    <row r="442" spans="1:41" ht="14.25">
      <c r="A442" s="109"/>
      <c r="B442" s="5831">
        <v>4</v>
      </c>
      <c r="C442" s="2792" t="s">
        <v>1386</v>
      </c>
      <c r="D442" s="88"/>
      <c r="E442" s="88"/>
      <c r="F442" s="88">
        <v>37</v>
      </c>
      <c r="G442" s="88" t="s">
        <v>1625</v>
      </c>
      <c r="H442" s="88" t="s">
        <v>1631</v>
      </c>
      <c r="I442" s="4203">
        <v>36865</v>
      </c>
      <c r="J442" s="3184">
        <v>45325</v>
      </c>
      <c r="K442" s="3726">
        <v>4.34</v>
      </c>
      <c r="L442" s="2796">
        <v>0.47</v>
      </c>
      <c r="M442" s="2921">
        <v>5.19</v>
      </c>
      <c r="N442" s="4131">
        <v>0.55000000000000004</v>
      </c>
      <c r="O442" s="4204">
        <v>-0.85</v>
      </c>
      <c r="P442" s="3101">
        <v>1.83</v>
      </c>
      <c r="Q442" s="3987">
        <v>0.46</v>
      </c>
      <c r="R442" s="4205">
        <v>0.77</v>
      </c>
      <c r="S442" s="4162">
        <v>0.7</v>
      </c>
      <c r="T442" s="88">
        <v>17</v>
      </c>
      <c r="U442" s="3233">
        <v>0.18</v>
      </c>
      <c r="V442" s="4206">
        <v>0.24</v>
      </c>
      <c r="W442" s="3824">
        <v>0.28999999999999998</v>
      </c>
      <c r="X442" s="2902">
        <v>0.4118</v>
      </c>
      <c r="Y442" s="4207">
        <v>3</v>
      </c>
      <c r="Z442" s="2862">
        <v>1</v>
      </c>
      <c r="AA442" s="4208">
        <v>4</v>
      </c>
      <c r="AB442" s="2809">
        <v>0</v>
      </c>
      <c r="AC442" s="3946">
        <v>5</v>
      </c>
      <c r="AD442" s="4209">
        <v>4</v>
      </c>
      <c r="AE442" s="63">
        <v>0</v>
      </c>
      <c r="AF442" s="27">
        <v>0</v>
      </c>
      <c r="AG442" s="3023">
        <f>235</f>
        <v>235</v>
      </c>
      <c r="AH442" s="2741"/>
      <c r="AI442" s="2744">
        <f>285</f>
        <v>285</v>
      </c>
      <c r="AJ442" s="54"/>
      <c r="AK442" s="6"/>
      <c r="AL442" s="6"/>
      <c r="AM442" s="6"/>
      <c r="AN442" s="183"/>
      <c r="AO442" s="107"/>
    </row>
    <row r="443" spans="1:41" ht="14.25">
      <c r="A443" s="109"/>
      <c r="B443" s="5832"/>
      <c r="C443" s="2819" t="s">
        <v>1418</v>
      </c>
      <c r="D443" s="2820"/>
      <c r="E443" s="2820"/>
      <c r="F443" s="2820">
        <v>27</v>
      </c>
      <c r="G443" s="2820" t="s">
        <v>1625</v>
      </c>
      <c r="H443" s="2820" t="s">
        <v>1659</v>
      </c>
      <c r="I443" s="2820" t="s">
        <v>1921</v>
      </c>
      <c r="J443" s="28" t="s">
        <v>1629</v>
      </c>
      <c r="K443" s="4210">
        <v>5.2</v>
      </c>
      <c r="L443" s="3379">
        <v>0.48</v>
      </c>
      <c r="M443" s="4211">
        <v>2.23</v>
      </c>
      <c r="N443" s="3410">
        <v>0.65</v>
      </c>
      <c r="O443" s="4212">
        <f>2.97</f>
        <v>2.97</v>
      </c>
      <c r="P443" s="4172">
        <v>0.68</v>
      </c>
      <c r="Q443" s="2984">
        <v>0.33</v>
      </c>
      <c r="R443" s="4213">
        <v>0.92</v>
      </c>
      <c r="S443" s="2911">
        <v>0</v>
      </c>
      <c r="T443" s="2820">
        <v>22</v>
      </c>
      <c r="U443" s="4214">
        <v>0.23</v>
      </c>
      <c r="V443" s="3738">
        <v>0.32</v>
      </c>
      <c r="W443" s="4215">
        <v>0.14000000000000001</v>
      </c>
      <c r="X443" s="4216">
        <v>0.54549999999999998</v>
      </c>
      <c r="Y443" s="2780">
        <v>5</v>
      </c>
      <c r="Z443" s="2837">
        <v>1</v>
      </c>
      <c r="AA443" s="4217">
        <v>7</v>
      </c>
      <c r="AB443" s="2990">
        <v>2</v>
      </c>
      <c r="AC443" s="4156">
        <v>3</v>
      </c>
      <c r="AD443" s="4218">
        <v>2</v>
      </c>
      <c r="AE443" s="3278">
        <v>1</v>
      </c>
      <c r="AF443" s="28">
        <v>0</v>
      </c>
      <c r="AG443" s="4219">
        <v>-275</v>
      </c>
      <c r="AH443" s="2890"/>
      <c r="AI443" s="2774">
        <v>-350</v>
      </c>
      <c r="AJ443" s="213"/>
      <c r="AK443" s="5"/>
      <c r="AL443" s="5"/>
      <c r="AM443" s="5"/>
      <c r="AN443" s="213"/>
      <c r="AO443" s="107"/>
    </row>
    <row r="444" spans="1:41" ht="14.25">
      <c r="A444" s="109"/>
      <c r="B444" s="5833">
        <v>5</v>
      </c>
      <c r="C444" s="2732" t="s">
        <v>1922</v>
      </c>
      <c r="D444" s="2733"/>
      <c r="E444" s="2733"/>
      <c r="F444" s="2733">
        <v>33</v>
      </c>
      <c r="G444" s="2733" t="s">
        <v>1588</v>
      </c>
      <c r="H444" s="2733" t="s">
        <v>1589</v>
      </c>
      <c r="I444" s="2733" t="s">
        <v>1874</v>
      </c>
      <c r="J444" s="2755" t="s">
        <v>1629</v>
      </c>
      <c r="K444" s="3425">
        <v>6.03</v>
      </c>
      <c r="L444" s="4220">
        <v>0.64</v>
      </c>
      <c r="M444" s="3103">
        <v>4.3600000000000003</v>
      </c>
      <c r="N444" s="4221">
        <v>0.62</v>
      </c>
      <c r="O444" s="4222">
        <f>1.67</f>
        <v>1.67</v>
      </c>
      <c r="P444" s="4223">
        <v>5.77</v>
      </c>
      <c r="Q444" s="4224">
        <v>0.6</v>
      </c>
      <c r="R444" s="2801">
        <v>1</v>
      </c>
      <c r="S444" s="2809">
        <v>3.9</v>
      </c>
      <c r="T444" s="2733">
        <v>14</v>
      </c>
      <c r="U444" s="4225">
        <v>0.36</v>
      </c>
      <c r="V444" s="4226">
        <v>0.28999999999999998</v>
      </c>
      <c r="W444" s="4227">
        <v>0.36</v>
      </c>
      <c r="X444" s="4228">
        <v>0.64290000000000003</v>
      </c>
      <c r="Y444" s="2808">
        <v>5</v>
      </c>
      <c r="Z444" s="2809">
        <v>0</v>
      </c>
      <c r="AA444" s="4208">
        <v>4</v>
      </c>
      <c r="AB444" s="2809">
        <v>0</v>
      </c>
      <c r="AC444" s="3946">
        <v>5</v>
      </c>
      <c r="AD444" s="2809">
        <v>0</v>
      </c>
      <c r="AE444" s="2754">
        <v>0</v>
      </c>
      <c r="AF444" s="2755">
        <v>0</v>
      </c>
      <c r="AG444" s="4026">
        <v>-225</v>
      </c>
      <c r="AH444" s="4229"/>
      <c r="AI444" s="4230">
        <v>-180</v>
      </c>
      <c r="AJ444" s="1372"/>
      <c r="AK444" s="640"/>
      <c r="AL444" s="640"/>
      <c r="AM444" s="640"/>
      <c r="AN444" s="119"/>
      <c r="AO444" s="107"/>
    </row>
    <row r="445" spans="1:41" ht="14.25">
      <c r="A445" s="109"/>
      <c r="B445" s="5832"/>
      <c r="C445" s="2762" t="s">
        <v>1923</v>
      </c>
      <c r="D445" s="2763"/>
      <c r="E445" s="2763"/>
      <c r="F445" s="2763">
        <v>33</v>
      </c>
      <c r="G445" s="2763" t="s">
        <v>1571</v>
      </c>
      <c r="H445" s="2763" t="s">
        <v>1924</v>
      </c>
      <c r="I445" s="2763" t="s">
        <v>1925</v>
      </c>
      <c r="J445" s="3163">
        <v>45353</v>
      </c>
      <c r="K445" s="4231">
        <v>4.21</v>
      </c>
      <c r="L445" s="3678">
        <v>0.43</v>
      </c>
      <c r="M445" s="2874">
        <v>2.56</v>
      </c>
      <c r="N445" s="4232">
        <v>0.61</v>
      </c>
      <c r="O445" s="4233">
        <f>1.65</f>
        <v>1.65</v>
      </c>
      <c r="P445" s="4234">
        <v>3.04</v>
      </c>
      <c r="Q445" s="3035">
        <v>0.66</v>
      </c>
      <c r="R445" s="2767">
        <v>0.77</v>
      </c>
      <c r="S445" s="4235">
        <v>0.2</v>
      </c>
      <c r="T445" s="2763">
        <v>34</v>
      </c>
      <c r="U445" s="4236">
        <v>0.5</v>
      </c>
      <c r="V445" s="4237">
        <v>0.09</v>
      </c>
      <c r="W445" s="4176">
        <v>0.18</v>
      </c>
      <c r="X445" s="4238">
        <v>0.58819999999999995</v>
      </c>
      <c r="Y445" s="3278">
        <v>17</v>
      </c>
      <c r="Z445" s="2837">
        <v>1</v>
      </c>
      <c r="AA445" s="4202">
        <v>3</v>
      </c>
      <c r="AB445" s="2911">
        <v>4</v>
      </c>
      <c r="AC445" s="3341">
        <v>6</v>
      </c>
      <c r="AD445" s="2990">
        <v>3</v>
      </c>
      <c r="AE445" s="2782">
        <v>0</v>
      </c>
      <c r="AF445" s="2783">
        <v>0</v>
      </c>
      <c r="AG445" s="4239">
        <f>190</f>
        <v>190</v>
      </c>
      <c r="AH445" s="4240"/>
      <c r="AI445" s="4241">
        <f>155</f>
        <v>155</v>
      </c>
      <c r="AJ445" s="151"/>
      <c r="AK445" s="657"/>
      <c r="AL445" s="657"/>
      <c r="AM445" s="657"/>
      <c r="AN445" s="151"/>
      <c r="AO445" s="107"/>
    </row>
    <row r="446" spans="1:41" ht="14.25">
      <c r="A446" s="109"/>
      <c r="B446" s="5831">
        <v>6</v>
      </c>
      <c r="C446" s="2792" t="s">
        <v>1173</v>
      </c>
      <c r="D446" s="88"/>
      <c r="E446" s="88"/>
      <c r="F446" s="88">
        <v>27</v>
      </c>
      <c r="G446" s="88" t="s">
        <v>1567</v>
      </c>
      <c r="H446" s="88" t="s">
        <v>1622</v>
      </c>
      <c r="I446" s="4203">
        <v>36709</v>
      </c>
      <c r="J446" s="3184">
        <v>45353</v>
      </c>
      <c r="K446" s="4242">
        <v>6.33</v>
      </c>
      <c r="L446" s="3048">
        <v>0.6</v>
      </c>
      <c r="M446" s="3105">
        <v>4.09</v>
      </c>
      <c r="N446" s="4243">
        <v>0.47</v>
      </c>
      <c r="O446" s="4244">
        <f>2.24</f>
        <v>2.2400000000000002</v>
      </c>
      <c r="P446" s="4245">
        <v>3.96</v>
      </c>
      <c r="Q446" s="4134">
        <v>0.5</v>
      </c>
      <c r="R446" s="2742">
        <v>0</v>
      </c>
      <c r="S446" s="4020">
        <v>1</v>
      </c>
      <c r="T446" s="88">
        <v>9</v>
      </c>
      <c r="U446" s="4246">
        <v>0.22</v>
      </c>
      <c r="V446" s="3853">
        <v>0.22</v>
      </c>
      <c r="W446" s="4137">
        <v>0.33</v>
      </c>
      <c r="X446" s="4247">
        <v>0.44440000000000002</v>
      </c>
      <c r="Y446" s="4248">
        <v>2</v>
      </c>
      <c r="Z446" s="2809">
        <v>0</v>
      </c>
      <c r="AA446" s="4249">
        <v>2</v>
      </c>
      <c r="AB446" s="2862">
        <v>1</v>
      </c>
      <c r="AC446" s="4250">
        <v>3</v>
      </c>
      <c r="AD446" s="3967">
        <v>1</v>
      </c>
      <c r="AE446" s="63">
        <v>0</v>
      </c>
      <c r="AF446" s="27">
        <v>0</v>
      </c>
      <c r="AG446" s="4251">
        <v>-155</v>
      </c>
      <c r="AH446" s="4252"/>
      <c r="AI446" s="4253">
        <v>-203</v>
      </c>
      <c r="AJ446" s="54"/>
      <c r="AK446" s="6"/>
      <c r="AL446" s="6"/>
      <c r="AM446" s="6"/>
      <c r="AN446" s="183"/>
      <c r="AO446" s="107"/>
    </row>
    <row r="447" spans="1:41" ht="14.25">
      <c r="A447" s="109"/>
      <c r="B447" s="5832"/>
      <c r="C447" s="2819" t="s">
        <v>1174</v>
      </c>
      <c r="D447" s="2820"/>
      <c r="E447" s="2820"/>
      <c r="F447" s="2820">
        <v>33</v>
      </c>
      <c r="G447" s="2820" t="s">
        <v>1588</v>
      </c>
      <c r="H447" s="2820" t="s">
        <v>1616</v>
      </c>
      <c r="I447" s="4254">
        <v>36741</v>
      </c>
      <c r="J447" s="28" t="s">
        <v>1629</v>
      </c>
      <c r="K447" s="4255">
        <v>2.33</v>
      </c>
      <c r="L447" s="2945">
        <v>0.46</v>
      </c>
      <c r="M447" s="4256">
        <v>2.93</v>
      </c>
      <c r="N447" s="4257">
        <v>0.53</v>
      </c>
      <c r="O447" s="4258">
        <v>-0.6</v>
      </c>
      <c r="P447" s="4259">
        <v>1</v>
      </c>
      <c r="Q447" s="4260">
        <v>0.16</v>
      </c>
      <c r="R447" s="2773">
        <v>1</v>
      </c>
      <c r="S447" s="2911">
        <v>0</v>
      </c>
      <c r="T447" s="2820">
        <v>11</v>
      </c>
      <c r="U447" s="2832">
        <v>0.27</v>
      </c>
      <c r="V447" s="4261">
        <v>0.18</v>
      </c>
      <c r="W447" s="4262">
        <v>0.27</v>
      </c>
      <c r="X447" s="4263">
        <v>0.45450000000000002</v>
      </c>
      <c r="Y447" s="4264">
        <v>3</v>
      </c>
      <c r="Z447" s="2837">
        <v>1</v>
      </c>
      <c r="AA447" s="4265">
        <v>2</v>
      </c>
      <c r="AB447" s="2774">
        <v>0</v>
      </c>
      <c r="AC447" s="4156">
        <v>3</v>
      </c>
      <c r="AD447" s="4218">
        <v>2</v>
      </c>
      <c r="AE447" s="2841">
        <v>0</v>
      </c>
      <c r="AF447" s="28">
        <v>0</v>
      </c>
      <c r="AG447" s="4266">
        <f>135</f>
        <v>135</v>
      </c>
      <c r="AH447" s="4267"/>
      <c r="AI447" s="4268">
        <f>173</f>
        <v>173</v>
      </c>
      <c r="AJ447" s="213"/>
      <c r="AK447" s="5"/>
      <c r="AL447" s="5"/>
      <c r="AM447" s="5"/>
      <c r="AN447" s="213"/>
      <c r="AO447" s="107"/>
    </row>
    <row r="448" spans="1:41" ht="14.25">
      <c r="A448" s="109"/>
      <c r="B448" s="5833">
        <v>7</v>
      </c>
      <c r="C448" s="2732" t="s">
        <v>1442</v>
      </c>
      <c r="D448" s="2733"/>
      <c r="E448" s="2733"/>
      <c r="F448" s="2733">
        <v>33</v>
      </c>
      <c r="G448" s="2733" t="s">
        <v>1625</v>
      </c>
      <c r="H448" s="2733" t="s">
        <v>1715</v>
      </c>
      <c r="I448" s="2733" t="s">
        <v>1926</v>
      </c>
      <c r="J448" s="3142">
        <v>45353</v>
      </c>
      <c r="K448" s="3047">
        <v>5.68</v>
      </c>
      <c r="L448" s="4180">
        <v>0.49</v>
      </c>
      <c r="M448" s="4269">
        <v>4.9000000000000004</v>
      </c>
      <c r="N448" s="4270">
        <v>0.63</v>
      </c>
      <c r="O448" s="4271">
        <f>0.78</f>
        <v>0.78</v>
      </c>
      <c r="P448" s="3566">
        <v>1.65</v>
      </c>
      <c r="Q448" s="3398">
        <v>0.35</v>
      </c>
      <c r="R448" s="3102">
        <v>0.43</v>
      </c>
      <c r="S448" s="3228">
        <v>0.5</v>
      </c>
      <c r="T448" s="2733">
        <v>19</v>
      </c>
      <c r="U448" s="4272">
        <v>0.32</v>
      </c>
      <c r="V448" s="2746">
        <v>0</v>
      </c>
      <c r="W448" s="3925">
        <v>0.37</v>
      </c>
      <c r="X448" s="4273">
        <v>0.31580000000000003</v>
      </c>
      <c r="Y448" s="4185">
        <v>6</v>
      </c>
      <c r="Z448" s="2809">
        <v>0</v>
      </c>
      <c r="AA448" s="2751">
        <v>0</v>
      </c>
      <c r="AB448" s="3007">
        <v>3</v>
      </c>
      <c r="AC448" s="2864">
        <v>7</v>
      </c>
      <c r="AD448" s="2750">
        <v>3</v>
      </c>
      <c r="AE448" s="2754">
        <v>0</v>
      </c>
      <c r="AF448" s="2755">
        <v>0</v>
      </c>
      <c r="AG448" s="4251">
        <v>-155</v>
      </c>
      <c r="AH448" s="4274"/>
      <c r="AI448" s="4275">
        <v>-305</v>
      </c>
      <c r="AJ448" s="1372"/>
      <c r="AK448" s="640"/>
      <c r="AL448" s="640"/>
      <c r="AM448" s="640"/>
      <c r="AN448" s="119"/>
      <c r="AO448" s="107"/>
    </row>
    <row r="449" spans="1:41" ht="14.25">
      <c r="A449" s="109"/>
      <c r="B449" s="5832"/>
      <c r="C449" s="2762" t="s">
        <v>1428</v>
      </c>
      <c r="D449" s="2763"/>
      <c r="E449" s="2763"/>
      <c r="F449" s="2763">
        <v>27</v>
      </c>
      <c r="G449" s="2763" t="s">
        <v>1592</v>
      </c>
      <c r="H449" s="2763" t="s">
        <v>1631</v>
      </c>
      <c r="I449" s="2763" t="s">
        <v>1927</v>
      </c>
      <c r="J449" s="3163">
        <v>45325</v>
      </c>
      <c r="K449" s="4276">
        <v>6.59</v>
      </c>
      <c r="L449" s="3165">
        <v>0.42</v>
      </c>
      <c r="M449" s="4277">
        <v>6.43</v>
      </c>
      <c r="N449" s="4171">
        <v>0.51</v>
      </c>
      <c r="O449" s="4278">
        <f>0.16</f>
        <v>0.16</v>
      </c>
      <c r="P449" s="2980">
        <v>0.97</v>
      </c>
      <c r="Q449" s="4279">
        <v>0.62</v>
      </c>
      <c r="R449" s="3211">
        <v>0.69</v>
      </c>
      <c r="S449" s="2911">
        <v>0</v>
      </c>
      <c r="T449" s="2763">
        <v>23</v>
      </c>
      <c r="U449" s="2986">
        <v>0.26</v>
      </c>
      <c r="V449" s="3892">
        <v>0.17</v>
      </c>
      <c r="W449" s="3467">
        <v>0.22</v>
      </c>
      <c r="X449" s="2950">
        <v>0.43480000000000002</v>
      </c>
      <c r="Y449" s="4280">
        <v>6</v>
      </c>
      <c r="Z449" s="2774">
        <v>0</v>
      </c>
      <c r="AA449" s="4155">
        <v>4</v>
      </c>
      <c r="AB449" s="2911">
        <v>4</v>
      </c>
      <c r="AC449" s="2838">
        <v>5</v>
      </c>
      <c r="AD449" s="4281">
        <v>4</v>
      </c>
      <c r="AE449" s="2782">
        <v>0</v>
      </c>
      <c r="AF449" s="2783">
        <v>0</v>
      </c>
      <c r="AG449" s="4266">
        <f>135</f>
        <v>135</v>
      </c>
      <c r="AH449" s="4282"/>
      <c r="AI449" s="4283">
        <f>255</f>
        <v>255</v>
      </c>
      <c r="AJ449" s="151"/>
      <c r="AK449" s="657"/>
      <c r="AL449" s="657"/>
      <c r="AM449" s="657"/>
      <c r="AN449" s="151"/>
      <c r="AO449" s="107"/>
    </row>
    <row r="450" spans="1:41" ht="14.25">
      <c r="A450" s="109"/>
      <c r="B450" s="5831">
        <v>8</v>
      </c>
      <c r="C450" s="2792" t="s">
        <v>497</v>
      </c>
      <c r="D450" s="88"/>
      <c r="E450" s="88"/>
      <c r="F450" s="88">
        <v>29</v>
      </c>
      <c r="G450" s="88" t="s">
        <v>1592</v>
      </c>
      <c r="H450" s="88" t="s">
        <v>1618</v>
      </c>
      <c r="I450" s="88" t="s">
        <v>1928</v>
      </c>
      <c r="J450" s="27" t="s">
        <v>1629</v>
      </c>
      <c r="K450" s="4284">
        <v>3.07</v>
      </c>
      <c r="L450" s="2742">
        <v>0.24</v>
      </c>
      <c r="M450" s="3286">
        <v>5.4</v>
      </c>
      <c r="N450" s="4285">
        <v>0.61</v>
      </c>
      <c r="O450" s="2744">
        <v>-2.33</v>
      </c>
      <c r="P450" s="3847">
        <v>2</v>
      </c>
      <c r="Q450" s="4007">
        <v>0.18</v>
      </c>
      <c r="R450" s="2742">
        <v>0</v>
      </c>
      <c r="S450" s="2744">
        <v>0</v>
      </c>
      <c r="T450" s="88">
        <v>16</v>
      </c>
      <c r="U450" s="2968">
        <v>0.31</v>
      </c>
      <c r="V450" s="4286">
        <v>0.38</v>
      </c>
      <c r="W450" s="4287">
        <v>0.31</v>
      </c>
      <c r="X450" s="4288">
        <v>0.6875</v>
      </c>
      <c r="Y450" s="2808">
        <v>5</v>
      </c>
      <c r="Z450" s="2809">
        <v>0</v>
      </c>
      <c r="AA450" s="4289">
        <v>6</v>
      </c>
      <c r="AB450" s="2809">
        <v>0</v>
      </c>
      <c r="AC450" s="3946">
        <v>5</v>
      </c>
      <c r="AD450" s="2809">
        <v>0</v>
      </c>
      <c r="AE450" s="63">
        <v>0</v>
      </c>
      <c r="AF450" s="27">
        <v>0</v>
      </c>
      <c r="AG450" s="3373">
        <v>-300</v>
      </c>
      <c r="AH450" s="4290"/>
      <c r="AI450" s="4291">
        <v>-200</v>
      </c>
      <c r="AJ450" s="54"/>
      <c r="AK450" s="6"/>
      <c r="AL450" s="6"/>
      <c r="AM450" s="6"/>
      <c r="AN450" s="183"/>
      <c r="AO450" s="107"/>
    </row>
    <row r="451" spans="1:41" ht="14.25">
      <c r="A451" s="109"/>
      <c r="B451" s="5832"/>
      <c r="C451" s="2819" t="s">
        <v>418</v>
      </c>
      <c r="D451" s="2820"/>
      <c r="E451" s="2820"/>
      <c r="F451" s="2820">
        <v>33</v>
      </c>
      <c r="G451" s="2820" t="s">
        <v>1588</v>
      </c>
      <c r="H451" s="2820" t="s">
        <v>1618</v>
      </c>
      <c r="I451" s="2820" t="s">
        <v>1926</v>
      </c>
      <c r="J451" s="3204">
        <v>45325</v>
      </c>
      <c r="K451" s="4292">
        <v>4.34</v>
      </c>
      <c r="L451" s="4293">
        <v>0.55000000000000004</v>
      </c>
      <c r="M451" s="4294">
        <v>3.27</v>
      </c>
      <c r="N451" s="3886">
        <v>0.54</v>
      </c>
      <c r="O451" s="4295">
        <f>1.07</f>
        <v>1.07</v>
      </c>
      <c r="P451" s="4296">
        <v>0.19</v>
      </c>
      <c r="Q451" s="3244">
        <v>0.14000000000000001</v>
      </c>
      <c r="R451" s="4297">
        <v>0.62</v>
      </c>
      <c r="S451" s="4235">
        <v>0.2</v>
      </c>
      <c r="T451" s="2820">
        <v>19</v>
      </c>
      <c r="U451" s="2986">
        <v>0.26</v>
      </c>
      <c r="V451" s="4014">
        <v>0.21</v>
      </c>
      <c r="W451" s="4298">
        <v>0.21</v>
      </c>
      <c r="X451" s="4299">
        <v>0.47370000000000001</v>
      </c>
      <c r="Y451" s="2780">
        <v>5</v>
      </c>
      <c r="Z451" s="2774">
        <v>0</v>
      </c>
      <c r="AA451" s="4155">
        <v>4</v>
      </c>
      <c r="AB451" s="2774">
        <v>0</v>
      </c>
      <c r="AC451" s="2780">
        <v>4</v>
      </c>
      <c r="AD451" s="2911">
        <v>6</v>
      </c>
      <c r="AE451" s="2841">
        <v>0</v>
      </c>
      <c r="AF451" s="28">
        <v>0</v>
      </c>
      <c r="AG451" s="4300">
        <f>250</f>
        <v>250</v>
      </c>
      <c r="AH451" s="4301"/>
      <c r="AI451" s="4302">
        <f>170</f>
        <v>170</v>
      </c>
      <c r="AJ451" s="213"/>
      <c r="AK451" s="5"/>
      <c r="AL451" s="5"/>
      <c r="AM451" s="5"/>
      <c r="AN451" s="213"/>
      <c r="AO451" s="107"/>
    </row>
    <row r="452" spans="1:41" ht="14.25">
      <c r="A452" s="109"/>
      <c r="B452" s="5833">
        <v>9</v>
      </c>
      <c r="C452" s="2732" t="s">
        <v>1178</v>
      </c>
      <c r="D452" s="2733"/>
      <c r="E452" s="2733"/>
      <c r="F452" s="2733">
        <v>33</v>
      </c>
      <c r="G452" s="2733" t="s">
        <v>1603</v>
      </c>
      <c r="H452" s="2733" t="s">
        <v>1586</v>
      </c>
      <c r="I452" s="4128">
        <v>36834</v>
      </c>
      <c r="J452" s="3142">
        <v>45353</v>
      </c>
      <c r="K452" s="2741">
        <v>1.8</v>
      </c>
      <c r="L452" s="4303">
        <v>0.59</v>
      </c>
      <c r="M452" s="2905">
        <v>1.71</v>
      </c>
      <c r="N452" s="4304">
        <v>0.42</v>
      </c>
      <c r="O452" s="4305">
        <f>0.09</f>
        <v>0.09</v>
      </c>
      <c r="P452" s="4306">
        <v>3.47</v>
      </c>
      <c r="Q452" s="4134">
        <v>0.5</v>
      </c>
      <c r="R452" s="3015">
        <v>0.66</v>
      </c>
      <c r="S452" s="2744">
        <v>0</v>
      </c>
      <c r="T452" s="2733">
        <v>15</v>
      </c>
      <c r="U452" s="4307">
        <v>7.0000000000000007E-2</v>
      </c>
      <c r="V452" s="4117">
        <v>0.4</v>
      </c>
      <c r="W452" s="4183">
        <v>0.27</v>
      </c>
      <c r="X452" s="4308">
        <v>0.4667</v>
      </c>
      <c r="Y452" s="4309">
        <v>1</v>
      </c>
      <c r="Z452" s="2862">
        <v>1</v>
      </c>
      <c r="AA452" s="4289">
        <v>6</v>
      </c>
      <c r="AB452" s="2750">
        <v>2</v>
      </c>
      <c r="AC452" s="2808">
        <v>4</v>
      </c>
      <c r="AD452" s="3967">
        <v>1</v>
      </c>
      <c r="AE452" s="2754">
        <v>0</v>
      </c>
      <c r="AF452" s="2755">
        <v>0</v>
      </c>
      <c r="AG452" s="2905">
        <v>-350</v>
      </c>
      <c r="AH452" s="4310"/>
      <c r="AI452" s="4311">
        <v>-235</v>
      </c>
      <c r="AJ452" s="1372"/>
      <c r="AK452" s="640"/>
      <c r="AL452" s="640"/>
      <c r="AM452" s="640"/>
      <c r="AN452" s="119"/>
      <c r="AO452" s="107"/>
    </row>
    <row r="453" spans="1:41" ht="14.25">
      <c r="A453" s="109"/>
      <c r="B453" s="5832"/>
      <c r="C453" s="2762" t="s">
        <v>1177</v>
      </c>
      <c r="D453" s="2763"/>
      <c r="E453" s="2763"/>
      <c r="F453" s="2763">
        <v>27</v>
      </c>
      <c r="G453" s="2763" t="s">
        <v>1588</v>
      </c>
      <c r="H453" s="2763" t="s">
        <v>1595</v>
      </c>
      <c r="I453" s="4312">
        <v>36647</v>
      </c>
      <c r="J453" s="3163">
        <v>45383</v>
      </c>
      <c r="K453" s="2890">
        <v>10.37</v>
      </c>
      <c r="L453" s="2945">
        <v>0.46</v>
      </c>
      <c r="M453" s="2771">
        <v>11.69</v>
      </c>
      <c r="N453" s="4313">
        <v>0.44</v>
      </c>
      <c r="O453" s="4314">
        <v>-1.32</v>
      </c>
      <c r="P453" s="2771">
        <v>0</v>
      </c>
      <c r="Q453" s="2772">
        <v>0</v>
      </c>
      <c r="R453" s="2773">
        <v>1</v>
      </c>
      <c r="S453" s="2911">
        <v>0</v>
      </c>
      <c r="T453" s="2763">
        <v>6</v>
      </c>
      <c r="U453" s="2880">
        <v>0.83</v>
      </c>
      <c r="V453" s="2834">
        <v>0</v>
      </c>
      <c r="W453" s="2834">
        <v>0</v>
      </c>
      <c r="X453" s="4315">
        <v>0.83330000000000004</v>
      </c>
      <c r="Y453" s="2780">
        <v>5</v>
      </c>
      <c r="Z453" s="2837">
        <v>1</v>
      </c>
      <c r="AA453" s="2840">
        <v>0</v>
      </c>
      <c r="AB453" s="2774">
        <v>0</v>
      </c>
      <c r="AC453" s="2840">
        <v>0</v>
      </c>
      <c r="AD453" s="2774">
        <v>0</v>
      </c>
      <c r="AE453" s="2782">
        <v>0</v>
      </c>
      <c r="AF453" s="2783">
        <v>0</v>
      </c>
      <c r="AG453" s="2771">
        <f>285</f>
        <v>285</v>
      </c>
      <c r="AH453" s="3280"/>
      <c r="AI453" s="4316">
        <f>200</f>
        <v>200</v>
      </c>
      <c r="AJ453" s="151"/>
      <c r="AK453" s="657"/>
      <c r="AL453" s="657"/>
      <c r="AM453" s="657"/>
      <c r="AN453" s="151"/>
      <c r="AO453" s="107"/>
    </row>
    <row r="454" spans="1:41" ht="14.25">
      <c r="A454" s="109"/>
      <c r="B454" s="5831">
        <v>10</v>
      </c>
      <c r="C454" s="2792" t="s">
        <v>310</v>
      </c>
      <c r="D454" s="88"/>
      <c r="E454" s="88"/>
      <c r="F454" s="88">
        <v>28</v>
      </c>
      <c r="G454" s="88" t="s">
        <v>1575</v>
      </c>
      <c r="H454" s="88" t="s">
        <v>1595</v>
      </c>
      <c r="I454" s="4203">
        <v>36800</v>
      </c>
      <c r="J454" s="27" t="s">
        <v>1629</v>
      </c>
      <c r="K454" s="3229">
        <v>2.39</v>
      </c>
      <c r="L454" s="2796">
        <v>0.47</v>
      </c>
      <c r="M454" s="4317">
        <v>1.84</v>
      </c>
      <c r="N454" s="4131">
        <v>0.55000000000000004</v>
      </c>
      <c r="O454" s="3572">
        <f>0.55</f>
        <v>0.55000000000000004</v>
      </c>
      <c r="P454" s="2741">
        <v>0</v>
      </c>
      <c r="Q454" s="2742">
        <v>0</v>
      </c>
      <c r="R454" s="3189">
        <v>0.73</v>
      </c>
      <c r="S454" s="3700">
        <v>0.9</v>
      </c>
      <c r="T454" s="88">
        <v>11</v>
      </c>
      <c r="U454" s="4225">
        <v>0.36</v>
      </c>
      <c r="V454" s="4318">
        <v>0.27</v>
      </c>
      <c r="W454" s="4183">
        <v>0.27</v>
      </c>
      <c r="X454" s="4319">
        <v>0.63639999999999997</v>
      </c>
      <c r="Y454" s="4320">
        <v>4</v>
      </c>
      <c r="Z454" s="2809">
        <v>0</v>
      </c>
      <c r="AA454" s="4140">
        <v>3</v>
      </c>
      <c r="AB454" s="2809">
        <v>0</v>
      </c>
      <c r="AC454" s="4250">
        <v>3</v>
      </c>
      <c r="AD454" s="3967">
        <v>1</v>
      </c>
      <c r="AE454" s="63">
        <v>0</v>
      </c>
      <c r="AF454" s="27">
        <v>0</v>
      </c>
      <c r="AG454" s="4321">
        <v>-255</v>
      </c>
      <c r="AH454" s="4166"/>
      <c r="AI454" s="4167">
        <v>-145</v>
      </c>
      <c r="AJ454" s="54"/>
      <c r="AK454" s="6"/>
      <c r="AL454" s="6"/>
      <c r="AM454" s="6"/>
      <c r="AN454" s="183"/>
      <c r="AO454" s="107"/>
    </row>
    <row r="455" spans="1:41" ht="14.25">
      <c r="A455" s="109"/>
      <c r="B455" s="5832"/>
      <c r="C455" s="2819" t="s">
        <v>309</v>
      </c>
      <c r="D455" s="2820"/>
      <c r="E455" s="2820"/>
      <c r="F455" s="2820">
        <v>33</v>
      </c>
      <c r="G455" s="2820" t="s">
        <v>1630</v>
      </c>
      <c r="H455" s="2820" t="s">
        <v>1834</v>
      </c>
      <c r="I455" s="4254">
        <v>37104</v>
      </c>
      <c r="J455" s="3204">
        <v>45383</v>
      </c>
      <c r="K455" s="3712">
        <v>4.96</v>
      </c>
      <c r="L455" s="4011">
        <v>0.5</v>
      </c>
      <c r="M455" s="3651">
        <v>4.54</v>
      </c>
      <c r="N455" s="4322">
        <v>0.56000000000000005</v>
      </c>
      <c r="O455" s="3620">
        <f>0.42</f>
        <v>0.42</v>
      </c>
      <c r="P455" s="4323">
        <v>0.45</v>
      </c>
      <c r="Q455" s="4324">
        <v>0.1</v>
      </c>
      <c r="R455" s="2773">
        <v>1</v>
      </c>
      <c r="S455" s="3064">
        <v>0.9</v>
      </c>
      <c r="T455" s="2820">
        <v>10</v>
      </c>
      <c r="U455" s="4325">
        <v>0.1</v>
      </c>
      <c r="V455" s="4326">
        <v>0.4</v>
      </c>
      <c r="W455" s="4327">
        <v>0.3</v>
      </c>
      <c r="X455" s="4328">
        <v>0.5</v>
      </c>
      <c r="Y455" s="4329">
        <v>1</v>
      </c>
      <c r="Z455" s="2774">
        <v>0</v>
      </c>
      <c r="AA455" s="4155">
        <v>4</v>
      </c>
      <c r="AB455" s="2774">
        <v>0</v>
      </c>
      <c r="AC455" s="4156">
        <v>3</v>
      </c>
      <c r="AD455" s="3916">
        <v>1</v>
      </c>
      <c r="AE455" s="2841">
        <v>0</v>
      </c>
      <c r="AF455" s="28">
        <v>0</v>
      </c>
      <c r="AG455" s="4330">
        <f>215</f>
        <v>215</v>
      </c>
      <c r="AH455" s="3956"/>
      <c r="AI455" s="3957">
        <f>125</f>
        <v>125</v>
      </c>
      <c r="AJ455" s="213"/>
      <c r="AK455" s="5"/>
      <c r="AL455" s="5"/>
      <c r="AM455" s="5"/>
      <c r="AN455" s="213"/>
      <c r="AO455" s="107"/>
    </row>
    <row r="456" spans="1:41" ht="14.25">
      <c r="A456" s="109"/>
      <c r="B456" s="5833">
        <v>11</v>
      </c>
      <c r="C456" s="2732" t="s">
        <v>1422</v>
      </c>
      <c r="D456" s="2733"/>
      <c r="E456" s="2733"/>
      <c r="F456" s="2733">
        <v>30</v>
      </c>
      <c r="G456" s="2733" t="s">
        <v>1653</v>
      </c>
      <c r="H456" s="2733" t="s">
        <v>1606</v>
      </c>
      <c r="I456" s="4128">
        <v>36773</v>
      </c>
      <c r="J456" s="3142">
        <v>45353</v>
      </c>
      <c r="K456" s="4331">
        <v>4.6500000000000004</v>
      </c>
      <c r="L456" s="3499">
        <v>0.5</v>
      </c>
      <c r="M456" s="3453">
        <v>4</v>
      </c>
      <c r="N456" s="4243">
        <v>0.47</v>
      </c>
      <c r="O456" s="3228">
        <f>0.65</f>
        <v>0.65</v>
      </c>
      <c r="P456" s="4332">
        <v>0.15</v>
      </c>
      <c r="Q456" s="4333">
        <v>0.25</v>
      </c>
      <c r="R456" s="4334">
        <v>0.76</v>
      </c>
      <c r="S456" s="4162">
        <v>0.7</v>
      </c>
      <c r="T456" s="2733">
        <v>13</v>
      </c>
      <c r="U456" s="3005">
        <v>0.15</v>
      </c>
      <c r="V456" s="4335">
        <v>0.08</v>
      </c>
      <c r="W456" s="2901">
        <v>0.46</v>
      </c>
      <c r="X456" s="2861">
        <v>0.23080000000000001</v>
      </c>
      <c r="Y456" s="4248">
        <v>2</v>
      </c>
      <c r="Z456" s="2862">
        <v>1</v>
      </c>
      <c r="AA456" s="4336">
        <v>1</v>
      </c>
      <c r="AB456" s="2862">
        <v>1</v>
      </c>
      <c r="AC456" s="2863">
        <v>6</v>
      </c>
      <c r="AD456" s="4141">
        <v>2</v>
      </c>
      <c r="AE456" s="2754">
        <v>0</v>
      </c>
      <c r="AF456" s="2755">
        <v>0</v>
      </c>
      <c r="AG456" s="3158">
        <v>-150</v>
      </c>
      <c r="AH456" s="3804"/>
      <c r="AI456" s="4337">
        <v>-101</v>
      </c>
      <c r="AJ456" s="1372"/>
      <c r="AK456" s="640"/>
      <c r="AL456" s="640"/>
      <c r="AM456" s="640"/>
      <c r="AN456" s="119"/>
      <c r="AO456" s="107"/>
    </row>
    <row r="457" spans="1:41" ht="14.25">
      <c r="A457" s="109"/>
      <c r="B457" s="5832"/>
      <c r="C457" s="2762" t="s">
        <v>1423</v>
      </c>
      <c r="D457" s="2763"/>
      <c r="E457" s="2763"/>
      <c r="F457" s="2763">
        <v>30</v>
      </c>
      <c r="G457" s="2763" t="s">
        <v>1592</v>
      </c>
      <c r="H457" s="2763" t="s">
        <v>1606</v>
      </c>
      <c r="I457" s="4312">
        <v>37202</v>
      </c>
      <c r="J457" s="3163">
        <v>45325</v>
      </c>
      <c r="K457" s="4338">
        <v>2.81</v>
      </c>
      <c r="L457" s="4169">
        <v>0.4</v>
      </c>
      <c r="M457" s="4339">
        <v>4.5599999999999996</v>
      </c>
      <c r="N457" s="4313">
        <v>0.44</v>
      </c>
      <c r="O457" s="4340">
        <v>-1.75</v>
      </c>
      <c r="P457" s="4341">
        <v>0.91</v>
      </c>
      <c r="Q457" s="3862">
        <v>0.3</v>
      </c>
      <c r="R457" s="4297">
        <v>0.62</v>
      </c>
      <c r="S457" s="4342">
        <v>1.4</v>
      </c>
      <c r="T457" s="2763">
        <v>19</v>
      </c>
      <c r="U457" s="2834">
        <v>0</v>
      </c>
      <c r="V457" s="2880">
        <v>0.53</v>
      </c>
      <c r="W457" s="4343">
        <v>0.05</v>
      </c>
      <c r="X457" s="4344">
        <v>0.52629999999999999</v>
      </c>
      <c r="Y457" s="2840">
        <v>0</v>
      </c>
      <c r="Z457" s="2911">
        <v>3</v>
      </c>
      <c r="AA457" s="3278">
        <v>10</v>
      </c>
      <c r="AB457" s="2837">
        <v>1</v>
      </c>
      <c r="AC457" s="4345">
        <v>1</v>
      </c>
      <c r="AD457" s="2990">
        <v>3</v>
      </c>
      <c r="AE457" s="2782">
        <v>0</v>
      </c>
      <c r="AF457" s="2783">
        <v>0</v>
      </c>
      <c r="AG457" s="3013">
        <f>130</f>
        <v>130</v>
      </c>
      <c r="AH457" s="4346"/>
      <c r="AI457" s="4347">
        <v>-119</v>
      </c>
      <c r="AJ457" s="151"/>
      <c r="AK457" s="657"/>
      <c r="AL457" s="657"/>
      <c r="AM457" s="657"/>
      <c r="AN457" s="151"/>
      <c r="AO457" s="107"/>
    </row>
    <row r="458" spans="1:41" ht="14.25">
      <c r="A458" s="109"/>
      <c r="B458" s="5831">
        <v>12</v>
      </c>
      <c r="C458" s="2792" t="s">
        <v>892</v>
      </c>
      <c r="D458" s="88"/>
      <c r="E458" s="88"/>
      <c r="F458" s="88">
        <v>28</v>
      </c>
      <c r="G458" s="88" t="s">
        <v>1588</v>
      </c>
      <c r="H458" s="88" t="s">
        <v>1618</v>
      </c>
      <c r="I458" s="4203">
        <v>37074</v>
      </c>
      <c r="J458" s="3184">
        <v>45383</v>
      </c>
      <c r="K458" s="4348">
        <v>9.8699999999999992</v>
      </c>
      <c r="L458" s="4333">
        <v>0.41</v>
      </c>
      <c r="M458" s="4349">
        <v>11.4</v>
      </c>
      <c r="N458" s="3186">
        <v>0.54</v>
      </c>
      <c r="O458" s="4350">
        <v>-1.53</v>
      </c>
      <c r="P458" s="2741">
        <v>0</v>
      </c>
      <c r="Q458" s="2742">
        <v>0</v>
      </c>
      <c r="R458" s="2801">
        <v>1</v>
      </c>
      <c r="S458" s="2744">
        <v>0</v>
      </c>
      <c r="T458" s="88">
        <v>10</v>
      </c>
      <c r="U458" s="4137">
        <v>0.5</v>
      </c>
      <c r="V458" s="4351">
        <v>0.1</v>
      </c>
      <c r="W458" s="3799">
        <v>0.1</v>
      </c>
      <c r="X458" s="4352">
        <v>0.6</v>
      </c>
      <c r="Y458" s="2808">
        <v>5</v>
      </c>
      <c r="Z458" s="2809">
        <v>0</v>
      </c>
      <c r="AA458" s="4336">
        <v>1</v>
      </c>
      <c r="AB458" s="2809">
        <v>0</v>
      </c>
      <c r="AC458" s="4353">
        <v>1</v>
      </c>
      <c r="AD458" s="4141">
        <v>2</v>
      </c>
      <c r="AE458" s="63">
        <v>0</v>
      </c>
      <c r="AF458" s="27">
        <v>0</v>
      </c>
      <c r="AG458" s="4354">
        <f>185</f>
        <v>185</v>
      </c>
      <c r="AH458" s="4355"/>
      <c r="AI458" s="4356">
        <f>122</f>
        <v>122</v>
      </c>
      <c r="AJ458" s="54"/>
      <c r="AK458" s="6"/>
      <c r="AL458" s="6"/>
      <c r="AM458" s="6"/>
      <c r="AN458" s="183"/>
      <c r="AO458" s="107"/>
    </row>
    <row r="459" spans="1:41" ht="14.25">
      <c r="A459" s="109"/>
      <c r="B459" s="5832"/>
      <c r="C459" s="2819" t="s">
        <v>891</v>
      </c>
      <c r="D459" s="2820"/>
      <c r="E459" s="2820"/>
      <c r="F459" s="2820">
        <v>27</v>
      </c>
      <c r="G459" s="2820" t="s">
        <v>1575</v>
      </c>
      <c r="H459" s="2820" t="s">
        <v>1886</v>
      </c>
      <c r="I459" s="4254">
        <v>36739</v>
      </c>
      <c r="J459" s="28" t="s">
        <v>1629</v>
      </c>
      <c r="K459" s="4357">
        <v>5.78</v>
      </c>
      <c r="L459" s="3170">
        <v>0.6</v>
      </c>
      <c r="M459" s="4358">
        <v>1.93</v>
      </c>
      <c r="N459" s="4359">
        <v>0.63</v>
      </c>
      <c r="O459" s="2774">
        <f>3.85</f>
        <v>3.85</v>
      </c>
      <c r="P459" s="2771">
        <v>0</v>
      </c>
      <c r="Q459" s="2772">
        <v>0</v>
      </c>
      <c r="R459" s="2773">
        <v>1</v>
      </c>
      <c r="S459" s="2911">
        <v>0</v>
      </c>
      <c r="T459" s="2820">
        <v>9</v>
      </c>
      <c r="U459" s="3555">
        <v>0.67</v>
      </c>
      <c r="V459" s="2834">
        <v>0</v>
      </c>
      <c r="W459" s="3467">
        <v>0.22</v>
      </c>
      <c r="X459" s="3937">
        <v>0.66669999999999996</v>
      </c>
      <c r="Y459" s="4280">
        <v>6</v>
      </c>
      <c r="Z459" s="2774">
        <v>0</v>
      </c>
      <c r="AA459" s="2840">
        <v>0</v>
      </c>
      <c r="AB459" s="2774">
        <v>0</v>
      </c>
      <c r="AC459" s="3096">
        <v>2</v>
      </c>
      <c r="AD459" s="3916">
        <v>1</v>
      </c>
      <c r="AE459" s="2841">
        <v>0</v>
      </c>
      <c r="AF459" s="28">
        <v>0</v>
      </c>
      <c r="AG459" s="4360">
        <v>-220</v>
      </c>
      <c r="AH459" s="4361"/>
      <c r="AI459" s="4362">
        <v>-142</v>
      </c>
      <c r="AJ459" s="213"/>
      <c r="AK459" s="5"/>
      <c r="AL459" s="5"/>
      <c r="AM459" s="5"/>
      <c r="AN459" s="213"/>
      <c r="AO459" s="107"/>
    </row>
    <row r="460" spans="1:41" ht="14.25">
      <c r="A460" s="109"/>
      <c r="B460" s="5833">
        <v>13</v>
      </c>
      <c r="C460" s="2732" t="s">
        <v>553</v>
      </c>
      <c r="D460" s="2733"/>
      <c r="E460" s="2733"/>
      <c r="F460" s="2733">
        <v>28</v>
      </c>
      <c r="G460" s="2733" t="s">
        <v>1603</v>
      </c>
      <c r="H460" s="2733" t="s">
        <v>1589</v>
      </c>
      <c r="I460" s="4128">
        <v>36739</v>
      </c>
      <c r="J460" s="3142">
        <v>45383</v>
      </c>
      <c r="K460" s="4363">
        <v>3.59</v>
      </c>
      <c r="L460" s="2801">
        <v>0.73</v>
      </c>
      <c r="M460" s="4364">
        <v>2.4500000000000002</v>
      </c>
      <c r="N460" s="3900">
        <v>0.4</v>
      </c>
      <c r="O460" s="2853">
        <f>1.14</f>
        <v>1.1399999999999999</v>
      </c>
      <c r="P460" s="2905">
        <v>7.34</v>
      </c>
      <c r="Q460" s="2801">
        <v>1</v>
      </c>
      <c r="R460" s="2801">
        <v>1</v>
      </c>
      <c r="S460" s="4365">
        <v>2.5</v>
      </c>
      <c r="T460" s="2733">
        <v>10</v>
      </c>
      <c r="U460" s="4366">
        <v>0.8</v>
      </c>
      <c r="V460" s="4351">
        <v>0.1</v>
      </c>
      <c r="W460" s="2746">
        <v>0</v>
      </c>
      <c r="X460" s="3777">
        <v>0.9</v>
      </c>
      <c r="Y460" s="2971">
        <v>8</v>
      </c>
      <c r="Z460" s="2862">
        <v>1</v>
      </c>
      <c r="AA460" s="4336">
        <v>1</v>
      </c>
      <c r="AB460" s="2809">
        <v>0</v>
      </c>
      <c r="AC460" s="2751">
        <v>0</v>
      </c>
      <c r="AD460" s="2809">
        <v>0</v>
      </c>
      <c r="AE460" s="2754">
        <v>0</v>
      </c>
      <c r="AF460" s="2755">
        <v>0</v>
      </c>
      <c r="AG460" s="4367">
        <v>-270</v>
      </c>
      <c r="AH460" s="4368"/>
      <c r="AI460" s="4369">
        <v>-170</v>
      </c>
      <c r="AJ460" s="1372"/>
      <c r="AK460" s="640"/>
      <c r="AL460" s="640"/>
      <c r="AM460" s="640"/>
      <c r="AN460" s="119"/>
      <c r="AO460" s="107"/>
    </row>
    <row r="461" spans="1:41" ht="14.25">
      <c r="A461" s="109"/>
      <c r="B461" s="5832"/>
      <c r="C461" s="2762" t="s">
        <v>554</v>
      </c>
      <c r="D461" s="2763"/>
      <c r="E461" s="2763"/>
      <c r="F461" s="2763">
        <v>28</v>
      </c>
      <c r="G461" s="2763" t="s">
        <v>1567</v>
      </c>
      <c r="H461" s="2763" t="s">
        <v>1586</v>
      </c>
      <c r="I461" s="4312">
        <v>36803</v>
      </c>
      <c r="J461" s="3163">
        <v>45353</v>
      </c>
      <c r="K461" s="4370">
        <v>3.12</v>
      </c>
      <c r="L461" s="3165">
        <v>0.42</v>
      </c>
      <c r="M461" s="3996">
        <v>4.25</v>
      </c>
      <c r="N461" s="4371">
        <v>0.52</v>
      </c>
      <c r="O461" s="4372">
        <v>-1.1299999999999999</v>
      </c>
      <c r="P461" s="4032">
        <v>3</v>
      </c>
      <c r="Q461" s="4373">
        <v>0.48</v>
      </c>
      <c r="R461" s="3487">
        <v>0.66</v>
      </c>
      <c r="S461" s="2911">
        <v>0</v>
      </c>
      <c r="T461" s="2763">
        <v>14</v>
      </c>
      <c r="U461" s="4374">
        <v>0.28999999999999998</v>
      </c>
      <c r="V461" s="3296">
        <v>7.0000000000000007E-2</v>
      </c>
      <c r="W461" s="4375">
        <v>0.36</v>
      </c>
      <c r="X461" s="4376">
        <v>0.35709999999999997</v>
      </c>
      <c r="Y461" s="4377">
        <v>4</v>
      </c>
      <c r="Z461" s="2837">
        <v>1</v>
      </c>
      <c r="AA461" s="4378">
        <v>1</v>
      </c>
      <c r="AB461" s="2990">
        <v>2</v>
      </c>
      <c r="AC461" s="2838">
        <v>5</v>
      </c>
      <c r="AD461" s="3916">
        <v>1</v>
      </c>
      <c r="AE461" s="2782">
        <v>0</v>
      </c>
      <c r="AF461" s="2783">
        <v>0</v>
      </c>
      <c r="AG461" s="4379">
        <f>230</f>
        <v>230</v>
      </c>
      <c r="AH461" s="2889"/>
      <c r="AI461" s="4380">
        <v>145</v>
      </c>
      <c r="AJ461" s="151"/>
      <c r="AK461" s="657"/>
      <c r="AL461" s="657"/>
      <c r="AM461" s="657"/>
      <c r="AN461" s="151"/>
      <c r="AO461" s="107"/>
    </row>
    <row r="462" spans="1:41" ht="12.75">
      <c r="A462" s="10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07"/>
      <c r="AI462" s="107"/>
      <c r="AJ462" s="107"/>
      <c r="AK462" s="107"/>
      <c r="AL462" s="107"/>
      <c r="AM462" s="620"/>
    </row>
    <row r="466" spans="1:41" ht="12.75">
      <c r="A466" s="2728">
        <v>20240120</v>
      </c>
      <c r="B466" s="620"/>
      <c r="C466" s="620" t="s">
        <v>1929</v>
      </c>
    </row>
    <row r="467" spans="1:41" ht="30">
      <c r="A467" s="1375" t="s">
        <v>1694</v>
      </c>
      <c r="B467" s="108"/>
      <c r="C467" s="108"/>
      <c r="D467" s="108"/>
      <c r="E467" s="108"/>
      <c r="F467" s="108"/>
      <c r="G467" s="108"/>
      <c r="H467" s="108"/>
      <c r="I467" s="108"/>
      <c r="J467" s="108"/>
      <c r="K467" s="108"/>
      <c r="L467" s="108"/>
      <c r="M467" s="108"/>
      <c r="N467" s="108"/>
      <c r="O467" s="108"/>
      <c r="P467" s="108"/>
      <c r="Q467" s="108"/>
      <c r="R467" s="108"/>
      <c r="S467" s="108"/>
      <c r="T467" s="108"/>
      <c r="U467" s="108"/>
      <c r="V467" s="108"/>
      <c r="W467" s="108"/>
      <c r="X467" s="108"/>
      <c r="Y467" s="108"/>
      <c r="Z467" s="108"/>
      <c r="AA467" s="108"/>
      <c r="AB467" s="108"/>
      <c r="AC467" s="108"/>
      <c r="AD467" s="108"/>
      <c r="AE467" s="108"/>
      <c r="AF467" s="108"/>
      <c r="AG467" s="108"/>
      <c r="AH467" s="108"/>
      <c r="AI467" s="108"/>
      <c r="AJ467" s="108"/>
      <c r="AK467" s="108"/>
      <c r="AL467" s="108"/>
      <c r="AM467" s="108"/>
      <c r="AN467" s="107"/>
    </row>
    <row r="468" spans="1:41">
      <c r="A468" s="109"/>
      <c r="B468" s="5834" t="s">
        <v>1524</v>
      </c>
      <c r="C468" s="5840" t="s">
        <v>1525</v>
      </c>
      <c r="D468" s="5846"/>
      <c r="E468" s="5836"/>
      <c r="F468" s="5836"/>
      <c r="G468" s="5836"/>
      <c r="H468" s="5836"/>
      <c r="I468" s="5832"/>
      <c r="J468" s="5837" t="s">
        <v>1527</v>
      </c>
      <c r="K468" s="5836"/>
      <c r="L468" s="5836"/>
      <c r="M468" s="5836"/>
      <c r="N468" s="5832"/>
      <c r="O468" s="5838" t="s">
        <v>1528</v>
      </c>
      <c r="P468" s="5836"/>
      <c r="Q468" s="5836"/>
      <c r="R468" s="5832"/>
      <c r="S468" s="5839" t="s">
        <v>1529</v>
      </c>
      <c r="T468" s="5836"/>
      <c r="U468" s="5836"/>
      <c r="V468" s="5836"/>
      <c r="W468" s="5836"/>
      <c r="X468" s="5836"/>
      <c r="Y468" s="5836"/>
      <c r="Z468" s="5836"/>
      <c r="AA468" s="5836"/>
      <c r="AB468" s="5836"/>
      <c r="AC468" s="5836"/>
      <c r="AD468" s="5836"/>
      <c r="AE468" s="5832"/>
      <c r="AF468" s="5842" t="s">
        <v>1530</v>
      </c>
      <c r="AG468" s="5836"/>
      <c r="AH468" s="5836"/>
      <c r="AI468" s="5836"/>
      <c r="AJ468" s="5836"/>
      <c r="AK468" s="5836"/>
      <c r="AL468" s="5836"/>
      <c r="AM468" s="5832"/>
      <c r="AN468" s="107"/>
    </row>
    <row r="469" spans="1:41" ht="15">
      <c r="A469" s="109"/>
      <c r="B469" s="5832"/>
      <c r="C469" s="5832"/>
      <c r="D469" s="112"/>
      <c r="E469" s="112" t="s">
        <v>1532</v>
      </c>
      <c r="F469" s="111" t="s">
        <v>1533</v>
      </c>
      <c r="G469" s="111" t="s">
        <v>1534</v>
      </c>
      <c r="H469" s="111" t="s">
        <v>1535</v>
      </c>
      <c r="I469" s="111" t="s">
        <v>1536</v>
      </c>
      <c r="J469" s="111" t="s">
        <v>1537</v>
      </c>
      <c r="K469" s="111" t="s">
        <v>1538</v>
      </c>
      <c r="L469" s="111" t="s">
        <v>1539</v>
      </c>
      <c r="M469" s="111" t="s">
        <v>1540</v>
      </c>
      <c r="N469" s="111" t="s">
        <v>1541</v>
      </c>
      <c r="O469" s="111" t="s">
        <v>1542</v>
      </c>
      <c r="P469" s="111" t="s">
        <v>1543</v>
      </c>
      <c r="Q469" s="111" t="s">
        <v>1544</v>
      </c>
      <c r="R469" s="111" t="s">
        <v>1545</v>
      </c>
      <c r="S469" s="111" t="s">
        <v>1546</v>
      </c>
      <c r="T469" s="111" t="s">
        <v>1547</v>
      </c>
      <c r="U469" s="111" t="s">
        <v>1548</v>
      </c>
      <c r="V469" s="111" t="s">
        <v>1549</v>
      </c>
      <c r="W469" s="111" t="s">
        <v>1550</v>
      </c>
      <c r="X469" s="112" t="s">
        <v>1551</v>
      </c>
      <c r="Y469" s="113" t="s">
        <v>1552</v>
      </c>
      <c r="Z469" s="114" t="s">
        <v>1553</v>
      </c>
      <c r="AA469" s="113" t="s">
        <v>1554</v>
      </c>
      <c r="AB469" s="114" t="s">
        <v>1555</v>
      </c>
      <c r="AC469" s="115" t="s">
        <v>1556</v>
      </c>
      <c r="AD469" s="114" t="s">
        <v>1557</v>
      </c>
      <c r="AE469" s="113" t="s">
        <v>1558</v>
      </c>
      <c r="AF469" s="116" t="s">
        <v>1559</v>
      </c>
      <c r="AG469" s="111" t="s">
        <v>1560</v>
      </c>
      <c r="AH469" s="111"/>
      <c r="AI469" s="112" t="s">
        <v>1561</v>
      </c>
      <c r="AJ469" s="111" t="s">
        <v>1562</v>
      </c>
      <c r="AK469" s="111" t="s">
        <v>1563</v>
      </c>
      <c r="AL469" s="111" t="s">
        <v>1564</v>
      </c>
      <c r="AM469" s="111" t="s">
        <v>1565</v>
      </c>
      <c r="AN469" s="112" t="s">
        <v>1566</v>
      </c>
      <c r="AO469" s="107"/>
    </row>
    <row r="470" spans="1:41" ht="14.25">
      <c r="A470" s="109"/>
      <c r="B470" s="5833">
        <v>1</v>
      </c>
      <c r="C470" s="2732" t="s">
        <v>1119</v>
      </c>
      <c r="D470" s="119"/>
      <c r="E470" s="119"/>
      <c r="F470" s="2733">
        <v>32</v>
      </c>
      <c r="G470" s="2733" t="s">
        <v>1603</v>
      </c>
      <c r="H470" s="2733" t="s">
        <v>1576</v>
      </c>
      <c r="I470" s="3141" t="s">
        <v>1930</v>
      </c>
      <c r="J470" s="4381" t="s">
        <v>1931</v>
      </c>
      <c r="K470" s="4382">
        <v>5.82</v>
      </c>
      <c r="L470" s="4383">
        <v>0.41</v>
      </c>
      <c r="M470" s="4384">
        <v>4.24</v>
      </c>
      <c r="N470" s="4385">
        <v>0.63</v>
      </c>
      <c r="O470" s="4386">
        <f>1.58</f>
        <v>1.58</v>
      </c>
      <c r="P470" s="4387">
        <v>0.92</v>
      </c>
      <c r="Q470" s="4388">
        <v>0.64</v>
      </c>
      <c r="R470" s="4389">
        <v>0.84</v>
      </c>
      <c r="S470" s="4390">
        <v>0.2</v>
      </c>
      <c r="T470" s="2733">
        <v>33</v>
      </c>
      <c r="U470" s="2968">
        <v>0.33</v>
      </c>
      <c r="V470" s="4391">
        <v>0.12</v>
      </c>
      <c r="W470" s="3901">
        <v>0.39</v>
      </c>
      <c r="X470" s="3154">
        <v>0.45450000000000002</v>
      </c>
      <c r="Y470" s="3197">
        <v>11</v>
      </c>
      <c r="Z470" s="2752">
        <v>2</v>
      </c>
      <c r="AA470" s="2808">
        <v>4</v>
      </c>
      <c r="AB470" s="2809">
        <v>0</v>
      </c>
      <c r="AC470" s="4392">
        <v>13</v>
      </c>
      <c r="AD470" s="3430">
        <v>3</v>
      </c>
      <c r="AE470" s="2754">
        <v>0</v>
      </c>
      <c r="AF470" s="2755">
        <v>0</v>
      </c>
      <c r="AG470" s="4393">
        <v>-190</v>
      </c>
      <c r="AH470" s="4290"/>
      <c r="AI470" s="4291">
        <v>-145</v>
      </c>
      <c r="AJ470" s="1372"/>
      <c r="AK470" s="640"/>
      <c r="AL470" s="640"/>
      <c r="AM470" s="640"/>
      <c r="AN470" s="119"/>
      <c r="AO470" s="107"/>
    </row>
    <row r="471" spans="1:41" ht="14.25">
      <c r="A471" s="109"/>
      <c r="B471" s="5832"/>
      <c r="C471" s="2762" t="s">
        <v>1120</v>
      </c>
      <c r="D471" s="151"/>
      <c r="E471" s="151"/>
      <c r="F471" s="2763">
        <v>30</v>
      </c>
      <c r="G471" s="2763" t="s">
        <v>1603</v>
      </c>
      <c r="H471" s="2763" t="s">
        <v>1576</v>
      </c>
      <c r="I471" s="3162" t="s">
        <v>1932</v>
      </c>
      <c r="J471" s="4394" t="s">
        <v>1629</v>
      </c>
      <c r="K471" s="4395">
        <v>6.95</v>
      </c>
      <c r="L471" s="4396">
        <v>0.55000000000000004</v>
      </c>
      <c r="M471" s="4147">
        <v>3.79</v>
      </c>
      <c r="N471" s="3208">
        <v>0.53</v>
      </c>
      <c r="O471" s="2774">
        <f>3.16</f>
        <v>3.16</v>
      </c>
      <c r="P471" s="4397">
        <v>2.72</v>
      </c>
      <c r="Q471" s="3413">
        <v>0.5</v>
      </c>
      <c r="R471" s="4398">
        <v>0.4</v>
      </c>
      <c r="S471" s="4399">
        <v>1.1000000000000001</v>
      </c>
      <c r="T471" s="2763">
        <v>22</v>
      </c>
      <c r="U471" s="4400">
        <v>0.41</v>
      </c>
      <c r="V471" s="4401">
        <v>0.45</v>
      </c>
      <c r="W471" s="4402">
        <v>0.05</v>
      </c>
      <c r="X471" s="2778">
        <v>0.86360000000000003</v>
      </c>
      <c r="Y471" s="3218">
        <v>9</v>
      </c>
      <c r="Z471" s="2837">
        <v>1</v>
      </c>
      <c r="AA471" s="3763">
        <v>10</v>
      </c>
      <c r="AB471" s="2837">
        <v>1</v>
      </c>
      <c r="AC471" s="2781">
        <v>1</v>
      </c>
      <c r="AD471" s="2774">
        <v>0</v>
      </c>
      <c r="AE471" s="2782">
        <v>0</v>
      </c>
      <c r="AF471" s="2783">
        <v>0</v>
      </c>
      <c r="AG471" s="4403">
        <f>165</f>
        <v>165</v>
      </c>
      <c r="AH471" s="3955"/>
      <c r="AI471" s="4404">
        <f>125</f>
        <v>125</v>
      </c>
      <c r="AJ471" s="151"/>
      <c r="AK471" s="657"/>
      <c r="AL471" s="657"/>
      <c r="AM471" s="657"/>
      <c r="AN471" s="151"/>
      <c r="AO471" s="107"/>
    </row>
    <row r="472" spans="1:41" ht="14.25">
      <c r="A472" s="109"/>
      <c r="B472" s="5831">
        <v>2</v>
      </c>
      <c r="C472" s="2792" t="s">
        <v>1131</v>
      </c>
      <c r="D472" s="183"/>
      <c r="E472" s="183"/>
      <c r="F472" s="88">
        <v>35</v>
      </c>
      <c r="G472" s="88" t="s">
        <v>1592</v>
      </c>
      <c r="H472" s="88" t="s">
        <v>1879</v>
      </c>
      <c r="I472" s="3183" t="s">
        <v>1927</v>
      </c>
      <c r="J472" s="4405" t="s">
        <v>1629</v>
      </c>
      <c r="K472" s="3943">
        <v>4.0199999999999996</v>
      </c>
      <c r="L472" s="4406">
        <v>0.5</v>
      </c>
      <c r="M472" s="4407">
        <v>3.34</v>
      </c>
      <c r="N472" s="4408">
        <v>0.62</v>
      </c>
      <c r="O472" s="3476">
        <f>0.68</f>
        <v>0.68</v>
      </c>
      <c r="P472" s="3105">
        <v>0.93</v>
      </c>
      <c r="Q472" s="3252">
        <v>0.27</v>
      </c>
      <c r="R472" s="3346">
        <v>0.63</v>
      </c>
      <c r="S472" s="3500">
        <v>0.6</v>
      </c>
      <c r="T472" s="88">
        <v>23</v>
      </c>
      <c r="U472" s="4409">
        <v>0.04</v>
      </c>
      <c r="V472" s="3402">
        <v>0.17</v>
      </c>
      <c r="W472" s="2900">
        <v>0.43</v>
      </c>
      <c r="X472" s="2861">
        <v>0.21740000000000001</v>
      </c>
      <c r="Y472" s="4309">
        <v>1</v>
      </c>
      <c r="Z472" s="2862">
        <v>1</v>
      </c>
      <c r="AA472" s="2808">
        <v>4</v>
      </c>
      <c r="AB472" s="2862">
        <v>1</v>
      </c>
      <c r="AC472" s="3194">
        <v>10</v>
      </c>
      <c r="AD472" s="3007">
        <v>6</v>
      </c>
      <c r="AE472" s="63">
        <v>0</v>
      </c>
      <c r="AF472" s="27">
        <v>0</v>
      </c>
      <c r="AG472" s="3431">
        <f>135</f>
        <v>135</v>
      </c>
      <c r="AH472" s="4410"/>
      <c r="AI472" s="4411">
        <f>140</f>
        <v>140</v>
      </c>
      <c r="AJ472" s="54"/>
      <c r="AK472" s="6"/>
      <c r="AL472" s="6"/>
      <c r="AM472" s="6"/>
      <c r="AN472" s="183"/>
      <c r="AO472" s="107"/>
    </row>
    <row r="473" spans="1:41" ht="14.25">
      <c r="A473" s="109"/>
      <c r="B473" s="5832"/>
      <c r="C473" s="2819" t="s">
        <v>1132</v>
      </c>
      <c r="D473" s="213"/>
      <c r="E473" s="213"/>
      <c r="F473" s="2820">
        <v>32</v>
      </c>
      <c r="G473" s="2820" t="s">
        <v>1653</v>
      </c>
      <c r="H473" s="2820" t="s">
        <v>1933</v>
      </c>
      <c r="I473" s="3203" t="s">
        <v>1934</v>
      </c>
      <c r="J473" s="4412" t="s">
        <v>1871</v>
      </c>
      <c r="K473" s="3513">
        <v>4.16</v>
      </c>
      <c r="L473" s="4413">
        <v>0.54</v>
      </c>
      <c r="M473" s="3757">
        <v>4.71</v>
      </c>
      <c r="N473" s="4414">
        <v>0.56999999999999995</v>
      </c>
      <c r="O473" s="4415">
        <v>-0.55000000000000004</v>
      </c>
      <c r="P473" s="4416">
        <v>0.35</v>
      </c>
      <c r="Q473" s="3413">
        <v>0.5</v>
      </c>
      <c r="R473" s="3442">
        <v>0.68</v>
      </c>
      <c r="S473" s="4417">
        <v>1.6</v>
      </c>
      <c r="T473" s="2820">
        <v>13</v>
      </c>
      <c r="U473" s="3314">
        <v>0.08</v>
      </c>
      <c r="V473" s="2775">
        <v>0.54</v>
      </c>
      <c r="W473" s="3414">
        <v>0.15</v>
      </c>
      <c r="X473" s="4418">
        <v>0.61539999999999995</v>
      </c>
      <c r="Y473" s="4329">
        <v>1</v>
      </c>
      <c r="Z473" s="2774">
        <v>0</v>
      </c>
      <c r="AA473" s="4419">
        <v>7</v>
      </c>
      <c r="AB473" s="2774">
        <v>0</v>
      </c>
      <c r="AC473" s="2836">
        <v>2</v>
      </c>
      <c r="AD473" s="2837">
        <v>2</v>
      </c>
      <c r="AE473" s="2841">
        <v>0</v>
      </c>
      <c r="AF473" s="28">
        <v>0</v>
      </c>
      <c r="AG473" s="4420">
        <v>-155</v>
      </c>
      <c r="AH473" s="4421"/>
      <c r="AI473" s="4422">
        <v>-160</v>
      </c>
      <c r="AJ473" s="213"/>
      <c r="AK473" s="5"/>
      <c r="AL473" s="5"/>
      <c r="AM473" s="5"/>
      <c r="AN473" s="213"/>
      <c r="AO473" s="107"/>
    </row>
    <row r="474" spans="1:41" ht="14.25">
      <c r="A474" s="109"/>
      <c r="B474" s="5833">
        <v>3</v>
      </c>
      <c r="C474" s="2732" t="s">
        <v>1261</v>
      </c>
      <c r="D474" s="119"/>
      <c r="E474" s="119"/>
      <c r="F474" s="2733">
        <v>36</v>
      </c>
      <c r="G474" s="2733" t="s">
        <v>1567</v>
      </c>
      <c r="H474" s="2733" t="s">
        <v>1572</v>
      </c>
      <c r="I474" s="3141" t="s">
        <v>1935</v>
      </c>
      <c r="J474" s="4381" t="s">
        <v>1936</v>
      </c>
      <c r="K474" s="4363">
        <v>3.45</v>
      </c>
      <c r="L474" s="4423">
        <v>0.46</v>
      </c>
      <c r="M474" s="4424">
        <v>2.4</v>
      </c>
      <c r="N474" s="4425">
        <v>0.53</v>
      </c>
      <c r="O474" s="4426">
        <f>1.05</f>
        <v>1.05</v>
      </c>
      <c r="P474" s="4427">
        <v>2.2200000000000002</v>
      </c>
      <c r="Q474" s="3959">
        <v>0.4</v>
      </c>
      <c r="R474" s="4041">
        <v>0.55000000000000004</v>
      </c>
      <c r="S474" s="4428">
        <v>0.3</v>
      </c>
      <c r="T474" s="2733">
        <v>39</v>
      </c>
      <c r="U474" s="4429">
        <v>0.18</v>
      </c>
      <c r="V474" s="4430">
        <v>0.1</v>
      </c>
      <c r="W474" s="4431">
        <v>0.44</v>
      </c>
      <c r="X474" s="4432">
        <v>0.28210000000000002</v>
      </c>
      <c r="Y474" s="3235">
        <v>7</v>
      </c>
      <c r="Z474" s="2752">
        <v>2</v>
      </c>
      <c r="AA474" s="2808">
        <v>4</v>
      </c>
      <c r="AB474" s="2744">
        <v>6</v>
      </c>
      <c r="AC474" s="2864">
        <v>17</v>
      </c>
      <c r="AD474" s="3430">
        <v>3</v>
      </c>
      <c r="AE474" s="2754">
        <v>0</v>
      </c>
      <c r="AF474" s="2755">
        <v>0</v>
      </c>
      <c r="AG474" s="4433">
        <f>250</f>
        <v>250</v>
      </c>
      <c r="AH474" s="4434"/>
      <c r="AI474" s="4435">
        <f>290</f>
        <v>290</v>
      </c>
      <c r="AJ474" s="1372"/>
      <c r="AK474" s="640"/>
      <c r="AL474" s="640"/>
      <c r="AM474" s="640"/>
      <c r="AN474" s="119"/>
      <c r="AO474" s="107"/>
    </row>
    <row r="475" spans="1:41" ht="15">
      <c r="A475" s="109"/>
      <c r="B475" s="5832"/>
      <c r="C475" s="2762" t="s">
        <v>1262</v>
      </c>
      <c r="D475" s="151"/>
      <c r="E475" s="151"/>
      <c r="F475" s="2763">
        <v>32</v>
      </c>
      <c r="G475" s="2763" t="s">
        <v>1603</v>
      </c>
      <c r="H475" s="2763" t="s">
        <v>1595</v>
      </c>
      <c r="I475" s="2764" t="s">
        <v>1937</v>
      </c>
      <c r="J475" s="4394" t="s">
        <v>1629</v>
      </c>
      <c r="K475" s="4148">
        <v>4.21</v>
      </c>
      <c r="L475" s="4436">
        <v>0.42</v>
      </c>
      <c r="M475" s="4437">
        <v>3.07</v>
      </c>
      <c r="N475" s="4438">
        <v>0.56000000000000005</v>
      </c>
      <c r="O475" s="3934">
        <f>1.14</f>
        <v>1.1399999999999999</v>
      </c>
      <c r="P475" s="3887">
        <v>2.5299999999999998</v>
      </c>
      <c r="Q475" s="3035">
        <v>0.55000000000000004</v>
      </c>
      <c r="R475" s="2772">
        <v>0</v>
      </c>
      <c r="S475" s="4439">
        <v>1.5</v>
      </c>
      <c r="T475" s="2763">
        <v>12</v>
      </c>
      <c r="U475" s="4151">
        <v>0.33</v>
      </c>
      <c r="V475" s="3717">
        <v>0.5</v>
      </c>
      <c r="W475" s="2834">
        <v>0</v>
      </c>
      <c r="X475" s="4440">
        <v>0.83330000000000004</v>
      </c>
      <c r="Y475" s="4377">
        <v>4</v>
      </c>
      <c r="Z475" s="2837">
        <v>1</v>
      </c>
      <c r="AA475" s="4441">
        <v>6</v>
      </c>
      <c r="AB475" s="2774">
        <v>0</v>
      </c>
      <c r="AC475" s="2840">
        <v>0</v>
      </c>
      <c r="AD475" s="2774">
        <v>0</v>
      </c>
      <c r="AE475" s="2782">
        <v>0</v>
      </c>
      <c r="AF475" s="2783">
        <v>0</v>
      </c>
      <c r="AG475" s="4442">
        <v>-300</v>
      </c>
      <c r="AH475" s="4443"/>
      <c r="AI475" s="4444">
        <v>-365</v>
      </c>
      <c r="AJ475" s="151"/>
      <c r="AK475" s="657"/>
      <c r="AL475" s="657"/>
      <c r="AM475" s="657"/>
      <c r="AN475" s="151"/>
      <c r="AO475" s="107"/>
    </row>
    <row r="476" spans="1:41" ht="14.25">
      <c r="A476" s="109"/>
      <c r="B476" s="5831">
        <v>4</v>
      </c>
      <c r="C476" s="2792" t="s">
        <v>961</v>
      </c>
      <c r="D476" s="183"/>
      <c r="E476" s="183"/>
      <c r="F476" s="88">
        <v>36</v>
      </c>
      <c r="G476" s="88" t="s">
        <v>1575</v>
      </c>
      <c r="H476" s="88" t="s">
        <v>1924</v>
      </c>
      <c r="I476" s="3183" t="s">
        <v>1938</v>
      </c>
      <c r="J476" s="4405" t="s">
        <v>1865</v>
      </c>
      <c r="K476" s="4445">
        <v>5.36</v>
      </c>
      <c r="L476" s="4406">
        <v>0.5</v>
      </c>
      <c r="M476" s="4446">
        <v>6.3</v>
      </c>
      <c r="N476" s="4092">
        <v>0.54</v>
      </c>
      <c r="O476" s="4447">
        <v>-0.94</v>
      </c>
      <c r="P476" s="2741">
        <v>0</v>
      </c>
      <c r="Q476" s="2742">
        <v>0</v>
      </c>
      <c r="R476" s="2801">
        <v>0.92</v>
      </c>
      <c r="S476" s="2744">
        <v>0</v>
      </c>
      <c r="T476" s="88">
        <v>40</v>
      </c>
      <c r="U476" s="4448">
        <v>0.38</v>
      </c>
      <c r="V476" s="3799">
        <v>0.08</v>
      </c>
      <c r="W476" s="3083">
        <v>0.3</v>
      </c>
      <c r="X476" s="3880">
        <v>0.45</v>
      </c>
      <c r="Y476" s="2864">
        <v>15</v>
      </c>
      <c r="Z476" s="2862">
        <v>1</v>
      </c>
      <c r="AA476" s="4250">
        <v>3</v>
      </c>
      <c r="AB476" s="2862">
        <v>1</v>
      </c>
      <c r="AC476" s="4449">
        <v>12</v>
      </c>
      <c r="AD476" s="2744">
        <v>8</v>
      </c>
      <c r="AE476" s="63">
        <v>0</v>
      </c>
      <c r="AF476" s="27">
        <v>0</v>
      </c>
      <c r="AG476" s="4450">
        <v>-160</v>
      </c>
      <c r="AH476" s="2973"/>
      <c r="AI476" s="2974">
        <v>-170</v>
      </c>
      <c r="AJ476" s="54"/>
      <c r="AK476" s="6"/>
      <c r="AL476" s="6"/>
      <c r="AM476" s="6"/>
      <c r="AN476" s="183"/>
      <c r="AO476" s="107"/>
    </row>
    <row r="477" spans="1:41" ht="14.25">
      <c r="A477" s="109"/>
      <c r="B477" s="5832"/>
      <c r="C477" s="2819" t="s">
        <v>962</v>
      </c>
      <c r="D477" s="213"/>
      <c r="E477" s="213"/>
      <c r="F477" s="2820">
        <v>33</v>
      </c>
      <c r="G477" s="2820" t="s">
        <v>1603</v>
      </c>
      <c r="H477" s="2820" t="s">
        <v>1589</v>
      </c>
      <c r="I477" s="3203" t="s">
        <v>1939</v>
      </c>
      <c r="J477" s="4412" t="s">
        <v>1931</v>
      </c>
      <c r="K477" s="4451">
        <v>5.95</v>
      </c>
      <c r="L477" s="4452">
        <v>0.47</v>
      </c>
      <c r="M477" s="4453">
        <v>5.22</v>
      </c>
      <c r="N477" s="3208">
        <v>0.53</v>
      </c>
      <c r="O477" s="4454">
        <f>0.73</f>
        <v>0.73</v>
      </c>
      <c r="P477" s="4455">
        <v>0.24</v>
      </c>
      <c r="Q477" s="3271">
        <v>0.25</v>
      </c>
      <c r="R477" s="4456">
        <v>0.67</v>
      </c>
      <c r="S477" s="4457">
        <v>0.1</v>
      </c>
      <c r="T477" s="2820">
        <v>22</v>
      </c>
      <c r="U477" s="4458">
        <v>0.45</v>
      </c>
      <c r="V477" s="4459">
        <v>0.05</v>
      </c>
      <c r="W477" s="4034">
        <v>0.23</v>
      </c>
      <c r="X477" s="4460">
        <v>0.5</v>
      </c>
      <c r="Y477" s="2883">
        <v>10</v>
      </c>
      <c r="Z477" s="2837">
        <v>1</v>
      </c>
      <c r="AA477" s="4345">
        <v>1</v>
      </c>
      <c r="AB477" s="2837">
        <v>1</v>
      </c>
      <c r="AC477" s="3593">
        <v>5</v>
      </c>
      <c r="AD477" s="2990">
        <v>4</v>
      </c>
      <c r="AE477" s="2841">
        <v>0</v>
      </c>
      <c r="AF477" s="28">
        <v>0</v>
      </c>
      <c r="AG477" s="4461">
        <f>140</f>
        <v>140</v>
      </c>
      <c r="AH477" s="4462"/>
      <c r="AI477" s="4463">
        <f>145</f>
        <v>145</v>
      </c>
      <c r="AJ477" s="213"/>
      <c r="AK477" s="5"/>
      <c r="AL477" s="5"/>
      <c r="AM477" s="5"/>
      <c r="AN477" s="213"/>
      <c r="AO477" s="107"/>
    </row>
    <row r="478" spans="1:41" ht="14.25">
      <c r="A478" s="109"/>
      <c r="B478" s="5833">
        <v>5</v>
      </c>
      <c r="C478" s="2732" t="s">
        <v>393</v>
      </c>
      <c r="D478" s="119"/>
      <c r="E478" s="119"/>
      <c r="F478" s="2733">
        <v>29</v>
      </c>
      <c r="G478" s="2733" t="s">
        <v>1630</v>
      </c>
      <c r="H478" s="2733" t="s">
        <v>1618</v>
      </c>
      <c r="I478" s="3141" t="s">
        <v>1940</v>
      </c>
      <c r="J478" s="4381" t="s">
        <v>1941</v>
      </c>
      <c r="K478" s="4464">
        <v>3.34</v>
      </c>
      <c r="L478" s="4465">
        <v>0.4</v>
      </c>
      <c r="M478" s="4466">
        <v>2.86</v>
      </c>
      <c r="N478" s="4467">
        <v>0.61</v>
      </c>
      <c r="O478" s="3876">
        <f>0.48</f>
        <v>0.48</v>
      </c>
      <c r="P478" s="4160">
        <v>1.1200000000000001</v>
      </c>
      <c r="Q478" s="4468">
        <v>0.5</v>
      </c>
      <c r="R478" s="4469">
        <v>0.76</v>
      </c>
      <c r="S478" s="4428">
        <v>0.3</v>
      </c>
      <c r="T478" s="2733">
        <v>21</v>
      </c>
      <c r="U478" s="2968">
        <v>0.33</v>
      </c>
      <c r="V478" s="3988">
        <v>0.19</v>
      </c>
      <c r="W478" s="4470">
        <v>0.38</v>
      </c>
      <c r="X478" s="2748">
        <v>0.52380000000000004</v>
      </c>
      <c r="Y478" s="3235">
        <v>7</v>
      </c>
      <c r="Z478" s="2809">
        <v>0</v>
      </c>
      <c r="AA478" s="2808">
        <v>4</v>
      </c>
      <c r="AB478" s="2809">
        <v>0</v>
      </c>
      <c r="AC478" s="4471">
        <v>8</v>
      </c>
      <c r="AD478" s="2862">
        <v>2</v>
      </c>
      <c r="AE478" s="2754">
        <v>0</v>
      </c>
      <c r="AF478" s="2755">
        <v>0</v>
      </c>
      <c r="AG478" s="4472">
        <f>145</f>
        <v>145</v>
      </c>
      <c r="AH478" s="4473"/>
      <c r="AI478" s="4474">
        <f>156</f>
        <v>156</v>
      </c>
      <c r="AJ478" s="1372"/>
      <c r="AK478" s="640"/>
      <c r="AL478" s="640"/>
      <c r="AM478" s="640"/>
      <c r="AN478" s="119"/>
      <c r="AO478" s="107"/>
    </row>
    <row r="479" spans="1:41" ht="14.25">
      <c r="A479" s="109"/>
      <c r="B479" s="5832"/>
      <c r="C479" s="2762" t="s">
        <v>394</v>
      </c>
      <c r="D479" s="151"/>
      <c r="E479" s="151"/>
      <c r="F479" s="2763">
        <v>29</v>
      </c>
      <c r="G479" s="2763" t="s">
        <v>1592</v>
      </c>
      <c r="H479" s="2763" t="s">
        <v>1839</v>
      </c>
      <c r="I479" s="3162" t="s">
        <v>1928</v>
      </c>
      <c r="J479" s="4394" t="s">
        <v>1629</v>
      </c>
      <c r="K479" s="4475">
        <v>4.57</v>
      </c>
      <c r="L479" s="3888">
        <v>0.49</v>
      </c>
      <c r="M479" s="4476">
        <v>2.74</v>
      </c>
      <c r="N479" s="4477">
        <v>0.61</v>
      </c>
      <c r="O479" s="4478">
        <f>1.83</f>
        <v>1.83</v>
      </c>
      <c r="P479" s="2890">
        <v>4.71</v>
      </c>
      <c r="Q479" s="3413">
        <v>0.5</v>
      </c>
      <c r="R479" s="4479">
        <v>0.71</v>
      </c>
      <c r="S479" s="3910">
        <v>0.3</v>
      </c>
      <c r="T479" s="2763">
        <v>17</v>
      </c>
      <c r="U479" s="4480">
        <v>0.18</v>
      </c>
      <c r="V479" s="3384">
        <v>0.24</v>
      </c>
      <c r="W479" s="4481">
        <v>0.59</v>
      </c>
      <c r="X479" s="4482">
        <v>0.4118</v>
      </c>
      <c r="Y479" s="4264">
        <v>3</v>
      </c>
      <c r="Z479" s="2774">
        <v>0</v>
      </c>
      <c r="AA479" s="2780">
        <v>4</v>
      </c>
      <c r="AB479" s="2774">
        <v>0</v>
      </c>
      <c r="AC479" s="2883">
        <v>10</v>
      </c>
      <c r="AD479" s="2774">
        <v>0</v>
      </c>
      <c r="AE479" s="2782">
        <v>0</v>
      </c>
      <c r="AF479" s="2783">
        <v>0</v>
      </c>
      <c r="AG479" s="4483">
        <v>-170</v>
      </c>
      <c r="AH479" s="4484"/>
      <c r="AI479" s="4485">
        <v>-181</v>
      </c>
      <c r="AJ479" s="151"/>
      <c r="AK479" s="657"/>
      <c r="AL479" s="657"/>
      <c r="AM479" s="657"/>
      <c r="AN479" s="151"/>
      <c r="AO479" s="107"/>
    </row>
    <row r="480" spans="1:41" ht="14.25">
      <c r="A480" s="109"/>
      <c r="B480" s="5831">
        <v>6</v>
      </c>
      <c r="C480" s="2792" t="s">
        <v>183</v>
      </c>
      <c r="D480" s="183"/>
      <c r="E480" s="183"/>
      <c r="F480" s="88">
        <v>32</v>
      </c>
      <c r="G480" s="88" t="s">
        <v>1653</v>
      </c>
      <c r="H480" s="88" t="s">
        <v>1855</v>
      </c>
      <c r="I480" s="3183" t="s">
        <v>1649</v>
      </c>
      <c r="J480" s="4405" t="s">
        <v>1629</v>
      </c>
      <c r="K480" s="3047">
        <v>4.8</v>
      </c>
      <c r="L480" s="3452">
        <v>0.51</v>
      </c>
      <c r="M480" s="3286">
        <v>4.57</v>
      </c>
      <c r="N480" s="4486">
        <v>0.5</v>
      </c>
      <c r="O480" s="4487">
        <f>0.23</f>
        <v>0.23</v>
      </c>
      <c r="P480" s="4017">
        <v>1</v>
      </c>
      <c r="Q480" s="4488">
        <v>0.2</v>
      </c>
      <c r="R480" s="4489">
        <v>0.5</v>
      </c>
      <c r="S480" s="2744">
        <v>0</v>
      </c>
      <c r="T480" s="88">
        <v>15</v>
      </c>
      <c r="U480" s="4079">
        <v>7.0000000000000007E-2</v>
      </c>
      <c r="V480" s="3853">
        <v>0.2</v>
      </c>
      <c r="W480" s="2901">
        <v>0.6</v>
      </c>
      <c r="X480" s="4490">
        <v>0.26669999999999999</v>
      </c>
      <c r="Y480" s="4309">
        <v>1</v>
      </c>
      <c r="Z480" s="2809">
        <v>0</v>
      </c>
      <c r="AA480" s="4250">
        <v>3</v>
      </c>
      <c r="AB480" s="2809">
        <v>0</v>
      </c>
      <c r="AC480" s="3539">
        <v>9</v>
      </c>
      <c r="AD480" s="2862">
        <v>2</v>
      </c>
      <c r="AE480" s="63">
        <v>0</v>
      </c>
      <c r="AF480" s="27">
        <v>0</v>
      </c>
      <c r="AG480" s="4491">
        <v>-155</v>
      </c>
      <c r="AH480" s="4492"/>
      <c r="AI480" s="4493">
        <v>-178</v>
      </c>
      <c r="AJ480" s="54"/>
      <c r="AK480" s="6"/>
      <c r="AL480" s="6"/>
      <c r="AM480" s="6"/>
      <c r="AN480" s="183"/>
      <c r="AO480" s="107"/>
    </row>
    <row r="481" spans="1:41" ht="15">
      <c r="A481" s="109"/>
      <c r="B481" s="5832"/>
      <c r="C481" s="2819" t="s">
        <v>184</v>
      </c>
      <c r="D481" s="213"/>
      <c r="E481" s="213"/>
      <c r="F481" s="2820">
        <v>27</v>
      </c>
      <c r="G481" s="2820" t="s">
        <v>1653</v>
      </c>
      <c r="H481" s="2820" t="s">
        <v>1618</v>
      </c>
      <c r="I481" s="2821" t="s">
        <v>1942</v>
      </c>
      <c r="J481" s="4412" t="s">
        <v>1941</v>
      </c>
      <c r="K481" s="4494">
        <v>5.29</v>
      </c>
      <c r="L481" s="4495">
        <v>0.44</v>
      </c>
      <c r="M481" s="4496">
        <v>3.52</v>
      </c>
      <c r="N481" s="4414">
        <v>0.56999999999999995</v>
      </c>
      <c r="O481" s="3683">
        <f>1.77</f>
        <v>1.77</v>
      </c>
      <c r="P481" s="2771">
        <v>0</v>
      </c>
      <c r="Q481" s="2772">
        <v>0</v>
      </c>
      <c r="R481" s="3035">
        <v>0.75</v>
      </c>
      <c r="S481" s="2911">
        <v>0</v>
      </c>
      <c r="T481" s="2820">
        <v>12</v>
      </c>
      <c r="U481" s="4497">
        <v>0.5</v>
      </c>
      <c r="V481" s="3415">
        <v>0.17</v>
      </c>
      <c r="W481" s="3174">
        <v>0.08</v>
      </c>
      <c r="X481" s="4498">
        <v>0.66669999999999996</v>
      </c>
      <c r="Y481" s="4499">
        <v>6</v>
      </c>
      <c r="Z481" s="2774">
        <v>0</v>
      </c>
      <c r="AA481" s="3096">
        <v>2</v>
      </c>
      <c r="AB481" s="2839">
        <v>2</v>
      </c>
      <c r="AC481" s="2781">
        <v>1</v>
      </c>
      <c r="AD481" s="4500">
        <v>1</v>
      </c>
      <c r="AE481" s="2841">
        <v>0</v>
      </c>
      <c r="AF481" s="28">
        <v>0</v>
      </c>
      <c r="AG481" s="4501">
        <f>135</f>
        <v>135</v>
      </c>
      <c r="AH481" s="4502"/>
      <c r="AI481" s="4503">
        <f>153</f>
        <v>153</v>
      </c>
      <c r="AJ481" s="213"/>
      <c r="AK481" s="5"/>
      <c r="AL481" s="5"/>
      <c r="AM481" s="5"/>
      <c r="AN481" s="213"/>
      <c r="AO481" s="107"/>
    </row>
    <row r="482" spans="1:41" ht="14.25">
      <c r="A482" s="109"/>
      <c r="B482" s="5833">
        <v>7</v>
      </c>
      <c r="C482" s="2732" t="s">
        <v>398</v>
      </c>
      <c r="D482" s="119"/>
      <c r="E482" s="119"/>
      <c r="F482" s="2733">
        <v>28</v>
      </c>
      <c r="G482" s="2733" t="s">
        <v>1588</v>
      </c>
      <c r="H482" s="2733" t="s">
        <v>1606</v>
      </c>
      <c r="I482" s="3141" t="s">
        <v>1943</v>
      </c>
      <c r="J482" s="4381" t="s">
        <v>1931</v>
      </c>
      <c r="K482" s="2800">
        <v>5.71</v>
      </c>
      <c r="L482" s="3478">
        <v>0.49</v>
      </c>
      <c r="M482" s="4504">
        <v>4.21</v>
      </c>
      <c r="N482" s="4505">
        <v>0.57999999999999996</v>
      </c>
      <c r="O482" s="4506">
        <f>1.5</f>
        <v>1.5</v>
      </c>
      <c r="P482" s="4507">
        <v>0.1</v>
      </c>
      <c r="Q482" s="3225">
        <v>0.16</v>
      </c>
      <c r="R482" s="3456">
        <v>0.47</v>
      </c>
      <c r="S482" s="3051">
        <v>0.5</v>
      </c>
      <c r="T482" s="2733">
        <v>22</v>
      </c>
      <c r="U482" s="4318">
        <v>0.36</v>
      </c>
      <c r="V482" s="4062">
        <v>0.23</v>
      </c>
      <c r="W482" s="2805">
        <v>0.09</v>
      </c>
      <c r="X482" s="4508">
        <v>0.59089999999999998</v>
      </c>
      <c r="Y482" s="4509">
        <v>8</v>
      </c>
      <c r="Z482" s="2809">
        <v>0</v>
      </c>
      <c r="AA482" s="4510">
        <v>5</v>
      </c>
      <c r="AB482" s="2862">
        <v>1</v>
      </c>
      <c r="AC482" s="2810">
        <v>2</v>
      </c>
      <c r="AD482" s="3504">
        <v>5</v>
      </c>
      <c r="AE482" s="2754">
        <v>0</v>
      </c>
      <c r="AF482" s="2755">
        <v>0</v>
      </c>
      <c r="AG482" s="4511">
        <v>-135</v>
      </c>
      <c r="AH482" s="4512"/>
      <c r="AI482" s="4513">
        <v>-180</v>
      </c>
      <c r="AJ482" s="1372"/>
      <c r="AK482" s="640"/>
      <c r="AL482" s="640"/>
      <c r="AM482" s="640"/>
      <c r="AN482" s="119"/>
      <c r="AO482" s="107"/>
    </row>
    <row r="483" spans="1:41" ht="15">
      <c r="A483" s="109"/>
      <c r="B483" s="5832"/>
      <c r="C483" s="2762" t="s">
        <v>337</v>
      </c>
      <c r="D483" s="151"/>
      <c r="E483" s="151"/>
      <c r="F483" s="2763">
        <v>31</v>
      </c>
      <c r="G483" s="2763" t="s">
        <v>1571</v>
      </c>
      <c r="H483" s="2763" t="s">
        <v>1597</v>
      </c>
      <c r="I483" s="2764" t="s">
        <v>1937</v>
      </c>
      <c r="J483" s="2765" t="s">
        <v>1944</v>
      </c>
      <c r="K483" s="4514">
        <v>5.41</v>
      </c>
      <c r="L483" s="3379">
        <v>0.46</v>
      </c>
      <c r="M483" s="4515">
        <v>4</v>
      </c>
      <c r="N483" s="4414">
        <v>0.56999999999999995</v>
      </c>
      <c r="O483" s="3916">
        <f>1.41</f>
        <v>1.41</v>
      </c>
      <c r="P483" s="4516">
        <v>0.71</v>
      </c>
      <c r="Q483" s="2773">
        <v>0.8</v>
      </c>
      <c r="R483" s="4517">
        <v>0.83</v>
      </c>
      <c r="S483" s="4518">
        <v>0.5</v>
      </c>
      <c r="T483" s="2763">
        <v>12</v>
      </c>
      <c r="U483" s="3488">
        <v>0.25</v>
      </c>
      <c r="V483" s="4519">
        <v>0.08</v>
      </c>
      <c r="W483" s="4520">
        <v>0.5</v>
      </c>
      <c r="X483" s="4521">
        <v>0.33329999999999999</v>
      </c>
      <c r="Y483" s="4264">
        <v>3</v>
      </c>
      <c r="Z483" s="2774">
        <v>0</v>
      </c>
      <c r="AA483" s="4345">
        <v>1</v>
      </c>
      <c r="AB483" s="2837">
        <v>1</v>
      </c>
      <c r="AC483" s="4522">
        <v>6</v>
      </c>
      <c r="AD483" s="2774">
        <v>0</v>
      </c>
      <c r="AE483" s="2782">
        <v>0</v>
      </c>
      <c r="AF483" s="2783">
        <v>0</v>
      </c>
      <c r="AG483" s="4462">
        <f>115</f>
        <v>115</v>
      </c>
      <c r="AH483" s="2993"/>
      <c r="AI483" s="4523">
        <f>155</f>
        <v>155</v>
      </c>
      <c r="AJ483" s="151"/>
      <c r="AK483" s="657"/>
      <c r="AL483" s="657"/>
      <c r="AM483" s="657"/>
      <c r="AN483" s="151"/>
      <c r="AO483" s="107"/>
    </row>
    <row r="484" spans="1:41" ht="15">
      <c r="A484" s="109"/>
      <c r="B484" s="5831">
        <v>8</v>
      </c>
      <c r="C484" s="2792" t="s">
        <v>190</v>
      </c>
      <c r="D484" s="183"/>
      <c r="E484" s="183"/>
      <c r="F484" s="88">
        <v>27</v>
      </c>
      <c r="G484" s="88" t="s">
        <v>1605</v>
      </c>
      <c r="H484" s="88" t="s">
        <v>1616</v>
      </c>
      <c r="I484" s="2793" t="s">
        <v>1854</v>
      </c>
      <c r="J484" s="4405" t="s">
        <v>1629</v>
      </c>
      <c r="K484" s="4133">
        <v>4.5199999999999996</v>
      </c>
      <c r="L484" s="2742">
        <v>0.35</v>
      </c>
      <c r="M484" s="3049">
        <v>4.5199999999999996</v>
      </c>
      <c r="N484" s="4524">
        <v>0.42</v>
      </c>
      <c r="O484" s="4305">
        <v>0</v>
      </c>
      <c r="P484" s="2741">
        <v>0</v>
      </c>
      <c r="Q484" s="2742">
        <v>0</v>
      </c>
      <c r="R484" s="2742">
        <v>0</v>
      </c>
      <c r="S484" s="2744">
        <v>0</v>
      </c>
      <c r="T484" s="88">
        <v>11</v>
      </c>
      <c r="U484" s="2901">
        <v>0.55000000000000004</v>
      </c>
      <c r="V484" s="3701">
        <v>0.18</v>
      </c>
      <c r="W484" s="4525">
        <v>0.18</v>
      </c>
      <c r="X484" s="4526">
        <v>0.72729999999999995</v>
      </c>
      <c r="Y484" s="4510">
        <v>6</v>
      </c>
      <c r="Z484" s="2809">
        <v>0</v>
      </c>
      <c r="AA484" s="3609">
        <v>2</v>
      </c>
      <c r="AB484" s="2809">
        <v>0</v>
      </c>
      <c r="AC484" s="2810">
        <v>2</v>
      </c>
      <c r="AD484" s="4527">
        <v>1</v>
      </c>
      <c r="AE484" s="63">
        <v>0</v>
      </c>
      <c r="AF484" s="27">
        <v>0</v>
      </c>
      <c r="AG484" s="3675">
        <v>-205</v>
      </c>
      <c r="AH484" s="2761"/>
      <c r="AI484" s="4528">
        <v>-183</v>
      </c>
      <c r="AJ484" s="54"/>
      <c r="AK484" s="6"/>
      <c r="AL484" s="6"/>
      <c r="AM484" s="6"/>
      <c r="AN484" s="183"/>
      <c r="AO484" s="107"/>
    </row>
    <row r="485" spans="1:41" ht="15">
      <c r="A485" s="109"/>
      <c r="B485" s="5832"/>
      <c r="C485" s="2819" t="s">
        <v>191</v>
      </c>
      <c r="D485" s="213"/>
      <c r="E485" s="213"/>
      <c r="F485" s="2820">
        <v>30</v>
      </c>
      <c r="G485" s="2820" t="s">
        <v>1630</v>
      </c>
      <c r="H485" s="2820" t="s">
        <v>1618</v>
      </c>
      <c r="I485" s="2821" t="s">
        <v>1862</v>
      </c>
      <c r="J485" s="4412" t="s">
        <v>1941</v>
      </c>
      <c r="K485" s="2890">
        <v>7.2</v>
      </c>
      <c r="L485" s="2773">
        <v>0.57999999999999996</v>
      </c>
      <c r="M485" s="4529">
        <v>6.17</v>
      </c>
      <c r="N485" s="3410">
        <v>0.66</v>
      </c>
      <c r="O485" s="4530">
        <f>1.03</f>
        <v>1.03</v>
      </c>
      <c r="P485" s="2771">
        <v>0</v>
      </c>
      <c r="Q485" s="2772">
        <v>0</v>
      </c>
      <c r="R485" s="2772">
        <v>0</v>
      </c>
      <c r="S485" s="2911">
        <v>0</v>
      </c>
      <c r="T485" s="2820">
        <v>11</v>
      </c>
      <c r="U485" s="4458">
        <v>0.45</v>
      </c>
      <c r="V485" s="4531">
        <v>0.27</v>
      </c>
      <c r="W485" s="4532">
        <v>0.09</v>
      </c>
      <c r="X485" s="4533">
        <v>0.72729999999999995</v>
      </c>
      <c r="Y485" s="2780">
        <v>5</v>
      </c>
      <c r="Z485" s="2839">
        <v>2</v>
      </c>
      <c r="AA485" s="4156">
        <v>3</v>
      </c>
      <c r="AB485" s="2774">
        <v>0</v>
      </c>
      <c r="AC485" s="2781">
        <v>1</v>
      </c>
      <c r="AD485" s="2774">
        <v>0</v>
      </c>
      <c r="AE485" s="2841">
        <v>0</v>
      </c>
      <c r="AF485" s="28">
        <v>0</v>
      </c>
      <c r="AG485" s="2889">
        <f>175</f>
        <v>175</v>
      </c>
      <c r="AH485" s="4501"/>
      <c r="AI485" s="4534">
        <f>158</f>
        <v>158</v>
      </c>
      <c r="AJ485" s="213"/>
      <c r="AK485" s="5"/>
      <c r="AL485" s="5"/>
      <c r="AM485" s="5"/>
      <c r="AN485" s="213"/>
      <c r="AO485" s="107"/>
    </row>
    <row r="486" spans="1:41" ht="15">
      <c r="A486" s="109"/>
      <c r="B486" s="5833">
        <v>9</v>
      </c>
      <c r="C486" s="2732" t="s">
        <v>1499</v>
      </c>
      <c r="D486" s="119"/>
      <c r="E486" s="119"/>
      <c r="F486" s="2733">
        <v>28</v>
      </c>
      <c r="G486" s="2733" t="s">
        <v>1623</v>
      </c>
      <c r="H486" s="2733" t="s">
        <v>1686</v>
      </c>
      <c r="I486" s="2734" t="s">
        <v>1945</v>
      </c>
      <c r="J486" s="4381" t="s">
        <v>1931</v>
      </c>
      <c r="K486" s="4535">
        <v>2.6</v>
      </c>
      <c r="L486" s="3397">
        <v>0.45</v>
      </c>
      <c r="M486" s="4536">
        <v>3.21</v>
      </c>
      <c r="N486" s="3497">
        <v>0.55000000000000004</v>
      </c>
      <c r="O486" s="4537">
        <v>-0.61</v>
      </c>
      <c r="P486" s="3284">
        <v>2.46</v>
      </c>
      <c r="Q486" s="4538">
        <v>0.41</v>
      </c>
      <c r="R486" s="4095">
        <v>0.43</v>
      </c>
      <c r="S486" s="4113">
        <v>0.9</v>
      </c>
      <c r="T486" s="2733">
        <v>20</v>
      </c>
      <c r="U486" s="4539">
        <v>0.05</v>
      </c>
      <c r="V486" s="4540">
        <v>0.45</v>
      </c>
      <c r="W486" s="4541">
        <v>0.1</v>
      </c>
      <c r="X486" s="4542">
        <v>0.5</v>
      </c>
      <c r="Y486" s="4309">
        <v>1</v>
      </c>
      <c r="Z486" s="2862">
        <v>1</v>
      </c>
      <c r="AA486" s="3194">
        <v>9</v>
      </c>
      <c r="AB486" s="2862">
        <v>1</v>
      </c>
      <c r="AC486" s="2810">
        <v>2</v>
      </c>
      <c r="AD486" s="3007">
        <v>6</v>
      </c>
      <c r="AE486" s="2754">
        <v>0</v>
      </c>
      <c r="AF486" s="2755">
        <v>0</v>
      </c>
      <c r="AG486" s="4450">
        <v>-160</v>
      </c>
      <c r="AH486" s="4543"/>
      <c r="AI486" s="4544">
        <v>-230</v>
      </c>
      <c r="AJ486" s="1372"/>
      <c r="AK486" s="640"/>
      <c r="AL486" s="640"/>
      <c r="AM486" s="640"/>
      <c r="AN486" s="119"/>
      <c r="AO486" s="107"/>
    </row>
    <row r="487" spans="1:41" ht="15">
      <c r="A487" s="109"/>
      <c r="B487" s="5832"/>
      <c r="C487" s="2762" t="s">
        <v>1500</v>
      </c>
      <c r="D487" s="151"/>
      <c r="E487" s="151"/>
      <c r="F487" s="2763">
        <v>31</v>
      </c>
      <c r="G487" s="2763" t="s">
        <v>1623</v>
      </c>
      <c r="H487" s="2763" t="s">
        <v>1624</v>
      </c>
      <c r="I487" s="2764" t="s">
        <v>1926</v>
      </c>
      <c r="J487" s="4394" t="s">
        <v>1931</v>
      </c>
      <c r="K487" s="4545">
        <v>3.19</v>
      </c>
      <c r="L487" s="4546">
        <v>0.41</v>
      </c>
      <c r="M487" s="4547">
        <v>2.63</v>
      </c>
      <c r="N487" s="4030">
        <v>0.55000000000000004</v>
      </c>
      <c r="O487" s="3837">
        <f>0.56</f>
        <v>0.56000000000000005</v>
      </c>
      <c r="P487" s="4515">
        <v>0.93</v>
      </c>
      <c r="Q487" s="4548">
        <v>0.33</v>
      </c>
      <c r="R487" s="2830">
        <v>0.43</v>
      </c>
      <c r="S487" s="4549">
        <v>2.1</v>
      </c>
      <c r="T487" s="2763">
        <v>19</v>
      </c>
      <c r="U487" s="4550">
        <v>0.26</v>
      </c>
      <c r="V487" s="4551">
        <v>0.42</v>
      </c>
      <c r="W487" s="2834">
        <v>0</v>
      </c>
      <c r="X487" s="4552">
        <v>0.68420000000000003</v>
      </c>
      <c r="Y487" s="2780">
        <v>5</v>
      </c>
      <c r="Z487" s="2774">
        <v>0</v>
      </c>
      <c r="AA487" s="3218">
        <v>8</v>
      </c>
      <c r="AB487" s="2839">
        <v>2</v>
      </c>
      <c r="AC487" s="2840">
        <v>0</v>
      </c>
      <c r="AD487" s="2990">
        <v>4</v>
      </c>
      <c r="AE487" s="2782">
        <v>0</v>
      </c>
      <c r="AF487" s="2783">
        <v>0</v>
      </c>
      <c r="AG487" s="4461">
        <f>140</f>
        <v>140</v>
      </c>
      <c r="AH487" s="4239"/>
      <c r="AI487" s="4553">
        <f>195</f>
        <v>195</v>
      </c>
      <c r="AJ487" s="151"/>
      <c r="AK487" s="657"/>
      <c r="AL487" s="657"/>
      <c r="AM487" s="657"/>
      <c r="AN487" s="151"/>
      <c r="AO487" s="107"/>
    </row>
    <row r="488" spans="1:41" ht="15">
      <c r="A488" s="109"/>
      <c r="B488" s="5831">
        <v>10</v>
      </c>
      <c r="C488" s="2792" t="s">
        <v>1181</v>
      </c>
      <c r="D488" s="183"/>
      <c r="E488" s="183"/>
      <c r="F488" s="88">
        <v>31</v>
      </c>
      <c r="G488" s="88" t="s">
        <v>1603</v>
      </c>
      <c r="H488" s="88" t="s">
        <v>1576</v>
      </c>
      <c r="I488" s="2793" t="s">
        <v>1862</v>
      </c>
      <c r="J488" s="4405" t="s">
        <v>1931</v>
      </c>
      <c r="K488" s="4554">
        <v>2.34</v>
      </c>
      <c r="L488" s="4555">
        <v>0.42</v>
      </c>
      <c r="M488" s="4556">
        <v>3.44</v>
      </c>
      <c r="N488" s="4557">
        <v>0.59</v>
      </c>
      <c r="O488" s="3424">
        <v>-1.1000000000000001</v>
      </c>
      <c r="P488" s="4017">
        <v>1</v>
      </c>
      <c r="Q488" s="3015">
        <v>0.28000000000000003</v>
      </c>
      <c r="R488" s="4558">
        <v>0.8</v>
      </c>
      <c r="S488" s="3051">
        <v>0.5</v>
      </c>
      <c r="T488" s="88">
        <v>11</v>
      </c>
      <c r="U488" s="2901">
        <v>0.55000000000000004</v>
      </c>
      <c r="V488" s="2746">
        <v>0</v>
      </c>
      <c r="W488" s="3152">
        <v>0.27</v>
      </c>
      <c r="X488" s="4559">
        <v>0.54549999999999998</v>
      </c>
      <c r="Y488" s="4510">
        <v>6</v>
      </c>
      <c r="Z488" s="2862">
        <v>1</v>
      </c>
      <c r="AA488" s="2751">
        <v>0</v>
      </c>
      <c r="AB488" s="2862">
        <v>1</v>
      </c>
      <c r="AC488" s="2808">
        <v>3</v>
      </c>
      <c r="AD488" s="2809">
        <v>0</v>
      </c>
      <c r="AE488" s="63">
        <v>0</v>
      </c>
      <c r="AF488" s="27">
        <v>0</v>
      </c>
      <c r="AG488" s="3969">
        <v>-125</v>
      </c>
      <c r="AH488" s="4560"/>
      <c r="AI488" s="4561">
        <v>-140</v>
      </c>
      <c r="AJ488" s="54"/>
      <c r="AK488" s="6"/>
      <c r="AL488" s="6"/>
      <c r="AM488" s="6"/>
      <c r="AN488" s="183"/>
      <c r="AO488" s="107"/>
    </row>
    <row r="489" spans="1:41" ht="15">
      <c r="A489" s="109"/>
      <c r="B489" s="5832"/>
      <c r="C489" s="2819" t="s">
        <v>1182</v>
      </c>
      <c r="D489" s="213"/>
      <c r="E489" s="213"/>
      <c r="F489" s="2820">
        <v>27</v>
      </c>
      <c r="G489" s="2820" t="s">
        <v>1567</v>
      </c>
      <c r="H489" s="2820" t="s">
        <v>1597</v>
      </c>
      <c r="I489" s="2821" t="s">
        <v>1946</v>
      </c>
      <c r="J489" s="4412" t="s">
        <v>1941</v>
      </c>
      <c r="K489" s="4562">
        <v>2.56</v>
      </c>
      <c r="L489" s="4563">
        <v>0.36</v>
      </c>
      <c r="M489" s="3513">
        <v>3.98</v>
      </c>
      <c r="N489" s="4564">
        <v>0.44</v>
      </c>
      <c r="O489" s="4565">
        <v>-1.42</v>
      </c>
      <c r="P489" s="2771">
        <v>0</v>
      </c>
      <c r="Q489" s="2772">
        <v>0</v>
      </c>
      <c r="R489" s="3976">
        <v>0.33</v>
      </c>
      <c r="S489" s="3383">
        <v>2.8</v>
      </c>
      <c r="T489" s="2820">
        <v>13</v>
      </c>
      <c r="U489" s="4014">
        <v>0.31</v>
      </c>
      <c r="V489" s="4566">
        <v>0.38</v>
      </c>
      <c r="W489" s="3174">
        <v>0.08</v>
      </c>
      <c r="X489" s="4016">
        <v>0.69230000000000003</v>
      </c>
      <c r="Y489" s="4377">
        <v>4</v>
      </c>
      <c r="Z489" s="2839">
        <v>2</v>
      </c>
      <c r="AA489" s="4499">
        <v>5</v>
      </c>
      <c r="AB489" s="2774">
        <v>0</v>
      </c>
      <c r="AC489" s="2781">
        <v>1</v>
      </c>
      <c r="AD489" s="2774">
        <v>0</v>
      </c>
      <c r="AE489" s="2841">
        <v>0</v>
      </c>
      <c r="AF489" s="28">
        <v>0</v>
      </c>
      <c r="AG489" s="4266">
        <f>105</f>
        <v>105</v>
      </c>
      <c r="AH489" s="4567"/>
      <c r="AI489" s="4568">
        <f>120</f>
        <v>120</v>
      </c>
      <c r="AJ489" s="213"/>
      <c r="AK489" s="5"/>
      <c r="AL489" s="5"/>
      <c r="AM489" s="5"/>
      <c r="AN489" s="213"/>
      <c r="AO489" s="107"/>
    </row>
    <row r="490" spans="1:41" ht="15">
      <c r="A490" s="109"/>
      <c r="B490" s="5833">
        <v>11</v>
      </c>
      <c r="C490" s="2732" t="s">
        <v>1323</v>
      </c>
      <c r="D490" s="119"/>
      <c r="E490" s="119"/>
      <c r="F490" s="2733">
        <v>34</v>
      </c>
      <c r="G490" s="2733" t="s">
        <v>1592</v>
      </c>
      <c r="H490" s="2733" t="s">
        <v>1631</v>
      </c>
      <c r="I490" s="2734" t="s">
        <v>1942</v>
      </c>
      <c r="J490" s="4381" t="s">
        <v>1931</v>
      </c>
      <c r="K490" s="4569">
        <v>3.54</v>
      </c>
      <c r="L490" s="4465">
        <v>0.4</v>
      </c>
      <c r="M490" s="2961">
        <v>4.41</v>
      </c>
      <c r="N490" s="4570">
        <v>0.51</v>
      </c>
      <c r="O490" s="4571">
        <v>-0.87</v>
      </c>
      <c r="P490" s="4572">
        <v>2.17</v>
      </c>
      <c r="Q490" s="3499">
        <v>0.37</v>
      </c>
      <c r="R490" s="4558">
        <v>0.8</v>
      </c>
      <c r="S490" s="2744">
        <v>0</v>
      </c>
      <c r="T490" s="2733">
        <v>12</v>
      </c>
      <c r="U490" s="3005">
        <v>0.17</v>
      </c>
      <c r="V490" s="3799">
        <v>0.08</v>
      </c>
      <c r="W490" s="4573">
        <v>0.5</v>
      </c>
      <c r="X490" s="4574">
        <v>0.25</v>
      </c>
      <c r="Y490" s="4248">
        <v>2</v>
      </c>
      <c r="Z490" s="2809">
        <v>0</v>
      </c>
      <c r="AA490" s="4353">
        <v>1</v>
      </c>
      <c r="AB490" s="2809">
        <v>0</v>
      </c>
      <c r="AC490" s="4575">
        <v>6</v>
      </c>
      <c r="AD490" s="3430">
        <v>3</v>
      </c>
      <c r="AE490" s="2754">
        <v>0</v>
      </c>
      <c r="AF490" s="2755">
        <v>0</v>
      </c>
      <c r="AG490" s="2905">
        <v>-400</v>
      </c>
      <c r="AH490" s="2905"/>
      <c r="AI490" s="2809">
        <v>-370</v>
      </c>
      <c r="AJ490" s="1372"/>
      <c r="AK490" s="640"/>
      <c r="AL490" s="640"/>
      <c r="AM490" s="640"/>
      <c r="AN490" s="119"/>
      <c r="AO490" s="107"/>
    </row>
    <row r="491" spans="1:41" ht="15">
      <c r="A491" s="109"/>
      <c r="B491" s="5832"/>
      <c r="C491" s="2762" t="s">
        <v>1324</v>
      </c>
      <c r="D491" s="151"/>
      <c r="E491" s="151"/>
      <c r="F491" s="2763">
        <v>35</v>
      </c>
      <c r="G491" s="2763" t="s">
        <v>1592</v>
      </c>
      <c r="H491" s="2763" t="s">
        <v>1659</v>
      </c>
      <c r="I491" s="2764" t="s">
        <v>1894</v>
      </c>
      <c r="J491" s="4394" t="s">
        <v>1931</v>
      </c>
      <c r="K491" s="2828">
        <v>4.12</v>
      </c>
      <c r="L491" s="4173">
        <v>0.43</v>
      </c>
      <c r="M491" s="2771">
        <v>7.13</v>
      </c>
      <c r="N491" s="4576">
        <v>0.45</v>
      </c>
      <c r="O491" s="4577">
        <v>-3.01</v>
      </c>
      <c r="P491" s="4255">
        <v>0.18</v>
      </c>
      <c r="Q491" s="4548">
        <v>0.33</v>
      </c>
      <c r="R491" s="4578">
        <v>0.65</v>
      </c>
      <c r="S491" s="2911">
        <v>0</v>
      </c>
      <c r="T491" s="2763">
        <v>17</v>
      </c>
      <c r="U491" s="4400">
        <v>0.41</v>
      </c>
      <c r="V491" s="2834">
        <v>0</v>
      </c>
      <c r="W491" s="4579">
        <v>0.28999999999999998</v>
      </c>
      <c r="X491" s="4482">
        <v>0.4118</v>
      </c>
      <c r="Y491" s="4441">
        <v>7</v>
      </c>
      <c r="Z491" s="2774">
        <v>0</v>
      </c>
      <c r="AA491" s="2840">
        <v>0</v>
      </c>
      <c r="AB491" s="3740">
        <v>3</v>
      </c>
      <c r="AC491" s="3593">
        <v>5</v>
      </c>
      <c r="AD491" s="2837">
        <v>2</v>
      </c>
      <c r="AE491" s="2782">
        <v>0</v>
      </c>
      <c r="AF491" s="2783">
        <v>0</v>
      </c>
      <c r="AG491" s="2771">
        <f>330</f>
        <v>330</v>
      </c>
      <c r="AH491" s="2771"/>
      <c r="AI491" s="2911">
        <v>295</v>
      </c>
      <c r="AJ491" s="151"/>
      <c r="AK491" s="657"/>
      <c r="AL491" s="657"/>
      <c r="AM491" s="657"/>
      <c r="AN491" s="151"/>
      <c r="AO491" s="107"/>
    </row>
    <row r="492" spans="1:41" ht="14.25">
      <c r="A492" s="109"/>
      <c r="B492" s="5831">
        <v>12</v>
      </c>
      <c r="C492" s="2792" t="s">
        <v>502</v>
      </c>
      <c r="D492" s="183"/>
      <c r="E492" s="183"/>
      <c r="F492" s="88">
        <v>333</v>
      </c>
      <c r="G492" s="88" t="s">
        <v>1592</v>
      </c>
      <c r="H492" s="88" t="s">
        <v>1618</v>
      </c>
      <c r="I492" s="3183" t="s">
        <v>1905</v>
      </c>
      <c r="J492" s="4405" t="s">
        <v>1936</v>
      </c>
      <c r="K492" s="2741">
        <v>1.93</v>
      </c>
      <c r="L492" s="4555">
        <v>0.42</v>
      </c>
      <c r="M492" s="2905">
        <v>2.2599999999999998</v>
      </c>
      <c r="N492" s="4524">
        <v>0.42</v>
      </c>
      <c r="O492" s="4580">
        <v>-0.33</v>
      </c>
      <c r="P492" s="3451">
        <v>1.61</v>
      </c>
      <c r="Q492" s="3397">
        <v>0.3</v>
      </c>
      <c r="R492" s="4581">
        <v>0.09</v>
      </c>
      <c r="S492" s="4162">
        <v>0.8</v>
      </c>
      <c r="T492" s="88">
        <v>21</v>
      </c>
      <c r="U492" s="3427">
        <v>0.24</v>
      </c>
      <c r="V492" s="4582">
        <v>0.28999999999999998</v>
      </c>
      <c r="W492" s="4583">
        <v>0.14000000000000001</v>
      </c>
      <c r="X492" s="2748">
        <v>0.52380000000000004</v>
      </c>
      <c r="Y492" s="2808">
        <v>5</v>
      </c>
      <c r="Z492" s="4584">
        <v>5</v>
      </c>
      <c r="AA492" s="3235">
        <v>6</v>
      </c>
      <c r="AB492" s="2752">
        <v>2</v>
      </c>
      <c r="AC492" s="2808">
        <v>3</v>
      </c>
      <c r="AD492" s="2809">
        <v>0</v>
      </c>
      <c r="AE492" s="63">
        <v>0</v>
      </c>
      <c r="AF492" s="27">
        <v>0</v>
      </c>
      <c r="AG492" s="4585">
        <v>-119</v>
      </c>
      <c r="AH492" s="4586"/>
      <c r="AI492" s="4587">
        <v>-135</v>
      </c>
      <c r="AJ492" s="54"/>
      <c r="AK492" s="6"/>
      <c r="AL492" s="6"/>
      <c r="AM492" s="6"/>
      <c r="AN492" s="183"/>
      <c r="AO492" s="107"/>
    </row>
    <row r="493" spans="1:41" ht="14.25">
      <c r="A493" s="109"/>
      <c r="B493" s="5832"/>
      <c r="C493" s="2819" t="s">
        <v>503</v>
      </c>
      <c r="D493" s="213"/>
      <c r="E493" s="213"/>
      <c r="F493" s="2820">
        <v>33</v>
      </c>
      <c r="G493" s="2820" t="s">
        <v>1592</v>
      </c>
      <c r="H493" s="2820" t="s">
        <v>1631</v>
      </c>
      <c r="I493" s="2820" t="s">
        <v>1645</v>
      </c>
      <c r="J493" s="3204">
        <v>45353</v>
      </c>
      <c r="K493" s="4588">
        <v>1.99</v>
      </c>
      <c r="L493" s="4589">
        <v>0.5</v>
      </c>
      <c r="M493" s="4590">
        <v>5.05</v>
      </c>
      <c r="N493" s="2909">
        <v>0.38</v>
      </c>
      <c r="O493" s="2911">
        <v>-3.06</v>
      </c>
      <c r="P493" s="3265">
        <v>1.66</v>
      </c>
      <c r="Q493" s="4495">
        <v>0.27</v>
      </c>
      <c r="R493" s="2772">
        <v>0</v>
      </c>
      <c r="S493" s="2774">
        <v>4.4000000000000004</v>
      </c>
      <c r="T493" s="2820">
        <v>23</v>
      </c>
      <c r="U493" s="2834">
        <v>0</v>
      </c>
      <c r="V493" s="2880">
        <v>0.61</v>
      </c>
      <c r="W493" s="4532">
        <v>0.09</v>
      </c>
      <c r="X493" s="4591">
        <v>0.60870000000000002</v>
      </c>
      <c r="Y493" s="2840">
        <v>0</v>
      </c>
      <c r="Z493" s="2911">
        <v>6</v>
      </c>
      <c r="AA493" s="3278">
        <v>14</v>
      </c>
      <c r="AB493" s="2774">
        <v>0</v>
      </c>
      <c r="AC493" s="2836">
        <v>2</v>
      </c>
      <c r="AD493" s="4500">
        <v>1</v>
      </c>
      <c r="AE493" s="2841">
        <v>0</v>
      </c>
      <c r="AF493" s="28">
        <v>0</v>
      </c>
      <c r="AG493" s="4592">
        <v>-101</v>
      </c>
      <c r="AH493" s="3844"/>
      <c r="AI493" s="4593">
        <v>115</v>
      </c>
      <c r="AJ493" s="213"/>
      <c r="AK493" s="5"/>
      <c r="AL493" s="5"/>
      <c r="AM493" s="5"/>
      <c r="AN493" s="213"/>
      <c r="AO493" s="107"/>
    </row>
    <row r="494" spans="1:41" ht="12.75">
      <c r="A494" s="10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07"/>
      <c r="AI494" s="107"/>
      <c r="AJ494" s="107"/>
      <c r="AK494" s="107"/>
      <c r="AL494" s="107"/>
      <c r="AM494" s="107"/>
      <c r="AN494" s="620"/>
    </row>
    <row r="500" spans="1:33" ht="12.75">
      <c r="A500" s="2728">
        <v>20240113</v>
      </c>
      <c r="B500" s="620"/>
      <c r="C500" s="620" t="s">
        <v>37</v>
      </c>
    </row>
    <row r="501" spans="1:33" ht="12.75">
      <c r="A501" s="108"/>
      <c r="B501" s="108"/>
      <c r="C501" s="107"/>
      <c r="D501" s="108"/>
      <c r="E501" s="108"/>
      <c r="F501" s="108"/>
      <c r="G501" s="108"/>
      <c r="H501" s="108"/>
      <c r="I501" s="108"/>
      <c r="J501" s="108"/>
      <c r="K501" s="108"/>
      <c r="L501" s="108"/>
      <c r="M501" s="108"/>
      <c r="N501" s="108"/>
      <c r="O501" s="108"/>
      <c r="P501" s="108"/>
      <c r="Q501" s="108"/>
      <c r="R501" s="108"/>
      <c r="S501" s="108"/>
      <c r="T501" s="108"/>
      <c r="U501" s="108"/>
      <c r="V501" s="108"/>
      <c r="W501" s="108"/>
      <c r="X501" s="108"/>
      <c r="Y501" s="108"/>
      <c r="Z501" s="108"/>
      <c r="AA501" s="108"/>
      <c r="AB501" s="108"/>
      <c r="AC501" s="108"/>
      <c r="AD501" s="108"/>
      <c r="AE501" s="107"/>
    </row>
    <row r="502" spans="1:33">
      <c r="A502" s="109"/>
      <c r="B502" s="5834" t="s">
        <v>1524</v>
      </c>
      <c r="C502" s="5840" t="s">
        <v>1525</v>
      </c>
      <c r="D502" s="5835"/>
      <c r="E502" s="5836"/>
      <c r="F502" s="5836"/>
      <c r="G502" s="5836"/>
      <c r="H502" s="5832"/>
      <c r="I502" s="5837" t="s">
        <v>1527</v>
      </c>
      <c r="J502" s="5836"/>
      <c r="K502" s="5836"/>
      <c r="L502" s="5836"/>
      <c r="M502" s="5832"/>
      <c r="N502" s="5838" t="s">
        <v>1528</v>
      </c>
      <c r="O502" s="5836"/>
      <c r="P502" s="5836"/>
      <c r="Q502" s="5832"/>
      <c r="R502" s="5839" t="s">
        <v>1529</v>
      </c>
      <c r="S502" s="5836"/>
      <c r="T502" s="5836"/>
      <c r="U502" s="5836"/>
      <c r="V502" s="5836"/>
      <c r="W502" s="5836"/>
      <c r="X502" s="5836"/>
      <c r="Y502" s="5836"/>
      <c r="Z502" s="5836"/>
      <c r="AA502" s="5836"/>
      <c r="AB502" s="5836"/>
      <c r="AC502" s="5836"/>
      <c r="AD502" s="5832"/>
      <c r="AE502" s="107"/>
    </row>
    <row r="503" spans="1:33" ht="15">
      <c r="A503" s="109"/>
      <c r="B503" s="5832"/>
      <c r="C503" s="5832"/>
      <c r="D503" s="111"/>
      <c r="E503" s="111"/>
      <c r="F503" s="111" t="s">
        <v>1533</v>
      </c>
      <c r="G503" s="111" t="s">
        <v>1534</v>
      </c>
      <c r="H503" s="111" t="s">
        <v>1535</v>
      </c>
      <c r="I503" s="111" t="s">
        <v>1536</v>
      </c>
      <c r="J503" s="111" t="s">
        <v>1537</v>
      </c>
      <c r="K503" s="111" t="s">
        <v>1538</v>
      </c>
      <c r="L503" s="111" t="s">
        <v>1539</v>
      </c>
      <c r="M503" s="111" t="s">
        <v>1540</v>
      </c>
      <c r="N503" s="111" t="s">
        <v>1541</v>
      </c>
      <c r="O503" s="111" t="s">
        <v>1542</v>
      </c>
      <c r="P503" s="111" t="s">
        <v>1543</v>
      </c>
      <c r="Q503" s="111" t="s">
        <v>1544</v>
      </c>
      <c r="R503" s="111" t="s">
        <v>1545</v>
      </c>
      <c r="S503" s="111" t="s">
        <v>1546</v>
      </c>
      <c r="T503" s="111" t="s">
        <v>1547</v>
      </c>
      <c r="U503" s="111" t="s">
        <v>1548</v>
      </c>
      <c r="V503" s="111" t="s">
        <v>1549</v>
      </c>
      <c r="W503" s="111" t="s">
        <v>1550</v>
      </c>
      <c r="X503" s="112" t="s">
        <v>1551</v>
      </c>
      <c r="Y503" s="113" t="s">
        <v>1552</v>
      </c>
      <c r="Z503" s="114" t="s">
        <v>1553</v>
      </c>
      <c r="AA503" s="113" t="s">
        <v>1554</v>
      </c>
      <c r="AB503" s="114" t="s">
        <v>1555</v>
      </c>
      <c r="AC503" s="115" t="s">
        <v>1556</v>
      </c>
      <c r="AD503" s="114" t="s">
        <v>1557</v>
      </c>
      <c r="AE503" s="113" t="s">
        <v>1558</v>
      </c>
      <c r="AF503" s="116" t="s">
        <v>1559</v>
      </c>
      <c r="AG503" s="107"/>
    </row>
    <row r="504" spans="1:33" ht="15">
      <c r="A504" s="109"/>
      <c r="B504" s="5833">
        <v>1</v>
      </c>
      <c r="C504" s="3139" t="s">
        <v>687</v>
      </c>
      <c r="D504" s="2733"/>
      <c r="E504" s="2733"/>
      <c r="F504" s="2733">
        <v>31</v>
      </c>
      <c r="G504" s="2733" t="s">
        <v>1567</v>
      </c>
      <c r="H504" s="2733" t="s">
        <v>1622</v>
      </c>
      <c r="I504" s="3141" t="s">
        <v>1947</v>
      </c>
      <c r="J504" s="4381" t="s">
        <v>1948</v>
      </c>
      <c r="K504" s="3923">
        <v>3.56</v>
      </c>
      <c r="L504" s="4594">
        <v>0.52</v>
      </c>
      <c r="M504" s="3393">
        <v>2.2000000000000002</v>
      </c>
      <c r="N504" s="4595">
        <v>0.57999999999999996</v>
      </c>
      <c r="O504" s="3476">
        <f>1.36</f>
        <v>1.36</v>
      </c>
      <c r="P504" s="2964">
        <v>1.07</v>
      </c>
      <c r="Q504" s="3015">
        <v>0.31</v>
      </c>
      <c r="R504" s="4596">
        <v>0.86</v>
      </c>
      <c r="S504" s="2744">
        <v>0</v>
      </c>
      <c r="T504" s="2733">
        <v>20</v>
      </c>
      <c r="U504" s="4597">
        <v>0.45</v>
      </c>
      <c r="V504" s="2858">
        <v>0.05</v>
      </c>
      <c r="W504" s="2804">
        <v>0.4</v>
      </c>
      <c r="X504" s="3109">
        <v>0.5</v>
      </c>
      <c r="Y504" s="4598">
        <v>9</v>
      </c>
      <c r="Z504" s="2809">
        <v>0</v>
      </c>
      <c r="AA504" s="2753">
        <v>1</v>
      </c>
      <c r="AB504" s="2862">
        <v>1</v>
      </c>
      <c r="AC504" s="3539">
        <v>8</v>
      </c>
      <c r="AD504" s="2809">
        <v>0</v>
      </c>
      <c r="AE504" s="2754">
        <v>0</v>
      </c>
      <c r="AF504" s="2755">
        <v>0</v>
      </c>
      <c r="AG504" s="107"/>
    </row>
    <row r="505" spans="1:33" ht="15">
      <c r="A505" s="109"/>
      <c r="B505" s="5832"/>
      <c r="C505" s="4599" t="s">
        <v>688</v>
      </c>
      <c r="D505" s="2763"/>
      <c r="E505" s="2763"/>
      <c r="F505" s="2763">
        <v>31</v>
      </c>
      <c r="G505" s="2763" t="s">
        <v>1667</v>
      </c>
      <c r="H505" s="2763" t="s">
        <v>1616</v>
      </c>
      <c r="I505" s="2764" t="s">
        <v>1949</v>
      </c>
      <c r="J505" s="4394" t="s">
        <v>1871</v>
      </c>
      <c r="K505" s="2980">
        <v>3.87</v>
      </c>
      <c r="L505" s="4600">
        <v>0.56000000000000005</v>
      </c>
      <c r="M505" s="4601">
        <v>2.64</v>
      </c>
      <c r="N505" s="3551">
        <v>0.45</v>
      </c>
      <c r="O505" s="4602">
        <f>1.23</f>
        <v>1.23</v>
      </c>
      <c r="P505" s="4341">
        <v>0.5</v>
      </c>
      <c r="Q505" s="2773">
        <v>1</v>
      </c>
      <c r="R505" s="4603">
        <v>0.56999999999999995</v>
      </c>
      <c r="S505" s="4604">
        <v>1</v>
      </c>
      <c r="T505" s="2763">
        <v>28</v>
      </c>
      <c r="U505" s="4605">
        <v>0.56999999999999995</v>
      </c>
      <c r="V505" s="4606">
        <v>0.11</v>
      </c>
      <c r="W505" s="4000">
        <v>7.0000000000000007E-2</v>
      </c>
      <c r="X505" s="4418">
        <v>0.67859999999999998</v>
      </c>
      <c r="Y505" s="4607">
        <v>16</v>
      </c>
      <c r="Z505" s="4608">
        <v>4</v>
      </c>
      <c r="AA505" s="2780">
        <v>3</v>
      </c>
      <c r="AB505" s="2837">
        <v>1</v>
      </c>
      <c r="AC505" s="4265">
        <v>2</v>
      </c>
      <c r="AD505" s="4609">
        <v>2</v>
      </c>
      <c r="AE505" s="2782">
        <v>0</v>
      </c>
      <c r="AF505" s="2783">
        <v>0</v>
      </c>
      <c r="AG505" s="107"/>
    </row>
    <row r="506" spans="1:33" ht="14.25">
      <c r="A506" s="109"/>
      <c r="B506" s="5831">
        <v>2</v>
      </c>
      <c r="C506" s="2792" t="s">
        <v>432</v>
      </c>
      <c r="D506" s="88"/>
      <c r="E506" s="88"/>
      <c r="F506" s="88">
        <v>31</v>
      </c>
      <c r="G506" s="88" t="s">
        <v>1653</v>
      </c>
      <c r="H506" s="88" t="s">
        <v>1593</v>
      </c>
      <c r="I506" s="3183" t="s">
        <v>1950</v>
      </c>
      <c r="J506" s="4405" t="s">
        <v>1941</v>
      </c>
      <c r="K506" s="4610">
        <v>3.66</v>
      </c>
      <c r="L506" s="4611">
        <v>0.53</v>
      </c>
      <c r="M506" s="3301">
        <v>3.14</v>
      </c>
      <c r="N506" s="4612">
        <v>0.66</v>
      </c>
      <c r="O506" s="4039">
        <f>0.52</f>
        <v>0.52</v>
      </c>
      <c r="P506" s="2892">
        <v>1.48</v>
      </c>
      <c r="Q506" s="4060">
        <v>0.45</v>
      </c>
      <c r="R506" s="4613">
        <v>0.93</v>
      </c>
      <c r="S506" s="3476">
        <v>0.9</v>
      </c>
      <c r="T506" s="88">
        <v>23</v>
      </c>
      <c r="U506" s="3878">
        <v>0.22</v>
      </c>
      <c r="V506" s="4614">
        <v>0.22</v>
      </c>
      <c r="W506" s="4615">
        <v>0.39</v>
      </c>
      <c r="X506" s="2929">
        <v>0.43480000000000002</v>
      </c>
      <c r="Y506" s="3735">
        <v>5</v>
      </c>
      <c r="Z506" s="4616">
        <v>3</v>
      </c>
      <c r="AA506" s="3086">
        <v>5</v>
      </c>
      <c r="AB506" s="2809">
        <v>0</v>
      </c>
      <c r="AC506" s="4617">
        <v>9</v>
      </c>
      <c r="AD506" s="2809">
        <v>0</v>
      </c>
      <c r="AE506" s="63">
        <v>0</v>
      </c>
      <c r="AF506" s="27">
        <v>0</v>
      </c>
      <c r="AG506" s="107"/>
    </row>
    <row r="507" spans="1:33" ht="15">
      <c r="A507" s="109"/>
      <c r="B507" s="5832"/>
      <c r="C507" s="2819" t="s">
        <v>1951</v>
      </c>
      <c r="D507" s="2820"/>
      <c r="E507" s="2820"/>
      <c r="F507" s="2820">
        <v>30</v>
      </c>
      <c r="G507" s="2820" t="s">
        <v>1623</v>
      </c>
      <c r="H507" s="2820" t="s">
        <v>1631</v>
      </c>
      <c r="I507" s="2821" t="s">
        <v>1952</v>
      </c>
      <c r="J507" s="4412" t="s">
        <v>1941</v>
      </c>
      <c r="K507" s="4618">
        <v>5.12</v>
      </c>
      <c r="L507" s="4293">
        <v>0.54</v>
      </c>
      <c r="M507" s="4619">
        <v>4.51</v>
      </c>
      <c r="N507" s="4620">
        <v>0.59</v>
      </c>
      <c r="O507" s="4621">
        <f>0.61</f>
        <v>0.61</v>
      </c>
      <c r="P507" s="4145">
        <v>0.65</v>
      </c>
      <c r="Q507" s="3379">
        <v>0.37</v>
      </c>
      <c r="R507" s="3443">
        <v>0.77</v>
      </c>
      <c r="S507" s="4622">
        <v>0.4</v>
      </c>
      <c r="T507" s="2820">
        <v>25</v>
      </c>
      <c r="U507" s="4262">
        <v>0.44</v>
      </c>
      <c r="V507" s="4623">
        <v>0.2</v>
      </c>
      <c r="W507" s="3274">
        <v>0.12</v>
      </c>
      <c r="X507" s="4624">
        <v>0.64</v>
      </c>
      <c r="Y507" s="4625">
        <v>11</v>
      </c>
      <c r="Z507" s="2774">
        <v>0</v>
      </c>
      <c r="AA507" s="2779">
        <v>5</v>
      </c>
      <c r="AB507" s="2990">
        <v>2</v>
      </c>
      <c r="AC507" s="4202">
        <v>3</v>
      </c>
      <c r="AD507" s="4608">
        <v>4</v>
      </c>
      <c r="AE507" s="2841">
        <v>0</v>
      </c>
      <c r="AF507" s="28">
        <v>0</v>
      </c>
      <c r="AG507" s="107"/>
    </row>
    <row r="508" spans="1:33" ht="15">
      <c r="A508" s="109"/>
      <c r="B508" s="5833">
        <v>3</v>
      </c>
      <c r="C508" s="2732" t="s">
        <v>819</v>
      </c>
      <c r="D508" s="2733"/>
      <c r="E508" s="2733"/>
      <c r="F508" s="2733">
        <v>40</v>
      </c>
      <c r="G508" s="2733" t="s">
        <v>1630</v>
      </c>
      <c r="H508" s="2733" t="s">
        <v>1641</v>
      </c>
      <c r="I508" s="2734" t="s">
        <v>1953</v>
      </c>
      <c r="J508" s="4381" t="s">
        <v>1941</v>
      </c>
      <c r="K508" s="4626">
        <v>2.86</v>
      </c>
      <c r="L508" s="2920">
        <v>0.41</v>
      </c>
      <c r="M508" s="3185">
        <v>3.08</v>
      </c>
      <c r="N508" s="4595">
        <v>0.57999999999999996</v>
      </c>
      <c r="O508" s="3568">
        <v>-0.22</v>
      </c>
      <c r="P508" s="4627">
        <v>1.56</v>
      </c>
      <c r="Q508" s="3699">
        <v>0.43</v>
      </c>
      <c r="R508" s="4488">
        <v>0.48</v>
      </c>
      <c r="S508" s="4628">
        <v>1.8</v>
      </c>
      <c r="T508" s="2733">
        <v>53</v>
      </c>
      <c r="U508" s="4629">
        <v>0.13</v>
      </c>
      <c r="V508" s="4630">
        <v>0.36</v>
      </c>
      <c r="W508" s="3988">
        <v>0.19</v>
      </c>
      <c r="X508" s="4631">
        <v>0.49059999999999998</v>
      </c>
      <c r="Y508" s="4632">
        <v>7</v>
      </c>
      <c r="Z508" s="4633">
        <v>2</v>
      </c>
      <c r="AA508" s="2864">
        <v>19</v>
      </c>
      <c r="AB508" s="3007">
        <v>3</v>
      </c>
      <c r="AC508" s="4634">
        <v>10</v>
      </c>
      <c r="AD508" s="2744">
        <v>12</v>
      </c>
      <c r="AE508" s="2754">
        <v>0</v>
      </c>
      <c r="AF508" s="2755">
        <v>0</v>
      </c>
      <c r="AG508" s="107"/>
    </row>
    <row r="509" spans="1:33" ht="15">
      <c r="A509" s="109"/>
      <c r="B509" s="5832"/>
      <c r="C509" s="2762" t="s">
        <v>728</v>
      </c>
      <c r="D509" s="2763"/>
      <c r="E509" s="2763"/>
      <c r="F509" s="2763">
        <v>35</v>
      </c>
      <c r="G509" s="2763" t="s">
        <v>1630</v>
      </c>
      <c r="H509" s="2763" t="s">
        <v>1641</v>
      </c>
      <c r="I509" s="2764" t="s">
        <v>1954</v>
      </c>
      <c r="J509" s="4394" t="s">
        <v>1936</v>
      </c>
      <c r="K509" s="4210">
        <v>4.79</v>
      </c>
      <c r="L509" s="3622">
        <v>0.41</v>
      </c>
      <c r="M509" s="3483">
        <v>4.05</v>
      </c>
      <c r="N509" s="4635">
        <v>0.65</v>
      </c>
      <c r="O509" s="3620">
        <f>0.74</f>
        <v>0.74</v>
      </c>
      <c r="P509" s="4636">
        <v>0.27</v>
      </c>
      <c r="Q509" s="3930">
        <v>0.5</v>
      </c>
      <c r="R509" s="4637">
        <v>0.57999999999999996</v>
      </c>
      <c r="S509" s="4454">
        <v>1.1000000000000001</v>
      </c>
      <c r="T509" s="2763">
        <v>33</v>
      </c>
      <c r="U509" s="4638">
        <v>0.27</v>
      </c>
      <c r="V509" s="4327">
        <v>0.3</v>
      </c>
      <c r="W509" s="3274">
        <v>0.12</v>
      </c>
      <c r="X509" s="4460">
        <v>0.57579999999999998</v>
      </c>
      <c r="Y509" s="4639">
        <v>9</v>
      </c>
      <c r="Z509" s="4608">
        <v>4</v>
      </c>
      <c r="AA509" s="4640">
        <v>10</v>
      </c>
      <c r="AB509" s="2990">
        <v>2</v>
      </c>
      <c r="AC509" s="4641">
        <v>4</v>
      </c>
      <c r="AD509" s="4608">
        <v>4</v>
      </c>
      <c r="AE509" s="2782">
        <v>0</v>
      </c>
      <c r="AF509" s="2783">
        <v>0</v>
      </c>
      <c r="AG509" s="107"/>
    </row>
    <row r="510" spans="1:33" ht="15">
      <c r="A510" s="109"/>
      <c r="B510" s="5831">
        <v>4</v>
      </c>
      <c r="C510" s="2792" t="s">
        <v>35</v>
      </c>
      <c r="D510" s="88"/>
      <c r="E510" s="88"/>
      <c r="F510" s="88">
        <v>31</v>
      </c>
      <c r="G510" s="88" t="s">
        <v>1653</v>
      </c>
      <c r="H510" s="88" t="s">
        <v>1618</v>
      </c>
      <c r="I510" s="2793" t="s">
        <v>1955</v>
      </c>
      <c r="J510" s="4405" t="s">
        <v>1941</v>
      </c>
      <c r="K510" s="4642">
        <v>3.01</v>
      </c>
      <c r="L510" s="3873">
        <v>0.44</v>
      </c>
      <c r="M510" s="3531">
        <v>3.23</v>
      </c>
      <c r="N510" s="4643">
        <v>0.62</v>
      </c>
      <c r="O510" s="3568">
        <v>-0.22</v>
      </c>
      <c r="P510" s="2905">
        <v>5.84</v>
      </c>
      <c r="Q510" s="4038">
        <v>0.5</v>
      </c>
      <c r="R510" s="3189">
        <v>0.75</v>
      </c>
      <c r="S510" s="3533">
        <v>0.4</v>
      </c>
      <c r="T510" s="88">
        <v>24</v>
      </c>
      <c r="U510" s="3233">
        <v>0.25</v>
      </c>
      <c r="V510" s="4644">
        <v>0.17</v>
      </c>
      <c r="W510" s="2901">
        <v>0.42</v>
      </c>
      <c r="X510" s="4645">
        <v>0.41670000000000001</v>
      </c>
      <c r="Y510" s="2808">
        <v>6</v>
      </c>
      <c r="Z510" s="4633">
        <v>2</v>
      </c>
      <c r="AA510" s="4646">
        <v>4</v>
      </c>
      <c r="AB510" s="2862">
        <v>1</v>
      </c>
      <c r="AC510" s="4634">
        <v>10</v>
      </c>
      <c r="AD510" s="2862">
        <v>1</v>
      </c>
      <c r="AE510" s="63">
        <v>0</v>
      </c>
      <c r="AF510" s="27">
        <v>0</v>
      </c>
      <c r="AG510" s="107"/>
    </row>
    <row r="511" spans="1:33" ht="15">
      <c r="A511" s="109"/>
      <c r="B511" s="5832"/>
      <c r="C511" s="2819" t="s">
        <v>36</v>
      </c>
      <c r="D511" s="2820"/>
      <c r="E511" s="2820"/>
      <c r="F511" s="2820">
        <v>30</v>
      </c>
      <c r="G511" s="2820" t="s">
        <v>1588</v>
      </c>
      <c r="H511" s="2820" t="s">
        <v>1606</v>
      </c>
      <c r="I511" s="2821" t="s">
        <v>1956</v>
      </c>
      <c r="J511" s="4412" t="s">
        <v>1629</v>
      </c>
      <c r="K511" s="4647">
        <v>5.32</v>
      </c>
      <c r="L511" s="4648">
        <v>0.51</v>
      </c>
      <c r="M511" s="4649">
        <v>4.2</v>
      </c>
      <c r="N511" s="4650">
        <v>0.53</v>
      </c>
      <c r="O511" s="4651">
        <f>1.12</f>
        <v>1.1200000000000001</v>
      </c>
      <c r="P511" s="4652">
        <v>2.72</v>
      </c>
      <c r="Q511" s="3930">
        <v>0.5</v>
      </c>
      <c r="R511" s="4653">
        <v>0.56000000000000005</v>
      </c>
      <c r="S511" s="4654">
        <v>1.3</v>
      </c>
      <c r="T511" s="2820">
        <v>15</v>
      </c>
      <c r="U511" s="4655">
        <v>0.2</v>
      </c>
      <c r="V511" s="4656">
        <v>0.4</v>
      </c>
      <c r="W511" s="4657">
        <v>0.27</v>
      </c>
      <c r="X511" s="3811">
        <v>0.6</v>
      </c>
      <c r="Y511" s="3096">
        <v>3</v>
      </c>
      <c r="Z511" s="2837">
        <v>1</v>
      </c>
      <c r="AA511" s="4658">
        <v>6</v>
      </c>
      <c r="AB511" s="2837">
        <v>1</v>
      </c>
      <c r="AC511" s="4641">
        <v>4</v>
      </c>
      <c r="AD511" s="2774">
        <v>0</v>
      </c>
      <c r="AE511" s="2841">
        <v>0</v>
      </c>
      <c r="AF511" s="28">
        <v>0</v>
      </c>
      <c r="AG511" s="107"/>
    </row>
    <row r="512" spans="1:33" ht="15">
      <c r="A512" s="109"/>
      <c r="B512" s="5833">
        <v>5</v>
      </c>
      <c r="C512" s="2732" t="s">
        <v>966</v>
      </c>
      <c r="D512" s="2733"/>
      <c r="E512" s="2733"/>
      <c r="F512" s="2733">
        <v>35</v>
      </c>
      <c r="G512" s="2733" t="s">
        <v>1582</v>
      </c>
      <c r="H512" s="2733" t="s">
        <v>1826</v>
      </c>
      <c r="I512" s="2734" t="s">
        <v>1957</v>
      </c>
      <c r="J512" s="4381" t="s">
        <v>1936</v>
      </c>
      <c r="K512" s="3425">
        <v>5.55</v>
      </c>
      <c r="L512" s="4659">
        <v>0.59</v>
      </c>
      <c r="M512" s="4660">
        <v>3.7</v>
      </c>
      <c r="N512" s="4661">
        <v>0.55000000000000004</v>
      </c>
      <c r="O512" s="4662">
        <f>1.85</f>
        <v>1.85</v>
      </c>
      <c r="P512" s="4663">
        <v>2.2799999999999998</v>
      </c>
      <c r="Q512" s="3230">
        <v>0.36</v>
      </c>
      <c r="R512" s="2801">
        <v>1</v>
      </c>
      <c r="S512" s="4664">
        <v>0.2</v>
      </c>
      <c r="T512" s="2733">
        <v>17</v>
      </c>
      <c r="U512" s="4665">
        <v>0.47</v>
      </c>
      <c r="V512" s="4666">
        <v>0.12</v>
      </c>
      <c r="W512" s="4391">
        <v>0.12</v>
      </c>
      <c r="X512" s="4667">
        <v>0.58819999999999995</v>
      </c>
      <c r="Y512" s="4668">
        <v>8</v>
      </c>
      <c r="Z512" s="4669">
        <v>4</v>
      </c>
      <c r="AA512" s="2810">
        <v>2</v>
      </c>
      <c r="AB512" s="2862">
        <v>1</v>
      </c>
      <c r="AC512" s="4249">
        <v>2</v>
      </c>
      <c r="AD512" s="2809">
        <v>0</v>
      </c>
      <c r="AE512" s="2754">
        <v>0</v>
      </c>
      <c r="AF512" s="2755">
        <v>0</v>
      </c>
      <c r="AG512" s="107"/>
    </row>
    <row r="513" spans="1:33" ht="15">
      <c r="A513" s="109"/>
      <c r="B513" s="5832"/>
      <c r="C513" s="2762" t="s">
        <v>967</v>
      </c>
      <c r="D513" s="2763"/>
      <c r="E513" s="2763"/>
      <c r="F513" s="2763">
        <v>31</v>
      </c>
      <c r="G513" s="2763" t="s">
        <v>1575</v>
      </c>
      <c r="H513" s="2763" t="s">
        <v>1616</v>
      </c>
      <c r="I513" s="2764" t="s">
        <v>1958</v>
      </c>
      <c r="J513" s="4394" t="s">
        <v>1941</v>
      </c>
      <c r="K513" s="4032">
        <v>5.79</v>
      </c>
      <c r="L513" s="4146">
        <v>0.53</v>
      </c>
      <c r="M513" s="4670">
        <v>5.22</v>
      </c>
      <c r="N513" s="4671">
        <v>0.47</v>
      </c>
      <c r="O513" s="2910">
        <f>0.57</f>
        <v>0.56999999999999995</v>
      </c>
      <c r="P513" s="2771">
        <v>0</v>
      </c>
      <c r="Q513" s="2772">
        <v>0</v>
      </c>
      <c r="R513" s="4436">
        <v>0.5</v>
      </c>
      <c r="S513" s="2911">
        <v>0</v>
      </c>
      <c r="T513" s="2763">
        <v>11</v>
      </c>
      <c r="U513" s="4672">
        <v>0.64</v>
      </c>
      <c r="V513" s="4673">
        <v>0.27</v>
      </c>
      <c r="W513" s="2834">
        <v>0</v>
      </c>
      <c r="X513" s="2778">
        <v>0.90910000000000002</v>
      </c>
      <c r="Y513" s="4674">
        <v>7</v>
      </c>
      <c r="Z513" s="2837">
        <v>1</v>
      </c>
      <c r="AA513" s="2780">
        <v>3</v>
      </c>
      <c r="AB513" s="2774">
        <v>0</v>
      </c>
      <c r="AC513" s="2840">
        <v>0</v>
      </c>
      <c r="AD513" s="2774">
        <v>0</v>
      </c>
      <c r="AE513" s="2782">
        <v>0</v>
      </c>
      <c r="AF513" s="2783">
        <v>0</v>
      </c>
      <c r="AG513" s="107"/>
    </row>
    <row r="514" spans="1:33" ht="15">
      <c r="A514" s="109"/>
      <c r="B514" s="5831">
        <v>6</v>
      </c>
      <c r="C514" s="2792" t="s">
        <v>558</v>
      </c>
      <c r="D514" s="88"/>
      <c r="E514" s="88"/>
      <c r="F514" s="88">
        <v>44</v>
      </c>
      <c r="G514" s="88" t="s">
        <v>1567</v>
      </c>
      <c r="H514" s="88" t="s">
        <v>1586</v>
      </c>
      <c r="I514" s="2793" t="s">
        <v>1959</v>
      </c>
      <c r="J514" s="4405" t="s">
        <v>1931</v>
      </c>
      <c r="K514" s="4675">
        <v>3.78</v>
      </c>
      <c r="L514" s="3774">
        <v>0.45</v>
      </c>
      <c r="M514" s="3639">
        <v>3.2</v>
      </c>
      <c r="N514" s="4676">
        <v>0.56999999999999995</v>
      </c>
      <c r="O514" s="4039">
        <f>0.58</f>
        <v>0.57999999999999996</v>
      </c>
      <c r="P514" s="4677">
        <v>0.39</v>
      </c>
      <c r="Q514" s="3230">
        <v>0.36</v>
      </c>
      <c r="R514" s="3230">
        <v>0.76</v>
      </c>
      <c r="S514" s="4664">
        <v>0.2</v>
      </c>
      <c r="T514" s="88">
        <v>56</v>
      </c>
      <c r="U514" s="4678">
        <v>0.3</v>
      </c>
      <c r="V514" s="2858">
        <v>0.05</v>
      </c>
      <c r="W514" s="4679">
        <v>0.25</v>
      </c>
      <c r="X514" s="2861">
        <v>0.35709999999999997</v>
      </c>
      <c r="Y514" s="2864">
        <v>17</v>
      </c>
      <c r="Z514" s="2744">
        <v>12</v>
      </c>
      <c r="AA514" s="2808">
        <v>3</v>
      </c>
      <c r="AB514" s="3007">
        <v>3</v>
      </c>
      <c r="AC514" s="2864">
        <v>14</v>
      </c>
      <c r="AD514" s="4680">
        <v>7</v>
      </c>
      <c r="AE514" s="63">
        <v>0</v>
      </c>
      <c r="AF514" s="27">
        <v>0</v>
      </c>
      <c r="AG514" s="107"/>
    </row>
    <row r="515" spans="1:33" ht="15">
      <c r="A515" s="109"/>
      <c r="B515" s="5832"/>
      <c r="C515" s="2819" t="s">
        <v>559</v>
      </c>
      <c r="D515" s="2820"/>
      <c r="E515" s="2820"/>
      <c r="F515" s="2820">
        <v>32</v>
      </c>
      <c r="G515" s="2820" t="s">
        <v>1585</v>
      </c>
      <c r="H515" s="2820" t="s">
        <v>1597</v>
      </c>
      <c r="I515" s="2821" t="s">
        <v>1958</v>
      </c>
      <c r="J515" s="4412" t="s">
        <v>1941</v>
      </c>
      <c r="K515" s="4681">
        <v>6.97</v>
      </c>
      <c r="L515" s="2940">
        <v>0.5</v>
      </c>
      <c r="M515" s="3483">
        <v>4.0599999999999996</v>
      </c>
      <c r="N515" s="4121">
        <v>0.52</v>
      </c>
      <c r="O515" s="4682">
        <f>2.91</f>
        <v>2.91</v>
      </c>
      <c r="P515" s="2771">
        <v>0</v>
      </c>
      <c r="Q515" s="2772">
        <v>0</v>
      </c>
      <c r="R515" s="3271">
        <v>0.6</v>
      </c>
      <c r="S515" s="2911">
        <v>0</v>
      </c>
      <c r="T515" s="2820">
        <v>11</v>
      </c>
      <c r="U515" s="4683">
        <v>0.45</v>
      </c>
      <c r="V515" s="4684">
        <v>0.09</v>
      </c>
      <c r="W515" s="3717">
        <v>0.36</v>
      </c>
      <c r="X515" s="4685">
        <v>0.54549999999999998</v>
      </c>
      <c r="Y515" s="3812">
        <v>5</v>
      </c>
      <c r="Z515" s="2774">
        <v>0</v>
      </c>
      <c r="AA515" s="2781">
        <v>1</v>
      </c>
      <c r="AB515" s="2774">
        <v>0</v>
      </c>
      <c r="AC515" s="4641">
        <v>4</v>
      </c>
      <c r="AD515" s="2837">
        <v>1</v>
      </c>
      <c r="AE515" s="2841">
        <v>0</v>
      </c>
      <c r="AF515" s="28">
        <v>0</v>
      </c>
      <c r="AG515" s="107"/>
    </row>
    <row r="516" spans="1:33" ht="15">
      <c r="A516" s="109"/>
      <c r="B516" s="5833">
        <v>7</v>
      </c>
      <c r="C516" s="2732" t="s">
        <v>1186</v>
      </c>
      <c r="D516" s="2733"/>
      <c r="E516" s="2733"/>
      <c r="F516" s="2733">
        <v>31</v>
      </c>
      <c r="G516" s="2733" t="s">
        <v>1603</v>
      </c>
      <c r="H516" s="2733" t="s">
        <v>1622</v>
      </c>
      <c r="I516" s="2734" t="s">
        <v>1960</v>
      </c>
      <c r="J516" s="4381" t="s">
        <v>1936</v>
      </c>
      <c r="K516" s="3638">
        <v>4.0599999999999996</v>
      </c>
      <c r="L516" s="3252">
        <v>0.43</v>
      </c>
      <c r="M516" s="4686">
        <v>4.3600000000000003</v>
      </c>
      <c r="N516" s="4661">
        <v>0.55000000000000004</v>
      </c>
      <c r="O516" s="4132">
        <v>-0.3</v>
      </c>
      <c r="P516" s="3080">
        <v>1.02</v>
      </c>
      <c r="Q516" s="4406">
        <v>0.57999999999999996</v>
      </c>
      <c r="R516" s="4555">
        <v>0.5</v>
      </c>
      <c r="S516" s="4687">
        <v>0.1</v>
      </c>
      <c r="T516" s="2733">
        <v>17</v>
      </c>
      <c r="U516" s="4688">
        <v>0.35</v>
      </c>
      <c r="V516" s="4629">
        <v>0.06</v>
      </c>
      <c r="W516" s="3303">
        <v>0.24</v>
      </c>
      <c r="X516" s="4689">
        <v>0.4118</v>
      </c>
      <c r="Y516" s="2808">
        <v>6</v>
      </c>
      <c r="Z516" s="4633">
        <v>2</v>
      </c>
      <c r="AA516" s="2753">
        <v>1</v>
      </c>
      <c r="AB516" s="2862">
        <v>1</v>
      </c>
      <c r="AC516" s="4690">
        <v>4</v>
      </c>
      <c r="AD516" s="4616">
        <v>3</v>
      </c>
      <c r="AE516" s="2754">
        <v>0</v>
      </c>
      <c r="AF516" s="2755">
        <v>0</v>
      </c>
      <c r="AG516" s="107"/>
    </row>
    <row r="517" spans="1:33" ht="15">
      <c r="A517" s="109"/>
      <c r="B517" s="5832"/>
      <c r="C517" s="2762" t="s">
        <v>1187</v>
      </c>
      <c r="D517" s="2763"/>
      <c r="E517" s="2763"/>
      <c r="F517" s="2763">
        <v>28</v>
      </c>
      <c r="G517" s="2763" t="s">
        <v>1605</v>
      </c>
      <c r="H517" s="2763" t="s">
        <v>1616</v>
      </c>
      <c r="I517" s="2764" t="s">
        <v>1961</v>
      </c>
      <c r="J517" s="4394" t="s">
        <v>1931</v>
      </c>
      <c r="K517" s="3513">
        <v>4.1399999999999997</v>
      </c>
      <c r="L517" s="4600">
        <v>0.56000000000000005</v>
      </c>
      <c r="M517" s="4339">
        <v>3.76</v>
      </c>
      <c r="N517" s="3208">
        <v>0.49</v>
      </c>
      <c r="O517" s="4691">
        <f>0.38</f>
        <v>0.38</v>
      </c>
      <c r="P517" s="4692">
        <v>3.11</v>
      </c>
      <c r="Q517" s="2945">
        <v>0.33</v>
      </c>
      <c r="R517" s="2773">
        <v>1</v>
      </c>
      <c r="S517" s="4693">
        <v>3.5</v>
      </c>
      <c r="T517" s="2763">
        <v>14</v>
      </c>
      <c r="U517" s="2834">
        <v>0</v>
      </c>
      <c r="V517" s="2880">
        <v>0.64</v>
      </c>
      <c r="W517" s="4000">
        <v>7.0000000000000007E-2</v>
      </c>
      <c r="X517" s="4694">
        <v>0.64290000000000003</v>
      </c>
      <c r="Y517" s="2840">
        <v>0</v>
      </c>
      <c r="Z517" s="4609">
        <v>2</v>
      </c>
      <c r="AA517" s="4695">
        <v>9</v>
      </c>
      <c r="AB517" s="2837">
        <v>1</v>
      </c>
      <c r="AC517" s="4378">
        <v>1</v>
      </c>
      <c r="AD517" s="2837">
        <v>1</v>
      </c>
      <c r="AE517" s="2782">
        <v>0</v>
      </c>
      <c r="AF517" s="2783">
        <v>0</v>
      </c>
      <c r="AG517" s="107"/>
    </row>
    <row r="518" spans="1:33" ht="15">
      <c r="A518" s="109"/>
      <c r="B518" s="5831">
        <v>8</v>
      </c>
      <c r="C518" s="2792" t="s">
        <v>197</v>
      </c>
      <c r="D518" s="88"/>
      <c r="E518" s="88"/>
      <c r="F518" s="88">
        <v>33</v>
      </c>
      <c r="G518" s="88" t="s">
        <v>1630</v>
      </c>
      <c r="H518" s="88" t="s">
        <v>1606</v>
      </c>
      <c r="I518" s="2793" t="s">
        <v>1962</v>
      </c>
      <c r="J518" s="4405" t="s">
        <v>1941</v>
      </c>
      <c r="K518" s="3694">
        <v>3.42</v>
      </c>
      <c r="L518" s="4058">
        <v>0.48</v>
      </c>
      <c r="M518" s="4696">
        <v>1.81</v>
      </c>
      <c r="N518" s="2894">
        <v>0.77</v>
      </c>
      <c r="O518" s="4162">
        <f>1.61</f>
        <v>1.61</v>
      </c>
      <c r="P518" s="2741">
        <v>0</v>
      </c>
      <c r="Q518" s="2742">
        <v>0</v>
      </c>
      <c r="R518" s="2801">
        <v>1</v>
      </c>
      <c r="S518" s="4113">
        <v>1.6</v>
      </c>
      <c r="T518" s="88">
        <v>9</v>
      </c>
      <c r="U518" s="2901">
        <v>0.78</v>
      </c>
      <c r="V518" s="4697">
        <v>0.11</v>
      </c>
      <c r="W518" s="2746">
        <v>0</v>
      </c>
      <c r="X518" s="4698">
        <v>0.88890000000000002</v>
      </c>
      <c r="Y518" s="4632">
        <v>7</v>
      </c>
      <c r="Z518" s="2809">
        <v>0</v>
      </c>
      <c r="AA518" s="2753">
        <v>1</v>
      </c>
      <c r="AB518" s="2862">
        <v>1</v>
      </c>
      <c r="AC518" s="2751">
        <v>0</v>
      </c>
      <c r="AD518" s="2809">
        <v>0</v>
      </c>
      <c r="AE518" s="63">
        <v>0</v>
      </c>
      <c r="AF518" s="27">
        <v>0</v>
      </c>
      <c r="AG518" s="107"/>
    </row>
    <row r="519" spans="1:33" ht="15">
      <c r="A519" s="109"/>
      <c r="B519" s="5832"/>
      <c r="C519" s="2819" t="s">
        <v>198</v>
      </c>
      <c r="D519" s="2820"/>
      <c r="E519" s="2820"/>
      <c r="F519" s="2820">
        <v>31</v>
      </c>
      <c r="G519" s="2820" t="s">
        <v>1592</v>
      </c>
      <c r="H519" s="2820" t="s">
        <v>1606</v>
      </c>
      <c r="I519" s="2821" t="s">
        <v>1963</v>
      </c>
      <c r="J519" s="4412" t="s">
        <v>1931</v>
      </c>
      <c r="K519" s="4148">
        <v>4.2</v>
      </c>
      <c r="L519" s="4119">
        <v>0.49</v>
      </c>
      <c r="M519" s="3409">
        <v>1.1299999999999999</v>
      </c>
      <c r="N519" s="4699">
        <v>0.56000000000000005</v>
      </c>
      <c r="O519" s="4700">
        <f>3.07</f>
        <v>3.07</v>
      </c>
      <c r="P519" s="2771">
        <v>0</v>
      </c>
      <c r="Q519" s="2772">
        <v>0</v>
      </c>
      <c r="R519" s="4701">
        <v>0.4</v>
      </c>
      <c r="S519" s="2911">
        <v>0</v>
      </c>
      <c r="T519" s="2820">
        <v>10</v>
      </c>
      <c r="U519" s="4375">
        <v>0.6</v>
      </c>
      <c r="V519" s="2834">
        <v>0</v>
      </c>
      <c r="W519" s="4702">
        <v>0.1</v>
      </c>
      <c r="X519" s="3811">
        <v>0.6</v>
      </c>
      <c r="Y519" s="2780">
        <v>6</v>
      </c>
      <c r="Z519" s="2774">
        <v>0</v>
      </c>
      <c r="AA519" s="2840">
        <v>0</v>
      </c>
      <c r="AB519" s="2990">
        <v>2</v>
      </c>
      <c r="AC519" s="4378">
        <v>1</v>
      </c>
      <c r="AD519" s="2837">
        <v>1</v>
      </c>
      <c r="AE519" s="2841">
        <v>0</v>
      </c>
      <c r="AF519" s="28">
        <v>0</v>
      </c>
      <c r="AG519" s="107"/>
    </row>
    <row r="520" spans="1:33" ht="15">
      <c r="A520" s="109"/>
      <c r="B520" s="5833">
        <v>9</v>
      </c>
      <c r="C520" s="2732" t="s">
        <v>201</v>
      </c>
      <c r="D520" s="2733"/>
      <c r="E520" s="2733"/>
      <c r="F520" s="2733">
        <v>26</v>
      </c>
      <c r="G520" s="2733" t="s">
        <v>1630</v>
      </c>
      <c r="H520" s="2733" t="s">
        <v>1641</v>
      </c>
      <c r="I520" s="2734" t="s">
        <v>1964</v>
      </c>
      <c r="J520" s="4381" t="s">
        <v>1629</v>
      </c>
      <c r="K520" s="4703">
        <v>5.2</v>
      </c>
      <c r="L520" s="2801">
        <v>0.63</v>
      </c>
      <c r="M520" s="4704">
        <v>2.34</v>
      </c>
      <c r="N520" s="4595">
        <v>0.57999999999999996</v>
      </c>
      <c r="O520" s="4705">
        <f>2.86</f>
        <v>2.86</v>
      </c>
      <c r="P520" s="4706">
        <v>3.5</v>
      </c>
      <c r="Q520" s="3478">
        <v>0.53</v>
      </c>
      <c r="R520" s="4707">
        <v>0.83</v>
      </c>
      <c r="S520" s="3533">
        <v>0.4</v>
      </c>
      <c r="T520" s="2733">
        <v>11</v>
      </c>
      <c r="U520" s="3400">
        <v>0.09</v>
      </c>
      <c r="V520" s="3259">
        <v>0.55000000000000004</v>
      </c>
      <c r="W520" s="4708">
        <v>0.36</v>
      </c>
      <c r="X520" s="4709">
        <v>0.63639999999999997</v>
      </c>
      <c r="Y520" s="2903">
        <v>1</v>
      </c>
      <c r="Z520" s="2809">
        <v>0</v>
      </c>
      <c r="AA520" s="4710">
        <v>6</v>
      </c>
      <c r="AB520" s="2809">
        <v>0</v>
      </c>
      <c r="AC520" s="4690">
        <v>4</v>
      </c>
      <c r="AD520" s="2809">
        <v>0</v>
      </c>
      <c r="AE520" s="2754">
        <v>0</v>
      </c>
      <c r="AF520" s="2755">
        <v>0</v>
      </c>
      <c r="AG520" s="107"/>
    </row>
    <row r="521" spans="1:33" ht="15">
      <c r="A521" s="109"/>
      <c r="B521" s="5832"/>
      <c r="C521" s="2762" t="s">
        <v>202</v>
      </c>
      <c r="D521" s="2763"/>
      <c r="E521" s="2763"/>
      <c r="F521" s="2763">
        <v>31</v>
      </c>
      <c r="G521" s="2763" t="s">
        <v>1653</v>
      </c>
      <c r="H521" s="2763" t="s">
        <v>1595</v>
      </c>
      <c r="I521" s="2764" t="s">
        <v>1965</v>
      </c>
      <c r="J521" s="4394" t="s">
        <v>1629</v>
      </c>
      <c r="K521" s="4515">
        <v>4.18</v>
      </c>
      <c r="L521" s="3211">
        <v>0.47</v>
      </c>
      <c r="M521" s="4711">
        <v>2.27</v>
      </c>
      <c r="N521" s="4712">
        <v>0.62</v>
      </c>
      <c r="O521" s="4713">
        <f>1.91</f>
        <v>1.91</v>
      </c>
      <c r="P521" s="3065">
        <v>0.45</v>
      </c>
      <c r="Q521" s="3588">
        <v>0.4</v>
      </c>
      <c r="R521" s="4714">
        <v>0.81</v>
      </c>
      <c r="S521" s="3335">
        <v>0.5</v>
      </c>
      <c r="T521" s="2763">
        <v>22</v>
      </c>
      <c r="U521" s="3953">
        <v>0.18</v>
      </c>
      <c r="V521" s="4673">
        <v>0.27</v>
      </c>
      <c r="W521" s="4715">
        <v>0.41</v>
      </c>
      <c r="X521" s="4716">
        <v>0.45450000000000002</v>
      </c>
      <c r="Y521" s="2836">
        <v>4</v>
      </c>
      <c r="Z521" s="2774">
        <v>0</v>
      </c>
      <c r="AA521" s="4658">
        <v>6</v>
      </c>
      <c r="AB521" s="2774">
        <v>0</v>
      </c>
      <c r="AC521" s="4717">
        <v>9</v>
      </c>
      <c r="AD521" s="4718">
        <v>3</v>
      </c>
      <c r="AE521" s="2782">
        <v>0</v>
      </c>
      <c r="AF521" s="2783">
        <v>0</v>
      </c>
      <c r="AG521" s="107"/>
    </row>
    <row r="522" spans="1:33" ht="15">
      <c r="A522" s="109"/>
      <c r="B522" s="5831">
        <v>10</v>
      </c>
      <c r="C522" s="2792" t="s">
        <v>403</v>
      </c>
      <c r="D522" s="88"/>
      <c r="E522" s="88"/>
      <c r="F522" s="88">
        <v>27</v>
      </c>
      <c r="G522" s="88" t="s">
        <v>1592</v>
      </c>
      <c r="H522" s="88" t="s">
        <v>1606</v>
      </c>
      <c r="I522" s="2793" t="s">
        <v>1966</v>
      </c>
      <c r="J522" s="4405" t="s">
        <v>1629</v>
      </c>
      <c r="K522" s="3455">
        <v>5.8</v>
      </c>
      <c r="L522" s="4058">
        <v>0.48</v>
      </c>
      <c r="M522" s="4719">
        <v>4.7300000000000004</v>
      </c>
      <c r="N522" s="4661">
        <v>0.55000000000000004</v>
      </c>
      <c r="O522" s="4720">
        <f>1.07</f>
        <v>1.07</v>
      </c>
      <c r="P522" s="4721">
        <v>1</v>
      </c>
      <c r="Q522" s="2802">
        <v>0.33</v>
      </c>
      <c r="R522" s="2801">
        <v>1</v>
      </c>
      <c r="S522" s="2744">
        <v>0</v>
      </c>
      <c r="T522" s="88">
        <v>13</v>
      </c>
      <c r="U522" s="4117">
        <v>0.62</v>
      </c>
      <c r="V522" s="4722">
        <v>0.15</v>
      </c>
      <c r="W522" s="3799">
        <v>0.08</v>
      </c>
      <c r="X522" s="4723">
        <v>0.76919999999999999</v>
      </c>
      <c r="Y522" s="4668">
        <v>8</v>
      </c>
      <c r="Z522" s="2809">
        <v>0</v>
      </c>
      <c r="AA522" s="2810">
        <v>2</v>
      </c>
      <c r="AB522" s="2809">
        <v>0</v>
      </c>
      <c r="AC522" s="4336">
        <v>1</v>
      </c>
      <c r="AD522" s="4633">
        <v>2</v>
      </c>
      <c r="AE522" s="63">
        <v>0</v>
      </c>
      <c r="AF522" s="27">
        <v>0</v>
      </c>
      <c r="AG522" s="107"/>
    </row>
    <row r="523" spans="1:33" ht="15">
      <c r="A523" s="109"/>
      <c r="B523" s="5832"/>
      <c r="C523" s="2819" t="s">
        <v>404</v>
      </c>
      <c r="D523" s="2820"/>
      <c r="E523" s="2820"/>
      <c r="F523" s="2820">
        <v>34</v>
      </c>
      <c r="G523" s="2820" t="s">
        <v>1603</v>
      </c>
      <c r="H523" s="2820" t="s">
        <v>1595</v>
      </c>
      <c r="I523" s="2821" t="s">
        <v>1967</v>
      </c>
      <c r="J523" s="4412" t="s">
        <v>1931</v>
      </c>
      <c r="K523" s="3169">
        <v>1.38</v>
      </c>
      <c r="L523" s="2940">
        <v>0.5</v>
      </c>
      <c r="M523" s="2771">
        <v>7.59</v>
      </c>
      <c r="N523" s="4724">
        <v>0.26</v>
      </c>
      <c r="O523" s="2911">
        <v>-6.21</v>
      </c>
      <c r="P523" s="2771">
        <v>0</v>
      </c>
      <c r="Q523" s="2772">
        <v>0</v>
      </c>
      <c r="R523" s="2772">
        <v>0</v>
      </c>
      <c r="S523" s="2774">
        <v>10.3</v>
      </c>
      <c r="T523" s="2820">
        <v>24</v>
      </c>
      <c r="U523" s="3590">
        <v>0.21</v>
      </c>
      <c r="V523" s="4725">
        <v>0.46</v>
      </c>
      <c r="W523" s="2834">
        <v>0</v>
      </c>
      <c r="X523" s="4726">
        <v>0.66669999999999996</v>
      </c>
      <c r="Y523" s="3812">
        <v>5</v>
      </c>
      <c r="Z523" s="4609">
        <v>2</v>
      </c>
      <c r="AA523" s="2883">
        <v>11</v>
      </c>
      <c r="AB523" s="2911">
        <v>4</v>
      </c>
      <c r="AC523" s="2840">
        <v>0</v>
      </c>
      <c r="AD523" s="4609">
        <v>2</v>
      </c>
      <c r="AE523" s="2841">
        <v>0</v>
      </c>
      <c r="AF523" s="28">
        <v>0</v>
      </c>
      <c r="AG523" s="107"/>
    </row>
    <row r="524" spans="1:33" ht="15">
      <c r="A524" s="109"/>
      <c r="B524" s="5833">
        <v>11</v>
      </c>
      <c r="C524" s="2732" t="s">
        <v>763</v>
      </c>
      <c r="D524" s="2733"/>
      <c r="E524" s="2733"/>
      <c r="F524" s="2733">
        <v>30</v>
      </c>
      <c r="G524" s="2733" t="s">
        <v>1588</v>
      </c>
      <c r="H524" s="2733" t="s">
        <v>1837</v>
      </c>
      <c r="I524" s="2734" t="s">
        <v>1968</v>
      </c>
      <c r="J524" s="4381" t="s">
        <v>1865</v>
      </c>
      <c r="K524" s="4727">
        <v>2.65</v>
      </c>
      <c r="L524" s="4728">
        <v>0.3</v>
      </c>
      <c r="M524" s="4729">
        <v>4.6100000000000003</v>
      </c>
      <c r="N524" s="4092">
        <v>0.52</v>
      </c>
      <c r="O524" s="4447">
        <v>-1.96</v>
      </c>
      <c r="P524" s="2741">
        <v>0</v>
      </c>
      <c r="Q524" s="2742">
        <v>0</v>
      </c>
      <c r="R524" s="2855">
        <v>0.82</v>
      </c>
      <c r="S524" s="2744">
        <v>0</v>
      </c>
      <c r="T524" s="2733">
        <v>18</v>
      </c>
      <c r="U524" s="4730">
        <v>0.5</v>
      </c>
      <c r="V524" s="2746">
        <v>0</v>
      </c>
      <c r="W524" s="2806">
        <v>0.22</v>
      </c>
      <c r="X524" s="3109">
        <v>0.5</v>
      </c>
      <c r="Y524" s="4598">
        <v>9</v>
      </c>
      <c r="Z524" s="4669">
        <v>4</v>
      </c>
      <c r="AA524" s="2751">
        <v>0</v>
      </c>
      <c r="AB524" s="2862">
        <v>1</v>
      </c>
      <c r="AC524" s="4690">
        <v>4</v>
      </c>
      <c r="AD524" s="2809">
        <v>0</v>
      </c>
      <c r="AE524" s="2754">
        <v>0</v>
      </c>
      <c r="AF524" s="2755">
        <v>0</v>
      </c>
      <c r="AG524" s="107"/>
    </row>
    <row r="525" spans="1:33" ht="15">
      <c r="A525" s="109"/>
      <c r="B525" s="5832"/>
      <c r="C525" s="2762" t="s">
        <v>764</v>
      </c>
      <c r="D525" s="2763"/>
      <c r="E525" s="2763"/>
      <c r="F525" s="2763">
        <v>23</v>
      </c>
      <c r="G525" s="2763" t="s">
        <v>1567</v>
      </c>
      <c r="H525" s="2763" t="s">
        <v>1576</v>
      </c>
      <c r="I525" s="2764" t="s">
        <v>1969</v>
      </c>
      <c r="J525" s="4394" t="s">
        <v>1629</v>
      </c>
      <c r="K525" s="2890">
        <v>9.4</v>
      </c>
      <c r="L525" s="4293">
        <v>0.54</v>
      </c>
      <c r="M525" s="4731">
        <v>1.45</v>
      </c>
      <c r="N525" s="4732">
        <v>0.5</v>
      </c>
      <c r="O525" s="2774">
        <f>7.95</f>
        <v>7.95</v>
      </c>
      <c r="P525" s="2771">
        <v>0</v>
      </c>
      <c r="Q525" s="2772">
        <v>0</v>
      </c>
      <c r="R525" s="2772">
        <v>0</v>
      </c>
      <c r="S525" s="2911">
        <v>0</v>
      </c>
      <c r="T525" s="2763">
        <v>6</v>
      </c>
      <c r="U525" s="4733">
        <v>0.67</v>
      </c>
      <c r="V525" s="2834">
        <v>0</v>
      </c>
      <c r="W525" s="4734">
        <v>0.33</v>
      </c>
      <c r="X525" s="4726">
        <v>0.66669999999999996</v>
      </c>
      <c r="Y525" s="2836">
        <v>4</v>
      </c>
      <c r="Z525" s="2774">
        <v>0</v>
      </c>
      <c r="AA525" s="2840">
        <v>0</v>
      </c>
      <c r="AB525" s="2774">
        <v>0</v>
      </c>
      <c r="AC525" s="4265">
        <v>2</v>
      </c>
      <c r="AD525" s="2774">
        <v>0</v>
      </c>
      <c r="AE525" s="2782">
        <v>0</v>
      </c>
      <c r="AF525" s="2783">
        <v>0</v>
      </c>
      <c r="AG525" s="107"/>
    </row>
    <row r="526" spans="1:33" ht="15">
      <c r="A526" s="109"/>
      <c r="B526" s="5831">
        <v>12</v>
      </c>
      <c r="C526" s="2792" t="s">
        <v>507</v>
      </c>
      <c r="D526" s="88"/>
      <c r="E526" s="88"/>
      <c r="F526" s="88">
        <v>22</v>
      </c>
      <c r="G526" s="88" t="s">
        <v>1623</v>
      </c>
      <c r="H526" s="88" t="s">
        <v>1659</v>
      </c>
      <c r="I526" s="2793" t="s">
        <v>1970</v>
      </c>
      <c r="J526" s="4405" t="s">
        <v>1629</v>
      </c>
      <c r="K526" s="3604">
        <v>9.1999999999999993</v>
      </c>
      <c r="L526" s="4180">
        <v>0.51</v>
      </c>
      <c r="M526" s="4735">
        <v>5.93</v>
      </c>
      <c r="N526" s="4736">
        <v>0.63</v>
      </c>
      <c r="O526" s="3967">
        <f>3.27</f>
        <v>3.27</v>
      </c>
      <c r="P526" s="4721">
        <v>1</v>
      </c>
      <c r="Q526" s="2802">
        <v>0.33</v>
      </c>
      <c r="R526" s="4737">
        <v>0.87</v>
      </c>
      <c r="S526" s="2744">
        <v>0</v>
      </c>
      <c r="T526" s="88">
        <v>10</v>
      </c>
      <c r="U526" s="4730">
        <v>0.5</v>
      </c>
      <c r="V526" s="4738">
        <v>0.2</v>
      </c>
      <c r="W526" s="3536">
        <v>0.2</v>
      </c>
      <c r="X526" s="4739">
        <v>0.7</v>
      </c>
      <c r="Y526" s="3735">
        <v>5</v>
      </c>
      <c r="Z526" s="2809">
        <v>0</v>
      </c>
      <c r="AA526" s="2810">
        <v>2</v>
      </c>
      <c r="AB526" s="2862">
        <v>1</v>
      </c>
      <c r="AC526" s="4249">
        <v>2</v>
      </c>
      <c r="AD526" s="2809">
        <v>0</v>
      </c>
      <c r="AE526" s="63">
        <v>0</v>
      </c>
      <c r="AF526" s="27">
        <v>0</v>
      </c>
      <c r="AG526" s="107"/>
    </row>
    <row r="527" spans="1:33" ht="15">
      <c r="A527" s="109"/>
      <c r="B527" s="5832"/>
      <c r="C527" s="2819" t="s">
        <v>508</v>
      </c>
      <c r="D527" s="2820"/>
      <c r="E527" s="2820"/>
      <c r="F527" s="2820">
        <v>34</v>
      </c>
      <c r="G527" s="2820" t="s">
        <v>1592</v>
      </c>
      <c r="H527" s="2820" t="s">
        <v>1641</v>
      </c>
      <c r="I527" s="2821" t="s">
        <v>1971</v>
      </c>
      <c r="J527" s="4412" t="s">
        <v>1931</v>
      </c>
      <c r="K527" s="2771">
        <v>0</v>
      </c>
      <c r="L527" s="2772">
        <v>0</v>
      </c>
      <c r="M527" s="2890">
        <v>0</v>
      </c>
      <c r="N527" s="2909">
        <v>0</v>
      </c>
      <c r="O527" s="3243">
        <v>0</v>
      </c>
      <c r="P527" s="2771">
        <v>0</v>
      </c>
      <c r="Q527" s="2772">
        <v>0</v>
      </c>
      <c r="R527" s="2772">
        <v>0</v>
      </c>
      <c r="S527" s="2911">
        <v>0</v>
      </c>
      <c r="T527" s="2820">
        <v>19</v>
      </c>
      <c r="U527" s="4519">
        <v>0.16</v>
      </c>
      <c r="V527" s="3246">
        <v>0.42</v>
      </c>
      <c r="W527" s="4480">
        <v>0.11</v>
      </c>
      <c r="X527" s="3175">
        <v>0.57889999999999997</v>
      </c>
      <c r="Y527" s="3096">
        <v>3</v>
      </c>
      <c r="Z527" s="2774">
        <v>0</v>
      </c>
      <c r="AA527" s="4740">
        <v>8</v>
      </c>
      <c r="AB527" s="2990">
        <v>2</v>
      </c>
      <c r="AC527" s="4265">
        <v>2</v>
      </c>
      <c r="AD527" s="4608">
        <v>4</v>
      </c>
      <c r="AE527" s="2841">
        <v>0</v>
      </c>
      <c r="AF527" s="28">
        <v>0</v>
      </c>
      <c r="AG527" s="107"/>
    </row>
    <row r="528" spans="1:33" ht="12.75">
      <c r="A528" s="10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</row>
    <row r="532" spans="1:41" ht="12.75">
      <c r="A532" s="2728">
        <v>20231216</v>
      </c>
      <c r="B532" s="620"/>
      <c r="C532" s="620" t="s">
        <v>1972</v>
      </c>
    </row>
    <row r="533" spans="1:41" ht="15">
      <c r="A533" s="108"/>
      <c r="B533" s="108"/>
      <c r="C533" s="1375" t="s">
        <v>1973</v>
      </c>
      <c r="D533" s="108"/>
      <c r="E533" s="108"/>
      <c r="F533" s="108"/>
      <c r="G533" s="108"/>
      <c r="H533" s="108"/>
      <c r="I533" s="108"/>
      <c r="J533" s="108"/>
      <c r="K533" s="108"/>
      <c r="L533" s="108"/>
      <c r="M533" s="108"/>
      <c r="N533" s="108"/>
      <c r="O533" s="108"/>
      <c r="P533" s="108"/>
      <c r="Q533" s="108"/>
      <c r="R533" s="108"/>
      <c r="S533" s="108"/>
      <c r="T533" s="108"/>
      <c r="U533" s="108"/>
      <c r="V533" s="108"/>
      <c r="W533" s="108"/>
      <c r="X533" s="108"/>
      <c r="Y533" s="108"/>
      <c r="Z533" s="108"/>
      <c r="AA533" s="108"/>
      <c r="AB533" s="108"/>
      <c r="AC533" s="108"/>
      <c r="AD533" s="108"/>
      <c r="AE533" s="108"/>
      <c r="AF533" s="108"/>
      <c r="AG533" s="108"/>
      <c r="AH533" s="108"/>
      <c r="AI533" s="108"/>
      <c r="AJ533" s="108"/>
      <c r="AK533" s="108"/>
      <c r="AL533" s="108"/>
      <c r="AM533" s="107"/>
      <c r="AN533" s="107"/>
    </row>
    <row r="534" spans="1:41">
      <c r="A534" s="109"/>
      <c r="B534" s="5843">
        <v>4</v>
      </c>
      <c r="C534" s="5840" t="s">
        <v>1525</v>
      </c>
      <c r="D534" s="5841" t="s">
        <v>1526</v>
      </c>
      <c r="E534" s="5836"/>
      <c r="F534" s="5836"/>
      <c r="G534" s="5836"/>
      <c r="H534" s="5836"/>
      <c r="I534" s="5832"/>
      <c r="J534" s="5837" t="s">
        <v>1527</v>
      </c>
      <c r="K534" s="5836"/>
      <c r="L534" s="5836"/>
      <c r="M534" s="5836"/>
      <c r="N534" s="5832"/>
      <c r="O534" s="5838" t="s">
        <v>1528</v>
      </c>
      <c r="P534" s="5836"/>
      <c r="Q534" s="5836"/>
      <c r="R534" s="5832"/>
      <c r="S534" s="5839" t="s">
        <v>1529</v>
      </c>
      <c r="T534" s="5836"/>
      <c r="U534" s="5836"/>
      <c r="V534" s="5836"/>
      <c r="W534" s="5836"/>
      <c r="X534" s="5836"/>
      <c r="Y534" s="5836"/>
      <c r="Z534" s="5836"/>
      <c r="AA534" s="5836"/>
      <c r="AB534" s="5836"/>
      <c r="AC534" s="5836"/>
      <c r="AD534" s="5836"/>
      <c r="AE534" s="5832"/>
      <c r="AF534" s="5842" t="s">
        <v>1530</v>
      </c>
      <c r="AG534" s="5836"/>
      <c r="AH534" s="5836"/>
      <c r="AI534" s="5836"/>
      <c r="AJ534" s="5836"/>
      <c r="AK534" s="5836"/>
      <c r="AL534" s="5836"/>
      <c r="AM534" s="5832"/>
      <c r="AN534" s="107"/>
    </row>
    <row r="535" spans="1:41" ht="15">
      <c r="A535" s="109"/>
      <c r="B535" s="5832"/>
      <c r="C535" s="5832"/>
      <c r="D535" s="111"/>
      <c r="E535" s="111"/>
      <c r="F535" s="111" t="s">
        <v>1533</v>
      </c>
      <c r="G535" s="111" t="s">
        <v>1534</v>
      </c>
      <c r="H535" s="111" t="s">
        <v>1535</v>
      </c>
      <c r="I535" s="111" t="s">
        <v>1536</v>
      </c>
      <c r="J535" s="111" t="s">
        <v>1537</v>
      </c>
      <c r="K535" s="111" t="s">
        <v>1538</v>
      </c>
      <c r="L535" s="111" t="s">
        <v>1539</v>
      </c>
      <c r="M535" s="111" t="s">
        <v>1540</v>
      </c>
      <c r="N535" s="111" t="s">
        <v>1541</v>
      </c>
      <c r="O535" s="111" t="s">
        <v>1542</v>
      </c>
      <c r="P535" s="111" t="s">
        <v>1543</v>
      </c>
      <c r="Q535" s="111" t="s">
        <v>1544</v>
      </c>
      <c r="R535" s="111" t="s">
        <v>1545</v>
      </c>
      <c r="S535" s="111" t="s">
        <v>1546</v>
      </c>
      <c r="T535" s="111" t="s">
        <v>1547</v>
      </c>
      <c r="U535" s="111" t="s">
        <v>1548</v>
      </c>
      <c r="V535" s="111" t="s">
        <v>1549</v>
      </c>
      <c r="W535" s="111" t="s">
        <v>1550</v>
      </c>
      <c r="X535" s="112" t="s">
        <v>1551</v>
      </c>
      <c r="Y535" s="113" t="s">
        <v>1552</v>
      </c>
      <c r="Z535" s="114" t="s">
        <v>1553</v>
      </c>
      <c r="AA535" s="113" t="s">
        <v>1554</v>
      </c>
      <c r="AB535" s="114" t="s">
        <v>1555</v>
      </c>
      <c r="AC535" s="115" t="s">
        <v>1556</v>
      </c>
      <c r="AD535" s="114" t="s">
        <v>1557</v>
      </c>
      <c r="AE535" s="113" t="s">
        <v>1558</v>
      </c>
      <c r="AF535" s="116" t="s">
        <v>1559</v>
      </c>
      <c r="AG535" s="111" t="s">
        <v>1560</v>
      </c>
      <c r="AH535" s="111"/>
      <c r="AI535" s="112" t="s">
        <v>1561</v>
      </c>
      <c r="AJ535" s="111" t="s">
        <v>1562</v>
      </c>
      <c r="AK535" s="111" t="s">
        <v>1563</v>
      </c>
      <c r="AL535" s="111" t="s">
        <v>1564</v>
      </c>
      <c r="AM535" s="111" t="s">
        <v>1565</v>
      </c>
      <c r="AN535" s="112" t="s">
        <v>1566</v>
      </c>
      <c r="AO535" s="107"/>
    </row>
    <row r="536" spans="1:41" ht="15">
      <c r="A536" s="109"/>
      <c r="B536" s="5833">
        <v>1</v>
      </c>
      <c r="C536" s="2732" t="s">
        <v>1125</v>
      </c>
      <c r="D536" s="3494"/>
      <c r="E536" s="3494"/>
      <c r="F536" s="2733">
        <v>32</v>
      </c>
      <c r="G536" s="2733" t="s">
        <v>1571</v>
      </c>
      <c r="H536" s="2733" t="s">
        <v>1589</v>
      </c>
      <c r="I536" s="2733" t="s">
        <v>1974</v>
      </c>
      <c r="J536" s="2755" t="s">
        <v>1655</v>
      </c>
      <c r="K536" s="4741">
        <v>2.8</v>
      </c>
      <c r="L536" s="3499">
        <v>0.53</v>
      </c>
      <c r="M536" s="4742">
        <v>2.4</v>
      </c>
      <c r="N536" s="4661">
        <v>0.53</v>
      </c>
      <c r="O536" s="4743">
        <f>0.4</f>
        <v>0.4</v>
      </c>
      <c r="P536" s="4744">
        <v>1.26</v>
      </c>
      <c r="Q536" s="3456">
        <v>0.33</v>
      </c>
      <c r="R536" s="3398">
        <v>0.69</v>
      </c>
      <c r="S536" s="2862">
        <v>0.3</v>
      </c>
      <c r="T536" s="2733">
        <v>23</v>
      </c>
      <c r="U536" s="2859">
        <v>0.3</v>
      </c>
      <c r="V536" s="3053">
        <v>0.13</v>
      </c>
      <c r="W536" s="4745">
        <v>0.43</v>
      </c>
      <c r="X536" s="4746">
        <v>0.43480000000000002</v>
      </c>
      <c r="Y536" s="2808">
        <v>7</v>
      </c>
      <c r="Z536" s="2809">
        <v>0</v>
      </c>
      <c r="AA536" s="4140">
        <v>3</v>
      </c>
      <c r="AB536" s="2809">
        <v>0</v>
      </c>
      <c r="AC536" s="3087">
        <v>10</v>
      </c>
      <c r="AD536" s="2862">
        <v>2</v>
      </c>
      <c r="AE536" s="2754">
        <v>0</v>
      </c>
      <c r="AF536" s="2744">
        <v>1</v>
      </c>
      <c r="AG536" s="4492">
        <v>-145</v>
      </c>
      <c r="AH536" s="3432"/>
      <c r="AI536" s="3433">
        <v>-159</v>
      </c>
      <c r="AJ536" s="4747">
        <f t="shared" ref="AJ536:AJ537" si="30">155</f>
        <v>155</v>
      </c>
      <c r="AK536" s="88">
        <f>255</f>
        <v>255</v>
      </c>
      <c r="AL536" s="4748">
        <f>375</f>
        <v>375</v>
      </c>
      <c r="AM536" s="4749">
        <f>1200</f>
        <v>1200</v>
      </c>
      <c r="AN536" s="4750">
        <f>145</f>
        <v>145</v>
      </c>
      <c r="AO536" s="107"/>
    </row>
    <row r="537" spans="1:41" ht="15">
      <c r="A537" s="109"/>
      <c r="B537" s="5832"/>
      <c r="C537" s="2762" t="s">
        <v>1126</v>
      </c>
      <c r="D537" s="4751"/>
      <c r="E537" s="4751"/>
      <c r="F537" s="2763">
        <v>35</v>
      </c>
      <c r="G537" s="2763" t="s">
        <v>1605</v>
      </c>
      <c r="H537" s="2763" t="s">
        <v>1616</v>
      </c>
      <c r="I537" s="2763" t="s">
        <v>1975</v>
      </c>
      <c r="J537" s="3163">
        <v>44987</v>
      </c>
      <c r="K537" s="4752">
        <v>4.0999999999999996</v>
      </c>
      <c r="L537" s="4753">
        <v>0.39</v>
      </c>
      <c r="M537" s="4754">
        <v>3.05</v>
      </c>
      <c r="N537" s="4755">
        <v>0.55000000000000004</v>
      </c>
      <c r="O537" s="4756">
        <f>1.05</f>
        <v>1.05</v>
      </c>
      <c r="P537" s="4757">
        <v>4.05</v>
      </c>
      <c r="Q537" s="3443">
        <v>0.45</v>
      </c>
      <c r="R537" s="3312">
        <v>0.72</v>
      </c>
      <c r="S537" s="2981">
        <v>0.2</v>
      </c>
      <c r="T537" s="2763">
        <v>20</v>
      </c>
      <c r="U537" s="3625">
        <v>0.1</v>
      </c>
      <c r="V537" s="4758">
        <v>0.3</v>
      </c>
      <c r="W537" s="4759">
        <v>0.45</v>
      </c>
      <c r="X537" s="3686">
        <v>0.4</v>
      </c>
      <c r="Y537" s="4378">
        <v>2</v>
      </c>
      <c r="Z537" s="2837">
        <v>1</v>
      </c>
      <c r="AA537" s="4760">
        <v>6</v>
      </c>
      <c r="AB537" s="2837">
        <v>1</v>
      </c>
      <c r="AC537" s="3341">
        <v>9</v>
      </c>
      <c r="AD537" s="4500">
        <v>1</v>
      </c>
      <c r="AE537" s="2782">
        <v>0</v>
      </c>
      <c r="AF537" s="2783">
        <v>0</v>
      </c>
      <c r="AG537" s="4761">
        <f>125</f>
        <v>125</v>
      </c>
      <c r="AH537" s="2997"/>
      <c r="AI537" s="4762">
        <f>139</f>
        <v>139</v>
      </c>
      <c r="AJ537" s="4763">
        <f t="shared" si="30"/>
        <v>155</v>
      </c>
      <c r="AK537" s="4764">
        <f>425</f>
        <v>425</v>
      </c>
      <c r="AL537" s="4765">
        <f>650</f>
        <v>650</v>
      </c>
      <c r="AM537" s="4766">
        <f>1000</f>
        <v>1000</v>
      </c>
      <c r="AN537" s="4767">
        <f>210</f>
        <v>210</v>
      </c>
      <c r="AO537" s="107"/>
    </row>
    <row r="538" spans="1:41" ht="15">
      <c r="A538" s="109"/>
      <c r="B538" s="5831">
        <v>2</v>
      </c>
      <c r="C538" s="2792" t="s">
        <v>1094</v>
      </c>
      <c r="D538" s="4768"/>
      <c r="E538" s="4768"/>
      <c r="F538" s="88">
        <v>33</v>
      </c>
      <c r="G538" s="88" t="s">
        <v>1623</v>
      </c>
      <c r="H538" s="88" t="s">
        <v>1631</v>
      </c>
      <c r="I538" s="88" t="s">
        <v>1976</v>
      </c>
      <c r="J538" s="3184">
        <v>45017</v>
      </c>
      <c r="K538" s="4744">
        <v>4.41</v>
      </c>
      <c r="L538" s="3230">
        <v>0.48</v>
      </c>
      <c r="M538" s="3368">
        <v>3.81</v>
      </c>
      <c r="N538" s="2962">
        <v>0.51</v>
      </c>
      <c r="O538" s="3325">
        <f>0.6</f>
        <v>0.6</v>
      </c>
      <c r="P538" s="2892">
        <v>1.75</v>
      </c>
      <c r="Q538" s="3000">
        <v>0.44</v>
      </c>
      <c r="R538" s="4058">
        <v>0.66</v>
      </c>
      <c r="S538" s="4113">
        <v>1</v>
      </c>
      <c r="T538" s="88">
        <v>31</v>
      </c>
      <c r="U538" s="3402">
        <v>0.26</v>
      </c>
      <c r="V538" s="4769">
        <v>0.32</v>
      </c>
      <c r="W538" s="4008">
        <v>0.26</v>
      </c>
      <c r="X538" s="3669">
        <v>0.5806</v>
      </c>
      <c r="Y538" s="3235">
        <v>8</v>
      </c>
      <c r="Z538" s="2809">
        <v>0</v>
      </c>
      <c r="AA538" s="2864">
        <v>10</v>
      </c>
      <c r="AB538" s="2809">
        <v>0</v>
      </c>
      <c r="AC538" s="3194">
        <v>8</v>
      </c>
      <c r="AD538" s="4770">
        <v>5</v>
      </c>
      <c r="AE538" s="63">
        <v>0</v>
      </c>
      <c r="AF538" s="27">
        <v>0</v>
      </c>
      <c r="AG538" s="4771">
        <v>-260</v>
      </c>
      <c r="AH538" s="4772"/>
      <c r="AI538" s="4773">
        <v>-190</v>
      </c>
      <c r="AJ538" s="2759">
        <v>-550</v>
      </c>
      <c r="AK538" s="3089">
        <v>-125</v>
      </c>
      <c r="AL538" s="4774">
        <f>525</f>
        <v>525</v>
      </c>
      <c r="AM538" s="4775">
        <f>155</f>
        <v>155</v>
      </c>
      <c r="AN538" s="4776">
        <f>600</f>
        <v>600</v>
      </c>
      <c r="AO538" s="107"/>
    </row>
    <row r="539" spans="1:41" ht="15">
      <c r="A539" s="109"/>
      <c r="B539" s="5832"/>
      <c r="C539" s="2819" t="s">
        <v>444</v>
      </c>
      <c r="D539" s="4777"/>
      <c r="E539" s="4777"/>
      <c r="F539" s="2820">
        <v>31</v>
      </c>
      <c r="G539" s="2820" t="s">
        <v>1588</v>
      </c>
      <c r="H539" s="2820" t="s">
        <v>1837</v>
      </c>
      <c r="I539" s="2820" t="s">
        <v>1977</v>
      </c>
      <c r="J539" s="3204">
        <v>44987</v>
      </c>
      <c r="K539" s="3210">
        <v>3.45</v>
      </c>
      <c r="L539" s="4778">
        <v>0.38</v>
      </c>
      <c r="M539" s="4779">
        <v>2.63</v>
      </c>
      <c r="N539" s="4121">
        <v>0.5</v>
      </c>
      <c r="O539" s="4604">
        <f>0.82</f>
        <v>0.82</v>
      </c>
      <c r="P539" s="4780">
        <v>0.66</v>
      </c>
      <c r="Q539" s="2773">
        <v>1</v>
      </c>
      <c r="R539" s="4546">
        <v>0.39</v>
      </c>
      <c r="S539" s="3759">
        <v>2.2999999999999998</v>
      </c>
      <c r="T539" s="2820">
        <v>21</v>
      </c>
      <c r="U539" s="4781">
        <v>0.19</v>
      </c>
      <c r="V539" s="4782">
        <v>0.43</v>
      </c>
      <c r="W539" s="4519">
        <v>0.1</v>
      </c>
      <c r="X539" s="4783">
        <v>0.61899999999999999</v>
      </c>
      <c r="Y539" s="4265">
        <v>4</v>
      </c>
      <c r="Z539" s="2837">
        <v>1</v>
      </c>
      <c r="AA539" s="4177">
        <v>9</v>
      </c>
      <c r="AB539" s="2837">
        <v>1</v>
      </c>
      <c r="AC539" s="4784">
        <v>2</v>
      </c>
      <c r="AD539" s="3762">
        <v>4</v>
      </c>
      <c r="AE539" s="2841">
        <v>0</v>
      </c>
      <c r="AF539" s="28">
        <v>0</v>
      </c>
      <c r="AG539" s="4785">
        <f>200</f>
        <v>200</v>
      </c>
      <c r="AH539" s="3635"/>
      <c r="AI539" s="4786">
        <f>160</f>
        <v>160</v>
      </c>
      <c r="AJ539" s="2787">
        <v>-550</v>
      </c>
      <c r="AK539" s="2785">
        <f>180</f>
        <v>180</v>
      </c>
      <c r="AL539" s="4787">
        <f>255</f>
        <v>255</v>
      </c>
      <c r="AM539" s="4788">
        <f>675</f>
        <v>675</v>
      </c>
      <c r="AN539" s="4789">
        <f>625</f>
        <v>625</v>
      </c>
      <c r="AO539" s="107"/>
    </row>
    <row r="540" spans="1:41" ht="15">
      <c r="A540" s="109"/>
      <c r="B540" s="5833">
        <v>3</v>
      </c>
      <c r="C540" s="2732" t="s">
        <v>1265</v>
      </c>
      <c r="D540" s="3283"/>
      <c r="E540" s="3283"/>
      <c r="F540" s="2733">
        <v>29</v>
      </c>
      <c r="G540" s="2733" t="s">
        <v>1603</v>
      </c>
      <c r="H540" s="2733" t="s">
        <v>1586</v>
      </c>
      <c r="I540" s="2733" t="s">
        <v>1928</v>
      </c>
      <c r="J540" s="2755" t="s">
        <v>1629</v>
      </c>
      <c r="K540" s="4790">
        <v>4.45</v>
      </c>
      <c r="L540" s="4611">
        <v>0.59</v>
      </c>
      <c r="M540" s="4791">
        <v>2.61</v>
      </c>
      <c r="N540" s="4661">
        <v>0.53</v>
      </c>
      <c r="O540" s="2898">
        <f>1.84</f>
        <v>1.84</v>
      </c>
      <c r="P540" s="4133">
        <v>1.49</v>
      </c>
      <c r="Q540" s="3456">
        <v>0.33</v>
      </c>
      <c r="R540" s="2801">
        <v>1</v>
      </c>
      <c r="S540" s="4792">
        <v>1.5</v>
      </c>
      <c r="T540" s="2733">
        <v>17</v>
      </c>
      <c r="U540" s="3401">
        <v>0.47</v>
      </c>
      <c r="V540" s="2901">
        <v>0.53</v>
      </c>
      <c r="W540" s="2746">
        <v>0</v>
      </c>
      <c r="X540" s="3777">
        <v>1</v>
      </c>
      <c r="Y540" s="3235">
        <v>8</v>
      </c>
      <c r="Z540" s="2809">
        <v>0</v>
      </c>
      <c r="AA540" s="4793">
        <v>9</v>
      </c>
      <c r="AB540" s="2809">
        <v>0</v>
      </c>
      <c r="AC540" s="2751">
        <v>0</v>
      </c>
      <c r="AD540" s="2809">
        <v>0</v>
      </c>
      <c r="AE540" s="2754">
        <v>0</v>
      </c>
      <c r="AF540" s="2755">
        <v>0</v>
      </c>
      <c r="AG540" s="2905">
        <v>-300</v>
      </c>
      <c r="AH540" s="2905"/>
      <c r="AI540" s="2809">
        <v>-650</v>
      </c>
      <c r="AJ540" s="4794">
        <v>-220</v>
      </c>
      <c r="AK540" s="2905">
        <v>-220</v>
      </c>
      <c r="AL540" s="4795">
        <f>275</f>
        <v>275</v>
      </c>
      <c r="AM540" s="2905">
        <f>140</f>
        <v>140</v>
      </c>
      <c r="AN540" s="27">
        <f>225</f>
        <v>225</v>
      </c>
      <c r="AO540" s="107"/>
    </row>
    <row r="541" spans="1:41" ht="15">
      <c r="A541" s="109"/>
      <c r="B541" s="5832"/>
      <c r="C541" s="2762" t="s">
        <v>1266</v>
      </c>
      <c r="D541" s="3292"/>
      <c r="E541" s="3292"/>
      <c r="F541" s="2763">
        <v>40</v>
      </c>
      <c r="G541" s="2763" t="s">
        <v>1582</v>
      </c>
      <c r="H541" s="2763" t="s">
        <v>1622</v>
      </c>
      <c r="I541" s="2763" t="s">
        <v>1978</v>
      </c>
      <c r="J541" s="3163">
        <v>44987</v>
      </c>
      <c r="K541" s="4148">
        <v>4.2</v>
      </c>
      <c r="L541" s="3622">
        <v>0.45</v>
      </c>
      <c r="M541" s="4754">
        <v>3.04</v>
      </c>
      <c r="N541" s="4755">
        <v>0.55000000000000004</v>
      </c>
      <c r="O541" s="4796">
        <f>1.16</f>
        <v>1.1599999999999999</v>
      </c>
      <c r="P541" s="3356">
        <v>0.27</v>
      </c>
      <c r="Q541" s="4119">
        <v>0.41</v>
      </c>
      <c r="R541" s="3211">
        <v>0.64</v>
      </c>
      <c r="S541" s="2911">
        <v>0</v>
      </c>
      <c r="T541" s="2763">
        <v>24</v>
      </c>
      <c r="U541" s="4797">
        <v>0.33</v>
      </c>
      <c r="V541" s="4798">
        <v>0.04</v>
      </c>
      <c r="W541" s="4799">
        <v>0.33</v>
      </c>
      <c r="X541" s="4716">
        <v>0.375</v>
      </c>
      <c r="Y541" s="4441">
        <v>8</v>
      </c>
      <c r="Z541" s="2837">
        <v>1</v>
      </c>
      <c r="AA541" s="4378">
        <v>1</v>
      </c>
      <c r="AB541" s="2774">
        <v>0</v>
      </c>
      <c r="AC541" s="2883">
        <v>8</v>
      </c>
      <c r="AD541" s="4800">
        <v>5</v>
      </c>
      <c r="AE541" s="2782">
        <v>0</v>
      </c>
      <c r="AF541" s="2783">
        <v>0</v>
      </c>
      <c r="AG541" s="2771">
        <f>250</f>
        <v>250</v>
      </c>
      <c r="AH541" s="2771"/>
      <c r="AI541" s="2911">
        <f>475</f>
        <v>475</v>
      </c>
      <c r="AJ541" s="4801">
        <v>-220</v>
      </c>
      <c r="AK541" s="2771">
        <f>1100</f>
        <v>1100</v>
      </c>
      <c r="AL541" s="4802">
        <f>1200</f>
        <v>1200</v>
      </c>
      <c r="AM541" s="2771">
        <f>2500</f>
        <v>2500</v>
      </c>
      <c r="AN541" s="4803">
        <f t="shared" ref="AN541:AN542" si="31">650</f>
        <v>650</v>
      </c>
      <c r="AO541" s="107"/>
    </row>
    <row r="542" spans="1:41" ht="15">
      <c r="A542" s="109"/>
      <c r="B542" s="5831">
        <v>4</v>
      </c>
      <c r="C542" s="2792" t="s">
        <v>899</v>
      </c>
      <c r="D542" s="4804"/>
      <c r="E542" s="4804"/>
      <c r="F542" s="88">
        <v>39</v>
      </c>
      <c r="G542" s="88" t="s">
        <v>1605</v>
      </c>
      <c r="H542" s="88" t="s">
        <v>1979</v>
      </c>
      <c r="I542" s="88" t="s">
        <v>1980</v>
      </c>
      <c r="J542" s="27" t="s">
        <v>1981</v>
      </c>
      <c r="K542" s="3451">
        <v>4.9800000000000004</v>
      </c>
      <c r="L542" s="2920">
        <v>0.45</v>
      </c>
      <c r="M542" s="3567">
        <v>4.26</v>
      </c>
      <c r="N542" s="4805">
        <v>0.56000000000000005</v>
      </c>
      <c r="O542" s="2967">
        <f>0.72</f>
        <v>0.72</v>
      </c>
      <c r="P542" s="4806">
        <v>0.42</v>
      </c>
      <c r="Q542" s="3920">
        <v>0.35</v>
      </c>
      <c r="R542" s="4058">
        <v>0.66</v>
      </c>
      <c r="S542" s="4807">
        <v>0.9</v>
      </c>
      <c r="T542" s="88">
        <v>34</v>
      </c>
      <c r="U542" s="3666">
        <v>0.32</v>
      </c>
      <c r="V542" s="4183">
        <v>0.26</v>
      </c>
      <c r="W542" s="4061">
        <v>0.15</v>
      </c>
      <c r="X542" s="4808">
        <v>0.58819999999999995</v>
      </c>
      <c r="Y542" s="3644">
        <v>11</v>
      </c>
      <c r="Z542" s="2750">
        <v>2</v>
      </c>
      <c r="AA542" s="4793">
        <v>9</v>
      </c>
      <c r="AB542" s="4809">
        <v>3</v>
      </c>
      <c r="AC542" s="2808">
        <v>5</v>
      </c>
      <c r="AD542" s="3504">
        <v>4</v>
      </c>
      <c r="AE542" s="63">
        <v>0</v>
      </c>
      <c r="AF542" s="27">
        <v>0</v>
      </c>
      <c r="AG542" s="3858">
        <f>210</f>
        <v>210</v>
      </c>
      <c r="AH542" s="4810"/>
      <c r="AI542" s="4811">
        <f>226</f>
        <v>226</v>
      </c>
      <c r="AJ542" s="110">
        <v>-150</v>
      </c>
      <c r="AK542" s="3510">
        <f>675</f>
        <v>675</v>
      </c>
      <c r="AL542" s="3353">
        <f>775</f>
        <v>775</v>
      </c>
      <c r="AM542" s="4812">
        <f>1400</f>
        <v>1400</v>
      </c>
      <c r="AN542" s="4813">
        <f t="shared" si="31"/>
        <v>650</v>
      </c>
      <c r="AO542" s="107"/>
    </row>
    <row r="543" spans="1:41" ht="15">
      <c r="A543" s="109"/>
      <c r="B543" s="5832"/>
      <c r="C543" s="2819" t="s">
        <v>900</v>
      </c>
      <c r="D543" s="4814"/>
      <c r="E543" s="4814"/>
      <c r="F543" s="2820">
        <v>28</v>
      </c>
      <c r="G543" s="2820" t="s">
        <v>1575</v>
      </c>
      <c r="H543" s="2820" t="s">
        <v>1595</v>
      </c>
      <c r="I543" s="2820" t="s">
        <v>1982</v>
      </c>
      <c r="J543" s="28" t="s">
        <v>1629</v>
      </c>
      <c r="K543" s="4148">
        <v>4.1900000000000004</v>
      </c>
      <c r="L543" s="4815">
        <v>0.46</v>
      </c>
      <c r="M543" s="4816">
        <v>3.48</v>
      </c>
      <c r="N543" s="4817">
        <v>0.41</v>
      </c>
      <c r="O543" s="4518">
        <f>0.71</f>
        <v>0.71</v>
      </c>
      <c r="P543" s="4818">
        <v>0.97</v>
      </c>
      <c r="Q543" s="3682">
        <v>0.25</v>
      </c>
      <c r="R543" s="3622">
        <v>0.56000000000000005</v>
      </c>
      <c r="S543" s="4819">
        <v>2.4</v>
      </c>
      <c r="T543" s="2820">
        <v>23</v>
      </c>
      <c r="U543" s="4176">
        <v>0.22</v>
      </c>
      <c r="V543" s="4782">
        <v>0.43</v>
      </c>
      <c r="W543" s="4820">
        <v>0.22</v>
      </c>
      <c r="X543" s="3067">
        <v>0.6522</v>
      </c>
      <c r="Y543" s="4821">
        <v>5</v>
      </c>
      <c r="Z543" s="2774">
        <v>0</v>
      </c>
      <c r="AA543" s="3278">
        <v>10</v>
      </c>
      <c r="AB543" s="2837">
        <v>1</v>
      </c>
      <c r="AC543" s="2780">
        <v>5</v>
      </c>
      <c r="AD543" s="2837">
        <v>2</v>
      </c>
      <c r="AE543" s="2841">
        <v>0</v>
      </c>
      <c r="AF543" s="28">
        <v>0</v>
      </c>
      <c r="AG543" s="3870">
        <v>-250</v>
      </c>
      <c r="AH543" s="4822"/>
      <c r="AI543" s="2891">
        <v>-286</v>
      </c>
      <c r="AJ543" s="112">
        <v>-150</v>
      </c>
      <c r="AK543" s="3845">
        <v>-120</v>
      </c>
      <c r="AL543" s="4823">
        <f>310</f>
        <v>310</v>
      </c>
      <c r="AM543" s="4824">
        <f>250</f>
        <v>250</v>
      </c>
      <c r="AN543" s="3636">
        <f>150</f>
        <v>150</v>
      </c>
      <c r="AO543" s="107"/>
    </row>
    <row r="544" spans="1:41" ht="15">
      <c r="A544" s="109"/>
      <c r="B544" s="5833">
        <v>5</v>
      </c>
      <c r="C544" s="2732" t="s">
        <v>1164</v>
      </c>
      <c r="D544" s="4825"/>
      <c r="E544" s="4825"/>
      <c r="F544" s="2733">
        <v>32</v>
      </c>
      <c r="G544" s="2733" t="s">
        <v>1605</v>
      </c>
      <c r="H544" s="2733" t="s">
        <v>1576</v>
      </c>
      <c r="I544" s="2733" t="s">
        <v>1983</v>
      </c>
      <c r="J544" s="3142">
        <v>44987</v>
      </c>
      <c r="K544" s="4826">
        <v>5.17</v>
      </c>
      <c r="L544" s="4334">
        <v>0.52</v>
      </c>
      <c r="M544" s="4827">
        <v>5.15</v>
      </c>
      <c r="N544" s="4828">
        <v>0.52</v>
      </c>
      <c r="O544" s="4664">
        <f>0.02</f>
        <v>0.02</v>
      </c>
      <c r="P544" s="4829">
        <v>1.04</v>
      </c>
      <c r="Q544" s="4830">
        <v>0.6</v>
      </c>
      <c r="R544" s="3774">
        <v>0.62</v>
      </c>
      <c r="S544" s="4831">
        <v>0.7</v>
      </c>
      <c r="T544" s="2733">
        <v>32</v>
      </c>
      <c r="U544" s="4183">
        <v>0.34</v>
      </c>
      <c r="V544" s="4206">
        <v>0.25</v>
      </c>
      <c r="W544" s="4832">
        <v>0.09</v>
      </c>
      <c r="X544" s="4833">
        <v>0.59379999999999999</v>
      </c>
      <c r="Y544" s="3644">
        <v>11</v>
      </c>
      <c r="Z544" s="2862">
        <v>1</v>
      </c>
      <c r="AA544" s="4834">
        <v>8</v>
      </c>
      <c r="AB544" s="3290">
        <v>2</v>
      </c>
      <c r="AC544" s="4207">
        <v>3</v>
      </c>
      <c r="AD544" s="2744">
        <v>6</v>
      </c>
      <c r="AE544" s="2754">
        <v>0</v>
      </c>
      <c r="AF544" s="2755">
        <v>0</v>
      </c>
      <c r="AG544" s="3858">
        <f>210</f>
        <v>210</v>
      </c>
      <c r="AH544" s="4835"/>
      <c r="AI544" s="4836">
        <f>300</f>
        <v>300</v>
      </c>
      <c r="AJ544" s="110">
        <v>-150</v>
      </c>
      <c r="AK544" s="4837">
        <f>400</f>
        <v>400</v>
      </c>
      <c r="AL544" s="4838">
        <f>625</f>
        <v>625</v>
      </c>
      <c r="AM544" s="4839">
        <f>950</f>
        <v>950</v>
      </c>
      <c r="AN544" s="2744">
        <f>800</f>
        <v>800</v>
      </c>
      <c r="AO544" s="107"/>
    </row>
    <row r="545" spans="1:41" ht="15">
      <c r="A545" s="109"/>
      <c r="B545" s="5832"/>
      <c r="C545" s="2762" t="s">
        <v>1239</v>
      </c>
      <c r="D545" s="4840"/>
      <c r="E545" s="4840"/>
      <c r="F545" s="2763">
        <v>26</v>
      </c>
      <c r="G545" s="2763" t="s">
        <v>1567</v>
      </c>
      <c r="H545" s="2763" t="s">
        <v>1589</v>
      </c>
      <c r="I545" s="2763" t="s">
        <v>1877</v>
      </c>
      <c r="J545" s="2783" t="s">
        <v>1629</v>
      </c>
      <c r="K545" s="4841">
        <v>6.67</v>
      </c>
      <c r="L545" s="4842">
        <v>0.56000000000000005</v>
      </c>
      <c r="M545" s="4843">
        <v>3.58</v>
      </c>
      <c r="N545" s="2875">
        <v>0.53</v>
      </c>
      <c r="O545" s="2774">
        <f>3.09</f>
        <v>3.09</v>
      </c>
      <c r="P545" s="3117">
        <v>0.67</v>
      </c>
      <c r="Q545" s="4844">
        <v>0.75</v>
      </c>
      <c r="R545" s="4845">
        <v>0.69</v>
      </c>
      <c r="S545" s="2911">
        <v>0</v>
      </c>
      <c r="T545" s="2763">
        <v>13</v>
      </c>
      <c r="U545" s="3555">
        <v>0.54</v>
      </c>
      <c r="V545" s="4000">
        <v>0.08</v>
      </c>
      <c r="W545" s="4846">
        <v>0.38</v>
      </c>
      <c r="X545" s="2835">
        <v>0.61539999999999995</v>
      </c>
      <c r="Y545" s="2780">
        <v>7</v>
      </c>
      <c r="Z545" s="2774">
        <v>0</v>
      </c>
      <c r="AA545" s="4378">
        <v>1</v>
      </c>
      <c r="AB545" s="2774">
        <v>0</v>
      </c>
      <c r="AC545" s="2780">
        <v>5</v>
      </c>
      <c r="AD545" s="2774">
        <v>0</v>
      </c>
      <c r="AE545" s="2782">
        <v>0</v>
      </c>
      <c r="AF545" s="2783">
        <v>0</v>
      </c>
      <c r="AG545" s="3870">
        <v>-250</v>
      </c>
      <c r="AH545" s="4072"/>
      <c r="AI545" s="4847">
        <v>-375</v>
      </c>
      <c r="AJ545" s="112">
        <v>-150</v>
      </c>
      <c r="AK545" s="4848">
        <f>105</f>
        <v>105</v>
      </c>
      <c r="AL545" s="2890">
        <f>150</f>
        <v>150</v>
      </c>
      <c r="AM545" s="2820">
        <f>900</f>
        <v>900</v>
      </c>
      <c r="AN545" s="3636">
        <f>150</f>
        <v>150</v>
      </c>
      <c r="AO545" s="107"/>
    </row>
    <row r="546" spans="1:41" ht="15">
      <c r="A546" s="109"/>
      <c r="B546" s="5831">
        <v>6</v>
      </c>
      <c r="C546" s="2792" t="s">
        <v>315</v>
      </c>
      <c r="D546" s="4849"/>
      <c r="E546" s="4849"/>
      <c r="F546" s="88">
        <v>38</v>
      </c>
      <c r="G546" s="88" t="s">
        <v>1653</v>
      </c>
      <c r="H546" s="88" t="s">
        <v>1618</v>
      </c>
      <c r="I546" s="88" t="s">
        <v>1860</v>
      </c>
      <c r="J546" s="3184">
        <v>44987</v>
      </c>
      <c r="K546" s="3638">
        <v>4.07</v>
      </c>
      <c r="L546" s="2742">
        <v>0.36</v>
      </c>
      <c r="M546" s="4850">
        <v>4.66</v>
      </c>
      <c r="N546" s="4851">
        <v>0.61</v>
      </c>
      <c r="O546" s="4852">
        <v>-0.59</v>
      </c>
      <c r="P546" s="2959">
        <v>0.92</v>
      </c>
      <c r="Q546" s="3015">
        <v>0.37</v>
      </c>
      <c r="R546" s="4090">
        <v>0.46</v>
      </c>
      <c r="S546" s="4687">
        <v>0.1</v>
      </c>
      <c r="T546" s="88">
        <v>22</v>
      </c>
      <c r="U546" s="4853">
        <v>0.27</v>
      </c>
      <c r="V546" s="3799">
        <v>0.09</v>
      </c>
      <c r="W546" s="3259">
        <v>0.45</v>
      </c>
      <c r="X546" s="4854">
        <v>0.36359999999999998</v>
      </c>
      <c r="Y546" s="4140">
        <v>6</v>
      </c>
      <c r="Z546" s="2862">
        <v>1</v>
      </c>
      <c r="AA546" s="4249">
        <v>2</v>
      </c>
      <c r="AB546" s="2862">
        <v>1</v>
      </c>
      <c r="AC546" s="3087">
        <v>10</v>
      </c>
      <c r="AD546" s="2862">
        <v>2</v>
      </c>
      <c r="AE546" s="63">
        <v>0</v>
      </c>
      <c r="AF546" s="27">
        <v>0</v>
      </c>
      <c r="AG546" s="3405">
        <f>160</f>
        <v>160</v>
      </c>
      <c r="AH546" s="4855"/>
      <c r="AI546" s="4856">
        <f>200</f>
        <v>200</v>
      </c>
      <c r="AJ546" s="4857">
        <f t="shared" ref="AJ546:AJ547" si="32">125</f>
        <v>125</v>
      </c>
      <c r="AK546" s="4858">
        <f>315</f>
        <v>315</v>
      </c>
      <c r="AL546" s="4290">
        <f>325</f>
        <v>325</v>
      </c>
      <c r="AM546" s="2869">
        <f>1800</f>
        <v>1800</v>
      </c>
      <c r="AN546" s="3406">
        <f>500</f>
        <v>500</v>
      </c>
      <c r="AO546" s="107"/>
    </row>
    <row r="547" spans="1:41" ht="15">
      <c r="A547" s="109"/>
      <c r="B547" s="5832"/>
      <c r="C547" s="2819" t="s">
        <v>316</v>
      </c>
      <c r="D547" s="4859"/>
      <c r="E547" s="4859"/>
      <c r="F547" s="2820">
        <v>29</v>
      </c>
      <c r="G547" s="2820" t="s">
        <v>1575</v>
      </c>
      <c r="H547" s="2820" t="s">
        <v>1618</v>
      </c>
      <c r="I547" s="2820" t="s">
        <v>1984</v>
      </c>
      <c r="J547" s="3204">
        <v>45017</v>
      </c>
      <c r="K547" s="4860">
        <v>2.34</v>
      </c>
      <c r="L547" s="2946">
        <v>0.57999999999999996</v>
      </c>
      <c r="M547" s="4861">
        <v>1.64</v>
      </c>
      <c r="N547" s="4862">
        <v>0.57999999999999996</v>
      </c>
      <c r="O547" s="3335">
        <f>0.7</f>
        <v>0.7</v>
      </c>
      <c r="P547" s="4863">
        <v>3.51</v>
      </c>
      <c r="Q547" s="4119">
        <v>0.41</v>
      </c>
      <c r="R547" s="4864">
        <v>0.33</v>
      </c>
      <c r="S547" s="4865">
        <v>1.6</v>
      </c>
      <c r="T547" s="2820">
        <v>17</v>
      </c>
      <c r="U547" s="2834">
        <v>0</v>
      </c>
      <c r="V547" s="2880">
        <v>0.53</v>
      </c>
      <c r="W547" s="4866">
        <v>0.41</v>
      </c>
      <c r="X547" s="4867">
        <v>0.52939999999999998</v>
      </c>
      <c r="Y547" s="2840">
        <v>0</v>
      </c>
      <c r="Z547" s="2774">
        <v>0</v>
      </c>
      <c r="AA547" s="4177">
        <v>9</v>
      </c>
      <c r="AB547" s="2837">
        <v>1</v>
      </c>
      <c r="AC547" s="2838">
        <v>7</v>
      </c>
      <c r="AD547" s="2774">
        <v>0</v>
      </c>
      <c r="AE547" s="2841">
        <v>0</v>
      </c>
      <c r="AF547" s="28">
        <v>0</v>
      </c>
      <c r="AG547" s="4868">
        <v>-185</v>
      </c>
      <c r="AH547" s="4157"/>
      <c r="AI547" s="4869">
        <v>-235</v>
      </c>
      <c r="AJ547" s="4870">
        <f t="shared" si="32"/>
        <v>125</v>
      </c>
      <c r="AK547" s="4871">
        <f>260</f>
        <v>260</v>
      </c>
      <c r="AL547" s="4872">
        <f>1000</f>
        <v>1000</v>
      </c>
      <c r="AM547" s="3845">
        <f>300</f>
        <v>300</v>
      </c>
      <c r="AN547" s="4873">
        <f>125</f>
        <v>125</v>
      </c>
      <c r="AO547" s="107"/>
    </row>
    <row r="548" spans="1:41" ht="15">
      <c r="A548" s="109"/>
      <c r="B548" s="5833">
        <v>7</v>
      </c>
      <c r="C548" s="2732" t="s">
        <v>691</v>
      </c>
      <c r="D548" s="4874"/>
      <c r="E548" s="4874"/>
      <c r="F548" s="2733">
        <v>35</v>
      </c>
      <c r="G548" s="2733" t="s">
        <v>1588</v>
      </c>
      <c r="H548" s="2733" t="s">
        <v>1834</v>
      </c>
      <c r="I548" s="2733" t="s">
        <v>1905</v>
      </c>
      <c r="J548" s="3142">
        <v>44987</v>
      </c>
      <c r="K548" s="3847">
        <v>4.8600000000000003</v>
      </c>
      <c r="L548" s="4078">
        <v>0.39</v>
      </c>
      <c r="M548" s="4875">
        <v>5.71</v>
      </c>
      <c r="N548" s="4876">
        <v>0.59</v>
      </c>
      <c r="O548" s="4877">
        <v>-0.85</v>
      </c>
      <c r="P548" s="4878">
        <v>0.17</v>
      </c>
      <c r="Q548" s="4879">
        <v>0.5</v>
      </c>
      <c r="R548" s="2856">
        <v>0.75</v>
      </c>
      <c r="S548" s="2862">
        <v>0.3</v>
      </c>
      <c r="T548" s="2733">
        <v>21</v>
      </c>
      <c r="U548" s="4226">
        <v>0.38</v>
      </c>
      <c r="V548" s="3233">
        <v>0.14000000000000001</v>
      </c>
      <c r="W548" s="4429">
        <v>0.14000000000000001</v>
      </c>
      <c r="X548" s="4880">
        <v>0.52380000000000004</v>
      </c>
      <c r="Y548" s="3235">
        <v>8</v>
      </c>
      <c r="Z548" s="2750">
        <v>2</v>
      </c>
      <c r="AA548" s="4140">
        <v>3</v>
      </c>
      <c r="AB548" s="2809">
        <v>0</v>
      </c>
      <c r="AC548" s="4207">
        <v>3</v>
      </c>
      <c r="AD548" s="4770">
        <v>5</v>
      </c>
      <c r="AE548" s="2754">
        <v>0</v>
      </c>
      <c r="AF548" s="2755">
        <v>0</v>
      </c>
      <c r="AG548" s="4881">
        <v>-163</v>
      </c>
      <c r="AH548" s="3675"/>
      <c r="AI548" s="4882">
        <v>-220</v>
      </c>
      <c r="AJ548" s="4883">
        <v>-325</v>
      </c>
      <c r="AK548" s="3782">
        <f>285</f>
        <v>285</v>
      </c>
      <c r="AL548" s="4884">
        <f>500</f>
        <v>500</v>
      </c>
      <c r="AM548" s="4885">
        <f>1000</f>
        <v>1000</v>
      </c>
      <c r="AN548" s="2809">
        <v>-120</v>
      </c>
      <c r="AO548" s="107"/>
    </row>
    <row r="549" spans="1:41" ht="15">
      <c r="A549" s="109"/>
      <c r="B549" s="5832"/>
      <c r="C549" s="2762" t="s">
        <v>692</v>
      </c>
      <c r="D549" s="4886"/>
      <c r="E549" s="4886"/>
      <c r="F549" s="2763">
        <v>28</v>
      </c>
      <c r="G549" s="2763" t="s">
        <v>1623</v>
      </c>
      <c r="H549" s="2763" t="s">
        <v>1879</v>
      </c>
      <c r="I549" s="2763" t="s">
        <v>1861</v>
      </c>
      <c r="J549" s="3163">
        <v>44987</v>
      </c>
      <c r="K549" s="4887">
        <v>5.43</v>
      </c>
      <c r="L549" s="3382">
        <v>0.55000000000000004</v>
      </c>
      <c r="M549" s="3333">
        <v>4.17</v>
      </c>
      <c r="N549" s="4257">
        <v>0.48</v>
      </c>
      <c r="O549" s="4888">
        <f>1.26</f>
        <v>1.26</v>
      </c>
      <c r="P549" s="3712">
        <v>1.38</v>
      </c>
      <c r="Q549" s="4195">
        <v>0.47</v>
      </c>
      <c r="R549" s="4196">
        <v>0.68</v>
      </c>
      <c r="S549" s="2911">
        <v>0</v>
      </c>
      <c r="T549" s="2763">
        <v>22</v>
      </c>
      <c r="U549" s="4198">
        <v>0.18</v>
      </c>
      <c r="V549" s="4519">
        <v>0.09</v>
      </c>
      <c r="W549" s="2880">
        <v>0.5</v>
      </c>
      <c r="X549" s="3276">
        <v>0.2727</v>
      </c>
      <c r="Y549" s="4265">
        <v>4</v>
      </c>
      <c r="Z549" s="2774">
        <v>0</v>
      </c>
      <c r="AA549" s="4265">
        <v>2</v>
      </c>
      <c r="AB549" s="3176">
        <v>2</v>
      </c>
      <c r="AC549" s="3278">
        <v>11</v>
      </c>
      <c r="AD549" s="4002">
        <v>3</v>
      </c>
      <c r="AE549" s="2782">
        <v>0</v>
      </c>
      <c r="AF549" s="2783">
        <v>0</v>
      </c>
      <c r="AG549" s="4889">
        <f>143</f>
        <v>143</v>
      </c>
      <c r="AH549" s="4890"/>
      <c r="AI549" s="2918">
        <f>185</f>
        <v>185</v>
      </c>
      <c r="AJ549" s="4891">
        <v>-325</v>
      </c>
      <c r="AK549" s="4892">
        <f>900</f>
        <v>900</v>
      </c>
      <c r="AL549" s="2771">
        <f>1400</f>
        <v>1400</v>
      </c>
      <c r="AM549" s="2846">
        <f>1200</f>
        <v>1200</v>
      </c>
      <c r="AN549" s="3982">
        <f>240</f>
        <v>240</v>
      </c>
      <c r="AO549" s="107"/>
    </row>
    <row r="550" spans="1:41" ht="15">
      <c r="A550" s="109"/>
      <c r="B550" s="5831">
        <v>8</v>
      </c>
      <c r="C550" s="2792" t="s">
        <v>100</v>
      </c>
      <c r="D550" s="4893"/>
      <c r="E550" s="4893"/>
      <c r="F550" s="88">
        <v>32</v>
      </c>
      <c r="G550" s="88" t="s">
        <v>1630</v>
      </c>
      <c r="H550" s="88" t="s">
        <v>1828</v>
      </c>
      <c r="I550" s="88" t="s">
        <v>1985</v>
      </c>
      <c r="J550" s="3184">
        <v>44960</v>
      </c>
      <c r="K550" s="3188">
        <v>3</v>
      </c>
      <c r="L550" s="4894">
        <v>0.4</v>
      </c>
      <c r="M550" s="3943">
        <v>3.89</v>
      </c>
      <c r="N550" s="4851">
        <v>0.61</v>
      </c>
      <c r="O550" s="4895">
        <v>-0.89</v>
      </c>
      <c r="P550" s="4896">
        <v>1.1299999999999999</v>
      </c>
      <c r="Q550" s="2920">
        <v>0.34</v>
      </c>
      <c r="R550" s="4897">
        <v>0.78</v>
      </c>
      <c r="S550" s="2744">
        <v>0</v>
      </c>
      <c r="T550" s="88">
        <v>18</v>
      </c>
      <c r="U550" s="3351">
        <v>0.56000000000000005</v>
      </c>
      <c r="V550" s="2746">
        <v>0</v>
      </c>
      <c r="W550" s="4583">
        <v>0.17</v>
      </c>
      <c r="X550" s="4559">
        <v>0.55559999999999998</v>
      </c>
      <c r="Y550" s="3197">
        <v>10</v>
      </c>
      <c r="Z550" s="2744">
        <v>4</v>
      </c>
      <c r="AA550" s="2751">
        <v>0</v>
      </c>
      <c r="AB550" s="2809">
        <v>0</v>
      </c>
      <c r="AC550" s="4207">
        <v>3</v>
      </c>
      <c r="AD550" s="4527">
        <v>1</v>
      </c>
      <c r="AE550" s="63">
        <v>0</v>
      </c>
      <c r="AF550" s="27">
        <v>0</v>
      </c>
      <c r="AG550" s="4080">
        <v>-160</v>
      </c>
      <c r="AH550" s="4898"/>
      <c r="AI550" s="3805">
        <v>-213</v>
      </c>
      <c r="AJ550" s="110">
        <v>-150</v>
      </c>
      <c r="AK550" s="4899">
        <f>135</f>
        <v>135</v>
      </c>
      <c r="AL550" s="3088">
        <f>175</f>
        <v>175</v>
      </c>
      <c r="AM550" s="4900">
        <f>1100</f>
        <v>1100</v>
      </c>
      <c r="AN550" s="4901">
        <f>175</f>
        <v>175</v>
      </c>
      <c r="AO550" s="107"/>
    </row>
    <row r="551" spans="1:41" ht="15">
      <c r="A551" s="109"/>
      <c r="B551" s="5832"/>
      <c r="C551" s="2819" t="s">
        <v>1329</v>
      </c>
      <c r="D551" s="4902"/>
      <c r="E551" s="4902"/>
      <c r="F551" s="2820">
        <v>37</v>
      </c>
      <c r="G551" s="2820" t="s">
        <v>1653</v>
      </c>
      <c r="H551" s="2820" t="s">
        <v>1626</v>
      </c>
      <c r="I551" s="2820" t="s">
        <v>1986</v>
      </c>
      <c r="J551" s="3204">
        <v>44960</v>
      </c>
      <c r="K551" s="3807">
        <v>3.36</v>
      </c>
      <c r="L551" s="3360">
        <v>0.41</v>
      </c>
      <c r="M551" s="4903">
        <v>4.6100000000000003</v>
      </c>
      <c r="N551" s="4904">
        <v>0.54</v>
      </c>
      <c r="O551" s="2911">
        <v>-1.25</v>
      </c>
      <c r="P551" s="3033">
        <v>1.79</v>
      </c>
      <c r="Q551" s="4905">
        <v>0.42</v>
      </c>
      <c r="R551" s="3118">
        <v>0.6</v>
      </c>
      <c r="S551" s="2943">
        <v>0.7</v>
      </c>
      <c r="T551" s="2820">
        <v>38</v>
      </c>
      <c r="U551" s="4199">
        <v>0.21</v>
      </c>
      <c r="V551" s="4262">
        <v>0.26</v>
      </c>
      <c r="W551" s="3521">
        <v>0.16</v>
      </c>
      <c r="X551" s="4685">
        <v>0.47370000000000001</v>
      </c>
      <c r="Y551" s="4441">
        <v>8</v>
      </c>
      <c r="Z551" s="2837">
        <v>1</v>
      </c>
      <c r="AA551" s="3278">
        <v>10</v>
      </c>
      <c r="AB551" s="2911">
        <v>8</v>
      </c>
      <c r="AC551" s="3097">
        <v>6</v>
      </c>
      <c r="AD551" s="4800">
        <v>5</v>
      </c>
      <c r="AE551" s="2841">
        <v>0</v>
      </c>
      <c r="AF551" s="28">
        <v>0</v>
      </c>
      <c r="AG551" s="4087">
        <f>140</f>
        <v>140</v>
      </c>
      <c r="AH551" s="3719"/>
      <c r="AI551" s="4906">
        <f>178</f>
        <v>178</v>
      </c>
      <c r="AJ551" s="112">
        <v>-150</v>
      </c>
      <c r="AK551" s="4907">
        <f>315</f>
        <v>315</v>
      </c>
      <c r="AL551" s="4908">
        <f>475</f>
        <v>475</v>
      </c>
      <c r="AM551" s="4909">
        <f>850</f>
        <v>850</v>
      </c>
      <c r="AN551" s="4910">
        <f>550</f>
        <v>550</v>
      </c>
      <c r="AO551" s="107"/>
    </row>
    <row r="552" spans="1:41" ht="15">
      <c r="A552" s="109"/>
      <c r="B552" s="5833">
        <v>9</v>
      </c>
      <c r="C552" s="2732" t="s">
        <v>42</v>
      </c>
      <c r="D552" s="4911"/>
      <c r="E552" s="4911"/>
      <c r="F552" s="2733">
        <v>26</v>
      </c>
      <c r="G552" s="2733" t="s">
        <v>1653</v>
      </c>
      <c r="H552" s="2733" t="s">
        <v>1606</v>
      </c>
      <c r="I552" s="4128">
        <v>36770</v>
      </c>
      <c r="J552" s="3142">
        <v>45017</v>
      </c>
      <c r="K552" s="2905">
        <v>8.77</v>
      </c>
      <c r="L552" s="4594">
        <v>0.55000000000000004</v>
      </c>
      <c r="M552" s="2741">
        <v>5.9</v>
      </c>
      <c r="N552" s="4912">
        <v>0.57999999999999996</v>
      </c>
      <c r="O552" s="4913">
        <f>2.87</f>
        <v>2.87</v>
      </c>
      <c r="P552" s="3321">
        <v>1.96</v>
      </c>
      <c r="Q552" s="4914">
        <v>0.42</v>
      </c>
      <c r="R552" s="3350">
        <v>0.71</v>
      </c>
      <c r="S552" s="4831">
        <v>0.7</v>
      </c>
      <c r="T552" s="2733">
        <v>10</v>
      </c>
      <c r="U552" s="2859">
        <v>0.3</v>
      </c>
      <c r="V552" s="4915">
        <v>0.2</v>
      </c>
      <c r="W552" s="4916">
        <v>0.4</v>
      </c>
      <c r="X552" s="4917">
        <v>0.5</v>
      </c>
      <c r="Y552" s="4918">
        <v>3</v>
      </c>
      <c r="Z552" s="2809">
        <v>0</v>
      </c>
      <c r="AA552" s="4249">
        <v>2</v>
      </c>
      <c r="AB552" s="2809">
        <v>0</v>
      </c>
      <c r="AC552" s="4320">
        <v>4</v>
      </c>
      <c r="AD552" s="4527">
        <v>1</v>
      </c>
      <c r="AE552" s="2754">
        <v>0</v>
      </c>
      <c r="AF552" s="2755">
        <v>0</v>
      </c>
      <c r="AG552" s="4919">
        <v>-265</v>
      </c>
      <c r="AH552" s="3801"/>
      <c r="AI552" s="3802">
        <v>-202</v>
      </c>
      <c r="AJ552" s="4920">
        <f t="shared" ref="AJ552:AJ553" si="33">150</f>
        <v>150</v>
      </c>
      <c r="AK552" s="3058">
        <f>200</f>
        <v>200</v>
      </c>
      <c r="AL552" s="4921">
        <f>465</f>
        <v>465</v>
      </c>
      <c r="AM552" s="4922">
        <f>575</f>
        <v>575</v>
      </c>
      <c r="AN552" s="4923">
        <f>125</f>
        <v>125</v>
      </c>
      <c r="AO552" s="107"/>
    </row>
    <row r="553" spans="1:41" ht="15">
      <c r="A553" s="109"/>
      <c r="B553" s="5832"/>
      <c r="C553" s="2762" t="s">
        <v>43</v>
      </c>
      <c r="D553" s="4924"/>
      <c r="E553" s="4924"/>
      <c r="F553" s="2763">
        <v>29</v>
      </c>
      <c r="G553" s="2763" t="s">
        <v>1653</v>
      </c>
      <c r="H553" s="2763" t="s">
        <v>1624</v>
      </c>
      <c r="I553" s="2763" t="s">
        <v>1987</v>
      </c>
      <c r="J553" s="3163">
        <v>44987</v>
      </c>
      <c r="K553" s="4925">
        <v>3.94</v>
      </c>
      <c r="L553" s="4753">
        <v>0.39</v>
      </c>
      <c r="M553" s="3757">
        <v>4.2</v>
      </c>
      <c r="N553" s="4650">
        <v>0.51</v>
      </c>
      <c r="O553" s="4926">
        <v>-0.26</v>
      </c>
      <c r="P553" s="4083">
        <v>0.54</v>
      </c>
      <c r="Q553" s="4927">
        <v>0.5</v>
      </c>
      <c r="R553" s="4928">
        <v>0.78</v>
      </c>
      <c r="S553" s="2837">
        <v>0.3</v>
      </c>
      <c r="T553" s="2763">
        <v>24</v>
      </c>
      <c r="U553" s="4261">
        <v>0.25</v>
      </c>
      <c r="V553" s="3522">
        <v>0.13</v>
      </c>
      <c r="W553" s="3935">
        <v>0.28999999999999998</v>
      </c>
      <c r="X553" s="4716">
        <v>0.375</v>
      </c>
      <c r="Y553" s="4202">
        <v>6</v>
      </c>
      <c r="Z553" s="2911">
        <v>4</v>
      </c>
      <c r="AA553" s="4202">
        <v>3</v>
      </c>
      <c r="AB553" s="2774">
        <v>0</v>
      </c>
      <c r="AC553" s="2838">
        <v>7</v>
      </c>
      <c r="AD553" s="3762">
        <v>4</v>
      </c>
      <c r="AE553" s="2782">
        <v>0</v>
      </c>
      <c r="AF553" s="2783">
        <v>0</v>
      </c>
      <c r="AG553" s="4929">
        <f>225</f>
        <v>225</v>
      </c>
      <c r="AH553" s="3318"/>
      <c r="AI553" s="3319">
        <f>172</f>
        <v>172</v>
      </c>
      <c r="AJ553" s="4930">
        <f t="shared" si="33"/>
        <v>150</v>
      </c>
      <c r="AK553" s="3955">
        <f>625</f>
        <v>625</v>
      </c>
      <c r="AL553" s="4931">
        <f>700</f>
        <v>700</v>
      </c>
      <c r="AM553" s="4932">
        <f>1600</f>
        <v>1600</v>
      </c>
      <c r="AN553" s="4933">
        <f>250</f>
        <v>250</v>
      </c>
      <c r="AO553" s="107"/>
    </row>
    <row r="554" spans="1:41" ht="15">
      <c r="A554" s="109"/>
      <c r="B554" s="5831">
        <v>10</v>
      </c>
      <c r="C554" s="2792" t="s">
        <v>656</v>
      </c>
      <c r="D554" s="4934"/>
      <c r="E554" s="4934"/>
      <c r="F554" s="88">
        <v>36</v>
      </c>
      <c r="G554" s="88" t="s">
        <v>1582</v>
      </c>
      <c r="H554" s="88" t="s">
        <v>1576</v>
      </c>
      <c r="I554" s="88" t="s">
        <v>1988</v>
      </c>
      <c r="J554" s="4935">
        <v>36951</v>
      </c>
      <c r="K554" s="3795">
        <v>3.82</v>
      </c>
      <c r="L554" s="4936">
        <v>0.56999999999999995</v>
      </c>
      <c r="M554" s="4937">
        <v>3.09</v>
      </c>
      <c r="N554" s="4828">
        <v>0.52</v>
      </c>
      <c r="O554" s="2799">
        <f>0.73</f>
        <v>0.73</v>
      </c>
      <c r="P554" s="4938">
        <v>0.62</v>
      </c>
      <c r="Q554" s="4095">
        <v>0.3</v>
      </c>
      <c r="R554" s="2856">
        <v>0.75</v>
      </c>
      <c r="S554" s="2862">
        <v>0.3</v>
      </c>
      <c r="T554" s="88">
        <v>18</v>
      </c>
      <c r="U554" s="4117">
        <v>0.5</v>
      </c>
      <c r="V554" s="4939">
        <v>0.22</v>
      </c>
      <c r="W554" s="4940">
        <v>0.06</v>
      </c>
      <c r="X554" s="4941">
        <v>0.72219999999999995</v>
      </c>
      <c r="Y554" s="3157">
        <v>9</v>
      </c>
      <c r="Z554" s="2862">
        <v>1</v>
      </c>
      <c r="AA554" s="4208">
        <v>4</v>
      </c>
      <c r="AB554" s="2809">
        <v>0</v>
      </c>
      <c r="AC554" s="4309">
        <v>1</v>
      </c>
      <c r="AD554" s="2862">
        <v>2</v>
      </c>
      <c r="AE554" s="63">
        <v>0</v>
      </c>
      <c r="AF554" s="27">
        <v>0</v>
      </c>
      <c r="AG554" s="4942">
        <f>135</f>
        <v>135</v>
      </c>
      <c r="AH554" s="4943"/>
      <c r="AI554" s="4944">
        <f>230</f>
        <v>230</v>
      </c>
      <c r="AJ554" s="110">
        <v>-150</v>
      </c>
      <c r="AK554" s="4945">
        <f>300</f>
        <v>300</v>
      </c>
      <c r="AL554" s="2976">
        <f>395</f>
        <v>395</v>
      </c>
      <c r="AM554" s="3705">
        <f>800</f>
        <v>800</v>
      </c>
      <c r="AN554" s="4776">
        <f>600</f>
        <v>600</v>
      </c>
      <c r="AO554" s="107"/>
    </row>
    <row r="555" spans="1:41" ht="15">
      <c r="A555" s="109"/>
      <c r="B555" s="5832"/>
      <c r="C555" s="2819" t="s">
        <v>1377</v>
      </c>
      <c r="D555" s="4946"/>
      <c r="E555" s="4946"/>
      <c r="F555" s="2820">
        <v>35</v>
      </c>
      <c r="G555" s="2820" t="s">
        <v>1567</v>
      </c>
      <c r="H555" s="2820" t="s">
        <v>1576</v>
      </c>
      <c r="I555" s="2820" t="s">
        <v>1989</v>
      </c>
      <c r="J555" s="3204">
        <v>44987</v>
      </c>
      <c r="K555" s="4947">
        <v>5.46</v>
      </c>
      <c r="L555" s="4815">
        <v>0.46</v>
      </c>
      <c r="M555" s="3885">
        <v>4.0199999999999996</v>
      </c>
      <c r="N555" s="4948">
        <v>0.59</v>
      </c>
      <c r="O555" s="4949">
        <f>1.44</f>
        <v>1.44</v>
      </c>
      <c r="P555" s="4950">
        <v>0.4</v>
      </c>
      <c r="Q555" s="3682">
        <v>0.25</v>
      </c>
      <c r="R555" s="3118">
        <v>0.6</v>
      </c>
      <c r="S555" s="2911">
        <v>0</v>
      </c>
      <c r="T555" s="2820">
        <v>27</v>
      </c>
      <c r="U555" s="4051">
        <v>0.44</v>
      </c>
      <c r="V555" s="4798">
        <v>0.04</v>
      </c>
      <c r="W555" s="4820">
        <v>0.22</v>
      </c>
      <c r="X555" s="4951">
        <v>0.48149999999999998</v>
      </c>
      <c r="Y555" s="3278">
        <v>12</v>
      </c>
      <c r="Z555" s="2837">
        <v>1</v>
      </c>
      <c r="AA555" s="4378">
        <v>1</v>
      </c>
      <c r="AB555" s="3176">
        <v>2</v>
      </c>
      <c r="AC555" s="3097">
        <v>6</v>
      </c>
      <c r="AD555" s="3762">
        <v>4</v>
      </c>
      <c r="AE555" s="2841">
        <v>0</v>
      </c>
      <c r="AF555" s="28">
        <v>0</v>
      </c>
      <c r="AG555" s="4952">
        <v>-155</v>
      </c>
      <c r="AH555" s="3419"/>
      <c r="AI555" s="3420">
        <v>-270</v>
      </c>
      <c r="AJ555" s="112">
        <v>-150</v>
      </c>
      <c r="AK555" s="4953">
        <f>140</f>
        <v>140</v>
      </c>
      <c r="AL555" s="4954">
        <f>185</f>
        <v>185</v>
      </c>
      <c r="AM555" s="4932">
        <f>1600</f>
        <v>1600</v>
      </c>
      <c r="AN555" s="3790">
        <f>165</f>
        <v>165</v>
      </c>
      <c r="AO555" s="107"/>
    </row>
    <row r="556" spans="1:41" ht="15">
      <c r="A556" s="109"/>
      <c r="B556" s="5833">
        <v>11</v>
      </c>
      <c r="C556" s="2732" t="s">
        <v>511</v>
      </c>
      <c r="D556" s="3657"/>
      <c r="E556" s="3657"/>
      <c r="F556" s="2733">
        <v>32</v>
      </c>
      <c r="G556" s="2733" t="s">
        <v>1592</v>
      </c>
      <c r="H556" s="2733" t="s">
        <v>1618</v>
      </c>
      <c r="I556" s="2733" t="s">
        <v>1857</v>
      </c>
      <c r="J556" s="3142">
        <v>45017</v>
      </c>
      <c r="K556" s="4955">
        <v>3.35</v>
      </c>
      <c r="L556" s="4095">
        <v>0.44</v>
      </c>
      <c r="M556" s="3185">
        <v>3.29</v>
      </c>
      <c r="N556" s="4956">
        <v>0.54</v>
      </c>
      <c r="O556" s="4957">
        <f>0.06</f>
        <v>0.06</v>
      </c>
      <c r="P556" s="4958">
        <v>3.81</v>
      </c>
      <c r="Q556" s="4914">
        <v>0.42</v>
      </c>
      <c r="R556" s="3015">
        <v>0.61</v>
      </c>
      <c r="S556" s="4807">
        <v>0.9</v>
      </c>
      <c r="T556" s="2733">
        <v>16</v>
      </c>
      <c r="U556" s="2746">
        <v>0</v>
      </c>
      <c r="V556" s="4959">
        <v>0.5</v>
      </c>
      <c r="W556" s="4286">
        <v>0.38</v>
      </c>
      <c r="X556" s="4917">
        <v>0.5</v>
      </c>
      <c r="Y556" s="2751">
        <v>0</v>
      </c>
      <c r="Z556" s="2809">
        <v>0</v>
      </c>
      <c r="AA556" s="4834">
        <v>8</v>
      </c>
      <c r="AB556" s="2809">
        <v>0</v>
      </c>
      <c r="AC556" s="3155">
        <v>6</v>
      </c>
      <c r="AD556" s="2862">
        <v>2</v>
      </c>
      <c r="AE556" s="2754">
        <v>0</v>
      </c>
      <c r="AF556" s="2755">
        <v>0</v>
      </c>
      <c r="AG556" s="3261">
        <v>-128</v>
      </c>
      <c r="AH556" s="4368"/>
      <c r="AI556" s="4369">
        <v>-170</v>
      </c>
      <c r="AJ556" s="3026">
        <f t="shared" ref="AJ556:AJ557" si="34">170</f>
        <v>170</v>
      </c>
      <c r="AK556" s="4960">
        <f>245</f>
        <v>245</v>
      </c>
      <c r="AL556" s="4961">
        <f>900</f>
        <v>900</v>
      </c>
      <c r="AM556" s="4962">
        <f>300</f>
        <v>300</v>
      </c>
      <c r="AN556" s="3542">
        <f>150</f>
        <v>150</v>
      </c>
      <c r="AO556" s="107"/>
    </row>
    <row r="557" spans="1:41" ht="15">
      <c r="A557" s="109"/>
      <c r="B557" s="5832"/>
      <c r="C557" s="2762" t="s">
        <v>512</v>
      </c>
      <c r="D557" s="4963"/>
      <c r="E557" s="4963"/>
      <c r="F557" s="2763">
        <v>32</v>
      </c>
      <c r="G557" s="2763" t="s">
        <v>1592</v>
      </c>
      <c r="H557" s="2763" t="s">
        <v>1624</v>
      </c>
      <c r="I557" s="2763" t="s">
        <v>1990</v>
      </c>
      <c r="J557" s="3163">
        <v>45017</v>
      </c>
      <c r="K557" s="4964">
        <v>3.13</v>
      </c>
      <c r="L557" s="3379">
        <v>0.49</v>
      </c>
      <c r="M557" s="4965">
        <v>2.94</v>
      </c>
      <c r="N557" s="4966">
        <v>0.52</v>
      </c>
      <c r="O557" s="4967">
        <f>0.19</f>
        <v>0.19</v>
      </c>
      <c r="P557" s="2890">
        <v>5.41</v>
      </c>
      <c r="Q557" s="4927">
        <v>0.5</v>
      </c>
      <c r="R557" s="4479">
        <v>0.8</v>
      </c>
      <c r="S557" s="3335">
        <v>0.4</v>
      </c>
      <c r="T557" s="2763">
        <v>21</v>
      </c>
      <c r="U557" s="4014">
        <v>0.28999999999999998</v>
      </c>
      <c r="V557" s="4175">
        <v>0.24</v>
      </c>
      <c r="W557" s="4968">
        <v>0.24</v>
      </c>
      <c r="X557" s="4969">
        <v>0.52380000000000004</v>
      </c>
      <c r="Y557" s="4202">
        <v>6</v>
      </c>
      <c r="Z557" s="2774">
        <v>0</v>
      </c>
      <c r="AA557" s="4970">
        <v>5</v>
      </c>
      <c r="AB557" s="4971">
        <v>3</v>
      </c>
      <c r="AC557" s="2780">
        <v>5</v>
      </c>
      <c r="AD557" s="4500">
        <v>1</v>
      </c>
      <c r="AE557" s="2782">
        <v>0</v>
      </c>
      <c r="AF557" s="2783">
        <v>0</v>
      </c>
      <c r="AG557" s="4972">
        <f>108</f>
        <v>108</v>
      </c>
      <c r="AH557" s="3690"/>
      <c r="AI557" s="2849">
        <f>145</f>
        <v>145</v>
      </c>
      <c r="AJ557" s="3043">
        <f t="shared" si="34"/>
        <v>170</v>
      </c>
      <c r="AK557" s="4973">
        <f>525</f>
        <v>525</v>
      </c>
      <c r="AL557" s="2771">
        <f>1400</f>
        <v>1400</v>
      </c>
      <c r="AM557" s="4766">
        <f>1000</f>
        <v>1000</v>
      </c>
      <c r="AN557" s="4974">
        <f>200</f>
        <v>200</v>
      </c>
      <c r="AO557" s="107"/>
    </row>
    <row r="558" spans="1:41" ht="15">
      <c r="A558" s="109"/>
      <c r="B558" s="5831">
        <v>12</v>
      </c>
      <c r="C558" s="2792" t="s">
        <v>319</v>
      </c>
      <c r="D558" s="4975"/>
      <c r="E558" s="4975"/>
      <c r="F558" s="88">
        <v>33</v>
      </c>
      <c r="G558" s="88" t="s">
        <v>1605</v>
      </c>
      <c r="H558" s="88" t="s">
        <v>1589</v>
      </c>
      <c r="I558" s="88" t="s">
        <v>1991</v>
      </c>
      <c r="J558" s="27" t="s">
        <v>1992</v>
      </c>
      <c r="K558" s="4976">
        <v>3.83</v>
      </c>
      <c r="L558" s="4977">
        <v>0.37</v>
      </c>
      <c r="M558" s="4978">
        <v>4.13</v>
      </c>
      <c r="N558" s="2962">
        <v>0.51</v>
      </c>
      <c r="O558" s="4390">
        <v>-0.3</v>
      </c>
      <c r="P558" s="4979">
        <v>2.2200000000000002</v>
      </c>
      <c r="Q558" s="4334">
        <v>0.47</v>
      </c>
      <c r="R558" s="3398">
        <v>0.69</v>
      </c>
      <c r="S558" s="2862">
        <v>0.3</v>
      </c>
      <c r="T558" s="88">
        <v>32</v>
      </c>
      <c r="U558" s="3084">
        <v>0.28000000000000003</v>
      </c>
      <c r="V558" s="3799">
        <v>0.09</v>
      </c>
      <c r="W558" s="3083">
        <v>0.31</v>
      </c>
      <c r="X558" s="4980">
        <v>0.375</v>
      </c>
      <c r="Y558" s="3157">
        <v>9</v>
      </c>
      <c r="Z558" s="3007">
        <v>3</v>
      </c>
      <c r="AA558" s="4140">
        <v>3</v>
      </c>
      <c r="AB558" s="3290">
        <v>2</v>
      </c>
      <c r="AC558" s="3087">
        <v>10</v>
      </c>
      <c r="AD558" s="4770">
        <v>5</v>
      </c>
      <c r="AE558" s="63">
        <v>0</v>
      </c>
      <c r="AF558" s="27">
        <v>0</v>
      </c>
      <c r="AG558" s="4981">
        <v>-200</v>
      </c>
      <c r="AH558" s="4982"/>
      <c r="AI558" s="4983">
        <v>-173</v>
      </c>
      <c r="AJ558" s="3201">
        <v>-180</v>
      </c>
      <c r="AK558" s="3672">
        <f>190</f>
        <v>190</v>
      </c>
      <c r="AL558" s="4290">
        <f>325</f>
        <v>325</v>
      </c>
      <c r="AM558" s="2816">
        <f>600</f>
        <v>600</v>
      </c>
      <c r="AN558" s="27">
        <f>225</f>
        <v>225</v>
      </c>
      <c r="AO558" s="107"/>
    </row>
    <row r="559" spans="1:41" ht="15">
      <c r="A559" s="109"/>
      <c r="B559" s="5832"/>
      <c r="C559" s="2819" t="s">
        <v>320</v>
      </c>
      <c r="D559" s="4984"/>
      <c r="E559" s="4984"/>
      <c r="F559" s="2820">
        <v>32</v>
      </c>
      <c r="G559" s="2820" t="s">
        <v>1605</v>
      </c>
      <c r="H559" s="2820" t="s">
        <v>1641</v>
      </c>
      <c r="I559" s="2820" t="s">
        <v>1857</v>
      </c>
      <c r="J559" s="3204">
        <v>44987</v>
      </c>
      <c r="K559" s="3331">
        <v>5.29</v>
      </c>
      <c r="L559" s="2940">
        <v>0.47</v>
      </c>
      <c r="M559" s="4985">
        <v>5.29</v>
      </c>
      <c r="N559" s="4986">
        <v>0.45</v>
      </c>
      <c r="O559" s="4987">
        <v>0</v>
      </c>
      <c r="P559" s="2771">
        <v>0</v>
      </c>
      <c r="Q559" s="2772">
        <v>0</v>
      </c>
      <c r="R559" s="4988">
        <v>0.4</v>
      </c>
      <c r="S559" s="2911">
        <v>0</v>
      </c>
      <c r="T559" s="2820">
        <v>16</v>
      </c>
      <c r="U559" s="4989">
        <v>0.56000000000000005</v>
      </c>
      <c r="V559" s="4990">
        <v>0.31</v>
      </c>
      <c r="W559" s="2834">
        <v>0</v>
      </c>
      <c r="X559" s="4991">
        <v>0.875</v>
      </c>
      <c r="Y559" s="3218">
        <v>9</v>
      </c>
      <c r="Z559" s="2774">
        <v>0</v>
      </c>
      <c r="AA559" s="4970">
        <v>5</v>
      </c>
      <c r="AB559" s="2837">
        <v>1</v>
      </c>
      <c r="AC559" s="2840">
        <v>0</v>
      </c>
      <c r="AD559" s="4500">
        <v>1</v>
      </c>
      <c r="AE559" s="2841">
        <v>0</v>
      </c>
      <c r="AF559" s="28">
        <v>0</v>
      </c>
      <c r="AG559" s="4992">
        <f>170</f>
        <v>170</v>
      </c>
      <c r="AH559" s="4973"/>
      <c r="AI559" s="3725">
        <f>148</f>
        <v>148</v>
      </c>
      <c r="AJ559" s="3222">
        <v>-180</v>
      </c>
      <c r="AK559" s="4993">
        <f>165</f>
        <v>165</v>
      </c>
      <c r="AL559" s="4994">
        <f>250</f>
        <v>250</v>
      </c>
      <c r="AM559" s="4995">
        <f>800</f>
        <v>800</v>
      </c>
      <c r="AN559" s="4910">
        <f>550</f>
        <v>550</v>
      </c>
      <c r="AO559" s="107"/>
    </row>
    <row r="560" spans="1:41" ht="15">
      <c r="A560" s="109"/>
      <c r="B560" s="5833">
        <v>13</v>
      </c>
      <c r="C560" s="2732" t="s">
        <v>562</v>
      </c>
      <c r="D560" s="4996"/>
      <c r="E560" s="4996"/>
      <c r="F560" s="2733">
        <v>32</v>
      </c>
      <c r="G560" s="2733" t="s">
        <v>1585</v>
      </c>
      <c r="H560" s="2733" t="s">
        <v>1586</v>
      </c>
      <c r="I560" s="2733" t="s">
        <v>1993</v>
      </c>
      <c r="J560" s="2755" t="s">
        <v>1629</v>
      </c>
      <c r="K560" s="4242">
        <v>5.62</v>
      </c>
      <c r="L560" s="4334">
        <v>0.52</v>
      </c>
      <c r="M560" s="4997">
        <v>5.4</v>
      </c>
      <c r="N560" s="4998">
        <v>0.55000000000000004</v>
      </c>
      <c r="O560" s="4999">
        <f>0.22</f>
        <v>0.22</v>
      </c>
      <c r="P560" s="4535">
        <v>0.3</v>
      </c>
      <c r="Q560" s="4879">
        <v>0.5</v>
      </c>
      <c r="R560" s="2801">
        <v>1</v>
      </c>
      <c r="S560" s="2862">
        <v>0.3</v>
      </c>
      <c r="T560" s="2733">
        <v>14</v>
      </c>
      <c r="U560" s="4630">
        <v>0.43</v>
      </c>
      <c r="V560" s="3701">
        <v>0.21</v>
      </c>
      <c r="W560" s="5000">
        <v>0.28999999999999998</v>
      </c>
      <c r="X560" s="5001">
        <v>0.64290000000000003</v>
      </c>
      <c r="Y560" s="4140">
        <v>6</v>
      </c>
      <c r="Z560" s="2809">
        <v>0</v>
      </c>
      <c r="AA560" s="4140">
        <v>3</v>
      </c>
      <c r="AB560" s="2809">
        <v>0</v>
      </c>
      <c r="AC560" s="4320">
        <v>4</v>
      </c>
      <c r="AD560" s="4527">
        <v>1</v>
      </c>
      <c r="AE560" s="2754">
        <v>0</v>
      </c>
      <c r="AF560" s="2755">
        <v>0</v>
      </c>
      <c r="AG560" s="4981">
        <v>-200</v>
      </c>
      <c r="AH560" s="5002"/>
      <c r="AI560" s="5003">
        <v>-143</v>
      </c>
      <c r="AJ560" s="5004">
        <v>-200</v>
      </c>
      <c r="AK560" s="3611">
        <f>155</f>
        <v>155</v>
      </c>
      <c r="AL560" s="4795">
        <f t="shared" ref="AL560:AL561" si="35">275</f>
        <v>275</v>
      </c>
      <c r="AM560" s="5005">
        <f>550</f>
        <v>550</v>
      </c>
      <c r="AN560" s="5006">
        <f>215</f>
        <v>215</v>
      </c>
      <c r="AO560" s="107"/>
    </row>
    <row r="561" spans="1:41" ht="15">
      <c r="A561" s="109"/>
      <c r="B561" s="5832"/>
      <c r="C561" s="2762" t="s">
        <v>546</v>
      </c>
      <c r="D561" s="5007"/>
      <c r="E561" s="5007"/>
      <c r="F561" s="2763">
        <v>33</v>
      </c>
      <c r="G561" s="2763" t="s">
        <v>1585</v>
      </c>
      <c r="H561" s="2763" t="s">
        <v>1994</v>
      </c>
      <c r="I561" s="2763" t="s">
        <v>1636</v>
      </c>
      <c r="J561" s="2783" t="s">
        <v>1629</v>
      </c>
      <c r="K561" s="2771">
        <v>1.52</v>
      </c>
      <c r="L561" s="2773">
        <v>1</v>
      </c>
      <c r="M561" s="2890">
        <v>0</v>
      </c>
      <c r="N561" s="2909">
        <v>0</v>
      </c>
      <c r="O561" s="3587">
        <f>1.52</f>
        <v>1.52</v>
      </c>
      <c r="P561" s="2771">
        <v>0</v>
      </c>
      <c r="Q561" s="2772">
        <v>0</v>
      </c>
      <c r="R561" s="2772">
        <v>0</v>
      </c>
      <c r="S561" s="2774">
        <v>5.7</v>
      </c>
      <c r="T561" s="2763">
        <v>11</v>
      </c>
      <c r="U561" s="2880">
        <v>0.64</v>
      </c>
      <c r="V561" s="3977">
        <v>0.27</v>
      </c>
      <c r="W561" s="5008">
        <v>0.09</v>
      </c>
      <c r="X561" s="5009">
        <v>0.90910000000000002</v>
      </c>
      <c r="Y561" s="2780">
        <v>7</v>
      </c>
      <c r="Z561" s="2774">
        <v>0</v>
      </c>
      <c r="AA561" s="4202">
        <v>3</v>
      </c>
      <c r="AB561" s="2774">
        <v>0</v>
      </c>
      <c r="AC561" s="4329">
        <v>1</v>
      </c>
      <c r="AD561" s="2774">
        <v>0</v>
      </c>
      <c r="AE561" s="2782">
        <v>0</v>
      </c>
      <c r="AF561" s="2783">
        <v>0</v>
      </c>
      <c r="AG561" s="4992">
        <f>170</f>
        <v>170</v>
      </c>
      <c r="AH561" s="5010"/>
      <c r="AI561" s="5011">
        <f>123</f>
        <v>123</v>
      </c>
      <c r="AJ561" s="5012">
        <v>-200</v>
      </c>
      <c r="AK561" s="5013">
        <f>190</f>
        <v>190</v>
      </c>
      <c r="AL561" s="5014">
        <f t="shared" si="35"/>
        <v>275</v>
      </c>
      <c r="AM561" s="2820">
        <f>900</f>
        <v>900</v>
      </c>
      <c r="AN561" s="4789">
        <f>625</f>
        <v>625</v>
      </c>
      <c r="AO561" s="107"/>
    </row>
    <row r="562" spans="1:41" ht="15">
      <c r="A562" s="109"/>
      <c r="B562" s="5831">
        <v>14</v>
      </c>
      <c r="C562" s="2792" t="s">
        <v>1257</v>
      </c>
      <c r="D562" s="5015"/>
      <c r="E562" s="5015"/>
      <c r="F562" s="88">
        <v>33</v>
      </c>
      <c r="G562" s="88" t="s">
        <v>1567</v>
      </c>
      <c r="H562" s="88" t="s">
        <v>1597</v>
      </c>
      <c r="I562" s="88" t="s">
        <v>1861</v>
      </c>
      <c r="J562" s="3184">
        <v>45017</v>
      </c>
      <c r="K562" s="4160">
        <v>4.38</v>
      </c>
      <c r="L562" s="2796">
        <v>0.47</v>
      </c>
      <c r="M562" s="4004">
        <v>3.33</v>
      </c>
      <c r="N562" s="4956">
        <v>0.54</v>
      </c>
      <c r="O562" s="3850">
        <f>1.05</f>
        <v>1.05</v>
      </c>
      <c r="P562" s="3658">
        <v>0.8</v>
      </c>
      <c r="Q562" s="2737">
        <v>0.39</v>
      </c>
      <c r="R562" s="3959">
        <v>0.74</v>
      </c>
      <c r="S562" s="5016">
        <v>0.5</v>
      </c>
      <c r="T562" s="88">
        <v>22</v>
      </c>
      <c r="U562" s="4853">
        <v>0.27</v>
      </c>
      <c r="V562" s="3853">
        <v>0.23</v>
      </c>
      <c r="W562" s="4206">
        <v>0.27</v>
      </c>
      <c r="X562" s="4917">
        <v>0.5</v>
      </c>
      <c r="Y562" s="4140">
        <v>6</v>
      </c>
      <c r="Z562" s="2750">
        <v>2</v>
      </c>
      <c r="AA562" s="4186">
        <v>5</v>
      </c>
      <c r="AB562" s="3290">
        <v>2</v>
      </c>
      <c r="AC562" s="3155">
        <v>6</v>
      </c>
      <c r="AD562" s="4527">
        <v>1</v>
      </c>
      <c r="AE562" s="63">
        <v>0</v>
      </c>
      <c r="AF562" s="27">
        <v>0</v>
      </c>
      <c r="AG562" s="4046">
        <v>-175</v>
      </c>
      <c r="AH562" s="5017"/>
      <c r="AI562" s="3832">
        <v>-245</v>
      </c>
      <c r="AJ562" s="5018">
        <v>-125</v>
      </c>
      <c r="AK562" s="4491">
        <f>175</f>
        <v>175</v>
      </c>
      <c r="AL562" s="4774">
        <f>525</f>
        <v>525</v>
      </c>
      <c r="AM562" s="5019">
        <f>375</f>
        <v>375</v>
      </c>
      <c r="AN562" s="5020">
        <f>130</f>
        <v>130</v>
      </c>
      <c r="AO562" s="107"/>
    </row>
    <row r="563" spans="1:41" ht="15">
      <c r="A563" s="109"/>
      <c r="B563" s="5832"/>
      <c r="C563" s="2819" t="s">
        <v>1258</v>
      </c>
      <c r="D563" s="5021"/>
      <c r="E563" s="5021"/>
      <c r="F563" s="2820">
        <v>39</v>
      </c>
      <c r="G563" s="2820" t="s">
        <v>1605</v>
      </c>
      <c r="H563" s="2820" t="s">
        <v>1618</v>
      </c>
      <c r="I563" s="2820" t="s">
        <v>1632</v>
      </c>
      <c r="J563" s="3204">
        <v>44987</v>
      </c>
      <c r="K563" s="3807">
        <v>3.37</v>
      </c>
      <c r="L563" s="4648">
        <v>0.51</v>
      </c>
      <c r="M563" s="5022">
        <v>2.91</v>
      </c>
      <c r="N563" s="3410">
        <v>0.62</v>
      </c>
      <c r="O563" s="5023">
        <f>0.46</f>
        <v>0.46</v>
      </c>
      <c r="P563" s="3359">
        <v>1.31</v>
      </c>
      <c r="Q563" s="5024">
        <v>0.4</v>
      </c>
      <c r="R563" s="5025">
        <v>0.73</v>
      </c>
      <c r="S563" s="2911">
        <v>0</v>
      </c>
      <c r="T563" s="2820">
        <v>23</v>
      </c>
      <c r="U563" s="5026">
        <v>0.52</v>
      </c>
      <c r="V563" s="3522">
        <v>0.13</v>
      </c>
      <c r="W563" s="4638">
        <v>0.17</v>
      </c>
      <c r="X563" s="3067">
        <v>0.6522</v>
      </c>
      <c r="Y563" s="3278">
        <v>12</v>
      </c>
      <c r="Z563" s="2837">
        <v>1</v>
      </c>
      <c r="AA563" s="4202">
        <v>3</v>
      </c>
      <c r="AB563" s="3176">
        <v>2</v>
      </c>
      <c r="AC563" s="4377">
        <v>4</v>
      </c>
      <c r="AD563" s="4500">
        <v>1</v>
      </c>
      <c r="AE563" s="2841">
        <v>0</v>
      </c>
      <c r="AF563" s="28">
        <v>0</v>
      </c>
      <c r="AG563" s="5027">
        <f>150</f>
        <v>150</v>
      </c>
      <c r="AH563" s="4972"/>
      <c r="AI563" s="5028">
        <f>210</f>
        <v>210</v>
      </c>
      <c r="AJ563" s="5029">
        <v>-125</v>
      </c>
      <c r="AK563" s="3045">
        <f>300</f>
        <v>300</v>
      </c>
      <c r="AL563" s="5030">
        <f>350</f>
        <v>350</v>
      </c>
      <c r="AM563" s="4932">
        <f>1600</f>
        <v>1600</v>
      </c>
      <c r="AN563" s="4910">
        <f>550</f>
        <v>550</v>
      </c>
      <c r="AO563" s="107"/>
    </row>
    <row r="564" spans="1:41" ht="12.75">
      <c r="A564" s="10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</row>
    <row r="567" spans="1:41" ht="12.75">
      <c r="A567" s="2728">
        <v>20231209</v>
      </c>
      <c r="B567" s="620"/>
      <c r="C567" s="620" t="s">
        <v>1995</v>
      </c>
    </row>
    <row r="568" spans="1:41" ht="15">
      <c r="A568" s="109"/>
      <c r="B568" s="5031"/>
      <c r="C568" s="112"/>
      <c r="F568" s="111" t="s">
        <v>1533</v>
      </c>
      <c r="G568" s="111" t="s">
        <v>1534</v>
      </c>
      <c r="H568" s="111" t="s">
        <v>1535</v>
      </c>
      <c r="I568" s="111" t="s">
        <v>1536</v>
      </c>
      <c r="J568" s="111" t="s">
        <v>1537</v>
      </c>
      <c r="K568" s="111" t="s">
        <v>1538</v>
      </c>
      <c r="L568" s="111" t="s">
        <v>1539</v>
      </c>
      <c r="M568" s="111" t="s">
        <v>1540</v>
      </c>
      <c r="N568" s="111" t="s">
        <v>1541</v>
      </c>
      <c r="O568" s="111" t="s">
        <v>1542</v>
      </c>
      <c r="P568" s="111" t="s">
        <v>1543</v>
      </c>
      <c r="Q568" s="111" t="s">
        <v>1544</v>
      </c>
      <c r="R568" s="111" t="s">
        <v>1545</v>
      </c>
      <c r="S568" s="111" t="s">
        <v>1546</v>
      </c>
      <c r="T568" s="111" t="s">
        <v>1547</v>
      </c>
      <c r="U568" s="111" t="s">
        <v>1548</v>
      </c>
      <c r="V568" s="111" t="s">
        <v>1549</v>
      </c>
      <c r="W568" s="111" t="s">
        <v>1550</v>
      </c>
      <c r="X568" s="112" t="s">
        <v>1551</v>
      </c>
      <c r="Y568" s="113" t="s">
        <v>1552</v>
      </c>
      <c r="Z568" s="114" t="s">
        <v>1553</v>
      </c>
      <c r="AA568" s="113" t="s">
        <v>1554</v>
      </c>
      <c r="AB568" s="114" t="s">
        <v>1555</v>
      </c>
      <c r="AC568" s="115" t="s">
        <v>1556</v>
      </c>
      <c r="AD568" s="114" t="s">
        <v>1557</v>
      </c>
      <c r="AE568" s="113" t="s">
        <v>1558</v>
      </c>
      <c r="AF568" s="116" t="s">
        <v>1559</v>
      </c>
      <c r="AG568" s="111" t="s">
        <v>1560</v>
      </c>
      <c r="AH568" s="111"/>
      <c r="AI568" s="112" t="s">
        <v>1561</v>
      </c>
      <c r="AJ568" s="111" t="s">
        <v>1562</v>
      </c>
      <c r="AK568" s="111" t="s">
        <v>1563</v>
      </c>
      <c r="AL568" s="111" t="s">
        <v>1564</v>
      </c>
      <c r="AM568" s="111" t="s">
        <v>1565</v>
      </c>
      <c r="AN568" s="112" t="s">
        <v>1566</v>
      </c>
      <c r="AO568" s="107"/>
    </row>
    <row r="569" spans="1:41" ht="15">
      <c r="A569" s="109"/>
      <c r="B569" s="5833">
        <v>1</v>
      </c>
      <c r="C569" s="3139" t="s">
        <v>50</v>
      </c>
      <c r="D569" s="2733"/>
      <c r="E569" s="2733"/>
      <c r="F569" s="2733">
        <v>26</v>
      </c>
      <c r="G569" s="2733" t="s">
        <v>1630</v>
      </c>
      <c r="H569" s="2733" t="s">
        <v>1624</v>
      </c>
      <c r="I569" s="2733" t="s">
        <v>1996</v>
      </c>
      <c r="J569" s="3142">
        <v>45017</v>
      </c>
      <c r="K569" s="4829">
        <v>4.6100000000000003</v>
      </c>
      <c r="L569" s="3873">
        <v>0.42</v>
      </c>
      <c r="M569" s="3105">
        <v>3.77</v>
      </c>
      <c r="N569" s="3985">
        <v>0.59</v>
      </c>
      <c r="O569" s="4720">
        <f>0.84</f>
        <v>0.84</v>
      </c>
      <c r="P569" s="4284">
        <v>0.53</v>
      </c>
      <c r="Q569" s="4897">
        <v>0.55000000000000004</v>
      </c>
      <c r="R569" s="4038">
        <v>0.72</v>
      </c>
      <c r="S569" s="5032">
        <v>0.2</v>
      </c>
      <c r="T569" s="2733">
        <v>28</v>
      </c>
      <c r="U569" s="2859">
        <v>0.32</v>
      </c>
      <c r="V569" s="3799">
        <v>0.11</v>
      </c>
      <c r="W569" s="5033">
        <v>0.28999999999999998</v>
      </c>
      <c r="X569" s="5034">
        <v>0.42859999999999998</v>
      </c>
      <c r="Y569" s="2971">
        <v>9</v>
      </c>
      <c r="Z569" s="3857">
        <v>2</v>
      </c>
      <c r="AA569" s="4140">
        <v>3</v>
      </c>
      <c r="AB569" s="2809">
        <v>0</v>
      </c>
      <c r="AC569" s="2863">
        <v>8</v>
      </c>
      <c r="AD569" s="3504">
        <v>4</v>
      </c>
      <c r="AE569" s="2754">
        <v>0</v>
      </c>
      <c r="AF569" s="2744">
        <v>1</v>
      </c>
      <c r="AG569" s="5035">
        <v>-255</v>
      </c>
      <c r="AH569" s="5036"/>
      <c r="AI569" s="5037">
        <v>-350</v>
      </c>
      <c r="AJ569" s="5038">
        <v>-135</v>
      </c>
      <c r="AK569" s="4368">
        <f>100</f>
        <v>100</v>
      </c>
      <c r="AL569" s="5039">
        <f>115</f>
        <v>115</v>
      </c>
      <c r="AM569" s="2871">
        <f>1600</f>
        <v>1600</v>
      </c>
      <c r="AN569" s="5040">
        <f>155</f>
        <v>155</v>
      </c>
      <c r="AO569" s="107"/>
    </row>
    <row r="570" spans="1:41" ht="15">
      <c r="A570" s="109"/>
      <c r="B570" s="5832"/>
      <c r="C570" s="2762" t="s">
        <v>51</v>
      </c>
      <c r="D570" s="2763"/>
      <c r="E570" s="2763"/>
      <c r="F570" s="2763">
        <v>32</v>
      </c>
      <c r="G570" s="2763" t="s">
        <v>1588</v>
      </c>
      <c r="H570" s="2763" t="s">
        <v>1624</v>
      </c>
      <c r="I570" s="2763" t="s">
        <v>1997</v>
      </c>
      <c r="J570" s="3163">
        <v>45017</v>
      </c>
      <c r="K570" s="5041">
        <v>5.04</v>
      </c>
      <c r="L570" s="5042">
        <v>0.56999999999999995</v>
      </c>
      <c r="M570" s="4496">
        <v>2.73</v>
      </c>
      <c r="N570" s="3516">
        <v>0.65</v>
      </c>
      <c r="O570" s="4295">
        <f>2.31</f>
        <v>2.31</v>
      </c>
      <c r="P570" s="5043">
        <v>0.34</v>
      </c>
      <c r="Q570" s="5044">
        <v>0.37</v>
      </c>
      <c r="R570" s="2946">
        <v>0.71</v>
      </c>
      <c r="S570" s="5045">
        <v>0.1</v>
      </c>
      <c r="T570" s="2763">
        <v>26</v>
      </c>
      <c r="U570" s="5046">
        <v>0.35</v>
      </c>
      <c r="V570" s="5047">
        <v>0.04</v>
      </c>
      <c r="W570" s="5048">
        <v>0.38</v>
      </c>
      <c r="X570" s="5049">
        <v>0.3846</v>
      </c>
      <c r="Y570" s="5050">
        <v>9</v>
      </c>
      <c r="Z570" s="2774">
        <v>0</v>
      </c>
      <c r="AA570" s="4378">
        <v>1</v>
      </c>
      <c r="AB570" s="2837">
        <v>1</v>
      </c>
      <c r="AC570" s="3278">
        <v>10</v>
      </c>
      <c r="AD570" s="4002">
        <v>3</v>
      </c>
      <c r="AE570" s="2782">
        <v>0</v>
      </c>
      <c r="AF570" s="2783">
        <v>0</v>
      </c>
      <c r="AG570" s="3980">
        <f>215</f>
        <v>215</v>
      </c>
      <c r="AH570" s="5051"/>
      <c r="AI570" s="5052">
        <f>275</f>
        <v>275</v>
      </c>
      <c r="AJ570" s="5053">
        <v>-135</v>
      </c>
      <c r="AK570" s="5054">
        <f>625</f>
        <v>625</v>
      </c>
      <c r="AL570" s="5055">
        <f>700</f>
        <v>700</v>
      </c>
      <c r="AM570" s="5056">
        <f>2000</f>
        <v>2000</v>
      </c>
      <c r="AN570" s="5057">
        <f>550</f>
        <v>550</v>
      </c>
      <c r="AO570" s="107"/>
    </row>
    <row r="571" spans="1:41" ht="15">
      <c r="A571" s="109"/>
      <c r="B571" s="5831">
        <v>2</v>
      </c>
      <c r="C571" s="2792" t="s">
        <v>622</v>
      </c>
      <c r="D571" s="88"/>
      <c r="E571" s="88"/>
      <c r="F571" s="88">
        <v>35</v>
      </c>
      <c r="G571" s="88" t="s">
        <v>1585</v>
      </c>
      <c r="H571" s="88" t="s">
        <v>1576</v>
      </c>
      <c r="I571" s="88" t="s">
        <v>1998</v>
      </c>
      <c r="J571" s="3184">
        <v>44987</v>
      </c>
      <c r="K571" s="4955">
        <v>3.16</v>
      </c>
      <c r="L571" s="3230">
        <v>0.48</v>
      </c>
      <c r="M571" s="2961">
        <v>4.45</v>
      </c>
      <c r="N571" s="5058">
        <v>0.46</v>
      </c>
      <c r="O571" s="5059">
        <v>-1.29</v>
      </c>
      <c r="P571" s="5060">
        <v>0.52</v>
      </c>
      <c r="Q571" s="3144">
        <v>0.28000000000000003</v>
      </c>
      <c r="R571" s="3371">
        <v>0.48</v>
      </c>
      <c r="S571" s="4113">
        <v>0.7</v>
      </c>
      <c r="T571" s="88">
        <v>54</v>
      </c>
      <c r="U571" s="4738">
        <v>0.33</v>
      </c>
      <c r="V571" s="3853">
        <v>0.28000000000000003</v>
      </c>
      <c r="W571" s="2746">
        <v>0.06</v>
      </c>
      <c r="X571" s="5061">
        <v>0.61109999999999998</v>
      </c>
      <c r="Y571" s="2864">
        <v>18</v>
      </c>
      <c r="Z571" s="2744">
        <v>9</v>
      </c>
      <c r="AA571" s="2864">
        <v>15</v>
      </c>
      <c r="AB571" s="2744">
        <v>5</v>
      </c>
      <c r="AC571" s="2810">
        <v>3</v>
      </c>
      <c r="AD571" s="3504">
        <v>4</v>
      </c>
      <c r="AE571" s="63">
        <v>0</v>
      </c>
      <c r="AF571" s="27">
        <v>0</v>
      </c>
      <c r="AG571" s="4290">
        <v>-250</v>
      </c>
      <c r="AH571" s="4473"/>
      <c r="AI571" s="4474">
        <f>205</f>
        <v>205</v>
      </c>
      <c r="AJ571" s="5062">
        <v>-400</v>
      </c>
      <c r="AK571" s="3969">
        <f>215</f>
        <v>215</v>
      </c>
      <c r="AL571" s="3115">
        <f t="shared" ref="AL571:AM571" si="36">500</f>
        <v>500</v>
      </c>
      <c r="AM571" s="5063">
        <f t="shared" si="36"/>
        <v>500</v>
      </c>
      <c r="AN571" s="5064">
        <f>600</f>
        <v>600</v>
      </c>
      <c r="AO571" s="107"/>
    </row>
    <row r="572" spans="1:41" ht="15">
      <c r="A572" s="109"/>
      <c r="B572" s="5832"/>
      <c r="C572" s="2819" t="s">
        <v>648</v>
      </c>
      <c r="D572" s="2820"/>
      <c r="E572" s="2820"/>
      <c r="F572" s="2820">
        <v>33</v>
      </c>
      <c r="G572" s="2820" t="s">
        <v>1603</v>
      </c>
      <c r="H572" s="2820" t="s">
        <v>1979</v>
      </c>
      <c r="I572" s="2820" t="s">
        <v>1999</v>
      </c>
      <c r="J572" s="3204">
        <v>45017</v>
      </c>
      <c r="K572" s="5065">
        <v>3.73</v>
      </c>
      <c r="L572" s="5066">
        <v>0.38</v>
      </c>
      <c r="M572" s="2980">
        <v>4.16</v>
      </c>
      <c r="N572" s="4121">
        <v>0.5</v>
      </c>
      <c r="O572" s="5067">
        <v>-0.43</v>
      </c>
      <c r="P572" s="2771">
        <v>0</v>
      </c>
      <c r="Q572" s="2772">
        <v>0</v>
      </c>
      <c r="R572" s="3862">
        <v>0.56000000000000005</v>
      </c>
      <c r="S572" s="5045">
        <v>0.1</v>
      </c>
      <c r="T572" s="2820">
        <v>17</v>
      </c>
      <c r="U572" s="3626">
        <v>0.47</v>
      </c>
      <c r="V572" s="2834">
        <v>0</v>
      </c>
      <c r="W572" s="2988">
        <v>0.24</v>
      </c>
      <c r="X572" s="5068">
        <v>0.47060000000000002</v>
      </c>
      <c r="Y572" s="3097">
        <v>8</v>
      </c>
      <c r="Z572" s="3895">
        <v>2</v>
      </c>
      <c r="AA572" s="2840">
        <v>0</v>
      </c>
      <c r="AB572" s="2837">
        <v>1</v>
      </c>
      <c r="AC572" s="2780">
        <v>4</v>
      </c>
      <c r="AD572" s="2837">
        <v>2</v>
      </c>
      <c r="AE572" s="2841">
        <v>0</v>
      </c>
      <c r="AF572" s="28">
        <v>0</v>
      </c>
      <c r="AG572" s="4972">
        <f>210</f>
        <v>210</v>
      </c>
      <c r="AH572" s="5069"/>
      <c r="AI572" s="5070">
        <v>-240</v>
      </c>
      <c r="AJ572" s="5071">
        <v>-400</v>
      </c>
      <c r="AK572" s="5072">
        <v>-125</v>
      </c>
      <c r="AL572" s="2890">
        <v>-120</v>
      </c>
      <c r="AM572" s="5056">
        <f>2000</f>
        <v>2000</v>
      </c>
      <c r="AN572" s="28">
        <f>500</f>
        <v>500</v>
      </c>
      <c r="AO572" s="107"/>
    </row>
    <row r="573" spans="1:41" ht="15">
      <c r="A573" s="109"/>
      <c r="B573" s="5833">
        <v>3</v>
      </c>
      <c r="C573" s="2732" t="s">
        <v>767</v>
      </c>
      <c r="D573" s="2733"/>
      <c r="E573" s="2733"/>
      <c r="F573" s="2733">
        <v>27</v>
      </c>
      <c r="G573" s="2733" t="s">
        <v>1630</v>
      </c>
      <c r="H573" s="2733" t="s">
        <v>1616</v>
      </c>
      <c r="I573" s="2733" t="s">
        <v>1903</v>
      </c>
      <c r="J573" s="3142">
        <v>44987</v>
      </c>
      <c r="K573" s="4017">
        <v>4.83</v>
      </c>
      <c r="L573" s="4897">
        <v>0.54</v>
      </c>
      <c r="M573" s="5073">
        <v>2.75</v>
      </c>
      <c r="N573" s="4005">
        <v>0.62</v>
      </c>
      <c r="O573" s="5074">
        <f>2.08</f>
        <v>2.08</v>
      </c>
      <c r="P573" s="5075">
        <v>0.32</v>
      </c>
      <c r="Q573" s="2801">
        <v>1</v>
      </c>
      <c r="R573" s="2743">
        <v>0.66</v>
      </c>
      <c r="S573" s="5076">
        <v>0.6</v>
      </c>
      <c r="T573" s="2733">
        <v>21</v>
      </c>
      <c r="U573" s="2901">
        <v>0.62</v>
      </c>
      <c r="V573" s="5077">
        <v>0.05</v>
      </c>
      <c r="W573" s="3400">
        <v>0.1</v>
      </c>
      <c r="X573" s="5078">
        <v>0.66669999999999996</v>
      </c>
      <c r="Y573" s="5079">
        <v>13</v>
      </c>
      <c r="Z573" s="2809">
        <v>0</v>
      </c>
      <c r="AA573" s="4336">
        <v>1</v>
      </c>
      <c r="AB573" s="2744">
        <v>5</v>
      </c>
      <c r="AC573" s="2753">
        <v>2</v>
      </c>
      <c r="AD573" s="2809">
        <v>0</v>
      </c>
      <c r="AE573" s="2754">
        <v>0</v>
      </c>
      <c r="AF573" s="2755">
        <v>0</v>
      </c>
      <c r="AG573" s="4855">
        <f>200</f>
        <v>200</v>
      </c>
      <c r="AH573" s="4099"/>
      <c r="AI573" s="4100">
        <f>275</f>
        <v>275</v>
      </c>
      <c r="AJ573" s="5080">
        <v>-150</v>
      </c>
      <c r="AK573" s="4961">
        <f>440</f>
        <v>440</v>
      </c>
      <c r="AL573" s="5081">
        <f>450</f>
        <v>450</v>
      </c>
      <c r="AM573" s="2741">
        <f>2500</f>
        <v>2500</v>
      </c>
      <c r="AN573" s="5064">
        <f>600</f>
        <v>600</v>
      </c>
      <c r="AO573" s="107"/>
    </row>
    <row r="574" spans="1:41" ht="15">
      <c r="A574" s="109"/>
      <c r="B574" s="5832"/>
      <c r="C574" s="2762" t="s">
        <v>768</v>
      </c>
      <c r="D574" s="2763"/>
      <c r="E574" s="2763"/>
      <c r="F574" s="2763">
        <v>32</v>
      </c>
      <c r="G574" s="2763" t="s">
        <v>1630</v>
      </c>
      <c r="H574" s="2763" t="s">
        <v>1886</v>
      </c>
      <c r="I574" s="2763" t="s">
        <v>2000</v>
      </c>
      <c r="J574" s="3163">
        <v>44987</v>
      </c>
      <c r="K574" s="3807">
        <v>3.21</v>
      </c>
      <c r="L574" s="3784">
        <v>0.61</v>
      </c>
      <c r="M574" s="5082">
        <v>2.2799999999999998</v>
      </c>
      <c r="N574" s="4121">
        <v>0.5</v>
      </c>
      <c r="O574" s="4518">
        <f>0.93</f>
        <v>0.93</v>
      </c>
      <c r="P574" s="5083">
        <v>1.55</v>
      </c>
      <c r="Q574" s="2830">
        <v>0.26</v>
      </c>
      <c r="R574" s="5084">
        <v>0.16</v>
      </c>
      <c r="S574" s="5085">
        <v>0.9</v>
      </c>
      <c r="T574" s="2763">
        <v>26</v>
      </c>
      <c r="U574" s="5086">
        <v>0.04</v>
      </c>
      <c r="V574" s="5087">
        <v>0.57999999999999996</v>
      </c>
      <c r="W574" s="4655">
        <v>0.15</v>
      </c>
      <c r="X574" s="5088">
        <v>0.61539999999999995</v>
      </c>
      <c r="Y574" s="3739">
        <v>1</v>
      </c>
      <c r="Z574" s="2774">
        <v>0</v>
      </c>
      <c r="AA574" s="3278">
        <v>15</v>
      </c>
      <c r="AB574" s="2774">
        <v>0</v>
      </c>
      <c r="AC574" s="2780">
        <v>4</v>
      </c>
      <c r="AD574" s="2911">
        <v>6</v>
      </c>
      <c r="AE574" s="2782">
        <v>0</v>
      </c>
      <c r="AF574" s="2783">
        <v>0</v>
      </c>
      <c r="AG574" s="4157">
        <v>-235</v>
      </c>
      <c r="AH574" s="4994"/>
      <c r="AI574" s="5089">
        <v>-325</v>
      </c>
      <c r="AJ574" s="5090">
        <v>-150</v>
      </c>
      <c r="AK574" s="5091">
        <f>105</f>
        <v>105</v>
      </c>
      <c r="AL574" s="2771">
        <f>1400</f>
        <v>1400</v>
      </c>
      <c r="AM574" s="2890">
        <f>115</f>
        <v>115</v>
      </c>
      <c r="AN574" s="5092">
        <f>190</f>
        <v>190</v>
      </c>
      <c r="AO574" s="107"/>
    </row>
    <row r="575" spans="1:41" ht="15">
      <c r="A575" s="109"/>
      <c r="B575" s="5831">
        <v>4</v>
      </c>
      <c r="C575" s="2792" t="s">
        <v>58</v>
      </c>
      <c r="D575" s="88"/>
      <c r="E575" s="88"/>
      <c r="F575" s="88">
        <v>28</v>
      </c>
      <c r="G575" s="88" t="s">
        <v>1575</v>
      </c>
      <c r="H575" s="88" t="s">
        <v>1616</v>
      </c>
      <c r="I575" s="88" t="s">
        <v>1646</v>
      </c>
      <c r="J575" s="3184">
        <v>44987</v>
      </c>
      <c r="K575" s="2964">
        <v>5.73</v>
      </c>
      <c r="L575" s="4041">
        <v>0.44</v>
      </c>
      <c r="M575" s="5093">
        <v>5.26</v>
      </c>
      <c r="N575" s="5094">
        <v>0.64</v>
      </c>
      <c r="O575" s="4039">
        <f>0.47</f>
        <v>0.47</v>
      </c>
      <c r="P575" s="5075">
        <v>0.32</v>
      </c>
      <c r="Q575" s="5095">
        <v>0.2</v>
      </c>
      <c r="R575" s="4224">
        <v>0.78</v>
      </c>
      <c r="S575" s="2744">
        <v>0</v>
      </c>
      <c r="T575" s="88">
        <v>20</v>
      </c>
      <c r="U575" s="2928">
        <v>0.45</v>
      </c>
      <c r="V575" s="2746">
        <v>0</v>
      </c>
      <c r="W575" s="4448">
        <v>0.3</v>
      </c>
      <c r="X575" s="5096">
        <v>0.45</v>
      </c>
      <c r="Y575" s="2971">
        <v>9</v>
      </c>
      <c r="Z575" s="2862">
        <v>1</v>
      </c>
      <c r="AA575" s="2751">
        <v>0</v>
      </c>
      <c r="AB575" s="2862">
        <v>1</v>
      </c>
      <c r="AC575" s="3946">
        <v>6</v>
      </c>
      <c r="AD575" s="3991">
        <v>3</v>
      </c>
      <c r="AE575" s="63">
        <v>0</v>
      </c>
      <c r="AF575" s="27">
        <v>0</v>
      </c>
      <c r="AG575" s="3199">
        <v>-185</v>
      </c>
      <c r="AH575" s="3968"/>
      <c r="AI575" s="5097">
        <v>-214</v>
      </c>
      <c r="AJ575" s="3026">
        <f t="shared" ref="AJ575:AJ576" si="37">170</f>
        <v>170</v>
      </c>
      <c r="AK575" s="5098">
        <f>300</f>
        <v>300</v>
      </c>
      <c r="AL575" s="3707">
        <f>375</f>
        <v>375</v>
      </c>
      <c r="AM575" s="3830">
        <f>1800</f>
        <v>1800</v>
      </c>
      <c r="AN575" s="2809">
        <v>-125</v>
      </c>
      <c r="AO575" s="107"/>
    </row>
    <row r="576" spans="1:41" ht="15">
      <c r="A576" s="109"/>
      <c r="B576" s="5832"/>
      <c r="C576" s="2819" t="s">
        <v>59</v>
      </c>
      <c r="D576" s="2820"/>
      <c r="E576" s="2820"/>
      <c r="F576" s="2820">
        <v>29</v>
      </c>
      <c r="G576" s="2820" t="s">
        <v>1582</v>
      </c>
      <c r="H576" s="2820" t="s">
        <v>1589</v>
      </c>
      <c r="I576" s="2820" t="s">
        <v>1904</v>
      </c>
      <c r="J576" s="3204">
        <v>44987</v>
      </c>
      <c r="K576" s="4752">
        <v>4.46</v>
      </c>
      <c r="L576" s="4196">
        <v>0.47</v>
      </c>
      <c r="M576" s="5099">
        <v>4.41</v>
      </c>
      <c r="N576" s="5100">
        <v>0.54</v>
      </c>
      <c r="O576" s="5101">
        <f>0.05</f>
        <v>0.05</v>
      </c>
      <c r="P576" s="5102">
        <v>2.46</v>
      </c>
      <c r="Q576" s="2945">
        <v>0.34</v>
      </c>
      <c r="R576" s="3933">
        <v>0.76</v>
      </c>
      <c r="S576" s="5045">
        <v>0.1</v>
      </c>
      <c r="T576" s="2820">
        <v>23</v>
      </c>
      <c r="U576" s="5103">
        <v>0.43</v>
      </c>
      <c r="V576" s="2777">
        <v>0.13</v>
      </c>
      <c r="W576" s="3274">
        <v>0.17</v>
      </c>
      <c r="X576" s="5104">
        <v>0.56520000000000004</v>
      </c>
      <c r="Y576" s="2838">
        <v>10</v>
      </c>
      <c r="Z576" s="5105">
        <v>4</v>
      </c>
      <c r="AA576" s="4202">
        <v>3</v>
      </c>
      <c r="AB576" s="2774">
        <v>0</v>
      </c>
      <c r="AC576" s="2780">
        <v>4</v>
      </c>
      <c r="AD576" s="2837">
        <v>2</v>
      </c>
      <c r="AE576" s="2841">
        <v>0</v>
      </c>
      <c r="AF576" s="28">
        <v>0</v>
      </c>
      <c r="AG576" s="3635">
        <f>160</f>
        <v>160</v>
      </c>
      <c r="AH576" s="4266"/>
      <c r="AI576" s="3074">
        <f>184</f>
        <v>184</v>
      </c>
      <c r="AJ576" s="3043">
        <f t="shared" si="37"/>
        <v>170</v>
      </c>
      <c r="AK576" s="5106">
        <f>400</f>
        <v>400</v>
      </c>
      <c r="AL576" s="5107">
        <f>600</f>
        <v>600</v>
      </c>
      <c r="AM576" s="4420">
        <f>1200</f>
        <v>1200</v>
      </c>
      <c r="AN576" s="5108">
        <f>400</f>
        <v>400</v>
      </c>
      <c r="AO576" s="107"/>
    </row>
    <row r="577" spans="1:41" ht="15">
      <c r="A577" s="109"/>
      <c r="B577" s="5833">
        <v>5</v>
      </c>
      <c r="C577" s="2732" t="s">
        <v>1061</v>
      </c>
      <c r="D577" s="2733"/>
      <c r="E577" s="2733"/>
      <c r="F577" s="2733">
        <v>32</v>
      </c>
      <c r="G577" s="2733" t="s">
        <v>1575</v>
      </c>
      <c r="H577" s="2733" t="s">
        <v>1595</v>
      </c>
      <c r="I577" s="2733" t="s">
        <v>1861</v>
      </c>
      <c r="J577" s="3142">
        <v>45017</v>
      </c>
      <c r="K577" s="4331">
        <v>4.9400000000000004</v>
      </c>
      <c r="L577" s="5109">
        <v>0.51</v>
      </c>
      <c r="M577" s="3874">
        <v>3.66</v>
      </c>
      <c r="N577" s="3497">
        <v>0.53</v>
      </c>
      <c r="O577" s="3476">
        <f>1.28</f>
        <v>1.28</v>
      </c>
      <c r="P577" s="4427">
        <v>2.1</v>
      </c>
      <c r="Q577" s="5110">
        <v>0.5</v>
      </c>
      <c r="R577" s="4594">
        <v>0.69</v>
      </c>
      <c r="S577" s="4705">
        <v>1.2</v>
      </c>
      <c r="T577" s="2733">
        <v>22</v>
      </c>
      <c r="U577" s="3192">
        <v>0.23</v>
      </c>
      <c r="V577" s="4939">
        <v>0.27</v>
      </c>
      <c r="W577" s="3021">
        <v>0.27</v>
      </c>
      <c r="X577" s="4247">
        <v>0.5</v>
      </c>
      <c r="Y577" s="3735">
        <v>5</v>
      </c>
      <c r="Z577" s="2862">
        <v>1</v>
      </c>
      <c r="AA577" s="3882">
        <v>6</v>
      </c>
      <c r="AB577" s="3991">
        <v>2</v>
      </c>
      <c r="AC577" s="3946">
        <v>6</v>
      </c>
      <c r="AD577" s="2862">
        <v>2</v>
      </c>
      <c r="AE577" s="2754">
        <v>0</v>
      </c>
      <c r="AF577" s="2755">
        <v>0</v>
      </c>
      <c r="AG577" s="3968">
        <v>-275</v>
      </c>
      <c r="AH577" s="4586"/>
      <c r="AI577" s="4587">
        <v>-180</v>
      </c>
      <c r="AJ577" s="3201">
        <v>-200</v>
      </c>
      <c r="AK577" s="3432">
        <f>110</f>
        <v>110</v>
      </c>
      <c r="AL577" s="2761">
        <f>190</f>
        <v>190</v>
      </c>
      <c r="AM577" s="5111">
        <f>600</f>
        <v>600</v>
      </c>
      <c r="AN577" s="5112">
        <f>250</f>
        <v>250</v>
      </c>
      <c r="AO577" s="107"/>
    </row>
    <row r="578" spans="1:41" ht="15">
      <c r="A578" s="109"/>
      <c r="B578" s="5832"/>
      <c r="C578" s="2762" t="s">
        <v>1062</v>
      </c>
      <c r="D578" s="2763"/>
      <c r="E578" s="2763"/>
      <c r="F578" s="2763">
        <v>33</v>
      </c>
      <c r="G578" s="2763" t="s">
        <v>1603</v>
      </c>
      <c r="H578" s="2763" t="s">
        <v>1597</v>
      </c>
      <c r="I578" s="2763" t="s">
        <v>2001</v>
      </c>
      <c r="J578" s="3163">
        <v>44987</v>
      </c>
      <c r="K578" s="5113">
        <v>2.17</v>
      </c>
      <c r="L578" s="4011">
        <v>0.5</v>
      </c>
      <c r="M578" s="5114">
        <v>2.0299999999999998</v>
      </c>
      <c r="N578" s="4030">
        <v>0.53</v>
      </c>
      <c r="O578" s="3243">
        <f>0.14</f>
        <v>0.14000000000000001</v>
      </c>
      <c r="P578" s="5115">
        <v>2.97</v>
      </c>
      <c r="Q578" s="5116">
        <v>0.4</v>
      </c>
      <c r="R578" s="5117">
        <v>0.35</v>
      </c>
      <c r="S578" s="5118">
        <v>1.5</v>
      </c>
      <c r="T578" s="2763">
        <v>29</v>
      </c>
      <c r="U578" s="4532">
        <v>0.14000000000000001</v>
      </c>
      <c r="V578" s="5119">
        <v>0.52</v>
      </c>
      <c r="W578" s="3212">
        <v>0.14000000000000001</v>
      </c>
      <c r="X578" s="5120">
        <v>0.6552</v>
      </c>
      <c r="Y578" s="2836">
        <v>4</v>
      </c>
      <c r="Z578" s="3762">
        <v>5</v>
      </c>
      <c r="AA578" s="3278">
        <v>15</v>
      </c>
      <c r="AB578" s="2837">
        <v>1</v>
      </c>
      <c r="AC578" s="2780">
        <v>4</v>
      </c>
      <c r="AD578" s="2774">
        <v>0</v>
      </c>
      <c r="AE578" s="2782">
        <v>0</v>
      </c>
      <c r="AF578" s="2783">
        <v>0</v>
      </c>
      <c r="AG578" s="2994">
        <f>235</f>
        <v>235</v>
      </c>
      <c r="AH578" s="5121"/>
      <c r="AI578" s="5122">
        <f>155</f>
        <v>155</v>
      </c>
      <c r="AJ578" s="3222">
        <v>-200</v>
      </c>
      <c r="AK578" s="5123">
        <f>275</f>
        <v>275</v>
      </c>
      <c r="AL578" s="3280">
        <f>1200</f>
        <v>1200</v>
      </c>
      <c r="AM578" s="5124">
        <f>350</f>
        <v>350</v>
      </c>
      <c r="AN578" s="28">
        <f>500</f>
        <v>500</v>
      </c>
      <c r="AO578" s="107"/>
    </row>
    <row r="579" spans="1:41" ht="14.25">
      <c r="A579" s="109"/>
      <c r="B579" s="5831">
        <v>6</v>
      </c>
      <c r="C579" s="2792" t="s">
        <v>1269</v>
      </c>
      <c r="D579" s="88"/>
      <c r="E579" s="88"/>
      <c r="F579" s="88">
        <v>33</v>
      </c>
      <c r="G579" s="88" t="s">
        <v>1582</v>
      </c>
      <c r="H579" s="88" t="s">
        <v>1858</v>
      </c>
      <c r="I579" s="88" t="s">
        <v>2002</v>
      </c>
      <c r="J579" s="3184">
        <v>44987</v>
      </c>
      <c r="K579" s="3638">
        <v>4.4000000000000004</v>
      </c>
      <c r="L579" s="3189">
        <v>0.47</v>
      </c>
      <c r="M579" s="5125">
        <v>5.86</v>
      </c>
      <c r="N579" s="4019">
        <v>0.52</v>
      </c>
      <c r="O579" s="5126">
        <v>-1.46</v>
      </c>
      <c r="P579" s="5127">
        <v>0.41</v>
      </c>
      <c r="Q579" s="5128">
        <v>0.66</v>
      </c>
      <c r="R579" s="3820">
        <v>0.62</v>
      </c>
      <c r="S579" s="2744">
        <v>0</v>
      </c>
      <c r="T579" s="88">
        <v>28</v>
      </c>
      <c r="U579" s="2859">
        <v>0.32</v>
      </c>
      <c r="V579" s="4225">
        <v>0.32</v>
      </c>
      <c r="W579" s="5129">
        <v>0.11</v>
      </c>
      <c r="X579" s="5130">
        <v>0.64290000000000003</v>
      </c>
      <c r="Y579" s="2971">
        <v>9</v>
      </c>
      <c r="Z579" s="4044">
        <v>4</v>
      </c>
      <c r="AA579" s="3947">
        <v>9</v>
      </c>
      <c r="AB579" s="2809">
        <v>0</v>
      </c>
      <c r="AC579" s="2810">
        <v>3</v>
      </c>
      <c r="AD579" s="3991">
        <v>3</v>
      </c>
      <c r="AE579" s="63">
        <v>0</v>
      </c>
      <c r="AF579" s="27">
        <v>0</v>
      </c>
      <c r="AG579" s="5131">
        <f>190</f>
        <v>190</v>
      </c>
      <c r="AH579" s="5132"/>
      <c r="AI579" s="5133">
        <f>135</f>
        <v>135</v>
      </c>
      <c r="AJ579" s="54"/>
      <c r="AK579" s="6"/>
      <c r="AL579" s="6"/>
      <c r="AM579" s="6"/>
      <c r="AN579" s="183"/>
      <c r="AO579" s="107"/>
    </row>
    <row r="580" spans="1:41" ht="14.25">
      <c r="A580" s="109"/>
      <c r="B580" s="5832"/>
      <c r="C580" s="2819" t="s">
        <v>1270</v>
      </c>
      <c r="D580" s="2820"/>
      <c r="E580" s="2820"/>
      <c r="F580" s="2820">
        <v>30</v>
      </c>
      <c r="G580" s="2820" t="s">
        <v>1571</v>
      </c>
      <c r="H580" s="2820" t="s">
        <v>1622</v>
      </c>
      <c r="I580" s="4254">
        <v>36771</v>
      </c>
      <c r="J580" s="3204">
        <v>45017</v>
      </c>
      <c r="K580" s="3267">
        <v>6.02</v>
      </c>
      <c r="L580" s="4011">
        <v>0.5</v>
      </c>
      <c r="M580" s="5134">
        <v>8.1</v>
      </c>
      <c r="N580" s="5135">
        <v>0.33</v>
      </c>
      <c r="O580" s="5136">
        <v>-2.08</v>
      </c>
      <c r="P580" s="4757">
        <v>3.11</v>
      </c>
      <c r="Q580" s="2773">
        <v>1</v>
      </c>
      <c r="R580" s="2772">
        <v>0</v>
      </c>
      <c r="S580" s="5137">
        <v>3.1</v>
      </c>
      <c r="T580" s="2820">
        <v>11</v>
      </c>
      <c r="U580" s="3362">
        <v>0.36</v>
      </c>
      <c r="V580" s="3296">
        <v>0.09</v>
      </c>
      <c r="W580" s="4846">
        <v>0.36</v>
      </c>
      <c r="X580" s="5138">
        <v>0.45450000000000002</v>
      </c>
      <c r="Y580" s="2836">
        <v>4</v>
      </c>
      <c r="Z580" s="2837">
        <v>1</v>
      </c>
      <c r="AA580" s="4378">
        <v>1</v>
      </c>
      <c r="AB580" s="2774">
        <v>0</v>
      </c>
      <c r="AC580" s="2780">
        <v>4</v>
      </c>
      <c r="AD580" s="4500">
        <v>1</v>
      </c>
      <c r="AE580" s="2841">
        <v>0</v>
      </c>
      <c r="AF580" s="28">
        <v>0</v>
      </c>
      <c r="AG580" s="3418">
        <v>-225</v>
      </c>
      <c r="AH580" s="4788"/>
      <c r="AI580" s="5139">
        <v>-155</v>
      </c>
      <c r="AJ580" s="213"/>
      <c r="AK580" s="5"/>
      <c r="AL580" s="5"/>
      <c r="AM580" s="5"/>
      <c r="AN580" s="213"/>
      <c r="AO580" s="107"/>
    </row>
    <row r="581" spans="1:41" ht="15">
      <c r="A581" s="109"/>
      <c r="B581" s="5833">
        <v>7</v>
      </c>
      <c r="C581" s="2732" t="s">
        <v>515</v>
      </c>
      <c r="D581" s="2733"/>
      <c r="E581" s="2733"/>
      <c r="F581" s="2733">
        <v>28</v>
      </c>
      <c r="G581" s="2733" t="s">
        <v>1592</v>
      </c>
      <c r="H581" s="2733" t="s">
        <v>1593</v>
      </c>
      <c r="I581" s="2733" t="s">
        <v>1885</v>
      </c>
      <c r="J581" s="2755" t="s">
        <v>1629</v>
      </c>
      <c r="K581" s="5140">
        <v>3.51</v>
      </c>
      <c r="L581" s="3230">
        <v>0.48</v>
      </c>
      <c r="M581" s="4178">
        <v>2.62</v>
      </c>
      <c r="N581" s="3985">
        <v>0.59</v>
      </c>
      <c r="O581" s="4720">
        <f>0.89</f>
        <v>0.89</v>
      </c>
      <c r="P581" s="4306">
        <v>2.23</v>
      </c>
      <c r="Q581" s="3601">
        <v>0.3</v>
      </c>
      <c r="R581" s="2801">
        <v>1</v>
      </c>
      <c r="S581" s="2809">
        <v>3.7</v>
      </c>
      <c r="T581" s="2733">
        <v>8</v>
      </c>
      <c r="U581" s="3303">
        <v>0.38</v>
      </c>
      <c r="V581" s="5141">
        <v>0.5</v>
      </c>
      <c r="W581" s="3004">
        <v>0.13</v>
      </c>
      <c r="X581" s="3777">
        <v>0.875</v>
      </c>
      <c r="Y581" s="3609">
        <v>3</v>
      </c>
      <c r="Z581" s="2809">
        <v>0</v>
      </c>
      <c r="AA581" s="3903">
        <v>4</v>
      </c>
      <c r="AB581" s="2809">
        <v>0</v>
      </c>
      <c r="AC581" s="2751">
        <v>1</v>
      </c>
      <c r="AD581" s="2809">
        <v>0</v>
      </c>
      <c r="AE581" s="2754">
        <v>0</v>
      </c>
      <c r="AF581" s="2755">
        <v>0</v>
      </c>
      <c r="AG581" s="5142">
        <v>-300</v>
      </c>
      <c r="AH581" s="2905"/>
      <c r="AI581" s="2809">
        <v>-500</v>
      </c>
      <c r="AJ581" s="2759">
        <v>-500</v>
      </c>
      <c r="AK581" s="2905">
        <v>-335</v>
      </c>
      <c r="AL581" s="5143">
        <f>175</f>
        <v>175</v>
      </c>
      <c r="AM581" s="4775">
        <f>140</f>
        <v>140</v>
      </c>
      <c r="AN581" s="5144">
        <f>550</f>
        <v>550</v>
      </c>
      <c r="AO581" s="107"/>
    </row>
    <row r="582" spans="1:41" ht="15">
      <c r="A582" s="109"/>
      <c r="B582" s="5832"/>
      <c r="C582" s="2762" t="s">
        <v>516</v>
      </c>
      <c r="D582" s="2763"/>
      <c r="E582" s="2763"/>
      <c r="F582" s="2763">
        <v>34</v>
      </c>
      <c r="G582" s="2763" t="s">
        <v>1653</v>
      </c>
      <c r="H582" s="2763" t="s">
        <v>1593</v>
      </c>
      <c r="I582" s="2763" t="s">
        <v>1893</v>
      </c>
      <c r="J582" s="3163">
        <v>44930</v>
      </c>
      <c r="K582" s="2944">
        <v>6.58</v>
      </c>
      <c r="L582" s="5066">
        <v>0.38</v>
      </c>
      <c r="M582" s="2771">
        <v>8.93</v>
      </c>
      <c r="N582" s="5145">
        <v>0.52</v>
      </c>
      <c r="O582" s="5146">
        <v>-2.35</v>
      </c>
      <c r="P582" s="2771">
        <v>0</v>
      </c>
      <c r="Q582" s="2772">
        <v>0</v>
      </c>
      <c r="R582" s="2773">
        <v>1</v>
      </c>
      <c r="S582" s="2911">
        <v>0</v>
      </c>
      <c r="T582" s="2763">
        <v>21</v>
      </c>
      <c r="U582" s="4623">
        <v>0.33</v>
      </c>
      <c r="V582" s="4798">
        <v>0.05</v>
      </c>
      <c r="W582" s="2988">
        <v>0.24</v>
      </c>
      <c r="X582" s="5147">
        <v>0.38100000000000001</v>
      </c>
      <c r="Y582" s="4280">
        <v>7</v>
      </c>
      <c r="Z582" s="5105">
        <v>4</v>
      </c>
      <c r="AA582" s="4378">
        <v>1</v>
      </c>
      <c r="AB582" s="2837">
        <v>1</v>
      </c>
      <c r="AC582" s="3097">
        <v>5</v>
      </c>
      <c r="AD582" s="4002">
        <v>3</v>
      </c>
      <c r="AE582" s="2782">
        <v>0</v>
      </c>
      <c r="AF582" s="2783">
        <v>0</v>
      </c>
      <c r="AG582" s="2993">
        <f>250</f>
        <v>250</v>
      </c>
      <c r="AH582" s="5148"/>
      <c r="AI582" s="5149">
        <f>375</f>
        <v>375</v>
      </c>
      <c r="AJ582" s="2787">
        <v>-500</v>
      </c>
      <c r="AK582" s="2771">
        <f>650</f>
        <v>650</v>
      </c>
      <c r="AL582" s="3629">
        <f>800</f>
        <v>800</v>
      </c>
      <c r="AM582" s="5150">
        <f>1800</f>
        <v>1800</v>
      </c>
      <c r="AN582" s="2911">
        <f>625</f>
        <v>625</v>
      </c>
      <c r="AO582" s="107"/>
    </row>
    <row r="583" spans="1:41" ht="14.25">
      <c r="A583" s="109"/>
      <c r="B583" s="5831">
        <v>8</v>
      </c>
      <c r="C583" s="2792" t="s">
        <v>904</v>
      </c>
      <c r="D583" s="88"/>
      <c r="E583" s="88"/>
      <c r="F583" s="88">
        <v>23</v>
      </c>
      <c r="G583" s="88" t="s">
        <v>1653</v>
      </c>
      <c r="H583" s="88" t="s">
        <v>1624</v>
      </c>
      <c r="I583" s="4203">
        <v>36678</v>
      </c>
      <c r="J583" s="3184">
        <v>45017</v>
      </c>
      <c r="K583" s="2905">
        <v>17.100000000000001</v>
      </c>
      <c r="L583" s="5151">
        <v>0.6</v>
      </c>
      <c r="M583" s="5152">
        <v>6.52</v>
      </c>
      <c r="N583" s="5153">
        <v>0.68</v>
      </c>
      <c r="O583" s="2809">
        <f>10.58</f>
        <v>10.58</v>
      </c>
      <c r="P583" s="2741">
        <v>0</v>
      </c>
      <c r="Q583" s="2742">
        <v>0</v>
      </c>
      <c r="R583" s="2801">
        <v>1</v>
      </c>
      <c r="S583" s="2744">
        <v>0</v>
      </c>
      <c r="T583" s="88">
        <v>7</v>
      </c>
      <c r="U583" s="2805">
        <v>0.14000000000000001</v>
      </c>
      <c r="V583" s="5154">
        <v>0.43</v>
      </c>
      <c r="W583" s="5033">
        <v>0.28999999999999998</v>
      </c>
      <c r="X583" s="5155">
        <v>0.57140000000000002</v>
      </c>
      <c r="Y583" s="2903">
        <v>1</v>
      </c>
      <c r="Z583" s="2809">
        <v>0</v>
      </c>
      <c r="AA583" s="4140">
        <v>3</v>
      </c>
      <c r="AB583" s="2809">
        <v>0</v>
      </c>
      <c r="AC583" s="2753">
        <v>2</v>
      </c>
      <c r="AD583" s="4527">
        <v>1</v>
      </c>
      <c r="AE583" s="63">
        <v>0</v>
      </c>
      <c r="AF583" s="27">
        <v>0</v>
      </c>
      <c r="AG583" s="2812">
        <v>-210</v>
      </c>
      <c r="AH583" s="3675"/>
      <c r="AI583" s="4882">
        <v>-173</v>
      </c>
      <c r="AJ583" s="54"/>
      <c r="AK583" s="6"/>
      <c r="AL583" s="6"/>
      <c r="AM583" s="6"/>
      <c r="AN583" s="183"/>
      <c r="AO583" s="107"/>
    </row>
    <row r="584" spans="1:41" ht="14.25">
      <c r="A584" s="109"/>
      <c r="B584" s="5832"/>
      <c r="C584" s="2819" t="s">
        <v>905</v>
      </c>
      <c r="D584" s="2820"/>
      <c r="E584" s="2820"/>
      <c r="F584" s="2820">
        <v>35</v>
      </c>
      <c r="G584" s="2820" t="s">
        <v>1653</v>
      </c>
      <c r="H584" s="2820" t="s">
        <v>1631</v>
      </c>
      <c r="I584" s="4254">
        <v>36742</v>
      </c>
      <c r="J584" s="3204">
        <v>44987</v>
      </c>
      <c r="K584" s="4323">
        <v>1.93</v>
      </c>
      <c r="L584" s="5156">
        <v>0.53</v>
      </c>
      <c r="M584" s="5157">
        <v>2.08</v>
      </c>
      <c r="N584" s="4030">
        <v>0.53</v>
      </c>
      <c r="O584" s="3273">
        <v>-0.15</v>
      </c>
      <c r="P584" s="5158">
        <v>3.04</v>
      </c>
      <c r="Q584" s="5116">
        <v>0.4</v>
      </c>
      <c r="R584" s="3165">
        <v>0.5</v>
      </c>
      <c r="S584" s="3064">
        <v>0.8</v>
      </c>
      <c r="T584" s="2820">
        <v>12</v>
      </c>
      <c r="U584" s="3488">
        <v>0.25</v>
      </c>
      <c r="V584" s="3214">
        <v>0.33</v>
      </c>
      <c r="W584" s="5159">
        <v>0.08</v>
      </c>
      <c r="X584" s="5160">
        <v>0.58330000000000004</v>
      </c>
      <c r="Y584" s="3096">
        <v>3</v>
      </c>
      <c r="Z584" s="2774">
        <v>0</v>
      </c>
      <c r="AA584" s="5161">
        <v>4</v>
      </c>
      <c r="AB584" s="4002">
        <v>2</v>
      </c>
      <c r="AC584" s="2840">
        <v>1</v>
      </c>
      <c r="AD584" s="2837">
        <v>2</v>
      </c>
      <c r="AE584" s="2841">
        <v>0</v>
      </c>
      <c r="AF584" s="28">
        <v>0</v>
      </c>
      <c r="AG584" s="5162">
        <f>180</f>
        <v>180</v>
      </c>
      <c r="AH584" s="3563"/>
      <c r="AI584" s="5057">
        <f>148</f>
        <v>148</v>
      </c>
      <c r="AJ584" s="213"/>
      <c r="AK584" s="5"/>
      <c r="AL584" s="5"/>
      <c r="AM584" s="5"/>
      <c r="AN584" s="213"/>
      <c r="AO584" s="107"/>
    </row>
    <row r="585" spans="1:41" ht="14.25">
      <c r="A585" s="109"/>
      <c r="B585" s="5833">
        <v>9</v>
      </c>
      <c r="C585" s="2732" t="s">
        <v>1333</v>
      </c>
      <c r="D585" s="2733"/>
      <c r="E585" s="2733"/>
      <c r="F585" s="2733">
        <v>23</v>
      </c>
      <c r="G585" s="2733" t="s">
        <v>1592</v>
      </c>
      <c r="H585" s="2733" t="s">
        <v>1618</v>
      </c>
      <c r="I585" s="2733" t="s">
        <v>1874</v>
      </c>
      <c r="J585" s="2755" t="s">
        <v>1629</v>
      </c>
      <c r="K585" s="4569">
        <v>3.23</v>
      </c>
      <c r="L585" s="2801">
        <v>0.69</v>
      </c>
      <c r="M585" s="5163">
        <v>1.26</v>
      </c>
      <c r="N585" s="4425">
        <v>0.47</v>
      </c>
      <c r="O585" s="4662">
        <f>1.97</f>
        <v>1.97</v>
      </c>
      <c r="P585" s="4130">
        <v>2.41</v>
      </c>
      <c r="Q585" s="3457">
        <v>0.41</v>
      </c>
      <c r="R585" s="3397">
        <v>0.6</v>
      </c>
      <c r="S585" s="5164">
        <v>2.8</v>
      </c>
      <c r="T585" s="2733">
        <v>14</v>
      </c>
      <c r="U585" s="5165">
        <v>0.21</v>
      </c>
      <c r="V585" s="5141">
        <v>0.5</v>
      </c>
      <c r="W585" s="5033">
        <v>0.28999999999999998</v>
      </c>
      <c r="X585" s="4139">
        <v>0.71430000000000005</v>
      </c>
      <c r="Y585" s="3609">
        <v>3</v>
      </c>
      <c r="Z585" s="2809">
        <v>0</v>
      </c>
      <c r="AA585" s="4064">
        <v>7</v>
      </c>
      <c r="AB585" s="2809">
        <v>0</v>
      </c>
      <c r="AC585" s="2808">
        <v>4</v>
      </c>
      <c r="AD585" s="2809">
        <v>0</v>
      </c>
      <c r="AE585" s="2754">
        <v>0</v>
      </c>
      <c r="AF585" s="2755">
        <v>0</v>
      </c>
      <c r="AG585" s="2905">
        <v>-650</v>
      </c>
      <c r="AH585" s="2905"/>
      <c r="AI585" s="2809">
        <v>-500</v>
      </c>
      <c r="AJ585" s="1372"/>
      <c r="AK585" s="640"/>
      <c r="AL585" s="640"/>
      <c r="AM585" s="640"/>
      <c r="AN585" s="119"/>
      <c r="AO585" s="107"/>
    </row>
    <row r="586" spans="1:41" ht="14.25">
      <c r="A586" s="109"/>
      <c r="B586" s="5832"/>
      <c r="C586" s="2762" t="s">
        <v>1334</v>
      </c>
      <c r="D586" s="2763"/>
      <c r="E586" s="2763"/>
      <c r="F586" s="2763">
        <v>30</v>
      </c>
      <c r="G586" s="2763" t="s">
        <v>1630</v>
      </c>
      <c r="H586" s="2763" t="s">
        <v>1624</v>
      </c>
      <c r="I586" s="4312">
        <v>36771</v>
      </c>
      <c r="J586" s="3163">
        <v>45017</v>
      </c>
      <c r="K586" s="5166">
        <v>5.51</v>
      </c>
      <c r="L586" s="2984">
        <v>0.46</v>
      </c>
      <c r="M586" s="5099">
        <v>4.41</v>
      </c>
      <c r="N586" s="2942">
        <v>0.49</v>
      </c>
      <c r="O586" s="4602">
        <f>1.1</f>
        <v>1.1000000000000001</v>
      </c>
      <c r="P586" s="5041">
        <v>1.24</v>
      </c>
      <c r="Q586" s="3360">
        <v>0.16</v>
      </c>
      <c r="R586" s="3379">
        <v>0.65</v>
      </c>
      <c r="S586" s="3837">
        <v>0.3</v>
      </c>
      <c r="T586" s="2763">
        <v>11</v>
      </c>
      <c r="U586" s="2834">
        <v>0</v>
      </c>
      <c r="V586" s="5167">
        <v>0.36</v>
      </c>
      <c r="W586" s="5168">
        <v>0.45</v>
      </c>
      <c r="X586" s="3276">
        <v>0.36359999999999998</v>
      </c>
      <c r="Y586" s="2840">
        <v>0</v>
      </c>
      <c r="Z586" s="2774">
        <v>0</v>
      </c>
      <c r="AA586" s="5161">
        <v>4</v>
      </c>
      <c r="AB586" s="2837">
        <v>1</v>
      </c>
      <c r="AC586" s="3097">
        <v>5</v>
      </c>
      <c r="AD586" s="4500">
        <v>1</v>
      </c>
      <c r="AE586" s="2782">
        <v>0</v>
      </c>
      <c r="AF586" s="2783">
        <v>0</v>
      </c>
      <c r="AG586" s="2771">
        <f>475</f>
        <v>475</v>
      </c>
      <c r="AH586" s="2771"/>
      <c r="AI586" s="2911">
        <f>385</f>
        <v>385</v>
      </c>
      <c r="AJ586" s="151"/>
      <c r="AK586" s="657"/>
      <c r="AL586" s="657"/>
      <c r="AM586" s="657"/>
      <c r="AN586" s="151"/>
      <c r="AO586" s="107"/>
    </row>
    <row r="587" spans="1:41" ht="14.25">
      <c r="A587" s="109"/>
      <c r="B587" s="5831">
        <v>10</v>
      </c>
      <c r="C587" s="2792" t="s">
        <v>520</v>
      </c>
      <c r="D587" s="88"/>
      <c r="E587" s="88"/>
      <c r="F587" s="88">
        <v>28</v>
      </c>
      <c r="G587" s="88" t="s">
        <v>1761</v>
      </c>
      <c r="H587" s="88" t="s">
        <v>1715</v>
      </c>
      <c r="I587" s="88" t="s">
        <v>2003</v>
      </c>
      <c r="J587" s="3184">
        <v>45017</v>
      </c>
      <c r="K587" s="5169">
        <v>3.67</v>
      </c>
      <c r="L587" s="2925">
        <v>0.31</v>
      </c>
      <c r="M587" s="5170">
        <v>6.87</v>
      </c>
      <c r="N587" s="3875">
        <v>0.56999999999999995</v>
      </c>
      <c r="O587" s="5171">
        <v>-3.2</v>
      </c>
      <c r="P587" s="3075">
        <v>1</v>
      </c>
      <c r="Q587" s="3052">
        <v>0.25</v>
      </c>
      <c r="R587" s="2742">
        <v>0</v>
      </c>
      <c r="S587" s="2744">
        <v>0</v>
      </c>
      <c r="T587" s="88">
        <v>20</v>
      </c>
      <c r="U587" s="3823">
        <v>0.1</v>
      </c>
      <c r="V587" s="4630">
        <v>0.4</v>
      </c>
      <c r="W587" s="3352">
        <v>0.2</v>
      </c>
      <c r="X587" s="4247">
        <v>0.5</v>
      </c>
      <c r="Y587" s="2753">
        <v>2</v>
      </c>
      <c r="Z587" s="2862">
        <v>1</v>
      </c>
      <c r="AA587" s="4045">
        <v>8</v>
      </c>
      <c r="AB587" s="2862">
        <v>1</v>
      </c>
      <c r="AC587" s="2808">
        <v>4</v>
      </c>
      <c r="AD587" s="3504">
        <v>4</v>
      </c>
      <c r="AE587" s="63">
        <v>0</v>
      </c>
      <c r="AF587" s="27">
        <v>0</v>
      </c>
      <c r="AG587" s="5172">
        <f>125</f>
        <v>125</v>
      </c>
      <c r="AH587" s="5173"/>
      <c r="AI587" s="3511">
        <v>-155</v>
      </c>
      <c r="AJ587" s="54"/>
      <c r="AK587" s="6"/>
      <c r="AL587" s="6"/>
      <c r="AM587" s="6"/>
      <c r="AN587" s="183"/>
      <c r="AO587" s="107"/>
    </row>
    <row r="588" spans="1:41" ht="14.25">
      <c r="A588" s="109"/>
      <c r="B588" s="5832"/>
      <c r="C588" s="2819" t="s">
        <v>521</v>
      </c>
      <c r="D588" s="2820"/>
      <c r="E588" s="2820"/>
      <c r="F588" s="2820">
        <v>33</v>
      </c>
      <c r="G588" s="2820" t="s">
        <v>1611</v>
      </c>
      <c r="H588" s="2820" t="s">
        <v>2004</v>
      </c>
      <c r="I588" s="2820" t="s">
        <v>1655</v>
      </c>
      <c r="J588" s="28" t="s">
        <v>1655</v>
      </c>
      <c r="K588" s="5174">
        <v>2.33</v>
      </c>
      <c r="L588" s="5066">
        <v>0.38</v>
      </c>
      <c r="M588" s="4453">
        <v>5.8</v>
      </c>
      <c r="N588" s="5175">
        <v>0.42</v>
      </c>
      <c r="O588" s="2911">
        <v>-3.47</v>
      </c>
      <c r="P588" s="2890">
        <v>4</v>
      </c>
      <c r="Q588" s="3360">
        <v>0.16</v>
      </c>
      <c r="R588" s="2772">
        <v>0</v>
      </c>
      <c r="S588" s="2911">
        <v>0</v>
      </c>
      <c r="T588" s="2820">
        <v>5</v>
      </c>
      <c r="U588" s="2834">
        <v>0</v>
      </c>
      <c r="V588" s="2880">
        <v>0.6</v>
      </c>
      <c r="W588" s="3488">
        <v>0.2</v>
      </c>
      <c r="X588" s="4694">
        <v>0.6</v>
      </c>
      <c r="Y588" s="2840">
        <v>0</v>
      </c>
      <c r="Z588" s="2774">
        <v>0</v>
      </c>
      <c r="AA588" s="4202">
        <v>3</v>
      </c>
      <c r="AB588" s="2774">
        <v>0</v>
      </c>
      <c r="AC588" s="2840">
        <v>1</v>
      </c>
      <c r="AD588" s="2774">
        <v>0</v>
      </c>
      <c r="AE588" s="2841">
        <v>0</v>
      </c>
      <c r="AF588" s="28">
        <v>0</v>
      </c>
      <c r="AG588" s="5176">
        <v>-145</v>
      </c>
      <c r="AH588" s="5177"/>
      <c r="AI588" s="5178">
        <f>135</f>
        <v>135</v>
      </c>
      <c r="AJ588" s="213"/>
      <c r="AK588" s="5"/>
      <c r="AL588" s="5"/>
      <c r="AM588" s="5"/>
      <c r="AN588" s="213"/>
      <c r="AO588" s="107"/>
    </row>
    <row r="589" spans="1:41" ht="14.25">
      <c r="A589" s="109"/>
      <c r="B589" s="5833">
        <v>11</v>
      </c>
      <c r="C589" s="2732" t="s">
        <v>1503</v>
      </c>
      <c r="D589" s="2733"/>
      <c r="E589" s="2733"/>
      <c r="F589" s="2733">
        <v>31</v>
      </c>
      <c r="G589" s="2733" t="s">
        <v>1582</v>
      </c>
      <c r="H589" s="2733" t="s">
        <v>1595</v>
      </c>
      <c r="I589" s="2733" t="s">
        <v>1899</v>
      </c>
      <c r="J589" s="3142">
        <v>44987</v>
      </c>
      <c r="K589" s="5179">
        <v>4.8499999999999996</v>
      </c>
      <c r="L589" s="4224">
        <v>0.56000000000000005</v>
      </c>
      <c r="M589" s="4178">
        <v>2.61</v>
      </c>
      <c r="N589" s="5058">
        <v>0.46</v>
      </c>
      <c r="O589" s="3700">
        <f>2.24</f>
        <v>2.2400000000000002</v>
      </c>
      <c r="P589" s="2850">
        <v>1.51</v>
      </c>
      <c r="Q589" s="4205">
        <v>0.44</v>
      </c>
      <c r="R589" s="5180">
        <v>0.94</v>
      </c>
      <c r="S589" s="3228">
        <v>0.4</v>
      </c>
      <c r="T589" s="2733">
        <v>19</v>
      </c>
      <c r="U589" s="4615">
        <v>0.57999999999999996</v>
      </c>
      <c r="V589" s="2746">
        <v>0</v>
      </c>
      <c r="W589" s="3878">
        <v>0.16</v>
      </c>
      <c r="X589" s="5181">
        <v>0.57889999999999997</v>
      </c>
      <c r="Y589" s="5182">
        <v>11</v>
      </c>
      <c r="Z589" s="2862">
        <v>1</v>
      </c>
      <c r="AA589" s="2751">
        <v>0</v>
      </c>
      <c r="AB589" s="2862">
        <v>1</v>
      </c>
      <c r="AC589" s="2810">
        <v>3</v>
      </c>
      <c r="AD589" s="3991">
        <v>3</v>
      </c>
      <c r="AE589" s="2754">
        <v>0</v>
      </c>
      <c r="AF589" s="2755">
        <v>0</v>
      </c>
      <c r="AG589" s="5183">
        <f>210</f>
        <v>210</v>
      </c>
      <c r="AH589" s="5184"/>
      <c r="AI589" s="5185">
        <f>230</f>
        <v>230</v>
      </c>
      <c r="AJ589" s="1372"/>
      <c r="AK589" s="640"/>
      <c r="AL589" s="640"/>
      <c r="AM589" s="640"/>
      <c r="AN589" s="119"/>
      <c r="AO589" s="107"/>
    </row>
    <row r="590" spans="1:41" ht="14.25">
      <c r="A590" s="109"/>
      <c r="B590" s="5832"/>
      <c r="C590" s="2762" t="s">
        <v>1504</v>
      </c>
      <c r="D590" s="2763"/>
      <c r="E590" s="2763"/>
      <c r="F590" s="2763">
        <v>27</v>
      </c>
      <c r="G590" s="2763" t="s">
        <v>1575</v>
      </c>
      <c r="H590" s="2763" t="s">
        <v>1595</v>
      </c>
      <c r="I590" s="2763" t="s">
        <v>2000</v>
      </c>
      <c r="J590" s="3163">
        <v>44987</v>
      </c>
      <c r="K590" s="4194">
        <v>5.1100000000000003</v>
      </c>
      <c r="L590" s="3514">
        <v>0.45</v>
      </c>
      <c r="M590" s="3166">
        <v>2.5299999999999998</v>
      </c>
      <c r="N590" s="5186">
        <v>0.64</v>
      </c>
      <c r="O590" s="4530">
        <f>2.58</f>
        <v>2.58</v>
      </c>
      <c r="P590" s="5187">
        <v>1.87</v>
      </c>
      <c r="Q590" s="5044">
        <v>0.37</v>
      </c>
      <c r="R590" s="4436">
        <v>0.42</v>
      </c>
      <c r="S590" s="3411">
        <v>0.6</v>
      </c>
      <c r="T590" s="2763">
        <v>26</v>
      </c>
      <c r="U590" s="3361">
        <v>0.27</v>
      </c>
      <c r="V590" s="4261">
        <v>0.23</v>
      </c>
      <c r="W590" s="5188">
        <v>0.27</v>
      </c>
      <c r="X590" s="5189">
        <v>0.5</v>
      </c>
      <c r="Y590" s="4280">
        <v>7</v>
      </c>
      <c r="Z590" s="2837">
        <v>1</v>
      </c>
      <c r="AA590" s="5190">
        <v>6</v>
      </c>
      <c r="AB590" s="4002">
        <v>2</v>
      </c>
      <c r="AC590" s="2883">
        <v>7</v>
      </c>
      <c r="AD590" s="4002">
        <v>3</v>
      </c>
      <c r="AE590" s="2782">
        <v>0</v>
      </c>
      <c r="AF590" s="2783">
        <v>0</v>
      </c>
      <c r="AG590" s="2789">
        <v>-250</v>
      </c>
      <c r="AH590" s="3470"/>
      <c r="AI590" s="3471">
        <v>-270</v>
      </c>
      <c r="AJ590" s="151"/>
      <c r="AK590" s="657"/>
      <c r="AL590" s="657"/>
      <c r="AM590" s="657"/>
      <c r="AN590" s="151"/>
      <c r="AO590" s="107"/>
    </row>
    <row r="591" spans="1:41" ht="14.25">
      <c r="A591" s="109"/>
      <c r="B591" s="5831">
        <v>12</v>
      </c>
      <c r="C591" s="2792" t="s">
        <v>176</v>
      </c>
      <c r="D591" s="88"/>
      <c r="E591" s="88"/>
      <c r="F591" s="88">
        <v>30</v>
      </c>
      <c r="G591" s="88" t="s">
        <v>1592</v>
      </c>
      <c r="H591" s="88" t="s">
        <v>1606</v>
      </c>
      <c r="I591" s="88" t="s">
        <v>1914</v>
      </c>
      <c r="J591" s="27" t="s">
        <v>1629</v>
      </c>
      <c r="K591" s="5179">
        <v>4.88</v>
      </c>
      <c r="L591" s="3820">
        <v>0.46</v>
      </c>
      <c r="M591" s="5191">
        <v>3.7</v>
      </c>
      <c r="N591" s="2894">
        <v>0.69</v>
      </c>
      <c r="O591" s="3500">
        <f>1.18</f>
        <v>1.18</v>
      </c>
      <c r="P591" s="5192">
        <v>0.4</v>
      </c>
      <c r="Q591" s="5110">
        <v>0.5</v>
      </c>
      <c r="R591" s="5193">
        <v>0.89</v>
      </c>
      <c r="S591" s="2744">
        <v>0</v>
      </c>
      <c r="T591" s="88">
        <v>15</v>
      </c>
      <c r="U591" s="5194">
        <v>0.53</v>
      </c>
      <c r="V591" s="2746">
        <v>0</v>
      </c>
      <c r="W591" s="2901">
        <v>0.47</v>
      </c>
      <c r="X591" s="5195">
        <v>0.5333</v>
      </c>
      <c r="Y591" s="3155">
        <v>8</v>
      </c>
      <c r="Z591" s="2809">
        <v>0</v>
      </c>
      <c r="AA591" s="2751">
        <v>0</v>
      </c>
      <c r="AB591" s="2809">
        <v>0</v>
      </c>
      <c r="AC591" s="3194">
        <v>7</v>
      </c>
      <c r="AD591" s="2809">
        <v>0</v>
      </c>
      <c r="AE591" s="63">
        <v>0</v>
      </c>
      <c r="AF591" s="27">
        <v>0</v>
      </c>
      <c r="AG591" s="5142">
        <v>-300</v>
      </c>
      <c r="AH591" s="5196"/>
      <c r="AI591" s="5197">
        <v>-475</v>
      </c>
      <c r="AJ591" s="54"/>
      <c r="AK591" s="6"/>
      <c r="AL591" s="6"/>
      <c r="AM591" s="6"/>
      <c r="AN591" s="183"/>
      <c r="AO591" s="107"/>
    </row>
    <row r="592" spans="1:41" ht="14.25">
      <c r="A592" s="109"/>
      <c r="B592" s="5832"/>
      <c r="C592" s="2819" t="s">
        <v>172</v>
      </c>
      <c r="D592" s="2820"/>
      <c r="E592" s="2820"/>
      <c r="F592" s="2820">
        <v>36</v>
      </c>
      <c r="G592" s="2820" t="s">
        <v>1653</v>
      </c>
      <c r="H592" s="2820" t="s">
        <v>1886</v>
      </c>
      <c r="I592" s="4254">
        <v>36833</v>
      </c>
      <c r="J592" s="3204">
        <v>45017</v>
      </c>
      <c r="K592" s="2771">
        <v>0</v>
      </c>
      <c r="L592" s="2772">
        <v>0</v>
      </c>
      <c r="M592" s="2890">
        <v>0</v>
      </c>
      <c r="N592" s="2909">
        <v>0</v>
      </c>
      <c r="O592" s="4031">
        <v>0</v>
      </c>
      <c r="P592" s="2771">
        <v>0</v>
      </c>
      <c r="Q592" s="2772">
        <v>0</v>
      </c>
      <c r="R592" s="2772">
        <v>0</v>
      </c>
      <c r="S592" s="2911">
        <v>0</v>
      </c>
      <c r="T592" s="2820">
        <v>14</v>
      </c>
      <c r="U592" s="3275">
        <v>7.0000000000000007E-2</v>
      </c>
      <c r="V592" s="5167">
        <v>0.36</v>
      </c>
      <c r="W592" s="4846">
        <v>0.36</v>
      </c>
      <c r="X592" s="5198">
        <v>0.42859999999999998</v>
      </c>
      <c r="Y592" s="3739">
        <v>1</v>
      </c>
      <c r="Z592" s="2774">
        <v>0</v>
      </c>
      <c r="AA592" s="2779">
        <v>5</v>
      </c>
      <c r="AB592" s="4002">
        <v>2</v>
      </c>
      <c r="AC592" s="3097">
        <v>5</v>
      </c>
      <c r="AD592" s="4500">
        <v>1</v>
      </c>
      <c r="AE592" s="2841">
        <v>0</v>
      </c>
      <c r="AF592" s="28">
        <v>0</v>
      </c>
      <c r="AG592" s="2993">
        <f>250</f>
        <v>250</v>
      </c>
      <c r="AH592" s="5148"/>
      <c r="AI592" s="5149">
        <f>375</f>
        <v>375</v>
      </c>
      <c r="AJ592" s="213"/>
      <c r="AK592" s="5"/>
      <c r="AL592" s="5"/>
      <c r="AM592" s="5"/>
      <c r="AN592" s="213"/>
      <c r="AO592" s="107"/>
    </row>
    <row r="593" spans="1:41" ht="12.75">
      <c r="A593" s="109"/>
      <c r="B593" s="5199"/>
      <c r="C593" s="5200"/>
      <c r="D593" s="5201"/>
      <c r="E593" s="5201"/>
      <c r="F593" s="5201"/>
      <c r="G593" s="5201"/>
      <c r="H593" s="5200"/>
      <c r="I593" s="5201"/>
      <c r="J593" s="5201"/>
      <c r="K593" s="5201"/>
      <c r="L593" s="5200"/>
      <c r="M593" s="5200"/>
      <c r="N593" s="5201"/>
      <c r="O593" s="5201"/>
      <c r="P593" s="5201"/>
      <c r="Q593" s="5200"/>
      <c r="R593" s="5201"/>
      <c r="S593" s="5201"/>
      <c r="T593" s="5201"/>
      <c r="U593" s="5201"/>
      <c r="V593" s="5200"/>
      <c r="W593" s="5202"/>
      <c r="X593" s="5200"/>
      <c r="Y593" s="5202"/>
      <c r="Z593" s="5200"/>
      <c r="AA593" s="5202"/>
      <c r="AB593" s="5200"/>
      <c r="AC593" s="5202"/>
      <c r="AD593" s="5200"/>
      <c r="AE593" s="5201"/>
      <c r="AF593" s="5200"/>
      <c r="AG593" s="109"/>
      <c r="AH593" s="107"/>
      <c r="AI593" s="5201"/>
      <c r="AJ593" s="5201"/>
      <c r="AK593" s="5201"/>
      <c r="AL593" s="107"/>
      <c r="AM593" s="107"/>
    </row>
    <row r="597" spans="1:41" ht="12.75">
      <c r="A597" s="2728">
        <v>20231203</v>
      </c>
      <c r="B597" s="620"/>
      <c r="C597" s="620" t="s">
        <v>2005</v>
      </c>
    </row>
    <row r="598" spans="1:41" ht="30">
      <c r="A598" s="1375" t="s">
        <v>1694</v>
      </c>
      <c r="B598" s="108"/>
      <c r="C598" s="108"/>
      <c r="D598" s="108"/>
      <c r="E598" s="108"/>
      <c r="F598" s="108"/>
      <c r="G598" s="108"/>
      <c r="H598" s="108"/>
      <c r="I598" s="108"/>
      <c r="J598" s="108"/>
      <c r="K598" s="108"/>
      <c r="L598" s="108"/>
      <c r="M598" s="108"/>
      <c r="N598" s="108"/>
      <c r="O598" s="108"/>
      <c r="P598" s="108"/>
      <c r="Q598" s="108"/>
      <c r="R598" s="108"/>
      <c r="S598" s="108"/>
      <c r="T598" s="108"/>
      <c r="U598" s="108"/>
      <c r="V598" s="108"/>
      <c r="W598" s="108"/>
      <c r="X598" s="108"/>
      <c r="Y598" s="108"/>
      <c r="Z598" s="108"/>
      <c r="AA598" s="108"/>
      <c r="AB598" s="108"/>
      <c r="AC598" s="108"/>
      <c r="AD598" s="108"/>
      <c r="AE598" s="108"/>
      <c r="AF598" s="108"/>
      <c r="AG598" s="108"/>
      <c r="AH598" s="108"/>
      <c r="AI598" s="108"/>
      <c r="AJ598" s="108"/>
      <c r="AK598" s="108"/>
      <c r="AL598" s="108"/>
      <c r="AM598" s="108"/>
      <c r="AN598" s="108"/>
      <c r="AO598" s="107"/>
    </row>
    <row r="599" spans="1:41">
      <c r="A599" s="109"/>
      <c r="B599" s="5834" t="s">
        <v>1524</v>
      </c>
      <c r="C599" s="5840" t="s">
        <v>1525</v>
      </c>
      <c r="D599" s="5841" t="s">
        <v>1526</v>
      </c>
      <c r="E599" s="5836"/>
      <c r="F599" s="5836"/>
      <c r="G599" s="5836"/>
      <c r="H599" s="5836"/>
      <c r="I599" s="5836"/>
      <c r="J599" s="5832"/>
      <c r="K599" s="5837" t="s">
        <v>1527</v>
      </c>
      <c r="L599" s="5836"/>
      <c r="M599" s="5836"/>
      <c r="N599" s="5836"/>
      <c r="O599" s="5832"/>
      <c r="P599" s="5838" t="s">
        <v>1528</v>
      </c>
      <c r="Q599" s="5836"/>
      <c r="R599" s="5836"/>
      <c r="S599" s="5832"/>
      <c r="T599" s="5839" t="s">
        <v>1529</v>
      </c>
      <c r="U599" s="5836"/>
      <c r="V599" s="5836"/>
      <c r="W599" s="5836"/>
      <c r="X599" s="5836"/>
      <c r="Y599" s="5836"/>
      <c r="Z599" s="5836"/>
      <c r="AA599" s="5836"/>
      <c r="AB599" s="5836"/>
      <c r="AC599" s="5836"/>
      <c r="AD599" s="5836"/>
      <c r="AE599" s="5836"/>
      <c r="AF599" s="5832"/>
      <c r="AG599" s="5842" t="s">
        <v>1530</v>
      </c>
      <c r="AH599" s="5836"/>
      <c r="AI599" s="5836"/>
      <c r="AJ599" s="5836"/>
      <c r="AK599" s="5836"/>
      <c r="AL599" s="5836"/>
      <c r="AM599" s="5836"/>
      <c r="AN599" s="5832"/>
      <c r="AO599" s="107"/>
    </row>
    <row r="600" spans="1:41" ht="15">
      <c r="A600" s="109"/>
      <c r="B600" s="5832"/>
      <c r="C600" s="5832"/>
      <c r="D600" s="111"/>
      <c r="E600" s="112"/>
      <c r="F600" s="111" t="s">
        <v>1533</v>
      </c>
      <c r="G600" s="111" t="s">
        <v>1534</v>
      </c>
      <c r="H600" s="111" t="s">
        <v>1535</v>
      </c>
      <c r="I600" s="111" t="s">
        <v>1536</v>
      </c>
      <c r="J600" s="111" t="s">
        <v>1537</v>
      </c>
      <c r="K600" s="111" t="s">
        <v>1538</v>
      </c>
      <c r="L600" s="111" t="s">
        <v>1539</v>
      </c>
      <c r="M600" s="111" t="s">
        <v>1540</v>
      </c>
      <c r="N600" s="111" t="s">
        <v>1541</v>
      </c>
      <c r="O600" s="111" t="s">
        <v>1542</v>
      </c>
      <c r="P600" s="111" t="s">
        <v>1543</v>
      </c>
      <c r="Q600" s="111" t="s">
        <v>1544</v>
      </c>
      <c r="R600" s="111" t="s">
        <v>1545</v>
      </c>
      <c r="S600" s="111" t="s">
        <v>1546</v>
      </c>
      <c r="T600" s="111" t="s">
        <v>1547</v>
      </c>
      <c r="U600" s="111" t="s">
        <v>1548</v>
      </c>
      <c r="V600" s="111" t="s">
        <v>1549</v>
      </c>
      <c r="W600" s="111" t="s">
        <v>1550</v>
      </c>
      <c r="X600" s="112" t="s">
        <v>1551</v>
      </c>
      <c r="Y600" s="113" t="s">
        <v>1552</v>
      </c>
      <c r="Z600" s="114" t="s">
        <v>1553</v>
      </c>
      <c r="AA600" s="113" t="s">
        <v>1554</v>
      </c>
      <c r="AB600" s="114" t="s">
        <v>1555</v>
      </c>
      <c r="AC600" s="115" t="s">
        <v>1556</v>
      </c>
      <c r="AD600" s="114" t="s">
        <v>1557</v>
      </c>
      <c r="AE600" s="113" t="s">
        <v>1558</v>
      </c>
      <c r="AF600" s="116" t="s">
        <v>1559</v>
      </c>
      <c r="AG600" s="111" t="s">
        <v>1560</v>
      </c>
      <c r="AH600" s="111"/>
      <c r="AI600" s="112" t="s">
        <v>1561</v>
      </c>
      <c r="AJ600" s="111" t="s">
        <v>1562</v>
      </c>
      <c r="AK600" s="111" t="s">
        <v>1563</v>
      </c>
      <c r="AL600" s="111" t="s">
        <v>1564</v>
      </c>
      <c r="AM600" s="111" t="s">
        <v>1565</v>
      </c>
      <c r="AN600" s="112" t="s">
        <v>1566</v>
      </c>
      <c r="AO600" s="107"/>
    </row>
    <row r="601" spans="1:41" ht="15">
      <c r="A601" s="109"/>
      <c r="B601" s="5833">
        <v>1</v>
      </c>
      <c r="C601" s="2732" t="s">
        <v>909</v>
      </c>
      <c r="D601" s="5203"/>
      <c r="E601" s="5204"/>
      <c r="F601" s="2733">
        <v>34</v>
      </c>
      <c r="G601" s="2733" t="s">
        <v>1575</v>
      </c>
      <c r="H601" s="2733" t="s">
        <v>1616</v>
      </c>
      <c r="I601" s="2733" t="s">
        <v>2006</v>
      </c>
      <c r="J601" s="3142">
        <v>45017</v>
      </c>
      <c r="K601" s="3143">
        <v>3.79</v>
      </c>
      <c r="L601" s="3230">
        <v>0.49</v>
      </c>
      <c r="M601" s="5205">
        <v>2.63</v>
      </c>
      <c r="N601" s="4161">
        <v>0.57999999999999996</v>
      </c>
      <c r="O601" s="4506">
        <f>1.16</f>
        <v>1.1599999999999999</v>
      </c>
      <c r="P601" s="5206">
        <v>1.91</v>
      </c>
      <c r="Q601" s="4041">
        <v>0.34</v>
      </c>
      <c r="R601" s="3300">
        <v>0.8</v>
      </c>
      <c r="S601" s="2799">
        <v>0.9</v>
      </c>
      <c r="T601" s="2733">
        <v>28</v>
      </c>
      <c r="U601" s="4351">
        <v>0.18</v>
      </c>
      <c r="V601" s="4226">
        <v>0.28999999999999998</v>
      </c>
      <c r="W601" s="5207">
        <v>0.32</v>
      </c>
      <c r="X601" s="5208">
        <v>0.46429999999999999</v>
      </c>
      <c r="Y601" s="2808">
        <v>5</v>
      </c>
      <c r="Z601" s="2744">
        <v>4</v>
      </c>
      <c r="AA601" s="4064">
        <v>8</v>
      </c>
      <c r="AB601" s="4633">
        <v>1</v>
      </c>
      <c r="AC601" s="4045">
        <v>9</v>
      </c>
      <c r="AD601" s="2809">
        <v>0</v>
      </c>
      <c r="AE601" s="2754">
        <v>0</v>
      </c>
      <c r="AF601" s="2755">
        <v>0</v>
      </c>
      <c r="AG601" s="5209">
        <f>150</f>
        <v>150</v>
      </c>
      <c r="AH601" s="3479"/>
      <c r="AI601" s="5210">
        <f>250</f>
        <v>250</v>
      </c>
      <c r="AJ601" s="5211">
        <v>-200</v>
      </c>
      <c r="AK601" s="5212">
        <f>400</f>
        <v>400</v>
      </c>
      <c r="AL601" s="4774">
        <f>600</f>
        <v>600</v>
      </c>
      <c r="AM601" s="5213">
        <f>1000</f>
        <v>1000</v>
      </c>
      <c r="AN601" s="5214">
        <f>600</f>
        <v>600</v>
      </c>
      <c r="AO601" s="107"/>
    </row>
    <row r="602" spans="1:41" ht="15">
      <c r="A602" s="109"/>
      <c r="B602" s="5832"/>
      <c r="C602" s="2762" t="s">
        <v>734</v>
      </c>
      <c r="D602" s="5215"/>
      <c r="E602" s="5216"/>
      <c r="F602" s="2763">
        <v>27</v>
      </c>
      <c r="G602" s="2763" t="s">
        <v>1592</v>
      </c>
      <c r="H602" s="2763" t="s">
        <v>1839</v>
      </c>
      <c r="I602" s="2763" t="s">
        <v>1982</v>
      </c>
      <c r="J602" s="3163">
        <v>45017</v>
      </c>
      <c r="K602" s="4292">
        <v>3.82</v>
      </c>
      <c r="L602" s="2984">
        <v>0.48</v>
      </c>
      <c r="M602" s="5217">
        <v>1.91</v>
      </c>
      <c r="N602" s="5218">
        <v>0.54</v>
      </c>
      <c r="O602" s="5219">
        <f>1.91</f>
        <v>1.91</v>
      </c>
      <c r="P602" s="2890">
        <v>3.43</v>
      </c>
      <c r="Q602" s="4119">
        <v>0.36</v>
      </c>
      <c r="R602" s="5220">
        <v>0.75</v>
      </c>
      <c r="S602" s="2911">
        <v>0</v>
      </c>
      <c r="T602" s="2763">
        <v>23</v>
      </c>
      <c r="U602" s="4797">
        <v>0.35</v>
      </c>
      <c r="V602" s="4068">
        <v>0.22</v>
      </c>
      <c r="W602" s="4579">
        <v>0.3</v>
      </c>
      <c r="X602" s="5221">
        <v>0.56520000000000004</v>
      </c>
      <c r="Y602" s="2883">
        <v>8</v>
      </c>
      <c r="Z602" s="2837">
        <v>1</v>
      </c>
      <c r="AA602" s="5161">
        <v>5</v>
      </c>
      <c r="AB602" s="2774">
        <v>0</v>
      </c>
      <c r="AC602" s="5190">
        <v>7</v>
      </c>
      <c r="AD602" s="2837">
        <v>2</v>
      </c>
      <c r="AE602" s="2782">
        <v>0</v>
      </c>
      <c r="AF602" s="2783">
        <v>0</v>
      </c>
      <c r="AG602" s="5222">
        <v>-175</v>
      </c>
      <c r="AH602" s="5223"/>
      <c r="AI602" s="5224">
        <v>-300</v>
      </c>
      <c r="AJ602" s="5225">
        <v>-200</v>
      </c>
      <c r="AK602" s="5226">
        <v>-115</v>
      </c>
      <c r="AL602" s="2890">
        <f>115</f>
        <v>115</v>
      </c>
      <c r="AM602" s="2843">
        <f>1200</f>
        <v>1200</v>
      </c>
      <c r="AN602" s="5227">
        <f>215</f>
        <v>215</v>
      </c>
      <c r="AO602" s="107"/>
    </row>
    <row r="603" spans="1:41" ht="15">
      <c r="A603" s="109"/>
      <c r="B603" s="5831">
        <v>2</v>
      </c>
      <c r="C603" s="2792" t="s">
        <v>740</v>
      </c>
      <c r="D603" s="5228"/>
      <c r="E603" s="5229"/>
      <c r="F603" s="88">
        <v>28</v>
      </c>
      <c r="G603" s="88" t="s">
        <v>1567</v>
      </c>
      <c r="H603" s="88" t="s">
        <v>1924</v>
      </c>
      <c r="I603" s="88" t="s">
        <v>2007</v>
      </c>
      <c r="J603" s="3184">
        <v>44987</v>
      </c>
      <c r="K603" s="5230">
        <v>5.82</v>
      </c>
      <c r="L603" s="3820">
        <v>0.48</v>
      </c>
      <c r="M603" s="4978">
        <v>4.6100000000000003</v>
      </c>
      <c r="N603" s="4243">
        <v>0.41</v>
      </c>
      <c r="O603" s="5231">
        <f>1.21</f>
        <v>1.21</v>
      </c>
      <c r="P603" s="2924">
        <v>0.91</v>
      </c>
      <c r="Q603" s="5232">
        <v>0.55000000000000004</v>
      </c>
      <c r="R603" s="5233">
        <v>0.75</v>
      </c>
      <c r="S603" s="5234">
        <v>1.3</v>
      </c>
      <c r="T603" s="88">
        <v>20</v>
      </c>
      <c r="U603" s="5235">
        <v>0.45</v>
      </c>
      <c r="V603" s="4915">
        <v>0.2</v>
      </c>
      <c r="W603" s="2746">
        <v>0</v>
      </c>
      <c r="X603" s="5236">
        <v>0.65</v>
      </c>
      <c r="Y603" s="2863">
        <v>9</v>
      </c>
      <c r="Z603" s="3007">
        <v>3</v>
      </c>
      <c r="AA603" s="3429">
        <v>4</v>
      </c>
      <c r="AB603" s="2809">
        <v>0</v>
      </c>
      <c r="AC603" s="2751">
        <v>0</v>
      </c>
      <c r="AD603" s="4809">
        <v>4</v>
      </c>
      <c r="AE603" s="63">
        <v>0</v>
      </c>
      <c r="AF603" s="27">
        <v>0</v>
      </c>
      <c r="AG603" s="4290">
        <v>-190</v>
      </c>
      <c r="AH603" s="4512"/>
      <c r="AI603" s="4513">
        <v>-194</v>
      </c>
      <c r="AJ603" s="110">
        <v>-130</v>
      </c>
      <c r="AK603" s="3540">
        <f>140</f>
        <v>140</v>
      </c>
      <c r="AL603" s="4795">
        <f>275</f>
        <v>275</v>
      </c>
      <c r="AM603" s="5237">
        <f>400</f>
        <v>400</v>
      </c>
      <c r="AN603" s="5238">
        <f>200</f>
        <v>200</v>
      </c>
      <c r="AO603" s="107"/>
    </row>
    <row r="604" spans="1:41" ht="15">
      <c r="A604" s="109"/>
      <c r="B604" s="5832"/>
      <c r="C604" s="2819" t="s">
        <v>703</v>
      </c>
      <c r="D604" s="3616"/>
      <c r="E604" s="5239"/>
      <c r="F604" s="2820">
        <v>37</v>
      </c>
      <c r="G604" s="2820" t="s">
        <v>1575</v>
      </c>
      <c r="H604" s="2820" t="s">
        <v>1641</v>
      </c>
      <c r="I604" s="2820" t="s">
        <v>2008</v>
      </c>
      <c r="J604" s="28" t="s">
        <v>1865</v>
      </c>
      <c r="K604" s="2877">
        <v>6.15</v>
      </c>
      <c r="L604" s="4927">
        <v>0.52</v>
      </c>
      <c r="M604" s="3062">
        <v>3.66</v>
      </c>
      <c r="N604" s="5240">
        <v>0.62</v>
      </c>
      <c r="O604" s="5241">
        <f>2.49</f>
        <v>2.4900000000000002</v>
      </c>
      <c r="P604" s="4341">
        <v>1.21</v>
      </c>
      <c r="Q604" s="4905">
        <v>0.37</v>
      </c>
      <c r="R604" s="5242">
        <v>0.74</v>
      </c>
      <c r="S604" s="4258">
        <v>0.3</v>
      </c>
      <c r="T604" s="2820">
        <v>45</v>
      </c>
      <c r="U604" s="4199">
        <v>0.24</v>
      </c>
      <c r="V604" s="3467">
        <v>0.2</v>
      </c>
      <c r="W604" s="4068">
        <v>0.24</v>
      </c>
      <c r="X604" s="5243">
        <v>0.44440000000000002</v>
      </c>
      <c r="Y604" s="3278">
        <v>11</v>
      </c>
      <c r="Z604" s="2911">
        <v>4</v>
      </c>
      <c r="AA604" s="5244">
        <v>9</v>
      </c>
      <c r="AB604" s="4718">
        <v>2</v>
      </c>
      <c r="AC604" s="5245">
        <v>11</v>
      </c>
      <c r="AD604" s="5246">
        <v>8</v>
      </c>
      <c r="AE604" s="2841">
        <v>0</v>
      </c>
      <c r="AF604" s="28">
        <v>0</v>
      </c>
      <c r="AG604" s="4267">
        <f>165</f>
        <v>165</v>
      </c>
      <c r="AH604" s="4087"/>
      <c r="AI604" s="5247">
        <f>169</f>
        <v>169</v>
      </c>
      <c r="AJ604" s="112">
        <v>-130</v>
      </c>
      <c r="AK604" s="5248">
        <f>375</f>
        <v>375</v>
      </c>
      <c r="AL604" s="5249">
        <f>465</f>
        <v>465</v>
      </c>
      <c r="AM604" s="5250">
        <f>1300</f>
        <v>1300</v>
      </c>
      <c r="AN604" s="5251">
        <f>425</f>
        <v>425</v>
      </c>
      <c r="AO604" s="107"/>
    </row>
    <row r="605" spans="1:41" ht="15">
      <c r="A605" s="109"/>
      <c r="B605" s="5833">
        <v>3</v>
      </c>
      <c r="C605" s="2732" t="s">
        <v>206</v>
      </c>
      <c r="D605" s="3637"/>
      <c r="E605" s="5252"/>
      <c r="F605" s="2733">
        <v>36</v>
      </c>
      <c r="G605" s="2733" t="s">
        <v>1630</v>
      </c>
      <c r="H605" s="2733" t="s">
        <v>1858</v>
      </c>
      <c r="I605" s="2733" t="s">
        <v>2009</v>
      </c>
      <c r="J605" s="3142">
        <v>44960</v>
      </c>
      <c r="K605" s="5253">
        <v>5.71</v>
      </c>
      <c r="L605" s="5254">
        <v>0.45</v>
      </c>
      <c r="M605" s="3848">
        <v>3.7</v>
      </c>
      <c r="N605" s="5255">
        <v>0.56999999999999995</v>
      </c>
      <c r="O605" s="5256">
        <f>2.01</f>
        <v>2.0099999999999998</v>
      </c>
      <c r="P605" s="5257">
        <v>0.96</v>
      </c>
      <c r="Q605" s="4914">
        <v>0.37</v>
      </c>
      <c r="R605" s="5258">
        <v>0.46</v>
      </c>
      <c r="S605" s="5032">
        <v>0.4</v>
      </c>
      <c r="T605" s="2733">
        <v>27</v>
      </c>
      <c r="U605" s="3733">
        <v>0.33</v>
      </c>
      <c r="V605" s="3501">
        <v>0.15</v>
      </c>
      <c r="W605" s="3666">
        <v>0.26</v>
      </c>
      <c r="X605" s="5259">
        <v>0.48149999999999998</v>
      </c>
      <c r="Y605" s="2863">
        <v>9</v>
      </c>
      <c r="Z605" s="2809">
        <v>0</v>
      </c>
      <c r="AA605" s="3429">
        <v>4</v>
      </c>
      <c r="AB605" s="4633">
        <v>1</v>
      </c>
      <c r="AC605" s="3882">
        <v>7</v>
      </c>
      <c r="AD605" s="5260">
        <v>6</v>
      </c>
      <c r="AE605" s="2754">
        <v>0</v>
      </c>
      <c r="AF605" s="2755">
        <v>0</v>
      </c>
      <c r="AG605" s="4393">
        <v>-170</v>
      </c>
      <c r="AH605" s="5261"/>
      <c r="AI605" s="5262">
        <v>-141</v>
      </c>
      <c r="AJ605" s="5263">
        <v>-125</v>
      </c>
      <c r="AK605" s="88">
        <f>265</f>
        <v>265</v>
      </c>
      <c r="AL605" s="2761">
        <f>300</f>
        <v>300</v>
      </c>
      <c r="AM605" s="2865">
        <f>1600</f>
        <v>1600</v>
      </c>
      <c r="AN605" s="5264">
        <f>160</f>
        <v>160</v>
      </c>
      <c r="AO605" s="107"/>
    </row>
    <row r="606" spans="1:41" ht="15">
      <c r="A606" s="109"/>
      <c r="B606" s="5832"/>
      <c r="C606" s="2762" t="s">
        <v>99</v>
      </c>
      <c r="D606" s="3650"/>
      <c r="E606" s="5265"/>
      <c r="F606" s="2763">
        <v>35</v>
      </c>
      <c r="G606" s="2763" t="s">
        <v>1623</v>
      </c>
      <c r="H606" s="2763" t="s">
        <v>1631</v>
      </c>
      <c r="I606" s="2763" t="s">
        <v>2010</v>
      </c>
      <c r="J606" s="5266">
        <v>36924</v>
      </c>
      <c r="K606" s="5267">
        <v>3.09</v>
      </c>
      <c r="L606" s="5268">
        <v>0.55000000000000004</v>
      </c>
      <c r="M606" s="5269">
        <v>3.5</v>
      </c>
      <c r="N606" s="4966">
        <v>0.51</v>
      </c>
      <c r="O606" s="5067">
        <v>-0.41</v>
      </c>
      <c r="P606" s="5270">
        <v>1.44</v>
      </c>
      <c r="Q606" s="3588">
        <v>0.42</v>
      </c>
      <c r="R606" s="3437">
        <v>0.56999999999999995</v>
      </c>
      <c r="S606" s="5271">
        <v>1.8</v>
      </c>
      <c r="T606" s="2763">
        <v>25</v>
      </c>
      <c r="U606" s="4262">
        <v>0.36</v>
      </c>
      <c r="V606" s="5272">
        <v>0.32</v>
      </c>
      <c r="W606" s="2914">
        <v>0.16</v>
      </c>
      <c r="X606" s="5273">
        <v>0.68</v>
      </c>
      <c r="Y606" s="3341">
        <v>9</v>
      </c>
      <c r="Z606" s="2837">
        <v>1</v>
      </c>
      <c r="AA606" s="5274">
        <v>8</v>
      </c>
      <c r="AB606" s="4609">
        <v>1</v>
      </c>
      <c r="AC606" s="3915">
        <v>4</v>
      </c>
      <c r="AD606" s="4500">
        <v>1</v>
      </c>
      <c r="AE606" s="2782">
        <v>0</v>
      </c>
      <c r="AF606" s="2783">
        <v>0</v>
      </c>
      <c r="AG606" s="5275">
        <f>145</f>
        <v>145</v>
      </c>
      <c r="AH606" s="4567"/>
      <c r="AI606" s="4568">
        <f>121</f>
        <v>121</v>
      </c>
      <c r="AJ606" s="5276">
        <v>-125</v>
      </c>
      <c r="AK606" s="5277">
        <f>235</f>
        <v>235</v>
      </c>
      <c r="AL606" s="5278">
        <f>600</f>
        <v>600</v>
      </c>
      <c r="AM606" s="4111">
        <f>500</f>
        <v>500</v>
      </c>
      <c r="AN606" s="5279">
        <f>325</f>
        <v>325</v>
      </c>
      <c r="AO606" s="107"/>
    </row>
    <row r="607" spans="1:41" ht="15">
      <c r="A607" s="109"/>
      <c r="B607" s="5831">
        <v>4</v>
      </c>
      <c r="C607" s="2792" t="s">
        <v>1191</v>
      </c>
      <c r="D607" s="3494"/>
      <c r="E607" s="5280"/>
      <c r="F607" s="88">
        <v>31</v>
      </c>
      <c r="G607" s="88" t="s">
        <v>1575</v>
      </c>
      <c r="H607" s="88" t="s">
        <v>1839</v>
      </c>
      <c r="I607" s="88" t="s">
        <v>2011</v>
      </c>
      <c r="J607" s="3184">
        <v>45017</v>
      </c>
      <c r="K607" s="2964">
        <v>4.17</v>
      </c>
      <c r="L607" s="3987">
        <v>0.53</v>
      </c>
      <c r="M607" s="3368">
        <v>3.86</v>
      </c>
      <c r="N607" s="5281">
        <v>0.62</v>
      </c>
      <c r="O607" s="3641">
        <f>0.31</f>
        <v>0.31</v>
      </c>
      <c r="P607" s="5282">
        <v>2.8</v>
      </c>
      <c r="Q607" s="5283">
        <v>0.5</v>
      </c>
      <c r="R607" s="5284">
        <v>0.87</v>
      </c>
      <c r="S607" s="3051">
        <v>0.8</v>
      </c>
      <c r="T607" s="88">
        <v>16</v>
      </c>
      <c r="U607" s="3668">
        <v>0.19</v>
      </c>
      <c r="V607" s="5285">
        <v>0.25</v>
      </c>
      <c r="W607" s="2901">
        <v>0.5</v>
      </c>
      <c r="X607" s="5286">
        <v>0.4375</v>
      </c>
      <c r="Y607" s="3609">
        <v>3</v>
      </c>
      <c r="Z607" s="2862">
        <v>1</v>
      </c>
      <c r="AA607" s="3429">
        <v>4</v>
      </c>
      <c r="AB607" s="2809">
        <v>0</v>
      </c>
      <c r="AC607" s="4064">
        <v>8</v>
      </c>
      <c r="AD607" s="2809">
        <v>0</v>
      </c>
      <c r="AE607" s="63">
        <v>0</v>
      </c>
      <c r="AF607" s="27">
        <v>0</v>
      </c>
      <c r="AG607" s="3708">
        <v>-120</v>
      </c>
      <c r="AH607" s="4772"/>
      <c r="AI607" s="4773">
        <v>-120</v>
      </c>
      <c r="AJ607" s="110">
        <v>-130</v>
      </c>
      <c r="AK607" s="4491">
        <f>185</f>
        <v>185</v>
      </c>
      <c r="AL607" s="3831">
        <f>1000</f>
        <v>1000</v>
      </c>
      <c r="AM607" s="4771">
        <f>250</f>
        <v>250</v>
      </c>
      <c r="AN607" s="5238">
        <f>200</f>
        <v>200</v>
      </c>
      <c r="AO607" s="107"/>
    </row>
    <row r="608" spans="1:41" ht="15">
      <c r="A608" s="109"/>
      <c r="B608" s="5832"/>
      <c r="C608" s="2819" t="s">
        <v>1192</v>
      </c>
      <c r="D608" s="3512"/>
      <c r="E608" s="5287"/>
      <c r="F608" s="2820">
        <v>32</v>
      </c>
      <c r="G608" s="2820" t="s">
        <v>1588</v>
      </c>
      <c r="H608" s="2820" t="s">
        <v>1858</v>
      </c>
      <c r="I608" s="2820" t="s">
        <v>2012</v>
      </c>
      <c r="J608" s="3204">
        <v>44960</v>
      </c>
      <c r="K608" s="3295">
        <v>3.63</v>
      </c>
      <c r="L608" s="5288">
        <v>0.41</v>
      </c>
      <c r="M608" s="3618">
        <v>3.31</v>
      </c>
      <c r="N608" s="5289">
        <v>0.57999999999999996</v>
      </c>
      <c r="O608" s="2837">
        <f>0.32</f>
        <v>0.32</v>
      </c>
      <c r="P608" s="5290">
        <v>1</v>
      </c>
      <c r="Q608" s="3622">
        <v>0.3</v>
      </c>
      <c r="R608" s="4845">
        <v>0.62</v>
      </c>
      <c r="S608" s="4340">
        <v>0.1</v>
      </c>
      <c r="T608" s="2820">
        <v>25</v>
      </c>
      <c r="U608" s="3556">
        <v>0.2</v>
      </c>
      <c r="V608" s="3467">
        <v>0.2</v>
      </c>
      <c r="W608" s="3787">
        <v>0.28000000000000003</v>
      </c>
      <c r="X608" s="5291">
        <v>0.4</v>
      </c>
      <c r="Y608" s="2780">
        <v>5</v>
      </c>
      <c r="Z608" s="2774">
        <v>0</v>
      </c>
      <c r="AA608" s="5161">
        <v>5</v>
      </c>
      <c r="AB608" s="4718">
        <v>2</v>
      </c>
      <c r="AC608" s="5190">
        <v>7</v>
      </c>
      <c r="AD608" s="5292">
        <v>6</v>
      </c>
      <c r="AE608" s="2841">
        <v>0</v>
      </c>
      <c r="AF608" s="28">
        <v>0</v>
      </c>
      <c r="AG608" s="5056">
        <f>100</f>
        <v>100</v>
      </c>
      <c r="AH608" s="3629"/>
      <c r="AI608" s="5293">
        <f>100</f>
        <v>100</v>
      </c>
      <c r="AJ608" s="112">
        <v>-130</v>
      </c>
      <c r="AK608" s="2820">
        <f>265</f>
        <v>265</v>
      </c>
      <c r="AL608" s="5294">
        <f>285</f>
        <v>285</v>
      </c>
      <c r="AM608" s="2771">
        <f>2000</f>
        <v>2000</v>
      </c>
      <c r="AN608" s="5295">
        <f>350</f>
        <v>350</v>
      </c>
      <c r="AO608" s="107"/>
    </row>
    <row r="609" spans="1:41" ht="15">
      <c r="A609" s="109"/>
      <c r="B609" s="5833">
        <v>5</v>
      </c>
      <c r="C609" s="2732" t="s">
        <v>914</v>
      </c>
      <c r="D609" s="5296"/>
      <c r="E609" s="5297"/>
      <c r="F609" s="2733">
        <v>31</v>
      </c>
      <c r="G609" s="2733" t="s">
        <v>1605</v>
      </c>
      <c r="H609" s="2733" t="s">
        <v>1839</v>
      </c>
      <c r="I609" s="4128">
        <v>36772</v>
      </c>
      <c r="J609" s="3142">
        <v>44960</v>
      </c>
      <c r="K609" s="3877">
        <v>4.04</v>
      </c>
      <c r="L609" s="5254">
        <v>0.45</v>
      </c>
      <c r="M609" s="4269">
        <v>4.22</v>
      </c>
      <c r="N609" s="5298">
        <v>0.48</v>
      </c>
      <c r="O609" s="5299">
        <v>-0.18</v>
      </c>
      <c r="P609" s="2924">
        <v>0.9</v>
      </c>
      <c r="Q609" s="5300">
        <v>0.4</v>
      </c>
      <c r="R609" s="5301">
        <v>0.3</v>
      </c>
      <c r="S609" s="2744">
        <v>0</v>
      </c>
      <c r="T609" s="2733">
        <v>12</v>
      </c>
      <c r="U609" s="5302">
        <v>0.5</v>
      </c>
      <c r="V609" s="4678">
        <v>0.17</v>
      </c>
      <c r="W609" s="4629">
        <v>0.08</v>
      </c>
      <c r="X609" s="5303">
        <v>0.66669999999999996</v>
      </c>
      <c r="Y609" s="3155">
        <v>6</v>
      </c>
      <c r="Z609" s="2862">
        <v>1</v>
      </c>
      <c r="AA609" s="5304">
        <v>2</v>
      </c>
      <c r="AB609" s="2809">
        <v>0</v>
      </c>
      <c r="AC609" s="5305">
        <v>1</v>
      </c>
      <c r="AD609" s="2862">
        <v>2</v>
      </c>
      <c r="AE609" s="2754">
        <v>0</v>
      </c>
      <c r="AF609" s="2755">
        <v>0</v>
      </c>
      <c r="AG609" s="2905">
        <v>-325</v>
      </c>
      <c r="AH609" s="2817"/>
      <c r="AI609" s="5306">
        <v>-310</v>
      </c>
      <c r="AJ609" s="5211">
        <v>-200</v>
      </c>
      <c r="AK609" s="5307">
        <v>-125</v>
      </c>
      <c r="AL609" s="5308">
        <f>130</f>
        <v>130</v>
      </c>
      <c r="AM609" s="3579">
        <f>600</f>
        <v>600</v>
      </c>
      <c r="AN609" s="5309">
        <f>300</f>
        <v>300</v>
      </c>
      <c r="AO609" s="107"/>
    </row>
    <row r="610" spans="1:41" ht="15">
      <c r="A610" s="109"/>
      <c r="B610" s="5832"/>
      <c r="C610" s="2762" t="s">
        <v>915</v>
      </c>
      <c r="D610" s="5310"/>
      <c r="E610" s="5311"/>
      <c r="F610" s="2763">
        <v>32</v>
      </c>
      <c r="G610" s="2763" t="s">
        <v>1582</v>
      </c>
      <c r="H610" s="2763" t="s">
        <v>1622</v>
      </c>
      <c r="I610" s="2763" t="s">
        <v>1899</v>
      </c>
      <c r="J610" s="3163">
        <v>44930</v>
      </c>
      <c r="K610" s="3408">
        <v>2.96</v>
      </c>
      <c r="L610" s="5288">
        <v>0.41</v>
      </c>
      <c r="M610" s="5312">
        <v>3.28</v>
      </c>
      <c r="N610" s="3167">
        <v>0.46</v>
      </c>
      <c r="O610" s="5313">
        <v>-0.32</v>
      </c>
      <c r="P610" s="4618">
        <v>1.76</v>
      </c>
      <c r="Q610" s="2945">
        <v>0.35</v>
      </c>
      <c r="R610" s="4603">
        <v>0.46</v>
      </c>
      <c r="S610" s="2837">
        <v>0.5</v>
      </c>
      <c r="T610" s="2763">
        <v>19</v>
      </c>
      <c r="U610" s="5314">
        <v>0.11</v>
      </c>
      <c r="V610" s="5188">
        <v>0.26</v>
      </c>
      <c r="W610" s="5315">
        <v>0.32</v>
      </c>
      <c r="X610" s="4376">
        <v>0.36840000000000001</v>
      </c>
      <c r="Y610" s="4345">
        <v>2</v>
      </c>
      <c r="Z610" s="2837">
        <v>1</v>
      </c>
      <c r="AA610" s="5161">
        <v>5</v>
      </c>
      <c r="AB610" s="4718">
        <v>2</v>
      </c>
      <c r="AC610" s="2779">
        <v>6</v>
      </c>
      <c r="AD610" s="2837">
        <v>2</v>
      </c>
      <c r="AE610" s="3278">
        <v>1</v>
      </c>
      <c r="AF610" s="2783">
        <v>0</v>
      </c>
      <c r="AG610" s="2771">
        <f>275</f>
        <v>275</v>
      </c>
      <c r="AH610" s="5316"/>
      <c r="AI610" s="5317">
        <f>260</f>
        <v>260</v>
      </c>
      <c r="AJ610" s="5225">
        <v>-200</v>
      </c>
      <c r="AK610" s="4501">
        <f t="shared" ref="AK610:AK611" si="38">450</f>
        <v>450</v>
      </c>
      <c r="AL610" s="3013">
        <f>1100</f>
        <v>1100</v>
      </c>
      <c r="AM610" s="5318">
        <f>650</f>
        <v>650</v>
      </c>
      <c r="AN610" s="5319">
        <f>400</f>
        <v>400</v>
      </c>
      <c r="AO610" s="107"/>
    </row>
    <row r="611" spans="1:41" ht="15">
      <c r="A611" s="109"/>
      <c r="B611" s="5831">
        <v>6</v>
      </c>
      <c r="C611" s="2792" t="s">
        <v>1066</v>
      </c>
      <c r="D611" s="3565"/>
      <c r="E611" s="5320"/>
      <c r="F611" s="88">
        <v>41</v>
      </c>
      <c r="G611" s="88" t="s">
        <v>1592</v>
      </c>
      <c r="H611" s="88" t="s">
        <v>1618</v>
      </c>
      <c r="I611" s="88" t="s">
        <v>2013</v>
      </c>
      <c r="J611" s="3184">
        <v>44960</v>
      </c>
      <c r="K611" s="4806">
        <v>2.63</v>
      </c>
      <c r="L611" s="2742">
        <v>0.33</v>
      </c>
      <c r="M611" s="5073">
        <v>3.04</v>
      </c>
      <c r="N611" s="5321">
        <v>0.61</v>
      </c>
      <c r="O611" s="2963">
        <v>-0.41</v>
      </c>
      <c r="P611" s="5322">
        <v>3.16</v>
      </c>
      <c r="Q611" s="2960">
        <v>0.36</v>
      </c>
      <c r="R611" s="4538">
        <v>0.69</v>
      </c>
      <c r="S611" s="3533">
        <v>0.6</v>
      </c>
      <c r="T611" s="88">
        <v>59</v>
      </c>
      <c r="U611" s="5323">
        <v>0.08</v>
      </c>
      <c r="V611" s="3152">
        <v>0.27</v>
      </c>
      <c r="W611" s="5324">
        <v>0.27</v>
      </c>
      <c r="X611" s="3459">
        <v>0.35589999999999999</v>
      </c>
      <c r="Y611" s="2808">
        <v>5</v>
      </c>
      <c r="Z611" s="2750">
        <v>2</v>
      </c>
      <c r="AA611" s="2864">
        <v>16</v>
      </c>
      <c r="AB611" s="2744">
        <v>11</v>
      </c>
      <c r="AC611" s="2864">
        <v>16</v>
      </c>
      <c r="AD611" s="2744">
        <v>9</v>
      </c>
      <c r="AE611" s="63">
        <v>0</v>
      </c>
      <c r="AF611" s="27">
        <v>0</v>
      </c>
      <c r="AG611" s="5325">
        <f>190</f>
        <v>190</v>
      </c>
      <c r="AH611" s="3479"/>
      <c r="AI611" s="5210">
        <f>250</f>
        <v>250</v>
      </c>
      <c r="AJ611" s="5326">
        <v>-170</v>
      </c>
      <c r="AK611" s="3431">
        <f t="shared" si="38"/>
        <v>450</v>
      </c>
      <c r="AL611" s="4774">
        <f>600</f>
        <v>600</v>
      </c>
      <c r="AM611" s="2865">
        <f>1600</f>
        <v>1600</v>
      </c>
      <c r="AN611" s="4856">
        <f>550</f>
        <v>550</v>
      </c>
      <c r="AO611" s="107"/>
    </row>
    <row r="612" spans="1:41" ht="15">
      <c r="A612" s="109"/>
      <c r="B612" s="5832"/>
      <c r="C612" s="2819" t="s">
        <v>791</v>
      </c>
      <c r="D612" s="3582"/>
      <c r="E612" s="5327"/>
      <c r="F612" s="2820">
        <v>34</v>
      </c>
      <c r="G612" s="2820" t="s">
        <v>1630</v>
      </c>
      <c r="H612" s="2820" t="s">
        <v>1606</v>
      </c>
      <c r="I612" s="4254">
        <v>36864</v>
      </c>
      <c r="J612" s="3204">
        <v>44960</v>
      </c>
      <c r="K612" s="4231">
        <v>3.71</v>
      </c>
      <c r="L612" s="3360">
        <v>0.4</v>
      </c>
      <c r="M612" s="3757">
        <v>4.79</v>
      </c>
      <c r="N612" s="5328">
        <v>0.52</v>
      </c>
      <c r="O612" s="5329">
        <v>-1.08</v>
      </c>
      <c r="P612" s="5330">
        <v>0.17</v>
      </c>
      <c r="Q612" s="4373">
        <v>0.5</v>
      </c>
      <c r="R612" s="3211">
        <v>0.57999999999999996</v>
      </c>
      <c r="S612" s="2837">
        <v>0.5</v>
      </c>
      <c r="T612" s="2820">
        <v>16</v>
      </c>
      <c r="U612" s="4107">
        <v>0.44</v>
      </c>
      <c r="V612" s="5331">
        <v>0.19</v>
      </c>
      <c r="W612" s="3590">
        <v>0.13</v>
      </c>
      <c r="X612" s="5332">
        <v>0.625</v>
      </c>
      <c r="Y612" s="2838">
        <v>7</v>
      </c>
      <c r="Z612" s="3178">
        <v>3</v>
      </c>
      <c r="AA612" s="2836">
        <v>3</v>
      </c>
      <c r="AB612" s="2774">
        <v>0</v>
      </c>
      <c r="AC612" s="3342">
        <v>2</v>
      </c>
      <c r="AD612" s="4500">
        <v>1</v>
      </c>
      <c r="AE612" s="2841">
        <v>0</v>
      </c>
      <c r="AF612" s="28">
        <v>0</v>
      </c>
      <c r="AG612" s="3470">
        <v>-225</v>
      </c>
      <c r="AH612" s="5223"/>
      <c r="AI612" s="5224">
        <v>-300</v>
      </c>
      <c r="AJ612" s="5333">
        <v>-170</v>
      </c>
      <c r="AK612" s="5334">
        <v>-110</v>
      </c>
      <c r="AL612" s="3939">
        <f>225</f>
        <v>225</v>
      </c>
      <c r="AM612" s="3491">
        <f>300</f>
        <v>300</v>
      </c>
      <c r="AN612" s="5335">
        <f>205</f>
        <v>205</v>
      </c>
      <c r="AO612" s="107"/>
    </row>
    <row r="613" spans="1:41" ht="15">
      <c r="A613" s="109"/>
      <c r="B613" s="5833">
        <v>7</v>
      </c>
      <c r="C613" s="2732" t="s">
        <v>1309</v>
      </c>
      <c r="D613" s="3769"/>
      <c r="E613" s="5336"/>
      <c r="F613" s="2733">
        <v>37</v>
      </c>
      <c r="G613" s="2733" t="s">
        <v>1653</v>
      </c>
      <c r="H613" s="2733" t="s">
        <v>1933</v>
      </c>
      <c r="I613" s="2733" t="s">
        <v>2014</v>
      </c>
      <c r="J613" s="3142">
        <v>44930</v>
      </c>
      <c r="K613" s="5337">
        <v>2.61</v>
      </c>
      <c r="L613" s="3052">
        <v>0.44</v>
      </c>
      <c r="M613" s="5338">
        <v>3.1</v>
      </c>
      <c r="N613" s="4828">
        <v>0.51</v>
      </c>
      <c r="O613" s="5339">
        <v>-0.49</v>
      </c>
      <c r="P613" s="5340">
        <v>1.88</v>
      </c>
      <c r="Q613" s="3456">
        <v>0.28999999999999998</v>
      </c>
      <c r="R613" s="3015">
        <v>0.55000000000000004</v>
      </c>
      <c r="S613" s="5234">
        <v>1.3</v>
      </c>
      <c r="T613" s="2733">
        <v>28</v>
      </c>
      <c r="U613" s="5341">
        <v>0.14000000000000001</v>
      </c>
      <c r="V613" s="5285">
        <v>0.25</v>
      </c>
      <c r="W613" s="4318">
        <v>0.28999999999999998</v>
      </c>
      <c r="X613" s="5342">
        <v>0.39290000000000003</v>
      </c>
      <c r="Y613" s="4250">
        <v>4</v>
      </c>
      <c r="Z613" s="2750">
        <v>2</v>
      </c>
      <c r="AA613" s="3882">
        <v>7</v>
      </c>
      <c r="AB613" s="4669">
        <v>3</v>
      </c>
      <c r="AC613" s="4064">
        <v>8</v>
      </c>
      <c r="AD613" s="4809">
        <v>4</v>
      </c>
      <c r="AE613" s="2754">
        <v>0</v>
      </c>
      <c r="AF613" s="2755">
        <v>0</v>
      </c>
      <c r="AG613" s="3023">
        <f>210</f>
        <v>210</v>
      </c>
      <c r="AH613" s="3575"/>
      <c r="AI613" s="5343">
        <f>128</f>
        <v>128</v>
      </c>
      <c r="AJ613" s="4747">
        <f t="shared" ref="AJ613:AJ614" si="39">180</f>
        <v>180</v>
      </c>
      <c r="AK613" s="2741">
        <f>600</f>
        <v>600</v>
      </c>
      <c r="AL613" s="5344">
        <f>1600</f>
        <v>1600</v>
      </c>
      <c r="AM613" s="5345">
        <f>750</f>
        <v>750</v>
      </c>
      <c r="AN613" s="5346">
        <f>190</f>
        <v>190</v>
      </c>
      <c r="AO613" s="107"/>
    </row>
    <row r="614" spans="1:41" ht="15">
      <c r="A614" s="109"/>
      <c r="B614" s="5832"/>
      <c r="C614" s="2762" t="s">
        <v>1310</v>
      </c>
      <c r="D614" s="3783"/>
      <c r="E614" s="5347"/>
      <c r="F614" s="2763">
        <v>35</v>
      </c>
      <c r="G614" s="2763" t="s">
        <v>1592</v>
      </c>
      <c r="H614" s="2763" t="s">
        <v>1606</v>
      </c>
      <c r="I614" s="4312">
        <v>36771</v>
      </c>
      <c r="J614" s="3163">
        <v>45017</v>
      </c>
      <c r="K614" s="4780">
        <v>3.18</v>
      </c>
      <c r="L614" s="3123">
        <v>0.44</v>
      </c>
      <c r="M614" s="3863">
        <v>2.86</v>
      </c>
      <c r="N614" s="5348">
        <v>0.55000000000000004</v>
      </c>
      <c r="O614" s="2837">
        <f>0.32</f>
        <v>0.32</v>
      </c>
      <c r="P614" s="5349">
        <v>0.67</v>
      </c>
      <c r="Q614" s="4815">
        <v>0.33</v>
      </c>
      <c r="R614" s="4196">
        <v>0.61</v>
      </c>
      <c r="S614" s="4258">
        <v>0.3</v>
      </c>
      <c r="T614" s="2763">
        <v>11</v>
      </c>
      <c r="U614" s="4262">
        <v>0.36</v>
      </c>
      <c r="V614" s="4214">
        <v>0.18</v>
      </c>
      <c r="W614" s="5046">
        <v>0.27</v>
      </c>
      <c r="X614" s="5104">
        <v>0.54549999999999998</v>
      </c>
      <c r="Y614" s="4156">
        <v>4</v>
      </c>
      <c r="Z614" s="2837">
        <v>1</v>
      </c>
      <c r="AA614" s="3342">
        <v>2</v>
      </c>
      <c r="AB614" s="2774">
        <v>0</v>
      </c>
      <c r="AC614" s="2836">
        <v>3</v>
      </c>
      <c r="AD614" s="4500">
        <v>1</v>
      </c>
      <c r="AE614" s="2782">
        <v>0</v>
      </c>
      <c r="AF614" s="2783">
        <v>0</v>
      </c>
      <c r="AG614" s="5350">
        <v>-250</v>
      </c>
      <c r="AH614" s="4111"/>
      <c r="AI614" s="4112">
        <v>-148</v>
      </c>
      <c r="AJ614" s="4763">
        <f t="shared" si="39"/>
        <v>180</v>
      </c>
      <c r="AK614" s="5318">
        <f>240</f>
        <v>240</v>
      </c>
      <c r="AL614" s="2820">
        <f>475</f>
        <v>475</v>
      </c>
      <c r="AM614" s="5278">
        <f>800</f>
        <v>800</v>
      </c>
      <c r="AN614" s="2774">
        <f>130</f>
        <v>130</v>
      </c>
      <c r="AO614" s="107"/>
    </row>
    <row r="615" spans="1:41" ht="15">
      <c r="A615" s="109"/>
      <c r="B615" s="5831">
        <v>8</v>
      </c>
      <c r="C615" s="2792" t="s">
        <v>1069</v>
      </c>
      <c r="D615" s="3794"/>
      <c r="E615" s="5351"/>
      <c r="F615" s="88">
        <v>29</v>
      </c>
      <c r="G615" s="88" t="s">
        <v>1585</v>
      </c>
      <c r="H615" s="88" t="s">
        <v>1586</v>
      </c>
      <c r="I615" s="88" t="s">
        <v>2015</v>
      </c>
      <c r="J615" s="27" t="s">
        <v>1629</v>
      </c>
      <c r="K615" s="2905">
        <v>6.49</v>
      </c>
      <c r="L615" s="5352">
        <v>0.61</v>
      </c>
      <c r="M615" s="2741">
        <v>8.92</v>
      </c>
      <c r="N615" s="3900">
        <v>0.31</v>
      </c>
      <c r="O615" s="2744">
        <v>-2.4300000000000002</v>
      </c>
      <c r="P615" s="2741">
        <v>0</v>
      </c>
      <c r="Q615" s="2742">
        <v>0</v>
      </c>
      <c r="R615" s="2742">
        <v>0</v>
      </c>
      <c r="S615" s="2809">
        <v>12.2</v>
      </c>
      <c r="T615" s="88">
        <v>6</v>
      </c>
      <c r="U615" s="2901">
        <v>0.67</v>
      </c>
      <c r="V615" s="4630">
        <v>0.33</v>
      </c>
      <c r="W615" s="2746">
        <v>0</v>
      </c>
      <c r="X615" s="3777">
        <v>1</v>
      </c>
      <c r="Y615" s="4250">
        <v>4</v>
      </c>
      <c r="Z615" s="2809">
        <v>0</v>
      </c>
      <c r="AA615" s="5304">
        <v>2</v>
      </c>
      <c r="AB615" s="2809">
        <v>0</v>
      </c>
      <c r="AC615" s="2751">
        <v>0</v>
      </c>
      <c r="AD615" s="2809">
        <v>0</v>
      </c>
      <c r="AE615" s="63">
        <v>0</v>
      </c>
      <c r="AF615" s="27">
        <v>0</v>
      </c>
      <c r="AG615" s="4835">
        <f>135</f>
        <v>135</v>
      </c>
      <c r="AH615" s="5353"/>
      <c r="AI615" s="5354">
        <v>-230</v>
      </c>
      <c r="AJ615" s="2759">
        <v>-550</v>
      </c>
      <c r="AK615" s="5355">
        <v>-190</v>
      </c>
      <c r="AL615" s="5356">
        <f>170</f>
        <v>170</v>
      </c>
      <c r="AM615" s="2907">
        <f>215</f>
        <v>215</v>
      </c>
      <c r="AN615" s="5357">
        <f t="shared" ref="AN615:AN616" si="40">625</f>
        <v>625</v>
      </c>
      <c r="AO615" s="107"/>
    </row>
    <row r="616" spans="1:41" ht="15">
      <c r="A616" s="109"/>
      <c r="B616" s="5832"/>
      <c r="C616" s="2819" t="s">
        <v>983</v>
      </c>
      <c r="D616" s="3806"/>
      <c r="E616" s="5311"/>
      <c r="F616" s="2820">
        <v>29</v>
      </c>
      <c r="G616" s="2820" t="s">
        <v>1582</v>
      </c>
      <c r="H616" s="2820" t="s">
        <v>1616</v>
      </c>
      <c r="I616" s="4254">
        <v>36774</v>
      </c>
      <c r="J616" s="3204">
        <v>44960</v>
      </c>
      <c r="K616" s="2771">
        <v>1.69</v>
      </c>
      <c r="L616" s="4714">
        <v>0.54</v>
      </c>
      <c r="M616" s="5358">
        <v>2.52</v>
      </c>
      <c r="N616" s="5359">
        <v>0.43</v>
      </c>
      <c r="O616" s="5360">
        <v>-0.83</v>
      </c>
      <c r="P616" s="3441">
        <v>2.5099999999999998</v>
      </c>
      <c r="Q616" s="4373">
        <v>0.5</v>
      </c>
      <c r="R616" s="4928">
        <v>0.73</v>
      </c>
      <c r="S616" s="3623">
        <v>1.1000000000000001</v>
      </c>
      <c r="T616" s="2820">
        <v>14</v>
      </c>
      <c r="U616" s="4820">
        <v>0.28999999999999998</v>
      </c>
      <c r="V616" s="3786">
        <v>0.21</v>
      </c>
      <c r="W616" s="3339">
        <v>7.0000000000000007E-2</v>
      </c>
      <c r="X616" s="3489">
        <v>0.5</v>
      </c>
      <c r="Y616" s="4156">
        <v>4</v>
      </c>
      <c r="Z616" s="2990">
        <v>2</v>
      </c>
      <c r="AA616" s="2836">
        <v>3</v>
      </c>
      <c r="AB616" s="4609">
        <v>1</v>
      </c>
      <c r="AC616" s="3277">
        <v>1</v>
      </c>
      <c r="AD616" s="2837">
        <v>2</v>
      </c>
      <c r="AE616" s="3278">
        <v>1</v>
      </c>
      <c r="AF616" s="28">
        <v>0</v>
      </c>
      <c r="AG616" s="5176">
        <v>-155</v>
      </c>
      <c r="AH616" s="5275"/>
      <c r="AI616" s="2791">
        <f>195</f>
        <v>195</v>
      </c>
      <c r="AJ616" s="2787">
        <v>-550</v>
      </c>
      <c r="AK616" s="3045">
        <f>285</f>
        <v>285</v>
      </c>
      <c r="AL616" s="5278">
        <f>600</f>
        <v>600</v>
      </c>
      <c r="AM616" s="5318">
        <f>650</f>
        <v>650</v>
      </c>
      <c r="AN616" s="4534">
        <f t="shared" si="40"/>
        <v>625</v>
      </c>
      <c r="AO616" s="107"/>
    </row>
    <row r="617" spans="1:41" ht="15">
      <c r="A617" s="109"/>
      <c r="B617" s="5833">
        <v>9</v>
      </c>
      <c r="C617" s="2732" t="s">
        <v>771</v>
      </c>
      <c r="D617" s="3657"/>
      <c r="E617" s="5280"/>
      <c r="F617" s="2733">
        <v>35</v>
      </c>
      <c r="G617" s="2733" t="s">
        <v>1588</v>
      </c>
      <c r="H617" s="2733" t="s">
        <v>1618</v>
      </c>
      <c r="I617" s="2733" t="s">
        <v>2016</v>
      </c>
      <c r="J617" s="3142">
        <v>45017</v>
      </c>
      <c r="K617" s="5361">
        <v>4.38</v>
      </c>
      <c r="L617" s="2855">
        <v>0.55000000000000004</v>
      </c>
      <c r="M617" s="3531">
        <v>3.44</v>
      </c>
      <c r="N617" s="5362">
        <v>0.52</v>
      </c>
      <c r="O617" s="4705">
        <f>0.94</f>
        <v>0.94</v>
      </c>
      <c r="P617" s="4703">
        <v>1.8</v>
      </c>
      <c r="Q617" s="2920">
        <v>0.3</v>
      </c>
      <c r="R617" s="4538">
        <v>0.69</v>
      </c>
      <c r="S617" s="2744">
        <v>0</v>
      </c>
      <c r="T617" s="2733">
        <v>16</v>
      </c>
      <c r="U617" s="5363">
        <v>0.31</v>
      </c>
      <c r="V617" s="2746">
        <v>0</v>
      </c>
      <c r="W617" s="2901">
        <v>0.5</v>
      </c>
      <c r="X617" s="5364">
        <v>0.3125</v>
      </c>
      <c r="Y617" s="2808">
        <v>5</v>
      </c>
      <c r="Z617" s="2862">
        <v>1</v>
      </c>
      <c r="AA617" s="2751">
        <v>0</v>
      </c>
      <c r="AB617" s="2809">
        <v>0</v>
      </c>
      <c r="AC617" s="4064">
        <v>8</v>
      </c>
      <c r="AD617" s="4527">
        <v>1</v>
      </c>
      <c r="AE617" s="2754">
        <v>0</v>
      </c>
      <c r="AF617" s="2755">
        <v>0</v>
      </c>
      <c r="AG617" s="5209">
        <f>150</f>
        <v>150</v>
      </c>
      <c r="AH617" s="5173"/>
      <c r="AI617" s="3511">
        <v>-125</v>
      </c>
      <c r="AJ617" s="5365">
        <f t="shared" ref="AJ617:AJ618" si="41">110</f>
        <v>110</v>
      </c>
      <c r="AK617" s="4960">
        <f>260</f>
        <v>260</v>
      </c>
      <c r="AL617" s="5366">
        <f>310</f>
        <v>310</v>
      </c>
      <c r="AM617" s="2865">
        <f>1600</f>
        <v>1600</v>
      </c>
      <c r="AN617" s="5367">
        <f>175</f>
        <v>175</v>
      </c>
      <c r="AO617" s="107"/>
    </row>
    <row r="618" spans="1:41" ht="15">
      <c r="A618" s="109"/>
      <c r="B618" s="5832"/>
      <c r="C618" s="2762" t="s">
        <v>772</v>
      </c>
      <c r="D618" s="3677"/>
      <c r="E618" s="5368"/>
      <c r="F618" s="2763">
        <v>30</v>
      </c>
      <c r="G618" s="2763" t="s">
        <v>1588</v>
      </c>
      <c r="H618" s="2763" t="s">
        <v>1837</v>
      </c>
      <c r="I618" s="2763" t="s">
        <v>2017</v>
      </c>
      <c r="J618" s="3163">
        <v>45017</v>
      </c>
      <c r="K618" s="3975">
        <v>2.2400000000000002</v>
      </c>
      <c r="L618" s="5268">
        <v>0.55000000000000004</v>
      </c>
      <c r="M618" s="2890">
        <v>1.53</v>
      </c>
      <c r="N618" s="5328">
        <v>0.52</v>
      </c>
      <c r="O618" s="4399">
        <f>0.71</f>
        <v>0.71</v>
      </c>
      <c r="P618" s="3441">
        <v>2.5099999999999998</v>
      </c>
      <c r="Q618" s="4373">
        <v>0.5</v>
      </c>
      <c r="R618" s="3622">
        <v>0.5</v>
      </c>
      <c r="S618" s="3168">
        <v>1.6</v>
      </c>
      <c r="T618" s="2763">
        <v>16</v>
      </c>
      <c r="U618" s="2834">
        <v>0.06</v>
      </c>
      <c r="V618" s="2880">
        <v>0.5</v>
      </c>
      <c r="W618" s="5369">
        <v>0.25</v>
      </c>
      <c r="X618" s="5370">
        <v>0.5625</v>
      </c>
      <c r="Y618" s="2840">
        <v>1</v>
      </c>
      <c r="Z618" s="2837">
        <v>1</v>
      </c>
      <c r="AA618" s="5274">
        <v>8</v>
      </c>
      <c r="AB618" s="2774">
        <v>0</v>
      </c>
      <c r="AC618" s="3915">
        <v>4</v>
      </c>
      <c r="AD618" s="2837">
        <v>2</v>
      </c>
      <c r="AE618" s="2782">
        <v>0</v>
      </c>
      <c r="AF618" s="2783">
        <v>0</v>
      </c>
      <c r="AG618" s="5222">
        <v>-175</v>
      </c>
      <c r="AH618" s="5177"/>
      <c r="AI618" s="5178">
        <f>105</f>
        <v>105</v>
      </c>
      <c r="AJ618" s="5371">
        <f t="shared" si="41"/>
        <v>110</v>
      </c>
      <c r="AK618" s="5372">
        <f t="shared" ref="AK618:AK619" si="42">275</f>
        <v>275</v>
      </c>
      <c r="AL618" s="5373">
        <f>1600</f>
        <v>1600</v>
      </c>
      <c r="AM618" s="5226">
        <f>310</f>
        <v>310</v>
      </c>
      <c r="AN618" s="5374">
        <f>275</f>
        <v>275</v>
      </c>
      <c r="AO618" s="107"/>
    </row>
    <row r="619" spans="1:41" ht="15">
      <c r="A619" s="109"/>
      <c r="B619" s="5831">
        <v>10</v>
      </c>
      <c r="C619" s="2792" t="s">
        <v>1503</v>
      </c>
      <c r="D619" s="3819"/>
      <c r="E619" s="5375"/>
      <c r="F619" s="88">
        <v>31</v>
      </c>
      <c r="G619" s="88" t="s">
        <v>1582</v>
      </c>
      <c r="H619" s="88" t="s">
        <v>1595</v>
      </c>
      <c r="I619" s="88" t="s">
        <v>1899</v>
      </c>
      <c r="J619" s="3184">
        <v>44987</v>
      </c>
      <c r="K619" s="5376">
        <v>4.8499999999999996</v>
      </c>
      <c r="L619" s="4707">
        <v>0.56000000000000005</v>
      </c>
      <c r="M619" s="5377">
        <v>2.61</v>
      </c>
      <c r="N619" s="3660">
        <v>0.46</v>
      </c>
      <c r="O619" s="5378">
        <f>2.24</f>
        <v>2.2400000000000002</v>
      </c>
      <c r="P619" s="4744">
        <v>1.51</v>
      </c>
      <c r="Q619" s="3499">
        <v>0.44</v>
      </c>
      <c r="R619" s="5379">
        <v>0.94</v>
      </c>
      <c r="S619" s="4877">
        <v>0.1</v>
      </c>
      <c r="T619" s="88">
        <v>19</v>
      </c>
      <c r="U619" s="5380">
        <v>0.57999999999999996</v>
      </c>
      <c r="V619" s="2746">
        <v>0</v>
      </c>
      <c r="W619" s="4666">
        <v>0.16</v>
      </c>
      <c r="X619" s="3669">
        <v>0.57889999999999997</v>
      </c>
      <c r="Y619" s="2864">
        <v>11</v>
      </c>
      <c r="Z619" s="2862">
        <v>1</v>
      </c>
      <c r="AA619" s="2751">
        <v>0</v>
      </c>
      <c r="AB619" s="4633">
        <v>1</v>
      </c>
      <c r="AC619" s="2810">
        <v>3</v>
      </c>
      <c r="AD619" s="3290">
        <v>3</v>
      </c>
      <c r="AE619" s="63">
        <v>0</v>
      </c>
      <c r="AF619" s="27">
        <v>0</v>
      </c>
      <c r="AG619" s="88">
        <v>-110</v>
      </c>
      <c r="AH619" s="5381"/>
      <c r="AI619" s="5382">
        <f>210</f>
        <v>210</v>
      </c>
      <c r="AJ619" s="5383">
        <v>-220</v>
      </c>
      <c r="AK619" s="5384">
        <f t="shared" si="42"/>
        <v>275</v>
      </c>
      <c r="AL619" s="3540">
        <f>385</f>
        <v>385</v>
      </c>
      <c r="AM619" s="5385">
        <f>1200</f>
        <v>1200</v>
      </c>
      <c r="AN619" s="5214">
        <f>600</f>
        <v>600</v>
      </c>
      <c r="AO619" s="107"/>
    </row>
    <row r="620" spans="1:41" ht="15">
      <c r="A620" s="109"/>
      <c r="B620" s="5832"/>
      <c r="C620" s="2819" t="s">
        <v>1504</v>
      </c>
      <c r="D620" s="3833"/>
      <c r="E620" s="5386"/>
      <c r="F620" s="2820">
        <v>27</v>
      </c>
      <c r="G620" s="2820" t="s">
        <v>1575</v>
      </c>
      <c r="H620" s="2820" t="s">
        <v>1595</v>
      </c>
      <c r="I620" s="2820" t="s">
        <v>2000</v>
      </c>
      <c r="J620" s="3204">
        <v>44987</v>
      </c>
      <c r="K620" s="3463">
        <v>5.1100000000000003</v>
      </c>
      <c r="L620" s="3867">
        <v>0.45</v>
      </c>
      <c r="M620" s="5358">
        <v>2.5299999999999998</v>
      </c>
      <c r="N620" s="3410">
        <v>0.64</v>
      </c>
      <c r="O620" s="2774">
        <f>2.58</f>
        <v>2.58</v>
      </c>
      <c r="P620" s="3381">
        <v>1.87</v>
      </c>
      <c r="Q620" s="4905">
        <v>0.37</v>
      </c>
      <c r="R620" s="5387">
        <v>0.42</v>
      </c>
      <c r="S620" s="4622">
        <v>0.6</v>
      </c>
      <c r="T620" s="2820">
        <v>26</v>
      </c>
      <c r="U620" s="4214">
        <v>0.27</v>
      </c>
      <c r="V620" s="5369">
        <v>0.23</v>
      </c>
      <c r="W620" s="5046">
        <v>0.27</v>
      </c>
      <c r="X620" s="3489">
        <v>0.5</v>
      </c>
      <c r="Y620" s="2838">
        <v>7</v>
      </c>
      <c r="Z620" s="2837">
        <v>1</v>
      </c>
      <c r="AA620" s="2779">
        <v>6</v>
      </c>
      <c r="AB620" s="4718">
        <v>2</v>
      </c>
      <c r="AC620" s="5190">
        <v>7</v>
      </c>
      <c r="AD620" s="3176">
        <v>3</v>
      </c>
      <c r="AE620" s="2841">
        <v>0</v>
      </c>
      <c r="AF620" s="28">
        <v>0</v>
      </c>
      <c r="AG620" s="2820">
        <v>-110</v>
      </c>
      <c r="AH620" s="5388"/>
      <c r="AI620" s="5389">
        <v>-250</v>
      </c>
      <c r="AJ620" s="5390">
        <v>-220</v>
      </c>
      <c r="AK620" s="5391">
        <f>100</f>
        <v>100</v>
      </c>
      <c r="AL620" s="3491">
        <f>200</f>
        <v>200</v>
      </c>
      <c r="AM620" s="5392">
        <f>475</f>
        <v>475</v>
      </c>
      <c r="AN620" s="5393">
        <f>225</f>
        <v>225</v>
      </c>
      <c r="AO620" s="107"/>
    </row>
    <row r="621" spans="1:41" ht="15">
      <c r="A621" s="109"/>
      <c r="B621" s="5833">
        <v>11</v>
      </c>
      <c r="C621" s="2732" t="s">
        <v>651</v>
      </c>
      <c r="D621" s="3283"/>
      <c r="E621" s="5394"/>
      <c r="F621" s="2733">
        <v>27</v>
      </c>
      <c r="G621" s="2733" t="s">
        <v>1567</v>
      </c>
      <c r="H621" s="2733" t="s">
        <v>1826</v>
      </c>
      <c r="I621" s="4128">
        <v>36832</v>
      </c>
      <c r="J621" s="3142">
        <v>45017</v>
      </c>
      <c r="K621" s="3730">
        <v>5.39</v>
      </c>
      <c r="L621" s="5395">
        <v>0.62</v>
      </c>
      <c r="M621" s="5396">
        <v>4.9000000000000004</v>
      </c>
      <c r="N621" s="5397">
        <v>0.45</v>
      </c>
      <c r="O621" s="3348">
        <f>0.49</f>
        <v>0.49</v>
      </c>
      <c r="P621" s="5398">
        <v>0.82</v>
      </c>
      <c r="Q621" s="5399">
        <v>0.25</v>
      </c>
      <c r="R621" s="2801">
        <v>1</v>
      </c>
      <c r="S621" s="3051">
        <v>0.8</v>
      </c>
      <c r="T621" s="2733">
        <v>13</v>
      </c>
      <c r="U621" s="5400">
        <v>0.46</v>
      </c>
      <c r="V621" s="5401">
        <v>0.31</v>
      </c>
      <c r="W621" s="4629">
        <v>0.08</v>
      </c>
      <c r="X621" s="5402">
        <v>0.76919999999999999</v>
      </c>
      <c r="Y621" s="3155">
        <v>6</v>
      </c>
      <c r="Z621" s="2750">
        <v>2</v>
      </c>
      <c r="AA621" s="3429">
        <v>4</v>
      </c>
      <c r="AB621" s="2809">
        <v>0</v>
      </c>
      <c r="AC621" s="5305">
        <v>1</v>
      </c>
      <c r="AD621" s="2809">
        <v>0</v>
      </c>
      <c r="AE621" s="2754">
        <v>0</v>
      </c>
      <c r="AF621" s="2755">
        <v>0</v>
      </c>
      <c r="AG621" s="5355">
        <v>-300</v>
      </c>
      <c r="AH621" s="2905"/>
      <c r="AI621" s="2809">
        <v>-400</v>
      </c>
      <c r="AJ621" s="2759">
        <v>-550</v>
      </c>
      <c r="AK621" s="2905">
        <v>-250</v>
      </c>
      <c r="AL621" s="4771">
        <f>165</f>
        <v>165</v>
      </c>
      <c r="AM621" s="2905">
        <f>180</f>
        <v>180</v>
      </c>
      <c r="AN621" s="5403">
        <f>450</f>
        <v>450</v>
      </c>
      <c r="AO621" s="107"/>
    </row>
    <row r="622" spans="1:41" ht="15">
      <c r="A622" s="109"/>
      <c r="B622" s="5832"/>
      <c r="C622" s="2762" t="s">
        <v>652</v>
      </c>
      <c r="D622" s="3292"/>
      <c r="E622" s="5404"/>
      <c r="F622" s="2763">
        <v>27</v>
      </c>
      <c r="G622" s="2763" t="s">
        <v>1567</v>
      </c>
      <c r="H622" s="2763" t="s">
        <v>1622</v>
      </c>
      <c r="I622" s="2763" t="s">
        <v>2018</v>
      </c>
      <c r="J622" s="3163">
        <v>44987</v>
      </c>
      <c r="K622" s="5405">
        <v>4.4400000000000004</v>
      </c>
      <c r="L622" s="4293">
        <v>0.56000000000000005</v>
      </c>
      <c r="M622" s="5406">
        <v>5.52</v>
      </c>
      <c r="N622" s="5407">
        <v>0.42</v>
      </c>
      <c r="O622" s="5329">
        <v>-1.08</v>
      </c>
      <c r="P622" s="2771">
        <v>0</v>
      </c>
      <c r="Q622" s="2772">
        <v>0</v>
      </c>
      <c r="R622" s="5408">
        <v>0.33</v>
      </c>
      <c r="S622" s="2911">
        <v>0</v>
      </c>
      <c r="T622" s="2763">
        <v>24</v>
      </c>
      <c r="U622" s="3214">
        <v>0.38</v>
      </c>
      <c r="V622" s="3213">
        <v>0.28999999999999998</v>
      </c>
      <c r="W622" s="4199">
        <v>0.17</v>
      </c>
      <c r="X622" s="5409">
        <v>0.66669999999999996</v>
      </c>
      <c r="Y622" s="3341">
        <v>9</v>
      </c>
      <c r="Z622" s="3178">
        <v>3</v>
      </c>
      <c r="AA622" s="5190">
        <v>7</v>
      </c>
      <c r="AB622" s="2774">
        <v>0</v>
      </c>
      <c r="AC622" s="3915">
        <v>4</v>
      </c>
      <c r="AD622" s="4500">
        <v>1</v>
      </c>
      <c r="AE622" s="2782">
        <v>0</v>
      </c>
      <c r="AF622" s="2783">
        <v>0</v>
      </c>
      <c r="AG622" s="5410">
        <f>250</f>
        <v>250</v>
      </c>
      <c r="AH622" s="2771"/>
      <c r="AI622" s="2911">
        <f>300</f>
        <v>300</v>
      </c>
      <c r="AJ622" s="2787">
        <v>-550</v>
      </c>
      <c r="AK622" s="4890">
        <f>400</f>
        <v>400</v>
      </c>
      <c r="AL622" s="5411">
        <f>500</f>
        <v>500</v>
      </c>
      <c r="AM622" s="3179">
        <f>1600</f>
        <v>1600</v>
      </c>
      <c r="AN622" s="2911">
        <f>900</f>
        <v>900</v>
      </c>
      <c r="AO622" s="107"/>
    </row>
    <row r="623" spans="1:41" ht="15">
      <c r="A623" s="109"/>
      <c r="B623" s="5831">
        <v>12</v>
      </c>
      <c r="C623" s="2792" t="s">
        <v>1274</v>
      </c>
      <c r="D623" s="3530"/>
      <c r="E623" s="5229"/>
      <c r="F623" s="88">
        <v>27</v>
      </c>
      <c r="G623" s="88" t="s">
        <v>1582</v>
      </c>
      <c r="H623" s="88" t="s">
        <v>1616</v>
      </c>
      <c r="I623" s="88" t="s">
        <v>2019</v>
      </c>
      <c r="J623" s="3184">
        <v>44960</v>
      </c>
      <c r="K623" s="5412">
        <v>3.04</v>
      </c>
      <c r="L623" s="3230">
        <v>0.49</v>
      </c>
      <c r="M623" s="3368">
        <v>3.87</v>
      </c>
      <c r="N623" s="3660">
        <v>0.46</v>
      </c>
      <c r="O623" s="5413">
        <v>-0.83</v>
      </c>
      <c r="P623" s="4160">
        <v>1.49</v>
      </c>
      <c r="Q623" s="5414">
        <v>0.19</v>
      </c>
      <c r="R623" s="4095">
        <v>0.45</v>
      </c>
      <c r="S623" s="3051">
        <v>0.8</v>
      </c>
      <c r="T623" s="88">
        <v>25</v>
      </c>
      <c r="U623" s="5415">
        <v>0.16</v>
      </c>
      <c r="V623" s="5416">
        <v>0.32</v>
      </c>
      <c r="W623" s="4939">
        <v>0.24</v>
      </c>
      <c r="X623" s="5417">
        <v>0.48</v>
      </c>
      <c r="Y623" s="4250">
        <v>4</v>
      </c>
      <c r="Z623" s="2750">
        <v>2</v>
      </c>
      <c r="AA623" s="4064">
        <v>8</v>
      </c>
      <c r="AB623" s="2809">
        <v>0</v>
      </c>
      <c r="AC623" s="3086">
        <v>6</v>
      </c>
      <c r="AD623" s="3329">
        <v>5</v>
      </c>
      <c r="AE623" s="63">
        <v>0</v>
      </c>
      <c r="AF623" s="27">
        <v>0</v>
      </c>
      <c r="AG623" s="5418">
        <v>-145</v>
      </c>
      <c r="AH623" s="5005"/>
      <c r="AI623" s="5419">
        <v>-190</v>
      </c>
      <c r="AJ623" s="5420">
        <f t="shared" ref="AJ623:AJ624" si="43">100</f>
        <v>100</v>
      </c>
      <c r="AK623" s="5421">
        <f>225</f>
        <v>225</v>
      </c>
      <c r="AL623" s="5422">
        <f>700</f>
        <v>700</v>
      </c>
      <c r="AM623" s="5423">
        <f>275</f>
        <v>275</v>
      </c>
      <c r="AN623" s="5424">
        <f>150</f>
        <v>150</v>
      </c>
      <c r="AO623" s="107"/>
    </row>
    <row r="624" spans="1:41" ht="15">
      <c r="A624" s="109"/>
      <c r="B624" s="5832"/>
      <c r="C624" s="2819" t="s">
        <v>1275</v>
      </c>
      <c r="D624" s="3547"/>
      <c r="E624" s="5425"/>
      <c r="F624" s="2820">
        <v>29</v>
      </c>
      <c r="G624" s="2820" t="s">
        <v>1582</v>
      </c>
      <c r="H624" s="2820" t="s">
        <v>1586</v>
      </c>
      <c r="I624" s="2820" t="s">
        <v>2020</v>
      </c>
      <c r="J624" s="3204">
        <v>44987</v>
      </c>
      <c r="K624" s="4032">
        <v>4.7300000000000004</v>
      </c>
      <c r="L624" s="4815">
        <v>0.47</v>
      </c>
      <c r="M624" s="5426">
        <v>6.76</v>
      </c>
      <c r="N624" s="4371">
        <v>0.48</v>
      </c>
      <c r="O624" s="5427">
        <v>-2.0299999999999998</v>
      </c>
      <c r="P624" s="5428">
        <v>0.49</v>
      </c>
      <c r="Q624" s="2773">
        <v>1</v>
      </c>
      <c r="R624" s="4842">
        <v>0.68</v>
      </c>
      <c r="S624" s="2911">
        <v>0</v>
      </c>
      <c r="T624" s="2820">
        <v>32</v>
      </c>
      <c r="U624" s="5429">
        <v>0.34</v>
      </c>
      <c r="V624" s="4068">
        <v>0.22</v>
      </c>
      <c r="W624" s="2914">
        <v>0.16</v>
      </c>
      <c r="X624" s="5370">
        <v>0.5625</v>
      </c>
      <c r="Y624" s="3278">
        <v>11</v>
      </c>
      <c r="Z624" s="2990">
        <v>2</v>
      </c>
      <c r="AA624" s="5190">
        <v>7</v>
      </c>
      <c r="AB624" s="2774">
        <v>0</v>
      </c>
      <c r="AC624" s="5161">
        <v>5</v>
      </c>
      <c r="AD624" s="5430">
        <v>7</v>
      </c>
      <c r="AE624" s="2841">
        <v>0</v>
      </c>
      <c r="AF624" s="28">
        <v>0</v>
      </c>
      <c r="AG624" s="3317">
        <f>125</f>
        <v>125</v>
      </c>
      <c r="AH624" s="5431"/>
      <c r="AI624" s="5432">
        <f>165</f>
        <v>165</v>
      </c>
      <c r="AJ624" s="5433">
        <f t="shared" si="43"/>
        <v>100</v>
      </c>
      <c r="AK624" s="3072">
        <f>300</f>
        <v>300</v>
      </c>
      <c r="AL624" s="3595">
        <f>400</f>
        <v>400</v>
      </c>
      <c r="AM624" s="3179">
        <f>1600</f>
        <v>1600</v>
      </c>
      <c r="AN624" s="5251">
        <f>425</f>
        <v>425</v>
      </c>
      <c r="AO624" s="107"/>
    </row>
    <row r="625" spans="1:41" ht="15">
      <c r="A625" s="109"/>
      <c r="B625" s="5833">
        <v>13</v>
      </c>
      <c r="C625" s="2732" t="s">
        <v>1359</v>
      </c>
      <c r="D625" s="5434"/>
      <c r="E625" s="5435"/>
      <c r="F625" s="2733">
        <v>28</v>
      </c>
      <c r="G625" s="2733" t="s">
        <v>1625</v>
      </c>
      <c r="H625" s="2733" t="s">
        <v>1626</v>
      </c>
      <c r="I625" s="4128">
        <v>37076</v>
      </c>
      <c r="J625" s="3142">
        <v>44960</v>
      </c>
      <c r="K625" s="5436">
        <v>3.35</v>
      </c>
      <c r="L625" s="3664">
        <v>0.46</v>
      </c>
      <c r="M625" s="2921">
        <v>4.38</v>
      </c>
      <c r="N625" s="5397">
        <v>0.45</v>
      </c>
      <c r="O625" s="4390">
        <v>-1.03</v>
      </c>
      <c r="P625" s="5437">
        <v>1.34</v>
      </c>
      <c r="Q625" s="5300">
        <v>0.4</v>
      </c>
      <c r="R625" s="3015">
        <v>0.55000000000000004</v>
      </c>
      <c r="S625" s="2862">
        <v>0.5</v>
      </c>
      <c r="T625" s="2733">
        <v>12</v>
      </c>
      <c r="U625" s="5323">
        <v>0.08</v>
      </c>
      <c r="V625" s="4678">
        <v>0.17</v>
      </c>
      <c r="W625" s="5438">
        <v>0.33</v>
      </c>
      <c r="X625" s="2861">
        <v>0.25</v>
      </c>
      <c r="Y625" s="2751">
        <v>1</v>
      </c>
      <c r="Z625" s="2862">
        <v>1</v>
      </c>
      <c r="AA625" s="5304">
        <v>2</v>
      </c>
      <c r="AB625" s="4633">
        <v>1</v>
      </c>
      <c r="AC625" s="3429">
        <v>4</v>
      </c>
      <c r="AD625" s="2862">
        <v>2</v>
      </c>
      <c r="AE625" s="2754">
        <v>0</v>
      </c>
      <c r="AF625" s="2755">
        <v>0</v>
      </c>
      <c r="AG625" s="5209">
        <f>150</f>
        <v>150</v>
      </c>
      <c r="AH625" s="3510"/>
      <c r="AI625" s="5439">
        <f>145</f>
        <v>145</v>
      </c>
      <c r="AJ625" s="3026">
        <f t="shared" ref="AJ625:AJ626" si="44">195</f>
        <v>195</v>
      </c>
      <c r="AK625" s="5440">
        <f>550</f>
        <v>550</v>
      </c>
      <c r="AL625" s="2741">
        <f>1800</f>
        <v>1800</v>
      </c>
      <c r="AM625" s="3544">
        <f>700</f>
        <v>700</v>
      </c>
      <c r="AN625" s="5441">
        <f>140</f>
        <v>140</v>
      </c>
      <c r="AO625" s="107"/>
    </row>
    <row r="626" spans="1:41" ht="15">
      <c r="A626" s="109"/>
      <c r="B626" s="5832"/>
      <c r="C626" s="2762" t="s">
        <v>1381</v>
      </c>
      <c r="D626" s="5442"/>
      <c r="E626" s="5443"/>
      <c r="F626" s="2763">
        <v>33</v>
      </c>
      <c r="G626" s="2763" t="s">
        <v>1592</v>
      </c>
      <c r="H626" s="2763" t="s">
        <v>1624</v>
      </c>
      <c r="I626" s="2763" t="s">
        <v>2015</v>
      </c>
      <c r="J626" s="2783" t="s">
        <v>1629</v>
      </c>
      <c r="K626" s="5444">
        <v>5.07</v>
      </c>
      <c r="L626" s="2773">
        <v>0.73</v>
      </c>
      <c r="M626" s="5445">
        <v>4.2</v>
      </c>
      <c r="N626" s="5289">
        <v>0.57999999999999996</v>
      </c>
      <c r="O626" s="5446">
        <f>0.87</f>
        <v>0.87</v>
      </c>
      <c r="P626" s="2771">
        <v>0</v>
      </c>
      <c r="Q626" s="2772">
        <v>0</v>
      </c>
      <c r="R626" s="5220">
        <v>0.75</v>
      </c>
      <c r="S626" s="2911">
        <v>0</v>
      </c>
      <c r="T626" s="2763">
        <v>6</v>
      </c>
      <c r="U626" s="3246">
        <v>0.5</v>
      </c>
      <c r="V626" s="5447">
        <v>0.33</v>
      </c>
      <c r="W626" s="4199">
        <v>0.17</v>
      </c>
      <c r="X626" s="5448">
        <v>0.83330000000000004</v>
      </c>
      <c r="Y626" s="3096">
        <v>3</v>
      </c>
      <c r="Z626" s="2774">
        <v>0</v>
      </c>
      <c r="AA626" s="3342">
        <v>2</v>
      </c>
      <c r="AB626" s="2774">
        <v>0</v>
      </c>
      <c r="AC626" s="3277">
        <v>1</v>
      </c>
      <c r="AD626" s="2774">
        <v>0</v>
      </c>
      <c r="AE626" s="2782">
        <v>0</v>
      </c>
      <c r="AF626" s="2783">
        <v>0</v>
      </c>
      <c r="AG626" s="5222">
        <v>-175</v>
      </c>
      <c r="AH626" s="3419"/>
      <c r="AI626" s="3420">
        <v>-170</v>
      </c>
      <c r="AJ626" s="3043">
        <f t="shared" si="44"/>
        <v>195</v>
      </c>
      <c r="AK626" s="3045">
        <f>285</f>
        <v>285</v>
      </c>
      <c r="AL626" s="5449">
        <f>625</f>
        <v>625</v>
      </c>
      <c r="AM626" s="5450">
        <f>550</f>
        <v>550</v>
      </c>
      <c r="AN626" s="5451">
        <f>180</f>
        <v>180</v>
      </c>
      <c r="AO626" s="107"/>
    </row>
    <row r="627" spans="1:41" ht="12.75">
      <c r="A627" s="10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620"/>
    </row>
    <row r="631" spans="1:41" ht="12.75">
      <c r="A631" s="2728">
        <v>20231118</v>
      </c>
      <c r="B631" s="620"/>
      <c r="C631" s="620" t="s">
        <v>2021</v>
      </c>
    </row>
    <row r="632" spans="1:41" ht="15">
      <c r="A632" s="109"/>
      <c r="B632" s="5031"/>
      <c r="C632" s="112"/>
      <c r="D632" s="111"/>
      <c r="E632" s="111"/>
      <c r="F632" s="111" t="s">
        <v>1533</v>
      </c>
      <c r="G632" s="111" t="s">
        <v>1534</v>
      </c>
      <c r="H632" s="111" t="s">
        <v>1535</v>
      </c>
      <c r="I632" s="111" t="s">
        <v>1536</v>
      </c>
      <c r="J632" s="111" t="s">
        <v>1537</v>
      </c>
      <c r="K632" s="111" t="s">
        <v>1538</v>
      </c>
      <c r="L632" s="111" t="s">
        <v>1539</v>
      </c>
      <c r="M632" s="111" t="s">
        <v>1540</v>
      </c>
      <c r="N632" s="111" t="s">
        <v>1541</v>
      </c>
      <c r="O632" s="111" t="s">
        <v>1542</v>
      </c>
      <c r="P632" s="111" t="s">
        <v>1543</v>
      </c>
      <c r="Q632" s="111" t="s">
        <v>1544</v>
      </c>
      <c r="R632" s="111" t="s">
        <v>1545</v>
      </c>
      <c r="S632" s="111" t="s">
        <v>1546</v>
      </c>
      <c r="T632" s="111" t="s">
        <v>1547</v>
      </c>
      <c r="U632" s="111" t="s">
        <v>1548</v>
      </c>
      <c r="V632" s="111" t="s">
        <v>1549</v>
      </c>
      <c r="W632" s="111" t="s">
        <v>1550</v>
      </c>
      <c r="X632" s="112" t="s">
        <v>1551</v>
      </c>
      <c r="Y632" s="113" t="s">
        <v>1552</v>
      </c>
      <c r="Z632" s="114" t="s">
        <v>1553</v>
      </c>
      <c r="AA632" s="113" t="s">
        <v>1554</v>
      </c>
      <c r="AB632" s="114" t="s">
        <v>1555</v>
      </c>
      <c r="AC632" s="115" t="s">
        <v>1556</v>
      </c>
      <c r="AD632" s="114" t="s">
        <v>1557</v>
      </c>
      <c r="AE632" s="113" t="s">
        <v>1558</v>
      </c>
      <c r="AF632" s="116" t="s">
        <v>1559</v>
      </c>
      <c r="AG632" s="107"/>
    </row>
    <row r="633" spans="1:41" ht="14.25">
      <c r="A633" s="109"/>
      <c r="B633" s="5833">
        <v>1</v>
      </c>
      <c r="C633" s="2732" t="s">
        <v>988</v>
      </c>
      <c r="D633" s="2733"/>
      <c r="E633" s="2733"/>
      <c r="F633" s="2733">
        <v>27</v>
      </c>
      <c r="G633" s="2733" t="s">
        <v>1571</v>
      </c>
      <c r="H633" s="2733" t="s">
        <v>1622</v>
      </c>
      <c r="I633" s="2733" t="s">
        <v>2022</v>
      </c>
      <c r="J633" s="2755" t="s">
        <v>1629</v>
      </c>
      <c r="K633" s="3662">
        <v>3.96</v>
      </c>
      <c r="L633" s="2743">
        <v>0.53</v>
      </c>
      <c r="M633" s="4978">
        <v>3.89</v>
      </c>
      <c r="N633" s="5452">
        <v>0.46</v>
      </c>
      <c r="O633" s="5299">
        <f>0.07</f>
        <v>7.0000000000000007E-2</v>
      </c>
      <c r="P633" s="4160">
        <v>1.22</v>
      </c>
      <c r="Q633" s="5283">
        <v>0.42</v>
      </c>
      <c r="R633" s="4041">
        <v>0.55000000000000004</v>
      </c>
      <c r="S633" s="5453">
        <v>1.6</v>
      </c>
      <c r="T633" s="2733">
        <v>27</v>
      </c>
      <c r="U633" s="4430">
        <v>0.19</v>
      </c>
      <c r="V633" s="5454">
        <v>0.48</v>
      </c>
      <c r="W633" s="4246">
        <v>0.15</v>
      </c>
      <c r="X633" s="5455">
        <v>0.66669999999999996</v>
      </c>
      <c r="Y633" s="2808">
        <v>5</v>
      </c>
      <c r="Z633" s="3504">
        <v>2</v>
      </c>
      <c r="AA633" s="2864">
        <v>13</v>
      </c>
      <c r="AB633" s="2862">
        <v>1</v>
      </c>
      <c r="AC633" s="3155">
        <v>4</v>
      </c>
      <c r="AD633" s="3430">
        <v>2</v>
      </c>
      <c r="AE633" s="2754">
        <v>0</v>
      </c>
      <c r="AF633" s="2755">
        <v>0</v>
      </c>
      <c r="AG633" s="107"/>
    </row>
    <row r="634" spans="1:41" ht="14.25">
      <c r="A634" s="109"/>
      <c r="B634" s="5832"/>
      <c r="C634" s="2762" t="s">
        <v>976</v>
      </c>
      <c r="D634" s="2763"/>
      <c r="E634" s="2763"/>
      <c r="F634" s="2763">
        <v>35</v>
      </c>
      <c r="G634" s="2763" t="s">
        <v>1567</v>
      </c>
      <c r="H634" s="2763" t="s">
        <v>1576</v>
      </c>
      <c r="I634" s="2763" t="s">
        <v>1978</v>
      </c>
      <c r="J634" s="3163">
        <v>44987</v>
      </c>
      <c r="K634" s="5456">
        <v>2.57</v>
      </c>
      <c r="L634" s="4603">
        <v>0.46</v>
      </c>
      <c r="M634" s="5457">
        <v>2.85</v>
      </c>
      <c r="N634" s="5458">
        <v>0.46</v>
      </c>
      <c r="O634" s="3485">
        <v>-0.28000000000000003</v>
      </c>
      <c r="P634" s="5459">
        <v>1.91</v>
      </c>
      <c r="Q634" s="3118">
        <v>0.23</v>
      </c>
      <c r="R634" s="3123">
        <v>0.42</v>
      </c>
      <c r="S634" s="5460">
        <v>1.7</v>
      </c>
      <c r="T634" s="2763">
        <v>24</v>
      </c>
      <c r="U634" s="3953">
        <v>0.17</v>
      </c>
      <c r="V634" s="2880">
        <v>0.54</v>
      </c>
      <c r="W634" s="2834">
        <v>0</v>
      </c>
      <c r="X634" s="5461">
        <v>0.70830000000000004</v>
      </c>
      <c r="Y634" s="4377">
        <v>4</v>
      </c>
      <c r="Z634" s="2911">
        <v>4</v>
      </c>
      <c r="AA634" s="3278">
        <v>13</v>
      </c>
      <c r="AB634" s="2837">
        <v>1</v>
      </c>
      <c r="AC634" s="2840">
        <v>0</v>
      </c>
      <c r="AD634" s="2837">
        <v>1</v>
      </c>
      <c r="AE634" s="2782">
        <v>0</v>
      </c>
      <c r="AF634" s="2783">
        <v>0</v>
      </c>
      <c r="AG634" s="107"/>
    </row>
    <row r="635" spans="1:41" ht="14.25">
      <c r="A635" s="109"/>
      <c r="B635" s="5831">
        <v>2</v>
      </c>
      <c r="C635" s="2792" t="s">
        <v>1278</v>
      </c>
      <c r="D635" s="88"/>
      <c r="E635" s="88"/>
      <c r="F635" s="88">
        <v>24</v>
      </c>
      <c r="G635" s="88" t="s">
        <v>1582</v>
      </c>
      <c r="H635" s="88" t="s">
        <v>1568</v>
      </c>
      <c r="I635" s="88" t="s">
        <v>1914</v>
      </c>
      <c r="J635" s="27" t="s">
        <v>1629</v>
      </c>
      <c r="K635" s="3047">
        <v>5.17</v>
      </c>
      <c r="L635" s="4489">
        <v>0.48</v>
      </c>
      <c r="M635" s="3368">
        <v>3.54</v>
      </c>
      <c r="N635" s="5462">
        <v>0.48</v>
      </c>
      <c r="O635" s="3850">
        <f>1.63</f>
        <v>1.63</v>
      </c>
      <c r="P635" s="5463">
        <v>1.66</v>
      </c>
      <c r="Q635" s="5464">
        <v>0.45</v>
      </c>
      <c r="R635" s="5465">
        <v>0.91</v>
      </c>
      <c r="S635" s="2744">
        <v>0</v>
      </c>
      <c r="T635" s="88">
        <v>15</v>
      </c>
      <c r="U635" s="5466">
        <v>0.73</v>
      </c>
      <c r="V635" s="2747">
        <v>7.0000000000000007E-2</v>
      </c>
      <c r="W635" s="3536">
        <v>0.2</v>
      </c>
      <c r="X635" s="5467">
        <v>0.8</v>
      </c>
      <c r="Y635" s="2864">
        <v>11</v>
      </c>
      <c r="Z635" s="2809">
        <v>0</v>
      </c>
      <c r="AA635" s="2753">
        <v>1</v>
      </c>
      <c r="AB635" s="2809">
        <v>0</v>
      </c>
      <c r="AC635" s="2808">
        <v>3</v>
      </c>
      <c r="AD635" s="2809">
        <v>0</v>
      </c>
      <c r="AE635" s="63">
        <v>0</v>
      </c>
      <c r="AF635" s="27">
        <v>0</v>
      </c>
      <c r="AG635" s="107"/>
    </row>
    <row r="636" spans="1:41" ht="14.25">
      <c r="A636" s="109"/>
      <c r="B636" s="5832"/>
      <c r="C636" s="2819" t="s">
        <v>1279</v>
      </c>
      <c r="D636" s="2820"/>
      <c r="E636" s="2820"/>
      <c r="F636" s="2820">
        <v>29</v>
      </c>
      <c r="G636" s="2820" t="s">
        <v>1605</v>
      </c>
      <c r="H636" s="2820" t="s">
        <v>1616</v>
      </c>
      <c r="I636" s="2820" t="s">
        <v>2023</v>
      </c>
      <c r="J636" s="3204">
        <v>44987</v>
      </c>
      <c r="K636" s="5468">
        <v>3.27</v>
      </c>
      <c r="L636" s="3123">
        <v>0.45</v>
      </c>
      <c r="M636" s="5469">
        <v>2.33</v>
      </c>
      <c r="N636" s="2769">
        <v>0.6</v>
      </c>
      <c r="O636" s="2827">
        <f>0.94</f>
        <v>0.94</v>
      </c>
      <c r="P636" s="3060">
        <v>1.71</v>
      </c>
      <c r="Q636" s="3332">
        <v>0.41</v>
      </c>
      <c r="R636" s="5470">
        <v>0.61</v>
      </c>
      <c r="S636" s="5471">
        <v>0.7</v>
      </c>
      <c r="T636" s="2820">
        <v>25</v>
      </c>
      <c r="U636" s="3556">
        <v>0.2</v>
      </c>
      <c r="V636" s="2833">
        <v>0.32</v>
      </c>
      <c r="W636" s="5472">
        <v>0.24</v>
      </c>
      <c r="X636" s="3363">
        <v>0.52</v>
      </c>
      <c r="Y636" s="2780">
        <v>5</v>
      </c>
      <c r="Z636" s="4002">
        <v>1</v>
      </c>
      <c r="AA636" s="2883">
        <v>8</v>
      </c>
      <c r="AB636" s="3762">
        <v>3</v>
      </c>
      <c r="AC636" s="2883">
        <v>6</v>
      </c>
      <c r="AD636" s="3279">
        <v>2</v>
      </c>
      <c r="AE636" s="2841">
        <v>0</v>
      </c>
      <c r="AF636" s="28">
        <v>0</v>
      </c>
      <c r="AG636" s="107"/>
    </row>
    <row r="637" spans="1:41" ht="14.25">
      <c r="A637" s="109"/>
      <c r="B637" s="5833">
        <v>3</v>
      </c>
      <c r="C637" s="2732" t="s">
        <v>776</v>
      </c>
      <c r="D637" s="2733"/>
      <c r="E637" s="2733"/>
      <c r="F637" s="2733">
        <v>24</v>
      </c>
      <c r="G637" s="2733" t="s">
        <v>1603</v>
      </c>
      <c r="H637" s="2733" t="s">
        <v>1589</v>
      </c>
      <c r="I637" s="4128">
        <v>37228</v>
      </c>
      <c r="J637" s="3142">
        <v>44987</v>
      </c>
      <c r="K637" s="5361">
        <v>5</v>
      </c>
      <c r="L637" s="2796">
        <v>0.51</v>
      </c>
      <c r="M637" s="5473">
        <v>3.67</v>
      </c>
      <c r="N637" s="3900">
        <v>0.36</v>
      </c>
      <c r="O637" s="3104">
        <f>1.33</f>
        <v>1.33</v>
      </c>
      <c r="P637" s="2964">
        <v>1.47</v>
      </c>
      <c r="Q637" s="5474">
        <v>0.22</v>
      </c>
      <c r="R637" s="3920">
        <v>0.5</v>
      </c>
      <c r="S637" s="2809">
        <v>2.1</v>
      </c>
      <c r="T637" s="2733">
        <v>16</v>
      </c>
      <c r="U637" s="3501">
        <v>0.25</v>
      </c>
      <c r="V637" s="5475">
        <v>0.31</v>
      </c>
      <c r="W637" s="3988">
        <v>0.19</v>
      </c>
      <c r="X637" s="5195">
        <v>0.5625</v>
      </c>
      <c r="Y637" s="4320">
        <v>4</v>
      </c>
      <c r="Z637" s="3991">
        <v>1</v>
      </c>
      <c r="AA637" s="3235">
        <v>5</v>
      </c>
      <c r="AB637" s="2809">
        <v>0</v>
      </c>
      <c r="AC637" s="2808">
        <v>3</v>
      </c>
      <c r="AD637" s="3430">
        <v>2</v>
      </c>
      <c r="AE637" s="2754">
        <v>0</v>
      </c>
      <c r="AF637" s="2755">
        <v>0</v>
      </c>
      <c r="AG637" s="107"/>
    </row>
    <row r="638" spans="1:41" ht="14.25">
      <c r="A638" s="109"/>
      <c r="B638" s="5832"/>
      <c r="C638" s="2762" t="s">
        <v>777</v>
      </c>
      <c r="D638" s="2763"/>
      <c r="E638" s="2763"/>
      <c r="F638" s="2763">
        <v>28</v>
      </c>
      <c r="G638" s="2763" t="s">
        <v>1588</v>
      </c>
      <c r="H638" s="2763" t="s">
        <v>1641</v>
      </c>
      <c r="I638" s="4312">
        <v>36832</v>
      </c>
      <c r="J638" s="3163">
        <v>44987</v>
      </c>
      <c r="K638" s="5476">
        <v>2.64</v>
      </c>
      <c r="L638" s="5477">
        <v>0.6</v>
      </c>
      <c r="M638" s="5478">
        <v>1.93</v>
      </c>
      <c r="N638" s="5479">
        <v>0.56000000000000005</v>
      </c>
      <c r="O638" s="3335">
        <f>0.71</f>
        <v>0.71</v>
      </c>
      <c r="P638" s="5480">
        <v>2.31</v>
      </c>
      <c r="Q638" s="4119">
        <v>0.26</v>
      </c>
      <c r="R638" s="3092">
        <v>0.3</v>
      </c>
      <c r="S638" s="5481">
        <v>1.2</v>
      </c>
      <c r="T638" s="2763">
        <v>13</v>
      </c>
      <c r="U638" s="4519">
        <v>0.15</v>
      </c>
      <c r="V638" s="4989">
        <v>0.46</v>
      </c>
      <c r="W638" s="3787">
        <v>0.23</v>
      </c>
      <c r="X638" s="5482">
        <v>0.61539999999999995</v>
      </c>
      <c r="Y638" s="4784">
        <v>2</v>
      </c>
      <c r="Z638" s="2774">
        <v>0</v>
      </c>
      <c r="AA638" s="4419">
        <v>6</v>
      </c>
      <c r="AB638" s="2837">
        <v>1</v>
      </c>
      <c r="AC638" s="2780">
        <v>3</v>
      </c>
      <c r="AD638" s="2837">
        <v>1</v>
      </c>
      <c r="AE638" s="2782">
        <v>0</v>
      </c>
      <c r="AF638" s="2783">
        <v>0</v>
      </c>
      <c r="AG638" s="107"/>
    </row>
    <row r="639" spans="1:41" ht="14.25">
      <c r="A639" s="109"/>
      <c r="B639" s="5831">
        <v>4</v>
      </c>
      <c r="C639" s="2792" t="s">
        <v>120</v>
      </c>
      <c r="D639" s="88"/>
      <c r="E639" s="88"/>
      <c r="F639" s="88">
        <v>25</v>
      </c>
      <c r="G639" s="88" t="s">
        <v>1575</v>
      </c>
      <c r="H639" s="88" t="s">
        <v>1837</v>
      </c>
      <c r="I639" s="88" t="s">
        <v>2015</v>
      </c>
      <c r="J639" s="27" t="s">
        <v>1629</v>
      </c>
      <c r="K639" s="2905">
        <v>9.67</v>
      </c>
      <c r="L639" s="2796">
        <v>0.51</v>
      </c>
      <c r="M639" s="5483">
        <v>5.07</v>
      </c>
      <c r="N639" s="3254">
        <v>0.5</v>
      </c>
      <c r="O639" s="5484">
        <f>4.6</f>
        <v>4.5999999999999996</v>
      </c>
      <c r="P639" s="2741">
        <v>0</v>
      </c>
      <c r="Q639" s="2742">
        <v>0</v>
      </c>
      <c r="R639" s="3231">
        <v>0.94</v>
      </c>
      <c r="S639" s="2744">
        <v>0</v>
      </c>
      <c r="T639" s="88">
        <v>6</v>
      </c>
      <c r="U639" s="2901">
        <v>0.83</v>
      </c>
      <c r="V639" s="2746">
        <v>0</v>
      </c>
      <c r="W639" s="3402">
        <v>0.17</v>
      </c>
      <c r="X639" s="5485">
        <v>0.83330000000000004</v>
      </c>
      <c r="Y639" s="2808">
        <v>5</v>
      </c>
      <c r="Z639" s="2809">
        <v>0</v>
      </c>
      <c r="AA639" s="2751">
        <v>0</v>
      </c>
      <c r="AB639" s="2809">
        <v>0</v>
      </c>
      <c r="AC639" s="2753">
        <v>1</v>
      </c>
      <c r="AD639" s="2809">
        <v>0</v>
      </c>
      <c r="AE639" s="63">
        <v>0</v>
      </c>
      <c r="AF639" s="27">
        <v>0</v>
      </c>
      <c r="AG639" s="107"/>
    </row>
    <row r="640" spans="1:41" ht="14.25">
      <c r="A640" s="109"/>
      <c r="B640" s="5832"/>
      <c r="C640" s="2819" t="s">
        <v>212</v>
      </c>
      <c r="D640" s="2820"/>
      <c r="E640" s="2820"/>
      <c r="F640" s="2820">
        <v>27</v>
      </c>
      <c r="G640" s="2820" t="s">
        <v>1588</v>
      </c>
      <c r="H640" s="2820" t="s">
        <v>1589</v>
      </c>
      <c r="I640" s="4254">
        <v>36708</v>
      </c>
      <c r="J640" s="3204">
        <v>45017</v>
      </c>
      <c r="K640" s="2771">
        <v>0.93</v>
      </c>
      <c r="L640" s="2772">
        <v>0.31</v>
      </c>
      <c r="M640" s="3309">
        <v>3.13</v>
      </c>
      <c r="N640" s="5486">
        <v>0.44</v>
      </c>
      <c r="O640" s="2911">
        <v>-2.2000000000000002</v>
      </c>
      <c r="P640" s="2771">
        <v>0</v>
      </c>
      <c r="Q640" s="2772">
        <v>0</v>
      </c>
      <c r="R640" s="5117">
        <v>0.33</v>
      </c>
      <c r="S640" s="5487">
        <v>1</v>
      </c>
      <c r="T640" s="2820">
        <v>8</v>
      </c>
      <c r="U640" s="5369">
        <v>0.38</v>
      </c>
      <c r="V640" s="5488">
        <v>0.5</v>
      </c>
      <c r="W640" s="2834">
        <v>0</v>
      </c>
      <c r="X640" s="5489">
        <v>0.875</v>
      </c>
      <c r="Y640" s="4264">
        <v>3</v>
      </c>
      <c r="Z640" s="2774">
        <v>0</v>
      </c>
      <c r="AA640" s="4499">
        <v>4</v>
      </c>
      <c r="AB640" s="2774">
        <v>0</v>
      </c>
      <c r="AC640" s="2840">
        <v>0</v>
      </c>
      <c r="AD640" s="2837">
        <v>1</v>
      </c>
      <c r="AE640" s="2841">
        <v>0</v>
      </c>
      <c r="AF640" s="28">
        <v>0</v>
      </c>
      <c r="AG640" s="107"/>
    </row>
    <row r="641" spans="1:33" ht="14.25">
      <c r="A641" s="109"/>
      <c r="B641" s="5833">
        <v>5</v>
      </c>
      <c r="C641" s="2732" t="s">
        <v>1508</v>
      </c>
      <c r="D641" s="2733"/>
      <c r="E641" s="2733"/>
      <c r="F641" s="2733">
        <v>30</v>
      </c>
      <c r="G641" s="2733" t="s">
        <v>1625</v>
      </c>
      <c r="H641" s="2733" t="s">
        <v>1715</v>
      </c>
      <c r="I641" s="4128">
        <v>36831</v>
      </c>
      <c r="J641" s="2755" t="s">
        <v>1629</v>
      </c>
      <c r="K641" s="3726">
        <v>3.86</v>
      </c>
      <c r="L641" s="5490">
        <v>0.39</v>
      </c>
      <c r="M641" s="5473">
        <v>3.67</v>
      </c>
      <c r="N641" s="5491">
        <v>0.63</v>
      </c>
      <c r="O641" s="4305">
        <f>0.19</f>
        <v>0.19</v>
      </c>
      <c r="P641" s="4572">
        <v>2.83</v>
      </c>
      <c r="Q641" s="4830">
        <v>0.5</v>
      </c>
      <c r="R641" s="3920">
        <v>0.5</v>
      </c>
      <c r="S641" s="2923">
        <v>0.4</v>
      </c>
      <c r="T641" s="2733">
        <v>12</v>
      </c>
      <c r="U641" s="5492">
        <v>0.17</v>
      </c>
      <c r="V641" s="5493">
        <v>0.42</v>
      </c>
      <c r="W641" s="5033">
        <v>0.25</v>
      </c>
      <c r="X641" s="4667">
        <v>0.58330000000000004</v>
      </c>
      <c r="Y641" s="4248">
        <v>2</v>
      </c>
      <c r="Z641" s="2809">
        <v>0</v>
      </c>
      <c r="AA641" s="3235">
        <v>5</v>
      </c>
      <c r="AB641" s="2809">
        <v>0</v>
      </c>
      <c r="AC641" s="2808">
        <v>3</v>
      </c>
      <c r="AD641" s="2862">
        <v>1</v>
      </c>
      <c r="AE641" s="2864">
        <v>1</v>
      </c>
      <c r="AF641" s="2755">
        <v>0</v>
      </c>
      <c r="AG641" s="107"/>
    </row>
    <row r="642" spans="1:33" ht="14.25">
      <c r="A642" s="109"/>
      <c r="B642" s="5832"/>
      <c r="C642" s="2762" t="s">
        <v>1397</v>
      </c>
      <c r="D642" s="2763"/>
      <c r="E642" s="2763"/>
      <c r="F642" s="2763">
        <v>30</v>
      </c>
      <c r="G642" s="2763" t="s">
        <v>1644</v>
      </c>
      <c r="H642" s="2763" t="s">
        <v>1593</v>
      </c>
      <c r="I642" s="4312">
        <v>36834</v>
      </c>
      <c r="J642" s="3163">
        <v>44960</v>
      </c>
      <c r="K642" s="4210">
        <v>4.7300000000000004</v>
      </c>
      <c r="L642" s="5117">
        <v>0.42</v>
      </c>
      <c r="M642" s="5494">
        <v>3.24</v>
      </c>
      <c r="N642" s="5495">
        <v>0.64</v>
      </c>
      <c r="O642" s="4713">
        <f>1.49</f>
        <v>1.49</v>
      </c>
      <c r="P642" s="3381">
        <v>2.27</v>
      </c>
      <c r="Q642" s="4589">
        <v>0.53</v>
      </c>
      <c r="R642" s="3995">
        <v>0.88</v>
      </c>
      <c r="S642" s="5496">
        <v>0.9</v>
      </c>
      <c r="T642" s="2763">
        <v>15</v>
      </c>
      <c r="U642" s="4325">
        <v>0.13</v>
      </c>
      <c r="V642" s="5497">
        <v>0.27</v>
      </c>
      <c r="W642" s="3809">
        <v>0.33</v>
      </c>
      <c r="X642" s="5498">
        <v>0.4</v>
      </c>
      <c r="Y642" s="4784">
        <v>2</v>
      </c>
      <c r="Z642" s="4800">
        <v>3</v>
      </c>
      <c r="AA642" s="4499">
        <v>4</v>
      </c>
      <c r="AB642" s="2774">
        <v>0</v>
      </c>
      <c r="AC642" s="2838">
        <v>5</v>
      </c>
      <c r="AD642" s="2837">
        <v>1</v>
      </c>
      <c r="AE642" s="2782">
        <v>0</v>
      </c>
      <c r="AF642" s="2783">
        <v>0</v>
      </c>
      <c r="AG642" s="107"/>
    </row>
    <row r="643" spans="1:33" ht="14.25">
      <c r="A643" s="109"/>
      <c r="B643" s="5831">
        <v>6</v>
      </c>
      <c r="C643" s="2792" t="s">
        <v>1196</v>
      </c>
      <c r="D643" s="88"/>
      <c r="E643" s="88"/>
      <c r="F643" s="88">
        <v>32</v>
      </c>
      <c r="G643" s="88" t="s">
        <v>1588</v>
      </c>
      <c r="H643" s="88" t="s">
        <v>1606</v>
      </c>
      <c r="I643" s="4203">
        <v>36772</v>
      </c>
      <c r="J643" s="27" t="s">
        <v>1629</v>
      </c>
      <c r="K643" s="4133">
        <v>4.6500000000000004</v>
      </c>
      <c r="L643" s="2925">
        <v>0.44</v>
      </c>
      <c r="M643" s="5170">
        <v>4.8899999999999997</v>
      </c>
      <c r="N643" s="2852">
        <v>0.6</v>
      </c>
      <c r="O643" s="5339">
        <v>-0.24</v>
      </c>
      <c r="P643" s="2741">
        <v>0</v>
      </c>
      <c r="Q643" s="2742">
        <v>0</v>
      </c>
      <c r="R643" s="4060">
        <v>0.66</v>
      </c>
      <c r="S643" s="2744">
        <v>0</v>
      </c>
      <c r="T643" s="88">
        <v>12</v>
      </c>
      <c r="U643" s="5499">
        <v>0.57999999999999996</v>
      </c>
      <c r="V643" s="2746">
        <v>0</v>
      </c>
      <c r="W643" s="3402">
        <v>0.17</v>
      </c>
      <c r="X643" s="4667">
        <v>0.58330000000000004</v>
      </c>
      <c r="Y643" s="3946">
        <v>7</v>
      </c>
      <c r="Z643" s="3504">
        <v>2</v>
      </c>
      <c r="AA643" s="2751">
        <v>0</v>
      </c>
      <c r="AB643" s="2809">
        <v>0</v>
      </c>
      <c r="AC643" s="2810">
        <v>2</v>
      </c>
      <c r="AD643" s="2862">
        <v>1</v>
      </c>
      <c r="AE643" s="63">
        <v>0</v>
      </c>
      <c r="AF643" s="27">
        <v>0</v>
      </c>
      <c r="AG643" s="107"/>
    </row>
    <row r="644" spans="1:33" ht="14.25">
      <c r="A644" s="109"/>
      <c r="B644" s="5832"/>
      <c r="C644" s="2819" t="s">
        <v>1197</v>
      </c>
      <c r="D644" s="2820"/>
      <c r="E644" s="2820"/>
      <c r="F644" s="2820">
        <v>30</v>
      </c>
      <c r="G644" s="2820" t="s">
        <v>1603</v>
      </c>
      <c r="H644" s="2820" t="s">
        <v>1641</v>
      </c>
      <c r="I644" s="4254">
        <v>36770</v>
      </c>
      <c r="J644" s="3204">
        <v>45017</v>
      </c>
      <c r="K644" s="3756">
        <v>6.97</v>
      </c>
      <c r="L644" s="3933">
        <v>0.61</v>
      </c>
      <c r="M644" s="5500">
        <v>3.92</v>
      </c>
      <c r="N644" s="5501">
        <v>0.57999999999999996</v>
      </c>
      <c r="O644" s="4819">
        <f>3.05</f>
        <v>3.05</v>
      </c>
      <c r="P644" s="3652">
        <v>0.53</v>
      </c>
      <c r="Q644" s="2773">
        <v>1</v>
      </c>
      <c r="R644" s="5502">
        <v>0.8</v>
      </c>
      <c r="S644" s="2911">
        <v>0</v>
      </c>
      <c r="T644" s="2820">
        <v>10</v>
      </c>
      <c r="U644" s="4733">
        <v>0.7</v>
      </c>
      <c r="V644" s="2988">
        <v>0.2</v>
      </c>
      <c r="W644" s="2834">
        <v>0</v>
      </c>
      <c r="X644" s="2778">
        <v>0.9</v>
      </c>
      <c r="Y644" s="2838">
        <v>7</v>
      </c>
      <c r="Z644" s="2774">
        <v>0</v>
      </c>
      <c r="AA644" s="2836">
        <v>2</v>
      </c>
      <c r="AB644" s="2837">
        <v>1</v>
      </c>
      <c r="AC644" s="2840">
        <v>0</v>
      </c>
      <c r="AD644" s="2774">
        <v>0</v>
      </c>
      <c r="AE644" s="2841">
        <v>0</v>
      </c>
      <c r="AF644" s="28">
        <v>0</v>
      </c>
      <c r="AG644" s="107"/>
    </row>
    <row r="645" spans="1:33" ht="14.25">
      <c r="A645" s="109"/>
      <c r="B645" s="5833">
        <v>7</v>
      </c>
      <c r="C645" s="2732" t="s">
        <v>248</v>
      </c>
      <c r="D645" s="2733"/>
      <c r="E645" s="2733"/>
      <c r="F645" s="2733">
        <v>31</v>
      </c>
      <c r="G645" s="2733" t="s">
        <v>1582</v>
      </c>
      <c r="H645" s="2733" t="s">
        <v>1641</v>
      </c>
      <c r="I645" s="2733" t="s">
        <v>1868</v>
      </c>
      <c r="J645" s="2755" t="s">
        <v>1629</v>
      </c>
      <c r="K645" s="5503">
        <v>6.11</v>
      </c>
      <c r="L645" s="3020">
        <v>0.55000000000000004</v>
      </c>
      <c r="M645" s="4059">
        <v>3.66</v>
      </c>
      <c r="N645" s="4956">
        <v>0.55000000000000004</v>
      </c>
      <c r="O645" s="4096">
        <f>2.45</f>
        <v>2.4500000000000002</v>
      </c>
      <c r="P645" s="5504">
        <v>5.74</v>
      </c>
      <c r="Q645" s="5505">
        <v>0.56000000000000005</v>
      </c>
      <c r="R645" s="3189">
        <v>0.59</v>
      </c>
      <c r="S645" s="5506">
        <v>0.8</v>
      </c>
      <c r="T645" s="2733">
        <v>18</v>
      </c>
      <c r="U645" s="5507">
        <v>0.5</v>
      </c>
      <c r="V645" s="5508">
        <v>0.11</v>
      </c>
      <c r="W645" s="3402">
        <v>0.17</v>
      </c>
      <c r="X645" s="4559">
        <v>0.61109999999999998</v>
      </c>
      <c r="Y645" s="2863">
        <v>9</v>
      </c>
      <c r="Z645" s="3991">
        <v>1</v>
      </c>
      <c r="AA645" s="2810">
        <v>2</v>
      </c>
      <c r="AB645" s="3991">
        <v>2</v>
      </c>
      <c r="AC645" s="2808">
        <v>3</v>
      </c>
      <c r="AD645" s="2862">
        <v>1</v>
      </c>
      <c r="AE645" s="2754">
        <v>0</v>
      </c>
      <c r="AF645" s="2755">
        <v>0</v>
      </c>
      <c r="AG645" s="107"/>
    </row>
    <row r="646" spans="1:33" ht="14.25">
      <c r="A646" s="109"/>
      <c r="B646" s="5832"/>
      <c r="C646" s="2762" t="s">
        <v>240</v>
      </c>
      <c r="D646" s="2763"/>
      <c r="E646" s="2763"/>
      <c r="F646" s="2763">
        <v>28</v>
      </c>
      <c r="G646" s="2763" t="s">
        <v>1630</v>
      </c>
      <c r="H646" s="2763" t="s">
        <v>1616</v>
      </c>
      <c r="I646" s="2763" t="s">
        <v>2024</v>
      </c>
      <c r="J646" s="3163">
        <v>45017</v>
      </c>
      <c r="K646" s="3513">
        <v>4.0199999999999996</v>
      </c>
      <c r="L646" s="4548">
        <v>0.52</v>
      </c>
      <c r="M646" s="5509">
        <v>2.92</v>
      </c>
      <c r="N646" s="3242">
        <v>0.5</v>
      </c>
      <c r="O646" s="4454">
        <f>1.1</f>
        <v>1.1000000000000001</v>
      </c>
      <c r="P646" s="5510">
        <v>3.89</v>
      </c>
      <c r="Q646" s="5511">
        <v>0.72</v>
      </c>
      <c r="R646" s="2772">
        <v>0</v>
      </c>
      <c r="S646" s="4651">
        <v>0.5</v>
      </c>
      <c r="T646" s="2763">
        <v>19</v>
      </c>
      <c r="U646" s="4298">
        <v>0.32</v>
      </c>
      <c r="V646" s="3626">
        <v>0.37</v>
      </c>
      <c r="W646" s="4480">
        <v>0.11</v>
      </c>
      <c r="X646" s="5409">
        <v>0.68420000000000003</v>
      </c>
      <c r="Y646" s="3097">
        <v>6</v>
      </c>
      <c r="Z646" s="4002">
        <v>1</v>
      </c>
      <c r="AA646" s="3218">
        <v>7</v>
      </c>
      <c r="AB646" s="2837">
        <v>1</v>
      </c>
      <c r="AC646" s="2836">
        <v>2</v>
      </c>
      <c r="AD646" s="2837">
        <v>1</v>
      </c>
      <c r="AE646" s="2782">
        <v>0</v>
      </c>
      <c r="AF646" s="2783">
        <v>0</v>
      </c>
      <c r="AG646" s="107"/>
    </row>
    <row r="647" spans="1:33" ht="14.25">
      <c r="A647" s="109"/>
      <c r="B647" s="5831">
        <v>8</v>
      </c>
      <c r="C647" s="2792" t="s">
        <v>14</v>
      </c>
      <c r="D647" s="88"/>
      <c r="E647" s="88"/>
      <c r="F647" s="88">
        <v>36</v>
      </c>
      <c r="G647" s="88" t="s">
        <v>1653</v>
      </c>
      <c r="H647" s="88" t="s">
        <v>1626</v>
      </c>
      <c r="I647" s="4203">
        <v>36866</v>
      </c>
      <c r="J647" s="3184">
        <v>45017</v>
      </c>
      <c r="K647" s="5512">
        <v>3.51</v>
      </c>
      <c r="L647" s="4728">
        <v>0.43</v>
      </c>
      <c r="M647" s="5513">
        <v>3.31</v>
      </c>
      <c r="N647" s="4956">
        <v>0.55000000000000004</v>
      </c>
      <c r="O647" s="2740">
        <f>0.2</f>
        <v>0.2</v>
      </c>
      <c r="P647" s="2741">
        <v>0</v>
      </c>
      <c r="Q647" s="2742">
        <v>0</v>
      </c>
      <c r="R647" s="3456">
        <v>0.47</v>
      </c>
      <c r="S647" s="5514">
        <v>1</v>
      </c>
      <c r="T647" s="88">
        <v>18</v>
      </c>
      <c r="U647" s="2968">
        <v>0.39</v>
      </c>
      <c r="V647" s="5515">
        <v>0.17</v>
      </c>
      <c r="W647" s="4429">
        <v>0.11</v>
      </c>
      <c r="X647" s="3085">
        <v>0.55559999999999998</v>
      </c>
      <c r="Y647" s="3946">
        <v>7</v>
      </c>
      <c r="Z647" s="2809">
        <v>0</v>
      </c>
      <c r="AA647" s="2808">
        <v>3</v>
      </c>
      <c r="AB647" s="2744">
        <v>5</v>
      </c>
      <c r="AC647" s="2810">
        <v>2</v>
      </c>
      <c r="AD647" s="2862">
        <v>1</v>
      </c>
      <c r="AE647" s="63">
        <v>0</v>
      </c>
      <c r="AF647" s="27">
        <v>0</v>
      </c>
      <c r="AG647" s="107"/>
    </row>
    <row r="648" spans="1:33" ht="14.25">
      <c r="A648" s="109"/>
      <c r="B648" s="5832"/>
      <c r="C648" s="2819" t="s">
        <v>64</v>
      </c>
      <c r="D648" s="2820"/>
      <c r="E648" s="2820"/>
      <c r="F648" s="2820">
        <v>28</v>
      </c>
      <c r="G648" s="2820" t="s">
        <v>1582</v>
      </c>
      <c r="H648" s="2820" t="s">
        <v>1858</v>
      </c>
      <c r="I648" s="2820" t="s">
        <v>1927</v>
      </c>
      <c r="J648" s="3204">
        <v>44987</v>
      </c>
      <c r="K648" s="4950">
        <v>2.16</v>
      </c>
      <c r="L648" s="5516">
        <v>0.63</v>
      </c>
      <c r="M648" s="5517">
        <v>1.72</v>
      </c>
      <c r="N648" s="5518">
        <v>0.51</v>
      </c>
      <c r="O648" s="2910">
        <f>0.44</f>
        <v>0.44</v>
      </c>
      <c r="P648" s="5519">
        <v>0.44</v>
      </c>
      <c r="Q648" s="5520">
        <v>0.5</v>
      </c>
      <c r="R648" s="5117">
        <v>0.33</v>
      </c>
      <c r="S648" s="3552">
        <v>0.4</v>
      </c>
      <c r="T648" s="2820">
        <v>23</v>
      </c>
      <c r="U648" s="4214">
        <v>0.3</v>
      </c>
      <c r="V648" s="2914">
        <v>0.13</v>
      </c>
      <c r="W648" s="5046">
        <v>0.22</v>
      </c>
      <c r="X648" s="5068">
        <v>0.43480000000000002</v>
      </c>
      <c r="Y648" s="2838">
        <v>7</v>
      </c>
      <c r="Z648" s="4002">
        <v>1</v>
      </c>
      <c r="AA648" s="2780">
        <v>3</v>
      </c>
      <c r="AB648" s="4800">
        <v>4</v>
      </c>
      <c r="AC648" s="2838">
        <v>5</v>
      </c>
      <c r="AD648" s="2990">
        <v>3</v>
      </c>
      <c r="AE648" s="2841">
        <v>0</v>
      </c>
      <c r="AF648" s="28">
        <v>0</v>
      </c>
      <c r="AG648" s="107"/>
    </row>
    <row r="649" spans="1:33" ht="14.25">
      <c r="A649" s="109"/>
      <c r="B649" s="5833">
        <v>9</v>
      </c>
      <c r="C649" s="2732" t="s">
        <v>1074</v>
      </c>
      <c r="D649" s="2733"/>
      <c r="E649" s="2733"/>
      <c r="F649" s="2733">
        <v>35</v>
      </c>
      <c r="G649" s="2733" t="s">
        <v>1603</v>
      </c>
      <c r="H649" s="2733" t="s">
        <v>1586</v>
      </c>
      <c r="I649" s="4128">
        <v>36838</v>
      </c>
      <c r="J649" s="3142">
        <v>44960</v>
      </c>
      <c r="K649" s="3451">
        <v>5.04</v>
      </c>
      <c r="L649" s="5521">
        <v>0.41</v>
      </c>
      <c r="M649" s="2741">
        <v>5.83</v>
      </c>
      <c r="N649" s="5522">
        <v>0.4</v>
      </c>
      <c r="O649" s="4390">
        <v>-0.79</v>
      </c>
      <c r="P649" s="2741">
        <v>0</v>
      </c>
      <c r="Q649" s="2742">
        <v>0</v>
      </c>
      <c r="R649" s="4038">
        <v>0.69</v>
      </c>
      <c r="S649" s="2744">
        <v>0</v>
      </c>
      <c r="T649" s="2733">
        <v>19</v>
      </c>
      <c r="U649" s="5033">
        <v>0.47</v>
      </c>
      <c r="V649" s="2746">
        <v>0</v>
      </c>
      <c r="W649" s="3304">
        <v>0.05</v>
      </c>
      <c r="X649" s="5523">
        <v>0.47370000000000001</v>
      </c>
      <c r="Y649" s="2863">
        <v>9</v>
      </c>
      <c r="Z649" s="3504">
        <v>2</v>
      </c>
      <c r="AA649" s="2751">
        <v>0</v>
      </c>
      <c r="AB649" s="4770">
        <v>4</v>
      </c>
      <c r="AC649" s="2753">
        <v>1</v>
      </c>
      <c r="AD649" s="3430">
        <v>2</v>
      </c>
      <c r="AE649" s="2864">
        <v>1</v>
      </c>
      <c r="AF649" s="2755">
        <v>0</v>
      </c>
      <c r="AG649" s="107"/>
    </row>
    <row r="650" spans="1:33" ht="14.25">
      <c r="A650" s="109"/>
      <c r="B650" s="5832"/>
      <c r="C650" s="2762" t="s">
        <v>1027</v>
      </c>
      <c r="D650" s="2763"/>
      <c r="E650" s="2763"/>
      <c r="F650" s="2763">
        <v>28</v>
      </c>
      <c r="G650" s="2763" t="s">
        <v>1571</v>
      </c>
      <c r="H650" s="2763" t="s">
        <v>1568</v>
      </c>
      <c r="I650" s="4312">
        <v>36739</v>
      </c>
      <c r="J650" s="3163">
        <v>45017</v>
      </c>
      <c r="K650" s="4515">
        <v>4.03</v>
      </c>
      <c r="L650" s="3514">
        <v>0.5</v>
      </c>
      <c r="M650" s="5524">
        <v>5.51</v>
      </c>
      <c r="N650" s="5525">
        <v>0.42</v>
      </c>
      <c r="O650" s="3121">
        <v>-1.48</v>
      </c>
      <c r="P650" s="2771">
        <v>0</v>
      </c>
      <c r="Q650" s="2772">
        <v>0</v>
      </c>
      <c r="R650" s="4297">
        <v>0.5</v>
      </c>
      <c r="S650" s="2911">
        <v>0</v>
      </c>
      <c r="T650" s="2763">
        <v>9</v>
      </c>
      <c r="U650" s="3868">
        <v>0.67</v>
      </c>
      <c r="V650" s="3444">
        <v>0.11</v>
      </c>
      <c r="W650" s="4480">
        <v>0.11</v>
      </c>
      <c r="X650" s="5526">
        <v>0.77780000000000005</v>
      </c>
      <c r="Y650" s="3097">
        <v>6</v>
      </c>
      <c r="Z650" s="2774">
        <v>0</v>
      </c>
      <c r="AA650" s="2781">
        <v>1</v>
      </c>
      <c r="AB650" s="2774">
        <v>0</v>
      </c>
      <c r="AC650" s="2781">
        <v>1</v>
      </c>
      <c r="AD650" s="2837">
        <v>1</v>
      </c>
      <c r="AE650" s="2782">
        <v>0</v>
      </c>
      <c r="AF650" s="2783">
        <v>0</v>
      </c>
      <c r="AG650" s="107"/>
    </row>
    <row r="651" spans="1:33" ht="14.25">
      <c r="A651" s="109"/>
      <c r="B651" s="5831">
        <v>10</v>
      </c>
      <c r="C651" s="2792" t="s">
        <v>565</v>
      </c>
      <c r="D651" s="88"/>
      <c r="E651" s="88"/>
      <c r="F651" s="88">
        <v>28</v>
      </c>
      <c r="G651" s="88" t="s">
        <v>1585</v>
      </c>
      <c r="H651" s="88" t="s">
        <v>1568</v>
      </c>
      <c r="I651" s="88" t="s">
        <v>1891</v>
      </c>
      <c r="J651" s="27" t="s">
        <v>1629</v>
      </c>
      <c r="K651" s="5527">
        <v>6.02</v>
      </c>
      <c r="L651" s="3663">
        <v>0.6</v>
      </c>
      <c r="M651" s="5528">
        <v>3.07</v>
      </c>
      <c r="N651" s="5529">
        <v>0.67</v>
      </c>
      <c r="O651" s="4506">
        <f>2.95</f>
        <v>2.95</v>
      </c>
      <c r="P651" s="5530">
        <v>1.77</v>
      </c>
      <c r="Q651" s="2801">
        <v>1</v>
      </c>
      <c r="R651" s="5531">
        <v>0.33</v>
      </c>
      <c r="S651" s="5532">
        <v>0.9</v>
      </c>
      <c r="T651" s="88">
        <v>7</v>
      </c>
      <c r="U651" s="5533">
        <v>0.71</v>
      </c>
      <c r="V651" s="5534">
        <v>0.14000000000000001</v>
      </c>
      <c r="W651" s="3192">
        <v>0.14000000000000001</v>
      </c>
      <c r="X651" s="5535">
        <v>0.85709999999999997</v>
      </c>
      <c r="Y651" s="2808">
        <v>5</v>
      </c>
      <c r="Z651" s="2809">
        <v>0</v>
      </c>
      <c r="AA651" s="2753">
        <v>1</v>
      </c>
      <c r="AB651" s="2809">
        <v>0</v>
      </c>
      <c r="AC651" s="2753">
        <v>1</v>
      </c>
      <c r="AD651" s="2809">
        <v>0</v>
      </c>
      <c r="AE651" s="63">
        <v>0</v>
      </c>
      <c r="AF651" s="27">
        <v>0</v>
      </c>
      <c r="AG651" s="107"/>
    </row>
    <row r="652" spans="1:33" ht="14.25">
      <c r="A652" s="109"/>
      <c r="B652" s="5832"/>
      <c r="C652" s="2819" t="s">
        <v>541</v>
      </c>
      <c r="D652" s="2820"/>
      <c r="E652" s="2820"/>
      <c r="F652" s="2820">
        <v>29</v>
      </c>
      <c r="G652" s="2820" t="s">
        <v>1585</v>
      </c>
      <c r="H652" s="2820" t="s">
        <v>1597</v>
      </c>
      <c r="I652" s="4254">
        <v>37104</v>
      </c>
      <c r="J652" s="28" t="s">
        <v>1629</v>
      </c>
      <c r="K652" s="5536">
        <v>8.07</v>
      </c>
      <c r="L652" s="5511">
        <v>0.69</v>
      </c>
      <c r="M652" s="5537">
        <v>1.1299999999999999</v>
      </c>
      <c r="N652" s="5538">
        <v>0.71</v>
      </c>
      <c r="O652" s="2774">
        <f>6.94</f>
        <v>6.94</v>
      </c>
      <c r="P652" s="2771">
        <v>0</v>
      </c>
      <c r="Q652" s="2772">
        <v>0</v>
      </c>
      <c r="R652" s="2773">
        <v>1</v>
      </c>
      <c r="S652" s="2911">
        <v>0</v>
      </c>
      <c r="T652" s="2820">
        <v>10</v>
      </c>
      <c r="U652" s="4034">
        <v>0.4</v>
      </c>
      <c r="V652" s="2988">
        <v>0.2</v>
      </c>
      <c r="W652" s="5369">
        <v>0.2</v>
      </c>
      <c r="X652" s="5539">
        <v>0.6</v>
      </c>
      <c r="Y652" s="4377">
        <v>4</v>
      </c>
      <c r="Z652" s="2774">
        <v>0</v>
      </c>
      <c r="AA652" s="2836">
        <v>2</v>
      </c>
      <c r="AB652" s="2774">
        <v>0</v>
      </c>
      <c r="AC652" s="2836">
        <v>2</v>
      </c>
      <c r="AD652" s="2837">
        <v>1</v>
      </c>
      <c r="AE652" s="2841">
        <v>0</v>
      </c>
      <c r="AF652" s="28">
        <v>0</v>
      </c>
      <c r="AG652" s="107"/>
    </row>
    <row r="653" spans="1:33" ht="14.25">
      <c r="A653" s="109"/>
      <c r="B653" s="5833">
        <v>11</v>
      </c>
      <c r="C653" s="2732" t="s">
        <v>326</v>
      </c>
      <c r="D653" s="2733"/>
      <c r="E653" s="2733"/>
      <c r="F653" s="2733">
        <v>28</v>
      </c>
      <c r="G653" s="2733" t="s">
        <v>1630</v>
      </c>
      <c r="H653" s="2733" t="s">
        <v>1606</v>
      </c>
      <c r="I653" s="2733" t="s">
        <v>2017</v>
      </c>
      <c r="J653" s="3142">
        <v>45017</v>
      </c>
      <c r="K653" s="5398">
        <v>2.77</v>
      </c>
      <c r="L653" s="2796">
        <v>0.51</v>
      </c>
      <c r="M653" s="3001">
        <v>2.56</v>
      </c>
      <c r="N653" s="5540">
        <v>0.42</v>
      </c>
      <c r="O653" s="2740">
        <f>0.21</f>
        <v>0.21</v>
      </c>
      <c r="P653" s="3147">
        <v>1.89</v>
      </c>
      <c r="Q653" s="2801">
        <v>1</v>
      </c>
      <c r="R653" s="3398">
        <v>0.6</v>
      </c>
      <c r="S653" s="5541">
        <v>0.6</v>
      </c>
      <c r="T653" s="2733">
        <v>16</v>
      </c>
      <c r="U653" s="5507">
        <v>0.5</v>
      </c>
      <c r="V653" s="5542">
        <v>0.25</v>
      </c>
      <c r="W653" s="5543">
        <v>0.06</v>
      </c>
      <c r="X653" s="5402">
        <v>0.75</v>
      </c>
      <c r="Y653" s="3194">
        <v>8</v>
      </c>
      <c r="Z653" s="3991">
        <v>1</v>
      </c>
      <c r="AA653" s="4510">
        <v>4</v>
      </c>
      <c r="AB653" s="3991">
        <v>2</v>
      </c>
      <c r="AC653" s="2753">
        <v>1</v>
      </c>
      <c r="AD653" s="2809">
        <v>0</v>
      </c>
      <c r="AE653" s="2754">
        <v>0</v>
      </c>
      <c r="AF653" s="2755">
        <v>0</v>
      </c>
      <c r="AG653" s="107"/>
    </row>
    <row r="654" spans="1:33" ht="14.25">
      <c r="A654" s="109"/>
      <c r="B654" s="5832"/>
      <c r="C654" s="2762" t="s">
        <v>327</v>
      </c>
      <c r="D654" s="2763"/>
      <c r="E654" s="2763"/>
      <c r="F654" s="2763">
        <v>28</v>
      </c>
      <c r="G654" s="2763" t="s">
        <v>1605</v>
      </c>
      <c r="H654" s="2763" t="s">
        <v>1595</v>
      </c>
      <c r="I654" s="4312">
        <v>36741</v>
      </c>
      <c r="J654" s="3163">
        <v>45017</v>
      </c>
      <c r="K654" s="4618">
        <v>5.05</v>
      </c>
      <c r="L654" s="5116">
        <v>0.53</v>
      </c>
      <c r="M654" s="5544">
        <v>1.76</v>
      </c>
      <c r="N654" s="3410">
        <v>0.72</v>
      </c>
      <c r="O654" s="4549">
        <f>3.29</f>
        <v>3.29</v>
      </c>
      <c r="P654" s="2771">
        <v>0</v>
      </c>
      <c r="Q654" s="2772">
        <v>0</v>
      </c>
      <c r="R654" s="2983">
        <v>0.66</v>
      </c>
      <c r="S654" s="2911">
        <v>0</v>
      </c>
      <c r="T654" s="2763">
        <v>11</v>
      </c>
      <c r="U654" s="3414">
        <v>0.27</v>
      </c>
      <c r="V654" s="2834">
        <v>0</v>
      </c>
      <c r="W654" s="2880">
        <v>0.45</v>
      </c>
      <c r="X654" s="5545">
        <v>0.2727</v>
      </c>
      <c r="Y654" s="4264">
        <v>3</v>
      </c>
      <c r="Z654" s="2774">
        <v>0</v>
      </c>
      <c r="AA654" s="2840">
        <v>0</v>
      </c>
      <c r="AB654" s="3762">
        <v>3</v>
      </c>
      <c r="AC654" s="2838">
        <v>5</v>
      </c>
      <c r="AD654" s="2774">
        <v>0</v>
      </c>
      <c r="AE654" s="2782">
        <v>0</v>
      </c>
      <c r="AF654" s="2783">
        <v>0</v>
      </c>
      <c r="AG654" s="107"/>
    </row>
    <row r="655" spans="1:33" ht="14.25">
      <c r="A655" s="109"/>
      <c r="B655" s="5831">
        <v>12</v>
      </c>
      <c r="C655" s="2792" t="s">
        <v>1338</v>
      </c>
      <c r="D655" s="88"/>
      <c r="E655" s="88"/>
      <c r="F655" s="88">
        <v>29</v>
      </c>
      <c r="G655" s="88" t="s">
        <v>1630</v>
      </c>
      <c r="H655" s="88" t="s">
        <v>1879</v>
      </c>
      <c r="I655" s="88" t="s">
        <v>1909</v>
      </c>
      <c r="J655" s="3184">
        <v>44987</v>
      </c>
      <c r="K655" s="3662">
        <v>3.97</v>
      </c>
      <c r="L655" s="5546">
        <v>0.37</v>
      </c>
      <c r="M655" s="4686">
        <v>3.95</v>
      </c>
      <c r="N655" s="5547">
        <v>0.51</v>
      </c>
      <c r="O655" s="5548">
        <f>0.02</f>
        <v>0.02</v>
      </c>
      <c r="P655" s="5549">
        <v>0.62</v>
      </c>
      <c r="Q655" s="4914">
        <v>0.27</v>
      </c>
      <c r="R655" s="3457">
        <v>0.63</v>
      </c>
      <c r="S655" s="5541">
        <v>0.6</v>
      </c>
      <c r="T655" s="88">
        <v>22</v>
      </c>
      <c r="U655" s="5550">
        <v>0.14000000000000001</v>
      </c>
      <c r="V655" s="3151">
        <v>0.09</v>
      </c>
      <c r="W655" s="5551">
        <v>0.41</v>
      </c>
      <c r="X655" s="2861">
        <v>0.2273</v>
      </c>
      <c r="Y655" s="4207">
        <v>3</v>
      </c>
      <c r="Z655" s="2809">
        <v>0</v>
      </c>
      <c r="AA655" s="2810">
        <v>2</v>
      </c>
      <c r="AB655" s="2862">
        <v>1</v>
      </c>
      <c r="AC655" s="2864">
        <v>9</v>
      </c>
      <c r="AD655" s="2744">
        <v>7</v>
      </c>
      <c r="AE655" s="63">
        <v>0</v>
      </c>
      <c r="AF655" s="27">
        <v>0</v>
      </c>
      <c r="AG655" s="107"/>
    </row>
    <row r="656" spans="1:33" ht="14.25">
      <c r="A656" s="109"/>
      <c r="B656" s="5832"/>
      <c r="C656" s="2819" t="s">
        <v>1339</v>
      </c>
      <c r="D656" s="2820"/>
      <c r="E656" s="2820"/>
      <c r="F656" s="2820">
        <v>29</v>
      </c>
      <c r="G656" s="2820" t="s">
        <v>1623</v>
      </c>
      <c r="H656" s="2820" t="s">
        <v>1593</v>
      </c>
      <c r="I656" s="4254">
        <v>36740</v>
      </c>
      <c r="J656" s="3204">
        <v>44987</v>
      </c>
      <c r="K656" s="5552">
        <v>3.05</v>
      </c>
      <c r="L656" s="3066">
        <v>0.55000000000000004</v>
      </c>
      <c r="M656" s="4211">
        <v>1.08</v>
      </c>
      <c r="N656" s="2769">
        <v>0.6</v>
      </c>
      <c r="O656" s="5553">
        <f>1.97</f>
        <v>1.97</v>
      </c>
      <c r="P656" s="2890">
        <v>6.63</v>
      </c>
      <c r="Q656" s="5554">
        <v>0.61</v>
      </c>
      <c r="R656" s="3413">
        <v>0.75</v>
      </c>
      <c r="S656" s="2911">
        <v>0</v>
      </c>
      <c r="T656" s="2820">
        <v>10</v>
      </c>
      <c r="U656" s="4034">
        <v>0.4</v>
      </c>
      <c r="V656" s="4655">
        <v>0.1</v>
      </c>
      <c r="W656" s="4051">
        <v>0.3</v>
      </c>
      <c r="X656" s="5555">
        <v>0.5</v>
      </c>
      <c r="Y656" s="4377">
        <v>4</v>
      </c>
      <c r="Z656" s="2774">
        <v>0</v>
      </c>
      <c r="AA656" s="2781">
        <v>1</v>
      </c>
      <c r="AB656" s="2837">
        <v>1</v>
      </c>
      <c r="AC656" s="2780">
        <v>3</v>
      </c>
      <c r="AD656" s="2774">
        <v>0</v>
      </c>
      <c r="AE656" s="2841">
        <v>0</v>
      </c>
      <c r="AF656" s="2911">
        <v>1</v>
      </c>
      <c r="AG656" s="107"/>
    </row>
    <row r="657" spans="1:41" ht="14.25">
      <c r="A657" s="109"/>
      <c r="B657" s="5833">
        <v>13</v>
      </c>
      <c r="C657" s="2732" t="s">
        <v>753</v>
      </c>
      <c r="D657" s="2733"/>
      <c r="E657" s="2733"/>
      <c r="F657" s="2733">
        <v>34</v>
      </c>
      <c r="G657" s="2733" t="s">
        <v>1605</v>
      </c>
      <c r="H657" s="2733" t="s">
        <v>1616</v>
      </c>
      <c r="I657" s="2733" t="s">
        <v>1888</v>
      </c>
      <c r="J657" s="3142">
        <v>44987</v>
      </c>
      <c r="K657" s="5169">
        <v>3.42</v>
      </c>
      <c r="L657" s="5521">
        <v>0.41</v>
      </c>
      <c r="M657" s="5170">
        <v>4.8899999999999997</v>
      </c>
      <c r="N657" s="3497">
        <v>0.54</v>
      </c>
      <c r="O657" s="5556">
        <v>-1.47</v>
      </c>
      <c r="P657" s="5557">
        <v>0.67</v>
      </c>
      <c r="Q657" s="4007">
        <v>0.14000000000000001</v>
      </c>
      <c r="R657" s="2801">
        <v>1</v>
      </c>
      <c r="S657" s="4628">
        <v>0.7</v>
      </c>
      <c r="T657" s="2733">
        <v>22</v>
      </c>
      <c r="U657" s="2746">
        <v>0</v>
      </c>
      <c r="V657" s="5558">
        <v>0.5</v>
      </c>
      <c r="W657" s="4225">
        <v>0.23</v>
      </c>
      <c r="X657" s="5559">
        <v>0.5</v>
      </c>
      <c r="Y657" s="2751">
        <v>0</v>
      </c>
      <c r="Z657" s="2809">
        <v>0</v>
      </c>
      <c r="AA657" s="3644">
        <v>11</v>
      </c>
      <c r="AB657" s="3504">
        <v>3</v>
      </c>
      <c r="AC657" s="3946">
        <v>5</v>
      </c>
      <c r="AD657" s="2750">
        <v>3</v>
      </c>
      <c r="AE657" s="2754">
        <v>0</v>
      </c>
      <c r="AF657" s="2755">
        <v>0</v>
      </c>
      <c r="AG657" s="107"/>
    </row>
    <row r="658" spans="1:41" ht="14.25">
      <c r="A658" s="109"/>
      <c r="B658" s="5832"/>
      <c r="C658" s="2762" t="s">
        <v>763</v>
      </c>
      <c r="D658" s="2763"/>
      <c r="E658" s="2763"/>
      <c r="F658" s="2763">
        <v>30</v>
      </c>
      <c r="G658" s="2763" t="s">
        <v>1588</v>
      </c>
      <c r="H658" s="2763" t="s">
        <v>1837</v>
      </c>
      <c r="I658" s="2763" t="s">
        <v>1985</v>
      </c>
      <c r="J658" s="3163">
        <v>44987</v>
      </c>
      <c r="K658" s="2823">
        <v>3.4</v>
      </c>
      <c r="L658" s="5560">
        <v>0.34</v>
      </c>
      <c r="M658" s="5561">
        <v>4.71</v>
      </c>
      <c r="N658" s="5501">
        <v>0.57999999999999996</v>
      </c>
      <c r="O658" s="5562">
        <v>-1.31</v>
      </c>
      <c r="P658" s="2771">
        <v>0</v>
      </c>
      <c r="Q658" s="2772">
        <v>0</v>
      </c>
      <c r="R658" s="2773">
        <v>1</v>
      </c>
      <c r="S658" s="2911">
        <v>0</v>
      </c>
      <c r="T658" s="2763">
        <v>18</v>
      </c>
      <c r="U658" s="5563">
        <v>0.5</v>
      </c>
      <c r="V658" s="2834">
        <v>0</v>
      </c>
      <c r="W658" s="5046">
        <v>0.22</v>
      </c>
      <c r="X658" s="5555">
        <v>0.5</v>
      </c>
      <c r="Y658" s="3341">
        <v>9</v>
      </c>
      <c r="Z658" s="2911">
        <v>4</v>
      </c>
      <c r="AA658" s="2840">
        <v>0</v>
      </c>
      <c r="AB658" s="2837">
        <v>1</v>
      </c>
      <c r="AC658" s="3097">
        <v>4</v>
      </c>
      <c r="AD658" s="2774">
        <v>0</v>
      </c>
      <c r="AE658" s="2782">
        <v>0</v>
      </c>
      <c r="AF658" s="2783">
        <v>0</v>
      </c>
      <c r="AG658" s="107"/>
    </row>
    <row r="659" spans="1:41" ht="14.25">
      <c r="A659" s="109"/>
      <c r="B659" s="5831">
        <v>14</v>
      </c>
      <c r="C659" s="2792" t="s">
        <v>418</v>
      </c>
      <c r="D659" s="88"/>
      <c r="E659" s="88"/>
      <c r="F659" s="88">
        <v>32</v>
      </c>
      <c r="G659" s="88" t="s">
        <v>1588</v>
      </c>
      <c r="H659" s="88" t="s">
        <v>1618</v>
      </c>
      <c r="I659" s="88" t="s">
        <v>1985</v>
      </c>
      <c r="J659" s="3184">
        <v>44960</v>
      </c>
      <c r="K659" s="5564">
        <v>4.2300000000000004</v>
      </c>
      <c r="L659" s="5565">
        <v>0.52</v>
      </c>
      <c r="M659" s="2961">
        <v>3.75</v>
      </c>
      <c r="N659" s="3497">
        <v>0.54</v>
      </c>
      <c r="O659" s="3698">
        <f>0.48</f>
        <v>0.48</v>
      </c>
      <c r="P659" s="4997">
        <v>0.23</v>
      </c>
      <c r="Q659" s="4007">
        <v>0.14000000000000001</v>
      </c>
      <c r="R659" s="3774">
        <v>0.54</v>
      </c>
      <c r="S659" s="5566">
        <v>0.2</v>
      </c>
      <c r="T659" s="88">
        <v>18</v>
      </c>
      <c r="U659" s="4678">
        <v>0.28000000000000003</v>
      </c>
      <c r="V659" s="3666">
        <v>0.22</v>
      </c>
      <c r="W659" s="5324">
        <v>0.22</v>
      </c>
      <c r="X659" s="5559">
        <v>0.5</v>
      </c>
      <c r="Y659" s="2808">
        <v>5</v>
      </c>
      <c r="Z659" s="2809">
        <v>0</v>
      </c>
      <c r="AA659" s="4510">
        <v>4</v>
      </c>
      <c r="AB659" s="2809">
        <v>0</v>
      </c>
      <c r="AC659" s="3155">
        <v>4</v>
      </c>
      <c r="AD659" s="3007">
        <v>5</v>
      </c>
      <c r="AE659" s="63">
        <v>0</v>
      </c>
      <c r="AF659" s="27">
        <v>0</v>
      </c>
      <c r="AG659" s="107"/>
    </row>
    <row r="660" spans="1:41" ht="14.25">
      <c r="A660" s="109"/>
      <c r="B660" s="5832"/>
      <c r="C660" s="2819" t="s">
        <v>524</v>
      </c>
      <c r="D660" s="2820"/>
      <c r="E660" s="2820"/>
      <c r="F660" s="2820">
        <v>27</v>
      </c>
      <c r="G660" s="2820" t="s">
        <v>1630</v>
      </c>
      <c r="H660" s="2820" t="s">
        <v>1606</v>
      </c>
      <c r="I660" s="2820" t="s">
        <v>1636</v>
      </c>
      <c r="J660" s="28" t="s">
        <v>1629</v>
      </c>
      <c r="K660" s="5567">
        <v>6.47</v>
      </c>
      <c r="L660" s="2773">
        <v>0.8</v>
      </c>
      <c r="M660" s="2890">
        <v>0.4</v>
      </c>
      <c r="N660" s="3242">
        <v>0.5</v>
      </c>
      <c r="O660" s="5568">
        <f>6.07</f>
        <v>6.07</v>
      </c>
      <c r="P660" s="4841">
        <v>4.04</v>
      </c>
      <c r="Q660" s="5520">
        <v>0.5</v>
      </c>
      <c r="R660" s="2772">
        <v>0</v>
      </c>
      <c r="S660" s="2911">
        <v>0</v>
      </c>
      <c r="T660" s="2820">
        <v>11</v>
      </c>
      <c r="U660" s="4014">
        <v>0.36</v>
      </c>
      <c r="V660" s="5497">
        <v>0.27</v>
      </c>
      <c r="W660" s="5026">
        <v>0.36</v>
      </c>
      <c r="X660" s="4624">
        <v>0.63639999999999997</v>
      </c>
      <c r="Y660" s="4377">
        <v>4</v>
      </c>
      <c r="Z660" s="2774">
        <v>0</v>
      </c>
      <c r="AA660" s="2780">
        <v>3</v>
      </c>
      <c r="AB660" s="2774">
        <v>0</v>
      </c>
      <c r="AC660" s="3097">
        <v>4</v>
      </c>
      <c r="AD660" s="2774">
        <v>0</v>
      </c>
      <c r="AE660" s="2841">
        <v>0</v>
      </c>
      <c r="AF660" s="28">
        <v>0</v>
      </c>
      <c r="AG660" s="620"/>
    </row>
    <row r="664" spans="1:41" ht="12.75">
      <c r="A664" s="2728">
        <v>20231111</v>
      </c>
      <c r="B664" s="620"/>
      <c r="C664" s="620" t="s">
        <v>223</v>
      </c>
    </row>
    <row r="665" spans="1:41" ht="12.75">
      <c r="A665" s="108"/>
      <c r="B665" s="108"/>
      <c r="C665" s="107"/>
      <c r="D665" s="108"/>
      <c r="E665" s="108"/>
      <c r="F665" s="108"/>
      <c r="G665" s="108"/>
      <c r="H665" s="108"/>
      <c r="I665" s="108"/>
      <c r="J665" s="108"/>
      <c r="K665" s="108"/>
      <c r="L665" s="108"/>
      <c r="M665" s="108"/>
      <c r="N665" s="108"/>
      <c r="O665" s="108"/>
      <c r="P665" s="108"/>
      <c r="Q665" s="108"/>
      <c r="R665" s="108"/>
      <c r="S665" s="108"/>
      <c r="T665" s="108"/>
      <c r="U665" s="108"/>
      <c r="V665" s="108"/>
      <c r="W665" s="108"/>
      <c r="X665" s="108"/>
      <c r="Y665" s="108"/>
      <c r="Z665" s="108"/>
      <c r="AA665" s="108"/>
      <c r="AB665" s="108"/>
      <c r="AC665" s="108"/>
      <c r="AD665" s="108"/>
      <c r="AE665" s="108"/>
      <c r="AF665" s="108"/>
      <c r="AG665" s="108"/>
      <c r="AH665" s="108"/>
      <c r="AI665" s="108"/>
      <c r="AJ665" s="108"/>
      <c r="AK665" s="108"/>
      <c r="AL665" s="108"/>
      <c r="AM665" s="108"/>
      <c r="AN665" s="107"/>
      <c r="AO665" s="107"/>
    </row>
    <row r="666" spans="1:41">
      <c r="A666" s="109"/>
      <c r="B666" s="5834" t="s">
        <v>1524</v>
      </c>
      <c r="C666" s="5840" t="s">
        <v>1525</v>
      </c>
      <c r="D666" s="5841" t="s">
        <v>1526</v>
      </c>
      <c r="E666" s="5836"/>
      <c r="F666" s="5836"/>
      <c r="G666" s="5836"/>
      <c r="H666" s="5836"/>
      <c r="I666" s="5836"/>
      <c r="J666" s="5832"/>
      <c r="K666" s="5837" t="s">
        <v>1527</v>
      </c>
      <c r="L666" s="5836"/>
      <c r="M666" s="5836"/>
      <c r="N666" s="5836"/>
      <c r="O666" s="5832"/>
      <c r="P666" s="5838" t="s">
        <v>1528</v>
      </c>
      <c r="Q666" s="5836"/>
      <c r="R666" s="5836"/>
      <c r="S666" s="5832"/>
      <c r="T666" s="5839" t="s">
        <v>1529</v>
      </c>
      <c r="U666" s="5836"/>
      <c r="V666" s="5836"/>
      <c r="W666" s="5836"/>
      <c r="X666" s="5836"/>
      <c r="Y666" s="5836"/>
      <c r="Z666" s="5836"/>
      <c r="AA666" s="5836"/>
      <c r="AB666" s="5836"/>
      <c r="AC666" s="5836"/>
      <c r="AD666" s="5836"/>
      <c r="AE666" s="5836"/>
      <c r="AF666" s="5832"/>
      <c r="AG666" s="5842" t="s">
        <v>1530</v>
      </c>
      <c r="AH666" s="5836"/>
      <c r="AI666" s="5836"/>
      <c r="AJ666" s="5836"/>
      <c r="AK666" s="5836"/>
      <c r="AL666" s="5836"/>
      <c r="AM666" s="5836"/>
      <c r="AN666" s="5832"/>
      <c r="AO666" s="107"/>
    </row>
    <row r="667" spans="1:41" ht="15">
      <c r="A667" s="109"/>
      <c r="B667" s="5832"/>
      <c r="C667" s="5832"/>
      <c r="D667" s="111"/>
      <c r="E667" s="112"/>
      <c r="F667" s="111" t="s">
        <v>1533</v>
      </c>
      <c r="G667" s="111" t="s">
        <v>1534</v>
      </c>
      <c r="H667" s="111" t="s">
        <v>1535</v>
      </c>
      <c r="I667" s="111" t="s">
        <v>1536</v>
      </c>
      <c r="J667" s="111" t="s">
        <v>1537</v>
      </c>
      <c r="K667" s="111" t="s">
        <v>1538</v>
      </c>
      <c r="L667" s="111" t="s">
        <v>1539</v>
      </c>
      <c r="M667" s="111" t="s">
        <v>1540</v>
      </c>
      <c r="N667" s="111" t="s">
        <v>1541</v>
      </c>
      <c r="O667" s="111" t="s">
        <v>1542</v>
      </c>
      <c r="P667" s="111" t="s">
        <v>1543</v>
      </c>
      <c r="Q667" s="111" t="s">
        <v>1544</v>
      </c>
      <c r="R667" s="111" t="s">
        <v>1545</v>
      </c>
      <c r="S667" s="111" t="s">
        <v>1546</v>
      </c>
      <c r="T667" s="111" t="s">
        <v>1547</v>
      </c>
      <c r="U667" s="111" t="s">
        <v>1548</v>
      </c>
      <c r="V667" s="111" t="s">
        <v>1549</v>
      </c>
      <c r="W667" s="111" t="s">
        <v>1550</v>
      </c>
      <c r="X667" s="112" t="s">
        <v>1551</v>
      </c>
      <c r="Y667" s="113" t="s">
        <v>1552</v>
      </c>
      <c r="Z667" s="114" t="s">
        <v>1553</v>
      </c>
      <c r="AA667" s="113" t="s">
        <v>1554</v>
      </c>
      <c r="AB667" s="114" t="s">
        <v>1555</v>
      </c>
      <c r="AC667" s="115" t="s">
        <v>1556</v>
      </c>
      <c r="AD667" s="114" t="s">
        <v>1557</v>
      </c>
      <c r="AE667" s="113" t="s">
        <v>1558</v>
      </c>
      <c r="AF667" s="116" t="s">
        <v>1559</v>
      </c>
      <c r="AG667" s="111" t="s">
        <v>1560</v>
      </c>
      <c r="AH667" s="111"/>
      <c r="AI667" s="112" t="s">
        <v>1561</v>
      </c>
      <c r="AJ667" s="111" t="s">
        <v>1562</v>
      </c>
      <c r="AK667" s="111" t="s">
        <v>1563</v>
      </c>
      <c r="AL667" s="111" t="s">
        <v>1564</v>
      </c>
      <c r="AM667" s="111" t="s">
        <v>1565</v>
      </c>
      <c r="AN667" s="112" t="s">
        <v>1566</v>
      </c>
      <c r="AO667" s="107"/>
    </row>
    <row r="668" spans="1:41" ht="15">
      <c r="A668" s="109"/>
      <c r="B668" s="5833">
        <v>1</v>
      </c>
      <c r="C668" s="2732" t="s">
        <v>662</v>
      </c>
      <c r="D668" s="5569"/>
      <c r="E668" s="5570"/>
      <c r="F668" s="2733">
        <v>31</v>
      </c>
      <c r="G668" s="2733" t="s">
        <v>1567</v>
      </c>
      <c r="H668" s="2733" t="s">
        <v>1572</v>
      </c>
      <c r="I668" s="2733" t="s">
        <v>2025</v>
      </c>
      <c r="J668" s="2755" t="s">
        <v>1629</v>
      </c>
      <c r="K668" s="4572">
        <v>5.77</v>
      </c>
      <c r="L668" s="5571">
        <v>0.55000000000000004</v>
      </c>
      <c r="M668" s="5572">
        <v>5.4</v>
      </c>
      <c r="N668" s="5573">
        <v>0.4</v>
      </c>
      <c r="O668" s="4039">
        <f>0.37</f>
        <v>0.37</v>
      </c>
      <c r="P668" s="3392">
        <v>0.38</v>
      </c>
      <c r="Q668" s="2801">
        <v>1</v>
      </c>
      <c r="R668" s="3820">
        <v>0.68</v>
      </c>
      <c r="S668" s="2862">
        <v>0.4</v>
      </c>
      <c r="T668" s="2733">
        <v>33</v>
      </c>
      <c r="U668" s="5574">
        <v>0.76</v>
      </c>
      <c r="V668" s="3799">
        <v>0.09</v>
      </c>
      <c r="W668" s="5575">
        <v>0.03</v>
      </c>
      <c r="X668" s="5576">
        <v>0.84850000000000003</v>
      </c>
      <c r="Y668" s="2864">
        <v>25</v>
      </c>
      <c r="Z668" s="3991">
        <v>2</v>
      </c>
      <c r="AA668" s="2808">
        <v>3</v>
      </c>
      <c r="AB668" s="3991">
        <v>1</v>
      </c>
      <c r="AC668" s="2753">
        <v>1</v>
      </c>
      <c r="AD668" s="2809">
        <v>0</v>
      </c>
      <c r="AE668" s="2754">
        <v>0</v>
      </c>
      <c r="AF668" s="2755">
        <v>0</v>
      </c>
      <c r="AG668" s="4473">
        <f>130</f>
        <v>130</v>
      </c>
      <c r="AH668" s="5132"/>
      <c r="AI668" s="5133">
        <f>105</f>
        <v>105</v>
      </c>
      <c r="AJ668" s="5577">
        <v>-600</v>
      </c>
      <c r="AK668" s="3541">
        <f>135</f>
        <v>135</v>
      </c>
      <c r="AL668" s="5578">
        <f>200</f>
        <v>200</v>
      </c>
      <c r="AM668" s="2976">
        <f>675</f>
        <v>675</v>
      </c>
      <c r="AN668" s="3577">
        <f>650</f>
        <v>650</v>
      </c>
      <c r="AO668" s="107"/>
    </row>
    <row r="669" spans="1:41" ht="15">
      <c r="A669" s="109"/>
      <c r="B669" s="5832"/>
      <c r="C669" s="2762" t="s">
        <v>1109</v>
      </c>
      <c r="D669" s="5579"/>
      <c r="E669" s="5580"/>
      <c r="F669" s="2763">
        <v>36</v>
      </c>
      <c r="G669" s="2763" t="s">
        <v>1585</v>
      </c>
      <c r="H669" s="2763" t="s">
        <v>1572</v>
      </c>
      <c r="I669" s="4312">
        <v>36740</v>
      </c>
      <c r="J669" s="3163">
        <v>45017</v>
      </c>
      <c r="K669" s="4618">
        <v>5.1100000000000003</v>
      </c>
      <c r="L669" s="4396">
        <v>0.62</v>
      </c>
      <c r="M669" s="4515">
        <v>3.7</v>
      </c>
      <c r="N669" s="5581">
        <v>0.51</v>
      </c>
      <c r="O669" s="3269">
        <f>1.41</f>
        <v>1.41</v>
      </c>
      <c r="P669" s="5582">
        <v>0.22</v>
      </c>
      <c r="Q669" s="2773">
        <v>1</v>
      </c>
      <c r="R669" s="4548">
        <v>0.7</v>
      </c>
      <c r="S669" s="5583">
        <v>0.2</v>
      </c>
      <c r="T669" s="2763">
        <v>10</v>
      </c>
      <c r="U669" s="3684">
        <v>0.6</v>
      </c>
      <c r="V669" s="2834">
        <v>0</v>
      </c>
      <c r="W669" s="4106">
        <v>0.2</v>
      </c>
      <c r="X669" s="4867">
        <v>0.6</v>
      </c>
      <c r="Y669" s="5584">
        <v>6</v>
      </c>
      <c r="Z669" s="2837">
        <v>1</v>
      </c>
      <c r="AA669" s="2840">
        <v>0</v>
      </c>
      <c r="AB669" s="4002">
        <v>1</v>
      </c>
      <c r="AC669" s="2836">
        <v>2</v>
      </c>
      <c r="AD669" s="2774">
        <v>0</v>
      </c>
      <c r="AE669" s="2782">
        <v>0</v>
      </c>
      <c r="AF669" s="2783">
        <v>0</v>
      </c>
      <c r="AG669" s="5585">
        <v>-150</v>
      </c>
      <c r="AH669" s="3044"/>
      <c r="AI669" s="5586">
        <v>-125</v>
      </c>
      <c r="AJ669" s="5587">
        <v>-600</v>
      </c>
      <c r="AK669" s="5222">
        <f t="shared" ref="AK669:AL669" si="45">100</f>
        <v>100</v>
      </c>
      <c r="AL669" s="2890">
        <f t="shared" si="45"/>
        <v>100</v>
      </c>
      <c r="AM669" s="3918">
        <f>2500</f>
        <v>2500</v>
      </c>
      <c r="AN669" s="5057">
        <f>800</f>
        <v>800</v>
      </c>
      <c r="AO669" s="107"/>
    </row>
    <row r="670" spans="1:41" ht="15">
      <c r="A670" s="109"/>
      <c r="B670" s="5831">
        <v>2</v>
      </c>
      <c r="C670" s="2792" t="s">
        <v>1104</v>
      </c>
      <c r="D670" s="3421"/>
      <c r="E670" s="5588"/>
      <c r="F670" s="88">
        <v>31</v>
      </c>
      <c r="G670" s="88" t="s">
        <v>1567</v>
      </c>
      <c r="H670" s="88" t="s">
        <v>1601</v>
      </c>
      <c r="I670" s="88" t="s">
        <v>2026</v>
      </c>
      <c r="J670" s="27" t="s">
        <v>1629</v>
      </c>
      <c r="K670" s="2905">
        <v>8.7200000000000006</v>
      </c>
      <c r="L670" s="4058">
        <v>0.49</v>
      </c>
      <c r="M670" s="5589">
        <v>4.33</v>
      </c>
      <c r="N670" s="5590">
        <v>0.56999999999999995</v>
      </c>
      <c r="O670" s="5591">
        <f>4.39</f>
        <v>4.3899999999999997</v>
      </c>
      <c r="P670" s="2741">
        <v>0</v>
      </c>
      <c r="Q670" s="2742">
        <v>0</v>
      </c>
      <c r="R670" s="5592">
        <v>0.75</v>
      </c>
      <c r="S670" s="2744">
        <v>0</v>
      </c>
      <c r="T670" s="88">
        <v>19</v>
      </c>
      <c r="U670" s="5593">
        <v>0.79</v>
      </c>
      <c r="V670" s="2746">
        <v>0</v>
      </c>
      <c r="W670" s="3082">
        <v>0.16</v>
      </c>
      <c r="X670" s="5594">
        <v>0.78949999999999998</v>
      </c>
      <c r="Y670" s="5595">
        <v>15</v>
      </c>
      <c r="Z670" s="2862">
        <v>1</v>
      </c>
      <c r="AA670" s="2751">
        <v>0</v>
      </c>
      <c r="AB670" s="2809">
        <v>0</v>
      </c>
      <c r="AC670" s="2808">
        <v>3</v>
      </c>
      <c r="AD670" s="2809">
        <v>0</v>
      </c>
      <c r="AE670" s="63">
        <v>0</v>
      </c>
      <c r="AF670" s="27">
        <v>0</v>
      </c>
      <c r="AG670" s="3969">
        <v>-125</v>
      </c>
      <c r="AH670" s="3544"/>
      <c r="AI670" s="5309">
        <v>-101</v>
      </c>
      <c r="AJ670" s="2759">
        <v>-2000</v>
      </c>
      <c r="AK670" s="5596">
        <v>-105</v>
      </c>
      <c r="AL670" s="5196">
        <f>115</f>
        <v>115</v>
      </c>
      <c r="AM670" s="2741">
        <f>3000</f>
        <v>3000</v>
      </c>
      <c r="AN670" s="2744">
        <f>1500</f>
        <v>1500</v>
      </c>
      <c r="AO670" s="107"/>
    </row>
    <row r="671" spans="1:41" ht="15">
      <c r="A671" s="109"/>
      <c r="B671" s="5832"/>
      <c r="C671" s="2819" t="s">
        <v>1105</v>
      </c>
      <c r="D671" s="5597"/>
      <c r="E671" s="5598"/>
      <c r="F671" s="2820">
        <v>30</v>
      </c>
      <c r="G671" s="2820" t="s">
        <v>1579</v>
      </c>
      <c r="H671" s="2820" t="s">
        <v>1597</v>
      </c>
      <c r="I671" s="2820" t="s">
        <v>2017</v>
      </c>
      <c r="J671" s="3204">
        <v>45017</v>
      </c>
      <c r="K671" s="5599">
        <v>7.65</v>
      </c>
      <c r="L671" s="2773">
        <v>0.66</v>
      </c>
      <c r="M671" s="5600">
        <v>2.9</v>
      </c>
      <c r="N671" s="3410">
        <v>0.65</v>
      </c>
      <c r="O671" s="2774">
        <f>4.75</f>
        <v>4.75</v>
      </c>
      <c r="P671" s="5601">
        <v>3.7</v>
      </c>
      <c r="Q671" s="2773">
        <v>1</v>
      </c>
      <c r="R671" s="2773">
        <v>1</v>
      </c>
      <c r="S671" s="5602">
        <v>1.9</v>
      </c>
      <c r="T671" s="2820">
        <v>16</v>
      </c>
      <c r="U671" s="4551">
        <v>0.56000000000000005</v>
      </c>
      <c r="V671" s="2776">
        <v>0.25</v>
      </c>
      <c r="W671" s="2834">
        <v>0</v>
      </c>
      <c r="X671" s="5603">
        <v>0.8125</v>
      </c>
      <c r="Y671" s="5604">
        <v>9</v>
      </c>
      <c r="Z671" s="2837">
        <v>1</v>
      </c>
      <c r="AA671" s="2951">
        <v>4</v>
      </c>
      <c r="AB671" s="4002">
        <v>1</v>
      </c>
      <c r="AC671" s="2840">
        <v>0</v>
      </c>
      <c r="AD671" s="2774">
        <v>0</v>
      </c>
      <c r="AE671" s="2841">
        <v>0</v>
      </c>
      <c r="AF671" s="2911">
        <v>1</v>
      </c>
      <c r="AG671" s="4266">
        <f>105</f>
        <v>105</v>
      </c>
      <c r="AH671" s="5605"/>
      <c r="AI671" s="5606">
        <v>-119</v>
      </c>
      <c r="AJ671" s="2787">
        <v>-2000</v>
      </c>
      <c r="AK671" s="2888">
        <v>-110</v>
      </c>
      <c r="AL671" s="5607">
        <f>175</f>
        <v>175</v>
      </c>
      <c r="AM671" s="5607">
        <f>300</f>
        <v>300</v>
      </c>
      <c r="AN671" s="5608">
        <f>1400</f>
        <v>1400</v>
      </c>
      <c r="AO671" s="107"/>
    </row>
    <row r="672" spans="1:41" ht="15">
      <c r="A672" s="109"/>
      <c r="B672" s="5833">
        <v>3</v>
      </c>
      <c r="C672" s="2732" t="s">
        <v>1446</v>
      </c>
      <c r="D672" s="5609"/>
      <c r="E672" s="5610"/>
      <c r="F672" s="2733">
        <v>32</v>
      </c>
      <c r="G672" s="2733" t="s">
        <v>1611</v>
      </c>
      <c r="H672" s="2733" t="s">
        <v>1715</v>
      </c>
      <c r="I672" s="2733" t="s">
        <v>2027</v>
      </c>
      <c r="J672" s="3142">
        <v>44960</v>
      </c>
      <c r="K672" s="3349">
        <v>6.68</v>
      </c>
      <c r="L672" s="5565">
        <v>0.5</v>
      </c>
      <c r="M672" s="5611">
        <v>5.34</v>
      </c>
      <c r="N672" s="5612">
        <v>0.54</v>
      </c>
      <c r="O672" s="2853">
        <f>1.34</f>
        <v>1.34</v>
      </c>
      <c r="P672" s="3851">
        <v>2.54</v>
      </c>
      <c r="Q672" s="4038">
        <v>0.54</v>
      </c>
      <c r="R672" s="5565">
        <v>0.7</v>
      </c>
      <c r="S672" s="2862">
        <v>0.4</v>
      </c>
      <c r="T672" s="2733">
        <v>36</v>
      </c>
      <c r="U672" s="3701">
        <v>0.25</v>
      </c>
      <c r="V672" s="4939">
        <v>0.22</v>
      </c>
      <c r="W672" s="3988">
        <v>0.19</v>
      </c>
      <c r="X672" s="5523">
        <v>0.47220000000000001</v>
      </c>
      <c r="Y672" s="4668">
        <v>9</v>
      </c>
      <c r="Z672" s="2744">
        <v>5</v>
      </c>
      <c r="AA672" s="3856">
        <v>8</v>
      </c>
      <c r="AB672" s="2744">
        <v>4</v>
      </c>
      <c r="AC672" s="3194">
        <v>7</v>
      </c>
      <c r="AD672" s="2930">
        <v>3</v>
      </c>
      <c r="AE672" s="2754">
        <v>0</v>
      </c>
      <c r="AF672" s="2755">
        <v>0</v>
      </c>
      <c r="AG672" s="4835">
        <f>170</f>
        <v>170</v>
      </c>
      <c r="AH672" s="5613"/>
      <c r="AI672" s="5614">
        <f>170</f>
        <v>170</v>
      </c>
      <c r="AJ672" s="5615">
        <v>-210</v>
      </c>
      <c r="AK672" s="3614">
        <f>335</f>
        <v>335</v>
      </c>
      <c r="AL672" s="88">
        <f>400</f>
        <v>400</v>
      </c>
      <c r="AM672" s="5616">
        <f>2500</f>
        <v>2500</v>
      </c>
      <c r="AN672" s="5617">
        <f>375</f>
        <v>375</v>
      </c>
      <c r="AO672" s="107"/>
    </row>
    <row r="673" spans="1:41" ht="15">
      <c r="A673" s="109"/>
      <c r="B673" s="5832"/>
      <c r="C673" s="2762" t="s">
        <v>1447</v>
      </c>
      <c r="D673" s="5618"/>
      <c r="E673" s="5619"/>
      <c r="F673" s="2763">
        <v>30</v>
      </c>
      <c r="G673" s="2763" t="s">
        <v>1625</v>
      </c>
      <c r="H673" s="2763" t="s">
        <v>1686</v>
      </c>
      <c r="I673" s="2763" t="s">
        <v>2017</v>
      </c>
      <c r="J673" s="3163">
        <v>44987</v>
      </c>
      <c r="K673" s="5620">
        <v>3.36</v>
      </c>
      <c r="L673" s="5621">
        <v>0.4</v>
      </c>
      <c r="M673" s="5099">
        <v>4.09</v>
      </c>
      <c r="N673" s="5581">
        <v>0.51</v>
      </c>
      <c r="O673" s="5622">
        <v>-0.73</v>
      </c>
      <c r="P673" s="5623">
        <v>0.81</v>
      </c>
      <c r="Q673" s="5624">
        <v>0.15</v>
      </c>
      <c r="R673" s="5625">
        <v>0.4</v>
      </c>
      <c r="S673" s="4796">
        <v>1.5</v>
      </c>
      <c r="T673" s="2763">
        <v>16</v>
      </c>
      <c r="U673" s="2834">
        <v>0</v>
      </c>
      <c r="V673" s="5626">
        <v>0.44</v>
      </c>
      <c r="W673" s="5627">
        <v>0.38</v>
      </c>
      <c r="X673" s="5628">
        <v>0.4375</v>
      </c>
      <c r="Y673" s="2840">
        <v>0</v>
      </c>
      <c r="Z673" s="2774">
        <v>0</v>
      </c>
      <c r="AA673" s="5629">
        <v>7</v>
      </c>
      <c r="AB673" s="2774">
        <v>0</v>
      </c>
      <c r="AC673" s="4695">
        <v>6</v>
      </c>
      <c r="AD673" s="3740">
        <v>3</v>
      </c>
      <c r="AE673" s="2782">
        <v>0</v>
      </c>
      <c r="AF673" s="2783">
        <v>0</v>
      </c>
      <c r="AG673" s="5630">
        <v>-200</v>
      </c>
      <c r="AH673" s="3594"/>
      <c r="AI673" s="5631">
        <v>-200</v>
      </c>
      <c r="AJ673" s="5632">
        <v>-210</v>
      </c>
      <c r="AK673" s="2888">
        <v>-110</v>
      </c>
      <c r="AL673" s="5633">
        <f>500</f>
        <v>500</v>
      </c>
      <c r="AM673" s="2890">
        <f>150</f>
        <v>150</v>
      </c>
      <c r="AN673" s="3529">
        <f>350</f>
        <v>350</v>
      </c>
      <c r="AO673" s="107"/>
    </row>
    <row r="674" spans="1:41" ht="15">
      <c r="A674" s="109"/>
      <c r="B674" s="5831">
        <v>4</v>
      </c>
      <c r="C674" s="2792" t="s">
        <v>923</v>
      </c>
      <c r="D674" s="3565"/>
      <c r="E674" s="5634"/>
      <c r="F674" s="88">
        <v>33</v>
      </c>
      <c r="G674" s="88" t="s">
        <v>1588</v>
      </c>
      <c r="H674" s="88" t="s">
        <v>1641</v>
      </c>
      <c r="I674" s="4203">
        <v>37198</v>
      </c>
      <c r="J674" s="3184">
        <v>44987</v>
      </c>
      <c r="K674" s="3983">
        <v>3.72</v>
      </c>
      <c r="L674" s="5635">
        <v>0.41</v>
      </c>
      <c r="M674" s="5636">
        <v>3.56</v>
      </c>
      <c r="N674" s="4557">
        <v>0.59</v>
      </c>
      <c r="O674" s="5637">
        <f>0.16</f>
        <v>0.16</v>
      </c>
      <c r="P674" s="5530">
        <v>2.2599999999999998</v>
      </c>
      <c r="Q674" s="3015">
        <v>0.36</v>
      </c>
      <c r="R674" s="5638">
        <v>0.42</v>
      </c>
      <c r="S674" s="4162">
        <v>0.9</v>
      </c>
      <c r="T674" s="88">
        <v>15</v>
      </c>
      <c r="U674" s="2859">
        <v>0.27</v>
      </c>
      <c r="V674" s="4915">
        <v>0.2</v>
      </c>
      <c r="W674" s="3303">
        <v>0.27</v>
      </c>
      <c r="X674" s="5639">
        <v>0.4667</v>
      </c>
      <c r="Y674" s="5640">
        <v>4</v>
      </c>
      <c r="Z674" s="3991">
        <v>2</v>
      </c>
      <c r="AA674" s="2808">
        <v>3</v>
      </c>
      <c r="AB674" s="2809">
        <v>0</v>
      </c>
      <c r="AC674" s="3086">
        <v>4</v>
      </c>
      <c r="AD674" s="2862">
        <v>1</v>
      </c>
      <c r="AE674" s="63">
        <v>0</v>
      </c>
      <c r="AF674" s="27">
        <v>0</v>
      </c>
      <c r="AG674" s="2741">
        <f>330</f>
        <v>330</v>
      </c>
      <c r="AH674" s="5641"/>
      <c r="AI674" s="5642">
        <f>186</f>
        <v>186</v>
      </c>
      <c r="AJ674" s="5004">
        <v>-400</v>
      </c>
      <c r="AK674" s="88">
        <f>225</f>
        <v>225</v>
      </c>
      <c r="AL674" s="5643">
        <f>315</f>
        <v>315</v>
      </c>
      <c r="AM674" s="5644">
        <f>1200</f>
        <v>1200</v>
      </c>
      <c r="AN674" s="5645">
        <f>725</f>
        <v>725</v>
      </c>
      <c r="AO674" s="107"/>
    </row>
    <row r="675" spans="1:41" ht="15">
      <c r="A675" s="109"/>
      <c r="B675" s="5832"/>
      <c r="C675" s="2819" t="s">
        <v>847</v>
      </c>
      <c r="D675" s="3582"/>
      <c r="E675" s="5646"/>
      <c r="F675" s="2820">
        <v>27</v>
      </c>
      <c r="G675" s="2820" t="s">
        <v>1605</v>
      </c>
      <c r="H675" s="2820" t="s">
        <v>1595</v>
      </c>
      <c r="I675" s="2820" t="s">
        <v>2028</v>
      </c>
      <c r="J675" s="3204">
        <v>45017</v>
      </c>
      <c r="K675" s="5647">
        <v>5.59</v>
      </c>
      <c r="L675" s="3382">
        <v>0.52</v>
      </c>
      <c r="M675" s="5648">
        <v>5.27</v>
      </c>
      <c r="N675" s="5649">
        <v>0.44</v>
      </c>
      <c r="O675" s="4691">
        <f>0.32</f>
        <v>0.32</v>
      </c>
      <c r="P675" s="2890">
        <v>4.72</v>
      </c>
      <c r="Q675" s="3487">
        <v>0.36</v>
      </c>
      <c r="R675" s="5650">
        <v>0.8</v>
      </c>
      <c r="S675" s="4530">
        <v>1.4</v>
      </c>
      <c r="T675" s="2820">
        <v>13</v>
      </c>
      <c r="U675" s="5651">
        <v>0.23</v>
      </c>
      <c r="V675" s="2880">
        <v>0.69</v>
      </c>
      <c r="W675" s="2834">
        <v>0</v>
      </c>
      <c r="X675" s="2778">
        <v>0.92310000000000003</v>
      </c>
      <c r="Y675" s="5652">
        <v>3</v>
      </c>
      <c r="Z675" s="2774">
        <v>0</v>
      </c>
      <c r="AA675" s="3341">
        <v>9</v>
      </c>
      <c r="AB675" s="2774">
        <v>0</v>
      </c>
      <c r="AC675" s="2840">
        <v>0</v>
      </c>
      <c r="AD675" s="2837">
        <v>1</v>
      </c>
      <c r="AE675" s="2841">
        <v>0</v>
      </c>
      <c r="AF675" s="28">
        <v>0</v>
      </c>
      <c r="AG675" s="2890">
        <v>-400</v>
      </c>
      <c r="AH675" s="3792"/>
      <c r="AI675" s="5653">
        <v>-221</v>
      </c>
      <c r="AJ675" s="5012">
        <v>-400</v>
      </c>
      <c r="AK675" s="4824">
        <v>-130</v>
      </c>
      <c r="AL675" s="3041">
        <f>160</f>
        <v>160</v>
      </c>
      <c r="AM675" s="5607">
        <f>300</f>
        <v>300</v>
      </c>
      <c r="AN675" s="5654">
        <f>500</f>
        <v>500</v>
      </c>
      <c r="AO675" s="107"/>
    </row>
    <row r="676" spans="1:41" ht="15">
      <c r="A676" s="109"/>
      <c r="B676" s="5833">
        <v>5</v>
      </c>
      <c r="C676" s="2732" t="s">
        <v>254</v>
      </c>
      <c r="D676" s="5655"/>
      <c r="E676" s="5588"/>
      <c r="F676" s="2733">
        <v>28</v>
      </c>
      <c r="G676" s="2733" t="s">
        <v>1605</v>
      </c>
      <c r="H676" s="2733" t="s">
        <v>1839</v>
      </c>
      <c r="I676" s="2733" t="s">
        <v>2029</v>
      </c>
      <c r="J676" s="3142">
        <v>44987</v>
      </c>
      <c r="K676" s="5656">
        <v>2.12</v>
      </c>
      <c r="L676" s="5565">
        <v>0.5</v>
      </c>
      <c r="M676" s="5657">
        <v>4.92</v>
      </c>
      <c r="N676" s="3900">
        <v>0.36</v>
      </c>
      <c r="O676" s="2744">
        <v>-2.8</v>
      </c>
      <c r="P676" s="2741">
        <v>0</v>
      </c>
      <c r="Q676" s="2742">
        <v>0</v>
      </c>
      <c r="R676" s="2742">
        <v>0.33</v>
      </c>
      <c r="S676" s="2809">
        <v>5.6</v>
      </c>
      <c r="T676" s="2733">
        <v>28</v>
      </c>
      <c r="U676" s="4008">
        <v>0.28999999999999998</v>
      </c>
      <c r="V676" s="4470">
        <v>0.43</v>
      </c>
      <c r="W676" s="5658">
        <v>7.0000000000000007E-2</v>
      </c>
      <c r="X676" s="5659">
        <v>0.71430000000000005</v>
      </c>
      <c r="Y676" s="3086">
        <v>8</v>
      </c>
      <c r="Z676" s="3991">
        <v>2</v>
      </c>
      <c r="AA676" s="2864">
        <v>12</v>
      </c>
      <c r="AB676" s="2809">
        <v>0</v>
      </c>
      <c r="AC676" s="2810">
        <v>2</v>
      </c>
      <c r="AD676" s="5660">
        <v>4</v>
      </c>
      <c r="AE676" s="2754">
        <v>0</v>
      </c>
      <c r="AF676" s="2755">
        <v>0</v>
      </c>
      <c r="AG676" s="88">
        <v>-110</v>
      </c>
      <c r="AH676" s="3114"/>
      <c r="AI676" s="3649">
        <v>-104</v>
      </c>
      <c r="AJ676" s="110">
        <v>-180</v>
      </c>
      <c r="AK676" s="3671">
        <f>140</f>
        <v>140</v>
      </c>
      <c r="AL676" s="4921">
        <f>450</f>
        <v>450</v>
      </c>
      <c r="AM676" s="5661">
        <f>325</f>
        <v>325</v>
      </c>
      <c r="AN676" s="5662">
        <f>450</f>
        <v>450</v>
      </c>
      <c r="AO676" s="107"/>
    </row>
    <row r="677" spans="1:41" ht="15">
      <c r="A677" s="109"/>
      <c r="B677" s="5832"/>
      <c r="C677" s="2762" t="s">
        <v>330</v>
      </c>
      <c r="D677" s="5663"/>
      <c r="E677" s="5664"/>
      <c r="F677" s="2763">
        <v>33</v>
      </c>
      <c r="G677" s="2763" t="s">
        <v>1630</v>
      </c>
      <c r="H677" s="2763" t="s">
        <v>1618</v>
      </c>
      <c r="I677" s="2763" t="s">
        <v>1860</v>
      </c>
      <c r="J677" s="3163">
        <v>45017</v>
      </c>
      <c r="K677" s="2771">
        <v>1.95</v>
      </c>
      <c r="L677" s="4844">
        <v>0.59</v>
      </c>
      <c r="M677" s="2890">
        <v>1.35</v>
      </c>
      <c r="N677" s="5581">
        <v>0.51</v>
      </c>
      <c r="O677" s="4622">
        <f>0.6</f>
        <v>0.6</v>
      </c>
      <c r="P677" s="4757">
        <v>3.83</v>
      </c>
      <c r="Q677" s="3336">
        <v>0.45</v>
      </c>
      <c r="R677" s="5084">
        <v>0.42</v>
      </c>
      <c r="S677" s="5602">
        <v>1.9</v>
      </c>
      <c r="T677" s="2763">
        <v>22</v>
      </c>
      <c r="U677" s="4798">
        <v>0.05</v>
      </c>
      <c r="V677" s="5665">
        <v>0.55000000000000004</v>
      </c>
      <c r="W677" s="5666">
        <v>0.23</v>
      </c>
      <c r="X677" s="3978">
        <v>0.59089999999999998</v>
      </c>
      <c r="Y677" s="5667">
        <v>1</v>
      </c>
      <c r="Z677" s="4002">
        <v>2</v>
      </c>
      <c r="AA677" s="3278">
        <v>12</v>
      </c>
      <c r="AB677" s="2774">
        <v>0</v>
      </c>
      <c r="AC677" s="5050">
        <v>5</v>
      </c>
      <c r="AD677" s="2839">
        <v>2</v>
      </c>
      <c r="AE677" s="2782">
        <v>0</v>
      </c>
      <c r="AF677" s="2783">
        <v>0</v>
      </c>
      <c r="AG677" s="2820">
        <v>-110</v>
      </c>
      <c r="AH677" s="5668"/>
      <c r="AI677" s="5669">
        <v>-116</v>
      </c>
      <c r="AJ677" s="112">
        <v>-180</v>
      </c>
      <c r="AK677" s="2820">
        <f>225</f>
        <v>225</v>
      </c>
      <c r="AL677" s="5670">
        <f>1200</f>
        <v>1200</v>
      </c>
      <c r="AM677" s="5671">
        <f>285</f>
        <v>285</v>
      </c>
      <c r="AN677" s="5672">
        <f>225</f>
        <v>225</v>
      </c>
      <c r="AO677" s="107"/>
    </row>
    <row r="678" spans="1:41" ht="15">
      <c r="A678" s="109"/>
      <c r="B678" s="5831">
        <v>6</v>
      </c>
      <c r="C678" s="2792" t="s">
        <v>480</v>
      </c>
      <c r="D678" s="3600"/>
      <c r="E678" s="5673"/>
      <c r="F678" s="88">
        <v>28</v>
      </c>
      <c r="G678" s="88" t="s">
        <v>1630</v>
      </c>
      <c r="H678" s="88" t="s">
        <v>1834</v>
      </c>
      <c r="I678" s="4203">
        <v>36800</v>
      </c>
      <c r="J678" s="27" t="s">
        <v>1629</v>
      </c>
      <c r="K678" s="5557">
        <v>3.6</v>
      </c>
      <c r="L678" s="5674">
        <v>0.38</v>
      </c>
      <c r="M678" s="3531">
        <v>3.53</v>
      </c>
      <c r="N678" s="5058">
        <v>0.53</v>
      </c>
      <c r="O678" s="4305">
        <f>0.07</f>
        <v>7.0000000000000007E-2</v>
      </c>
      <c r="P678" s="3284">
        <v>3</v>
      </c>
      <c r="Q678" s="5675">
        <v>0.75</v>
      </c>
      <c r="R678" s="5676">
        <v>0.66</v>
      </c>
      <c r="S678" s="3104">
        <v>1</v>
      </c>
      <c r="T678" s="88">
        <v>11</v>
      </c>
      <c r="U678" s="3608">
        <v>0.09</v>
      </c>
      <c r="V678" s="5194">
        <v>0.55000000000000004</v>
      </c>
      <c r="W678" s="3303">
        <v>0.27</v>
      </c>
      <c r="X678" s="3428">
        <v>0.63639999999999997</v>
      </c>
      <c r="Y678" s="5677">
        <v>1</v>
      </c>
      <c r="Z678" s="2809">
        <v>0</v>
      </c>
      <c r="AA678" s="3946">
        <v>6</v>
      </c>
      <c r="AB678" s="2809">
        <v>0</v>
      </c>
      <c r="AC678" s="2808">
        <v>3</v>
      </c>
      <c r="AD678" s="2862">
        <v>1</v>
      </c>
      <c r="AE678" s="63">
        <v>0</v>
      </c>
      <c r="AF678" s="27">
        <v>0</v>
      </c>
      <c r="AG678" s="2812">
        <v>-200</v>
      </c>
      <c r="AH678" s="5418"/>
      <c r="AI678" s="5678">
        <v>-200</v>
      </c>
      <c r="AJ678" s="5679">
        <v>-115</v>
      </c>
      <c r="AK678" s="2976">
        <f>175</f>
        <v>175</v>
      </c>
      <c r="AL678" s="88">
        <f t="shared" ref="AL678:AM678" si="46">400</f>
        <v>400</v>
      </c>
      <c r="AM678" s="5680">
        <f t="shared" si="46"/>
        <v>400</v>
      </c>
      <c r="AN678" s="5020">
        <f>210</f>
        <v>210</v>
      </c>
      <c r="AO678" s="107"/>
    </row>
    <row r="679" spans="1:41" ht="15">
      <c r="A679" s="109"/>
      <c r="B679" s="5832"/>
      <c r="C679" s="2819" t="s">
        <v>424</v>
      </c>
      <c r="D679" s="3616"/>
      <c r="E679" s="5681"/>
      <c r="F679" s="2820">
        <v>27</v>
      </c>
      <c r="G679" s="2820" t="s">
        <v>1625</v>
      </c>
      <c r="H679" s="2820" t="s">
        <v>1624</v>
      </c>
      <c r="I679" s="2820" t="s">
        <v>2017</v>
      </c>
      <c r="J679" s="3204">
        <v>45017</v>
      </c>
      <c r="K679" s="2823">
        <v>3.82</v>
      </c>
      <c r="L679" s="4864">
        <v>0.43</v>
      </c>
      <c r="M679" s="4779">
        <v>3.01</v>
      </c>
      <c r="N679" s="5682">
        <v>0.63</v>
      </c>
      <c r="O679" s="3517">
        <f>0.81</f>
        <v>0.81</v>
      </c>
      <c r="P679" s="2771">
        <v>0</v>
      </c>
      <c r="Q679" s="2772">
        <v>0</v>
      </c>
      <c r="R679" s="5683">
        <v>0.91</v>
      </c>
      <c r="S679" s="2911">
        <v>0</v>
      </c>
      <c r="T679" s="2820">
        <v>16</v>
      </c>
      <c r="U679" s="3786">
        <v>0.25</v>
      </c>
      <c r="V679" s="4657">
        <v>0.38</v>
      </c>
      <c r="W679" s="4014">
        <v>0.19</v>
      </c>
      <c r="X679" s="5482">
        <v>0.625</v>
      </c>
      <c r="Y679" s="5684">
        <v>4</v>
      </c>
      <c r="Z679" s="4002">
        <v>2</v>
      </c>
      <c r="AA679" s="2838">
        <v>6</v>
      </c>
      <c r="AB679" s="2774">
        <v>0</v>
      </c>
      <c r="AC679" s="2780">
        <v>3</v>
      </c>
      <c r="AD679" s="2837">
        <v>1</v>
      </c>
      <c r="AE679" s="2841">
        <v>0</v>
      </c>
      <c r="AF679" s="28">
        <v>0</v>
      </c>
      <c r="AG679" s="5685">
        <f>170</f>
        <v>170</v>
      </c>
      <c r="AH679" s="3687"/>
      <c r="AI679" s="5686">
        <f>170</f>
        <v>170</v>
      </c>
      <c r="AJ679" s="5687">
        <v>-115</v>
      </c>
      <c r="AK679" s="5688">
        <f>350</f>
        <v>350</v>
      </c>
      <c r="AL679" s="5689">
        <f>525</f>
        <v>525</v>
      </c>
      <c r="AM679" s="2820">
        <f>750</f>
        <v>750</v>
      </c>
      <c r="AN679" s="5586">
        <f>325</f>
        <v>325</v>
      </c>
      <c r="AO679" s="107"/>
    </row>
    <row r="680" spans="1:41" ht="15">
      <c r="A680" s="109"/>
      <c r="B680" s="5833">
        <v>7</v>
      </c>
      <c r="C680" s="2732" t="s">
        <v>1436</v>
      </c>
      <c r="D680" s="3769"/>
      <c r="E680" s="5690"/>
      <c r="F680" s="2733">
        <v>28</v>
      </c>
      <c r="G680" s="2733" t="s">
        <v>1611</v>
      </c>
      <c r="H680" s="2733" t="s">
        <v>1612</v>
      </c>
      <c r="I680" s="4128">
        <v>36770</v>
      </c>
      <c r="J680" s="3142">
        <v>45017</v>
      </c>
      <c r="K680" s="3943">
        <v>4.12</v>
      </c>
      <c r="L680" s="2742">
        <v>0.37</v>
      </c>
      <c r="M680" s="5140">
        <v>4.45</v>
      </c>
      <c r="N680" s="5691">
        <v>0.61</v>
      </c>
      <c r="O680" s="2963">
        <v>-0.33</v>
      </c>
      <c r="P680" s="5692">
        <v>4.2300000000000004</v>
      </c>
      <c r="Q680" s="4205">
        <v>0.48</v>
      </c>
      <c r="R680" s="5676">
        <v>0.66</v>
      </c>
      <c r="S680" s="4390">
        <v>0.2</v>
      </c>
      <c r="T680" s="2733">
        <v>10</v>
      </c>
      <c r="U680" s="4335">
        <v>0.1</v>
      </c>
      <c r="V680" s="3152">
        <v>0.3</v>
      </c>
      <c r="W680" s="5693">
        <v>0.5</v>
      </c>
      <c r="X680" s="5694">
        <v>0.4</v>
      </c>
      <c r="Y680" s="5677">
        <v>1</v>
      </c>
      <c r="Z680" s="2862">
        <v>1</v>
      </c>
      <c r="AA680" s="2808">
        <v>3</v>
      </c>
      <c r="AB680" s="2809">
        <v>0</v>
      </c>
      <c r="AC680" s="2971">
        <v>5</v>
      </c>
      <c r="AD680" s="2809">
        <v>0</v>
      </c>
      <c r="AE680" s="2754">
        <v>0</v>
      </c>
      <c r="AF680" s="2755">
        <v>0</v>
      </c>
      <c r="AG680" s="4472">
        <f>145</f>
        <v>145</v>
      </c>
      <c r="AH680" s="5695"/>
      <c r="AI680" s="5696">
        <f>145</f>
        <v>145</v>
      </c>
      <c r="AJ680" s="3026">
        <f t="shared" ref="AJ680:AJ681" si="47">275</f>
        <v>275</v>
      </c>
      <c r="AK680" s="3993">
        <f>650</f>
        <v>650</v>
      </c>
      <c r="AL680" s="2741">
        <f>1800</f>
        <v>1800</v>
      </c>
      <c r="AM680" s="3804">
        <f>800</f>
        <v>800</v>
      </c>
      <c r="AN680" s="4253">
        <f>160</f>
        <v>160</v>
      </c>
      <c r="AO680" s="107"/>
    </row>
    <row r="681" spans="1:41" ht="15">
      <c r="A681" s="109"/>
      <c r="B681" s="5832"/>
      <c r="C681" s="2762" t="s">
        <v>1450</v>
      </c>
      <c r="D681" s="3783"/>
      <c r="E681" s="5697"/>
      <c r="F681" s="2763">
        <v>30</v>
      </c>
      <c r="G681" s="2763" t="s">
        <v>1761</v>
      </c>
      <c r="H681" s="2763" t="s">
        <v>1612</v>
      </c>
      <c r="I681" s="4312">
        <v>36833</v>
      </c>
      <c r="J681" s="3163">
        <v>45017</v>
      </c>
      <c r="K681" s="3617">
        <v>4.03</v>
      </c>
      <c r="L681" s="4548">
        <v>0.5</v>
      </c>
      <c r="M681" s="3241">
        <v>3.52</v>
      </c>
      <c r="N681" s="5698">
        <v>0.62</v>
      </c>
      <c r="O681" s="4193">
        <f>0.51</f>
        <v>0.51</v>
      </c>
      <c r="P681" s="3866">
        <v>3.82</v>
      </c>
      <c r="Q681" s="4011">
        <v>0.47</v>
      </c>
      <c r="R681" s="5699">
        <v>0.82</v>
      </c>
      <c r="S681" s="4399">
        <v>1.3</v>
      </c>
      <c r="T681" s="2763">
        <v>14</v>
      </c>
      <c r="U681" s="2834">
        <v>0</v>
      </c>
      <c r="V681" s="3786">
        <v>0.21</v>
      </c>
      <c r="W681" s="2880">
        <v>0.56999999999999995</v>
      </c>
      <c r="X681" s="3276">
        <v>0.21429999999999999</v>
      </c>
      <c r="Y681" s="2840">
        <v>0</v>
      </c>
      <c r="Z681" s="2774">
        <v>0</v>
      </c>
      <c r="AA681" s="2780">
        <v>3</v>
      </c>
      <c r="AB681" s="2774">
        <v>0</v>
      </c>
      <c r="AC681" s="5700">
        <v>8</v>
      </c>
      <c r="AD681" s="3740">
        <v>3</v>
      </c>
      <c r="AE681" s="2782">
        <v>0</v>
      </c>
      <c r="AF681" s="2783">
        <v>0</v>
      </c>
      <c r="AG681" s="4483">
        <v>-170</v>
      </c>
      <c r="AH681" s="5701"/>
      <c r="AI681" s="5702">
        <v>-165</v>
      </c>
      <c r="AJ681" s="3043">
        <f t="shared" si="47"/>
        <v>275</v>
      </c>
      <c r="AK681" s="3690">
        <f>375</f>
        <v>375</v>
      </c>
      <c r="AL681" s="5689">
        <f>525</f>
        <v>525</v>
      </c>
      <c r="AM681" s="5703">
        <f>1400</f>
        <v>1400</v>
      </c>
      <c r="AN681" s="5704">
        <f>115</f>
        <v>115</v>
      </c>
      <c r="AO681" s="107"/>
    </row>
    <row r="682" spans="1:41" ht="15">
      <c r="A682" s="109"/>
      <c r="B682" s="5831">
        <v>8</v>
      </c>
      <c r="C682" s="2792" t="s">
        <v>714</v>
      </c>
      <c r="D682" s="3283"/>
      <c r="E682" s="5394"/>
      <c r="F682" s="88">
        <v>31</v>
      </c>
      <c r="G682" s="88" t="s">
        <v>1592</v>
      </c>
      <c r="H682" s="88" t="s">
        <v>1593</v>
      </c>
      <c r="I682" s="88" t="s">
        <v>2026</v>
      </c>
      <c r="J682" s="27" t="s">
        <v>1629</v>
      </c>
      <c r="K682" s="5705">
        <v>5.57</v>
      </c>
      <c r="L682" s="5283">
        <v>0.53</v>
      </c>
      <c r="M682" s="5706">
        <v>2.1800000000000002</v>
      </c>
      <c r="N682" s="5707">
        <v>0.63</v>
      </c>
      <c r="O682" s="5708">
        <f>3.39</f>
        <v>3.39</v>
      </c>
      <c r="P682" s="3743">
        <v>3.5</v>
      </c>
      <c r="Q682" s="5709">
        <v>0.66</v>
      </c>
      <c r="R682" s="5676">
        <v>0.66</v>
      </c>
      <c r="S682" s="4628">
        <v>1.2</v>
      </c>
      <c r="T682" s="88">
        <v>19</v>
      </c>
      <c r="U682" s="3426">
        <v>0.47</v>
      </c>
      <c r="V682" s="5710">
        <v>0.32</v>
      </c>
      <c r="W682" s="3082">
        <v>0.16</v>
      </c>
      <c r="X682" s="5594">
        <v>0.78949999999999998</v>
      </c>
      <c r="Y682" s="4668">
        <v>9</v>
      </c>
      <c r="Z682" s="2862">
        <v>1</v>
      </c>
      <c r="AA682" s="3946">
        <v>6</v>
      </c>
      <c r="AB682" s="2809">
        <v>0</v>
      </c>
      <c r="AC682" s="2808">
        <v>3</v>
      </c>
      <c r="AD682" s="2809">
        <v>0</v>
      </c>
      <c r="AE682" s="63">
        <v>0</v>
      </c>
      <c r="AF682" s="27">
        <v>0</v>
      </c>
      <c r="AG682" s="2905">
        <v>-400</v>
      </c>
      <c r="AH682" s="2905"/>
      <c r="AI682" s="2809">
        <v>-650</v>
      </c>
      <c r="AJ682" s="5711">
        <v>-230</v>
      </c>
      <c r="AK682" s="2905">
        <v>-190</v>
      </c>
      <c r="AL682" s="5712">
        <f>165</f>
        <v>165</v>
      </c>
      <c r="AM682" s="5713">
        <f>250</f>
        <v>250</v>
      </c>
      <c r="AN682" s="5714">
        <f>215</f>
        <v>215</v>
      </c>
      <c r="AO682" s="107"/>
    </row>
    <row r="683" spans="1:41" ht="15">
      <c r="A683" s="109"/>
      <c r="B683" s="5832"/>
      <c r="C683" s="2819" t="s">
        <v>926</v>
      </c>
      <c r="D683" s="3292"/>
      <c r="E683" s="5404"/>
      <c r="F683" s="2820">
        <v>29</v>
      </c>
      <c r="G683" s="2820" t="s">
        <v>1571</v>
      </c>
      <c r="H683" s="2820" t="s">
        <v>1595</v>
      </c>
      <c r="I683" s="2820" t="s">
        <v>2030</v>
      </c>
      <c r="J683" s="28" t="s">
        <v>1865</v>
      </c>
      <c r="K683" s="5715">
        <v>3.14</v>
      </c>
      <c r="L683" s="5716">
        <v>0.44</v>
      </c>
      <c r="M683" s="5717">
        <v>3.12</v>
      </c>
      <c r="N683" s="3120">
        <v>0.53</v>
      </c>
      <c r="O683" s="4031">
        <f>0.02</f>
        <v>0.02</v>
      </c>
      <c r="P683" s="3065">
        <v>1.44</v>
      </c>
      <c r="Q683" s="2830">
        <v>0.28999999999999998</v>
      </c>
      <c r="R683" s="4169">
        <v>0.57999999999999996</v>
      </c>
      <c r="S683" s="4654">
        <v>0.9</v>
      </c>
      <c r="T683" s="2820">
        <v>15</v>
      </c>
      <c r="U683" s="2988">
        <v>0.27</v>
      </c>
      <c r="V683" s="5718">
        <v>0.33</v>
      </c>
      <c r="W683" s="4106">
        <v>0.2</v>
      </c>
      <c r="X683" s="4867">
        <v>0.6</v>
      </c>
      <c r="Y683" s="5684">
        <v>4</v>
      </c>
      <c r="Z683" s="2837">
        <v>1</v>
      </c>
      <c r="AA683" s="3128">
        <v>5</v>
      </c>
      <c r="AB683" s="4002">
        <v>1</v>
      </c>
      <c r="AC683" s="2780">
        <v>3</v>
      </c>
      <c r="AD683" s="2837">
        <v>1</v>
      </c>
      <c r="AE683" s="2841">
        <v>0</v>
      </c>
      <c r="AF683" s="28">
        <v>0</v>
      </c>
      <c r="AG683" s="5410">
        <f>300</f>
        <v>300</v>
      </c>
      <c r="AH683" s="2771"/>
      <c r="AI683" s="2911">
        <f>475</f>
        <v>475</v>
      </c>
      <c r="AJ683" s="5719">
        <v>-230</v>
      </c>
      <c r="AK683" s="2771">
        <f>700</f>
        <v>700</v>
      </c>
      <c r="AL683" s="5720">
        <f>1300</f>
        <v>1300</v>
      </c>
      <c r="AM683" s="3562">
        <f>900</f>
        <v>900</v>
      </c>
      <c r="AN683" s="4910">
        <f>1000</f>
        <v>1000</v>
      </c>
      <c r="AO683" s="107"/>
    </row>
    <row r="684" spans="1:41" ht="15">
      <c r="A684" s="109"/>
      <c r="B684" s="5833">
        <v>9</v>
      </c>
      <c r="C684" s="2732" t="s">
        <v>705</v>
      </c>
      <c r="D684" s="3693"/>
      <c r="E684" s="5280"/>
      <c r="F684" s="2733">
        <v>29</v>
      </c>
      <c r="G684" s="2733" t="s">
        <v>1575</v>
      </c>
      <c r="H684" s="2733" t="s">
        <v>1606</v>
      </c>
      <c r="I684" s="4128">
        <v>36770</v>
      </c>
      <c r="J684" s="2755" t="s">
        <v>1629</v>
      </c>
      <c r="K684" s="4057">
        <v>4.3499999999999996</v>
      </c>
      <c r="L684" s="4594">
        <v>0.52</v>
      </c>
      <c r="M684" s="3105">
        <v>3.72</v>
      </c>
      <c r="N684" s="4131">
        <v>0.56000000000000005</v>
      </c>
      <c r="O684" s="4720">
        <f>0.63</f>
        <v>0.63</v>
      </c>
      <c r="P684" s="5075">
        <v>0.52</v>
      </c>
      <c r="Q684" s="2801">
        <v>1</v>
      </c>
      <c r="R684" s="5592">
        <v>0.75</v>
      </c>
      <c r="S684" s="4720">
        <v>0.5</v>
      </c>
      <c r="T684" s="2733">
        <v>10</v>
      </c>
      <c r="U684" s="5721">
        <v>0.6</v>
      </c>
      <c r="V684" s="4915">
        <v>0.2</v>
      </c>
      <c r="W684" s="4430">
        <v>0.1</v>
      </c>
      <c r="X684" s="5722">
        <v>0.8</v>
      </c>
      <c r="Y684" s="5723">
        <v>6</v>
      </c>
      <c r="Z684" s="2809">
        <v>0</v>
      </c>
      <c r="AA684" s="2810">
        <v>2</v>
      </c>
      <c r="AB684" s="3991">
        <v>1</v>
      </c>
      <c r="AC684" s="2753">
        <v>1</v>
      </c>
      <c r="AD684" s="2809">
        <v>0</v>
      </c>
      <c r="AE684" s="2754">
        <v>0</v>
      </c>
      <c r="AF684" s="2755">
        <v>0</v>
      </c>
      <c r="AG684" s="5724">
        <v>-350</v>
      </c>
      <c r="AH684" s="5725"/>
      <c r="AI684" s="5726">
        <v>-130</v>
      </c>
      <c r="AJ684" s="5727">
        <v>-190</v>
      </c>
      <c r="AK684" s="3541">
        <f>135</f>
        <v>135</v>
      </c>
      <c r="AL684" s="5728">
        <f>500</f>
        <v>500</v>
      </c>
      <c r="AM684" s="5729">
        <f>240</f>
        <v>240</v>
      </c>
      <c r="AN684" s="5730">
        <f>300</f>
        <v>300</v>
      </c>
      <c r="AO684" s="107"/>
    </row>
    <row r="685" spans="1:41" ht="15">
      <c r="A685" s="109"/>
      <c r="B685" s="5832"/>
      <c r="C685" s="2762" t="s">
        <v>706</v>
      </c>
      <c r="D685" s="3711"/>
      <c r="E685" s="5731"/>
      <c r="F685" s="2763">
        <v>31</v>
      </c>
      <c r="G685" s="2763" t="s">
        <v>1605</v>
      </c>
      <c r="H685" s="2763" t="s">
        <v>1606</v>
      </c>
      <c r="I685" s="4312">
        <v>36710</v>
      </c>
      <c r="J685" s="3163">
        <v>44987</v>
      </c>
      <c r="K685" s="2982">
        <v>4.63</v>
      </c>
      <c r="L685" s="5732">
        <v>0.56999999999999995</v>
      </c>
      <c r="M685" s="5733">
        <v>3.44</v>
      </c>
      <c r="N685" s="5734">
        <v>0.56000000000000005</v>
      </c>
      <c r="O685" s="5471">
        <f>1.19</f>
        <v>1.19</v>
      </c>
      <c r="P685" s="2771">
        <v>0</v>
      </c>
      <c r="Q685" s="2772">
        <v>0</v>
      </c>
      <c r="R685" s="5735">
        <v>0.35</v>
      </c>
      <c r="S685" s="2911">
        <v>0</v>
      </c>
      <c r="T685" s="2763">
        <v>10</v>
      </c>
      <c r="U685" s="3684">
        <v>0.6</v>
      </c>
      <c r="V685" s="2834">
        <v>0</v>
      </c>
      <c r="W685" s="4702">
        <v>0.1</v>
      </c>
      <c r="X685" s="4867">
        <v>0.6</v>
      </c>
      <c r="Y685" s="5584">
        <v>6</v>
      </c>
      <c r="Z685" s="2774">
        <v>0</v>
      </c>
      <c r="AA685" s="2840">
        <v>0</v>
      </c>
      <c r="AB685" s="2774">
        <v>0</v>
      </c>
      <c r="AC685" s="2781">
        <v>1</v>
      </c>
      <c r="AD685" s="3740">
        <v>3</v>
      </c>
      <c r="AE685" s="2782">
        <v>0</v>
      </c>
      <c r="AF685" s="2783">
        <v>0</v>
      </c>
      <c r="AG685" s="5736">
        <f>285</f>
        <v>285</v>
      </c>
      <c r="AH685" s="3318"/>
      <c r="AI685" s="3319">
        <f>110</f>
        <v>110</v>
      </c>
      <c r="AJ685" s="5737">
        <v>-190</v>
      </c>
      <c r="AK685" s="2820">
        <f>225</f>
        <v>225</v>
      </c>
      <c r="AL685" s="4952">
        <f>250</f>
        <v>250</v>
      </c>
      <c r="AM685" s="5738">
        <f>2800</f>
        <v>2800</v>
      </c>
      <c r="AN685" s="5739">
        <f>375</f>
        <v>375</v>
      </c>
      <c r="AO685" s="107"/>
    </row>
    <row r="686" spans="1:41" ht="15">
      <c r="A686" s="109"/>
      <c r="B686" s="5831">
        <v>10</v>
      </c>
      <c r="C686" s="2792" t="s">
        <v>930</v>
      </c>
      <c r="D686" s="5228"/>
      <c r="E686" s="5740"/>
      <c r="F686" s="88">
        <v>35</v>
      </c>
      <c r="G686" s="88" t="s">
        <v>1588</v>
      </c>
      <c r="H686" s="88" t="s">
        <v>1631</v>
      </c>
      <c r="I686" s="88" t="s">
        <v>2031</v>
      </c>
      <c r="J686" s="27" t="s">
        <v>1865</v>
      </c>
      <c r="K686" s="5741">
        <v>5.32</v>
      </c>
      <c r="L686" s="5742">
        <v>0.56999999999999995</v>
      </c>
      <c r="M686" s="5743">
        <v>3.28</v>
      </c>
      <c r="N686" s="5744">
        <v>0.57999999999999996</v>
      </c>
      <c r="O686" s="5745">
        <f>2.04</f>
        <v>2.04</v>
      </c>
      <c r="P686" s="2919">
        <v>2.0099999999999998</v>
      </c>
      <c r="Q686" s="2796">
        <v>0.4</v>
      </c>
      <c r="R686" s="5746">
        <v>0.62</v>
      </c>
      <c r="S686" s="2744">
        <v>0</v>
      </c>
      <c r="T686" s="88">
        <v>25</v>
      </c>
      <c r="U686" s="4915">
        <v>0.24</v>
      </c>
      <c r="V686" s="5658">
        <v>0.08</v>
      </c>
      <c r="W686" s="5747">
        <v>0.44</v>
      </c>
      <c r="X686" s="5748">
        <v>0.32</v>
      </c>
      <c r="Y686" s="5723">
        <v>6</v>
      </c>
      <c r="Z686" s="4770">
        <v>4</v>
      </c>
      <c r="AA686" s="2810">
        <v>2</v>
      </c>
      <c r="AB686" s="3991">
        <v>1</v>
      </c>
      <c r="AC686" s="2864">
        <v>11</v>
      </c>
      <c r="AD686" s="2862">
        <v>1</v>
      </c>
      <c r="AE686" s="63">
        <v>0</v>
      </c>
      <c r="AF686" s="27">
        <v>0</v>
      </c>
      <c r="AG686" s="88">
        <v>-110</v>
      </c>
      <c r="AH686" s="3671"/>
      <c r="AI686" s="5749">
        <v>-220</v>
      </c>
      <c r="AJ686" s="5750">
        <f t="shared" ref="AJ686:AJ687" si="48">195</f>
        <v>195</v>
      </c>
      <c r="AK686" s="4900">
        <f>285</f>
        <v>285</v>
      </c>
      <c r="AL686" s="5751">
        <f>525</f>
        <v>525</v>
      </c>
      <c r="AM686" s="88">
        <f>750</f>
        <v>750</v>
      </c>
      <c r="AN686" s="4493">
        <f>125</f>
        <v>125</v>
      </c>
      <c r="AO686" s="107"/>
    </row>
    <row r="687" spans="1:41" ht="15">
      <c r="A687" s="109"/>
      <c r="B687" s="5832"/>
      <c r="C687" s="2819" t="s">
        <v>931</v>
      </c>
      <c r="D687" s="5752"/>
      <c r="E687" s="5681"/>
      <c r="F687" s="2820">
        <v>39</v>
      </c>
      <c r="G687" s="2820" t="s">
        <v>1630</v>
      </c>
      <c r="H687" s="2820" t="s">
        <v>1616</v>
      </c>
      <c r="I687" s="4254">
        <v>36861</v>
      </c>
      <c r="J687" s="3204">
        <v>45017</v>
      </c>
      <c r="K687" s="5476">
        <v>3.24</v>
      </c>
      <c r="L687" s="3271">
        <v>0.47</v>
      </c>
      <c r="M687" s="5753">
        <v>3.67</v>
      </c>
      <c r="N687" s="3120">
        <v>0.53</v>
      </c>
      <c r="O687" s="4415">
        <v>-0.43</v>
      </c>
      <c r="P687" s="5754">
        <v>3.09</v>
      </c>
      <c r="Q687" s="5755">
        <v>0.66</v>
      </c>
      <c r="R687" s="5066">
        <v>0.62</v>
      </c>
      <c r="S687" s="2911">
        <v>0</v>
      </c>
      <c r="T687" s="2820">
        <v>13</v>
      </c>
      <c r="U687" s="5651">
        <v>0.23</v>
      </c>
      <c r="V687" s="4374">
        <v>0.23</v>
      </c>
      <c r="W687" s="3555">
        <v>0.46</v>
      </c>
      <c r="X687" s="3840">
        <v>0.46150000000000002</v>
      </c>
      <c r="Y687" s="5652">
        <v>3</v>
      </c>
      <c r="Z687" s="2774">
        <v>0</v>
      </c>
      <c r="AA687" s="2780">
        <v>3</v>
      </c>
      <c r="AB687" s="4002">
        <v>1</v>
      </c>
      <c r="AC687" s="4695">
        <v>6</v>
      </c>
      <c r="AD687" s="2774">
        <v>0</v>
      </c>
      <c r="AE687" s="2841">
        <v>0</v>
      </c>
      <c r="AF687" s="28">
        <v>0</v>
      </c>
      <c r="AG687" s="2820">
        <v>-110</v>
      </c>
      <c r="AH687" s="2994"/>
      <c r="AI687" s="2995">
        <f>185</f>
        <v>185</v>
      </c>
      <c r="AJ687" s="5756">
        <f t="shared" si="48"/>
        <v>195</v>
      </c>
      <c r="AK687" s="2917">
        <f>550</f>
        <v>550</v>
      </c>
      <c r="AL687" s="5757">
        <f>800</f>
        <v>800</v>
      </c>
      <c r="AM687" s="3318">
        <f>1600</f>
        <v>1600</v>
      </c>
      <c r="AN687" s="5758">
        <f>185</f>
        <v>185</v>
      </c>
      <c r="AO687" s="107"/>
    </row>
    <row r="688" spans="1:41" ht="15">
      <c r="A688" s="109"/>
      <c r="B688" s="5833">
        <v>11</v>
      </c>
      <c r="C688" s="2732" t="s">
        <v>221</v>
      </c>
      <c r="D688" s="3637"/>
      <c r="E688" s="5673"/>
      <c r="F688" s="2733">
        <v>31</v>
      </c>
      <c r="G688" s="2733" t="s">
        <v>1653</v>
      </c>
      <c r="H688" s="2733" t="s">
        <v>1641</v>
      </c>
      <c r="I688" s="2733" t="s">
        <v>2000</v>
      </c>
      <c r="J688" s="3142">
        <v>44987</v>
      </c>
      <c r="K688" s="3638">
        <v>4.24</v>
      </c>
      <c r="L688" s="3456">
        <v>0.47</v>
      </c>
      <c r="M688" s="5759">
        <v>4.8</v>
      </c>
      <c r="N688" s="4828">
        <v>0.55000000000000004</v>
      </c>
      <c r="O688" s="4664">
        <v>-0.56000000000000005</v>
      </c>
      <c r="P688" s="5760">
        <v>1.69</v>
      </c>
      <c r="Q688" s="3397">
        <v>0.38</v>
      </c>
      <c r="R688" s="5761">
        <v>0.71</v>
      </c>
      <c r="S688" s="4390">
        <v>0.2</v>
      </c>
      <c r="T688" s="2733">
        <v>26</v>
      </c>
      <c r="U688" s="2859">
        <v>0.27</v>
      </c>
      <c r="V688" s="5324">
        <v>0.27</v>
      </c>
      <c r="W688" s="5285">
        <v>0.23</v>
      </c>
      <c r="X688" s="5417">
        <v>0.53849999999999998</v>
      </c>
      <c r="Y688" s="4208">
        <v>7</v>
      </c>
      <c r="Z688" s="3991">
        <v>2</v>
      </c>
      <c r="AA688" s="2904">
        <v>7</v>
      </c>
      <c r="AB688" s="2809">
        <v>0</v>
      </c>
      <c r="AC688" s="5762">
        <v>6</v>
      </c>
      <c r="AD688" s="5660">
        <v>4</v>
      </c>
      <c r="AE688" s="2754">
        <v>0</v>
      </c>
      <c r="AF688" s="2755">
        <v>0</v>
      </c>
      <c r="AG688" s="3198">
        <f>120</f>
        <v>120</v>
      </c>
      <c r="AH688" s="5725"/>
      <c r="AI688" s="5726">
        <v>-130</v>
      </c>
      <c r="AJ688" s="5763">
        <f t="shared" ref="AJ688:AJ689" si="49">145</f>
        <v>145</v>
      </c>
      <c r="AK688" s="3544">
        <f>235</f>
        <v>235</v>
      </c>
      <c r="AL688" s="3645">
        <f>385</f>
        <v>385</v>
      </c>
      <c r="AM688" s="3804">
        <f>800</f>
        <v>800</v>
      </c>
      <c r="AN688" s="5112">
        <f>155</f>
        <v>155</v>
      </c>
      <c r="AO688" s="107"/>
    </row>
    <row r="689" spans="1:41" ht="15">
      <c r="A689" s="109"/>
      <c r="B689" s="5832"/>
      <c r="C689" s="2762" t="s">
        <v>222</v>
      </c>
      <c r="D689" s="3650"/>
      <c r="E689" s="5731"/>
      <c r="F689" s="2763">
        <v>36</v>
      </c>
      <c r="G689" s="2763" t="s">
        <v>1588</v>
      </c>
      <c r="H689" s="2763" t="s">
        <v>1595</v>
      </c>
      <c r="I689" s="2763" t="s">
        <v>2032</v>
      </c>
      <c r="J689" s="3163">
        <v>45017</v>
      </c>
      <c r="K689" s="5349">
        <v>3.09</v>
      </c>
      <c r="L689" s="5024">
        <v>0.49</v>
      </c>
      <c r="M689" s="4294">
        <v>2.91</v>
      </c>
      <c r="N689" s="5764">
        <v>0.57999999999999996</v>
      </c>
      <c r="O689" s="3736">
        <f>0.18</f>
        <v>0.18</v>
      </c>
      <c r="P689" s="5166">
        <v>2.0699999999999998</v>
      </c>
      <c r="Q689" s="3888">
        <v>0.56999999999999995</v>
      </c>
      <c r="R689" s="4548">
        <v>0.7</v>
      </c>
      <c r="S689" s="4654">
        <v>0.9</v>
      </c>
      <c r="T689" s="2763">
        <v>28</v>
      </c>
      <c r="U689" s="4459">
        <v>7.0000000000000007E-2</v>
      </c>
      <c r="V689" s="5765">
        <v>0.43</v>
      </c>
      <c r="W689" s="3786">
        <v>0.18</v>
      </c>
      <c r="X689" s="5189">
        <v>0.5</v>
      </c>
      <c r="Y689" s="5766">
        <v>2</v>
      </c>
      <c r="Z689" s="2837">
        <v>1</v>
      </c>
      <c r="AA689" s="3278">
        <v>12</v>
      </c>
      <c r="AB689" s="4002">
        <v>1</v>
      </c>
      <c r="AC689" s="5050">
        <v>5</v>
      </c>
      <c r="AD689" s="2911">
        <v>6</v>
      </c>
      <c r="AE689" s="2782">
        <v>0</v>
      </c>
      <c r="AF689" s="2911">
        <v>1</v>
      </c>
      <c r="AG689" s="2848">
        <v>-140</v>
      </c>
      <c r="AH689" s="3318"/>
      <c r="AI689" s="3319">
        <f>110</f>
        <v>110</v>
      </c>
      <c r="AJ689" s="5767">
        <f t="shared" si="49"/>
        <v>145</v>
      </c>
      <c r="AK689" s="5768">
        <f>425</f>
        <v>425</v>
      </c>
      <c r="AL689" s="2998">
        <f>1000</f>
        <v>1000</v>
      </c>
      <c r="AM689" s="5769">
        <f>600</f>
        <v>600</v>
      </c>
      <c r="AN689" s="5770">
        <f>235</f>
        <v>235</v>
      </c>
      <c r="AO689" s="107"/>
    </row>
    <row r="690" spans="1:41" ht="15">
      <c r="A690" s="109"/>
      <c r="B690" s="5831">
        <v>12</v>
      </c>
      <c r="C690" s="2792" t="s">
        <v>507</v>
      </c>
      <c r="D690" s="5771"/>
      <c r="E690" s="5772"/>
      <c r="F690" s="88">
        <v>22</v>
      </c>
      <c r="G690" s="88" t="s">
        <v>1623</v>
      </c>
      <c r="H690" s="88" t="s">
        <v>1659</v>
      </c>
      <c r="I690" s="4203">
        <v>36739</v>
      </c>
      <c r="J690" s="27" t="s">
        <v>1629</v>
      </c>
      <c r="K690" s="5773">
        <v>8</v>
      </c>
      <c r="L690" s="4334">
        <v>0.51</v>
      </c>
      <c r="M690" s="2741">
        <v>6.87</v>
      </c>
      <c r="N690" s="5774">
        <v>0.64</v>
      </c>
      <c r="O690" s="3454">
        <f>1.13</f>
        <v>1.1299999999999999</v>
      </c>
      <c r="P690" s="2741">
        <v>0</v>
      </c>
      <c r="Q690" s="2742">
        <v>0</v>
      </c>
      <c r="R690" s="3606">
        <v>0.8</v>
      </c>
      <c r="S690" s="2744">
        <v>0</v>
      </c>
      <c r="T690" s="88">
        <v>9</v>
      </c>
      <c r="U690" s="5775">
        <v>0.56000000000000005</v>
      </c>
      <c r="V690" s="4939">
        <v>0.22</v>
      </c>
      <c r="W690" s="4429">
        <v>0.11</v>
      </c>
      <c r="X690" s="3734">
        <v>0.77780000000000005</v>
      </c>
      <c r="Y690" s="5776">
        <v>5</v>
      </c>
      <c r="Z690" s="2809">
        <v>0</v>
      </c>
      <c r="AA690" s="2810">
        <v>2</v>
      </c>
      <c r="AB690" s="3991">
        <v>1</v>
      </c>
      <c r="AC690" s="2753">
        <v>1</v>
      </c>
      <c r="AD690" s="2809">
        <v>0</v>
      </c>
      <c r="AE690" s="63">
        <v>0</v>
      </c>
      <c r="AF690" s="27">
        <v>0</v>
      </c>
      <c r="AG690" s="3540">
        <v>-180</v>
      </c>
      <c r="AH690" s="2977"/>
      <c r="AI690" s="5777">
        <v>-225</v>
      </c>
      <c r="AJ690" s="5018">
        <v>-145</v>
      </c>
      <c r="AK690" s="5778">
        <f>150</f>
        <v>150</v>
      </c>
      <c r="AL690" s="5680">
        <f>225</f>
        <v>225</v>
      </c>
      <c r="AM690" s="3968">
        <f>500</f>
        <v>500</v>
      </c>
      <c r="AN690" s="5779">
        <f>265</f>
        <v>265</v>
      </c>
      <c r="AO690" s="107"/>
    </row>
    <row r="691" spans="1:41" ht="15">
      <c r="A691" s="109"/>
      <c r="B691" s="5832"/>
      <c r="C691" s="2819" t="s">
        <v>425</v>
      </c>
      <c r="D691" s="5780"/>
      <c r="E691" s="5781"/>
      <c r="F691" s="2820">
        <v>25</v>
      </c>
      <c r="G691" s="2820" t="s">
        <v>1623</v>
      </c>
      <c r="H691" s="2820" t="s">
        <v>1631</v>
      </c>
      <c r="I691" s="4254">
        <v>36770</v>
      </c>
      <c r="J691" s="3204">
        <v>45017</v>
      </c>
      <c r="K691" s="5782">
        <v>5.8</v>
      </c>
      <c r="L691" s="5716">
        <v>0.44</v>
      </c>
      <c r="M691" s="5783">
        <v>2.87</v>
      </c>
      <c r="N691" s="4966">
        <v>0.55000000000000004</v>
      </c>
      <c r="O691" s="5784">
        <f>2.93</f>
        <v>2.93</v>
      </c>
      <c r="P691" s="2771">
        <v>0</v>
      </c>
      <c r="Q691" s="2772">
        <v>0</v>
      </c>
      <c r="R691" s="4169">
        <v>0.57999999999999996</v>
      </c>
      <c r="S691" s="2911">
        <v>0</v>
      </c>
      <c r="T691" s="2820">
        <v>10</v>
      </c>
      <c r="U691" s="2880">
        <v>0.8</v>
      </c>
      <c r="V691" s="2834">
        <v>0</v>
      </c>
      <c r="W691" s="4702">
        <v>0.1</v>
      </c>
      <c r="X691" s="5785">
        <v>0.8</v>
      </c>
      <c r="Y691" s="2779">
        <v>8</v>
      </c>
      <c r="Z691" s="2774">
        <v>0</v>
      </c>
      <c r="AA691" s="2840">
        <v>0</v>
      </c>
      <c r="AB691" s="4002">
        <v>1</v>
      </c>
      <c r="AC691" s="2781">
        <v>1</v>
      </c>
      <c r="AD691" s="2774">
        <v>0</v>
      </c>
      <c r="AE691" s="2841">
        <v>0</v>
      </c>
      <c r="AF691" s="28">
        <v>0</v>
      </c>
      <c r="AG691" s="5786">
        <f>155</f>
        <v>155</v>
      </c>
      <c r="AH691" s="5787"/>
      <c r="AI691" s="5788">
        <f>190</f>
        <v>190</v>
      </c>
      <c r="AJ691" s="5029">
        <v>-145</v>
      </c>
      <c r="AK691" s="5789">
        <f>285</f>
        <v>285</v>
      </c>
      <c r="AL691" s="5790">
        <f>300</f>
        <v>300</v>
      </c>
      <c r="AM691" s="3918">
        <f>2500</f>
        <v>2500</v>
      </c>
      <c r="AN691" s="5791">
        <f t="shared" ref="AN691:AN692" si="50">400</f>
        <v>400</v>
      </c>
      <c r="AO691" s="107"/>
    </row>
    <row r="692" spans="1:41" ht="15">
      <c r="A692" s="109"/>
      <c r="B692" s="5833">
        <v>13</v>
      </c>
      <c r="C692" s="2732" t="s">
        <v>265</v>
      </c>
      <c r="D692" s="5792"/>
      <c r="E692" s="5793"/>
      <c r="F692" s="2733">
        <v>26</v>
      </c>
      <c r="G692" s="2733" t="s">
        <v>1588</v>
      </c>
      <c r="H692" s="2733" t="s">
        <v>1837</v>
      </c>
      <c r="I692" s="4128">
        <v>36833</v>
      </c>
      <c r="J692" s="3142">
        <v>45017</v>
      </c>
      <c r="K692" s="5794">
        <v>3.29</v>
      </c>
      <c r="L692" s="5301">
        <v>0.43</v>
      </c>
      <c r="M692" s="4955">
        <v>4.71</v>
      </c>
      <c r="N692" s="5795">
        <v>0.41</v>
      </c>
      <c r="O692" s="5796">
        <v>-1.42</v>
      </c>
      <c r="P692" s="5797">
        <v>1</v>
      </c>
      <c r="Q692" s="5258">
        <v>0.3</v>
      </c>
      <c r="R692" s="3699">
        <v>0.73</v>
      </c>
      <c r="S692" s="4428">
        <v>0.3</v>
      </c>
      <c r="T692" s="2733">
        <v>14</v>
      </c>
      <c r="U692" s="4008">
        <v>0.28999999999999998</v>
      </c>
      <c r="V692" s="3823">
        <v>7.0000000000000007E-2</v>
      </c>
      <c r="W692" s="5798">
        <v>0.43</v>
      </c>
      <c r="X692" s="5799">
        <v>0.35709999999999997</v>
      </c>
      <c r="Y692" s="5640">
        <v>4</v>
      </c>
      <c r="Z692" s="2809">
        <v>0</v>
      </c>
      <c r="AA692" s="2753">
        <v>1</v>
      </c>
      <c r="AB692" s="2809">
        <v>0</v>
      </c>
      <c r="AC692" s="5762">
        <v>6</v>
      </c>
      <c r="AD692" s="2930">
        <v>3</v>
      </c>
      <c r="AE692" s="2754">
        <v>0</v>
      </c>
      <c r="AF692" s="2755">
        <v>0</v>
      </c>
      <c r="AG692" s="4472">
        <f>145</f>
        <v>145</v>
      </c>
      <c r="AH692" s="3992"/>
      <c r="AI692" s="5800">
        <f>225</f>
        <v>225</v>
      </c>
      <c r="AJ692" s="5365">
        <f t="shared" ref="AJ692:AJ693" si="51">155</f>
        <v>155</v>
      </c>
      <c r="AK692" s="5801">
        <f>600</f>
        <v>600</v>
      </c>
      <c r="AL692" s="5802">
        <f>800</f>
        <v>800</v>
      </c>
      <c r="AM692" s="5803">
        <f>1800</f>
        <v>1800</v>
      </c>
      <c r="AN692" s="5804">
        <f t="shared" si="50"/>
        <v>400</v>
      </c>
      <c r="AO692" s="107"/>
    </row>
    <row r="693" spans="1:41" ht="15">
      <c r="A693" s="109"/>
      <c r="B693" s="5832"/>
      <c r="C693" s="2762" t="s">
        <v>362</v>
      </c>
      <c r="D693" s="4840"/>
      <c r="E693" s="5805"/>
      <c r="F693" s="2763">
        <v>34</v>
      </c>
      <c r="G693" s="2763" t="s">
        <v>1575</v>
      </c>
      <c r="H693" s="2763" t="s">
        <v>1589</v>
      </c>
      <c r="I693" s="2763" t="s">
        <v>2033</v>
      </c>
      <c r="J693" s="3163">
        <v>44960</v>
      </c>
      <c r="K693" s="5806">
        <v>4.95</v>
      </c>
      <c r="L693" s="3271">
        <v>0.47</v>
      </c>
      <c r="M693" s="3996">
        <v>3.79</v>
      </c>
      <c r="N693" s="5807">
        <v>0.56999999999999995</v>
      </c>
      <c r="O693" s="3865">
        <f>1.16</f>
        <v>1.1599999999999999</v>
      </c>
      <c r="P693" s="5808">
        <v>1.98</v>
      </c>
      <c r="Q693" s="2940">
        <v>0.4</v>
      </c>
      <c r="R693" s="5809">
        <v>0.9</v>
      </c>
      <c r="S693" s="5583">
        <v>0.2</v>
      </c>
      <c r="T693" s="2763">
        <v>26</v>
      </c>
      <c r="U693" s="2988">
        <v>0.27</v>
      </c>
      <c r="V693" s="5810">
        <v>0.12</v>
      </c>
      <c r="W693" s="4051">
        <v>0.35</v>
      </c>
      <c r="X693" s="5811">
        <v>0.3846</v>
      </c>
      <c r="Y693" s="4155">
        <v>7</v>
      </c>
      <c r="Z693" s="4002">
        <v>2</v>
      </c>
      <c r="AA693" s="2780">
        <v>3</v>
      </c>
      <c r="AB693" s="3762">
        <v>2</v>
      </c>
      <c r="AC693" s="2916">
        <v>9</v>
      </c>
      <c r="AD693" s="3740">
        <v>3</v>
      </c>
      <c r="AE693" s="2782">
        <v>0</v>
      </c>
      <c r="AF693" s="2783">
        <v>0</v>
      </c>
      <c r="AG693" s="4483">
        <v>-170</v>
      </c>
      <c r="AH693" s="2956"/>
      <c r="AI693" s="4873">
        <v>-265</v>
      </c>
      <c r="AJ693" s="5371">
        <f t="shared" si="51"/>
        <v>155</v>
      </c>
      <c r="AK693" s="4346">
        <f>210</f>
        <v>210</v>
      </c>
      <c r="AL693" s="2820">
        <f>400</f>
        <v>400</v>
      </c>
      <c r="AM693" s="3793">
        <f>675</f>
        <v>675</v>
      </c>
      <c r="AN693" s="2774">
        <v>-120</v>
      </c>
      <c r="AO693" s="107"/>
    </row>
    <row r="694" spans="1:41" ht="12.75">
      <c r="A694" s="10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/>
    </row>
    <row r="695" spans="1:41" ht="12.75">
      <c r="A695" s="620"/>
      <c r="B695" s="620"/>
      <c r="C695" s="620"/>
      <c r="D695" s="620"/>
      <c r="E695" s="620"/>
      <c r="F695" s="620"/>
      <c r="G695" s="620"/>
      <c r="H695" s="620"/>
      <c r="I695" s="620"/>
      <c r="J695" s="620"/>
      <c r="K695" s="620"/>
      <c r="L695" s="620"/>
      <c r="M695" s="620"/>
      <c r="N695" s="620"/>
      <c r="O695" s="620"/>
      <c r="P695" s="620"/>
      <c r="Q695" s="620"/>
      <c r="R695" s="620"/>
      <c r="S695" s="620"/>
      <c r="T695" s="620"/>
      <c r="U695" s="620"/>
      <c r="V695" s="620"/>
      <c r="W695" s="620"/>
      <c r="X695" s="620"/>
      <c r="Y695" s="620"/>
      <c r="Z695" s="620"/>
      <c r="AA695" s="620"/>
      <c r="AB695" s="620"/>
      <c r="AC695" s="620"/>
      <c r="AD695" s="620"/>
      <c r="AE695" s="620"/>
      <c r="AF695" s="620"/>
      <c r="AG695" s="620"/>
      <c r="AH695" s="620"/>
      <c r="AI695" s="620"/>
      <c r="AJ695" s="620"/>
      <c r="AK695" s="620"/>
      <c r="AL695" s="620"/>
      <c r="AM695" s="620"/>
      <c r="AN695" s="620"/>
      <c r="AO695" s="620"/>
    </row>
  </sheetData>
  <mergeCells count="402">
    <mergeCell ref="B682:B683"/>
    <mergeCell ref="B684:B685"/>
    <mergeCell ref="B686:B687"/>
    <mergeCell ref="B688:B689"/>
    <mergeCell ref="B690:B691"/>
    <mergeCell ref="B692:B693"/>
    <mergeCell ref="B668:B669"/>
    <mergeCell ref="B670:B671"/>
    <mergeCell ref="B672:B673"/>
    <mergeCell ref="B674:B675"/>
    <mergeCell ref="B676:B677"/>
    <mergeCell ref="B678:B679"/>
    <mergeCell ref="B680:B681"/>
    <mergeCell ref="B645:B646"/>
    <mergeCell ref="B647:B648"/>
    <mergeCell ref="C666:C667"/>
    <mergeCell ref="D666:J666"/>
    <mergeCell ref="K666:O666"/>
    <mergeCell ref="P666:S666"/>
    <mergeCell ref="T666:AF666"/>
    <mergeCell ref="AG666:AN666"/>
    <mergeCell ref="B649:B650"/>
    <mergeCell ref="B651:B652"/>
    <mergeCell ref="B653:B654"/>
    <mergeCell ref="B655:B656"/>
    <mergeCell ref="B657:B658"/>
    <mergeCell ref="B659:B660"/>
    <mergeCell ref="B666:B667"/>
    <mergeCell ref="J468:N468"/>
    <mergeCell ref="O468:R468"/>
    <mergeCell ref="S468:AE468"/>
    <mergeCell ref="AF468:AM468"/>
    <mergeCell ref="B635:B636"/>
    <mergeCell ref="B637:B638"/>
    <mergeCell ref="B639:B640"/>
    <mergeCell ref="B641:B642"/>
    <mergeCell ref="B643:B644"/>
    <mergeCell ref="B436:B437"/>
    <mergeCell ref="B438:B439"/>
    <mergeCell ref="B440:B441"/>
    <mergeCell ref="B442:B443"/>
    <mergeCell ref="B444:B445"/>
    <mergeCell ref="B446:B447"/>
    <mergeCell ref="B448:B449"/>
    <mergeCell ref="C468:C469"/>
    <mergeCell ref="D468:I468"/>
    <mergeCell ref="D434:H434"/>
    <mergeCell ref="I434:M434"/>
    <mergeCell ref="N434:Q434"/>
    <mergeCell ref="R434:AD434"/>
    <mergeCell ref="AE434:AL434"/>
    <mergeCell ref="B414:B415"/>
    <mergeCell ref="B416:B417"/>
    <mergeCell ref="B418:B419"/>
    <mergeCell ref="B420:B421"/>
    <mergeCell ref="B422:B423"/>
    <mergeCell ref="B424:B425"/>
    <mergeCell ref="B426:B427"/>
    <mergeCell ref="B400:B401"/>
    <mergeCell ref="B402:B403"/>
    <mergeCell ref="B404:B405"/>
    <mergeCell ref="B406:B407"/>
    <mergeCell ref="B408:B409"/>
    <mergeCell ref="B410:B411"/>
    <mergeCell ref="B412:B413"/>
    <mergeCell ref="B434:B435"/>
    <mergeCell ref="C434:C435"/>
    <mergeCell ref="D398:J398"/>
    <mergeCell ref="K398:O398"/>
    <mergeCell ref="P398:S398"/>
    <mergeCell ref="T398:AF398"/>
    <mergeCell ref="AG398:AN398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8:B399"/>
    <mergeCell ref="C398:C399"/>
    <mergeCell ref="K366:O366"/>
    <mergeCell ref="P366:S366"/>
    <mergeCell ref="T366:AF366"/>
    <mergeCell ref="AG366:AN366"/>
    <mergeCell ref="B348:B349"/>
    <mergeCell ref="B350:B351"/>
    <mergeCell ref="B352:B353"/>
    <mergeCell ref="B354:B355"/>
    <mergeCell ref="B356:B357"/>
    <mergeCell ref="B358:B359"/>
    <mergeCell ref="B366:B367"/>
    <mergeCell ref="B334:B335"/>
    <mergeCell ref="B336:B337"/>
    <mergeCell ref="B338:B339"/>
    <mergeCell ref="B340:B341"/>
    <mergeCell ref="B342:B343"/>
    <mergeCell ref="B344:B345"/>
    <mergeCell ref="B346:B347"/>
    <mergeCell ref="C366:C367"/>
    <mergeCell ref="D366:J366"/>
    <mergeCell ref="T332:AF332"/>
    <mergeCell ref="AG332:AN332"/>
    <mergeCell ref="B318:B319"/>
    <mergeCell ref="B320:B321"/>
    <mergeCell ref="B322:B323"/>
    <mergeCell ref="B324:B325"/>
    <mergeCell ref="B332:B333"/>
    <mergeCell ref="C332:C333"/>
    <mergeCell ref="D332:J332"/>
    <mergeCell ref="B304:B305"/>
    <mergeCell ref="B306:B307"/>
    <mergeCell ref="B308:B309"/>
    <mergeCell ref="B310:B311"/>
    <mergeCell ref="B312:B313"/>
    <mergeCell ref="B314:B315"/>
    <mergeCell ref="B316:B317"/>
    <mergeCell ref="K332:O332"/>
    <mergeCell ref="P332:S332"/>
    <mergeCell ref="J302:N302"/>
    <mergeCell ref="O302:R302"/>
    <mergeCell ref="S302:AE302"/>
    <mergeCell ref="AF302:AM302"/>
    <mergeCell ref="B283:B284"/>
    <mergeCell ref="B285:B286"/>
    <mergeCell ref="B287:B288"/>
    <mergeCell ref="B289:B290"/>
    <mergeCell ref="B291:B292"/>
    <mergeCell ref="B293:B294"/>
    <mergeCell ref="B295:B296"/>
    <mergeCell ref="B269:B270"/>
    <mergeCell ref="B271:B272"/>
    <mergeCell ref="B273:B274"/>
    <mergeCell ref="B275:B276"/>
    <mergeCell ref="B277:B278"/>
    <mergeCell ref="B279:B280"/>
    <mergeCell ref="B281:B282"/>
    <mergeCell ref="B302:B303"/>
    <mergeCell ref="C302:I302"/>
    <mergeCell ref="K267:O267"/>
    <mergeCell ref="P267:S267"/>
    <mergeCell ref="T267:AF267"/>
    <mergeCell ref="AG267:AN267"/>
    <mergeCell ref="B248:B249"/>
    <mergeCell ref="B250:B251"/>
    <mergeCell ref="B252:B253"/>
    <mergeCell ref="B254:B255"/>
    <mergeCell ref="B256:B257"/>
    <mergeCell ref="B258:B259"/>
    <mergeCell ref="B267:B268"/>
    <mergeCell ref="B234:B235"/>
    <mergeCell ref="B236:B237"/>
    <mergeCell ref="B238:B239"/>
    <mergeCell ref="B240:B241"/>
    <mergeCell ref="B242:B243"/>
    <mergeCell ref="B244:B245"/>
    <mergeCell ref="B246:B247"/>
    <mergeCell ref="C267:C268"/>
    <mergeCell ref="D267:J267"/>
    <mergeCell ref="K232:O232"/>
    <mergeCell ref="P232:S232"/>
    <mergeCell ref="T232:AF232"/>
    <mergeCell ref="AG232:AN232"/>
    <mergeCell ref="B216:B217"/>
    <mergeCell ref="B218:B219"/>
    <mergeCell ref="B220:B221"/>
    <mergeCell ref="B222:B223"/>
    <mergeCell ref="B224:B225"/>
    <mergeCell ref="B226:B227"/>
    <mergeCell ref="B232:B233"/>
    <mergeCell ref="B202:B203"/>
    <mergeCell ref="B204:B205"/>
    <mergeCell ref="B206:B207"/>
    <mergeCell ref="B208:B209"/>
    <mergeCell ref="B210:B211"/>
    <mergeCell ref="B212:B213"/>
    <mergeCell ref="B214:B215"/>
    <mergeCell ref="C232:C233"/>
    <mergeCell ref="D232:J232"/>
    <mergeCell ref="D200:J200"/>
    <mergeCell ref="K200:O200"/>
    <mergeCell ref="P200:S200"/>
    <mergeCell ref="T200:AF200"/>
    <mergeCell ref="B183:B184"/>
    <mergeCell ref="B185:B186"/>
    <mergeCell ref="B187:B188"/>
    <mergeCell ref="B189:B190"/>
    <mergeCell ref="B191:B192"/>
    <mergeCell ref="B193:B194"/>
    <mergeCell ref="B195:B196"/>
    <mergeCell ref="B169:B170"/>
    <mergeCell ref="B171:B172"/>
    <mergeCell ref="B173:B174"/>
    <mergeCell ref="B175:B176"/>
    <mergeCell ref="B177:B178"/>
    <mergeCell ref="B179:B180"/>
    <mergeCell ref="B181:B182"/>
    <mergeCell ref="B200:B201"/>
    <mergeCell ref="C200:C201"/>
    <mergeCell ref="D167:J167"/>
    <mergeCell ref="K167:O167"/>
    <mergeCell ref="P167:S167"/>
    <mergeCell ref="T167:AF167"/>
    <mergeCell ref="AG167:AN16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7:B168"/>
    <mergeCell ref="C167:C168"/>
    <mergeCell ref="K136:O136"/>
    <mergeCell ref="P136:S136"/>
    <mergeCell ref="T136:AF136"/>
    <mergeCell ref="B121:B122"/>
    <mergeCell ref="B123:B124"/>
    <mergeCell ref="B125:B126"/>
    <mergeCell ref="B127:B128"/>
    <mergeCell ref="B129:B130"/>
    <mergeCell ref="B131:B132"/>
    <mergeCell ref="B136:B137"/>
    <mergeCell ref="B107:B108"/>
    <mergeCell ref="B109:B110"/>
    <mergeCell ref="B111:B112"/>
    <mergeCell ref="B113:B114"/>
    <mergeCell ref="B115:B116"/>
    <mergeCell ref="B117:B118"/>
    <mergeCell ref="B119:B120"/>
    <mergeCell ref="C136:C137"/>
    <mergeCell ref="D136:J136"/>
    <mergeCell ref="C105:C106"/>
    <mergeCell ref="D105:J105"/>
    <mergeCell ref="K105:O105"/>
    <mergeCell ref="P105:S105"/>
    <mergeCell ref="T105:AF105"/>
    <mergeCell ref="B84:B85"/>
    <mergeCell ref="B86:B87"/>
    <mergeCell ref="B88:B89"/>
    <mergeCell ref="B90:B91"/>
    <mergeCell ref="B92:B93"/>
    <mergeCell ref="B94:B95"/>
    <mergeCell ref="B96:B97"/>
    <mergeCell ref="B70:B71"/>
    <mergeCell ref="B72:B73"/>
    <mergeCell ref="B74:B75"/>
    <mergeCell ref="B76:B77"/>
    <mergeCell ref="B78:B79"/>
    <mergeCell ref="B80:B81"/>
    <mergeCell ref="B82:B83"/>
    <mergeCell ref="B98:B99"/>
    <mergeCell ref="B105:B106"/>
    <mergeCell ref="P68:S68"/>
    <mergeCell ref="T68:AF68"/>
    <mergeCell ref="AG68:AM68"/>
    <mergeCell ref="B51:B52"/>
    <mergeCell ref="B53:B54"/>
    <mergeCell ref="B55:B56"/>
    <mergeCell ref="B57:B58"/>
    <mergeCell ref="B59:B60"/>
    <mergeCell ref="B61:B62"/>
    <mergeCell ref="B63:B64"/>
    <mergeCell ref="P35:S35"/>
    <mergeCell ref="T35:AF35"/>
    <mergeCell ref="AG35:AM35"/>
    <mergeCell ref="B20:B21"/>
    <mergeCell ref="B22:B23"/>
    <mergeCell ref="B24:B25"/>
    <mergeCell ref="B26:B27"/>
    <mergeCell ref="B28:B29"/>
    <mergeCell ref="B30:B31"/>
    <mergeCell ref="B35:B36"/>
    <mergeCell ref="P4:S4"/>
    <mergeCell ref="T4:AF4"/>
    <mergeCell ref="AG4:AM4"/>
    <mergeCell ref="B6:B7"/>
    <mergeCell ref="B8:B9"/>
    <mergeCell ref="B10:B11"/>
    <mergeCell ref="B12:B13"/>
    <mergeCell ref="B14:B15"/>
    <mergeCell ref="B16:B17"/>
    <mergeCell ref="B619:B620"/>
    <mergeCell ref="B621:B622"/>
    <mergeCell ref="B623:B624"/>
    <mergeCell ref="B625:B626"/>
    <mergeCell ref="B633:B634"/>
    <mergeCell ref="B4:B5"/>
    <mergeCell ref="C4:C5"/>
    <mergeCell ref="D4:J4"/>
    <mergeCell ref="K4:O4"/>
    <mergeCell ref="B18:B19"/>
    <mergeCell ref="C35:C36"/>
    <mergeCell ref="D35:J35"/>
    <mergeCell ref="K35:O35"/>
    <mergeCell ref="B37:B38"/>
    <mergeCell ref="B39:B40"/>
    <mergeCell ref="B41:B42"/>
    <mergeCell ref="B43:B44"/>
    <mergeCell ref="B45:B46"/>
    <mergeCell ref="B47:B48"/>
    <mergeCell ref="B49:B50"/>
    <mergeCell ref="B68:B69"/>
    <mergeCell ref="C68:C69"/>
    <mergeCell ref="D68:J68"/>
    <mergeCell ref="K68:O68"/>
    <mergeCell ref="B601:B602"/>
    <mergeCell ref="B603:B604"/>
    <mergeCell ref="B605:B606"/>
    <mergeCell ref="B607:B608"/>
    <mergeCell ref="B609:B610"/>
    <mergeCell ref="B611:B612"/>
    <mergeCell ref="B613:B614"/>
    <mergeCell ref="B615:B616"/>
    <mergeCell ref="B617:B618"/>
    <mergeCell ref="B577:B578"/>
    <mergeCell ref="B579:B580"/>
    <mergeCell ref="B581:B582"/>
    <mergeCell ref="D599:J599"/>
    <mergeCell ref="K599:O599"/>
    <mergeCell ref="P599:S599"/>
    <mergeCell ref="T599:AF599"/>
    <mergeCell ref="AG599:AN599"/>
    <mergeCell ref="B583:B584"/>
    <mergeCell ref="B585:B586"/>
    <mergeCell ref="B587:B588"/>
    <mergeCell ref="B589:B590"/>
    <mergeCell ref="B591:B592"/>
    <mergeCell ref="B599:B600"/>
    <mergeCell ref="C599:C600"/>
    <mergeCell ref="B554:B555"/>
    <mergeCell ref="B556:B557"/>
    <mergeCell ref="B558:B559"/>
    <mergeCell ref="B560:B561"/>
    <mergeCell ref="B562:B563"/>
    <mergeCell ref="B569:B570"/>
    <mergeCell ref="B571:B572"/>
    <mergeCell ref="B573:B574"/>
    <mergeCell ref="B575:B576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O534:R534"/>
    <mergeCell ref="S534:AE534"/>
    <mergeCell ref="AF534:AM534"/>
    <mergeCell ref="B518:B519"/>
    <mergeCell ref="B520:B521"/>
    <mergeCell ref="B522:B523"/>
    <mergeCell ref="B524:B525"/>
    <mergeCell ref="B526:B527"/>
    <mergeCell ref="B534:B535"/>
    <mergeCell ref="C534:C535"/>
    <mergeCell ref="B504:B505"/>
    <mergeCell ref="B506:B507"/>
    <mergeCell ref="B508:B509"/>
    <mergeCell ref="B510:B511"/>
    <mergeCell ref="B512:B513"/>
    <mergeCell ref="B514:B515"/>
    <mergeCell ref="B516:B517"/>
    <mergeCell ref="D534:I534"/>
    <mergeCell ref="J534:N534"/>
    <mergeCell ref="B474:B475"/>
    <mergeCell ref="B476:B477"/>
    <mergeCell ref="B478:B479"/>
    <mergeCell ref="B480:B481"/>
    <mergeCell ref="B482:B483"/>
    <mergeCell ref="D502:H502"/>
    <mergeCell ref="I502:M502"/>
    <mergeCell ref="N502:Q502"/>
    <mergeCell ref="R502:AD502"/>
    <mergeCell ref="B484:B485"/>
    <mergeCell ref="B486:B487"/>
    <mergeCell ref="B488:B489"/>
    <mergeCell ref="B490:B491"/>
    <mergeCell ref="B492:B493"/>
    <mergeCell ref="B502:B503"/>
    <mergeCell ref="C502:C503"/>
    <mergeCell ref="B450:B451"/>
    <mergeCell ref="B452:B453"/>
    <mergeCell ref="B454:B455"/>
    <mergeCell ref="B456:B457"/>
    <mergeCell ref="B458:B459"/>
    <mergeCell ref="B460:B461"/>
    <mergeCell ref="B468:B469"/>
    <mergeCell ref="B470:B471"/>
    <mergeCell ref="B472:B47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K4462"/>
  <sheetViews>
    <sheetView workbookViewId="0"/>
  </sheetViews>
  <sheetFormatPr defaultColWidth="12.5703125" defaultRowHeight="15.75" customHeight="1"/>
  <cols>
    <col min="1" max="1" width="34.42578125" customWidth="1"/>
    <col min="2" max="2" width="26.5703125" customWidth="1"/>
    <col min="3" max="3" width="10.7109375" customWidth="1"/>
    <col min="4" max="4" width="57.85546875" customWidth="1"/>
    <col min="5" max="5" width="21.42578125" customWidth="1"/>
    <col min="6" max="6" width="7.7109375" customWidth="1"/>
  </cols>
  <sheetData>
    <row r="1" spans="1:11">
      <c r="A1" s="21" t="s">
        <v>2034</v>
      </c>
      <c r="B1" s="21" t="s">
        <v>2035</v>
      </c>
      <c r="C1" s="21" t="s">
        <v>2036</v>
      </c>
      <c r="D1" s="21" t="s">
        <v>2037</v>
      </c>
      <c r="E1" s="21" t="s">
        <v>2038</v>
      </c>
      <c r="F1" s="21" t="s">
        <v>2039</v>
      </c>
      <c r="G1" s="21" t="s">
        <v>2040</v>
      </c>
      <c r="H1" s="21" t="s">
        <v>2041</v>
      </c>
      <c r="I1" s="21" t="s">
        <v>2042</v>
      </c>
      <c r="J1" s="21" t="s">
        <v>2043</v>
      </c>
      <c r="K1" s="21" t="s">
        <v>2044</v>
      </c>
    </row>
    <row r="2" spans="1:11">
      <c r="A2" s="21" t="s">
        <v>2045</v>
      </c>
      <c r="B2" s="21" t="s">
        <v>2046</v>
      </c>
      <c r="C2" s="21" t="s">
        <v>179</v>
      </c>
      <c r="D2" s="21" t="s">
        <v>2</v>
      </c>
      <c r="E2" s="21" t="s">
        <v>180</v>
      </c>
      <c r="F2" s="5812">
        <v>2</v>
      </c>
      <c r="G2" s="5813">
        <v>0.13125000000000001</v>
      </c>
      <c r="H2" s="21" t="s">
        <v>10</v>
      </c>
      <c r="I2" s="21" t="s">
        <v>96</v>
      </c>
      <c r="J2" s="21" t="s">
        <v>2047</v>
      </c>
      <c r="K2" s="5814" t="s">
        <v>2048</v>
      </c>
    </row>
    <row r="3" spans="1:11">
      <c r="A3" s="21" t="s">
        <v>177</v>
      </c>
      <c r="B3" s="21" t="s">
        <v>178</v>
      </c>
      <c r="C3" s="21" t="s">
        <v>179</v>
      </c>
      <c r="D3" s="21" t="s">
        <v>2</v>
      </c>
      <c r="E3" s="21" t="s">
        <v>180</v>
      </c>
      <c r="F3" s="5812">
        <v>2</v>
      </c>
      <c r="G3" s="5813">
        <v>0.14444444444444443</v>
      </c>
      <c r="H3" s="21" t="s">
        <v>10</v>
      </c>
      <c r="I3" s="21" t="s">
        <v>96</v>
      </c>
      <c r="J3" s="21" t="s">
        <v>181</v>
      </c>
      <c r="K3" s="5814" t="s">
        <v>182</v>
      </c>
    </row>
    <row r="4" spans="1:11">
      <c r="A4" s="21" t="s">
        <v>2049</v>
      </c>
      <c r="B4" s="21" t="s">
        <v>2050</v>
      </c>
      <c r="C4" s="21" t="s">
        <v>22</v>
      </c>
      <c r="D4" s="21" t="s">
        <v>2</v>
      </c>
      <c r="E4" s="21" t="s">
        <v>710</v>
      </c>
      <c r="F4" s="5812">
        <v>3</v>
      </c>
      <c r="G4" s="5813">
        <v>0.20833333333333334</v>
      </c>
      <c r="H4" s="21" t="s">
        <v>10</v>
      </c>
      <c r="I4" s="21" t="s">
        <v>55</v>
      </c>
      <c r="J4" s="21" t="s">
        <v>2051</v>
      </c>
      <c r="K4" s="5814" t="s">
        <v>2052</v>
      </c>
    </row>
    <row r="5" spans="1:11">
      <c r="A5" s="21" t="s">
        <v>2053</v>
      </c>
      <c r="B5" s="21" t="s">
        <v>2054</v>
      </c>
      <c r="C5" s="21" t="s">
        <v>709</v>
      </c>
      <c r="D5" s="21" t="s">
        <v>2</v>
      </c>
      <c r="E5" s="21" t="s">
        <v>710</v>
      </c>
      <c r="F5" s="5812">
        <v>3</v>
      </c>
      <c r="G5" s="5813">
        <v>0.20833333333333334</v>
      </c>
      <c r="H5" s="21" t="s">
        <v>10</v>
      </c>
      <c r="I5" s="21" t="s">
        <v>55</v>
      </c>
      <c r="J5" s="21" t="s">
        <v>2055</v>
      </c>
      <c r="K5" s="5814" t="s">
        <v>2056</v>
      </c>
    </row>
    <row r="6" spans="1:11">
      <c r="A6" s="21" t="s">
        <v>2057</v>
      </c>
      <c r="B6" s="21" t="s">
        <v>2058</v>
      </c>
      <c r="C6" s="21" t="s">
        <v>22</v>
      </c>
      <c r="D6" s="21" t="s">
        <v>2</v>
      </c>
      <c r="E6" s="21" t="s">
        <v>710</v>
      </c>
      <c r="F6" s="5812">
        <v>3</v>
      </c>
      <c r="G6" s="5813">
        <v>0.20833333333333334</v>
      </c>
      <c r="H6" s="21" t="s">
        <v>10</v>
      </c>
      <c r="I6" s="21" t="s">
        <v>11</v>
      </c>
      <c r="J6" s="21" t="s">
        <v>2059</v>
      </c>
      <c r="K6" s="5814" t="s">
        <v>2060</v>
      </c>
    </row>
    <row r="7" spans="1:11">
      <c r="A7" s="21" t="s">
        <v>2061</v>
      </c>
      <c r="B7" s="21" t="s">
        <v>2062</v>
      </c>
      <c r="C7" s="21" t="s">
        <v>22</v>
      </c>
      <c r="D7" s="21" t="s">
        <v>2</v>
      </c>
      <c r="E7" s="21" t="s">
        <v>710</v>
      </c>
      <c r="F7" s="5812">
        <v>3</v>
      </c>
      <c r="G7" s="5813">
        <v>0.20833333333333334</v>
      </c>
      <c r="H7" s="21" t="s">
        <v>10</v>
      </c>
      <c r="I7" s="21" t="s">
        <v>89</v>
      </c>
      <c r="J7" s="21" t="s">
        <v>2063</v>
      </c>
      <c r="K7" s="5814" t="s">
        <v>2064</v>
      </c>
    </row>
    <row r="8" spans="1:11">
      <c r="A8" s="21" t="s">
        <v>2065</v>
      </c>
      <c r="B8" s="21" t="s">
        <v>2066</v>
      </c>
      <c r="C8" s="21" t="s">
        <v>709</v>
      </c>
      <c r="D8" s="21" t="s">
        <v>2</v>
      </c>
      <c r="E8" s="21" t="s">
        <v>710</v>
      </c>
      <c r="F8" s="5812">
        <v>3</v>
      </c>
      <c r="G8" s="5813">
        <v>0.20833333333333334</v>
      </c>
      <c r="H8" s="21" t="s">
        <v>10</v>
      </c>
      <c r="I8" s="21" t="s">
        <v>2067</v>
      </c>
      <c r="J8" s="21" t="s">
        <v>2068</v>
      </c>
      <c r="K8" s="5814" t="s">
        <v>2069</v>
      </c>
    </row>
    <row r="9" spans="1:11">
      <c r="A9" s="21" t="s">
        <v>2070</v>
      </c>
      <c r="B9" s="21" t="s">
        <v>2071</v>
      </c>
      <c r="C9" s="21" t="s">
        <v>709</v>
      </c>
      <c r="D9" s="21" t="s">
        <v>2</v>
      </c>
      <c r="E9" s="21" t="s">
        <v>710</v>
      </c>
      <c r="F9" s="5812">
        <v>3</v>
      </c>
      <c r="G9" s="5813">
        <v>0.20833333333333334</v>
      </c>
      <c r="H9" s="21" t="s">
        <v>10</v>
      </c>
      <c r="I9" s="21" t="s">
        <v>2072</v>
      </c>
      <c r="J9" s="21" t="s">
        <v>2073</v>
      </c>
      <c r="K9" s="5814" t="s">
        <v>2074</v>
      </c>
    </row>
    <row r="10" spans="1:11">
      <c r="A10" s="21" t="s">
        <v>2075</v>
      </c>
      <c r="B10" s="21" t="s">
        <v>2076</v>
      </c>
      <c r="C10" s="21" t="s">
        <v>709</v>
      </c>
      <c r="D10" s="21" t="s">
        <v>2</v>
      </c>
      <c r="E10" s="21" t="s">
        <v>710</v>
      </c>
      <c r="F10" s="5812">
        <v>3</v>
      </c>
      <c r="G10" s="5813">
        <v>0.20833333333333334</v>
      </c>
      <c r="H10" s="21" t="s">
        <v>10</v>
      </c>
      <c r="I10" s="21" t="s">
        <v>73</v>
      </c>
      <c r="J10" s="21" t="s">
        <v>2077</v>
      </c>
      <c r="K10" s="5814" t="s">
        <v>2078</v>
      </c>
    </row>
    <row r="11" spans="1:11">
      <c r="A11" s="21" t="s">
        <v>2079</v>
      </c>
      <c r="B11" s="21" t="s">
        <v>2080</v>
      </c>
      <c r="C11" s="21" t="s">
        <v>8</v>
      </c>
      <c r="D11" s="21" t="s">
        <v>2</v>
      </c>
      <c r="E11" s="21" t="s">
        <v>193</v>
      </c>
      <c r="F11" s="5812">
        <v>3</v>
      </c>
      <c r="G11" s="5813">
        <v>0.20833333333333334</v>
      </c>
      <c r="H11" s="21" t="s">
        <v>2081</v>
      </c>
      <c r="I11" s="21" t="s">
        <v>39</v>
      </c>
      <c r="J11" s="21" t="s">
        <v>2082</v>
      </c>
      <c r="K11" s="5814" t="s">
        <v>2083</v>
      </c>
    </row>
    <row r="12" spans="1:11">
      <c r="A12" s="21" t="s">
        <v>185</v>
      </c>
      <c r="B12" s="21" t="s">
        <v>192</v>
      </c>
      <c r="C12" s="21" t="s">
        <v>22</v>
      </c>
      <c r="D12" s="21" t="s">
        <v>2</v>
      </c>
      <c r="E12" s="21" t="s">
        <v>193</v>
      </c>
      <c r="F12" s="5812">
        <v>3</v>
      </c>
      <c r="G12" s="5813">
        <v>0.20833333333333334</v>
      </c>
      <c r="H12" s="21" t="s">
        <v>10</v>
      </c>
      <c r="I12" s="21" t="s">
        <v>194</v>
      </c>
      <c r="J12" s="21" t="s">
        <v>195</v>
      </c>
      <c r="K12" s="5814" t="s">
        <v>196</v>
      </c>
    </row>
    <row r="13" spans="1:11">
      <c r="A13" s="21" t="s">
        <v>2084</v>
      </c>
      <c r="B13" s="21" t="s">
        <v>2085</v>
      </c>
      <c r="C13" s="21" t="s">
        <v>22</v>
      </c>
      <c r="D13" s="21" t="s">
        <v>2</v>
      </c>
      <c r="E13" s="21" t="s">
        <v>193</v>
      </c>
      <c r="F13" s="5812">
        <v>3</v>
      </c>
      <c r="G13" s="5813">
        <v>0.20833333333333334</v>
      </c>
      <c r="H13" s="21" t="s">
        <v>10</v>
      </c>
      <c r="I13" s="21" t="s">
        <v>47</v>
      </c>
      <c r="J13" s="21" t="s">
        <v>2086</v>
      </c>
      <c r="K13" s="5814" t="s">
        <v>2087</v>
      </c>
    </row>
    <row r="14" spans="1:11">
      <c r="A14" s="21" t="s">
        <v>2088</v>
      </c>
      <c r="B14" s="21" t="s">
        <v>2089</v>
      </c>
      <c r="C14" s="21" t="s">
        <v>8</v>
      </c>
      <c r="D14" s="21" t="s">
        <v>2</v>
      </c>
      <c r="E14" s="21" t="s">
        <v>193</v>
      </c>
      <c r="F14" s="5812">
        <v>3</v>
      </c>
      <c r="G14" s="5813">
        <v>0.20833333333333334</v>
      </c>
      <c r="H14" s="21" t="s">
        <v>10</v>
      </c>
      <c r="I14" s="21" t="s">
        <v>39</v>
      </c>
      <c r="J14" s="21" t="s">
        <v>2090</v>
      </c>
      <c r="K14" s="5814" t="s">
        <v>2091</v>
      </c>
    </row>
    <row r="15" spans="1:11">
      <c r="A15" s="21" t="s">
        <v>2092</v>
      </c>
      <c r="B15" s="21" t="s">
        <v>2093</v>
      </c>
      <c r="C15" s="21" t="s">
        <v>8</v>
      </c>
      <c r="D15" s="21" t="s">
        <v>2</v>
      </c>
      <c r="E15" s="21" t="s">
        <v>193</v>
      </c>
      <c r="F15" s="5812">
        <v>3</v>
      </c>
      <c r="G15" s="5813">
        <v>0.20833333333333334</v>
      </c>
      <c r="H15" s="21" t="s">
        <v>10</v>
      </c>
      <c r="I15" s="21" t="s">
        <v>39</v>
      </c>
      <c r="J15" s="21" t="s">
        <v>2094</v>
      </c>
      <c r="K15" s="5814" t="s">
        <v>2095</v>
      </c>
    </row>
    <row r="16" spans="1:11">
      <c r="A16" s="21" t="s">
        <v>2096</v>
      </c>
      <c r="B16" s="21" t="s">
        <v>2097</v>
      </c>
      <c r="C16" s="21" t="s">
        <v>22</v>
      </c>
      <c r="D16" s="21" t="s">
        <v>2</v>
      </c>
      <c r="E16" s="21" t="s">
        <v>193</v>
      </c>
      <c r="F16" s="5812">
        <v>3</v>
      </c>
      <c r="G16" s="5813">
        <v>0.20833333333333334</v>
      </c>
      <c r="H16" s="21" t="s">
        <v>10</v>
      </c>
      <c r="I16" s="21" t="s">
        <v>96</v>
      </c>
      <c r="J16" s="21" t="s">
        <v>2098</v>
      </c>
      <c r="K16" s="5814" t="s">
        <v>2099</v>
      </c>
    </row>
    <row r="17" spans="1:11">
      <c r="A17" s="21" t="s">
        <v>2100</v>
      </c>
      <c r="B17" s="21" t="s">
        <v>2101</v>
      </c>
      <c r="C17" s="21" t="s">
        <v>8</v>
      </c>
      <c r="D17" s="21" t="s">
        <v>2</v>
      </c>
      <c r="E17" s="21" t="s">
        <v>193</v>
      </c>
      <c r="F17" s="5812">
        <v>3</v>
      </c>
      <c r="G17" s="5813">
        <v>0.20833333333333334</v>
      </c>
      <c r="H17" s="21" t="s">
        <v>10</v>
      </c>
      <c r="I17" s="21" t="s">
        <v>55</v>
      </c>
      <c r="J17" s="21" t="s">
        <v>2102</v>
      </c>
      <c r="K17" s="5814" t="s">
        <v>2103</v>
      </c>
    </row>
    <row r="18" spans="1:11">
      <c r="A18" s="21" t="s">
        <v>2104</v>
      </c>
      <c r="B18" s="21" t="s">
        <v>2105</v>
      </c>
      <c r="C18" s="21" t="s">
        <v>22</v>
      </c>
      <c r="D18" s="21" t="s">
        <v>2</v>
      </c>
      <c r="E18" s="21" t="s">
        <v>193</v>
      </c>
      <c r="F18" s="5812">
        <v>3</v>
      </c>
      <c r="G18" s="5813">
        <v>0.20833333333333334</v>
      </c>
      <c r="H18" s="21" t="s">
        <v>10</v>
      </c>
      <c r="I18" s="21" t="s">
        <v>55</v>
      </c>
      <c r="J18" s="21" t="s">
        <v>2106</v>
      </c>
      <c r="K18" s="5814" t="s">
        <v>2107</v>
      </c>
    </row>
    <row r="19" spans="1:11">
      <c r="A19" s="21" t="s">
        <v>2108</v>
      </c>
      <c r="B19" s="21" t="s">
        <v>2109</v>
      </c>
      <c r="C19" s="21" t="s">
        <v>8</v>
      </c>
      <c r="D19" s="21" t="s">
        <v>2</v>
      </c>
      <c r="E19" s="21" t="s">
        <v>193</v>
      </c>
      <c r="F19" s="5812">
        <v>3</v>
      </c>
      <c r="G19" s="5813">
        <v>0.20833333333333334</v>
      </c>
      <c r="H19" s="21" t="s">
        <v>10</v>
      </c>
      <c r="I19" s="21" t="s">
        <v>96</v>
      </c>
      <c r="J19" s="21" t="s">
        <v>2110</v>
      </c>
      <c r="K19" s="5814" t="s">
        <v>2111</v>
      </c>
    </row>
    <row r="20" spans="1:11">
      <c r="A20" s="21" t="s">
        <v>2079</v>
      </c>
      <c r="B20" s="21" t="s">
        <v>2112</v>
      </c>
      <c r="C20" s="21" t="s">
        <v>8</v>
      </c>
      <c r="D20" s="21" t="s">
        <v>2</v>
      </c>
      <c r="E20" s="21" t="s">
        <v>193</v>
      </c>
      <c r="F20" s="5812">
        <v>3</v>
      </c>
      <c r="G20" s="5813">
        <v>0.20833333333333334</v>
      </c>
      <c r="H20" s="21" t="s">
        <v>10</v>
      </c>
      <c r="I20" s="21" t="s">
        <v>23</v>
      </c>
      <c r="J20" s="21" t="s">
        <v>2113</v>
      </c>
      <c r="K20" s="5814" t="s">
        <v>2114</v>
      </c>
    </row>
    <row r="21" spans="1:11">
      <c r="A21" s="21" t="s">
        <v>2115</v>
      </c>
      <c r="B21" s="21" t="s">
        <v>2116</v>
      </c>
      <c r="C21" s="21" t="s">
        <v>8</v>
      </c>
      <c r="D21" s="21" t="s">
        <v>2</v>
      </c>
      <c r="E21" s="21" t="s">
        <v>193</v>
      </c>
      <c r="F21" s="5812">
        <v>3</v>
      </c>
      <c r="G21" s="5813">
        <v>0.20833333333333334</v>
      </c>
      <c r="H21" s="21" t="s">
        <v>10</v>
      </c>
      <c r="I21" s="21" t="s">
        <v>226</v>
      </c>
      <c r="J21" s="21" t="s">
        <v>2117</v>
      </c>
      <c r="K21" s="5814" t="s">
        <v>2118</v>
      </c>
    </row>
    <row r="22" spans="1:11">
      <c r="A22" s="21" t="s">
        <v>2119</v>
      </c>
      <c r="B22" s="21" t="s">
        <v>2120</v>
      </c>
      <c r="C22" s="21" t="s">
        <v>22</v>
      </c>
      <c r="D22" s="21" t="s">
        <v>2</v>
      </c>
      <c r="E22" s="21" t="s">
        <v>193</v>
      </c>
      <c r="F22" s="5812">
        <v>3</v>
      </c>
      <c r="G22" s="5813">
        <v>0.20833333333333334</v>
      </c>
      <c r="H22" s="21" t="s">
        <v>10</v>
      </c>
      <c r="I22" s="21" t="s">
        <v>55</v>
      </c>
      <c r="J22" s="21" t="s">
        <v>2121</v>
      </c>
      <c r="K22" s="5814" t="s">
        <v>2122</v>
      </c>
    </row>
    <row r="23" spans="1:11">
      <c r="A23" s="21" t="s">
        <v>2123</v>
      </c>
      <c r="B23" s="21" t="s">
        <v>2124</v>
      </c>
      <c r="C23" s="21" t="s">
        <v>8</v>
      </c>
      <c r="D23" s="21" t="s">
        <v>2</v>
      </c>
      <c r="E23" s="21" t="s">
        <v>193</v>
      </c>
      <c r="F23" s="5812">
        <v>3</v>
      </c>
      <c r="G23" s="5813">
        <v>0.20833333333333334</v>
      </c>
      <c r="H23" s="21" t="s">
        <v>10</v>
      </c>
      <c r="I23" s="21" t="s">
        <v>96</v>
      </c>
      <c r="J23" s="21" t="s">
        <v>2125</v>
      </c>
      <c r="K23" s="5814" t="s">
        <v>2126</v>
      </c>
    </row>
    <row r="24" spans="1:11">
      <c r="A24" s="21" t="s">
        <v>2127</v>
      </c>
      <c r="B24" s="21" t="s">
        <v>2128</v>
      </c>
      <c r="C24" s="21" t="s">
        <v>22</v>
      </c>
      <c r="D24" s="21" t="s">
        <v>2</v>
      </c>
      <c r="E24" s="21" t="s">
        <v>193</v>
      </c>
      <c r="F24" s="5812">
        <v>3</v>
      </c>
      <c r="G24" s="5813">
        <v>0.20833333333333334</v>
      </c>
      <c r="H24" s="21" t="s">
        <v>10</v>
      </c>
      <c r="I24" s="21" t="s">
        <v>23</v>
      </c>
      <c r="J24" s="21" t="s">
        <v>2129</v>
      </c>
      <c r="K24" s="5814" t="s">
        <v>2130</v>
      </c>
    </row>
    <row r="25" spans="1:11">
      <c r="A25" s="21" t="s">
        <v>2131</v>
      </c>
      <c r="B25" s="21" t="s">
        <v>2132</v>
      </c>
      <c r="C25" s="21" t="s">
        <v>8</v>
      </c>
      <c r="D25" s="21" t="s">
        <v>2</v>
      </c>
      <c r="E25" s="21" t="s">
        <v>193</v>
      </c>
      <c r="F25" s="5812">
        <v>3</v>
      </c>
      <c r="G25" s="5813">
        <v>0.20833333333333334</v>
      </c>
      <c r="H25" s="21" t="s">
        <v>10</v>
      </c>
      <c r="I25" s="21" t="s">
        <v>23</v>
      </c>
      <c r="J25" s="21" t="s">
        <v>2133</v>
      </c>
      <c r="K25" s="5814" t="s">
        <v>2134</v>
      </c>
    </row>
    <row r="26" spans="1:11">
      <c r="A26" s="21" t="s">
        <v>2135</v>
      </c>
      <c r="B26" s="21" t="s">
        <v>2136</v>
      </c>
      <c r="C26" s="21" t="s">
        <v>8</v>
      </c>
      <c r="D26" s="21" t="s">
        <v>2</v>
      </c>
      <c r="E26" s="21" t="s">
        <v>193</v>
      </c>
      <c r="F26" s="5812">
        <v>3</v>
      </c>
      <c r="G26" s="5813">
        <v>0.20833333333333334</v>
      </c>
      <c r="H26" s="21" t="s">
        <v>10</v>
      </c>
      <c r="I26" s="21" t="s">
        <v>23</v>
      </c>
      <c r="J26" s="21" t="s">
        <v>2137</v>
      </c>
      <c r="K26" s="5814" t="s">
        <v>2138</v>
      </c>
    </row>
    <row r="27" spans="1:11">
      <c r="A27" s="21" t="s">
        <v>2139</v>
      </c>
      <c r="B27" s="21" t="s">
        <v>2140</v>
      </c>
      <c r="C27" s="21" t="s">
        <v>8</v>
      </c>
      <c r="D27" s="21" t="s">
        <v>2</v>
      </c>
      <c r="E27" s="21" t="s">
        <v>193</v>
      </c>
      <c r="F27" s="5812">
        <v>3</v>
      </c>
      <c r="G27" s="5813">
        <v>0.20833333333333334</v>
      </c>
      <c r="H27" s="21" t="s">
        <v>10</v>
      </c>
      <c r="I27" s="21"/>
      <c r="J27" s="21" t="s">
        <v>2141</v>
      </c>
      <c r="K27" s="5814" t="s">
        <v>2142</v>
      </c>
    </row>
    <row r="28" spans="1:11">
      <c r="A28" s="21" t="s">
        <v>2143</v>
      </c>
      <c r="B28" s="21" t="s">
        <v>2144</v>
      </c>
      <c r="C28" s="21" t="s">
        <v>8</v>
      </c>
      <c r="D28" s="21" t="s">
        <v>2</v>
      </c>
      <c r="E28" s="21" t="s">
        <v>193</v>
      </c>
      <c r="F28" s="5812">
        <v>3</v>
      </c>
      <c r="G28" s="5813">
        <v>0.20833333333333334</v>
      </c>
      <c r="H28" s="21" t="s">
        <v>10</v>
      </c>
      <c r="I28" s="21" t="s">
        <v>73</v>
      </c>
      <c r="J28" s="21" t="s">
        <v>2145</v>
      </c>
      <c r="K28" s="5814" t="s">
        <v>2146</v>
      </c>
    </row>
    <row r="29" spans="1:11">
      <c r="A29" s="21" t="s">
        <v>2147</v>
      </c>
      <c r="B29" s="21" t="s">
        <v>2148</v>
      </c>
      <c r="C29" s="21" t="s">
        <v>8</v>
      </c>
      <c r="D29" s="21" t="s">
        <v>2</v>
      </c>
      <c r="E29" s="21" t="s">
        <v>193</v>
      </c>
      <c r="F29" s="5812">
        <v>3</v>
      </c>
      <c r="G29" s="5813">
        <v>0.20833333333333334</v>
      </c>
      <c r="H29" s="21" t="s">
        <v>10</v>
      </c>
      <c r="I29" s="21" t="s">
        <v>2149</v>
      </c>
      <c r="J29" s="21" t="s">
        <v>2150</v>
      </c>
      <c r="K29" s="5814" t="s">
        <v>2151</v>
      </c>
    </row>
    <row r="30" spans="1:11">
      <c r="A30" s="21" t="s">
        <v>2147</v>
      </c>
      <c r="B30" s="21" t="s">
        <v>2152</v>
      </c>
      <c r="C30" s="21" t="s">
        <v>8</v>
      </c>
      <c r="D30" s="21" t="s">
        <v>2</v>
      </c>
      <c r="E30" s="21" t="s">
        <v>193</v>
      </c>
      <c r="F30" s="5812">
        <v>3</v>
      </c>
      <c r="G30" s="5813">
        <v>0.20833333333333334</v>
      </c>
      <c r="H30" s="21" t="s">
        <v>10</v>
      </c>
      <c r="I30" s="21" t="s">
        <v>2153</v>
      </c>
      <c r="J30" s="21" t="s">
        <v>2154</v>
      </c>
      <c r="K30" s="5814" t="s">
        <v>2155</v>
      </c>
    </row>
    <row r="31" spans="1:11">
      <c r="A31" s="21" t="s">
        <v>2156</v>
      </c>
      <c r="B31" s="21" t="s">
        <v>2157</v>
      </c>
      <c r="C31" s="21" t="s">
        <v>8</v>
      </c>
      <c r="D31" s="21" t="s">
        <v>2</v>
      </c>
      <c r="E31" s="21" t="s">
        <v>193</v>
      </c>
      <c r="F31" s="5812">
        <v>3</v>
      </c>
      <c r="G31" s="5813">
        <v>0.20833333333333334</v>
      </c>
      <c r="H31" s="21" t="s">
        <v>10</v>
      </c>
      <c r="I31" s="21" t="s">
        <v>47</v>
      </c>
      <c r="J31" s="21" t="s">
        <v>2158</v>
      </c>
      <c r="K31" s="5814" t="s">
        <v>2159</v>
      </c>
    </row>
    <row r="32" spans="1:11">
      <c r="A32" s="21" t="s">
        <v>2160</v>
      </c>
      <c r="B32" s="21" t="s">
        <v>2161</v>
      </c>
      <c r="C32" s="21" t="s">
        <v>22</v>
      </c>
      <c r="D32" s="21" t="s">
        <v>2</v>
      </c>
      <c r="E32" s="21" t="s">
        <v>193</v>
      </c>
      <c r="F32" s="5812">
        <v>3</v>
      </c>
      <c r="G32" s="5813">
        <v>0.20833333333333334</v>
      </c>
      <c r="H32" s="21" t="s">
        <v>10</v>
      </c>
      <c r="I32" s="21" t="s">
        <v>2162</v>
      </c>
      <c r="J32" s="21" t="s">
        <v>2163</v>
      </c>
      <c r="K32" s="5814" t="s">
        <v>2164</v>
      </c>
    </row>
    <row r="33" spans="1:11">
      <c r="A33" s="21" t="s">
        <v>2165</v>
      </c>
      <c r="B33" s="21" t="s">
        <v>2166</v>
      </c>
      <c r="C33" s="21" t="s">
        <v>22</v>
      </c>
      <c r="D33" s="21" t="s">
        <v>2</v>
      </c>
      <c r="E33" s="21" t="s">
        <v>193</v>
      </c>
      <c r="F33" s="5812">
        <v>3</v>
      </c>
      <c r="G33" s="5813">
        <v>0.20833333333333334</v>
      </c>
      <c r="H33" s="21" t="s">
        <v>10</v>
      </c>
      <c r="I33" s="21" t="s">
        <v>400</v>
      </c>
      <c r="J33" s="21" t="s">
        <v>2167</v>
      </c>
      <c r="K33" s="5814" t="s">
        <v>2168</v>
      </c>
    </row>
    <row r="34" spans="1:11">
      <c r="A34" s="21" t="s">
        <v>2169</v>
      </c>
      <c r="B34" s="21" t="s">
        <v>2170</v>
      </c>
      <c r="C34" s="21" t="s">
        <v>8</v>
      </c>
      <c r="D34" s="21" t="s">
        <v>2</v>
      </c>
      <c r="E34" s="21" t="s">
        <v>193</v>
      </c>
      <c r="F34" s="5812">
        <v>3</v>
      </c>
      <c r="G34" s="5813">
        <v>0.20833333333333334</v>
      </c>
      <c r="H34" s="21" t="s">
        <v>10</v>
      </c>
      <c r="I34" s="21" t="s">
        <v>2171</v>
      </c>
      <c r="J34" s="21" t="s">
        <v>2172</v>
      </c>
      <c r="K34" s="5814" t="s">
        <v>2173</v>
      </c>
    </row>
    <row r="35" spans="1:11">
      <c r="A35" s="21" t="s">
        <v>2174</v>
      </c>
      <c r="B35" s="21" t="s">
        <v>2175</v>
      </c>
      <c r="C35" s="21" t="s">
        <v>22</v>
      </c>
      <c r="D35" s="21" t="s">
        <v>2</v>
      </c>
      <c r="E35" s="21" t="s">
        <v>193</v>
      </c>
      <c r="F35" s="5812">
        <v>3</v>
      </c>
      <c r="G35" s="5813">
        <v>0.20833333333333334</v>
      </c>
      <c r="H35" s="21" t="s">
        <v>10</v>
      </c>
      <c r="I35" s="21" t="s">
        <v>2176</v>
      </c>
      <c r="J35" s="21" t="s">
        <v>2177</v>
      </c>
      <c r="K35" s="5814" t="s">
        <v>2178</v>
      </c>
    </row>
    <row r="36" spans="1:11">
      <c r="A36" s="21" t="s">
        <v>2179</v>
      </c>
      <c r="B36" s="21" t="s">
        <v>2180</v>
      </c>
      <c r="C36" s="21" t="s">
        <v>22</v>
      </c>
      <c r="D36" s="21" t="s">
        <v>2</v>
      </c>
      <c r="E36" s="21" t="s">
        <v>193</v>
      </c>
      <c r="F36" s="5812">
        <v>3</v>
      </c>
      <c r="G36" s="5813">
        <v>0.20833333333333334</v>
      </c>
      <c r="H36" s="21" t="s">
        <v>10</v>
      </c>
      <c r="I36" s="21" t="s">
        <v>2181</v>
      </c>
      <c r="J36" s="21" t="s">
        <v>2182</v>
      </c>
      <c r="K36" s="5814" t="s">
        <v>2183</v>
      </c>
    </row>
    <row r="37" spans="1:11">
      <c r="A37" s="21" t="s">
        <v>2184</v>
      </c>
      <c r="B37" s="21" t="s">
        <v>2185</v>
      </c>
      <c r="C37" s="21" t="s">
        <v>22</v>
      </c>
      <c r="D37" s="21" t="s">
        <v>2</v>
      </c>
      <c r="E37" s="21" t="s">
        <v>193</v>
      </c>
      <c r="F37" s="5812">
        <v>3</v>
      </c>
      <c r="G37" s="5813">
        <v>0.20833333333333334</v>
      </c>
      <c r="H37" s="21" t="s">
        <v>10</v>
      </c>
      <c r="I37" s="21" t="s">
        <v>226</v>
      </c>
      <c r="J37" s="21" t="s">
        <v>2186</v>
      </c>
      <c r="K37" s="5814" t="s">
        <v>2187</v>
      </c>
    </row>
    <row r="38" spans="1:11">
      <c r="A38" s="21" t="s">
        <v>2188</v>
      </c>
      <c r="B38" s="21" t="s">
        <v>2189</v>
      </c>
      <c r="C38" s="21" t="s">
        <v>8</v>
      </c>
      <c r="D38" s="21" t="s">
        <v>2</v>
      </c>
      <c r="E38" s="21" t="s">
        <v>193</v>
      </c>
      <c r="F38" s="5812">
        <v>3</v>
      </c>
      <c r="G38" s="5813">
        <v>0.20833333333333334</v>
      </c>
      <c r="H38" s="21" t="s">
        <v>10</v>
      </c>
      <c r="I38" s="21" t="s">
        <v>47</v>
      </c>
      <c r="J38" s="21" t="s">
        <v>2190</v>
      </c>
      <c r="K38" s="5814" t="s">
        <v>2191</v>
      </c>
    </row>
    <row r="39" spans="1:11">
      <c r="A39" s="21" t="s">
        <v>2192</v>
      </c>
      <c r="B39" s="21" t="s">
        <v>2193</v>
      </c>
      <c r="C39" s="21" t="s">
        <v>8</v>
      </c>
      <c r="D39" s="21" t="s">
        <v>2</v>
      </c>
      <c r="E39" s="21" t="s">
        <v>193</v>
      </c>
      <c r="F39" s="5812">
        <v>3</v>
      </c>
      <c r="G39" s="5813">
        <v>0.20833333333333334</v>
      </c>
      <c r="H39" s="21" t="s">
        <v>10</v>
      </c>
      <c r="I39" s="21" t="s">
        <v>2194</v>
      </c>
      <c r="J39" s="21" t="s">
        <v>2195</v>
      </c>
      <c r="K39" s="5814" t="s">
        <v>2196</v>
      </c>
    </row>
    <row r="40" spans="1:11">
      <c r="A40" s="21" t="s">
        <v>2197</v>
      </c>
      <c r="B40" s="21" t="s">
        <v>2198</v>
      </c>
      <c r="C40" s="21" t="s">
        <v>22</v>
      </c>
      <c r="D40" s="21" t="s">
        <v>2</v>
      </c>
      <c r="E40" s="21" t="s">
        <v>193</v>
      </c>
      <c r="F40" s="5812">
        <v>3</v>
      </c>
      <c r="G40" s="5813">
        <v>0.20833333333333334</v>
      </c>
      <c r="H40" s="21" t="s">
        <v>10</v>
      </c>
      <c r="I40" s="21" t="s">
        <v>788</v>
      </c>
      <c r="J40" s="21" t="s">
        <v>2199</v>
      </c>
      <c r="K40" s="5814" t="s">
        <v>2200</v>
      </c>
    </row>
    <row r="41" spans="1:11">
      <c r="A41" s="21" t="s">
        <v>2201</v>
      </c>
      <c r="B41" s="21" t="s">
        <v>2202</v>
      </c>
      <c r="C41" s="21" t="s">
        <v>8</v>
      </c>
      <c r="D41" s="21" t="s">
        <v>2</v>
      </c>
      <c r="E41" s="21" t="s">
        <v>193</v>
      </c>
      <c r="F41" s="5812">
        <v>3</v>
      </c>
      <c r="G41" s="5813">
        <v>0.20833333333333334</v>
      </c>
      <c r="H41" s="21" t="s">
        <v>10</v>
      </c>
      <c r="I41" s="21" t="s">
        <v>89</v>
      </c>
      <c r="J41" s="21" t="s">
        <v>2203</v>
      </c>
      <c r="K41" s="5814" t="s">
        <v>2204</v>
      </c>
    </row>
    <row r="42" spans="1:11">
      <c r="A42" s="21" t="s">
        <v>2205</v>
      </c>
      <c r="B42" s="21" t="s">
        <v>2206</v>
      </c>
      <c r="C42" s="21" t="s">
        <v>8</v>
      </c>
      <c r="D42" s="21" t="s">
        <v>2</v>
      </c>
      <c r="E42" s="21" t="s">
        <v>193</v>
      </c>
      <c r="F42" s="5812">
        <v>3</v>
      </c>
      <c r="G42" s="5813">
        <v>0.20833333333333334</v>
      </c>
      <c r="H42" s="21" t="s">
        <v>10</v>
      </c>
      <c r="I42" s="21" t="s">
        <v>23</v>
      </c>
      <c r="J42" s="21" t="s">
        <v>2207</v>
      </c>
      <c r="K42" s="5814" t="s">
        <v>2208</v>
      </c>
    </row>
    <row r="43" spans="1:11">
      <c r="A43" s="21" t="s">
        <v>2205</v>
      </c>
      <c r="B43" s="21" t="s">
        <v>2209</v>
      </c>
      <c r="C43" s="21" t="s">
        <v>22</v>
      </c>
      <c r="D43" s="21" t="s">
        <v>2</v>
      </c>
      <c r="E43" s="21" t="s">
        <v>193</v>
      </c>
      <c r="F43" s="5812">
        <v>3</v>
      </c>
      <c r="G43" s="5813">
        <v>0.20833333333333334</v>
      </c>
      <c r="H43" s="21" t="s">
        <v>10</v>
      </c>
      <c r="I43" s="21" t="s">
        <v>23</v>
      </c>
      <c r="J43" s="21" t="s">
        <v>2210</v>
      </c>
      <c r="K43" s="5814" t="s">
        <v>2211</v>
      </c>
    </row>
    <row r="44" spans="1:11">
      <c r="A44" s="21" t="s">
        <v>2212</v>
      </c>
      <c r="B44" s="21" t="s">
        <v>2213</v>
      </c>
      <c r="C44" s="21" t="s">
        <v>8</v>
      </c>
      <c r="D44" s="21" t="s">
        <v>2</v>
      </c>
      <c r="E44" s="21" t="s">
        <v>193</v>
      </c>
      <c r="F44" s="5812">
        <v>3</v>
      </c>
      <c r="G44" s="5813">
        <v>0.20833333333333334</v>
      </c>
      <c r="H44" s="21" t="s">
        <v>10</v>
      </c>
      <c r="I44" s="21" t="s">
        <v>615</v>
      </c>
      <c r="J44" s="21" t="s">
        <v>2214</v>
      </c>
      <c r="K44" s="5814" t="s">
        <v>2215</v>
      </c>
    </row>
    <row r="45" spans="1:11">
      <c r="A45" s="21" t="s">
        <v>2216</v>
      </c>
      <c r="B45" s="21" t="s">
        <v>2217</v>
      </c>
      <c r="C45" s="21" t="s">
        <v>22</v>
      </c>
      <c r="D45" s="21" t="s">
        <v>2</v>
      </c>
      <c r="E45" s="21" t="s">
        <v>193</v>
      </c>
      <c r="F45" s="5812">
        <v>3</v>
      </c>
      <c r="G45" s="5813">
        <v>0.20833333333333334</v>
      </c>
      <c r="H45" s="21" t="s">
        <v>10</v>
      </c>
      <c r="I45" s="21" t="s">
        <v>2218</v>
      </c>
      <c r="J45" s="21" t="s">
        <v>2219</v>
      </c>
      <c r="K45" s="5814" t="s">
        <v>2220</v>
      </c>
    </row>
    <row r="46" spans="1:11">
      <c r="A46" s="21" t="s">
        <v>2221</v>
      </c>
      <c r="B46" s="21" t="s">
        <v>2222</v>
      </c>
      <c r="C46" s="21" t="s">
        <v>22</v>
      </c>
      <c r="D46" s="21" t="s">
        <v>2</v>
      </c>
      <c r="E46" s="21" t="s">
        <v>193</v>
      </c>
      <c r="F46" s="5812">
        <v>3</v>
      </c>
      <c r="G46" s="5813">
        <v>0.20833333333333334</v>
      </c>
      <c r="H46" s="21" t="s">
        <v>10</v>
      </c>
      <c r="I46" s="21" t="s">
        <v>23</v>
      </c>
      <c r="J46" s="21" t="s">
        <v>2223</v>
      </c>
      <c r="K46" s="5814" t="s">
        <v>2224</v>
      </c>
    </row>
    <row r="47" spans="1:11">
      <c r="A47" s="21" t="s">
        <v>2225</v>
      </c>
      <c r="B47" s="21" t="s">
        <v>2226</v>
      </c>
      <c r="C47" s="21" t="s">
        <v>8</v>
      </c>
      <c r="D47" s="21" t="s">
        <v>2</v>
      </c>
      <c r="E47" s="21" t="s">
        <v>193</v>
      </c>
      <c r="F47" s="5812">
        <v>3</v>
      </c>
      <c r="G47" s="5813">
        <v>0.20833333333333334</v>
      </c>
      <c r="H47" s="21" t="s">
        <v>10</v>
      </c>
      <c r="I47" s="21" t="s">
        <v>187</v>
      </c>
      <c r="J47" s="21" t="s">
        <v>2227</v>
      </c>
      <c r="K47" s="5814" t="s">
        <v>2228</v>
      </c>
    </row>
    <row r="48" spans="1:11">
      <c r="A48" s="21" t="s">
        <v>2229</v>
      </c>
      <c r="B48" s="21" t="s">
        <v>2230</v>
      </c>
      <c r="C48" s="21" t="s">
        <v>8</v>
      </c>
      <c r="D48" s="21" t="s">
        <v>2</v>
      </c>
      <c r="E48" s="21" t="s">
        <v>193</v>
      </c>
      <c r="F48" s="5812">
        <v>3</v>
      </c>
      <c r="G48" s="5813">
        <v>0.20833333333333334</v>
      </c>
      <c r="H48" s="21" t="s">
        <v>10</v>
      </c>
      <c r="I48" s="21" t="s">
        <v>233</v>
      </c>
      <c r="J48" s="21" t="s">
        <v>2231</v>
      </c>
      <c r="K48" s="5814" t="s">
        <v>2232</v>
      </c>
    </row>
    <row r="49" spans="1:11">
      <c r="A49" s="21" t="s">
        <v>2233</v>
      </c>
      <c r="B49" s="21" t="s">
        <v>2234</v>
      </c>
      <c r="C49" s="21" t="s">
        <v>8</v>
      </c>
      <c r="D49" s="21" t="s">
        <v>2</v>
      </c>
      <c r="E49" s="21" t="s">
        <v>193</v>
      </c>
      <c r="F49" s="5812">
        <v>3</v>
      </c>
      <c r="G49" s="5813">
        <v>0.20833333333333334</v>
      </c>
      <c r="H49" s="21" t="s">
        <v>10</v>
      </c>
      <c r="I49" s="21" t="s">
        <v>23</v>
      </c>
      <c r="J49" s="21" t="s">
        <v>2235</v>
      </c>
      <c r="K49" s="5814" t="s">
        <v>2236</v>
      </c>
    </row>
    <row r="50" spans="1:11">
      <c r="A50" s="21" t="s">
        <v>2237</v>
      </c>
      <c r="B50" s="21" t="s">
        <v>2238</v>
      </c>
      <c r="C50" s="21" t="s">
        <v>8</v>
      </c>
      <c r="D50" s="21" t="s">
        <v>2</v>
      </c>
      <c r="E50" s="21" t="s">
        <v>193</v>
      </c>
      <c r="F50" s="5812">
        <v>3</v>
      </c>
      <c r="G50" s="5813">
        <v>0.20833333333333334</v>
      </c>
      <c r="H50" s="21" t="s">
        <v>10</v>
      </c>
      <c r="I50" s="21" t="s">
        <v>2194</v>
      </c>
      <c r="J50" s="21" t="s">
        <v>2239</v>
      </c>
      <c r="K50" s="5814" t="s">
        <v>2240</v>
      </c>
    </row>
    <row r="51" spans="1:11">
      <c r="A51" s="21" t="s">
        <v>2241</v>
      </c>
      <c r="B51" s="21" t="s">
        <v>2242</v>
      </c>
      <c r="C51" s="21" t="s">
        <v>22</v>
      </c>
      <c r="D51" s="21" t="s">
        <v>2</v>
      </c>
      <c r="E51" s="21" t="s">
        <v>193</v>
      </c>
      <c r="F51" s="5812">
        <v>3</v>
      </c>
      <c r="G51" s="5813">
        <v>0.20833333333333334</v>
      </c>
      <c r="H51" s="21" t="s">
        <v>10</v>
      </c>
      <c r="I51" s="21" t="s">
        <v>55</v>
      </c>
      <c r="J51" s="21" t="s">
        <v>2243</v>
      </c>
      <c r="K51" s="5814" t="s">
        <v>2244</v>
      </c>
    </row>
    <row r="52" spans="1:11">
      <c r="A52" s="21" t="s">
        <v>2245</v>
      </c>
      <c r="B52" s="21" t="s">
        <v>2246</v>
      </c>
      <c r="C52" s="21" t="s">
        <v>8</v>
      </c>
      <c r="D52" s="21" t="s">
        <v>2</v>
      </c>
      <c r="E52" s="21" t="s">
        <v>193</v>
      </c>
      <c r="F52" s="5812">
        <v>3</v>
      </c>
      <c r="G52" s="5813">
        <v>0.20833333333333334</v>
      </c>
      <c r="H52" s="21" t="s">
        <v>10</v>
      </c>
      <c r="I52" s="21" t="s">
        <v>2247</v>
      </c>
      <c r="J52" s="21" t="s">
        <v>2248</v>
      </c>
      <c r="K52" s="5814" t="s">
        <v>2249</v>
      </c>
    </row>
    <row r="53" spans="1:11">
      <c r="A53" s="21" t="s">
        <v>2250</v>
      </c>
      <c r="B53" s="21" t="s">
        <v>2251</v>
      </c>
      <c r="C53" s="21" t="s">
        <v>8</v>
      </c>
      <c r="D53" s="21" t="s">
        <v>2</v>
      </c>
      <c r="E53" s="21" t="s">
        <v>193</v>
      </c>
      <c r="F53" s="5812">
        <v>3</v>
      </c>
      <c r="G53" s="5813">
        <v>0.20833333333333334</v>
      </c>
      <c r="H53" s="21" t="s">
        <v>10</v>
      </c>
      <c r="I53" s="21" t="s">
        <v>96</v>
      </c>
      <c r="J53" s="21" t="s">
        <v>2252</v>
      </c>
      <c r="K53" s="5814" t="s">
        <v>2253</v>
      </c>
    </row>
    <row r="54" spans="1:11">
      <c r="A54" s="21" t="s">
        <v>2254</v>
      </c>
      <c r="B54" s="21" t="s">
        <v>2255</v>
      </c>
      <c r="C54" s="21" t="s">
        <v>22</v>
      </c>
      <c r="D54" s="21" t="s">
        <v>2</v>
      </c>
      <c r="E54" s="21" t="s">
        <v>193</v>
      </c>
      <c r="F54" s="5812">
        <v>3</v>
      </c>
      <c r="G54" s="5813">
        <v>0.20833333333333334</v>
      </c>
      <c r="H54" s="21" t="s">
        <v>10</v>
      </c>
      <c r="I54" s="21" t="s">
        <v>96</v>
      </c>
      <c r="J54" s="21" t="s">
        <v>2256</v>
      </c>
      <c r="K54" s="5814" t="s">
        <v>2257</v>
      </c>
    </row>
    <row r="55" spans="1:11">
      <c r="A55" s="21" t="s">
        <v>2258</v>
      </c>
      <c r="B55" s="21" t="s">
        <v>2259</v>
      </c>
      <c r="C55" s="21" t="s">
        <v>22</v>
      </c>
      <c r="D55" s="21" t="s">
        <v>2</v>
      </c>
      <c r="E55" s="21" t="s">
        <v>193</v>
      </c>
      <c r="F55" s="5812">
        <v>3</v>
      </c>
      <c r="G55" s="5813">
        <v>0.20833333333333334</v>
      </c>
      <c r="H55" s="21" t="s">
        <v>10</v>
      </c>
      <c r="I55" s="21" t="s">
        <v>2260</v>
      </c>
      <c r="J55" s="21" t="s">
        <v>2261</v>
      </c>
      <c r="K55" s="5814" t="s">
        <v>2262</v>
      </c>
    </row>
    <row r="56" spans="1:11">
      <c r="A56" s="21" t="s">
        <v>2263</v>
      </c>
      <c r="B56" s="21" t="s">
        <v>2264</v>
      </c>
      <c r="C56" s="21" t="s">
        <v>22</v>
      </c>
      <c r="D56" s="21" t="s">
        <v>2</v>
      </c>
      <c r="E56" s="21" t="s">
        <v>193</v>
      </c>
      <c r="F56" s="5812">
        <v>3</v>
      </c>
      <c r="G56" s="5813">
        <v>0.20833333333333334</v>
      </c>
      <c r="H56" s="21" t="s">
        <v>10</v>
      </c>
      <c r="I56" s="21" t="s">
        <v>2247</v>
      </c>
      <c r="J56" s="21" t="s">
        <v>2265</v>
      </c>
      <c r="K56" s="5814" t="s">
        <v>2266</v>
      </c>
    </row>
    <row r="57" spans="1:11">
      <c r="A57" s="21" t="s">
        <v>2267</v>
      </c>
      <c r="B57" s="21" t="s">
        <v>2268</v>
      </c>
      <c r="C57" s="21" t="s">
        <v>22</v>
      </c>
      <c r="D57" s="21" t="s">
        <v>2</v>
      </c>
      <c r="E57" s="21" t="s">
        <v>193</v>
      </c>
      <c r="F57" s="5812">
        <v>3</v>
      </c>
      <c r="G57" s="5813">
        <v>0.20833333333333334</v>
      </c>
      <c r="H57" s="21" t="s">
        <v>10</v>
      </c>
      <c r="I57" s="21" t="s">
        <v>2269</v>
      </c>
      <c r="J57" s="21" t="s">
        <v>2270</v>
      </c>
      <c r="K57" s="5814" t="s">
        <v>2271</v>
      </c>
    </row>
    <row r="58" spans="1:11">
      <c r="A58" s="21" t="s">
        <v>2272</v>
      </c>
      <c r="B58" s="21" t="s">
        <v>2273</v>
      </c>
      <c r="C58" s="21" t="s">
        <v>22</v>
      </c>
      <c r="D58" s="21" t="s">
        <v>2</v>
      </c>
      <c r="E58" s="21" t="s">
        <v>193</v>
      </c>
      <c r="F58" s="5812">
        <v>3</v>
      </c>
      <c r="G58" s="5813">
        <v>0.20833333333333334</v>
      </c>
      <c r="H58" s="21" t="s">
        <v>10</v>
      </c>
      <c r="I58" s="21" t="s">
        <v>2247</v>
      </c>
      <c r="J58" s="21" t="s">
        <v>2274</v>
      </c>
      <c r="K58" s="5814" t="s">
        <v>2275</v>
      </c>
    </row>
    <row r="59" spans="1:11">
      <c r="A59" s="21" t="s">
        <v>2276</v>
      </c>
      <c r="B59" s="21" t="s">
        <v>2277</v>
      </c>
      <c r="C59" s="21" t="s">
        <v>8</v>
      </c>
      <c r="D59" s="21" t="s">
        <v>2</v>
      </c>
      <c r="E59" s="21" t="s">
        <v>193</v>
      </c>
      <c r="F59" s="5812">
        <v>3</v>
      </c>
      <c r="G59" s="5813">
        <v>0.20833333333333334</v>
      </c>
      <c r="H59" s="21" t="s">
        <v>10</v>
      </c>
      <c r="I59" s="21" t="s">
        <v>55</v>
      </c>
      <c r="J59" s="21" t="s">
        <v>2278</v>
      </c>
      <c r="K59" s="5814" t="s">
        <v>2279</v>
      </c>
    </row>
    <row r="60" spans="1:11">
      <c r="A60" s="21" t="s">
        <v>2280</v>
      </c>
      <c r="B60" s="21" t="s">
        <v>2281</v>
      </c>
      <c r="C60" s="21" t="s">
        <v>8</v>
      </c>
      <c r="D60" s="21" t="s">
        <v>2</v>
      </c>
      <c r="E60" s="21" t="s">
        <v>193</v>
      </c>
      <c r="F60" s="5812">
        <v>3</v>
      </c>
      <c r="G60" s="5813">
        <v>0.20833333333333334</v>
      </c>
      <c r="H60" s="21" t="s">
        <v>10</v>
      </c>
      <c r="I60" s="21" t="s">
        <v>96</v>
      </c>
      <c r="J60" s="21" t="s">
        <v>2282</v>
      </c>
      <c r="K60" s="5814" t="s">
        <v>2283</v>
      </c>
    </row>
    <row r="61" spans="1:11">
      <c r="A61" s="21" t="s">
        <v>2284</v>
      </c>
      <c r="B61" s="21" t="s">
        <v>2285</v>
      </c>
      <c r="C61" s="21" t="s">
        <v>22</v>
      </c>
      <c r="D61" s="21" t="s">
        <v>2</v>
      </c>
      <c r="E61" s="21" t="s">
        <v>193</v>
      </c>
      <c r="F61" s="5812">
        <v>5</v>
      </c>
      <c r="G61" s="5813">
        <v>0.20833333333333334</v>
      </c>
      <c r="H61" s="21" t="s">
        <v>54</v>
      </c>
      <c r="I61" s="21" t="s">
        <v>226</v>
      </c>
      <c r="J61" s="21" t="s">
        <v>2286</v>
      </c>
      <c r="K61" s="5814" t="s">
        <v>2287</v>
      </c>
    </row>
    <row r="62" spans="1:11">
      <c r="A62" s="21" t="s">
        <v>2057</v>
      </c>
      <c r="B62" s="21" t="s">
        <v>2288</v>
      </c>
      <c r="C62" s="21" t="s">
        <v>22</v>
      </c>
      <c r="D62" s="21" t="s">
        <v>2</v>
      </c>
      <c r="E62" s="21" t="s">
        <v>193</v>
      </c>
      <c r="F62" s="5812">
        <v>5</v>
      </c>
      <c r="G62" s="5813">
        <v>0.20833333333333334</v>
      </c>
      <c r="H62" s="21" t="s">
        <v>54</v>
      </c>
      <c r="I62" s="21" t="s">
        <v>55</v>
      </c>
      <c r="J62" s="21" t="s">
        <v>2289</v>
      </c>
      <c r="K62" s="5814" t="s">
        <v>2290</v>
      </c>
    </row>
    <row r="63" spans="1:11">
      <c r="A63" s="21" t="s">
        <v>2291</v>
      </c>
      <c r="B63" s="21" t="s">
        <v>2292</v>
      </c>
      <c r="C63" s="21" t="s">
        <v>22</v>
      </c>
      <c r="D63" s="21" t="s">
        <v>2</v>
      </c>
      <c r="E63" s="21" t="s">
        <v>193</v>
      </c>
      <c r="F63" s="5812">
        <v>5</v>
      </c>
      <c r="G63" s="5813">
        <v>0.20833333333333334</v>
      </c>
      <c r="H63" s="21" t="s">
        <v>54</v>
      </c>
      <c r="I63" s="21" t="s">
        <v>55</v>
      </c>
      <c r="J63" s="21" t="s">
        <v>2293</v>
      </c>
      <c r="K63" s="5814" t="s">
        <v>2294</v>
      </c>
    </row>
    <row r="64" spans="1:11">
      <c r="A64" s="21" t="s">
        <v>2295</v>
      </c>
      <c r="B64" s="21" t="s">
        <v>2296</v>
      </c>
      <c r="C64" s="21" t="s">
        <v>8</v>
      </c>
      <c r="D64" s="21" t="s">
        <v>2</v>
      </c>
      <c r="E64" s="21" t="s">
        <v>193</v>
      </c>
      <c r="F64" s="5812">
        <v>5</v>
      </c>
      <c r="G64" s="5813">
        <v>0.20833333333333334</v>
      </c>
      <c r="H64" s="21" t="s">
        <v>54</v>
      </c>
      <c r="I64" s="21" t="s">
        <v>2297</v>
      </c>
      <c r="J64" s="21" t="s">
        <v>2298</v>
      </c>
      <c r="K64" s="5814" t="s">
        <v>2299</v>
      </c>
    </row>
    <row r="65" spans="1:11">
      <c r="A65" s="21" t="s">
        <v>2300</v>
      </c>
      <c r="B65" s="21" t="s">
        <v>2301</v>
      </c>
      <c r="C65" s="21" t="s">
        <v>8</v>
      </c>
      <c r="D65" s="21" t="s">
        <v>2</v>
      </c>
      <c r="E65" s="21" t="s">
        <v>9</v>
      </c>
      <c r="F65" s="5812">
        <v>3</v>
      </c>
      <c r="G65" s="5813">
        <v>0.20833333333333334</v>
      </c>
      <c r="H65" s="21" t="s">
        <v>2081</v>
      </c>
      <c r="I65" s="21" t="s">
        <v>47</v>
      </c>
      <c r="J65" s="21" t="s">
        <v>2302</v>
      </c>
      <c r="K65" s="5814" t="s">
        <v>2303</v>
      </c>
    </row>
    <row r="66" spans="1:11">
      <c r="A66" s="21" t="s">
        <v>87</v>
      </c>
      <c r="B66" s="21" t="s">
        <v>88</v>
      </c>
      <c r="C66" s="21" t="s">
        <v>8</v>
      </c>
      <c r="D66" s="21" t="s">
        <v>2</v>
      </c>
      <c r="E66" s="21" t="s">
        <v>9</v>
      </c>
      <c r="F66" s="5812">
        <v>3</v>
      </c>
      <c r="G66" s="5813">
        <v>0.20833333333333334</v>
      </c>
      <c r="H66" s="21" t="s">
        <v>10</v>
      </c>
      <c r="I66" s="21" t="s">
        <v>89</v>
      </c>
      <c r="J66" s="21" t="s">
        <v>90</v>
      </c>
      <c r="K66" s="5814" t="s">
        <v>91</v>
      </c>
    </row>
    <row r="67" spans="1:11">
      <c r="A67" s="21" t="s">
        <v>79</v>
      </c>
      <c r="B67" s="21" t="s">
        <v>80</v>
      </c>
      <c r="C67" s="21" t="s">
        <v>22</v>
      </c>
      <c r="D67" s="21" t="s">
        <v>2</v>
      </c>
      <c r="E67" s="21" t="s">
        <v>9</v>
      </c>
      <c r="F67" s="5812">
        <v>3</v>
      </c>
      <c r="G67" s="5813">
        <v>0.20833333333333334</v>
      </c>
      <c r="H67" s="21" t="s">
        <v>10</v>
      </c>
      <c r="I67" s="21" t="s">
        <v>23</v>
      </c>
      <c r="J67" s="21" t="s">
        <v>81</v>
      </c>
      <c r="K67" s="5814" t="s">
        <v>82</v>
      </c>
    </row>
    <row r="68" spans="1:11">
      <c r="A68" s="21" t="s">
        <v>115</v>
      </c>
      <c r="B68" s="21" t="s">
        <v>116</v>
      </c>
      <c r="C68" s="21" t="s">
        <v>22</v>
      </c>
      <c r="D68" s="21" t="s">
        <v>2</v>
      </c>
      <c r="E68" s="21" t="s">
        <v>9</v>
      </c>
      <c r="F68" s="5812">
        <v>3</v>
      </c>
      <c r="G68" s="5813">
        <v>0.20833333333333334</v>
      </c>
      <c r="H68" s="21" t="s">
        <v>10</v>
      </c>
      <c r="I68" s="21" t="s">
        <v>117</v>
      </c>
      <c r="J68" s="21" t="s">
        <v>118</v>
      </c>
      <c r="K68" s="5814" t="s">
        <v>119</v>
      </c>
    </row>
    <row r="69" spans="1:11">
      <c r="A69" s="21" t="s">
        <v>125</v>
      </c>
      <c r="B69" s="21" t="s">
        <v>131</v>
      </c>
      <c r="C69" s="21" t="s">
        <v>8</v>
      </c>
      <c r="D69" s="21" t="s">
        <v>2</v>
      </c>
      <c r="E69" s="21" t="s">
        <v>9</v>
      </c>
      <c r="F69" s="5812">
        <v>3</v>
      </c>
      <c r="G69" s="5813">
        <v>0.20833333333333334</v>
      </c>
      <c r="H69" s="21" t="s">
        <v>10</v>
      </c>
      <c r="I69" s="21" t="s">
        <v>55</v>
      </c>
      <c r="J69" s="21" t="s">
        <v>132</v>
      </c>
      <c r="K69" s="5814" t="s">
        <v>133</v>
      </c>
    </row>
    <row r="70" spans="1:11">
      <c r="A70" s="21" t="s">
        <v>20</v>
      </c>
      <c r="B70" s="21" t="s">
        <v>21</v>
      </c>
      <c r="C70" s="21" t="s">
        <v>22</v>
      </c>
      <c r="D70" s="21" t="s">
        <v>2</v>
      </c>
      <c r="E70" s="21" t="s">
        <v>9</v>
      </c>
      <c r="F70" s="5812">
        <v>3</v>
      </c>
      <c r="G70" s="5813">
        <v>0.20833333333333334</v>
      </c>
      <c r="H70" s="21" t="s">
        <v>10</v>
      </c>
      <c r="I70" s="21" t="s">
        <v>23</v>
      </c>
      <c r="J70" s="21" t="s">
        <v>24</v>
      </c>
      <c r="K70" s="5814" t="s">
        <v>25</v>
      </c>
    </row>
    <row r="71" spans="1:11">
      <c r="A71" s="21" t="s">
        <v>135</v>
      </c>
      <c r="B71" s="21" t="s">
        <v>136</v>
      </c>
      <c r="C71" s="21" t="s">
        <v>8</v>
      </c>
      <c r="D71" s="21" t="s">
        <v>2</v>
      </c>
      <c r="E71" s="21" t="s">
        <v>9</v>
      </c>
      <c r="F71" s="5812">
        <v>3</v>
      </c>
      <c r="G71" s="5813">
        <v>0.20833333333333334</v>
      </c>
      <c r="H71" s="21" t="s">
        <v>10</v>
      </c>
      <c r="I71" s="21" t="s">
        <v>11</v>
      </c>
      <c r="J71" s="21" t="s">
        <v>137</v>
      </c>
      <c r="K71" s="5814" t="s">
        <v>138</v>
      </c>
    </row>
    <row r="72" spans="1:11">
      <c r="A72" s="21" t="s">
        <v>135</v>
      </c>
      <c r="B72" s="21" t="s">
        <v>141</v>
      </c>
      <c r="C72" s="21" t="s">
        <v>22</v>
      </c>
      <c r="D72" s="21" t="s">
        <v>2</v>
      </c>
      <c r="E72" s="21" t="s">
        <v>9</v>
      </c>
      <c r="F72" s="5812">
        <v>3</v>
      </c>
      <c r="G72" s="5813">
        <v>0.20833333333333334</v>
      </c>
      <c r="H72" s="21" t="s">
        <v>10</v>
      </c>
      <c r="I72" s="21" t="s">
        <v>11</v>
      </c>
      <c r="J72" s="21" t="s">
        <v>142</v>
      </c>
      <c r="K72" s="5814" t="s">
        <v>143</v>
      </c>
    </row>
    <row r="73" spans="1:11">
      <c r="A73" s="21" t="s">
        <v>31</v>
      </c>
      <c r="B73" s="21" t="s">
        <v>146</v>
      </c>
      <c r="C73" s="21" t="s">
        <v>8</v>
      </c>
      <c r="D73" s="21" t="s">
        <v>2</v>
      </c>
      <c r="E73" s="21" t="s">
        <v>9</v>
      </c>
      <c r="F73" s="5812">
        <v>3</v>
      </c>
      <c r="G73" s="5813">
        <v>0.20833333333333334</v>
      </c>
      <c r="H73" s="21" t="s">
        <v>10</v>
      </c>
      <c r="I73" s="21" t="s">
        <v>47</v>
      </c>
      <c r="J73" s="21" t="s">
        <v>147</v>
      </c>
      <c r="K73" s="5814" t="s">
        <v>148</v>
      </c>
    </row>
    <row r="74" spans="1:11">
      <c r="A74" s="21" t="s">
        <v>31</v>
      </c>
      <c r="B74" s="21" t="s">
        <v>32</v>
      </c>
      <c r="C74" s="21" t="s">
        <v>8</v>
      </c>
      <c r="D74" s="21" t="s">
        <v>2</v>
      </c>
      <c r="E74" s="21" t="s">
        <v>9</v>
      </c>
      <c r="F74" s="5812">
        <v>3</v>
      </c>
      <c r="G74" s="5813">
        <v>0.20833333333333334</v>
      </c>
      <c r="H74" s="21" t="s">
        <v>10</v>
      </c>
      <c r="I74" s="21" t="s">
        <v>23</v>
      </c>
      <c r="J74" s="21" t="s">
        <v>33</v>
      </c>
      <c r="K74" s="5814" t="s">
        <v>34</v>
      </c>
    </row>
    <row r="75" spans="1:11">
      <c r="A75" s="21" t="s">
        <v>166</v>
      </c>
      <c r="B75" s="21" t="s">
        <v>167</v>
      </c>
      <c r="C75" s="21" t="s">
        <v>8</v>
      </c>
      <c r="D75" s="21" t="s">
        <v>2</v>
      </c>
      <c r="E75" s="21" t="s">
        <v>9</v>
      </c>
      <c r="F75" s="5812">
        <v>3</v>
      </c>
      <c r="G75" s="5813">
        <v>0.20833333333333334</v>
      </c>
      <c r="H75" s="21" t="s">
        <v>10</v>
      </c>
      <c r="I75" s="21" t="s">
        <v>168</v>
      </c>
      <c r="J75" s="21" t="s">
        <v>169</v>
      </c>
      <c r="K75" s="5814" t="s">
        <v>170</v>
      </c>
    </row>
    <row r="76" spans="1:11">
      <c r="A76" s="21" t="s">
        <v>166</v>
      </c>
      <c r="B76" s="21" t="s">
        <v>173</v>
      </c>
      <c r="C76" s="21" t="s">
        <v>8</v>
      </c>
      <c r="D76" s="21" t="s">
        <v>2</v>
      </c>
      <c r="E76" s="21" t="s">
        <v>9</v>
      </c>
      <c r="F76" s="5812">
        <v>3</v>
      </c>
      <c r="G76" s="5813">
        <v>0.20833333333333334</v>
      </c>
      <c r="H76" s="21" t="s">
        <v>10</v>
      </c>
      <c r="I76" s="21" t="s">
        <v>168</v>
      </c>
      <c r="J76" s="21" t="s">
        <v>174</v>
      </c>
      <c r="K76" s="5814" t="s">
        <v>175</v>
      </c>
    </row>
    <row r="77" spans="1:11">
      <c r="A77" s="21" t="s">
        <v>185</v>
      </c>
      <c r="B77" s="21" t="s">
        <v>186</v>
      </c>
      <c r="C77" s="21" t="s">
        <v>22</v>
      </c>
      <c r="D77" s="21" t="s">
        <v>2</v>
      </c>
      <c r="E77" s="21" t="s">
        <v>9</v>
      </c>
      <c r="F77" s="5812">
        <v>3</v>
      </c>
      <c r="G77" s="5813">
        <v>0.20833333333333334</v>
      </c>
      <c r="H77" s="21" t="s">
        <v>10</v>
      </c>
      <c r="I77" s="21" t="s">
        <v>187</v>
      </c>
      <c r="J77" s="21" t="s">
        <v>188</v>
      </c>
      <c r="K77" s="5814" t="s">
        <v>189</v>
      </c>
    </row>
    <row r="78" spans="1:11">
      <c r="A78" s="21" t="s">
        <v>37</v>
      </c>
      <c r="B78" s="21" t="s">
        <v>38</v>
      </c>
      <c r="C78" s="21" t="s">
        <v>22</v>
      </c>
      <c r="D78" s="21" t="s">
        <v>2</v>
      </c>
      <c r="E78" s="21" t="s">
        <v>9</v>
      </c>
      <c r="F78" s="5812">
        <v>3</v>
      </c>
      <c r="G78" s="5813">
        <v>0.20833333333333334</v>
      </c>
      <c r="H78" s="21" t="s">
        <v>10</v>
      </c>
      <c r="I78" s="21" t="s">
        <v>39</v>
      </c>
      <c r="J78" s="21" t="s">
        <v>40</v>
      </c>
      <c r="K78" s="5814" t="s">
        <v>41</v>
      </c>
    </row>
    <row r="79" spans="1:11">
      <c r="A79" s="21" t="s">
        <v>37</v>
      </c>
      <c r="B79" s="21" t="s">
        <v>203</v>
      </c>
      <c r="C79" s="21" t="s">
        <v>8</v>
      </c>
      <c r="D79" s="21" t="s">
        <v>2</v>
      </c>
      <c r="E79" s="21" t="s">
        <v>9</v>
      </c>
      <c r="F79" s="5812">
        <v>3</v>
      </c>
      <c r="G79" s="5813">
        <v>0.20833333333333334</v>
      </c>
      <c r="H79" s="21" t="s">
        <v>10</v>
      </c>
      <c r="I79" s="21" t="s">
        <v>23</v>
      </c>
      <c r="J79" s="21" t="s">
        <v>204</v>
      </c>
      <c r="K79" s="5814" t="s">
        <v>205</v>
      </c>
    </row>
    <row r="80" spans="1:11">
      <c r="A80" s="21" t="s">
        <v>207</v>
      </c>
      <c r="B80" s="21" t="s">
        <v>208</v>
      </c>
      <c r="C80" s="21" t="s">
        <v>22</v>
      </c>
      <c r="D80" s="21" t="s">
        <v>2</v>
      </c>
      <c r="E80" s="21" t="s">
        <v>9</v>
      </c>
      <c r="F80" s="5812">
        <v>3</v>
      </c>
      <c r="G80" s="5813">
        <v>0.20833333333333334</v>
      </c>
      <c r="H80" s="21" t="s">
        <v>10</v>
      </c>
      <c r="I80" s="21" t="s">
        <v>209</v>
      </c>
      <c r="J80" s="21" t="s">
        <v>210</v>
      </c>
      <c r="K80" s="5814" t="s">
        <v>211</v>
      </c>
    </row>
    <row r="81" spans="1:11">
      <c r="A81" s="21" t="s">
        <v>71</v>
      </c>
      <c r="B81" s="21" t="s">
        <v>216</v>
      </c>
      <c r="C81" s="21" t="s">
        <v>8</v>
      </c>
      <c r="D81" s="21" t="s">
        <v>2</v>
      </c>
      <c r="E81" s="21" t="s">
        <v>9</v>
      </c>
      <c r="F81" s="5812">
        <v>3</v>
      </c>
      <c r="G81" s="5813">
        <v>0.20833333333333334</v>
      </c>
      <c r="H81" s="21" t="s">
        <v>10</v>
      </c>
      <c r="I81" s="21" t="s">
        <v>39</v>
      </c>
      <c r="J81" s="21" t="s">
        <v>217</v>
      </c>
      <c r="K81" s="5814" t="s">
        <v>2304</v>
      </c>
    </row>
    <row r="82" spans="1:11">
      <c r="A82" s="21" t="s">
        <v>71</v>
      </c>
      <c r="B82" s="21" t="s">
        <v>219</v>
      </c>
      <c r="C82" s="21" t="s">
        <v>8</v>
      </c>
      <c r="D82" s="21" t="s">
        <v>2</v>
      </c>
      <c r="E82" s="21" t="s">
        <v>9</v>
      </c>
      <c r="F82" s="5812">
        <v>3</v>
      </c>
      <c r="G82" s="5813">
        <v>0.20833333333333334</v>
      </c>
      <c r="H82" s="21" t="s">
        <v>10</v>
      </c>
      <c r="I82" s="21" t="s">
        <v>73</v>
      </c>
      <c r="J82" s="21" t="s">
        <v>220</v>
      </c>
      <c r="K82" s="5814" t="s">
        <v>2305</v>
      </c>
    </row>
    <row r="83" spans="1:11">
      <c r="A83" s="21" t="s">
        <v>6</v>
      </c>
      <c r="B83" s="21" t="s">
        <v>7</v>
      </c>
      <c r="C83" s="21" t="s">
        <v>8</v>
      </c>
      <c r="D83" s="21" t="s">
        <v>2</v>
      </c>
      <c r="E83" s="21" t="s">
        <v>9</v>
      </c>
      <c r="F83" s="5812">
        <v>3</v>
      </c>
      <c r="G83" s="5813">
        <v>0.20833333333333334</v>
      </c>
      <c r="H83" s="21" t="s">
        <v>10</v>
      </c>
      <c r="I83" s="21" t="s">
        <v>11</v>
      </c>
      <c r="J83" s="21" t="s">
        <v>12</v>
      </c>
      <c r="K83" s="5814" t="s">
        <v>2306</v>
      </c>
    </row>
    <row r="84" spans="1:11">
      <c r="A84" s="21" t="s">
        <v>2307</v>
      </c>
      <c r="B84" s="21" t="s">
        <v>2308</v>
      </c>
      <c r="C84" s="21" t="s">
        <v>22</v>
      </c>
      <c r="D84" s="21" t="s">
        <v>2</v>
      </c>
      <c r="E84" s="21" t="s">
        <v>9</v>
      </c>
      <c r="F84" s="5812">
        <v>3</v>
      </c>
      <c r="G84" s="5813">
        <v>0.20833333333333334</v>
      </c>
      <c r="H84" s="21" t="s">
        <v>10</v>
      </c>
      <c r="I84" s="21" t="s">
        <v>73</v>
      </c>
      <c r="J84" s="21" t="s">
        <v>2309</v>
      </c>
      <c r="K84" s="5814" t="s">
        <v>2310</v>
      </c>
    </row>
    <row r="85" spans="1:11">
      <c r="A85" s="21" t="s">
        <v>2311</v>
      </c>
      <c r="B85" s="21" t="s">
        <v>2312</v>
      </c>
      <c r="C85" s="21" t="s">
        <v>8</v>
      </c>
      <c r="D85" s="21" t="s">
        <v>2</v>
      </c>
      <c r="E85" s="21" t="s">
        <v>9</v>
      </c>
      <c r="F85" s="5812">
        <v>3</v>
      </c>
      <c r="G85" s="5813">
        <v>0.20833333333333334</v>
      </c>
      <c r="H85" s="21" t="s">
        <v>10</v>
      </c>
      <c r="I85" s="21" t="s">
        <v>2313</v>
      </c>
      <c r="J85" s="21" t="s">
        <v>2314</v>
      </c>
      <c r="K85" s="5814" t="s">
        <v>2315</v>
      </c>
    </row>
    <row r="86" spans="1:11">
      <c r="A86" s="21" t="s">
        <v>2300</v>
      </c>
      <c r="B86" s="21" t="s">
        <v>2316</v>
      </c>
      <c r="C86" s="21" t="s">
        <v>22</v>
      </c>
      <c r="D86" s="21" t="s">
        <v>2</v>
      </c>
      <c r="E86" s="21" t="s">
        <v>9</v>
      </c>
      <c r="F86" s="5812">
        <v>3</v>
      </c>
      <c r="G86" s="5813">
        <v>0.20833333333333334</v>
      </c>
      <c r="H86" s="21" t="s">
        <v>10</v>
      </c>
      <c r="I86" s="21" t="s">
        <v>2317</v>
      </c>
      <c r="J86" s="21" t="s">
        <v>2318</v>
      </c>
      <c r="K86" s="5814" t="s">
        <v>2319</v>
      </c>
    </row>
    <row r="87" spans="1:11">
      <c r="A87" s="21" t="s">
        <v>2300</v>
      </c>
      <c r="B87" s="21" t="s">
        <v>2320</v>
      </c>
      <c r="C87" s="21" t="s">
        <v>8</v>
      </c>
      <c r="D87" s="21" t="s">
        <v>2</v>
      </c>
      <c r="E87" s="21" t="s">
        <v>9</v>
      </c>
      <c r="F87" s="5812">
        <v>3</v>
      </c>
      <c r="G87" s="5813">
        <v>0.20833333333333334</v>
      </c>
      <c r="H87" s="21" t="s">
        <v>10</v>
      </c>
      <c r="I87" s="21" t="s">
        <v>55</v>
      </c>
      <c r="J87" s="21" t="s">
        <v>2321</v>
      </c>
      <c r="K87" s="5814" t="s">
        <v>2322</v>
      </c>
    </row>
    <row r="88" spans="1:11">
      <c r="A88" s="21" t="s">
        <v>2323</v>
      </c>
      <c r="B88" s="21" t="s">
        <v>2324</v>
      </c>
      <c r="C88" s="21" t="s">
        <v>8</v>
      </c>
      <c r="D88" s="21" t="s">
        <v>2</v>
      </c>
      <c r="E88" s="21" t="s">
        <v>9</v>
      </c>
      <c r="F88" s="5812">
        <v>3</v>
      </c>
      <c r="G88" s="5813">
        <v>0.20833333333333334</v>
      </c>
      <c r="H88" s="21" t="s">
        <v>10</v>
      </c>
      <c r="I88" s="21" t="s">
        <v>187</v>
      </c>
      <c r="J88" s="21" t="s">
        <v>2325</v>
      </c>
      <c r="K88" s="5814" t="s">
        <v>2326</v>
      </c>
    </row>
    <row r="89" spans="1:11">
      <c r="A89" s="21" t="s">
        <v>2327</v>
      </c>
      <c r="B89" s="21" t="s">
        <v>2328</v>
      </c>
      <c r="C89" s="21" t="s">
        <v>8</v>
      </c>
      <c r="D89" s="21" t="s">
        <v>2</v>
      </c>
      <c r="E89" s="21" t="s">
        <v>9</v>
      </c>
      <c r="F89" s="5812">
        <v>3</v>
      </c>
      <c r="G89" s="5813">
        <v>0.20833333333333334</v>
      </c>
      <c r="H89" s="21" t="s">
        <v>10</v>
      </c>
      <c r="I89" s="21" t="s">
        <v>55</v>
      </c>
      <c r="J89" s="21" t="s">
        <v>2329</v>
      </c>
      <c r="K89" s="5814" t="s">
        <v>2330</v>
      </c>
    </row>
    <row r="90" spans="1:11">
      <c r="A90" s="21" t="s">
        <v>2327</v>
      </c>
      <c r="B90" s="21" t="s">
        <v>2331</v>
      </c>
      <c r="C90" s="21" t="s">
        <v>8</v>
      </c>
      <c r="D90" s="21" t="s">
        <v>2</v>
      </c>
      <c r="E90" s="21" t="s">
        <v>9</v>
      </c>
      <c r="F90" s="5812">
        <v>3</v>
      </c>
      <c r="G90" s="5813">
        <v>0.20833333333333334</v>
      </c>
      <c r="H90" s="21" t="s">
        <v>10</v>
      </c>
      <c r="I90" s="21" t="s">
        <v>23</v>
      </c>
      <c r="J90" s="21" t="s">
        <v>2332</v>
      </c>
      <c r="K90" s="5814" t="s">
        <v>2333</v>
      </c>
    </row>
    <row r="91" spans="1:11">
      <c r="A91" s="21" t="s">
        <v>2334</v>
      </c>
      <c r="B91" s="21" t="s">
        <v>2335</v>
      </c>
      <c r="C91" s="21" t="s">
        <v>8</v>
      </c>
      <c r="D91" s="21" t="s">
        <v>2</v>
      </c>
      <c r="E91" s="21" t="s">
        <v>9</v>
      </c>
      <c r="F91" s="5812">
        <v>3</v>
      </c>
      <c r="G91" s="5813">
        <v>0.20833333333333334</v>
      </c>
      <c r="H91" s="21" t="s">
        <v>10</v>
      </c>
      <c r="I91" s="21" t="s">
        <v>96</v>
      </c>
      <c r="J91" s="21" t="s">
        <v>2336</v>
      </c>
      <c r="K91" s="5814" t="s">
        <v>2337</v>
      </c>
    </row>
    <row r="92" spans="1:11">
      <c r="A92" s="21" t="s">
        <v>2334</v>
      </c>
      <c r="B92" s="21" t="s">
        <v>2338</v>
      </c>
      <c r="C92" s="21" t="s">
        <v>22</v>
      </c>
      <c r="D92" s="21" t="s">
        <v>2</v>
      </c>
      <c r="E92" s="21" t="s">
        <v>9</v>
      </c>
      <c r="F92" s="5812">
        <v>3</v>
      </c>
      <c r="G92" s="5813">
        <v>0.20833333333333334</v>
      </c>
      <c r="H92" s="21" t="s">
        <v>10</v>
      </c>
      <c r="I92" s="21" t="s">
        <v>660</v>
      </c>
      <c r="J92" s="21" t="s">
        <v>2339</v>
      </c>
      <c r="K92" s="5814" t="s">
        <v>2340</v>
      </c>
    </row>
    <row r="93" spans="1:11">
      <c r="A93" s="21" t="s">
        <v>2341</v>
      </c>
      <c r="B93" s="21" t="s">
        <v>2342</v>
      </c>
      <c r="C93" s="21" t="s">
        <v>22</v>
      </c>
      <c r="D93" s="21" t="s">
        <v>2</v>
      </c>
      <c r="E93" s="21" t="s">
        <v>9</v>
      </c>
      <c r="F93" s="5812">
        <v>3</v>
      </c>
      <c r="G93" s="5813">
        <v>0.20833333333333334</v>
      </c>
      <c r="H93" s="21" t="s">
        <v>10</v>
      </c>
      <c r="I93" s="21" t="s">
        <v>11</v>
      </c>
      <c r="J93" s="21" t="s">
        <v>2343</v>
      </c>
      <c r="K93" s="5814" t="s">
        <v>2344</v>
      </c>
    </row>
    <row r="94" spans="1:11">
      <c r="A94" s="21" t="s">
        <v>2088</v>
      </c>
      <c r="B94" s="21" t="s">
        <v>2345</v>
      </c>
      <c r="C94" s="21" t="s">
        <v>22</v>
      </c>
      <c r="D94" s="21" t="s">
        <v>2</v>
      </c>
      <c r="E94" s="21" t="s">
        <v>9</v>
      </c>
      <c r="F94" s="5812">
        <v>3</v>
      </c>
      <c r="G94" s="5813">
        <v>0.20833333333333334</v>
      </c>
      <c r="H94" s="21" t="s">
        <v>10</v>
      </c>
      <c r="I94" s="21" t="s">
        <v>11</v>
      </c>
      <c r="J94" s="21" t="s">
        <v>2346</v>
      </c>
      <c r="K94" s="5814" t="s">
        <v>2347</v>
      </c>
    </row>
    <row r="95" spans="1:11">
      <c r="A95" s="21" t="s">
        <v>2049</v>
      </c>
      <c r="B95" s="21" t="s">
        <v>2348</v>
      </c>
      <c r="C95" s="21" t="s">
        <v>8</v>
      </c>
      <c r="D95" s="21" t="s">
        <v>2</v>
      </c>
      <c r="E95" s="21" t="s">
        <v>9</v>
      </c>
      <c r="F95" s="5812">
        <v>3</v>
      </c>
      <c r="G95" s="5813">
        <v>0.20833333333333334</v>
      </c>
      <c r="H95" s="21" t="s">
        <v>10</v>
      </c>
      <c r="I95" s="21" t="s">
        <v>96</v>
      </c>
      <c r="J95" s="21" t="s">
        <v>2349</v>
      </c>
      <c r="K95" s="5814" t="s">
        <v>2350</v>
      </c>
    </row>
    <row r="96" spans="1:11">
      <c r="A96" s="21" t="s">
        <v>2049</v>
      </c>
      <c r="B96" s="21" t="s">
        <v>2351</v>
      </c>
      <c r="C96" s="21" t="s">
        <v>22</v>
      </c>
      <c r="D96" s="21" t="s">
        <v>2</v>
      </c>
      <c r="E96" s="21" t="s">
        <v>9</v>
      </c>
      <c r="F96" s="5812">
        <v>3</v>
      </c>
      <c r="G96" s="5813">
        <v>0.20833333333333334</v>
      </c>
      <c r="H96" s="21" t="s">
        <v>10</v>
      </c>
      <c r="I96" s="21" t="s">
        <v>11</v>
      </c>
      <c r="J96" s="21" t="s">
        <v>2352</v>
      </c>
      <c r="K96" s="5814" t="s">
        <v>2353</v>
      </c>
    </row>
    <row r="97" spans="1:11">
      <c r="A97" s="21" t="s">
        <v>2354</v>
      </c>
      <c r="B97" s="21" t="s">
        <v>2355</v>
      </c>
      <c r="C97" s="21" t="s">
        <v>22</v>
      </c>
      <c r="D97" s="21" t="s">
        <v>2</v>
      </c>
      <c r="E97" s="21" t="s">
        <v>9</v>
      </c>
      <c r="F97" s="5812">
        <v>3</v>
      </c>
      <c r="G97" s="5813">
        <v>0.20833333333333334</v>
      </c>
      <c r="H97" s="21" t="s">
        <v>10</v>
      </c>
      <c r="I97" s="21" t="s">
        <v>47</v>
      </c>
      <c r="J97" s="21" t="s">
        <v>2356</v>
      </c>
      <c r="K97" s="5814" t="s">
        <v>2357</v>
      </c>
    </row>
    <row r="98" spans="1:11">
      <c r="A98" s="21" t="s">
        <v>2358</v>
      </c>
      <c r="B98" s="21" t="s">
        <v>2359</v>
      </c>
      <c r="C98" s="21" t="s">
        <v>8</v>
      </c>
      <c r="D98" s="21" t="s">
        <v>2</v>
      </c>
      <c r="E98" s="21" t="s">
        <v>9</v>
      </c>
      <c r="F98" s="5812">
        <v>3</v>
      </c>
      <c r="G98" s="5813">
        <v>0.20833333333333334</v>
      </c>
      <c r="H98" s="21" t="s">
        <v>10</v>
      </c>
      <c r="I98" s="21" t="s">
        <v>23</v>
      </c>
      <c r="J98" s="21" t="s">
        <v>2360</v>
      </c>
      <c r="K98" s="5814" t="s">
        <v>2361</v>
      </c>
    </row>
    <row r="99" spans="1:11">
      <c r="A99" s="21" t="s">
        <v>2362</v>
      </c>
      <c r="B99" s="21" t="s">
        <v>2363</v>
      </c>
      <c r="C99" s="21" t="s">
        <v>8</v>
      </c>
      <c r="D99" s="21" t="s">
        <v>2</v>
      </c>
      <c r="E99" s="21" t="s">
        <v>9</v>
      </c>
      <c r="F99" s="5812">
        <v>3</v>
      </c>
      <c r="G99" s="5813">
        <v>0.20833333333333334</v>
      </c>
      <c r="H99" s="21" t="s">
        <v>10</v>
      </c>
      <c r="I99" s="21" t="s">
        <v>23</v>
      </c>
      <c r="J99" s="21" t="s">
        <v>2364</v>
      </c>
      <c r="K99" s="5814" t="s">
        <v>2365</v>
      </c>
    </row>
    <row r="100" spans="1:11">
      <c r="A100" s="21" t="s">
        <v>2092</v>
      </c>
      <c r="B100" s="21" t="s">
        <v>2366</v>
      </c>
      <c r="C100" s="21" t="s">
        <v>22</v>
      </c>
      <c r="D100" s="21" t="s">
        <v>2</v>
      </c>
      <c r="E100" s="21" t="s">
        <v>9</v>
      </c>
      <c r="F100" s="5812">
        <v>3</v>
      </c>
      <c r="G100" s="5813">
        <v>0.20833333333333334</v>
      </c>
      <c r="H100" s="21" t="s">
        <v>10</v>
      </c>
      <c r="I100" s="21" t="s">
        <v>23</v>
      </c>
      <c r="J100" s="21" t="s">
        <v>2367</v>
      </c>
      <c r="K100" s="5814" t="s">
        <v>2368</v>
      </c>
    </row>
    <row r="101" spans="1:11">
      <c r="A101" s="21" t="s">
        <v>2092</v>
      </c>
      <c r="B101" s="21" t="s">
        <v>2369</v>
      </c>
      <c r="C101" s="21" t="s">
        <v>8</v>
      </c>
      <c r="D101" s="21" t="s">
        <v>2</v>
      </c>
      <c r="E101" s="21" t="s">
        <v>9</v>
      </c>
      <c r="F101" s="5812">
        <v>3</v>
      </c>
      <c r="G101" s="5813">
        <v>0.20833333333333334</v>
      </c>
      <c r="H101" s="21" t="s">
        <v>10</v>
      </c>
      <c r="I101" s="21" t="s">
        <v>654</v>
      </c>
      <c r="J101" s="21" t="s">
        <v>2370</v>
      </c>
      <c r="K101" s="5814" t="s">
        <v>2371</v>
      </c>
    </row>
    <row r="102" spans="1:11">
      <c r="A102" s="21" t="s">
        <v>2372</v>
      </c>
      <c r="B102" s="21" t="s">
        <v>2373</v>
      </c>
      <c r="C102" s="21" t="s">
        <v>22</v>
      </c>
      <c r="D102" s="21" t="s">
        <v>2</v>
      </c>
      <c r="E102" s="21" t="s">
        <v>9</v>
      </c>
      <c r="F102" s="5812">
        <v>3</v>
      </c>
      <c r="G102" s="5813">
        <v>0.20833333333333334</v>
      </c>
      <c r="H102" s="21" t="s">
        <v>10</v>
      </c>
      <c r="I102" s="21" t="s">
        <v>47</v>
      </c>
      <c r="J102" s="21" t="s">
        <v>2374</v>
      </c>
      <c r="K102" s="5814" t="s">
        <v>2375</v>
      </c>
    </row>
    <row r="103" spans="1:11">
      <c r="A103" s="21" t="s">
        <v>2376</v>
      </c>
      <c r="B103" s="21" t="s">
        <v>2377</v>
      </c>
      <c r="C103" s="21" t="s">
        <v>22</v>
      </c>
      <c r="D103" s="21" t="s">
        <v>2</v>
      </c>
      <c r="E103" s="21" t="s">
        <v>9</v>
      </c>
      <c r="F103" s="5812">
        <v>3</v>
      </c>
      <c r="G103" s="5813">
        <v>0.20833333333333334</v>
      </c>
      <c r="H103" s="21" t="s">
        <v>10</v>
      </c>
      <c r="I103" s="21" t="s">
        <v>39</v>
      </c>
      <c r="J103" s="21" t="s">
        <v>2378</v>
      </c>
      <c r="K103" s="5814" t="s">
        <v>2379</v>
      </c>
    </row>
    <row r="104" spans="1:11">
      <c r="A104" s="21" t="s">
        <v>2100</v>
      </c>
      <c r="B104" s="21" t="s">
        <v>2380</v>
      </c>
      <c r="C104" s="21" t="s">
        <v>8</v>
      </c>
      <c r="D104" s="21" t="s">
        <v>2</v>
      </c>
      <c r="E104" s="21" t="s">
        <v>9</v>
      </c>
      <c r="F104" s="5812">
        <v>3</v>
      </c>
      <c r="G104" s="5813">
        <v>0.20833333333333334</v>
      </c>
      <c r="H104" s="21" t="s">
        <v>10</v>
      </c>
      <c r="I104" s="21" t="s">
        <v>73</v>
      </c>
      <c r="J104" s="21" t="s">
        <v>2381</v>
      </c>
      <c r="K104" s="5814" t="s">
        <v>2382</v>
      </c>
    </row>
    <row r="105" spans="1:11">
      <c r="A105" s="21" t="s">
        <v>2383</v>
      </c>
      <c r="B105" s="21" t="s">
        <v>2384</v>
      </c>
      <c r="C105" s="21" t="s">
        <v>8</v>
      </c>
      <c r="D105" s="21" t="s">
        <v>2</v>
      </c>
      <c r="E105" s="21" t="s">
        <v>9</v>
      </c>
      <c r="F105" s="5812">
        <v>3</v>
      </c>
      <c r="G105" s="5813">
        <v>0.20833333333333334</v>
      </c>
      <c r="H105" s="21" t="s">
        <v>10</v>
      </c>
      <c r="I105" s="21" t="s">
        <v>11</v>
      </c>
      <c r="J105" s="21" t="s">
        <v>2385</v>
      </c>
      <c r="K105" s="5814" t="s">
        <v>2386</v>
      </c>
    </row>
    <row r="106" spans="1:11">
      <c r="A106" s="21" t="s">
        <v>2387</v>
      </c>
      <c r="B106" s="21" t="s">
        <v>2388</v>
      </c>
      <c r="C106" s="21" t="s">
        <v>22</v>
      </c>
      <c r="D106" s="21" t="s">
        <v>2</v>
      </c>
      <c r="E106" s="21" t="s">
        <v>9</v>
      </c>
      <c r="F106" s="5812">
        <v>3</v>
      </c>
      <c r="G106" s="5813">
        <v>0.20833333333333334</v>
      </c>
      <c r="H106" s="21" t="s">
        <v>10</v>
      </c>
      <c r="I106" s="21" t="s">
        <v>11</v>
      </c>
      <c r="J106" s="21" t="s">
        <v>2389</v>
      </c>
      <c r="K106" s="5814" t="s">
        <v>2390</v>
      </c>
    </row>
    <row r="107" spans="1:11">
      <c r="A107" s="21" t="s">
        <v>2391</v>
      </c>
      <c r="B107" s="21" t="s">
        <v>2392</v>
      </c>
      <c r="C107" s="21" t="s">
        <v>22</v>
      </c>
      <c r="D107" s="21" t="s">
        <v>2</v>
      </c>
      <c r="E107" s="21" t="s">
        <v>9</v>
      </c>
      <c r="F107" s="5812">
        <v>3</v>
      </c>
      <c r="G107" s="5813">
        <v>0.20833333333333334</v>
      </c>
      <c r="H107" s="21" t="s">
        <v>10</v>
      </c>
      <c r="I107" s="21" t="s">
        <v>55</v>
      </c>
      <c r="J107" s="21" t="s">
        <v>2393</v>
      </c>
      <c r="K107" s="5814" t="s">
        <v>2394</v>
      </c>
    </row>
    <row r="108" spans="1:11">
      <c r="A108" s="21" t="s">
        <v>2395</v>
      </c>
      <c r="B108" s="21" t="s">
        <v>2396</v>
      </c>
      <c r="C108" s="21" t="s">
        <v>22</v>
      </c>
      <c r="D108" s="21" t="s">
        <v>2</v>
      </c>
      <c r="E108" s="21" t="s">
        <v>9</v>
      </c>
      <c r="F108" s="5812">
        <v>3</v>
      </c>
      <c r="G108" s="5813">
        <v>0.20833333333333334</v>
      </c>
      <c r="H108" s="21" t="s">
        <v>10</v>
      </c>
      <c r="I108" s="21" t="s">
        <v>96</v>
      </c>
      <c r="J108" s="21" t="s">
        <v>2397</v>
      </c>
      <c r="K108" s="5814" t="s">
        <v>2398</v>
      </c>
    </row>
    <row r="109" spans="1:11">
      <c r="A109" s="21" t="s">
        <v>2395</v>
      </c>
      <c r="B109" s="21" t="s">
        <v>2399</v>
      </c>
      <c r="C109" s="21" t="s">
        <v>8</v>
      </c>
      <c r="D109" s="21" t="s">
        <v>2</v>
      </c>
      <c r="E109" s="21" t="s">
        <v>9</v>
      </c>
      <c r="F109" s="5812">
        <v>3</v>
      </c>
      <c r="G109" s="5813">
        <v>0.20833333333333334</v>
      </c>
      <c r="H109" s="21" t="s">
        <v>10</v>
      </c>
      <c r="I109" s="21" t="s">
        <v>2400</v>
      </c>
      <c r="J109" s="21" t="s">
        <v>2401</v>
      </c>
      <c r="K109" s="5814" t="s">
        <v>2402</v>
      </c>
    </row>
    <row r="110" spans="1:11">
      <c r="A110" s="21" t="s">
        <v>2403</v>
      </c>
      <c r="B110" s="21" t="s">
        <v>2404</v>
      </c>
      <c r="C110" s="21" t="s">
        <v>22</v>
      </c>
      <c r="D110" s="21" t="s">
        <v>2</v>
      </c>
      <c r="E110" s="21" t="s">
        <v>9</v>
      </c>
      <c r="F110" s="5812">
        <v>3</v>
      </c>
      <c r="G110" s="5813">
        <v>0.20833333333333334</v>
      </c>
      <c r="H110" s="21" t="s">
        <v>10</v>
      </c>
      <c r="I110" s="21" t="s">
        <v>55</v>
      </c>
      <c r="J110" s="21" t="s">
        <v>2405</v>
      </c>
      <c r="K110" s="5814" t="s">
        <v>2406</v>
      </c>
    </row>
    <row r="111" spans="1:11">
      <c r="A111" s="21" t="s">
        <v>2403</v>
      </c>
      <c r="B111" s="21" t="s">
        <v>2407</v>
      </c>
      <c r="C111" s="21" t="s">
        <v>8</v>
      </c>
      <c r="D111" s="21" t="s">
        <v>2</v>
      </c>
      <c r="E111" s="21" t="s">
        <v>9</v>
      </c>
      <c r="F111" s="5812">
        <v>3</v>
      </c>
      <c r="G111" s="5813">
        <v>0.20833333333333334</v>
      </c>
      <c r="H111" s="21" t="s">
        <v>10</v>
      </c>
      <c r="I111" s="21" t="s">
        <v>89</v>
      </c>
      <c r="J111" s="21" t="s">
        <v>2408</v>
      </c>
      <c r="K111" s="5814" t="s">
        <v>2409</v>
      </c>
    </row>
    <row r="112" spans="1:11">
      <c r="A112" s="21" t="s">
        <v>2403</v>
      </c>
      <c r="B112" s="21" t="s">
        <v>2410</v>
      </c>
      <c r="C112" s="21" t="s">
        <v>22</v>
      </c>
      <c r="D112" s="21" t="s">
        <v>2</v>
      </c>
      <c r="E112" s="21" t="s">
        <v>9</v>
      </c>
      <c r="F112" s="5812">
        <v>3</v>
      </c>
      <c r="G112" s="5813">
        <v>0.20833333333333334</v>
      </c>
      <c r="H112" s="21" t="s">
        <v>10</v>
      </c>
      <c r="I112" s="21" t="s">
        <v>23</v>
      </c>
      <c r="J112" s="21" t="s">
        <v>2411</v>
      </c>
      <c r="K112" s="5814" t="s">
        <v>2412</v>
      </c>
    </row>
    <row r="113" spans="1:11">
      <c r="A113" s="21" t="s">
        <v>2413</v>
      </c>
      <c r="B113" s="21" t="s">
        <v>2414</v>
      </c>
      <c r="C113" s="21" t="s">
        <v>22</v>
      </c>
      <c r="D113" s="21" t="s">
        <v>2</v>
      </c>
      <c r="E113" s="21" t="s">
        <v>9</v>
      </c>
      <c r="F113" s="5812">
        <v>3</v>
      </c>
      <c r="G113" s="5813">
        <v>0.20833333333333334</v>
      </c>
      <c r="H113" s="21" t="s">
        <v>10</v>
      </c>
      <c r="I113" s="21" t="s">
        <v>96</v>
      </c>
      <c r="J113" s="21" t="s">
        <v>2415</v>
      </c>
      <c r="K113" s="5814" t="s">
        <v>2416</v>
      </c>
    </row>
    <row r="114" spans="1:11">
      <c r="A114" s="21" t="s">
        <v>2413</v>
      </c>
      <c r="B114" s="21" t="s">
        <v>2417</v>
      </c>
      <c r="C114" s="21" t="s">
        <v>22</v>
      </c>
      <c r="D114" s="21" t="s">
        <v>2</v>
      </c>
      <c r="E114" s="21" t="s">
        <v>9</v>
      </c>
      <c r="F114" s="5812">
        <v>3</v>
      </c>
      <c r="G114" s="5813">
        <v>0.20833333333333334</v>
      </c>
      <c r="H114" s="21" t="s">
        <v>10</v>
      </c>
      <c r="I114" s="21" t="s">
        <v>96</v>
      </c>
      <c r="J114" s="21" t="s">
        <v>2418</v>
      </c>
      <c r="K114" s="5814" t="s">
        <v>2419</v>
      </c>
    </row>
    <row r="115" spans="1:11">
      <c r="A115" s="21" t="s">
        <v>2420</v>
      </c>
      <c r="B115" s="21" t="s">
        <v>2421</v>
      </c>
      <c r="C115" s="21" t="s">
        <v>8</v>
      </c>
      <c r="D115" s="21" t="s">
        <v>2</v>
      </c>
      <c r="E115" s="21" t="s">
        <v>9</v>
      </c>
      <c r="F115" s="5812">
        <v>3</v>
      </c>
      <c r="G115" s="5813">
        <v>0.20833333333333334</v>
      </c>
      <c r="H115" s="21" t="s">
        <v>10</v>
      </c>
      <c r="I115" s="21" t="s">
        <v>2153</v>
      </c>
      <c r="J115" s="21" t="s">
        <v>2422</v>
      </c>
      <c r="K115" s="5814" t="s">
        <v>2423</v>
      </c>
    </row>
    <row r="116" spans="1:11">
      <c r="A116" s="21" t="s">
        <v>2424</v>
      </c>
      <c r="B116" s="21" t="s">
        <v>2425</v>
      </c>
      <c r="C116" s="21" t="s">
        <v>8</v>
      </c>
      <c r="D116" s="21" t="s">
        <v>2</v>
      </c>
      <c r="E116" s="21" t="s">
        <v>9</v>
      </c>
      <c r="F116" s="5812">
        <v>3</v>
      </c>
      <c r="G116" s="5813">
        <v>0.20833333333333334</v>
      </c>
      <c r="H116" s="21" t="s">
        <v>10</v>
      </c>
      <c r="I116" s="21" t="s">
        <v>55</v>
      </c>
      <c r="J116" s="21" t="s">
        <v>2426</v>
      </c>
      <c r="K116" s="5814" t="s">
        <v>2427</v>
      </c>
    </row>
    <row r="117" spans="1:11">
      <c r="A117" s="21" t="s">
        <v>2428</v>
      </c>
      <c r="B117" s="21" t="s">
        <v>2429</v>
      </c>
      <c r="C117" s="21" t="s">
        <v>8</v>
      </c>
      <c r="D117" s="21" t="s">
        <v>2</v>
      </c>
      <c r="E117" s="21" t="s">
        <v>9</v>
      </c>
      <c r="F117" s="5812">
        <v>3</v>
      </c>
      <c r="G117" s="5813">
        <v>0.20833333333333334</v>
      </c>
      <c r="H117" s="21" t="s">
        <v>10</v>
      </c>
      <c r="I117" s="21" t="s">
        <v>2430</v>
      </c>
      <c r="J117" s="21" t="s">
        <v>2431</v>
      </c>
      <c r="K117" s="5814" t="s">
        <v>2432</v>
      </c>
    </row>
    <row r="118" spans="1:11">
      <c r="A118" s="21" t="s">
        <v>2433</v>
      </c>
      <c r="B118" s="21" t="s">
        <v>2434</v>
      </c>
      <c r="C118" s="21" t="s">
        <v>8</v>
      </c>
      <c r="D118" s="21" t="s">
        <v>2</v>
      </c>
      <c r="E118" s="21" t="s">
        <v>9</v>
      </c>
      <c r="F118" s="5812">
        <v>3</v>
      </c>
      <c r="G118" s="5813">
        <v>0.20833333333333334</v>
      </c>
      <c r="H118" s="21" t="s">
        <v>10</v>
      </c>
      <c r="I118" s="21" t="s">
        <v>2435</v>
      </c>
      <c r="J118" s="21" t="s">
        <v>2436</v>
      </c>
      <c r="K118" s="5814" t="s">
        <v>2437</v>
      </c>
    </row>
    <row r="119" spans="1:11">
      <c r="A119" s="21" t="s">
        <v>2438</v>
      </c>
      <c r="B119" s="21" t="s">
        <v>2439</v>
      </c>
      <c r="C119" s="21" t="s">
        <v>8</v>
      </c>
      <c r="D119" s="21" t="s">
        <v>2</v>
      </c>
      <c r="E119" s="21" t="s">
        <v>9</v>
      </c>
      <c r="F119" s="5812">
        <v>3</v>
      </c>
      <c r="G119" s="5813">
        <v>0.20833333333333334</v>
      </c>
      <c r="H119" s="21" t="s">
        <v>10</v>
      </c>
      <c r="I119" s="21" t="s">
        <v>47</v>
      </c>
      <c r="J119" s="21" t="s">
        <v>2440</v>
      </c>
      <c r="K119" s="5814" t="s">
        <v>2441</v>
      </c>
    </row>
    <row r="120" spans="1:11">
      <c r="A120" s="21" t="s">
        <v>2442</v>
      </c>
      <c r="B120" s="21" t="s">
        <v>2443</v>
      </c>
      <c r="C120" s="21" t="s">
        <v>22</v>
      </c>
      <c r="D120" s="21" t="s">
        <v>2</v>
      </c>
      <c r="E120" s="21" t="s">
        <v>9</v>
      </c>
      <c r="F120" s="5812">
        <v>3</v>
      </c>
      <c r="G120" s="5813">
        <v>0.20833333333333334</v>
      </c>
      <c r="H120" s="21" t="s">
        <v>10</v>
      </c>
      <c r="I120" s="21" t="s">
        <v>11</v>
      </c>
      <c r="J120" s="21" t="s">
        <v>2444</v>
      </c>
      <c r="K120" s="5814" t="s">
        <v>2445</v>
      </c>
    </row>
    <row r="121" spans="1:11">
      <c r="A121" s="21" t="s">
        <v>2446</v>
      </c>
      <c r="B121" s="21" t="s">
        <v>2447</v>
      </c>
      <c r="C121" s="21" t="s">
        <v>8</v>
      </c>
      <c r="D121" s="21" t="s">
        <v>2</v>
      </c>
      <c r="E121" s="21" t="s">
        <v>9</v>
      </c>
      <c r="F121" s="5812">
        <v>3</v>
      </c>
      <c r="G121" s="5813">
        <v>0.20833333333333334</v>
      </c>
      <c r="H121" s="21" t="s">
        <v>10</v>
      </c>
      <c r="I121" s="21" t="s">
        <v>11</v>
      </c>
      <c r="J121" s="21" t="s">
        <v>2448</v>
      </c>
      <c r="K121" s="5814" t="s">
        <v>2449</v>
      </c>
    </row>
    <row r="122" spans="1:11">
      <c r="A122" s="21" t="s">
        <v>2450</v>
      </c>
      <c r="B122" s="21" t="s">
        <v>2451</v>
      </c>
      <c r="C122" s="21" t="s">
        <v>22</v>
      </c>
      <c r="D122" s="21" t="s">
        <v>2</v>
      </c>
      <c r="E122" s="21" t="s">
        <v>9</v>
      </c>
      <c r="F122" s="5812">
        <v>3</v>
      </c>
      <c r="G122" s="5813">
        <v>0.20833333333333334</v>
      </c>
      <c r="H122" s="21" t="s">
        <v>10</v>
      </c>
      <c r="I122" s="21" t="s">
        <v>654</v>
      </c>
      <c r="J122" s="21" t="s">
        <v>2452</v>
      </c>
      <c r="K122" s="5814" t="s">
        <v>2453</v>
      </c>
    </row>
    <row r="123" spans="1:11">
      <c r="A123" s="21" t="s">
        <v>2454</v>
      </c>
      <c r="B123" s="21" t="s">
        <v>2455</v>
      </c>
      <c r="C123" s="21" t="s">
        <v>22</v>
      </c>
      <c r="D123" s="21" t="s">
        <v>2</v>
      </c>
      <c r="E123" s="21" t="s">
        <v>9</v>
      </c>
      <c r="F123" s="5812">
        <v>3</v>
      </c>
      <c r="G123" s="5813">
        <v>0.20833333333333334</v>
      </c>
      <c r="H123" s="21" t="s">
        <v>10</v>
      </c>
      <c r="I123" s="21" t="s">
        <v>96</v>
      </c>
      <c r="J123" s="21" t="s">
        <v>2456</v>
      </c>
      <c r="K123" s="5814" t="s">
        <v>2457</v>
      </c>
    </row>
    <row r="124" spans="1:11">
      <c r="A124" s="21" t="s">
        <v>2454</v>
      </c>
      <c r="B124" s="21" t="s">
        <v>2458</v>
      </c>
      <c r="C124" s="21" t="s">
        <v>8</v>
      </c>
      <c r="D124" s="21" t="s">
        <v>2</v>
      </c>
      <c r="E124" s="21" t="s">
        <v>9</v>
      </c>
      <c r="F124" s="5812">
        <v>3</v>
      </c>
      <c r="G124" s="5813">
        <v>0.20833333333333334</v>
      </c>
      <c r="H124" s="21" t="s">
        <v>10</v>
      </c>
      <c r="I124" s="21" t="s">
        <v>55</v>
      </c>
      <c r="J124" s="21" t="s">
        <v>2459</v>
      </c>
      <c r="K124" s="5814" t="s">
        <v>2460</v>
      </c>
    </row>
    <row r="125" spans="1:11">
      <c r="A125" s="21" t="s">
        <v>2461</v>
      </c>
      <c r="B125" s="21" t="s">
        <v>2462</v>
      </c>
      <c r="C125" s="21" t="s">
        <v>22</v>
      </c>
      <c r="D125" s="21" t="s">
        <v>2</v>
      </c>
      <c r="E125" s="21" t="s">
        <v>9</v>
      </c>
      <c r="F125" s="5812">
        <v>3</v>
      </c>
      <c r="G125" s="5813">
        <v>0.20833333333333334</v>
      </c>
      <c r="H125" s="21" t="s">
        <v>10</v>
      </c>
      <c r="I125" s="21" t="s">
        <v>47</v>
      </c>
      <c r="J125" s="21" t="s">
        <v>1420</v>
      </c>
      <c r="K125" s="5814" t="s">
        <v>2463</v>
      </c>
    </row>
    <row r="126" spans="1:11">
      <c r="A126" s="21" t="s">
        <v>2104</v>
      </c>
      <c r="B126" s="21" t="s">
        <v>2464</v>
      </c>
      <c r="C126" s="21" t="s">
        <v>8</v>
      </c>
      <c r="D126" s="21" t="s">
        <v>2</v>
      </c>
      <c r="E126" s="21" t="s">
        <v>9</v>
      </c>
      <c r="F126" s="5812">
        <v>3</v>
      </c>
      <c r="G126" s="5813">
        <v>0.20833333333333334</v>
      </c>
      <c r="H126" s="21" t="s">
        <v>10</v>
      </c>
      <c r="I126" s="21" t="s">
        <v>39</v>
      </c>
      <c r="J126" s="21" t="s">
        <v>2465</v>
      </c>
      <c r="K126" s="5814" t="s">
        <v>2466</v>
      </c>
    </row>
    <row r="127" spans="1:11">
      <c r="A127" s="21" t="s">
        <v>2467</v>
      </c>
      <c r="B127" s="21" t="s">
        <v>2468</v>
      </c>
      <c r="C127" s="21" t="s">
        <v>8</v>
      </c>
      <c r="D127" s="21" t="s">
        <v>2</v>
      </c>
      <c r="E127" s="21" t="s">
        <v>9</v>
      </c>
      <c r="F127" s="5812">
        <v>3</v>
      </c>
      <c r="G127" s="5813">
        <v>0.20833333333333334</v>
      </c>
      <c r="H127" s="21" t="s">
        <v>10</v>
      </c>
      <c r="I127" s="21" t="s">
        <v>23</v>
      </c>
      <c r="J127" s="21" t="s">
        <v>2469</v>
      </c>
      <c r="K127" s="5814" t="s">
        <v>2470</v>
      </c>
    </row>
    <row r="128" spans="1:11">
      <c r="A128" s="21" t="s">
        <v>2471</v>
      </c>
      <c r="B128" s="21" t="s">
        <v>2472</v>
      </c>
      <c r="C128" s="21" t="s">
        <v>8</v>
      </c>
      <c r="D128" s="21" t="s">
        <v>2</v>
      </c>
      <c r="E128" s="21" t="s">
        <v>9</v>
      </c>
      <c r="F128" s="5812">
        <v>3</v>
      </c>
      <c r="G128" s="5813">
        <v>0.20833333333333334</v>
      </c>
      <c r="H128" s="21" t="s">
        <v>10</v>
      </c>
      <c r="I128" s="21" t="s">
        <v>55</v>
      </c>
      <c r="J128" s="21" t="s">
        <v>2473</v>
      </c>
      <c r="K128" s="5814" t="s">
        <v>2474</v>
      </c>
    </row>
    <row r="129" spans="1:11">
      <c r="A129" s="21" t="s">
        <v>2471</v>
      </c>
      <c r="B129" s="21" t="s">
        <v>2475</v>
      </c>
      <c r="C129" s="21" t="s">
        <v>709</v>
      </c>
      <c r="D129" s="21" t="s">
        <v>2</v>
      </c>
      <c r="E129" s="21" t="s">
        <v>9</v>
      </c>
      <c r="F129" s="5812">
        <v>3</v>
      </c>
      <c r="G129" s="5813">
        <v>0.20833333333333334</v>
      </c>
      <c r="H129" s="21" t="s">
        <v>10</v>
      </c>
      <c r="I129" s="21" t="s">
        <v>11</v>
      </c>
      <c r="J129" s="21" t="s">
        <v>2476</v>
      </c>
      <c r="K129" s="5814" t="s">
        <v>2477</v>
      </c>
    </row>
    <row r="130" spans="1:11">
      <c r="A130" s="21" t="s">
        <v>2478</v>
      </c>
      <c r="B130" s="21" t="s">
        <v>2479</v>
      </c>
      <c r="C130" s="21" t="s">
        <v>8</v>
      </c>
      <c r="D130" s="21" t="s">
        <v>2</v>
      </c>
      <c r="E130" s="21" t="s">
        <v>9</v>
      </c>
      <c r="F130" s="5812">
        <v>3</v>
      </c>
      <c r="G130" s="5813">
        <v>0.20833333333333334</v>
      </c>
      <c r="H130" s="21" t="s">
        <v>10</v>
      </c>
      <c r="I130" s="21" t="s">
        <v>23</v>
      </c>
      <c r="J130" s="21" t="s">
        <v>220</v>
      </c>
      <c r="K130" s="5814" t="s">
        <v>2480</v>
      </c>
    </row>
    <row r="131" spans="1:11">
      <c r="A131" s="21" t="s">
        <v>2481</v>
      </c>
      <c r="B131" s="21" t="s">
        <v>2482</v>
      </c>
      <c r="C131" s="21" t="s">
        <v>8</v>
      </c>
      <c r="D131" s="21" t="s">
        <v>2</v>
      </c>
      <c r="E131" s="21" t="s">
        <v>9</v>
      </c>
      <c r="F131" s="5812">
        <v>3</v>
      </c>
      <c r="G131" s="5813">
        <v>0.20833333333333334</v>
      </c>
      <c r="H131" s="21" t="s">
        <v>10</v>
      </c>
      <c r="I131" s="21" t="s">
        <v>23</v>
      </c>
      <c r="J131" s="21" t="s">
        <v>2483</v>
      </c>
      <c r="K131" s="5814" t="s">
        <v>2484</v>
      </c>
    </row>
    <row r="132" spans="1:11">
      <c r="A132" s="21" t="s">
        <v>2115</v>
      </c>
      <c r="B132" s="21" t="s">
        <v>2485</v>
      </c>
      <c r="C132" s="21" t="s">
        <v>8</v>
      </c>
      <c r="D132" s="21" t="s">
        <v>2</v>
      </c>
      <c r="E132" s="21" t="s">
        <v>9</v>
      </c>
      <c r="F132" s="5812">
        <v>3</v>
      </c>
      <c r="G132" s="5813">
        <v>0.20833333333333334</v>
      </c>
      <c r="H132" s="21" t="s">
        <v>10</v>
      </c>
      <c r="I132" s="21" t="s">
        <v>89</v>
      </c>
      <c r="J132" s="21" t="s">
        <v>2486</v>
      </c>
      <c r="K132" s="5814" t="s">
        <v>2487</v>
      </c>
    </row>
    <row r="133" spans="1:11">
      <c r="A133" s="21" t="s">
        <v>2115</v>
      </c>
      <c r="B133" s="21" t="s">
        <v>2488</v>
      </c>
      <c r="C133" s="21" t="s">
        <v>8</v>
      </c>
      <c r="D133" s="21" t="s">
        <v>2</v>
      </c>
      <c r="E133" s="21" t="s">
        <v>9</v>
      </c>
      <c r="F133" s="5812">
        <v>3</v>
      </c>
      <c r="G133" s="5813">
        <v>0.20833333333333334</v>
      </c>
      <c r="H133" s="21" t="s">
        <v>10</v>
      </c>
      <c r="I133" s="21" t="s">
        <v>209</v>
      </c>
      <c r="J133" s="21" t="s">
        <v>2489</v>
      </c>
      <c r="K133" s="5814" t="s">
        <v>2490</v>
      </c>
    </row>
    <row r="134" spans="1:11">
      <c r="A134" s="21" t="s">
        <v>2491</v>
      </c>
      <c r="B134" s="21" t="s">
        <v>2492</v>
      </c>
      <c r="C134" s="21" t="s">
        <v>22</v>
      </c>
      <c r="D134" s="21" t="s">
        <v>2</v>
      </c>
      <c r="E134" s="21" t="s">
        <v>9</v>
      </c>
      <c r="F134" s="5812">
        <v>3</v>
      </c>
      <c r="G134" s="5813">
        <v>0.20833333333333334</v>
      </c>
      <c r="H134" s="21" t="s">
        <v>10</v>
      </c>
      <c r="I134" s="21" t="s">
        <v>55</v>
      </c>
      <c r="J134" s="21" t="s">
        <v>2493</v>
      </c>
      <c r="K134" s="5814" t="s">
        <v>2494</v>
      </c>
    </row>
    <row r="135" spans="1:11">
      <c r="A135" s="21" t="s">
        <v>2495</v>
      </c>
      <c r="B135" s="21" t="s">
        <v>2496</v>
      </c>
      <c r="C135" s="21" t="s">
        <v>8</v>
      </c>
      <c r="D135" s="21" t="s">
        <v>2</v>
      </c>
      <c r="E135" s="21" t="s">
        <v>9</v>
      </c>
      <c r="F135" s="5812">
        <v>3</v>
      </c>
      <c r="G135" s="5813">
        <v>0.20833333333333334</v>
      </c>
      <c r="H135" s="21" t="s">
        <v>10</v>
      </c>
      <c r="I135" s="21" t="s">
        <v>89</v>
      </c>
      <c r="J135" s="21" t="s">
        <v>2497</v>
      </c>
      <c r="K135" s="5814" t="s">
        <v>2498</v>
      </c>
    </row>
    <row r="136" spans="1:11">
      <c r="A136" s="21" t="s">
        <v>2499</v>
      </c>
      <c r="B136" s="21" t="s">
        <v>2500</v>
      </c>
      <c r="C136" s="21" t="s">
        <v>8</v>
      </c>
      <c r="D136" s="21" t="s">
        <v>2</v>
      </c>
      <c r="E136" s="21" t="s">
        <v>9</v>
      </c>
      <c r="F136" s="5812">
        <v>3</v>
      </c>
      <c r="G136" s="5813">
        <v>0.20833333333333334</v>
      </c>
      <c r="H136" s="21" t="s">
        <v>10</v>
      </c>
      <c r="I136" s="21" t="s">
        <v>23</v>
      </c>
      <c r="J136" s="21" t="s">
        <v>2501</v>
      </c>
      <c r="K136" s="5814" t="s">
        <v>2502</v>
      </c>
    </row>
    <row r="137" spans="1:11">
      <c r="A137" s="21" t="s">
        <v>2123</v>
      </c>
      <c r="B137" s="21" t="s">
        <v>2503</v>
      </c>
      <c r="C137" s="21" t="s">
        <v>22</v>
      </c>
      <c r="D137" s="21" t="s">
        <v>2</v>
      </c>
      <c r="E137" s="21" t="s">
        <v>9</v>
      </c>
      <c r="F137" s="5812">
        <v>3</v>
      </c>
      <c r="G137" s="5813">
        <v>0.20833333333333334</v>
      </c>
      <c r="H137" s="21" t="s">
        <v>10</v>
      </c>
      <c r="I137" s="21" t="s">
        <v>39</v>
      </c>
      <c r="J137" s="21" t="s">
        <v>2504</v>
      </c>
      <c r="K137" s="5814" t="s">
        <v>2505</v>
      </c>
    </row>
    <row r="138" spans="1:11">
      <c r="A138" s="21" t="s">
        <v>2506</v>
      </c>
      <c r="B138" s="21" t="s">
        <v>2273</v>
      </c>
      <c r="C138" s="21" t="s">
        <v>8</v>
      </c>
      <c r="D138" s="21" t="s">
        <v>2</v>
      </c>
      <c r="E138" s="21" t="s">
        <v>9</v>
      </c>
      <c r="F138" s="5812">
        <v>3</v>
      </c>
      <c r="G138" s="5813">
        <v>0.20833333333333334</v>
      </c>
      <c r="H138" s="21" t="s">
        <v>10</v>
      </c>
      <c r="I138" s="21" t="s">
        <v>55</v>
      </c>
      <c r="J138" s="21" t="s">
        <v>2507</v>
      </c>
      <c r="K138" s="5814" t="s">
        <v>2508</v>
      </c>
    </row>
    <row r="139" spans="1:11">
      <c r="A139" s="21" t="s">
        <v>2509</v>
      </c>
      <c r="B139" s="21" t="s">
        <v>2510</v>
      </c>
      <c r="C139" s="21" t="s">
        <v>8</v>
      </c>
      <c r="D139" s="21" t="s">
        <v>2</v>
      </c>
      <c r="E139" s="21" t="s">
        <v>9</v>
      </c>
      <c r="F139" s="5812">
        <v>3</v>
      </c>
      <c r="G139" s="5813">
        <v>0.20833333333333334</v>
      </c>
      <c r="H139" s="21" t="s">
        <v>10</v>
      </c>
      <c r="I139" s="21" t="s">
        <v>226</v>
      </c>
      <c r="J139" s="21" t="s">
        <v>2511</v>
      </c>
      <c r="K139" s="5814" t="s">
        <v>2512</v>
      </c>
    </row>
    <row r="140" spans="1:11">
      <c r="A140" s="21" t="s">
        <v>2513</v>
      </c>
      <c r="B140" s="21" t="s">
        <v>2514</v>
      </c>
      <c r="C140" s="21" t="s">
        <v>8</v>
      </c>
      <c r="D140" s="21" t="s">
        <v>2</v>
      </c>
      <c r="E140" s="21" t="s">
        <v>9</v>
      </c>
      <c r="F140" s="5812">
        <v>3</v>
      </c>
      <c r="G140" s="5813">
        <v>0.20833333333333334</v>
      </c>
      <c r="H140" s="21" t="s">
        <v>10</v>
      </c>
      <c r="I140" s="21" t="s">
        <v>96</v>
      </c>
      <c r="J140" s="21" t="s">
        <v>2515</v>
      </c>
      <c r="K140" s="5814" t="s">
        <v>2516</v>
      </c>
    </row>
    <row r="141" spans="1:11">
      <c r="A141" s="21" t="s">
        <v>2517</v>
      </c>
      <c r="B141" s="21" t="s">
        <v>2518</v>
      </c>
      <c r="C141" s="21" t="s">
        <v>22</v>
      </c>
      <c r="D141" s="21" t="s">
        <v>2</v>
      </c>
      <c r="E141" s="21" t="s">
        <v>9</v>
      </c>
      <c r="F141" s="5812">
        <v>3</v>
      </c>
      <c r="G141" s="5813">
        <v>0.20833333333333334</v>
      </c>
      <c r="H141" s="21" t="s">
        <v>10</v>
      </c>
      <c r="I141" s="21" t="s">
        <v>2313</v>
      </c>
      <c r="J141" s="21" t="s">
        <v>2519</v>
      </c>
      <c r="K141" s="5814" t="s">
        <v>2520</v>
      </c>
    </row>
    <row r="142" spans="1:11">
      <c r="A142" s="21" t="s">
        <v>2521</v>
      </c>
      <c r="B142" s="21" t="s">
        <v>2522</v>
      </c>
      <c r="C142" s="21" t="s">
        <v>8</v>
      </c>
      <c r="D142" s="21" t="s">
        <v>2</v>
      </c>
      <c r="E142" s="21" t="s">
        <v>9</v>
      </c>
      <c r="F142" s="5812">
        <v>3</v>
      </c>
      <c r="G142" s="5813">
        <v>0.20833333333333334</v>
      </c>
      <c r="H142" s="21" t="s">
        <v>10</v>
      </c>
      <c r="I142" s="21" t="s">
        <v>2523</v>
      </c>
      <c r="J142" s="21" t="s">
        <v>2524</v>
      </c>
      <c r="K142" s="5814" t="s">
        <v>2525</v>
      </c>
    </row>
    <row r="143" spans="1:11">
      <c r="A143" s="21" t="s">
        <v>2526</v>
      </c>
      <c r="B143" s="21" t="s">
        <v>2527</v>
      </c>
      <c r="C143" s="21" t="s">
        <v>22</v>
      </c>
      <c r="D143" s="21" t="s">
        <v>2</v>
      </c>
      <c r="E143" s="21" t="s">
        <v>9</v>
      </c>
      <c r="F143" s="5812">
        <v>3</v>
      </c>
      <c r="G143" s="5813">
        <v>0.20833333333333334</v>
      </c>
      <c r="H143" s="21" t="s">
        <v>10</v>
      </c>
      <c r="I143" s="21" t="s">
        <v>39</v>
      </c>
      <c r="J143" s="21" t="s">
        <v>2528</v>
      </c>
      <c r="K143" s="5814" t="s">
        <v>2529</v>
      </c>
    </row>
    <row r="144" spans="1:11">
      <c r="A144" s="21" t="s">
        <v>2530</v>
      </c>
      <c r="B144" s="21" t="s">
        <v>2531</v>
      </c>
      <c r="C144" s="21" t="s">
        <v>22</v>
      </c>
      <c r="D144" s="21" t="s">
        <v>2</v>
      </c>
      <c r="E144" s="21" t="s">
        <v>9</v>
      </c>
      <c r="F144" s="5812">
        <v>3</v>
      </c>
      <c r="G144" s="5813">
        <v>0.20833333333333334</v>
      </c>
      <c r="H144" s="21" t="s">
        <v>10</v>
      </c>
      <c r="I144" s="21" t="s">
        <v>23</v>
      </c>
      <c r="J144" s="21" t="s">
        <v>2532</v>
      </c>
      <c r="K144" s="5814" t="s">
        <v>2533</v>
      </c>
    </row>
    <row r="145" spans="1:11">
      <c r="A145" s="21" t="s">
        <v>2534</v>
      </c>
      <c r="B145" s="21" t="s">
        <v>2535</v>
      </c>
      <c r="C145" s="21" t="s">
        <v>709</v>
      </c>
      <c r="D145" s="21" t="s">
        <v>2</v>
      </c>
      <c r="E145" s="21" t="s">
        <v>9</v>
      </c>
      <c r="F145" s="5812">
        <v>3</v>
      </c>
      <c r="G145" s="5813">
        <v>0.20833333333333334</v>
      </c>
      <c r="H145" s="21" t="s">
        <v>10</v>
      </c>
      <c r="I145" s="21" t="s">
        <v>23</v>
      </c>
      <c r="J145" s="21" t="s">
        <v>2536</v>
      </c>
      <c r="K145" s="5814" t="s">
        <v>2537</v>
      </c>
    </row>
    <row r="146" spans="1:11">
      <c r="A146" s="21" t="s">
        <v>2538</v>
      </c>
      <c r="B146" s="21" t="s">
        <v>2539</v>
      </c>
      <c r="C146" s="21" t="s">
        <v>8</v>
      </c>
      <c r="D146" s="21" t="s">
        <v>2</v>
      </c>
      <c r="E146" s="21" t="s">
        <v>9</v>
      </c>
      <c r="F146" s="5812">
        <v>3</v>
      </c>
      <c r="G146" s="5813">
        <v>0.20833333333333334</v>
      </c>
      <c r="H146" s="21" t="s">
        <v>10</v>
      </c>
      <c r="I146" s="21" t="s">
        <v>47</v>
      </c>
      <c r="J146" s="21" t="s">
        <v>2540</v>
      </c>
      <c r="K146" s="5814" t="s">
        <v>2541</v>
      </c>
    </row>
    <row r="147" spans="1:11">
      <c r="A147" s="21" t="s">
        <v>2542</v>
      </c>
      <c r="B147" s="21" t="s">
        <v>2543</v>
      </c>
      <c r="C147" s="21" t="s">
        <v>8</v>
      </c>
      <c r="D147" s="21" t="s">
        <v>2</v>
      </c>
      <c r="E147" s="21" t="s">
        <v>9</v>
      </c>
      <c r="F147" s="5812">
        <v>3</v>
      </c>
      <c r="G147" s="5813">
        <v>0.20833333333333334</v>
      </c>
      <c r="H147" s="21" t="s">
        <v>10</v>
      </c>
      <c r="I147" s="21" t="s">
        <v>2544</v>
      </c>
      <c r="J147" s="21" t="s">
        <v>2545</v>
      </c>
      <c r="K147" s="5814" t="s">
        <v>2546</v>
      </c>
    </row>
    <row r="148" spans="1:11">
      <c r="A148" s="21" t="s">
        <v>2547</v>
      </c>
      <c r="B148" s="21" t="s">
        <v>2548</v>
      </c>
      <c r="C148" s="21" t="s">
        <v>8</v>
      </c>
      <c r="D148" s="21" t="s">
        <v>2</v>
      </c>
      <c r="E148" s="21" t="s">
        <v>9</v>
      </c>
      <c r="F148" s="5812">
        <v>3</v>
      </c>
      <c r="G148" s="5813">
        <v>0.20833333333333334</v>
      </c>
      <c r="H148" s="21" t="s">
        <v>10</v>
      </c>
      <c r="I148" s="21" t="s">
        <v>55</v>
      </c>
      <c r="J148" s="21" t="s">
        <v>2549</v>
      </c>
      <c r="K148" s="5814" t="s">
        <v>2550</v>
      </c>
    </row>
    <row r="149" spans="1:11">
      <c r="A149" s="21" t="s">
        <v>2551</v>
      </c>
      <c r="B149" s="21" t="s">
        <v>2552</v>
      </c>
      <c r="C149" s="21" t="s">
        <v>22</v>
      </c>
      <c r="D149" s="21" t="s">
        <v>2</v>
      </c>
      <c r="E149" s="21" t="s">
        <v>9</v>
      </c>
      <c r="F149" s="5812">
        <v>3</v>
      </c>
      <c r="G149" s="5813">
        <v>0.20833333333333334</v>
      </c>
      <c r="H149" s="21" t="s">
        <v>10</v>
      </c>
      <c r="I149" s="21" t="s">
        <v>226</v>
      </c>
      <c r="J149" s="21" t="s">
        <v>2553</v>
      </c>
      <c r="K149" s="5814" t="s">
        <v>2554</v>
      </c>
    </row>
    <row r="150" spans="1:11">
      <c r="A150" s="21" t="s">
        <v>2555</v>
      </c>
      <c r="B150" s="21" t="s">
        <v>2556</v>
      </c>
      <c r="C150" s="21" t="s">
        <v>22</v>
      </c>
      <c r="D150" s="21" t="s">
        <v>2</v>
      </c>
      <c r="E150" s="21" t="s">
        <v>9</v>
      </c>
      <c r="F150" s="5812">
        <v>3</v>
      </c>
      <c r="G150" s="5813">
        <v>0.20833333333333334</v>
      </c>
      <c r="H150" s="21" t="s">
        <v>10</v>
      </c>
      <c r="I150" s="21" t="s">
        <v>2557</v>
      </c>
      <c r="J150" s="21" t="s">
        <v>2558</v>
      </c>
      <c r="K150" s="5814" t="s">
        <v>2559</v>
      </c>
    </row>
    <row r="151" spans="1:11">
      <c r="A151" s="21" t="s">
        <v>2560</v>
      </c>
      <c r="B151" s="21" t="s">
        <v>2561</v>
      </c>
      <c r="C151" s="21" t="s">
        <v>8</v>
      </c>
      <c r="D151" s="21" t="s">
        <v>2</v>
      </c>
      <c r="E151" s="21" t="s">
        <v>9</v>
      </c>
      <c r="F151" s="5812">
        <v>3</v>
      </c>
      <c r="G151" s="5813">
        <v>0.20833333333333334</v>
      </c>
      <c r="H151" s="21" t="s">
        <v>10</v>
      </c>
      <c r="I151" s="21" t="s">
        <v>226</v>
      </c>
      <c r="J151" s="21" t="s">
        <v>2562</v>
      </c>
      <c r="K151" s="5814" t="s">
        <v>2563</v>
      </c>
    </row>
    <row r="152" spans="1:11">
      <c r="A152" s="21" t="s">
        <v>2147</v>
      </c>
      <c r="B152" s="21" t="s">
        <v>2564</v>
      </c>
      <c r="C152" s="21" t="s">
        <v>8</v>
      </c>
      <c r="D152" s="21" t="s">
        <v>2</v>
      </c>
      <c r="E152" s="21" t="s">
        <v>9</v>
      </c>
      <c r="F152" s="5812">
        <v>3</v>
      </c>
      <c r="G152" s="5813">
        <v>0.20833333333333334</v>
      </c>
      <c r="H152" s="21" t="s">
        <v>10</v>
      </c>
      <c r="I152" s="21" t="s">
        <v>2149</v>
      </c>
      <c r="J152" s="21" t="s">
        <v>2565</v>
      </c>
      <c r="K152" s="5814" t="s">
        <v>2566</v>
      </c>
    </row>
    <row r="153" spans="1:11">
      <c r="A153" s="21" t="s">
        <v>2070</v>
      </c>
      <c r="B153" s="21" t="s">
        <v>2567</v>
      </c>
      <c r="C153" s="21" t="s">
        <v>8</v>
      </c>
      <c r="D153" s="21" t="s">
        <v>2</v>
      </c>
      <c r="E153" s="21" t="s">
        <v>9</v>
      </c>
      <c r="F153" s="5812">
        <v>3</v>
      </c>
      <c r="G153" s="5813">
        <v>0.20833333333333334</v>
      </c>
      <c r="H153" s="21" t="s">
        <v>10</v>
      </c>
      <c r="I153" s="21" t="s">
        <v>2568</v>
      </c>
      <c r="J153" s="21" t="s">
        <v>2569</v>
      </c>
      <c r="K153" s="5814" t="s">
        <v>2570</v>
      </c>
    </row>
    <row r="154" spans="1:11">
      <c r="A154" s="21" t="s">
        <v>2571</v>
      </c>
      <c r="B154" s="21" t="s">
        <v>2572</v>
      </c>
      <c r="C154" s="21" t="s">
        <v>8</v>
      </c>
      <c r="D154" s="21" t="s">
        <v>2</v>
      </c>
      <c r="E154" s="21" t="s">
        <v>9</v>
      </c>
      <c r="F154" s="5812">
        <v>3</v>
      </c>
      <c r="G154" s="5813">
        <v>0.20833333333333334</v>
      </c>
      <c r="H154" s="21" t="s">
        <v>10</v>
      </c>
      <c r="I154" s="21" t="s">
        <v>226</v>
      </c>
      <c r="J154" s="21" t="s">
        <v>2573</v>
      </c>
      <c r="K154" s="5814" t="s">
        <v>2574</v>
      </c>
    </row>
    <row r="155" spans="1:11">
      <c r="A155" s="21" t="s">
        <v>2165</v>
      </c>
      <c r="B155" s="21" t="s">
        <v>2575</v>
      </c>
      <c r="C155" s="21" t="s">
        <v>22</v>
      </c>
      <c r="D155" s="21" t="s">
        <v>2</v>
      </c>
      <c r="E155" s="21" t="s">
        <v>9</v>
      </c>
      <c r="F155" s="5812">
        <v>3</v>
      </c>
      <c r="G155" s="5813">
        <v>0.20833333333333334</v>
      </c>
      <c r="H155" s="21" t="s">
        <v>10</v>
      </c>
      <c r="I155" s="21" t="s">
        <v>2576</v>
      </c>
      <c r="J155" s="21" t="s">
        <v>2577</v>
      </c>
      <c r="K155" s="5814" t="s">
        <v>2578</v>
      </c>
    </row>
    <row r="156" spans="1:11">
      <c r="A156" s="21" t="s">
        <v>2579</v>
      </c>
      <c r="B156" s="21" t="s">
        <v>2580</v>
      </c>
      <c r="C156" s="21" t="s">
        <v>8</v>
      </c>
      <c r="D156" s="21" t="s">
        <v>2</v>
      </c>
      <c r="E156" s="21" t="s">
        <v>9</v>
      </c>
      <c r="F156" s="5812">
        <v>3</v>
      </c>
      <c r="G156" s="5813">
        <v>0.20833333333333334</v>
      </c>
      <c r="H156" s="21" t="s">
        <v>10</v>
      </c>
      <c r="I156" s="21" t="s">
        <v>2153</v>
      </c>
      <c r="J156" s="21" t="s">
        <v>2581</v>
      </c>
      <c r="K156" s="5814" t="s">
        <v>2582</v>
      </c>
    </row>
    <row r="157" spans="1:11">
      <c r="A157" s="21" t="s">
        <v>2579</v>
      </c>
      <c r="B157" s="21" t="s">
        <v>2583</v>
      </c>
      <c r="C157" s="21" t="s">
        <v>8</v>
      </c>
      <c r="D157" s="21" t="s">
        <v>2</v>
      </c>
      <c r="E157" s="21" t="s">
        <v>9</v>
      </c>
      <c r="F157" s="5812">
        <v>3</v>
      </c>
      <c r="G157" s="5813">
        <v>0.20833333333333334</v>
      </c>
      <c r="H157" s="21" t="s">
        <v>10</v>
      </c>
      <c r="I157" s="21" t="s">
        <v>2269</v>
      </c>
      <c r="J157" s="21" t="s">
        <v>2584</v>
      </c>
      <c r="K157" s="5814" t="s">
        <v>2585</v>
      </c>
    </row>
    <row r="158" spans="1:11">
      <c r="A158" s="21" t="s">
        <v>2169</v>
      </c>
      <c r="B158" s="21" t="s">
        <v>2586</v>
      </c>
      <c r="C158" s="21" t="s">
        <v>22</v>
      </c>
      <c r="D158" s="21" t="s">
        <v>2</v>
      </c>
      <c r="E158" s="21" t="s">
        <v>9</v>
      </c>
      <c r="F158" s="5812">
        <v>3</v>
      </c>
      <c r="G158" s="5813">
        <v>0.20833333333333334</v>
      </c>
      <c r="H158" s="21" t="s">
        <v>10</v>
      </c>
      <c r="I158" s="21" t="s">
        <v>615</v>
      </c>
      <c r="J158" s="21" t="s">
        <v>2587</v>
      </c>
      <c r="K158" s="5814" t="s">
        <v>2588</v>
      </c>
    </row>
    <row r="159" spans="1:11">
      <c r="A159" s="21" t="s">
        <v>2179</v>
      </c>
      <c r="B159" s="21" t="s">
        <v>2589</v>
      </c>
      <c r="C159" s="21" t="s">
        <v>8</v>
      </c>
      <c r="D159" s="21" t="s">
        <v>2</v>
      </c>
      <c r="E159" s="21" t="s">
        <v>9</v>
      </c>
      <c r="F159" s="5812">
        <v>3</v>
      </c>
      <c r="G159" s="5813">
        <v>0.20833333333333334</v>
      </c>
      <c r="H159" s="21" t="s">
        <v>10</v>
      </c>
      <c r="I159" s="21" t="s">
        <v>226</v>
      </c>
      <c r="J159" s="21" t="s">
        <v>2590</v>
      </c>
      <c r="K159" s="5814" t="s">
        <v>2591</v>
      </c>
    </row>
    <row r="160" spans="1:11">
      <c r="A160" s="21" t="s">
        <v>2179</v>
      </c>
      <c r="B160" s="21" t="s">
        <v>2592</v>
      </c>
      <c r="C160" s="21" t="s">
        <v>8</v>
      </c>
      <c r="D160" s="21" t="s">
        <v>2</v>
      </c>
      <c r="E160" s="21" t="s">
        <v>9</v>
      </c>
      <c r="F160" s="5812">
        <v>3</v>
      </c>
      <c r="G160" s="5813">
        <v>0.20833333333333334</v>
      </c>
      <c r="H160" s="21" t="s">
        <v>10</v>
      </c>
      <c r="I160" s="21" t="s">
        <v>73</v>
      </c>
      <c r="J160" s="21" t="s">
        <v>2593</v>
      </c>
      <c r="K160" s="5814" t="s">
        <v>2594</v>
      </c>
    </row>
    <row r="161" spans="1:11">
      <c r="A161" s="21" t="s">
        <v>2595</v>
      </c>
      <c r="B161" s="21" t="s">
        <v>2596</v>
      </c>
      <c r="C161" s="21" t="s">
        <v>8</v>
      </c>
      <c r="D161" s="21" t="s">
        <v>2</v>
      </c>
      <c r="E161" s="21" t="s">
        <v>9</v>
      </c>
      <c r="F161" s="5812">
        <v>3</v>
      </c>
      <c r="G161" s="5813">
        <v>0.20833333333333334</v>
      </c>
      <c r="H161" s="21" t="s">
        <v>10</v>
      </c>
      <c r="I161" s="21" t="s">
        <v>2597</v>
      </c>
      <c r="J161" s="21" t="s">
        <v>2598</v>
      </c>
      <c r="K161" s="5814" t="s">
        <v>2599</v>
      </c>
    </row>
    <row r="162" spans="1:11">
      <c r="A162" s="21" t="s">
        <v>2600</v>
      </c>
      <c r="B162" s="21" t="s">
        <v>2601</v>
      </c>
      <c r="C162" s="21" t="s">
        <v>8</v>
      </c>
      <c r="D162" s="21" t="s">
        <v>2</v>
      </c>
      <c r="E162" s="21" t="s">
        <v>9</v>
      </c>
      <c r="F162" s="5812">
        <v>3</v>
      </c>
      <c r="G162" s="5813">
        <v>0.20833333333333334</v>
      </c>
      <c r="H162" s="21" t="s">
        <v>10</v>
      </c>
      <c r="I162" s="21" t="s">
        <v>2602</v>
      </c>
      <c r="J162" s="21" t="s">
        <v>2603</v>
      </c>
      <c r="K162" s="5814" t="s">
        <v>2604</v>
      </c>
    </row>
    <row r="163" spans="1:11">
      <c r="A163" s="21" t="s">
        <v>2605</v>
      </c>
      <c r="B163" s="21" t="s">
        <v>2606</v>
      </c>
      <c r="C163" s="21" t="s">
        <v>8</v>
      </c>
      <c r="D163" s="21" t="s">
        <v>2</v>
      </c>
      <c r="E163" s="21" t="s">
        <v>9</v>
      </c>
      <c r="F163" s="5812">
        <v>3</v>
      </c>
      <c r="G163" s="5813">
        <v>0.20833333333333334</v>
      </c>
      <c r="H163" s="21" t="s">
        <v>10</v>
      </c>
      <c r="I163" s="21" t="s">
        <v>263</v>
      </c>
      <c r="J163" s="21" t="s">
        <v>2607</v>
      </c>
      <c r="K163" s="5814" t="s">
        <v>2608</v>
      </c>
    </row>
    <row r="164" spans="1:11">
      <c r="A164" s="21" t="s">
        <v>2609</v>
      </c>
      <c r="B164" s="21" t="s">
        <v>2610</v>
      </c>
      <c r="C164" s="21" t="s">
        <v>22</v>
      </c>
      <c r="D164" s="21" t="s">
        <v>2</v>
      </c>
      <c r="E164" s="21" t="s">
        <v>9</v>
      </c>
      <c r="F164" s="5812">
        <v>3</v>
      </c>
      <c r="G164" s="5813">
        <v>0.20833333333333334</v>
      </c>
      <c r="H164" s="21" t="s">
        <v>10</v>
      </c>
      <c r="I164" s="21" t="s">
        <v>187</v>
      </c>
      <c r="J164" s="21" t="s">
        <v>2611</v>
      </c>
      <c r="K164" s="5814" t="s">
        <v>2612</v>
      </c>
    </row>
    <row r="165" spans="1:11">
      <c r="A165" s="21" t="s">
        <v>2609</v>
      </c>
      <c r="B165" s="21" t="s">
        <v>2613</v>
      </c>
      <c r="C165" s="21" t="s">
        <v>8</v>
      </c>
      <c r="D165" s="21" t="s">
        <v>2</v>
      </c>
      <c r="E165" s="21" t="s">
        <v>9</v>
      </c>
      <c r="F165" s="5812">
        <v>3</v>
      </c>
      <c r="G165" s="5813">
        <v>0.20833333333333334</v>
      </c>
      <c r="H165" s="21" t="s">
        <v>10</v>
      </c>
      <c r="I165" s="21" t="s">
        <v>47</v>
      </c>
      <c r="J165" s="21" t="s">
        <v>2614</v>
      </c>
      <c r="K165" s="5814" t="s">
        <v>2615</v>
      </c>
    </row>
    <row r="166" spans="1:11">
      <c r="A166" s="21" t="s">
        <v>2616</v>
      </c>
      <c r="B166" s="21" t="s">
        <v>2617</v>
      </c>
      <c r="C166" s="21" t="s">
        <v>22</v>
      </c>
      <c r="D166" s="21" t="s">
        <v>2</v>
      </c>
      <c r="E166" s="21" t="s">
        <v>9</v>
      </c>
      <c r="F166" s="5812">
        <v>3</v>
      </c>
      <c r="G166" s="5813">
        <v>0.20833333333333334</v>
      </c>
      <c r="H166" s="21" t="s">
        <v>10</v>
      </c>
      <c r="I166" s="21" t="s">
        <v>187</v>
      </c>
      <c r="J166" s="21" t="s">
        <v>2618</v>
      </c>
      <c r="K166" s="5814" t="s">
        <v>2619</v>
      </c>
    </row>
    <row r="167" spans="1:11">
      <c r="A167" s="21" t="s">
        <v>2616</v>
      </c>
      <c r="B167" s="21" t="s">
        <v>2620</v>
      </c>
      <c r="C167" s="21" t="s">
        <v>22</v>
      </c>
      <c r="D167" s="21" t="s">
        <v>2</v>
      </c>
      <c r="E167" s="21" t="s">
        <v>9</v>
      </c>
      <c r="F167" s="5812">
        <v>3</v>
      </c>
      <c r="G167" s="5813">
        <v>0.20833333333333334</v>
      </c>
      <c r="H167" s="21" t="s">
        <v>10</v>
      </c>
      <c r="I167" s="21" t="s">
        <v>187</v>
      </c>
      <c r="J167" s="21" t="s">
        <v>2621</v>
      </c>
      <c r="K167" s="5814" t="s">
        <v>2622</v>
      </c>
    </row>
    <row r="168" spans="1:11">
      <c r="A168" s="21" t="s">
        <v>2616</v>
      </c>
      <c r="B168" s="21" t="s">
        <v>2623</v>
      </c>
      <c r="C168" s="21" t="s">
        <v>22</v>
      </c>
      <c r="D168" s="21" t="s">
        <v>2</v>
      </c>
      <c r="E168" s="21" t="s">
        <v>9</v>
      </c>
      <c r="F168" s="5812">
        <v>3</v>
      </c>
      <c r="G168" s="5813">
        <v>0.20833333333333334</v>
      </c>
      <c r="H168" s="21" t="s">
        <v>10</v>
      </c>
      <c r="I168" s="21" t="s">
        <v>187</v>
      </c>
      <c r="J168" s="21" t="s">
        <v>2624</v>
      </c>
      <c r="K168" s="5814" t="s">
        <v>2625</v>
      </c>
    </row>
    <row r="169" spans="1:11">
      <c r="A169" s="21" t="s">
        <v>2626</v>
      </c>
      <c r="B169" s="21" t="s">
        <v>2627</v>
      </c>
      <c r="C169" s="21" t="s">
        <v>8</v>
      </c>
      <c r="D169" s="21" t="s">
        <v>2</v>
      </c>
      <c r="E169" s="21" t="s">
        <v>9</v>
      </c>
      <c r="F169" s="5812">
        <v>3</v>
      </c>
      <c r="G169" s="5813">
        <v>0.20833333333333334</v>
      </c>
      <c r="H169" s="21" t="s">
        <v>10</v>
      </c>
      <c r="I169" s="21" t="s">
        <v>96</v>
      </c>
      <c r="J169" s="21" t="s">
        <v>2628</v>
      </c>
      <c r="K169" s="5814" t="s">
        <v>2629</v>
      </c>
    </row>
    <row r="170" spans="1:11">
      <c r="A170" s="21" t="s">
        <v>2630</v>
      </c>
      <c r="B170" s="21" t="s">
        <v>2631</v>
      </c>
      <c r="C170" s="21" t="s">
        <v>22</v>
      </c>
      <c r="D170" s="21" t="s">
        <v>2</v>
      </c>
      <c r="E170" s="21" t="s">
        <v>9</v>
      </c>
      <c r="F170" s="5812">
        <v>3</v>
      </c>
      <c r="G170" s="5813">
        <v>0.20833333333333334</v>
      </c>
      <c r="H170" s="21" t="s">
        <v>10</v>
      </c>
      <c r="I170" s="21" t="s">
        <v>2632</v>
      </c>
      <c r="J170" s="21" t="s">
        <v>2633</v>
      </c>
      <c r="K170" s="5814" t="s">
        <v>2634</v>
      </c>
    </row>
    <row r="171" spans="1:11">
      <c r="A171" s="21" t="s">
        <v>2630</v>
      </c>
      <c r="B171" s="21" t="s">
        <v>2635</v>
      </c>
      <c r="C171" s="21" t="s">
        <v>8</v>
      </c>
      <c r="D171" s="21" t="s">
        <v>2</v>
      </c>
      <c r="E171" s="21" t="s">
        <v>9</v>
      </c>
      <c r="F171" s="5812">
        <v>3</v>
      </c>
      <c r="G171" s="5813">
        <v>0.20833333333333334</v>
      </c>
      <c r="H171" s="21" t="s">
        <v>10</v>
      </c>
      <c r="I171" s="21" t="s">
        <v>2218</v>
      </c>
      <c r="J171" s="21" t="s">
        <v>2636</v>
      </c>
      <c r="K171" s="5814" t="s">
        <v>2637</v>
      </c>
    </row>
    <row r="172" spans="1:11">
      <c r="A172" s="21" t="s">
        <v>2638</v>
      </c>
      <c r="B172" s="21" t="s">
        <v>2639</v>
      </c>
      <c r="C172" s="21" t="s">
        <v>22</v>
      </c>
      <c r="D172" s="21" t="s">
        <v>2</v>
      </c>
      <c r="E172" s="21" t="s">
        <v>9</v>
      </c>
      <c r="F172" s="5812">
        <v>3</v>
      </c>
      <c r="G172" s="5813">
        <v>0.20833333333333334</v>
      </c>
      <c r="H172" s="21" t="s">
        <v>10</v>
      </c>
      <c r="I172" s="21" t="s">
        <v>2640</v>
      </c>
      <c r="J172" s="21" t="s">
        <v>2641</v>
      </c>
      <c r="K172" s="5814" t="s">
        <v>2642</v>
      </c>
    </row>
    <row r="173" spans="1:11">
      <c r="A173" s="21" t="s">
        <v>2643</v>
      </c>
      <c r="B173" s="21" t="s">
        <v>2644</v>
      </c>
      <c r="C173" s="21" t="s">
        <v>8</v>
      </c>
      <c r="D173" s="21" t="s">
        <v>2</v>
      </c>
      <c r="E173" s="21" t="s">
        <v>9</v>
      </c>
      <c r="F173" s="5812">
        <v>3</v>
      </c>
      <c r="G173" s="5813">
        <v>0.20833333333333334</v>
      </c>
      <c r="H173" s="21" t="s">
        <v>10</v>
      </c>
      <c r="I173" s="21" t="s">
        <v>23</v>
      </c>
      <c r="J173" s="21" t="s">
        <v>2645</v>
      </c>
      <c r="K173" s="5814" t="s">
        <v>2646</v>
      </c>
    </row>
    <row r="174" spans="1:11">
      <c r="A174" s="21" t="s">
        <v>2647</v>
      </c>
      <c r="B174" s="21" t="s">
        <v>2648</v>
      </c>
      <c r="C174" s="21" t="s">
        <v>22</v>
      </c>
      <c r="D174" s="21" t="s">
        <v>2</v>
      </c>
      <c r="E174" s="21" t="s">
        <v>9</v>
      </c>
      <c r="F174" s="5812">
        <v>3</v>
      </c>
      <c r="G174" s="5813">
        <v>0.20833333333333334</v>
      </c>
      <c r="H174" s="21" t="s">
        <v>10</v>
      </c>
      <c r="I174" s="21" t="s">
        <v>2260</v>
      </c>
      <c r="J174" s="21" t="s">
        <v>2649</v>
      </c>
      <c r="K174" s="5814" t="s">
        <v>2650</v>
      </c>
    </row>
    <row r="175" spans="1:11">
      <c r="A175" s="21" t="s">
        <v>2651</v>
      </c>
      <c r="B175" s="21" t="s">
        <v>2652</v>
      </c>
      <c r="C175" s="21" t="s">
        <v>22</v>
      </c>
      <c r="D175" s="21" t="s">
        <v>2</v>
      </c>
      <c r="E175" s="21" t="s">
        <v>9</v>
      </c>
      <c r="F175" s="5812">
        <v>3</v>
      </c>
      <c r="G175" s="5813">
        <v>0.20833333333333334</v>
      </c>
      <c r="H175" s="21" t="s">
        <v>10</v>
      </c>
      <c r="I175" s="21" t="s">
        <v>2430</v>
      </c>
      <c r="J175" s="21" t="s">
        <v>2653</v>
      </c>
      <c r="K175" s="5814" t="s">
        <v>2654</v>
      </c>
    </row>
    <row r="176" spans="1:11">
      <c r="A176" s="21" t="s">
        <v>2655</v>
      </c>
      <c r="B176" s="21" t="s">
        <v>2656</v>
      </c>
      <c r="C176" s="21" t="s">
        <v>22</v>
      </c>
      <c r="D176" s="21" t="s">
        <v>2</v>
      </c>
      <c r="E176" s="21" t="s">
        <v>9</v>
      </c>
      <c r="F176" s="5812">
        <v>3</v>
      </c>
      <c r="G176" s="5813">
        <v>0.20833333333333334</v>
      </c>
      <c r="H176" s="21" t="s">
        <v>10</v>
      </c>
      <c r="I176" s="21" t="s">
        <v>2269</v>
      </c>
      <c r="J176" s="21" t="s">
        <v>2657</v>
      </c>
      <c r="K176" s="5814" t="s">
        <v>2658</v>
      </c>
    </row>
    <row r="177" spans="1:11">
      <c r="A177" s="21" t="s">
        <v>2655</v>
      </c>
      <c r="B177" s="21" t="s">
        <v>2659</v>
      </c>
      <c r="C177" s="21" t="s">
        <v>22</v>
      </c>
      <c r="D177" s="21" t="s">
        <v>2</v>
      </c>
      <c r="E177" s="21" t="s">
        <v>9</v>
      </c>
      <c r="F177" s="5812">
        <v>3</v>
      </c>
      <c r="G177" s="5813">
        <v>0.20833333333333334</v>
      </c>
      <c r="H177" s="21" t="s">
        <v>10</v>
      </c>
      <c r="I177" s="21" t="s">
        <v>2660</v>
      </c>
      <c r="J177" s="21" t="s">
        <v>2661</v>
      </c>
      <c r="K177" s="5814" t="s">
        <v>2662</v>
      </c>
    </row>
    <row r="178" spans="1:11">
      <c r="A178" s="21" t="s">
        <v>2663</v>
      </c>
      <c r="B178" s="21" t="s">
        <v>2664</v>
      </c>
      <c r="C178" s="21" t="s">
        <v>8</v>
      </c>
      <c r="D178" s="21" t="s">
        <v>2</v>
      </c>
      <c r="E178" s="21" t="s">
        <v>9</v>
      </c>
      <c r="F178" s="5812">
        <v>3</v>
      </c>
      <c r="G178" s="5813">
        <v>0.20833333333333334</v>
      </c>
      <c r="H178" s="21" t="s">
        <v>10</v>
      </c>
      <c r="I178" s="21" t="s">
        <v>2665</v>
      </c>
      <c r="J178" s="21" t="s">
        <v>2666</v>
      </c>
      <c r="K178" s="5814" t="s">
        <v>2667</v>
      </c>
    </row>
    <row r="179" spans="1:11">
      <c r="A179" s="21" t="s">
        <v>2668</v>
      </c>
      <c r="B179" s="21" t="s">
        <v>2669</v>
      </c>
      <c r="C179" s="21" t="s">
        <v>8</v>
      </c>
      <c r="D179" s="21" t="s">
        <v>2</v>
      </c>
      <c r="E179" s="21" t="s">
        <v>9</v>
      </c>
      <c r="F179" s="5812">
        <v>3</v>
      </c>
      <c r="G179" s="5813">
        <v>0.20833333333333334</v>
      </c>
      <c r="H179" s="21" t="s">
        <v>10</v>
      </c>
      <c r="I179" s="21" t="s">
        <v>1184</v>
      </c>
      <c r="J179" s="21" t="s">
        <v>2670</v>
      </c>
      <c r="K179" s="5814" t="s">
        <v>2671</v>
      </c>
    </row>
    <row r="180" spans="1:11">
      <c r="A180" s="21" t="s">
        <v>2188</v>
      </c>
      <c r="B180" s="21" t="s">
        <v>2672</v>
      </c>
      <c r="C180" s="21" t="s">
        <v>8</v>
      </c>
      <c r="D180" s="21" t="s">
        <v>2</v>
      </c>
      <c r="E180" s="21" t="s">
        <v>9</v>
      </c>
      <c r="F180" s="5812">
        <v>3</v>
      </c>
      <c r="G180" s="5813">
        <v>0.20833333333333334</v>
      </c>
      <c r="H180" s="21" t="s">
        <v>10</v>
      </c>
      <c r="I180" s="21" t="s">
        <v>47</v>
      </c>
      <c r="J180" s="21" t="s">
        <v>2673</v>
      </c>
      <c r="K180" s="5814" t="s">
        <v>2674</v>
      </c>
    </row>
    <row r="181" spans="1:11">
      <c r="A181" s="21" t="s">
        <v>2675</v>
      </c>
      <c r="B181" s="21" t="s">
        <v>2676</v>
      </c>
      <c r="C181" s="21" t="s">
        <v>8</v>
      </c>
      <c r="D181" s="21" t="s">
        <v>2</v>
      </c>
      <c r="E181" s="21" t="s">
        <v>9</v>
      </c>
      <c r="F181" s="5812">
        <v>3</v>
      </c>
      <c r="G181" s="5813">
        <v>0.20833333333333334</v>
      </c>
      <c r="H181" s="21" t="s">
        <v>10</v>
      </c>
      <c r="I181" s="21" t="s">
        <v>400</v>
      </c>
      <c r="J181" s="21" t="s">
        <v>2677</v>
      </c>
      <c r="K181" s="5814" t="s">
        <v>2678</v>
      </c>
    </row>
    <row r="182" spans="1:11">
      <c r="A182" s="21" t="s">
        <v>2679</v>
      </c>
      <c r="B182" s="21" t="s">
        <v>2680</v>
      </c>
      <c r="C182" s="21" t="s">
        <v>8</v>
      </c>
      <c r="D182" s="21" t="s">
        <v>2</v>
      </c>
      <c r="E182" s="21" t="s">
        <v>9</v>
      </c>
      <c r="F182" s="5812">
        <v>3</v>
      </c>
      <c r="G182" s="5813">
        <v>0.20833333333333334</v>
      </c>
      <c r="H182" s="21" t="s">
        <v>10</v>
      </c>
      <c r="I182" s="21" t="s">
        <v>47</v>
      </c>
      <c r="J182" s="21" t="s">
        <v>2681</v>
      </c>
      <c r="K182" s="5814" t="s">
        <v>2682</v>
      </c>
    </row>
    <row r="183" spans="1:11">
      <c r="A183" s="21" t="s">
        <v>2679</v>
      </c>
      <c r="B183" s="21" t="s">
        <v>2683</v>
      </c>
      <c r="C183" s="21" t="s">
        <v>8</v>
      </c>
      <c r="D183" s="21" t="s">
        <v>2</v>
      </c>
      <c r="E183" s="21" t="s">
        <v>9</v>
      </c>
      <c r="F183" s="5812">
        <v>3</v>
      </c>
      <c r="G183" s="5813">
        <v>0.20833333333333334</v>
      </c>
      <c r="H183" s="21" t="s">
        <v>10</v>
      </c>
      <c r="I183" s="21" t="s">
        <v>2684</v>
      </c>
      <c r="J183" s="21" t="s">
        <v>2685</v>
      </c>
      <c r="K183" s="5814" t="s">
        <v>2686</v>
      </c>
    </row>
    <row r="184" spans="1:11">
      <c r="A184" s="21" t="s">
        <v>2687</v>
      </c>
      <c r="B184" s="21" t="s">
        <v>2688</v>
      </c>
      <c r="C184" s="21" t="s">
        <v>8</v>
      </c>
      <c r="D184" s="21" t="s">
        <v>2</v>
      </c>
      <c r="E184" s="21" t="s">
        <v>9</v>
      </c>
      <c r="F184" s="5812">
        <v>3</v>
      </c>
      <c r="G184" s="5813">
        <v>0.20833333333333334</v>
      </c>
      <c r="H184" s="21" t="s">
        <v>10</v>
      </c>
      <c r="I184" s="21" t="s">
        <v>226</v>
      </c>
      <c r="J184" s="21" t="s">
        <v>2689</v>
      </c>
      <c r="K184" s="5814" t="s">
        <v>2690</v>
      </c>
    </row>
    <row r="185" spans="1:11">
      <c r="A185" s="21" t="s">
        <v>2201</v>
      </c>
      <c r="B185" s="21" t="s">
        <v>2691</v>
      </c>
      <c r="C185" s="21" t="s">
        <v>8</v>
      </c>
      <c r="D185" s="21" t="s">
        <v>2</v>
      </c>
      <c r="E185" s="21" t="s">
        <v>9</v>
      </c>
      <c r="F185" s="5812">
        <v>3</v>
      </c>
      <c r="G185" s="5813">
        <v>0.20833333333333334</v>
      </c>
      <c r="H185" s="21" t="s">
        <v>10</v>
      </c>
      <c r="I185" s="21" t="s">
        <v>2692</v>
      </c>
      <c r="J185" s="21" t="s">
        <v>2693</v>
      </c>
      <c r="K185" s="5814" t="s">
        <v>2694</v>
      </c>
    </row>
    <row r="186" spans="1:11">
      <c r="A186" s="21" t="s">
        <v>2201</v>
      </c>
      <c r="B186" s="21" t="s">
        <v>2695</v>
      </c>
      <c r="C186" s="21" t="s">
        <v>8</v>
      </c>
      <c r="D186" s="21" t="s">
        <v>2</v>
      </c>
      <c r="E186" s="21" t="s">
        <v>9</v>
      </c>
      <c r="F186" s="5812">
        <v>3</v>
      </c>
      <c r="G186" s="5813">
        <v>0.20833333333333334</v>
      </c>
      <c r="H186" s="21" t="s">
        <v>10</v>
      </c>
      <c r="I186" s="21" t="s">
        <v>615</v>
      </c>
      <c r="J186" s="21" t="s">
        <v>2696</v>
      </c>
      <c r="K186" s="5814" t="s">
        <v>2697</v>
      </c>
    </row>
    <row r="187" spans="1:11">
      <c r="A187" s="21" t="s">
        <v>2698</v>
      </c>
      <c r="B187" s="21" t="s">
        <v>2699</v>
      </c>
      <c r="C187" s="21" t="s">
        <v>22</v>
      </c>
      <c r="D187" s="21" t="s">
        <v>2</v>
      </c>
      <c r="E187" s="21" t="s">
        <v>9</v>
      </c>
      <c r="F187" s="5812">
        <v>3</v>
      </c>
      <c r="G187" s="5813">
        <v>0.20833333333333334</v>
      </c>
      <c r="H187" s="21" t="s">
        <v>10</v>
      </c>
      <c r="I187" s="21" t="s">
        <v>2523</v>
      </c>
      <c r="J187" s="21" t="s">
        <v>2700</v>
      </c>
      <c r="K187" s="5814" t="s">
        <v>2701</v>
      </c>
    </row>
    <row r="188" spans="1:11">
      <c r="A188" s="21" t="s">
        <v>2702</v>
      </c>
      <c r="B188" s="21" t="s">
        <v>2703</v>
      </c>
      <c r="C188" s="21" t="s">
        <v>22</v>
      </c>
      <c r="D188" s="21" t="s">
        <v>2</v>
      </c>
      <c r="E188" s="21" t="s">
        <v>9</v>
      </c>
      <c r="F188" s="5812">
        <v>3</v>
      </c>
      <c r="G188" s="5813">
        <v>0.20833333333333334</v>
      </c>
      <c r="H188" s="21" t="s">
        <v>10</v>
      </c>
      <c r="I188" s="21" t="s">
        <v>2704</v>
      </c>
      <c r="J188" s="21" t="s">
        <v>2705</v>
      </c>
      <c r="K188" s="5814" t="s">
        <v>2706</v>
      </c>
    </row>
    <row r="189" spans="1:11">
      <c r="A189" s="21" t="s">
        <v>2707</v>
      </c>
      <c r="B189" s="21" t="s">
        <v>2708</v>
      </c>
      <c r="C189" s="21" t="s">
        <v>8</v>
      </c>
      <c r="D189" s="21" t="s">
        <v>2</v>
      </c>
      <c r="E189" s="21" t="s">
        <v>9</v>
      </c>
      <c r="F189" s="5812">
        <v>3</v>
      </c>
      <c r="G189" s="5813">
        <v>0.20833333333333334</v>
      </c>
      <c r="H189" s="21" t="s">
        <v>10</v>
      </c>
      <c r="I189" s="21" t="s">
        <v>47</v>
      </c>
      <c r="J189" s="21" t="s">
        <v>2709</v>
      </c>
      <c r="K189" s="5814" t="s">
        <v>2710</v>
      </c>
    </row>
    <row r="190" spans="1:11">
      <c r="A190" s="21" t="s">
        <v>2711</v>
      </c>
      <c r="B190" s="21" t="s">
        <v>2712</v>
      </c>
      <c r="C190" s="21" t="s">
        <v>22</v>
      </c>
      <c r="D190" s="21" t="s">
        <v>2</v>
      </c>
      <c r="E190" s="21" t="s">
        <v>9</v>
      </c>
      <c r="F190" s="5812">
        <v>3</v>
      </c>
      <c r="G190" s="5813">
        <v>0.20833333333333334</v>
      </c>
      <c r="H190" s="21" t="s">
        <v>10</v>
      </c>
      <c r="I190" s="21" t="s">
        <v>2713</v>
      </c>
      <c r="J190" s="21" t="s">
        <v>2714</v>
      </c>
      <c r="K190" s="5814" t="s">
        <v>2715</v>
      </c>
    </row>
    <row r="191" spans="1:11">
      <c r="A191" s="21" t="s">
        <v>2711</v>
      </c>
      <c r="B191" s="21" t="s">
        <v>2716</v>
      </c>
      <c r="C191" s="21" t="s">
        <v>22</v>
      </c>
      <c r="D191" s="21" t="s">
        <v>2</v>
      </c>
      <c r="E191" s="21" t="s">
        <v>9</v>
      </c>
      <c r="F191" s="5812">
        <v>3</v>
      </c>
      <c r="G191" s="5813">
        <v>0.20833333333333334</v>
      </c>
      <c r="H191" s="21" t="s">
        <v>10</v>
      </c>
      <c r="I191" s="21"/>
      <c r="J191" s="21" t="s">
        <v>2717</v>
      </c>
      <c r="K191" s="5814" t="s">
        <v>2718</v>
      </c>
    </row>
    <row r="192" spans="1:11">
      <c r="A192" s="21" t="s">
        <v>2719</v>
      </c>
      <c r="B192" s="21" t="s">
        <v>2720</v>
      </c>
      <c r="C192" s="21" t="s">
        <v>8</v>
      </c>
      <c r="D192" s="21" t="s">
        <v>2</v>
      </c>
      <c r="E192" s="21" t="s">
        <v>9</v>
      </c>
      <c r="F192" s="5812">
        <v>3</v>
      </c>
      <c r="G192" s="5813">
        <v>0.20833333333333334</v>
      </c>
      <c r="H192" s="21" t="s">
        <v>10</v>
      </c>
      <c r="I192" s="21" t="s">
        <v>2721</v>
      </c>
      <c r="J192" s="21" t="s">
        <v>2722</v>
      </c>
      <c r="K192" s="5814" t="s">
        <v>2723</v>
      </c>
    </row>
    <row r="193" spans="1:11">
      <c r="A193" s="21" t="s">
        <v>2724</v>
      </c>
      <c r="B193" s="21" t="s">
        <v>2725</v>
      </c>
      <c r="C193" s="21" t="s">
        <v>8</v>
      </c>
      <c r="D193" s="21" t="s">
        <v>2</v>
      </c>
      <c r="E193" s="21" t="s">
        <v>9</v>
      </c>
      <c r="F193" s="5812">
        <v>3</v>
      </c>
      <c r="G193" s="5813">
        <v>0.20833333333333334</v>
      </c>
      <c r="H193" s="21" t="s">
        <v>10</v>
      </c>
      <c r="I193" s="21" t="s">
        <v>2726</v>
      </c>
      <c r="J193" s="21" t="s">
        <v>2727</v>
      </c>
      <c r="K193" s="5814" t="s">
        <v>2728</v>
      </c>
    </row>
    <row r="194" spans="1:11">
      <c r="A194" s="21" t="s">
        <v>2729</v>
      </c>
      <c r="B194" s="21" t="s">
        <v>2730</v>
      </c>
      <c r="C194" s="21" t="s">
        <v>8</v>
      </c>
      <c r="D194" s="21" t="s">
        <v>2</v>
      </c>
      <c r="E194" s="21" t="s">
        <v>9</v>
      </c>
      <c r="F194" s="5812">
        <v>3</v>
      </c>
      <c r="G194" s="5813">
        <v>0.20833333333333334</v>
      </c>
      <c r="H194" s="21" t="s">
        <v>10</v>
      </c>
      <c r="I194" s="21" t="s">
        <v>2731</v>
      </c>
      <c r="J194" s="21" t="s">
        <v>2732</v>
      </c>
      <c r="K194" s="5814" t="s">
        <v>2733</v>
      </c>
    </row>
    <row r="195" spans="1:11">
      <c r="A195" s="21" t="s">
        <v>2205</v>
      </c>
      <c r="B195" s="21" t="s">
        <v>2734</v>
      </c>
      <c r="C195" s="21" t="s">
        <v>8</v>
      </c>
      <c r="D195" s="21" t="s">
        <v>2</v>
      </c>
      <c r="E195" s="21" t="s">
        <v>9</v>
      </c>
      <c r="F195" s="5812">
        <v>3</v>
      </c>
      <c r="G195" s="5813">
        <v>0.20833333333333334</v>
      </c>
      <c r="H195" s="21" t="s">
        <v>10</v>
      </c>
      <c r="I195" s="21" t="s">
        <v>39</v>
      </c>
      <c r="J195" s="21" t="s">
        <v>2735</v>
      </c>
      <c r="K195" s="5814" t="s">
        <v>2736</v>
      </c>
    </row>
    <row r="196" spans="1:11">
      <c r="A196" s="21" t="s">
        <v>2737</v>
      </c>
      <c r="B196" s="21" t="s">
        <v>2738</v>
      </c>
      <c r="C196" s="21" t="s">
        <v>22</v>
      </c>
      <c r="D196" s="21" t="s">
        <v>2</v>
      </c>
      <c r="E196" s="21" t="s">
        <v>9</v>
      </c>
      <c r="F196" s="5812">
        <v>3</v>
      </c>
      <c r="G196" s="5813">
        <v>0.20833333333333334</v>
      </c>
      <c r="H196" s="21" t="s">
        <v>10</v>
      </c>
      <c r="I196" s="21" t="s">
        <v>226</v>
      </c>
      <c r="J196" s="21" t="s">
        <v>2739</v>
      </c>
      <c r="K196" s="5814" t="s">
        <v>2740</v>
      </c>
    </row>
    <row r="197" spans="1:11">
      <c r="A197" s="21" t="s">
        <v>2741</v>
      </c>
      <c r="B197" s="21" t="s">
        <v>2742</v>
      </c>
      <c r="C197" s="21" t="s">
        <v>22</v>
      </c>
      <c r="D197" s="21" t="s">
        <v>2</v>
      </c>
      <c r="E197" s="21" t="s">
        <v>9</v>
      </c>
      <c r="F197" s="5812">
        <v>3</v>
      </c>
      <c r="G197" s="5813">
        <v>0.20833333333333334</v>
      </c>
      <c r="H197" s="21" t="s">
        <v>10</v>
      </c>
      <c r="I197" s="21" t="s">
        <v>47</v>
      </c>
      <c r="J197" s="21" t="s">
        <v>2743</v>
      </c>
      <c r="K197" s="5814" t="s">
        <v>2744</v>
      </c>
    </row>
    <row r="198" spans="1:11">
      <c r="A198" s="21" t="s">
        <v>2745</v>
      </c>
      <c r="B198" s="21" t="s">
        <v>2746</v>
      </c>
      <c r="C198" s="21" t="s">
        <v>8</v>
      </c>
      <c r="D198" s="21" t="s">
        <v>2</v>
      </c>
      <c r="E198" s="21" t="s">
        <v>9</v>
      </c>
      <c r="F198" s="5812">
        <v>3</v>
      </c>
      <c r="G198" s="5813">
        <v>0.20833333333333334</v>
      </c>
      <c r="H198" s="21" t="s">
        <v>10</v>
      </c>
      <c r="I198" s="21" t="s">
        <v>2747</v>
      </c>
      <c r="J198" s="21" t="s">
        <v>2748</v>
      </c>
      <c r="K198" s="5814" t="s">
        <v>2749</v>
      </c>
    </row>
    <row r="199" spans="1:11">
      <c r="A199" s="21" t="s">
        <v>2212</v>
      </c>
      <c r="B199" s="21" t="s">
        <v>2750</v>
      </c>
      <c r="C199" s="21" t="s">
        <v>22</v>
      </c>
      <c r="D199" s="21" t="s">
        <v>2</v>
      </c>
      <c r="E199" s="21" t="s">
        <v>9</v>
      </c>
      <c r="F199" s="5812">
        <v>3</v>
      </c>
      <c r="G199" s="5813">
        <v>0.20833333333333334</v>
      </c>
      <c r="H199" s="21" t="s">
        <v>10</v>
      </c>
      <c r="I199" s="21" t="s">
        <v>2751</v>
      </c>
      <c r="J199" s="21" t="s">
        <v>2752</v>
      </c>
      <c r="K199" s="5814" t="s">
        <v>2753</v>
      </c>
    </row>
    <row r="200" spans="1:11">
      <c r="A200" s="21" t="s">
        <v>2212</v>
      </c>
      <c r="B200" s="21" t="s">
        <v>2754</v>
      </c>
      <c r="C200" s="21" t="s">
        <v>8</v>
      </c>
      <c r="D200" s="21" t="s">
        <v>2</v>
      </c>
      <c r="E200" s="21" t="s">
        <v>9</v>
      </c>
      <c r="F200" s="5812">
        <v>3</v>
      </c>
      <c r="G200" s="5813">
        <v>0.20833333333333334</v>
      </c>
      <c r="H200" s="21" t="s">
        <v>10</v>
      </c>
      <c r="I200" s="21" t="s">
        <v>2597</v>
      </c>
      <c r="J200" s="21" t="s">
        <v>2755</v>
      </c>
      <c r="K200" s="5814" t="s">
        <v>2756</v>
      </c>
    </row>
    <row r="201" spans="1:11">
      <c r="A201" s="21" t="s">
        <v>2757</v>
      </c>
      <c r="B201" s="21" t="s">
        <v>2758</v>
      </c>
      <c r="C201" s="21" t="s">
        <v>8</v>
      </c>
      <c r="D201" s="21" t="s">
        <v>2</v>
      </c>
      <c r="E201" s="21" t="s">
        <v>9</v>
      </c>
      <c r="F201" s="5812">
        <v>3</v>
      </c>
      <c r="G201" s="5813">
        <v>0.20833333333333334</v>
      </c>
      <c r="H201" s="21" t="s">
        <v>10</v>
      </c>
      <c r="I201" s="21" t="s">
        <v>55</v>
      </c>
      <c r="J201" s="21" t="s">
        <v>2759</v>
      </c>
      <c r="K201" s="5814" t="s">
        <v>2760</v>
      </c>
    </row>
    <row r="202" spans="1:11">
      <c r="A202" s="21" t="s">
        <v>2761</v>
      </c>
      <c r="B202" s="21" t="s">
        <v>2762</v>
      </c>
      <c r="C202" s="21" t="s">
        <v>8</v>
      </c>
      <c r="D202" s="21" t="s">
        <v>2</v>
      </c>
      <c r="E202" s="21" t="s">
        <v>9</v>
      </c>
      <c r="F202" s="5812">
        <v>3</v>
      </c>
      <c r="G202" s="5813">
        <v>0.20833333333333334</v>
      </c>
      <c r="H202" s="21" t="s">
        <v>10</v>
      </c>
      <c r="I202" s="21" t="s">
        <v>2247</v>
      </c>
      <c r="J202" s="21" t="s">
        <v>2763</v>
      </c>
      <c r="K202" s="5814" t="s">
        <v>2764</v>
      </c>
    </row>
    <row r="203" spans="1:11">
      <c r="A203" s="21" t="s">
        <v>2225</v>
      </c>
      <c r="B203" s="21" t="s">
        <v>2765</v>
      </c>
      <c r="C203" s="21" t="s">
        <v>8</v>
      </c>
      <c r="D203" s="21" t="s">
        <v>2</v>
      </c>
      <c r="E203" s="21" t="s">
        <v>9</v>
      </c>
      <c r="F203" s="5812">
        <v>3</v>
      </c>
      <c r="G203" s="5813">
        <v>0.20833333333333334</v>
      </c>
      <c r="H203" s="21" t="s">
        <v>10</v>
      </c>
      <c r="I203" s="21" t="s">
        <v>2297</v>
      </c>
      <c r="J203" s="21" t="s">
        <v>2766</v>
      </c>
      <c r="K203" s="5814" t="s">
        <v>2767</v>
      </c>
    </row>
    <row r="204" spans="1:11">
      <c r="A204" s="21" t="s">
        <v>2768</v>
      </c>
      <c r="B204" s="21" t="s">
        <v>2769</v>
      </c>
      <c r="C204" s="21" t="s">
        <v>8</v>
      </c>
      <c r="D204" s="21" t="s">
        <v>2</v>
      </c>
      <c r="E204" s="21" t="s">
        <v>9</v>
      </c>
      <c r="F204" s="5812">
        <v>3</v>
      </c>
      <c r="G204" s="5813">
        <v>0.20833333333333334</v>
      </c>
      <c r="H204" s="21" t="s">
        <v>10</v>
      </c>
      <c r="I204" s="21" t="s">
        <v>226</v>
      </c>
      <c r="J204" s="21" t="s">
        <v>2770</v>
      </c>
      <c r="K204" s="5814" t="s">
        <v>2771</v>
      </c>
    </row>
    <row r="205" spans="1:11">
      <c r="A205" s="21" t="s">
        <v>2772</v>
      </c>
      <c r="B205" s="21" t="s">
        <v>2773</v>
      </c>
      <c r="C205" s="21" t="s">
        <v>8</v>
      </c>
      <c r="D205" s="21" t="s">
        <v>2</v>
      </c>
      <c r="E205" s="21" t="s">
        <v>9</v>
      </c>
      <c r="F205" s="5812">
        <v>3</v>
      </c>
      <c r="G205" s="5813">
        <v>0.20833333333333334</v>
      </c>
      <c r="H205" s="21" t="s">
        <v>10</v>
      </c>
      <c r="I205" s="21" t="s">
        <v>2713</v>
      </c>
      <c r="J205" s="21" t="s">
        <v>2774</v>
      </c>
      <c r="K205" s="5814" t="s">
        <v>2775</v>
      </c>
    </row>
    <row r="206" spans="1:11">
      <c r="A206" s="21" t="s">
        <v>2776</v>
      </c>
      <c r="B206" s="21" t="s">
        <v>2777</v>
      </c>
      <c r="C206" s="21" t="s">
        <v>8</v>
      </c>
      <c r="D206" s="21" t="s">
        <v>2</v>
      </c>
      <c r="E206" s="21" t="s">
        <v>9</v>
      </c>
      <c r="F206" s="5812">
        <v>3</v>
      </c>
      <c r="G206" s="5813">
        <v>0.20833333333333334</v>
      </c>
      <c r="H206" s="21" t="s">
        <v>10</v>
      </c>
      <c r="I206" s="21" t="s">
        <v>2260</v>
      </c>
      <c r="J206" s="21" t="s">
        <v>2778</v>
      </c>
      <c r="K206" s="5814" t="s">
        <v>2779</v>
      </c>
    </row>
    <row r="207" spans="1:11">
      <c r="A207" s="21" t="s">
        <v>2780</v>
      </c>
      <c r="B207" s="21" t="s">
        <v>2781</v>
      </c>
      <c r="C207" s="21" t="s">
        <v>8</v>
      </c>
      <c r="D207" s="21" t="s">
        <v>2</v>
      </c>
      <c r="E207" s="21" t="s">
        <v>9</v>
      </c>
      <c r="F207" s="5812">
        <v>3</v>
      </c>
      <c r="G207" s="5813">
        <v>0.20833333333333334</v>
      </c>
      <c r="H207" s="21" t="s">
        <v>10</v>
      </c>
      <c r="I207" s="21" t="s">
        <v>55</v>
      </c>
      <c r="J207" s="21" t="s">
        <v>2782</v>
      </c>
      <c r="K207" s="5814" t="s">
        <v>2783</v>
      </c>
    </row>
    <row r="208" spans="1:11">
      <c r="A208" s="21" t="s">
        <v>2784</v>
      </c>
      <c r="B208" s="21" t="s">
        <v>2785</v>
      </c>
      <c r="C208" s="21" t="s">
        <v>8</v>
      </c>
      <c r="D208" s="21" t="s">
        <v>2</v>
      </c>
      <c r="E208" s="21" t="s">
        <v>9</v>
      </c>
      <c r="F208" s="5812">
        <v>3</v>
      </c>
      <c r="G208" s="5813">
        <v>0.20833333333333334</v>
      </c>
      <c r="H208" s="21" t="s">
        <v>10</v>
      </c>
      <c r="I208" s="21" t="s">
        <v>2247</v>
      </c>
      <c r="J208" s="21" t="s">
        <v>2786</v>
      </c>
      <c r="K208" s="5814" t="s">
        <v>2787</v>
      </c>
    </row>
    <row r="209" spans="1:11">
      <c r="A209" s="21" t="s">
        <v>2788</v>
      </c>
      <c r="B209" s="21" t="s">
        <v>2789</v>
      </c>
      <c r="C209" s="21" t="s">
        <v>22</v>
      </c>
      <c r="D209" s="21" t="s">
        <v>2</v>
      </c>
      <c r="E209" s="21" t="s">
        <v>9</v>
      </c>
      <c r="F209" s="5812">
        <v>3</v>
      </c>
      <c r="G209" s="5813">
        <v>0.20833333333333334</v>
      </c>
      <c r="H209" s="21" t="s">
        <v>10</v>
      </c>
      <c r="I209" s="21" t="s">
        <v>2747</v>
      </c>
      <c r="J209" s="21" t="s">
        <v>2790</v>
      </c>
      <c r="K209" s="5814" t="s">
        <v>2791</v>
      </c>
    </row>
    <row r="210" spans="1:11">
      <c r="A210" s="21" t="s">
        <v>2792</v>
      </c>
      <c r="B210" s="21" t="s">
        <v>2793</v>
      </c>
      <c r="C210" s="21" t="s">
        <v>8</v>
      </c>
      <c r="D210" s="21" t="s">
        <v>2</v>
      </c>
      <c r="E210" s="21" t="s">
        <v>9</v>
      </c>
      <c r="F210" s="5812">
        <v>3</v>
      </c>
      <c r="G210" s="5813">
        <v>0.20833333333333334</v>
      </c>
      <c r="H210" s="21" t="s">
        <v>10</v>
      </c>
      <c r="I210" s="21" t="s">
        <v>2247</v>
      </c>
      <c r="J210" s="21" t="s">
        <v>2794</v>
      </c>
      <c r="K210" s="5814" t="s">
        <v>2795</v>
      </c>
    </row>
    <row r="211" spans="1:11">
      <c r="A211" s="21" t="s">
        <v>2796</v>
      </c>
      <c r="B211" s="21" t="s">
        <v>2797</v>
      </c>
      <c r="C211" s="21" t="s">
        <v>8</v>
      </c>
      <c r="D211" s="21" t="s">
        <v>2</v>
      </c>
      <c r="E211" s="21" t="s">
        <v>9</v>
      </c>
      <c r="F211" s="5812">
        <v>3</v>
      </c>
      <c r="G211" s="5813">
        <v>0.20833333333333334</v>
      </c>
      <c r="H211" s="21" t="s">
        <v>10</v>
      </c>
      <c r="I211" s="21" t="s">
        <v>55</v>
      </c>
      <c r="J211" s="21" t="s">
        <v>2798</v>
      </c>
      <c r="K211" s="5814" t="s">
        <v>2799</v>
      </c>
    </row>
    <row r="212" spans="1:11">
      <c r="A212" s="21" t="s">
        <v>2800</v>
      </c>
      <c r="B212" s="21" t="s">
        <v>2801</v>
      </c>
      <c r="C212" s="21" t="s">
        <v>8</v>
      </c>
      <c r="D212" s="21" t="s">
        <v>2</v>
      </c>
      <c r="E212" s="21" t="s">
        <v>9</v>
      </c>
      <c r="F212" s="5812">
        <v>3</v>
      </c>
      <c r="G212" s="5813">
        <v>0.20833333333333334</v>
      </c>
      <c r="H212" s="21" t="s">
        <v>10</v>
      </c>
      <c r="I212" s="21" t="s">
        <v>55</v>
      </c>
      <c r="J212" s="21" t="s">
        <v>2802</v>
      </c>
      <c r="K212" s="5814" t="s">
        <v>2803</v>
      </c>
    </row>
    <row r="213" spans="1:11">
      <c r="A213" s="21" t="s">
        <v>2804</v>
      </c>
      <c r="B213" s="21" t="s">
        <v>2805</v>
      </c>
      <c r="C213" s="21" t="s">
        <v>8</v>
      </c>
      <c r="D213" s="21" t="s">
        <v>2</v>
      </c>
      <c r="E213" s="21" t="s">
        <v>9</v>
      </c>
      <c r="F213" s="5812">
        <v>3</v>
      </c>
      <c r="G213" s="5813">
        <v>0.20833333333333334</v>
      </c>
      <c r="H213" s="21" t="s">
        <v>10</v>
      </c>
      <c r="I213" s="21" t="s">
        <v>2297</v>
      </c>
      <c r="J213" s="21" t="s">
        <v>2806</v>
      </c>
      <c r="K213" s="5814" t="s">
        <v>2807</v>
      </c>
    </row>
    <row r="214" spans="1:11">
      <c r="A214" s="21" t="s">
        <v>2808</v>
      </c>
      <c r="B214" s="21" t="s">
        <v>2809</v>
      </c>
      <c r="C214" s="21" t="s">
        <v>22</v>
      </c>
      <c r="D214" s="21" t="s">
        <v>2</v>
      </c>
      <c r="E214" s="21" t="s">
        <v>9</v>
      </c>
      <c r="F214" s="5812">
        <v>3</v>
      </c>
      <c r="G214" s="5813">
        <v>0.20833333333333334</v>
      </c>
      <c r="H214" s="21" t="s">
        <v>10</v>
      </c>
      <c r="I214" s="21" t="s">
        <v>400</v>
      </c>
      <c r="J214" s="21" t="s">
        <v>2810</v>
      </c>
      <c r="K214" s="5814" t="s">
        <v>2811</v>
      </c>
    </row>
    <row r="215" spans="1:11">
      <c r="A215" s="21" t="s">
        <v>2812</v>
      </c>
      <c r="B215" s="21" t="s">
        <v>2813</v>
      </c>
      <c r="C215" s="21" t="s">
        <v>8</v>
      </c>
      <c r="D215" s="21" t="s">
        <v>2</v>
      </c>
      <c r="E215" s="21" t="s">
        <v>9</v>
      </c>
      <c r="F215" s="5812">
        <v>3</v>
      </c>
      <c r="G215" s="5813">
        <v>0.20833333333333334</v>
      </c>
      <c r="H215" s="21" t="s">
        <v>10</v>
      </c>
      <c r="I215" s="21" t="s">
        <v>2814</v>
      </c>
      <c r="J215" s="21" t="s">
        <v>2815</v>
      </c>
      <c r="K215" s="5814" t="s">
        <v>2816</v>
      </c>
    </row>
    <row r="216" spans="1:11">
      <c r="A216" s="21" t="s">
        <v>2817</v>
      </c>
      <c r="B216" s="21" t="s">
        <v>2818</v>
      </c>
      <c r="C216" s="21" t="s">
        <v>8</v>
      </c>
      <c r="D216" s="21" t="s">
        <v>2</v>
      </c>
      <c r="E216" s="21" t="s">
        <v>9</v>
      </c>
      <c r="F216" s="5812">
        <v>3</v>
      </c>
      <c r="G216" s="5813">
        <v>0.20833333333333334</v>
      </c>
      <c r="H216" s="21" t="s">
        <v>10</v>
      </c>
      <c r="I216" s="21" t="s">
        <v>788</v>
      </c>
      <c r="J216" s="21" t="s">
        <v>2819</v>
      </c>
      <c r="K216" s="5814" t="s">
        <v>2820</v>
      </c>
    </row>
    <row r="217" spans="1:11">
      <c r="A217" s="21" t="s">
        <v>2075</v>
      </c>
      <c r="B217" s="21" t="s">
        <v>2821</v>
      </c>
      <c r="C217" s="21" t="s">
        <v>8</v>
      </c>
      <c r="D217" s="21" t="s">
        <v>2</v>
      </c>
      <c r="E217" s="21" t="s">
        <v>9</v>
      </c>
      <c r="F217" s="5812">
        <v>3</v>
      </c>
      <c r="G217" s="5813">
        <v>0.20833333333333334</v>
      </c>
      <c r="H217" s="21" t="s">
        <v>10</v>
      </c>
      <c r="I217" s="21" t="s">
        <v>73</v>
      </c>
      <c r="J217" s="21" t="s">
        <v>2822</v>
      </c>
      <c r="K217" s="5814" t="s">
        <v>2823</v>
      </c>
    </row>
    <row r="218" spans="1:11">
      <c r="A218" s="21" t="s">
        <v>2824</v>
      </c>
      <c r="B218" s="21" t="s">
        <v>2825</v>
      </c>
      <c r="C218" s="21" t="s">
        <v>22</v>
      </c>
      <c r="D218" s="21" t="s">
        <v>2</v>
      </c>
      <c r="E218" s="21" t="s">
        <v>9</v>
      </c>
      <c r="F218" s="5812">
        <v>3</v>
      </c>
      <c r="G218" s="5813">
        <v>0.20833333333333334</v>
      </c>
      <c r="H218" s="21" t="s">
        <v>10</v>
      </c>
      <c r="I218" s="21" t="s">
        <v>263</v>
      </c>
      <c r="J218" s="21" t="s">
        <v>2532</v>
      </c>
      <c r="K218" s="5814" t="s">
        <v>2826</v>
      </c>
    </row>
    <row r="219" spans="1:11">
      <c r="A219" s="21" t="s">
        <v>2827</v>
      </c>
      <c r="B219" s="21" t="s">
        <v>2828</v>
      </c>
      <c r="C219" s="21" t="s">
        <v>8</v>
      </c>
      <c r="D219" s="21" t="s">
        <v>2</v>
      </c>
      <c r="E219" s="21" t="s">
        <v>9</v>
      </c>
      <c r="F219" s="5812">
        <v>3</v>
      </c>
      <c r="G219" s="5813">
        <v>0.20833333333333334</v>
      </c>
      <c r="H219" s="21" t="s">
        <v>10</v>
      </c>
      <c r="I219" s="21" t="s">
        <v>2313</v>
      </c>
      <c r="J219" s="21" t="s">
        <v>2829</v>
      </c>
      <c r="K219" s="5814" t="s">
        <v>2830</v>
      </c>
    </row>
    <row r="220" spans="1:11">
      <c r="A220" s="21" t="s">
        <v>2831</v>
      </c>
      <c r="B220" s="21" t="s">
        <v>2832</v>
      </c>
      <c r="C220" s="21" t="s">
        <v>22</v>
      </c>
      <c r="D220" s="21" t="s">
        <v>2</v>
      </c>
      <c r="E220" s="21" t="s">
        <v>9</v>
      </c>
      <c r="F220" s="5812">
        <v>3</v>
      </c>
      <c r="G220" s="5813">
        <v>0.20833333333333334</v>
      </c>
      <c r="H220" s="21" t="s">
        <v>10</v>
      </c>
      <c r="I220" s="21" t="s">
        <v>2171</v>
      </c>
      <c r="J220" s="21" t="s">
        <v>2833</v>
      </c>
      <c r="K220" s="5814" t="s">
        <v>2834</v>
      </c>
    </row>
    <row r="221" spans="1:11">
      <c r="A221" s="21" t="s">
        <v>2835</v>
      </c>
      <c r="B221" s="21" t="s">
        <v>2836</v>
      </c>
      <c r="C221" s="21" t="s">
        <v>8</v>
      </c>
      <c r="D221" s="21" t="s">
        <v>2</v>
      </c>
      <c r="E221" s="21" t="s">
        <v>9</v>
      </c>
      <c r="F221" s="5812">
        <v>3</v>
      </c>
      <c r="G221" s="5813">
        <v>0.20833333333333334</v>
      </c>
      <c r="H221" s="21" t="s">
        <v>10</v>
      </c>
      <c r="I221" s="21" t="s">
        <v>39</v>
      </c>
      <c r="J221" s="21" t="s">
        <v>2837</v>
      </c>
      <c r="K221" s="5814" t="s">
        <v>2838</v>
      </c>
    </row>
    <row r="222" spans="1:11">
      <c r="A222" s="21" t="s">
        <v>2839</v>
      </c>
      <c r="B222" s="21" t="s">
        <v>2840</v>
      </c>
      <c r="C222" s="21" t="s">
        <v>8</v>
      </c>
      <c r="D222" s="21" t="s">
        <v>2</v>
      </c>
      <c r="E222" s="21" t="s">
        <v>9</v>
      </c>
      <c r="F222" s="5812">
        <v>3</v>
      </c>
      <c r="G222" s="5813">
        <v>0.20833333333333334</v>
      </c>
      <c r="H222" s="21" t="s">
        <v>10</v>
      </c>
      <c r="I222" s="21" t="s">
        <v>187</v>
      </c>
      <c r="J222" s="21" t="s">
        <v>2841</v>
      </c>
      <c r="K222" s="5814" t="s">
        <v>2842</v>
      </c>
    </row>
    <row r="223" spans="1:11">
      <c r="A223" s="21" t="s">
        <v>2258</v>
      </c>
      <c r="B223" s="21" t="s">
        <v>2843</v>
      </c>
      <c r="C223" s="21" t="s">
        <v>8</v>
      </c>
      <c r="D223" s="21" t="s">
        <v>2</v>
      </c>
      <c r="E223" s="21" t="s">
        <v>9</v>
      </c>
      <c r="F223" s="5812">
        <v>3</v>
      </c>
      <c r="G223" s="5813">
        <v>0.20833333333333334</v>
      </c>
      <c r="H223" s="21" t="s">
        <v>10</v>
      </c>
      <c r="I223" s="21"/>
      <c r="J223" s="21" t="s">
        <v>2844</v>
      </c>
      <c r="K223" s="5814" t="s">
        <v>2845</v>
      </c>
    </row>
    <row r="224" spans="1:11">
      <c r="A224" s="21" t="s">
        <v>2846</v>
      </c>
      <c r="B224" s="21" t="s">
        <v>2847</v>
      </c>
      <c r="C224" s="21" t="s">
        <v>22</v>
      </c>
      <c r="D224" s="21" t="s">
        <v>2</v>
      </c>
      <c r="E224" s="21" t="s">
        <v>9</v>
      </c>
      <c r="F224" s="5812">
        <v>3</v>
      </c>
      <c r="G224" s="5813">
        <v>0.20833333333333334</v>
      </c>
      <c r="H224" s="21" t="s">
        <v>10</v>
      </c>
      <c r="I224" s="21" t="s">
        <v>2721</v>
      </c>
      <c r="J224" s="21" t="s">
        <v>2848</v>
      </c>
      <c r="K224" s="5814" t="s">
        <v>2849</v>
      </c>
    </row>
    <row r="225" spans="1:11">
      <c r="A225" s="21" t="s">
        <v>2850</v>
      </c>
      <c r="B225" s="21" t="s">
        <v>2851</v>
      </c>
      <c r="C225" s="21" t="s">
        <v>8</v>
      </c>
      <c r="D225" s="21" t="s">
        <v>2</v>
      </c>
      <c r="E225" s="21" t="s">
        <v>9</v>
      </c>
      <c r="F225" s="5812">
        <v>3</v>
      </c>
      <c r="G225" s="5813">
        <v>0.20833333333333334</v>
      </c>
      <c r="H225" s="21" t="s">
        <v>10</v>
      </c>
      <c r="I225" s="21" t="s">
        <v>47</v>
      </c>
      <c r="J225" s="21" t="s">
        <v>2852</v>
      </c>
      <c r="K225" s="5814" t="s">
        <v>2853</v>
      </c>
    </row>
    <row r="226" spans="1:11">
      <c r="A226" s="21" t="s">
        <v>2854</v>
      </c>
      <c r="B226" s="21" t="s">
        <v>2855</v>
      </c>
      <c r="C226" s="21" t="s">
        <v>8</v>
      </c>
      <c r="D226" s="21" t="s">
        <v>2</v>
      </c>
      <c r="E226" s="21" t="s">
        <v>9</v>
      </c>
      <c r="F226" s="5812">
        <v>3</v>
      </c>
      <c r="G226" s="5813">
        <v>0.20833333333333334</v>
      </c>
      <c r="H226" s="21" t="s">
        <v>10</v>
      </c>
      <c r="I226" s="21" t="s">
        <v>226</v>
      </c>
      <c r="J226" s="21" t="s">
        <v>2856</v>
      </c>
      <c r="K226" s="5814" t="s">
        <v>2857</v>
      </c>
    </row>
    <row r="227" spans="1:11">
      <c r="A227" s="21" t="s">
        <v>2858</v>
      </c>
      <c r="B227" s="21" t="s">
        <v>2859</v>
      </c>
      <c r="C227" s="21" t="s">
        <v>8</v>
      </c>
      <c r="D227" s="21" t="s">
        <v>2</v>
      </c>
      <c r="E227" s="21" t="s">
        <v>9</v>
      </c>
      <c r="F227" s="5812">
        <v>3</v>
      </c>
      <c r="G227" s="5813">
        <v>0.20833333333333334</v>
      </c>
      <c r="H227" s="21" t="s">
        <v>10</v>
      </c>
      <c r="I227" s="21" t="s">
        <v>2860</v>
      </c>
      <c r="J227" s="21" t="s">
        <v>2861</v>
      </c>
      <c r="K227" s="5814" t="s">
        <v>2862</v>
      </c>
    </row>
    <row r="228" spans="1:11">
      <c r="A228" s="21" t="s">
        <v>2863</v>
      </c>
      <c r="B228" s="21" t="s">
        <v>2864</v>
      </c>
      <c r="C228" s="21" t="s">
        <v>8</v>
      </c>
      <c r="D228" s="21" t="s">
        <v>2</v>
      </c>
      <c r="E228" s="21" t="s">
        <v>9</v>
      </c>
      <c r="F228" s="5812">
        <v>3</v>
      </c>
      <c r="G228" s="5813">
        <v>0.20833333333333334</v>
      </c>
      <c r="H228" s="21" t="s">
        <v>10</v>
      </c>
      <c r="I228" s="21" t="s">
        <v>233</v>
      </c>
      <c r="J228" s="21" t="s">
        <v>2865</v>
      </c>
      <c r="K228" s="5814" t="s">
        <v>2866</v>
      </c>
    </row>
    <row r="229" spans="1:11">
      <c r="A229" s="21" t="s">
        <v>2863</v>
      </c>
      <c r="B229" s="21" t="s">
        <v>2867</v>
      </c>
      <c r="C229" s="21" t="s">
        <v>22</v>
      </c>
      <c r="D229" s="21" t="s">
        <v>2</v>
      </c>
      <c r="E229" s="21" t="s">
        <v>9</v>
      </c>
      <c r="F229" s="5812">
        <v>3</v>
      </c>
      <c r="G229" s="5813">
        <v>0.20833333333333334</v>
      </c>
      <c r="H229" s="21" t="s">
        <v>10</v>
      </c>
      <c r="I229" s="21" t="s">
        <v>233</v>
      </c>
      <c r="J229" s="21" t="s">
        <v>2868</v>
      </c>
      <c r="K229" s="5814" t="s">
        <v>2869</v>
      </c>
    </row>
    <row r="230" spans="1:11">
      <c r="A230" s="21" t="s">
        <v>2870</v>
      </c>
      <c r="B230" s="21" t="s">
        <v>2871</v>
      </c>
      <c r="C230" s="21" t="s">
        <v>22</v>
      </c>
      <c r="D230" s="21" t="s">
        <v>2</v>
      </c>
      <c r="E230" s="21" t="s">
        <v>9</v>
      </c>
      <c r="F230" s="5812">
        <v>3</v>
      </c>
      <c r="G230" s="5813">
        <v>0.20833333333333334</v>
      </c>
      <c r="H230" s="21" t="s">
        <v>10</v>
      </c>
      <c r="I230" s="21" t="s">
        <v>2872</v>
      </c>
      <c r="J230" s="21" t="s">
        <v>2873</v>
      </c>
      <c r="K230" s="5814" t="s">
        <v>2874</v>
      </c>
    </row>
    <row r="231" spans="1:11">
      <c r="A231" s="21" t="s">
        <v>2280</v>
      </c>
      <c r="B231" s="21" t="s">
        <v>2875</v>
      </c>
      <c r="C231" s="21" t="s">
        <v>22</v>
      </c>
      <c r="D231" s="21" t="s">
        <v>2</v>
      </c>
      <c r="E231" s="21" t="s">
        <v>9</v>
      </c>
      <c r="F231" s="5812">
        <v>3</v>
      </c>
      <c r="G231" s="5813">
        <v>0.20833333333333334</v>
      </c>
      <c r="H231" s="21" t="s">
        <v>10</v>
      </c>
      <c r="I231" s="21" t="s">
        <v>55</v>
      </c>
      <c r="J231" s="21" t="s">
        <v>2876</v>
      </c>
      <c r="K231" s="5814" t="s">
        <v>2877</v>
      </c>
    </row>
    <row r="232" spans="1:11">
      <c r="A232" s="21" t="s">
        <v>2878</v>
      </c>
      <c r="B232" s="21" t="s">
        <v>2879</v>
      </c>
      <c r="C232" s="21" t="s">
        <v>22</v>
      </c>
      <c r="D232" s="21" t="s">
        <v>2</v>
      </c>
      <c r="E232" s="21" t="s">
        <v>9</v>
      </c>
      <c r="F232" s="5812">
        <v>3</v>
      </c>
      <c r="G232" s="5813">
        <v>0.20833333333333334</v>
      </c>
      <c r="H232" s="21" t="s">
        <v>10</v>
      </c>
      <c r="I232" s="21" t="s">
        <v>55</v>
      </c>
      <c r="J232" s="21" t="s">
        <v>2880</v>
      </c>
      <c r="K232" s="5814" t="s">
        <v>2881</v>
      </c>
    </row>
    <row r="233" spans="1:11">
      <c r="A233" s="21" t="s">
        <v>2882</v>
      </c>
      <c r="B233" s="21" t="s">
        <v>2883</v>
      </c>
      <c r="C233" s="21" t="s">
        <v>8</v>
      </c>
      <c r="D233" s="21" t="s">
        <v>2</v>
      </c>
      <c r="E233" s="21" t="s">
        <v>9</v>
      </c>
      <c r="F233" s="5812">
        <v>3</v>
      </c>
      <c r="G233" s="5813">
        <v>0.20833333333333334</v>
      </c>
      <c r="H233" s="21" t="s">
        <v>10</v>
      </c>
      <c r="I233" s="21" t="s">
        <v>23</v>
      </c>
      <c r="J233" s="21" t="s">
        <v>2884</v>
      </c>
      <c r="K233" s="5814" t="s">
        <v>2885</v>
      </c>
    </row>
    <row r="234" spans="1:11">
      <c r="A234" s="21" t="s">
        <v>2886</v>
      </c>
      <c r="B234" s="21" t="s">
        <v>2887</v>
      </c>
      <c r="C234" s="21" t="s">
        <v>22</v>
      </c>
      <c r="D234" s="21" t="s">
        <v>2</v>
      </c>
      <c r="E234" s="21" t="s">
        <v>9</v>
      </c>
      <c r="F234" s="5812">
        <v>3</v>
      </c>
      <c r="G234" s="5813">
        <v>0.20833333333333334</v>
      </c>
      <c r="H234" s="21" t="s">
        <v>10</v>
      </c>
      <c r="I234" s="21" t="s">
        <v>2297</v>
      </c>
      <c r="J234" s="21" t="s">
        <v>2888</v>
      </c>
      <c r="K234" s="5814" t="s">
        <v>2889</v>
      </c>
    </row>
    <row r="235" spans="1:11">
      <c r="A235" s="21" t="s">
        <v>52</v>
      </c>
      <c r="B235" s="21" t="s">
        <v>53</v>
      </c>
      <c r="C235" s="21" t="s">
        <v>8</v>
      </c>
      <c r="D235" s="21" t="s">
        <v>2</v>
      </c>
      <c r="E235" s="21" t="s">
        <v>9</v>
      </c>
      <c r="F235" s="5812">
        <v>5</v>
      </c>
      <c r="G235" s="5813">
        <v>0.20833333333333334</v>
      </c>
      <c r="H235" s="21" t="s">
        <v>54</v>
      </c>
      <c r="I235" s="21" t="s">
        <v>55</v>
      </c>
      <c r="J235" s="21" t="s">
        <v>56</v>
      </c>
      <c r="K235" s="5814" t="s">
        <v>57</v>
      </c>
    </row>
    <row r="236" spans="1:11">
      <c r="A236" s="21" t="s">
        <v>2088</v>
      </c>
      <c r="B236" s="21" t="s">
        <v>2890</v>
      </c>
      <c r="C236" s="21" t="s">
        <v>22</v>
      </c>
      <c r="D236" s="21" t="s">
        <v>2</v>
      </c>
      <c r="E236" s="21" t="s">
        <v>9</v>
      </c>
      <c r="F236" s="5812">
        <v>5</v>
      </c>
      <c r="G236" s="5813">
        <v>0.20833333333333334</v>
      </c>
      <c r="H236" s="21" t="s">
        <v>54</v>
      </c>
      <c r="I236" s="21" t="s">
        <v>55</v>
      </c>
      <c r="J236" s="21" t="s">
        <v>2891</v>
      </c>
      <c r="K236" s="5814" t="s">
        <v>2892</v>
      </c>
    </row>
    <row r="237" spans="1:11">
      <c r="A237" s="21" t="s">
        <v>2893</v>
      </c>
      <c r="B237" s="21" t="s">
        <v>2894</v>
      </c>
      <c r="C237" s="21" t="s">
        <v>22</v>
      </c>
      <c r="D237" s="21" t="s">
        <v>2</v>
      </c>
      <c r="E237" s="21" t="s">
        <v>9</v>
      </c>
      <c r="F237" s="5812">
        <v>5</v>
      </c>
      <c r="G237" s="5813">
        <v>0.20833333333333334</v>
      </c>
      <c r="H237" s="21" t="s">
        <v>54</v>
      </c>
      <c r="I237" s="21" t="s">
        <v>96</v>
      </c>
      <c r="J237" s="21" t="s">
        <v>2895</v>
      </c>
      <c r="K237" s="5814" t="s">
        <v>2896</v>
      </c>
    </row>
    <row r="238" spans="1:11">
      <c r="A238" s="21" t="s">
        <v>2897</v>
      </c>
      <c r="B238" s="21" t="s">
        <v>2898</v>
      </c>
      <c r="C238" s="21" t="s">
        <v>22</v>
      </c>
      <c r="D238" s="21" t="s">
        <v>2</v>
      </c>
      <c r="E238" s="21" t="s">
        <v>9</v>
      </c>
      <c r="F238" s="5812">
        <v>5</v>
      </c>
      <c r="G238" s="5813">
        <v>0.20833333333333334</v>
      </c>
      <c r="H238" s="21" t="s">
        <v>54</v>
      </c>
      <c r="I238" s="21" t="s">
        <v>11</v>
      </c>
      <c r="J238" s="21" t="s">
        <v>2899</v>
      </c>
      <c r="K238" s="5814" t="s">
        <v>2900</v>
      </c>
    </row>
    <row r="239" spans="1:11">
      <c r="A239" s="21" t="s">
        <v>2901</v>
      </c>
      <c r="B239" s="21" t="s">
        <v>2902</v>
      </c>
      <c r="C239" s="21" t="s">
        <v>8</v>
      </c>
      <c r="D239" s="21" t="s">
        <v>2</v>
      </c>
      <c r="E239" s="21" t="s">
        <v>9</v>
      </c>
      <c r="F239" s="5812">
        <v>5</v>
      </c>
      <c r="G239" s="5813">
        <v>0.20833333333333334</v>
      </c>
      <c r="H239" s="21" t="s">
        <v>54</v>
      </c>
      <c r="I239" s="21" t="s">
        <v>55</v>
      </c>
      <c r="J239" s="21" t="s">
        <v>2903</v>
      </c>
      <c r="K239" s="5814" t="s">
        <v>2904</v>
      </c>
    </row>
    <row r="240" spans="1:11">
      <c r="A240" s="21" t="s">
        <v>2905</v>
      </c>
      <c r="B240" s="21" t="s">
        <v>2906</v>
      </c>
      <c r="C240" s="21" t="s">
        <v>8</v>
      </c>
      <c r="D240" s="21" t="s">
        <v>2</v>
      </c>
      <c r="E240" s="21" t="s">
        <v>46</v>
      </c>
      <c r="F240" s="5812">
        <v>1</v>
      </c>
      <c r="G240" s="5813">
        <v>1.4583333333333334E-2</v>
      </c>
      <c r="H240" s="21" t="s">
        <v>10</v>
      </c>
      <c r="I240" s="21" t="s">
        <v>226</v>
      </c>
      <c r="J240" s="21" t="s">
        <v>406</v>
      </c>
      <c r="K240" s="5814" t="s">
        <v>2907</v>
      </c>
    </row>
    <row r="241" spans="1:11">
      <c r="A241" s="21" t="s">
        <v>2626</v>
      </c>
      <c r="B241" s="21" t="s">
        <v>2908</v>
      </c>
      <c r="C241" s="21" t="s">
        <v>22</v>
      </c>
      <c r="D241" s="21" t="s">
        <v>2</v>
      </c>
      <c r="E241" s="21" t="s">
        <v>46</v>
      </c>
      <c r="F241" s="5812">
        <v>1</v>
      </c>
      <c r="G241" s="5813">
        <v>1.7361111111111112E-2</v>
      </c>
      <c r="H241" s="21" t="s">
        <v>10</v>
      </c>
      <c r="I241" s="21" t="s">
        <v>2692</v>
      </c>
      <c r="J241" s="21" t="s">
        <v>48</v>
      </c>
      <c r="K241" s="5814" t="s">
        <v>2909</v>
      </c>
    </row>
    <row r="242" spans="1:11">
      <c r="A242" s="21" t="s">
        <v>2910</v>
      </c>
      <c r="B242" s="21" t="s">
        <v>2911</v>
      </c>
      <c r="C242" s="21" t="s">
        <v>8</v>
      </c>
      <c r="D242" s="21" t="s">
        <v>2</v>
      </c>
      <c r="E242" s="21" t="s">
        <v>46</v>
      </c>
      <c r="F242" s="5812">
        <v>1</v>
      </c>
      <c r="G242" s="5813">
        <v>1.9444444444444445E-2</v>
      </c>
      <c r="H242" s="21" t="s">
        <v>10</v>
      </c>
      <c r="I242" s="21" t="s">
        <v>11</v>
      </c>
      <c r="J242" s="21" t="s">
        <v>154</v>
      </c>
      <c r="K242" s="5814" t="s">
        <v>2912</v>
      </c>
    </row>
    <row r="243" spans="1:11">
      <c r="A243" s="21" t="s">
        <v>2547</v>
      </c>
      <c r="B243" s="21" t="s">
        <v>2913</v>
      </c>
      <c r="C243" s="21" t="s">
        <v>8</v>
      </c>
      <c r="D243" s="21" t="s">
        <v>2</v>
      </c>
      <c r="E243" s="21" t="s">
        <v>46</v>
      </c>
      <c r="F243" s="5812">
        <v>1</v>
      </c>
      <c r="G243" s="5813">
        <v>2.2222222222222223E-2</v>
      </c>
      <c r="H243" s="21" t="s">
        <v>10</v>
      </c>
      <c r="I243" s="21" t="s">
        <v>55</v>
      </c>
      <c r="J243" s="21" t="s">
        <v>48</v>
      </c>
      <c r="K243" s="5814" t="s">
        <v>2914</v>
      </c>
    </row>
    <row r="244" spans="1:11">
      <c r="A244" s="21" t="s">
        <v>2915</v>
      </c>
      <c r="B244" s="21" t="s">
        <v>2916</v>
      </c>
      <c r="C244" s="21" t="s">
        <v>22</v>
      </c>
      <c r="D244" s="21" t="s">
        <v>2</v>
      </c>
      <c r="E244" s="21" t="s">
        <v>46</v>
      </c>
      <c r="F244" s="5812">
        <v>1</v>
      </c>
      <c r="G244" s="5813">
        <v>2.2916666666666665E-2</v>
      </c>
      <c r="H244" s="21" t="s">
        <v>54</v>
      </c>
      <c r="I244" s="21" t="s">
        <v>226</v>
      </c>
      <c r="J244" s="21" t="s">
        <v>722</v>
      </c>
      <c r="K244" s="5814" t="s">
        <v>2917</v>
      </c>
    </row>
    <row r="245" spans="1:11">
      <c r="A245" s="21" t="s">
        <v>2918</v>
      </c>
      <c r="B245" s="21" t="s">
        <v>2919</v>
      </c>
      <c r="C245" s="21" t="s">
        <v>22</v>
      </c>
      <c r="D245" s="21" t="s">
        <v>2</v>
      </c>
      <c r="E245" s="21" t="s">
        <v>46</v>
      </c>
      <c r="F245" s="5812">
        <v>1</v>
      </c>
      <c r="G245" s="5813">
        <v>2.2916666666666665E-2</v>
      </c>
      <c r="H245" s="21" t="s">
        <v>2081</v>
      </c>
      <c r="I245" s="21" t="s">
        <v>11</v>
      </c>
      <c r="J245" s="21" t="s">
        <v>48</v>
      </c>
      <c r="K245" s="5814" t="s">
        <v>2920</v>
      </c>
    </row>
    <row r="246" spans="1:11">
      <c r="A246" s="21" t="s">
        <v>2921</v>
      </c>
      <c r="B246" s="21" t="s">
        <v>2922</v>
      </c>
      <c r="C246" s="21" t="s">
        <v>8</v>
      </c>
      <c r="D246" s="21" t="s">
        <v>2</v>
      </c>
      <c r="E246" s="21" t="s">
        <v>46</v>
      </c>
      <c r="F246" s="5812">
        <v>1</v>
      </c>
      <c r="G246" s="5813">
        <v>2.5694444444444443E-2</v>
      </c>
      <c r="H246" s="21" t="s">
        <v>10</v>
      </c>
      <c r="I246" s="21" t="s">
        <v>2923</v>
      </c>
      <c r="J246" s="21" t="s">
        <v>1076</v>
      </c>
      <c r="K246" s="5814" t="s">
        <v>2924</v>
      </c>
    </row>
    <row r="247" spans="1:11">
      <c r="A247" s="21" t="s">
        <v>2131</v>
      </c>
      <c r="B247" s="21" t="s">
        <v>2925</v>
      </c>
      <c r="C247" s="21" t="s">
        <v>22</v>
      </c>
      <c r="D247" s="21" t="s">
        <v>2</v>
      </c>
      <c r="E247" s="21" t="s">
        <v>46</v>
      </c>
      <c r="F247" s="5812">
        <v>1</v>
      </c>
      <c r="G247" s="5813">
        <v>2.8472222222222222E-2</v>
      </c>
      <c r="H247" s="21" t="s">
        <v>10</v>
      </c>
      <c r="I247" s="21" t="s">
        <v>39</v>
      </c>
      <c r="J247" s="21" t="s">
        <v>722</v>
      </c>
      <c r="K247" s="5814" t="s">
        <v>2926</v>
      </c>
    </row>
    <row r="248" spans="1:11">
      <c r="A248" s="21" t="s">
        <v>2595</v>
      </c>
      <c r="B248" s="21" t="s">
        <v>2927</v>
      </c>
      <c r="C248" s="21" t="s">
        <v>8</v>
      </c>
      <c r="D248" s="21" t="s">
        <v>2</v>
      </c>
      <c r="E248" s="21" t="s">
        <v>46</v>
      </c>
      <c r="F248" s="5812">
        <v>1</v>
      </c>
      <c r="G248" s="5813">
        <v>3.1944444444444442E-2</v>
      </c>
      <c r="H248" s="21" t="s">
        <v>10</v>
      </c>
      <c r="I248" s="21" t="s">
        <v>89</v>
      </c>
      <c r="J248" s="21" t="s">
        <v>48</v>
      </c>
      <c r="K248" s="5814" t="s">
        <v>2928</v>
      </c>
    </row>
    <row r="249" spans="1:11">
      <c r="A249" s="21" t="s">
        <v>2929</v>
      </c>
      <c r="B249" s="21" t="s">
        <v>2930</v>
      </c>
      <c r="C249" s="21" t="s">
        <v>8</v>
      </c>
      <c r="D249" s="21" t="s">
        <v>2</v>
      </c>
      <c r="E249" s="21" t="s">
        <v>46</v>
      </c>
      <c r="F249" s="5812">
        <v>1</v>
      </c>
      <c r="G249" s="5813">
        <v>3.2638888888888891E-2</v>
      </c>
      <c r="H249" s="21" t="s">
        <v>10</v>
      </c>
      <c r="I249" s="21" t="s">
        <v>23</v>
      </c>
      <c r="J249" s="21" t="s">
        <v>97</v>
      </c>
      <c r="K249" s="5814" t="s">
        <v>2931</v>
      </c>
    </row>
    <row r="250" spans="1:11">
      <c r="A250" s="21" t="s">
        <v>2932</v>
      </c>
      <c r="B250" s="21" t="s">
        <v>2933</v>
      </c>
      <c r="C250" s="21" t="s">
        <v>8</v>
      </c>
      <c r="D250" s="21" t="s">
        <v>2</v>
      </c>
      <c r="E250" s="21" t="s">
        <v>46</v>
      </c>
      <c r="F250" s="5812">
        <v>1</v>
      </c>
      <c r="G250" s="5813">
        <v>3.3333333333333333E-2</v>
      </c>
      <c r="H250" s="21" t="s">
        <v>10</v>
      </c>
      <c r="I250" s="21" t="s">
        <v>2297</v>
      </c>
      <c r="J250" s="21" t="s">
        <v>48</v>
      </c>
      <c r="K250" s="5814" t="s">
        <v>2934</v>
      </c>
    </row>
    <row r="251" spans="1:11">
      <c r="A251" s="21" t="s">
        <v>2935</v>
      </c>
      <c r="B251" s="21" t="s">
        <v>2936</v>
      </c>
      <c r="C251" s="21" t="s">
        <v>8</v>
      </c>
      <c r="D251" s="21" t="s">
        <v>2</v>
      </c>
      <c r="E251" s="21" t="s">
        <v>46</v>
      </c>
      <c r="F251" s="5812">
        <v>1</v>
      </c>
      <c r="G251" s="5813">
        <v>3.4722222222222224E-2</v>
      </c>
      <c r="H251" s="21" t="s">
        <v>10</v>
      </c>
      <c r="I251" s="21" t="s">
        <v>55</v>
      </c>
      <c r="J251" s="21" t="s">
        <v>48</v>
      </c>
      <c r="K251" s="5814" t="s">
        <v>2937</v>
      </c>
    </row>
    <row r="252" spans="1:11">
      <c r="A252" s="21" t="s">
        <v>2938</v>
      </c>
      <c r="B252" s="21" t="s">
        <v>2939</v>
      </c>
      <c r="C252" s="21" t="s">
        <v>8</v>
      </c>
      <c r="D252" s="21" t="s">
        <v>2</v>
      </c>
      <c r="E252" s="21" t="s">
        <v>46</v>
      </c>
      <c r="F252" s="5812">
        <v>1</v>
      </c>
      <c r="G252" s="5813">
        <v>3.5416666666666666E-2</v>
      </c>
      <c r="H252" s="21" t="s">
        <v>10</v>
      </c>
      <c r="I252" s="21" t="s">
        <v>2313</v>
      </c>
      <c r="J252" s="21" t="s">
        <v>127</v>
      </c>
      <c r="K252" s="5814" t="s">
        <v>2940</v>
      </c>
    </row>
    <row r="253" spans="1:11">
      <c r="A253" s="21" t="s">
        <v>2941</v>
      </c>
      <c r="B253" s="21" t="s">
        <v>2942</v>
      </c>
      <c r="C253" s="21" t="s">
        <v>8</v>
      </c>
      <c r="D253" s="21" t="s">
        <v>2</v>
      </c>
      <c r="E253" s="21" t="s">
        <v>46</v>
      </c>
      <c r="F253" s="5812">
        <v>1</v>
      </c>
      <c r="G253" s="5813">
        <v>3.7499999999999999E-2</v>
      </c>
      <c r="H253" s="21" t="s">
        <v>10</v>
      </c>
      <c r="I253" s="21" t="s">
        <v>39</v>
      </c>
      <c r="J253" s="21" t="s">
        <v>258</v>
      </c>
      <c r="K253" s="5814" t="s">
        <v>2943</v>
      </c>
    </row>
    <row r="254" spans="1:11">
      <c r="A254" s="21" t="s">
        <v>2944</v>
      </c>
      <c r="B254" s="21" t="s">
        <v>2945</v>
      </c>
      <c r="C254" s="21" t="s">
        <v>22</v>
      </c>
      <c r="D254" s="21" t="s">
        <v>2</v>
      </c>
      <c r="E254" s="21" t="s">
        <v>46</v>
      </c>
      <c r="F254" s="5812">
        <v>1</v>
      </c>
      <c r="G254" s="5813">
        <v>4.0972222222222222E-2</v>
      </c>
      <c r="H254" s="21" t="s">
        <v>10</v>
      </c>
      <c r="I254" s="21" t="s">
        <v>654</v>
      </c>
      <c r="J254" s="21" t="s">
        <v>97</v>
      </c>
      <c r="K254" s="5814" t="s">
        <v>2946</v>
      </c>
    </row>
    <row r="255" spans="1:11">
      <c r="A255" s="21" t="s">
        <v>2947</v>
      </c>
      <c r="B255" s="21" t="s">
        <v>2948</v>
      </c>
      <c r="C255" s="21" t="s">
        <v>8</v>
      </c>
      <c r="D255" s="21" t="s">
        <v>2</v>
      </c>
      <c r="E255" s="21" t="s">
        <v>46</v>
      </c>
      <c r="F255" s="5812">
        <v>1</v>
      </c>
      <c r="G255" s="5813">
        <v>4.4444444444444446E-2</v>
      </c>
      <c r="H255" s="21" t="s">
        <v>10</v>
      </c>
      <c r="I255" s="21" t="s">
        <v>2576</v>
      </c>
      <c r="J255" s="21" t="s">
        <v>48</v>
      </c>
      <c r="K255" s="5814" t="s">
        <v>2949</v>
      </c>
    </row>
    <row r="256" spans="1:11">
      <c r="A256" s="21" t="s">
        <v>2745</v>
      </c>
      <c r="B256" s="21" t="s">
        <v>2950</v>
      </c>
      <c r="C256" s="21" t="s">
        <v>8</v>
      </c>
      <c r="D256" s="21" t="s">
        <v>2</v>
      </c>
      <c r="E256" s="21" t="s">
        <v>46</v>
      </c>
      <c r="F256" s="5812">
        <v>1</v>
      </c>
      <c r="G256" s="5813">
        <v>4.583333333333333E-2</v>
      </c>
      <c r="H256" s="21" t="s">
        <v>10</v>
      </c>
      <c r="I256" s="21" t="s">
        <v>233</v>
      </c>
      <c r="J256" s="21" t="s">
        <v>97</v>
      </c>
      <c r="K256" s="5814" t="s">
        <v>2951</v>
      </c>
    </row>
    <row r="257" spans="1:11">
      <c r="A257" s="21" t="s">
        <v>2212</v>
      </c>
      <c r="B257" s="21" t="s">
        <v>2952</v>
      </c>
      <c r="C257" s="21" t="s">
        <v>8</v>
      </c>
      <c r="D257" s="21" t="s">
        <v>2</v>
      </c>
      <c r="E257" s="21" t="s">
        <v>46</v>
      </c>
      <c r="F257" s="5812">
        <v>1</v>
      </c>
      <c r="G257" s="5813">
        <v>4.6527777777777779E-2</v>
      </c>
      <c r="H257" s="21" t="s">
        <v>10</v>
      </c>
      <c r="I257" s="21" t="s">
        <v>2751</v>
      </c>
      <c r="J257" s="21" t="s">
        <v>2953</v>
      </c>
      <c r="K257" s="5814" t="s">
        <v>2954</v>
      </c>
    </row>
    <row r="258" spans="1:11">
      <c r="A258" s="21" t="s">
        <v>2955</v>
      </c>
      <c r="B258" s="21" t="s">
        <v>2956</v>
      </c>
      <c r="C258" s="21" t="s">
        <v>22</v>
      </c>
      <c r="D258" s="21" t="s">
        <v>2</v>
      </c>
      <c r="E258" s="21" t="s">
        <v>46</v>
      </c>
      <c r="F258" s="5812">
        <v>1</v>
      </c>
      <c r="G258" s="5813">
        <v>4.7222222222222221E-2</v>
      </c>
      <c r="H258" s="21" t="s">
        <v>10</v>
      </c>
      <c r="I258" s="21" t="s">
        <v>23</v>
      </c>
      <c r="J258" s="21" t="s">
        <v>406</v>
      </c>
      <c r="K258" s="5814" t="s">
        <v>2957</v>
      </c>
    </row>
    <row r="259" spans="1:11">
      <c r="A259" s="21" t="s">
        <v>2638</v>
      </c>
      <c r="B259" s="21" t="s">
        <v>2958</v>
      </c>
      <c r="C259" s="21" t="s">
        <v>8</v>
      </c>
      <c r="D259" s="21" t="s">
        <v>2</v>
      </c>
      <c r="E259" s="21" t="s">
        <v>46</v>
      </c>
      <c r="F259" s="5812">
        <v>1</v>
      </c>
      <c r="G259" s="5813">
        <v>5.9027777777777776E-2</v>
      </c>
      <c r="H259" s="21" t="s">
        <v>10</v>
      </c>
      <c r="I259" s="21" t="s">
        <v>2959</v>
      </c>
      <c r="J259" s="21" t="s">
        <v>48</v>
      </c>
      <c r="K259" s="5814" t="s">
        <v>2960</v>
      </c>
    </row>
    <row r="260" spans="1:11">
      <c r="A260" s="21" t="s">
        <v>2961</v>
      </c>
      <c r="B260" s="21" t="s">
        <v>2962</v>
      </c>
      <c r="C260" s="21" t="s">
        <v>22</v>
      </c>
      <c r="D260" s="21" t="s">
        <v>2</v>
      </c>
      <c r="E260" s="21" t="s">
        <v>46</v>
      </c>
      <c r="F260" s="5812">
        <v>1</v>
      </c>
      <c r="G260" s="5813">
        <v>6.1805555555555558E-2</v>
      </c>
      <c r="H260" s="21" t="s">
        <v>10</v>
      </c>
      <c r="I260" s="21" t="s">
        <v>2260</v>
      </c>
      <c r="J260" s="21" t="s">
        <v>97</v>
      </c>
      <c r="K260" s="5814" t="s">
        <v>2963</v>
      </c>
    </row>
    <row r="261" spans="1:11">
      <c r="A261" s="21" t="s">
        <v>2905</v>
      </c>
      <c r="B261" s="21" t="s">
        <v>2964</v>
      </c>
      <c r="C261" s="21" t="s">
        <v>22</v>
      </c>
      <c r="D261" s="21" t="s">
        <v>2</v>
      </c>
      <c r="E261" s="21" t="s">
        <v>46</v>
      </c>
      <c r="F261" s="5812">
        <v>1</v>
      </c>
      <c r="G261" s="5813">
        <v>6.7361111111111108E-2</v>
      </c>
      <c r="H261" s="21" t="s">
        <v>10</v>
      </c>
      <c r="I261" s="21" t="s">
        <v>2297</v>
      </c>
      <c r="J261" s="21" t="s">
        <v>406</v>
      </c>
      <c r="K261" s="5814" t="s">
        <v>2965</v>
      </c>
    </row>
    <row r="262" spans="1:11">
      <c r="A262" s="21" t="s">
        <v>2966</v>
      </c>
      <c r="B262" s="21" t="s">
        <v>2967</v>
      </c>
      <c r="C262" s="21" t="s">
        <v>22</v>
      </c>
      <c r="D262" s="21" t="s">
        <v>2</v>
      </c>
      <c r="E262" s="21" t="s">
        <v>46</v>
      </c>
      <c r="F262" s="5812">
        <v>1</v>
      </c>
      <c r="G262" s="5813">
        <v>7.9166666666666663E-2</v>
      </c>
      <c r="H262" s="21" t="s">
        <v>10</v>
      </c>
      <c r="I262" s="21" t="s">
        <v>55</v>
      </c>
      <c r="J262" s="21" t="s">
        <v>48</v>
      </c>
      <c r="K262" s="5814" t="s">
        <v>2968</v>
      </c>
    </row>
    <row r="263" spans="1:11">
      <c r="A263" s="21" t="s">
        <v>2969</v>
      </c>
      <c r="B263" s="21" t="s">
        <v>2970</v>
      </c>
      <c r="C263" s="21" t="s">
        <v>8</v>
      </c>
      <c r="D263" s="21" t="s">
        <v>2</v>
      </c>
      <c r="E263" s="21" t="s">
        <v>46</v>
      </c>
      <c r="F263" s="5812">
        <v>1</v>
      </c>
      <c r="G263" s="5813">
        <v>8.1944444444444445E-2</v>
      </c>
      <c r="H263" s="21" t="s">
        <v>10</v>
      </c>
      <c r="I263" s="21" t="s">
        <v>11</v>
      </c>
      <c r="J263" s="21" t="s">
        <v>48</v>
      </c>
      <c r="K263" s="5814" t="s">
        <v>2971</v>
      </c>
    </row>
    <row r="264" spans="1:11">
      <c r="A264" s="21" t="s">
        <v>2372</v>
      </c>
      <c r="B264" s="21" t="s">
        <v>2972</v>
      </c>
      <c r="C264" s="21" t="s">
        <v>22</v>
      </c>
      <c r="D264" s="21" t="s">
        <v>2</v>
      </c>
      <c r="E264" s="21" t="s">
        <v>46</v>
      </c>
      <c r="F264" s="5812">
        <v>1</v>
      </c>
      <c r="G264" s="5813">
        <v>8.4027777777777785E-2</v>
      </c>
      <c r="H264" s="21" t="s">
        <v>10</v>
      </c>
      <c r="I264" s="21" t="s">
        <v>187</v>
      </c>
      <c r="J264" s="21" t="s">
        <v>2953</v>
      </c>
      <c r="K264" s="5814" t="s">
        <v>2973</v>
      </c>
    </row>
    <row r="265" spans="1:11">
      <c r="A265" s="21" t="s">
        <v>2974</v>
      </c>
      <c r="B265" s="21" t="s">
        <v>2975</v>
      </c>
      <c r="C265" s="21" t="s">
        <v>8</v>
      </c>
      <c r="D265" s="21" t="s">
        <v>2</v>
      </c>
      <c r="E265" s="21" t="s">
        <v>46</v>
      </c>
      <c r="F265" s="5812">
        <v>1</v>
      </c>
      <c r="G265" s="5813">
        <v>8.4027777777777785E-2</v>
      </c>
      <c r="H265" s="21" t="s">
        <v>10</v>
      </c>
      <c r="I265" s="21" t="s">
        <v>55</v>
      </c>
      <c r="J265" s="21" t="s">
        <v>97</v>
      </c>
      <c r="K265" s="5814" t="s">
        <v>2976</v>
      </c>
    </row>
    <row r="266" spans="1:11">
      <c r="A266" s="21" t="s">
        <v>2897</v>
      </c>
      <c r="B266" s="21" t="s">
        <v>2977</v>
      </c>
      <c r="C266" s="21" t="s">
        <v>22</v>
      </c>
      <c r="D266" s="21" t="s">
        <v>2</v>
      </c>
      <c r="E266" s="21" t="s">
        <v>46</v>
      </c>
      <c r="F266" s="5812">
        <v>1</v>
      </c>
      <c r="G266" s="5813">
        <v>8.4722222222222227E-2</v>
      </c>
      <c r="H266" s="21" t="s">
        <v>10</v>
      </c>
      <c r="I266" s="21" t="s">
        <v>23</v>
      </c>
      <c r="J266" s="21" t="s">
        <v>406</v>
      </c>
      <c r="K266" s="5814" t="s">
        <v>2978</v>
      </c>
    </row>
    <row r="267" spans="1:11">
      <c r="A267" s="21" t="s">
        <v>2979</v>
      </c>
      <c r="B267" s="21" t="s">
        <v>2980</v>
      </c>
      <c r="C267" s="21" t="s">
        <v>8</v>
      </c>
      <c r="D267" s="21" t="s">
        <v>2</v>
      </c>
      <c r="E267" s="21" t="s">
        <v>46</v>
      </c>
      <c r="F267" s="5812">
        <v>1</v>
      </c>
      <c r="G267" s="5813">
        <v>8.4722222222222227E-2</v>
      </c>
      <c r="H267" s="21" t="s">
        <v>10</v>
      </c>
      <c r="I267" s="21" t="s">
        <v>226</v>
      </c>
      <c r="J267" s="21" t="s">
        <v>127</v>
      </c>
      <c r="K267" s="5814" t="s">
        <v>2981</v>
      </c>
    </row>
    <row r="268" spans="1:11">
      <c r="A268" s="21" t="s">
        <v>2982</v>
      </c>
      <c r="B268" s="21" t="s">
        <v>2983</v>
      </c>
      <c r="C268" s="21" t="s">
        <v>8</v>
      </c>
      <c r="D268" s="21" t="s">
        <v>2</v>
      </c>
      <c r="E268" s="21" t="s">
        <v>46</v>
      </c>
      <c r="F268" s="5812">
        <v>1</v>
      </c>
      <c r="G268" s="5813">
        <v>8.611111111111111E-2</v>
      </c>
      <c r="H268" s="21" t="s">
        <v>10</v>
      </c>
      <c r="I268" s="21" t="s">
        <v>23</v>
      </c>
      <c r="J268" s="21" t="s">
        <v>48</v>
      </c>
      <c r="K268" s="5814" t="s">
        <v>2984</v>
      </c>
    </row>
    <row r="269" spans="1:11">
      <c r="A269" s="21" t="s">
        <v>2985</v>
      </c>
      <c r="B269" s="21" t="s">
        <v>2986</v>
      </c>
      <c r="C269" s="21" t="s">
        <v>22</v>
      </c>
      <c r="D269" s="21" t="s">
        <v>2</v>
      </c>
      <c r="E269" s="21" t="s">
        <v>46</v>
      </c>
      <c r="F269" s="5812">
        <v>1</v>
      </c>
      <c r="G269" s="5813">
        <v>8.611111111111111E-2</v>
      </c>
      <c r="H269" s="21" t="s">
        <v>10</v>
      </c>
      <c r="I269" s="21" t="s">
        <v>55</v>
      </c>
      <c r="J269" s="21" t="s">
        <v>48</v>
      </c>
      <c r="K269" s="5814" t="s">
        <v>2987</v>
      </c>
    </row>
    <row r="270" spans="1:11">
      <c r="A270" s="21" t="s">
        <v>2442</v>
      </c>
      <c r="B270" s="21" t="s">
        <v>2988</v>
      </c>
      <c r="C270" s="21" t="s">
        <v>22</v>
      </c>
      <c r="D270" s="21" t="s">
        <v>2</v>
      </c>
      <c r="E270" s="21" t="s">
        <v>46</v>
      </c>
      <c r="F270" s="5812">
        <v>1</v>
      </c>
      <c r="G270" s="5813">
        <v>8.7499999999999994E-2</v>
      </c>
      <c r="H270" s="21" t="s">
        <v>10</v>
      </c>
      <c r="I270" s="21" t="s">
        <v>11</v>
      </c>
      <c r="J270" s="21" t="s">
        <v>48</v>
      </c>
      <c r="K270" s="5814" t="s">
        <v>2989</v>
      </c>
    </row>
    <row r="271" spans="1:11">
      <c r="A271" s="21" t="s">
        <v>2442</v>
      </c>
      <c r="B271" s="21" t="s">
        <v>2990</v>
      </c>
      <c r="C271" s="21" t="s">
        <v>22</v>
      </c>
      <c r="D271" s="21" t="s">
        <v>2</v>
      </c>
      <c r="E271" s="21" t="s">
        <v>46</v>
      </c>
      <c r="F271" s="5812">
        <v>1</v>
      </c>
      <c r="G271" s="5813">
        <v>8.819444444444445E-2</v>
      </c>
      <c r="H271" s="21" t="s">
        <v>10</v>
      </c>
      <c r="I271" s="21" t="s">
        <v>23</v>
      </c>
      <c r="J271" s="21" t="s">
        <v>97</v>
      </c>
      <c r="K271" s="5814" t="s">
        <v>2991</v>
      </c>
    </row>
    <row r="272" spans="1:11">
      <c r="A272" s="21" t="s">
        <v>2992</v>
      </c>
      <c r="B272" s="21" t="s">
        <v>2993</v>
      </c>
      <c r="C272" s="21" t="s">
        <v>8</v>
      </c>
      <c r="D272" s="21" t="s">
        <v>2</v>
      </c>
      <c r="E272" s="21" t="s">
        <v>46</v>
      </c>
      <c r="F272" s="5812">
        <v>1</v>
      </c>
      <c r="G272" s="5813">
        <v>9.375E-2</v>
      </c>
      <c r="H272" s="21" t="s">
        <v>10</v>
      </c>
      <c r="I272" s="21" t="s">
        <v>55</v>
      </c>
      <c r="J272" s="21" t="s">
        <v>48</v>
      </c>
      <c r="K272" s="5814" t="s">
        <v>2994</v>
      </c>
    </row>
    <row r="273" spans="1:11">
      <c r="A273" s="21" t="s">
        <v>2995</v>
      </c>
      <c r="B273" s="21" t="s">
        <v>2996</v>
      </c>
      <c r="C273" s="21" t="s">
        <v>22</v>
      </c>
      <c r="D273" s="21" t="s">
        <v>2</v>
      </c>
      <c r="E273" s="21" t="s">
        <v>46</v>
      </c>
      <c r="F273" s="5812">
        <v>1</v>
      </c>
      <c r="G273" s="5813">
        <v>9.6527777777777782E-2</v>
      </c>
      <c r="H273" s="21" t="s">
        <v>10</v>
      </c>
      <c r="I273" s="21" t="s">
        <v>96</v>
      </c>
      <c r="J273" s="21" t="s">
        <v>48</v>
      </c>
      <c r="K273" s="5814" t="s">
        <v>2997</v>
      </c>
    </row>
    <row r="274" spans="1:11">
      <c r="A274" s="21" t="s">
        <v>2998</v>
      </c>
      <c r="B274" s="21" t="s">
        <v>2999</v>
      </c>
      <c r="C274" s="21" t="s">
        <v>22</v>
      </c>
      <c r="D274" s="21" t="s">
        <v>2</v>
      </c>
      <c r="E274" s="21" t="s">
        <v>46</v>
      </c>
      <c r="F274" s="5812">
        <v>1</v>
      </c>
      <c r="G274" s="5813">
        <v>0.10277777777777777</v>
      </c>
      <c r="H274" s="21" t="s">
        <v>10</v>
      </c>
      <c r="I274" s="21" t="s">
        <v>245</v>
      </c>
      <c r="J274" s="21" t="s">
        <v>3000</v>
      </c>
      <c r="K274" s="5814" t="s">
        <v>3001</v>
      </c>
    </row>
    <row r="275" spans="1:11">
      <c r="A275" s="21" t="s">
        <v>3002</v>
      </c>
      <c r="B275" s="21" t="s">
        <v>3003</v>
      </c>
      <c r="C275" s="21" t="s">
        <v>8</v>
      </c>
      <c r="D275" s="21" t="s">
        <v>2</v>
      </c>
      <c r="E275" s="21" t="s">
        <v>46</v>
      </c>
      <c r="F275" s="5812">
        <v>1</v>
      </c>
      <c r="G275" s="5813">
        <v>0.11041666666666666</v>
      </c>
      <c r="H275" s="21" t="s">
        <v>10</v>
      </c>
      <c r="I275" s="21" t="s">
        <v>23</v>
      </c>
      <c r="J275" s="21" t="s">
        <v>3004</v>
      </c>
      <c r="K275" s="5814" t="s">
        <v>3005</v>
      </c>
    </row>
    <row r="276" spans="1:11">
      <c r="A276" s="21" t="s">
        <v>3006</v>
      </c>
      <c r="B276" s="21" t="s">
        <v>3007</v>
      </c>
      <c r="C276" s="21" t="s">
        <v>22</v>
      </c>
      <c r="D276" s="21" t="s">
        <v>2</v>
      </c>
      <c r="E276" s="21" t="s">
        <v>46</v>
      </c>
      <c r="F276" s="5812">
        <v>1</v>
      </c>
      <c r="G276" s="5813">
        <v>0.11319444444444444</v>
      </c>
      <c r="H276" s="21" t="s">
        <v>54</v>
      </c>
      <c r="I276" s="21" t="s">
        <v>55</v>
      </c>
      <c r="J276" s="21" t="s">
        <v>406</v>
      </c>
      <c r="K276" s="5814" t="s">
        <v>3008</v>
      </c>
    </row>
    <row r="277" spans="1:11">
      <c r="A277" s="21" t="s">
        <v>3009</v>
      </c>
      <c r="B277" s="21" t="s">
        <v>3010</v>
      </c>
      <c r="C277" s="21" t="s">
        <v>8</v>
      </c>
      <c r="D277" s="21" t="s">
        <v>2</v>
      </c>
      <c r="E277" s="21" t="s">
        <v>46</v>
      </c>
      <c r="F277" s="5812">
        <v>1</v>
      </c>
      <c r="G277" s="5813">
        <v>0.11527777777777778</v>
      </c>
      <c r="H277" s="21" t="s">
        <v>10</v>
      </c>
      <c r="I277" s="21" t="s">
        <v>55</v>
      </c>
      <c r="J277" s="21" t="s">
        <v>722</v>
      </c>
      <c r="K277" s="5814" t="s">
        <v>3011</v>
      </c>
    </row>
    <row r="278" spans="1:11">
      <c r="A278" s="21" t="s">
        <v>3012</v>
      </c>
      <c r="B278" s="21" t="s">
        <v>3013</v>
      </c>
      <c r="C278" s="21" t="s">
        <v>8</v>
      </c>
      <c r="D278" s="21" t="s">
        <v>2</v>
      </c>
      <c r="E278" s="21" t="s">
        <v>46</v>
      </c>
      <c r="F278" s="5812">
        <v>1</v>
      </c>
      <c r="G278" s="5813">
        <v>0.11666666666666667</v>
      </c>
      <c r="H278" s="21" t="s">
        <v>10</v>
      </c>
      <c r="I278" s="21" t="s">
        <v>11</v>
      </c>
      <c r="J278" s="21" t="s">
        <v>258</v>
      </c>
      <c r="K278" s="5814" t="s">
        <v>3014</v>
      </c>
    </row>
    <row r="279" spans="1:11">
      <c r="A279" s="21" t="s">
        <v>2254</v>
      </c>
      <c r="B279" s="21" t="s">
        <v>3015</v>
      </c>
      <c r="C279" s="21" t="s">
        <v>22</v>
      </c>
      <c r="D279" s="21" t="s">
        <v>2</v>
      </c>
      <c r="E279" s="21" t="s">
        <v>46</v>
      </c>
      <c r="F279" s="5812">
        <v>1</v>
      </c>
      <c r="G279" s="5813">
        <v>0.12013888888888889</v>
      </c>
      <c r="H279" s="21" t="s">
        <v>54</v>
      </c>
      <c r="I279" s="21" t="s">
        <v>2297</v>
      </c>
      <c r="J279" s="21" t="s">
        <v>97</v>
      </c>
      <c r="K279" s="5814" t="s">
        <v>3016</v>
      </c>
    </row>
    <row r="280" spans="1:11">
      <c r="A280" s="21" t="s">
        <v>2341</v>
      </c>
      <c r="B280" s="21" t="s">
        <v>3017</v>
      </c>
      <c r="C280" s="21" t="s">
        <v>8</v>
      </c>
      <c r="D280" s="21" t="s">
        <v>2</v>
      </c>
      <c r="E280" s="21" t="s">
        <v>46</v>
      </c>
      <c r="F280" s="5812">
        <v>1</v>
      </c>
      <c r="G280" s="5813">
        <v>0.12291666666666666</v>
      </c>
      <c r="H280" s="21" t="s">
        <v>10</v>
      </c>
      <c r="I280" s="21" t="s">
        <v>11</v>
      </c>
      <c r="J280" s="21" t="s">
        <v>48</v>
      </c>
      <c r="K280" s="5814" t="s">
        <v>3018</v>
      </c>
    </row>
    <row r="281" spans="1:11">
      <c r="A281" s="21" t="s">
        <v>2229</v>
      </c>
      <c r="B281" s="21" t="s">
        <v>3019</v>
      </c>
      <c r="C281" s="21" t="s">
        <v>22</v>
      </c>
      <c r="D281" s="21" t="s">
        <v>2</v>
      </c>
      <c r="E281" s="21" t="s">
        <v>46</v>
      </c>
      <c r="F281" s="5812">
        <v>1</v>
      </c>
      <c r="G281" s="5813">
        <v>0.12291666666666666</v>
      </c>
      <c r="H281" s="21" t="s">
        <v>10</v>
      </c>
      <c r="I281" s="21" t="s">
        <v>2247</v>
      </c>
      <c r="J281" s="21" t="s">
        <v>127</v>
      </c>
      <c r="K281" s="5814" t="s">
        <v>3020</v>
      </c>
    </row>
    <row r="282" spans="1:11">
      <c r="A282" s="21" t="s">
        <v>2979</v>
      </c>
      <c r="B282" s="21" t="s">
        <v>3021</v>
      </c>
      <c r="C282" s="21" t="s">
        <v>8</v>
      </c>
      <c r="D282" s="21" t="s">
        <v>2</v>
      </c>
      <c r="E282" s="21" t="s">
        <v>46</v>
      </c>
      <c r="F282" s="5812">
        <v>1</v>
      </c>
      <c r="G282" s="5813">
        <v>0.12569444444444444</v>
      </c>
      <c r="H282" s="21" t="s">
        <v>10</v>
      </c>
      <c r="I282" s="21" t="s">
        <v>23</v>
      </c>
      <c r="J282" s="21" t="s">
        <v>48</v>
      </c>
      <c r="K282" s="5814" t="s">
        <v>3022</v>
      </c>
    </row>
    <row r="283" spans="1:11">
      <c r="A283" s="21" t="s">
        <v>2804</v>
      </c>
      <c r="B283" s="21" t="s">
        <v>3023</v>
      </c>
      <c r="C283" s="21" t="s">
        <v>8</v>
      </c>
      <c r="D283" s="21" t="s">
        <v>2</v>
      </c>
      <c r="E283" s="21" t="s">
        <v>46</v>
      </c>
      <c r="F283" s="5812">
        <v>1</v>
      </c>
      <c r="G283" s="5813">
        <v>0.12777777777777777</v>
      </c>
      <c r="H283" s="21" t="s">
        <v>10</v>
      </c>
      <c r="I283" s="21" t="s">
        <v>3024</v>
      </c>
      <c r="J283" s="21" t="s">
        <v>97</v>
      </c>
      <c r="K283" s="5814" t="s">
        <v>3025</v>
      </c>
    </row>
    <row r="284" spans="1:11">
      <c r="A284" s="21" t="s">
        <v>3026</v>
      </c>
      <c r="B284" s="21" t="s">
        <v>3027</v>
      </c>
      <c r="C284" s="21" t="s">
        <v>8</v>
      </c>
      <c r="D284" s="21" t="s">
        <v>2</v>
      </c>
      <c r="E284" s="21" t="s">
        <v>46</v>
      </c>
      <c r="F284" s="5812">
        <v>1</v>
      </c>
      <c r="G284" s="5813">
        <v>0.12847222222222221</v>
      </c>
      <c r="H284" s="21" t="s">
        <v>10</v>
      </c>
      <c r="I284" s="21" t="s">
        <v>39</v>
      </c>
      <c r="J284" s="21" t="s">
        <v>48</v>
      </c>
      <c r="K284" s="5814" t="s">
        <v>3028</v>
      </c>
    </row>
    <row r="285" spans="1:11">
      <c r="A285" s="21" t="s">
        <v>3029</v>
      </c>
      <c r="B285" s="21" t="s">
        <v>3030</v>
      </c>
      <c r="C285" s="21" t="s">
        <v>8</v>
      </c>
      <c r="D285" s="21" t="s">
        <v>2</v>
      </c>
      <c r="E285" s="21" t="s">
        <v>46</v>
      </c>
      <c r="F285" s="5812">
        <v>1</v>
      </c>
      <c r="G285" s="5813">
        <v>0.13194444444444445</v>
      </c>
      <c r="H285" s="21" t="s">
        <v>10</v>
      </c>
      <c r="I285" s="21" t="s">
        <v>39</v>
      </c>
      <c r="J285" s="21" t="s">
        <v>3031</v>
      </c>
      <c r="K285" s="5814" t="s">
        <v>3032</v>
      </c>
    </row>
    <row r="286" spans="1:11">
      <c r="A286" s="21" t="s">
        <v>3033</v>
      </c>
      <c r="B286" s="21" t="s">
        <v>3034</v>
      </c>
      <c r="C286" s="21" t="s">
        <v>22</v>
      </c>
      <c r="D286" s="21" t="s">
        <v>2</v>
      </c>
      <c r="E286" s="21" t="s">
        <v>46</v>
      </c>
      <c r="F286" s="5812">
        <v>1</v>
      </c>
      <c r="G286" s="5813">
        <v>0.13541666666666666</v>
      </c>
      <c r="H286" s="21" t="s">
        <v>10</v>
      </c>
      <c r="I286" s="21" t="s">
        <v>2814</v>
      </c>
      <c r="J286" s="21" t="s">
        <v>127</v>
      </c>
      <c r="K286" s="5814" t="s">
        <v>3035</v>
      </c>
    </row>
    <row r="287" spans="1:11">
      <c r="A287" s="21" t="s">
        <v>3036</v>
      </c>
      <c r="B287" s="21" t="s">
        <v>3037</v>
      </c>
      <c r="C287" s="21" t="s">
        <v>22</v>
      </c>
      <c r="D287" s="21" t="s">
        <v>2</v>
      </c>
      <c r="E287" s="21" t="s">
        <v>46</v>
      </c>
      <c r="F287" s="5812">
        <v>1</v>
      </c>
      <c r="G287" s="5813">
        <v>0.14444444444444443</v>
      </c>
      <c r="H287" s="21" t="s">
        <v>10</v>
      </c>
      <c r="I287" s="21" t="s">
        <v>2269</v>
      </c>
      <c r="J287" s="21" t="s">
        <v>48</v>
      </c>
      <c r="K287" s="5814" t="s">
        <v>3038</v>
      </c>
    </row>
    <row r="288" spans="1:11">
      <c r="A288" s="21" t="s">
        <v>44</v>
      </c>
      <c r="B288" s="21" t="s">
        <v>45</v>
      </c>
      <c r="C288" s="21" t="s">
        <v>8</v>
      </c>
      <c r="D288" s="21" t="s">
        <v>2</v>
      </c>
      <c r="E288" s="21" t="s">
        <v>46</v>
      </c>
      <c r="F288" s="5812">
        <v>1</v>
      </c>
      <c r="G288" s="5813">
        <v>0.15416666666666667</v>
      </c>
      <c r="H288" s="21" t="s">
        <v>10</v>
      </c>
      <c r="I288" s="21" t="s">
        <v>47</v>
      </c>
      <c r="J288" s="21" t="s">
        <v>48</v>
      </c>
      <c r="K288" s="5814" t="s">
        <v>49</v>
      </c>
    </row>
    <row r="289" spans="1:11">
      <c r="A289" s="21" t="s">
        <v>3039</v>
      </c>
      <c r="B289" s="21" t="s">
        <v>3040</v>
      </c>
      <c r="C289" s="21" t="s">
        <v>22</v>
      </c>
      <c r="D289" s="21" t="s">
        <v>2</v>
      </c>
      <c r="E289" s="21" t="s">
        <v>46</v>
      </c>
      <c r="F289" s="5812">
        <v>1</v>
      </c>
      <c r="G289" s="5813">
        <v>0.15416666666666667</v>
      </c>
      <c r="H289" s="21" t="s">
        <v>10</v>
      </c>
      <c r="I289" s="21" t="s">
        <v>11</v>
      </c>
      <c r="J289" s="21" t="s">
        <v>48</v>
      </c>
      <c r="K289" s="5814" t="s">
        <v>3041</v>
      </c>
    </row>
    <row r="290" spans="1:11">
      <c r="A290" s="21" t="s">
        <v>2509</v>
      </c>
      <c r="B290" s="21" t="s">
        <v>3042</v>
      </c>
      <c r="C290" s="21" t="s">
        <v>22</v>
      </c>
      <c r="D290" s="21" t="s">
        <v>2</v>
      </c>
      <c r="E290" s="21" t="s">
        <v>46</v>
      </c>
      <c r="F290" s="5812">
        <v>1</v>
      </c>
      <c r="G290" s="5813">
        <v>0.15763888888888888</v>
      </c>
      <c r="H290" s="21" t="s">
        <v>10</v>
      </c>
      <c r="I290" s="21" t="s">
        <v>47</v>
      </c>
      <c r="J290" s="21" t="s">
        <v>127</v>
      </c>
      <c r="K290" s="5814" t="s">
        <v>3043</v>
      </c>
    </row>
    <row r="291" spans="1:11">
      <c r="A291" s="21" t="s">
        <v>3044</v>
      </c>
      <c r="B291" s="21" t="s">
        <v>3045</v>
      </c>
      <c r="C291" s="21" t="s">
        <v>8</v>
      </c>
      <c r="D291" s="21" t="s">
        <v>2</v>
      </c>
      <c r="E291" s="21" t="s">
        <v>46</v>
      </c>
      <c r="F291" s="5812">
        <v>1</v>
      </c>
      <c r="G291" s="5813">
        <v>0.15763888888888888</v>
      </c>
      <c r="H291" s="21" t="s">
        <v>10</v>
      </c>
      <c r="I291" s="21" t="s">
        <v>2872</v>
      </c>
      <c r="J291" s="21" t="s">
        <v>406</v>
      </c>
      <c r="K291" s="5814" t="s">
        <v>3046</v>
      </c>
    </row>
    <row r="292" spans="1:11">
      <c r="A292" s="21" t="s">
        <v>2944</v>
      </c>
      <c r="B292" s="21" t="s">
        <v>3047</v>
      </c>
      <c r="C292" s="21" t="s">
        <v>8</v>
      </c>
      <c r="D292" s="21" t="s">
        <v>2</v>
      </c>
      <c r="E292" s="21" t="s">
        <v>46</v>
      </c>
      <c r="F292" s="5812">
        <v>1</v>
      </c>
      <c r="G292" s="5813">
        <v>0.15902777777777777</v>
      </c>
      <c r="H292" s="21" t="s">
        <v>10</v>
      </c>
      <c r="I292" s="21" t="s">
        <v>73</v>
      </c>
      <c r="J292" s="21" t="s">
        <v>97</v>
      </c>
      <c r="K292" s="5814" t="s">
        <v>3048</v>
      </c>
    </row>
    <row r="293" spans="1:11">
      <c r="A293" s="21" t="s">
        <v>3049</v>
      </c>
      <c r="B293" s="21" t="s">
        <v>3050</v>
      </c>
      <c r="C293" s="21" t="s">
        <v>22</v>
      </c>
      <c r="D293" s="21" t="s">
        <v>2</v>
      </c>
      <c r="E293" s="21" t="s">
        <v>46</v>
      </c>
      <c r="F293" s="5812">
        <v>1</v>
      </c>
      <c r="G293" s="5813">
        <v>0.16944444444444445</v>
      </c>
      <c r="H293" s="21" t="s">
        <v>10</v>
      </c>
      <c r="I293" s="21" t="s">
        <v>2731</v>
      </c>
      <c r="J293" s="21" t="s">
        <v>3051</v>
      </c>
      <c r="K293" s="5814" t="s">
        <v>3052</v>
      </c>
    </row>
    <row r="294" spans="1:11">
      <c r="A294" s="21" t="s">
        <v>3053</v>
      </c>
      <c r="B294" s="21" t="s">
        <v>3054</v>
      </c>
      <c r="C294" s="21" t="s">
        <v>22</v>
      </c>
      <c r="D294" s="21" t="s">
        <v>2</v>
      </c>
      <c r="E294" s="21" t="s">
        <v>46</v>
      </c>
      <c r="F294" s="5812">
        <v>1</v>
      </c>
      <c r="G294" s="5813">
        <v>0.17291666666666666</v>
      </c>
      <c r="H294" s="21" t="s">
        <v>10</v>
      </c>
      <c r="I294" s="21" t="s">
        <v>2269</v>
      </c>
      <c r="J294" s="21" t="s">
        <v>97</v>
      </c>
      <c r="K294" s="5814" t="s">
        <v>3055</v>
      </c>
    </row>
    <row r="295" spans="1:11">
      <c r="A295" s="21" t="s">
        <v>3056</v>
      </c>
      <c r="B295" s="21" t="s">
        <v>3057</v>
      </c>
      <c r="C295" s="21" t="s">
        <v>22</v>
      </c>
      <c r="D295" s="21" t="s">
        <v>2</v>
      </c>
      <c r="E295" s="21" t="s">
        <v>46</v>
      </c>
      <c r="F295" s="5812">
        <v>1</v>
      </c>
      <c r="G295" s="5813">
        <v>0.17916666666666667</v>
      </c>
      <c r="H295" s="21" t="s">
        <v>10</v>
      </c>
      <c r="I295" s="21" t="s">
        <v>2872</v>
      </c>
      <c r="J295" s="21" t="s">
        <v>97</v>
      </c>
      <c r="K295" s="5814" t="s">
        <v>3058</v>
      </c>
    </row>
    <row r="296" spans="1:11">
      <c r="A296" s="21" t="s">
        <v>2272</v>
      </c>
      <c r="B296" s="21" t="s">
        <v>3059</v>
      </c>
      <c r="C296" s="21" t="s">
        <v>8</v>
      </c>
      <c r="D296" s="21" t="s">
        <v>2</v>
      </c>
      <c r="E296" s="21" t="s">
        <v>46</v>
      </c>
      <c r="F296" s="5812">
        <v>1</v>
      </c>
      <c r="G296" s="5813">
        <v>0.18333333333333332</v>
      </c>
      <c r="H296" s="21" t="s">
        <v>10</v>
      </c>
      <c r="I296" s="21" t="s">
        <v>11</v>
      </c>
      <c r="J296" s="21" t="s">
        <v>97</v>
      </c>
      <c r="K296" s="5814" t="s">
        <v>3060</v>
      </c>
    </row>
    <row r="297" spans="1:11">
      <c r="A297" s="21" t="s">
        <v>2358</v>
      </c>
      <c r="B297" s="21" t="s">
        <v>3061</v>
      </c>
      <c r="C297" s="21" t="s">
        <v>8</v>
      </c>
      <c r="D297" s="21" t="s">
        <v>2</v>
      </c>
      <c r="E297" s="21" t="s">
        <v>46</v>
      </c>
      <c r="F297" s="5812">
        <v>1</v>
      </c>
      <c r="G297" s="5813">
        <v>0.19444444444444445</v>
      </c>
      <c r="H297" s="21" t="s">
        <v>10</v>
      </c>
      <c r="I297" s="21" t="s">
        <v>96</v>
      </c>
      <c r="J297" s="21" t="s">
        <v>48</v>
      </c>
      <c r="K297" s="5814" t="s">
        <v>3062</v>
      </c>
    </row>
    <row r="298" spans="1:11">
      <c r="A298" s="21" t="s">
        <v>2530</v>
      </c>
      <c r="B298" s="21" t="s">
        <v>1084</v>
      </c>
      <c r="C298" s="21" t="s">
        <v>22</v>
      </c>
      <c r="D298" s="21" t="s">
        <v>2</v>
      </c>
      <c r="E298" s="21" t="s">
        <v>46</v>
      </c>
      <c r="F298" s="5812">
        <v>1</v>
      </c>
      <c r="G298" s="5813">
        <v>0.19444444444444445</v>
      </c>
      <c r="H298" s="21" t="s">
        <v>10</v>
      </c>
      <c r="I298" s="21" t="s">
        <v>55</v>
      </c>
      <c r="J298" s="21" t="s">
        <v>3063</v>
      </c>
      <c r="K298" s="5814" t="s">
        <v>3064</v>
      </c>
    </row>
    <row r="299" spans="1:11">
      <c r="A299" s="21" t="s">
        <v>2461</v>
      </c>
      <c r="B299" s="21" t="s">
        <v>3065</v>
      </c>
      <c r="C299" s="21" t="s">
        <v>22</v>
      </c>
      <c r="D299" s="21" t="s">
        <v>2</v>
      </c>
      <c r="E299" s="21" t="s">
        <v>46</v>
      </c>
      <c r="F299" s="5812">
        <v>1</v>
      </c>
      <c r="G299" s="5813">
        <v>0.19583333333333333</v>
      </c>
      <c r="H299" s="21" t="s">
        <v>10</v>
      </c>
      <c r="I299" s="21" t="s">
        <v>96</v>
      </c>
      <c r="J299" s="21" t="s">
        <v>97</v>
      </c>
      <c r="K299" s="5814" t="s">
        <v>3066</v>
      </c>
    </row>
    <row r="300" spans="1:11">
      <c r="A300" s="21" t="s">
        <v>2165</v>
      </c>
      <c r="B300" s="21" t="s">
        <v>3067</v>
      </c>
      <c r="C300" s="21" t="s">
        <v>8</v>
      </c>
      <c r="D300" s="21" t="s">
        <v>2</v>
      </c>
      <c r="E300" s="21" t="s">
        <v>46</v>
      </c>
      <c r="F300" s="5812">
        <v>1</v>
      </c>
      <c r="G300" s="5813">
        <v>0.19652777777777777</v>
      </c>
      <c r="H300" s="21" t="s">
        <v>10</v>
      </c>
      <c r="I300" s="21" t="s">
        <v>2576</v>
      </c>
      <c r="J300" s="21" t="s">
        <v>48</v>
      </c>
      <c r="K300" s="5814" t="s">
        <v>3068</v>
      </c>
    </row>
    <row r="301" spans="1:11">
      <c r="A301" s="21" t="s">
        <v>3026</v>
      </c>
      <c r="B301" s="21" t="s">
        <v>3069</v>
      </c>
      <c r="C301" s="21" t="s">
        <v>22</v>
      </c>
      <c r="D301" s="21" t="s">
        <v>2</v>
      </c>
      <c r="E301" s="21" t="s">
        <v>46</v>
      </c>
      <c r="F301" s="5812">
        <v>1</v>
      </c>
      <c r="G301" s="5813">
        <v>0.19722222222222222</v>
      </c>
      <c r="H301" s="21" t="s">
        <v>10</v>
      </c>
      <c r="I301" s="21" t="s">
        <v>96</v>
      </c>
      <c r="J301" s="21" t="s">
        <v>97</v>
      </c>
      <c r="K301" s="5814" t="s">
        <v>3070</v>
      </c>
    </row>
    <row r="302" spans="1:11">
      <c r="A302" s="21" t="s">
        <v>2643</v>
      </c>
      <c r="B302" s="21" t="s">
        <v>3071</v>
      </c>
      <c r="C302" s="21" t="s">
        <v>22</v>
      </c>
      <c r="D302" s="21" t="s">
        <v>2</v>
      </c>
      <c r="E302" s="21" t="s">
        <v>46</v>
      </c>
      <c r="F302" s="5812">
        <v>1</v>
      </c>
      <c r="G302" s="5813">
        <v>0.20277777777777778</v>
      </c>
      <c r="H302" s="21" t="s">
        <v>10</v>
      </c>
      <c r="I302" s="21" t="s">
        <v>47</v>
      </c>
      <c r="J302" s="21" t="s">
        <v>48</v>
      </c>
      <c r="K302" s="5814" t="s">
        <v>3072</v>
      </c>
    </row>
    <row r="303" spans="1:11">
      <c r="A303" s="21" t="s">
        <v>125</v>
      </c>
      <c r="B303" s="21" t="s">
        <v>126</v>
      </c>
      <c r="C303" s="21" t="s">
        <v>8</v>
      </c>
      <c r="D303" s="21" t="s">
        <v>2</v>
      </c>
      <c r="E303" s="21" t="s">
        <v>46</v>
      </c>
      <c r="F303" s="5812">
        <v>2</v>
      </c>
      <c r="G303" s="5813">
        <v>1.4583333333333334E-2</v>
      </c>
      <c r="H303" s="21" t="s">
        <v>10</v>
      </c>
      <c r="I303" s="21" t="s">
        <v>23</v>
      </c>
      <c r="J303" s="21" t="s">
        <v>127</v>
      </c>
      <c r="K303" s="5814" t="s">
        <v>128</v>
      </c>
    </row>
    <row r="304" spans="1:11">
      <c r="A304" s="21" t="s">
        <v>2784</v>
      </c>
      <c r="B304" s="21" t="s">
        <v>3073</v>
      </c>
      <c r="C304" s="21" t="s">
        <v>22</v>
      </c>
      <c r="D304" s="21" t="s">
        <v>2</v>
      </c>
      <c r="E304" s="21" t="s">
        <v>46</v>
      </c>
      <c r="F304" s="5812">
        <v>2</v>
      </c>
      <c r="G304" s="5813">
        <v>1.9444444444444445E-2</v>
      </c>
      <c r="H304" s="21" t="s">
        <v>10</v>
      </c>
      <c r="I304" s="21" t="s">
        <v>11</v>
      </c>
      <c r="J304" s="21" t="s">
        <v>997</v>
      </c>
      <c r="K304" s="5814" t="s">
        <v>3074</v>
      </c>
    </row>
    <row r="305" spans="1:11">
      <c r="A305" s="21" t="s">
        <v>2882</v>
      </c>
      <c r="B305" s="21" t="s">
        <v>3075</v>
      </c>
      <c r="C305" s="21" t="s">
        <v>22</v>
      </c>
      <c r="D305" s="21" t="s">
        <v>2</v>
      </c>
      <c r="E305" s="21" t="s">
        <v>46</v>
      </c>
      <c r="F305" s="5812">
        <v>2</v>
      </c>
      <c r="G305" s="5813">
        <v>2.013888888888889E-2</v>
      </c>
      <c r="H305" s="21" t="s">
        <v>10</v>
      </c>
      <c r="I305" s="21" t="s">
        <v>2297</v>
      </c>
      <c r="J305" s="21" t="s">
        <v>154</v>
      </c>
      <c r="K305" s="5814" t="s">
        <v>3076</v>
      </c>
    </row>
    <row r="306" spans="1:11">
      <c r="A306" s="21" t="s">
        <v>2131</v>
      </c>
      <c r="B306" s="21" t="s">
        <v>3077</v>
      </c>
      <c r="C306" s="21" t="s">
        <v>8</v>
      </c>
      <c r="D306" s="21" t="s">
        <v>2</v>
      </c>
      <c r="E306" s="21" t="s">
        <v>46</v>
      </c>
      <c r="F306" s="5812">
        <v>2</v>
      </c>
      <c r="G306" s="5813">
        <v>2.361111111111111E-2</v>
      </c>
      <c r="H306" s="21" t="s">
        <v>10</v>
      </c>
      <c r="I306" s="21" t="s">
        <v>23</v>
      </c>
      <c r="J306" s="21" t="s">
        <v>127</v>
      </c>
      <c r="K306" s="5814" t="s">
        <v>3078</v>
      </c>
    </row>
    <row r="307" spans="1:11">
      <c r="A307" s="21" t="s">
        <v>2521</v>
      </c>
      <c r="B307" s="21" t="s">
        <v>3079</v>
      </c>
      <c r="C307" s="21" t="s">
        <v>8</v>
      </c>
      <c r="D307" s="21" t="s">
        <v>2</v>
      </c>
      <c r="E307" s="21" t="s">
        <v>46</v>
      </c>
      <c r="F307" s="5812">
        <v>2</v>
      </c>
      <c r="G307" s="5813">
        <v>3.0555555555555555E-2</v>
      </c>
      <c r="H307" s="21" t="s">
        <v>10</v>
      </c>
      <c r="I307" s="21" t="s">
        <v>47</v>
      </c>
      <c r="J307" s="21" t="s">
        <v>3080</v>
      </c>
      <c r="K307" s="5814" t="s">
        <v>3081</v>
      </c>
    </row>
    <row r="308" spans="1:11">
      <c r="A308" s="21" t="s">
        <v>3082</v>
      </c>
      <c r="B308" s="21" t="s">
        <v>3083</v>
      </c>
      <c r="C308" s="21" t="s">
        <v>8</v>
      </c>
      <c r="D308" s="21" t="s">
        <v>2</v>
      </c>
      <c r="E308" s="21" t="s">
        <v>46</v>
      </c>
      <c r="F308" s="5812">
        <v>2</v>
      </c>
      <c r="G308" s="5813">
        <v>3.1944444444444442E-2</v>
      </c>
      <c r="H308" s="21" t="s">
        <v>10</v>
      </c>
      <c r="I308" s="21" t="s">
        <v>2247</v>
      </c>
      <c r="J308" s="21" t="s">
        <v>48</v>
      </c>
      <c r="K308" s="5814" t="s">
        <v>3084</v>
      </c>
    </row>
    <row r="309" spans="1:11">
      <c r="A309" s="21" t="s">
        <v>2123</v>
      </c>
      <c r="B309" s="21" t="s">
        <v>3085</v>
      </c>
      <c r="C309" s="21" t="s">
        <v>22</v>
      </c>
      <c r="D309" s="21" t="s">
        <v>2</v>
      </c>
      <c r="E309" s="21" t="s">
        <v>46</v>
      </c>
      <c r="F309" s="5812">
        <v>2</v>
      </c>
      <c r="G309" s="5813">
        <v>3.2638888888888891E-2</v>
      </c>
      <c r="H309" s="21" t="s">
        <v>10</v>
      </c>
      <c r="I309" s="21" t="s">
        <v>23</v>
      </c>
      <c r="J309" s="21" t="s">
        <v>48</v>
      </c>
      <c r="K309" s="5814" t="s">
        <v>3086</v>
      </c>
    </row>
    <row r="310" spans="1:11">
      <c r="A310" s="21" t="s">
        <v>2651</v>
      </c>
      <c r="B310" s="21" t="s">
        <v>3087</v>
      </c>
      <c r="C310" s="21" t="s">
        <v>22</v>
      </c>
      <c r="D310" s="21" t="s">
        <v>2</v>
      </c>
      <c r="E310" s="21" t="s">
        <v>46</v>
      </c>
      <c r="F310" s="5812">
        <v>2</v>
      </c>
      <c r="G310" s="5813">
        <v>4.2361111111111113E-2</v>
      </c>
      <c r="H310" s="21" t="s">
        <v>10</v>
      </c>
      <c r="I310" s="21" t="s">
        <v>2726</v>
      </c>
      <c r="J310" s="21" t="s">
        <v>48</v>
      </c>
      <c r="K310" s="5814" t="s">
        <v>3088</v>
      </c>
    </row>
    <row r="311" spans="1:11">
      <c r="A311" s="21" t="s">
        <v>3089</v>
      </c>
      <c r="B311" s="21" t="s">
        <v>3090</v>
      </c>
      <c r="C311" s="21" t="s">
        <v>8</v>
      </c>
      <c r="D311" s="21" t="s">
        <v>2</v>
      </c>
      <c r="E311" s="21" t="s">
        <v>46</v>
      </c>
      <c r="F311" s="5812">
        <v>2</v>
      </c>
      <c r="G311" s="5813">
        <v>4.2361111111111113E-2</v>
      </c>
      <c r="H311" s="21" t="s">
        <v>10</v>
      </c>
      <c r="I311" s="21" t="s">
        <v>3091</v>
      </c>
      <c r="J311" s="21" t="s">
        <v>127</v>
      </c>
      <c r="K311" s="5814" t="s">
        <v>3092</v>
      </c>
    </row>
    <row r="312" spans="1:11">
      <c r="A312" s="21" t="s">
        <v>2517</v>
      </c>
      <c r="B312" s="21" t="s">
        <v>3093</v>
      </c>
      <c r="C312" s="21" t="s">
        <v>22</v>
      </c>
      <c r="D312" s="21" t="s">
        <v>2</v>
      </c>
      <c r="E312" s="21" t="s">
        <v>46</v>
      </c>
      <c r="F312" s="5812">
        <v>2</v>
      </c>
      <c r="G312" s="5813">
        <v>4.3749999999999997E-2</v>
      </c>
      <c r="H312" s="21" t="s">
        <v>54</v>
      </c>
      <c r="I312" s="21" t="s">
        <v>47</v>
      </c>
      <c r="J312" s="21" t="s">
        <v>3094</v>
      </c>
      <c r="K312" s="5814" t="s">
        <v>3095</v>
      </c>
    </row>
    <row r="313" spans="1:11">
      <c r="A313" s="21" t="s">
        <v>2212</v>
      </c>
      <c r="B313" s="21" t="s">
        <v>3096</v>
      </c>
      <c r="C313" s="21" t="s">
        <v>22</v>
      </c>
      <c r="D313" s="21" t="s">
        <v>2</v>
      </c>
      <c r="E313" s="21" t="s">
        <v>46</v>
      </c>
      <c r="F313" s="5812">
        <v>2</v>
      </c>
      <c r="G313" s="5813">
        <v>4.583333333333333E-2</v>
      </c>
      <c r="H313" s="21" t="s">
        <v>10</v>
      </c>
      <c r="I313" s="21" t="s">
        <v>2597</v>
      </c>
      <c r="J313" s="21" t="s">
        <v>97</v>
      </c>
      <c r="K313" s="5814" t="s">
        <v>3097</v>
      </c>
    </row>
    <row r="314" spans="1:11">
      <c r="A314" s="21" t="s">
        <v>3098</v>
      </c>
      <c r="B314" s="21" t="s">
        <v>3099</v>
      </c>
      <c r="C314" s="21" t="s">
        <v>8</v>
      </c>
      <c r="D314" s="21" t="s">
        <v>2</v>
      </c>
      <c r="E314" s="21" t="s">
        <v>46</v>
      </c>
      <c r="F314" s="5812">
        <v>2</v>
      </c>
      <c r="G314" s="5813">
        <v>5.9722222222222225E-2</v>
      </c>
      <c r="H314" s="21" t="s">
        <v>10</v>
      </c>
      <c r="I314" s="21" t="s">
        <v>3100</v>
      </c>
      <c r="J314" s="21" t="s">
        <v>97</v>
      </c>
      <c r="K314" s="5814" t="s">
        <v>3101</v>
      </c>
    </row>
    <row r="315" spans="1:11">
      <c r="A315" s="21" t="s">
        <v>3102</v>
      </c>
      <c r="B315" s="21" t="s">
        <v>3103</v>
      </c>
      <c r="C315" s="21" t="s">
        <v>8</v>
      </c>
      <c r="D315" s="21" t="s">
        <v>2</v>
      </c>
      <c r="E315" s="21" t="s">
        <v>46</v>
      </c>
      <c r="F315" s="5812">
        <v>2</v>
      </c>
      <c r="G315" s="5813">
        <v>6.3194444444444442E-2</v>
      </c>
      <c r="H315" s="21" t="s">
        <v>10</v>
      </c>
      <c r="I315" s="21" t="s">
        <v>39</v>
      </c>
      <c r="J315" s="21" t="s">
        <v>48</v>
      </c>
      <c r="K315" s="5814" t="s">
        <v>3104</v>
      </c>
    </row>
    <row r="316" spans="1:11">
      <c r="A316" s="21" t="s">
        <v>3105</v>
      </c>
      <c r="B316" s="21" t="s">
        <v>3106</v>
      </c>
      <c r="C316" s="21" t="s">
        <v>8</v>
      </c>
      <c r="D316" s="21" t="s">
        <v>2</v>
      </c>
      <c r="E316" s="21" t="s">
        <v>46</v>
      </c>
      <c r="F316" s="5812">
        <v>2</v>
      </c>
      <c r="G316" s="5813">
        <v>6.5972222222222224E-2</v>
      </c>
      <c r="H316" s="21" t="s">
        <v>10</v>
      </c>
      <c r="I316" s="21" t="s">
        <v>55</v>
      </c>
      <c r="J316" s="21" t="s">
        <v>97</v>
      </c>
      <c r="K316" s="5814" t="s">
        <v>3107</v>
      </c>
    </row>
    <row r="317" spans="1:11">
      <c r="A317" s="21" t="s">
        <v>3082</v>
      </c>
      <c r="B317" s="21" t="s">
        <v>3108</v>
      </c>
      <c r="C317" s="21" t="s">
        <v>8</v>
      </c>
      <c r="D317" s="21" t="s">
        <v>2</v>
      </c>
      <c r="E317" s="21" t="s">
        <v>46</v>
      </c>
      <c r="F317" s="5812">
        <v>2</v>
      </c>
      <c r="G317" s="5813">
        <v>6.7361111111111108E-2</v>
      </c>
      <c r="H317" s="21" t="s">
        <v>10</v>
      </c>
      <c r="I317" s="21" t="s">
        <v>2176</v>
      </c>
      <c r="J317" s="21" t="s">
        <v>97</v>
      </c>
      <c r="K317" s="5814" t="s">
        <v>3109</v>
      </c>
    </row>
    <row r="318" spans="1:11">
      <c r="A318" s="21" t="s">
        <v>2143</v>
      </c>
      <c r="B318" s="21" t="s">
        <v>3110</v>
      </c>
      <c r="C318" s="21" t="s">
        <v>22</v>
      </c>
      <c r="D318" s="21" t="s">
        <v>2</v>
      </c>
      <c r="E318" s="21" t="s">
        <v>46</v>
      </c>
      <c r="F318" s="5812">
        <v>2</v>
      </c>
      <c r="G318" s="5813">
        <v>7.013888888888889E-2</v>
      </c>
      <c r="H318" s="21" t="s">
        <v>10</v>
      </c>
      <c r="I318" s="21" t="s">
        <v>226</v>
      </c>
      <c r="J318" s="21" t="s">
        <v>154</v>
      </c>
      <c r="K318" s="5814" t="s">
        <v>3111</v>
      </c>
    </row>
    <row r="319" spans="1:11">
      <c r="A319" s="21" t="s">
        <v>2471</v>
      </c>
      <c r="B319" s="21" t="s">
        <v>3112</v>
      </c>
      <c r="C319" s="21" t="s">
        <v>8</v>
      </c>
      <c r="D319" s="21" t="s">
        <v>2</v>
      </c>
      <c r="E319" s="21" t="s">
        <v>46</v>
      </c>
      <c r="F319" s="5812">
        <v>2</v>
      </c>
      <c r="G319" s="5813">
        <v>9.0277777777777776E-2</v>
      </c>
      <c r="H319" s="21" t="s">
        <v>10</v>
      </c>
      <c r="I319" s="21" t="s">
        <v>11</v>
      </c>
      <c r="J319" s="21" t="s">
        <v>127</v>
      </c>
      <c r="K319" s="5814" t="s">
        <v>3113</v>
      </c>
    </row>
    <row r="320" spans="1:11">
      <c r="A320" s="21" t="s">
        <v>2057</v>
      </c>
      <c r="B320" s="21" t="s">
        <v>3114</v>
      </c>
      <c r="C320" s="21" t="s">
        <v>8</v>
      </c>
      <c r="D320" s="21" t="s">
        <v>2</v>
      </c>
      <c r="E320" s="21" t="s">
        <v>46</v>
      </c>
      <c r="F320" s="5812">
        <v>2</v>
      </c>
      <c r="G320" s="5813">
        <v>9.0972222222222218E-2</v>
      </c>
      <c r="H320" s="21" t="s">
        <v>10</v>
      </c>
      <c r="I320" s="21" t="s">
        <v>23</v>
      </c>
      <c r="J320" s="21" t="s">
        <v>127</v>
      </c>
      <c r="K320" s="5814" t="s">
        <v>3115</v>
      </c>
    </row>
    <row r="321" spans="1:11">
      <c r="A321" s="21" t="s">
        <v>3116</v>
      </c>
      <c r="B321" s="21" t="s">
        <v>3117</v>
      </c>
      <c r="C321" s="21" t="s">
        <v>22</v>
      </c>
      <c r="D321" s="21" t="s">
        <v>2</v>
      </c>
      <c r="E321" s="21" t="s">
        <v>46</v>
      </c>
      <c r="F321" s="5812">
        <v>2</v>
      </c>
      <c r="G321" s="5813">
        <v>9.3055555555555558E-2</v>
      </c>
      <c r="H321" s="21" t="s">
        <v>10</v>
      </c>
      <c r="I321" s="21" t="s">
        <v>23</v>
      </c>
      <c r="J321" s="21" t="s">
        <v>48</v>
      </c>
      <c r="K321" s="5814" t="s">
        <v>3118</v>
      </c>
    </row>
    <row r="322" spans="1:11">
      <c r="A322" s="21" t="s">
        <v>3119</v>
      </c>
      <c r="B322" s="21" t="s">
        <v>3120</v>
      </c>
      <c r="C322" s="21" t="s">
        <v>8</v>
      </c>
      <c r="D322" s="21" t="s">
        <v>2</v>
      </c>
      <c r="E322" s="21" t="s">
        <v>46</v>
      </c>
      <c r="F322" s="5812">
        <v>2</v>
      </c>
      <c r="G322" s="5813">
        <v>9.375E-2</v>
      </c>
      <c r="H322" s="21" t="s">
        <v>10</v>
      </c>
      <c r="I322" s="21" t="s">
        <v>96</v>
      </c>
      <c r="J322" s="21" t="s">
        <v>258</v>
      </c>
      <c r="K322" s="5814" t="s">
        <v>3121</v>
      </c>
    </row>
    <row r="323" spans="1:11">
      <c r="A323" s="21" t="s">
        <v>2354</v>
      </c>
      <c r="B323" s="21" t="s">
        <v>3122</v>
      </c>
      <c r="C323" s="21" t="s">
        <v>22</v>
      </c>
      <c r="D323" s="21" t="s">
        <v>2</v>
      </c>
      <c r="E323" s="21" t="s">
        <v>46</v>
      </c>
      <c r="F323" s="5812">
        <v>2</v>
      </c>
      <c r="G323" s="5813">
        <v>9.583333333333334E-2</v>
      </c>
      <c r="H323" s="21" t="s">
        <v>10</v>
      </c>
      <c r="I323" s="21" t="s">
        <v>788</v>
      </c>
      <c r="J323" s="21" t="s">
        <v>3123</v>
      </c>
      <c r="K323" s="5814" t="s">
        <v>3124</v>
      </c>
    </row>
    <row r="324" spans="1:11">
      <c r="A324" s="21" t="s">
        <v>3125</v>
      </c>
      <c r="B324" s="21" t="s">
        <v>3126</v>
      </c>
      <c r="C324" s="21" t="s">
        <v>22</v>
      </c>
      <c r="D324" s="21" t="s">
        <v>2</v>
      </c>
      <c r="E324" s="21" t="s">
        <v>46</v>
      </c>
      <c r="F324" s="5812">
        <v>2</v>
      </c>
      <c r="G324" s="5813">
        <v>0.1</v>
      </c>
      <c r="H324" s="21" t="s">
        <v>10</v>
      </c>
      <c r="I324" s="21" t="s">
        <v>55</v>
      </c>
      <c r="J324" s="21" t="s">
        <v>3127</v>
      </c>
      <c r="K324" s="5814" t="s">
        <v>3128</v>
      </c>
    </row>
    <row r="325" spans="1:11">
      <c r="A325" s="21" t="s">
        <v>71</v>
      </c>
      <c r="B325" s="21" t="s">
        <v>72</v>
      </c>
      <c r="C325" s="21" t="s">
        <v>8</v>
      </c>
      <c r="D325" s="21" t="s">
        <v>2</v>
      </c>
      <c r="E325" s="21" t="s">
        <v>46</v>
      </c>
      <c r="F325" s="5812">
        <v>2</v>
      </c>
      <c r="G325" s="5813">
        <v>0.10138888888888889</v>
      </c>
      <c r="H325" s="21" t="s">
        <v>10</v>
      </c>
      <c r="I325" s="21" t="s">
        <v>73</v>
      </c>
      <c r="J325" s="21" t="s">
        <v>74</v>
      </c>
      <c r="K325" s="5814" t="s">
        <v>3129</v>
      </c>
    </row>
    <row r="326" spans="1:11">
      <c r="A326" s="21" t="s">
        <v>3130</v>
      </c>
      <c r="B326" s="21" t="s">
        <v>3131</v>
      </c>
      <c r="C326" s="21" t="s">
        <v>8</v>
      </c>
      <c r="D326" s="21" t="s">
        <v>2</v>
      </c>
      <c r="E326" s="21" t="s">
        <v>46</v>
      </c>
      <c r="F326" s="5812">
        <v>2</v>
      </c>
      <c r="G326" s="5813">
        <v>0.10694444444444444</v>
      </c>
      <c r="H326" s="21" t="s">
        <v>10</v>
      </c>
      <c r="I326" s="21" t="s">
        <v>55</v>
      </c>
      <c r="J326" s="21" t="s">
        <v>3132</v>
      </c>
      <c r="K326" s="5814" t="s">
        <v>3133</v>
      </c>
    </row>
    <row r="327" spans="1:11">
      <c r="A327" s="21" t="s">
        <v>3134</v>
      </c>
      <c r="B327" s="21" t="s">
        <v>3135</v>
      </c>
      <c r="C327" s="21" t="s">
        <v>22</v>
      </c>
      <c r="D327" s="21" t="s">
        <v>2</v>
      </c>
      <c r="E327" s="21" t="s">
        <v>46</v>
      </c>
      <c r="F327" s="5812">
        <v>2</v>
      </c>
      <c r="G327" s="5813">
        <v>0.12708333333333333</v>
      </c>
      <c r="H327" s="21" t="s">
        <v>10</v>
      </c>
      <c r="I327" s="21" t="s">
        <v>23</v>
      </c>
      <c r="J327" s="21" t="s">
        <v>48</v>
      </c>
      <c r="K327" s="5814" t="s">
        <v>3136</v>
      </c>
    </row>
    <row r="328" spans="1:11">
      <c r="A328" s="21" t="s">
        <v>37</v>
      </c>
      <c r="B328" s="21" t="s">
        <v>199</v>
      </c>
      <c r="C328" s="21" t="s">
        <v>8</v>
      </c>
      <c r="D328" s="21" t="s">
        <v>2</v>
      </c>
      <c r="E328" s="21" t="s">
        <v>46</v>
      </c>
      <c r="F328" s="5812">
        <v>2</v>
      </c>
      <c r="G328" s="5813">
        <v>0.1451388888888889</v>
      </c>
      <c r="H328" s="21" t="s">
        <v>10</v>
      </c>
      <c r="I328" s="21" t="s">
        <v>39</v>
      </c>
      <c r="J328" s="21" t="s">
        <v>97</v>
      </c>
      <c r="K328" s="5814" t="s">
        <v>200</v>
      </c>
    </row>
    <row r="329" spans="1:11">
      <c r="A329" s="21" t="s">
        <v>2724</v>
      </c>
      <c r="B329" s="21" t="s">
        <v>3137</v>
      </c>
      <c r="C329" s="21" t="s">
        <v>22</v>
      </c>
      <c r="D329" s="21" t="s">
        <v>2</v>
      </c>
      <c r="E329" s="21" t="s">
        <v>46</v>
      </c>
      <c r="F329" s="5812">
        <v>2</v>
      </c>
      <c r="G329" s="5813">
        <v>0.15416666666666667</v>
      </c>
      <c r="H329" s="21" t="s">
        <v>10</v>
      </c>
      <c r="I329" s="21" t="s">
        <v>3138</v>
      </c>
      <c r="J329" s="21" t="s">
        <v>1076</v>
      </c>
      <c r="K329" s="5814" t="s">
        <v>3139</v>
      </c>
    </row>
    <row r="330" spans="1:11">
      <c r="A330" s="21" t="s">
        <v>2057</v>
      </c>
      <c r="B330" s="21" t="s">
        <v>3140</v>
      </c>
      <c r="C330" s="21" t="s">
        <v>8</v>
      </c>
      <c r="D330" s="21" t="s">
        <v>2</v>
      </c>
      <c r="E330" s="21" t="s">
        <v>46</v>
      </c>
      <c r="F330" s="5812">
        <v>2</v>
      </c>
      <c r="G330" s="5813">
        <v>0.15625</v>
      </c>
      <c r="H330" s="21" t="s">
        <v>10</v>
      </c>
      <c r="I330" s="21" t="s">
        <v>23</v>
      </c>
      <c r="J330" s="21" t="s">
        <v>97</v>
      </c>
      <c r="K330" s="5814" t="s">
        <v>3141</v>
      </c>
    </row>
    <row r="331" spans="1:11">
      <c r="A331" s="21" t="s">
        <v>2327</v>
      </c>
      <c r="B331" s="21" t="s">
        <v>3142</v>
      </c>
      <c r="C331" s="21" t="s">
        <v>8</v>
      </c>
      <c r="D331" s="21" t="s">
        <v>2</v>
      </c>
      <c r="E331" s="21" t="s">
        <v>46</v>
      </c>
      <c r="F331" s="5812">
        <v>2</v>
      </c>
      <c r="G331" s="5813">
        <v>0.16250000000000001</v>
      </c>
      <c r="H331" s="21" t="s">
        <v>10</v>
      </c>
      <c r="I331" s="21" t="s">
        <v>23</v>
      </c>
      <c r="J331" s="21" t="s">
        <v>127</v>
      </c>
      <c r="K331" s="5814" t="s">
        <v>3143</v>
      </c>
    </row>
    <row r="332" spans="1:11">
      <c r="A332" s="21" t="s">
        <v>3144</v>
      </c>
      <c r="B332" s="21" t="s">
        <v>3145</v>
      </c>
      <c r="C332" s="21" t="s">
        <v>8</v>
      </c>
      <c r="D332" s="21" t="s">
        <v>2</v>
      </c>
      <c r="E332" s="21" t="s">
        <v>46</v>
      </c>
      <c r="F332" s="5812">
        <v>2</v>
      </c>
      <c r="G332" s="5813">
        <v>0.17569444444444443</v>
      </c>
      <c r="H332" s="21" t="s">
        <v>10</v>
      </c>
      <c r="I332" s="21" t="s">
        <v>55</v>
      </c>
      <c r="J332" s="21" t="s">
        <v>97</v>
      </c>
      <c r="K332" s="5814" t="s">
        <v>3146</v>
      </c>
    </row>
    <row r="333" spans="1:11">
      <c r="A333" s="21" t="s">
        <v>2461</v>
      </c>
      <c r="B333" s="21" t="s">
        <v>3147</v>
      </c>
      <c r="C333" s="21" t="s">
        <v>22</v>
      </c>
      <c r="D333" s="21" t="s">
        <v>2</v>
      </c>
      <c r="E333" s="21" t="s">
        <v>46</v>
      </c>
      <c r="F333" s="5812">
        <v>2</v>
      </c>
      <c r="G333" s="5813">
        <v>0.17708333333333334</v>
      </c>
      <c r="H333" s="21" t="s">
        <v>10</v>
      </c>
      <c r="I333" s="21" t="s">
        <v>39</v>
      </c>
      <c r="J333" s="21" t="s">
        <v>3148</v>
      </c>
      <c r="K333" s="5814" t="s">
        <v>3149</v>
      </c>
    </row>
    <row r="334" spans="1:11">
      <c r="A334" s="21" t="s">
        <v>2100</v>
      </c>
      <c r="B334" s="21" t="s">
        <v>3150</v>
      </c>
      <c r="C334" s="21" t="s">
        <v>22</v>
      </c>
      <c r="D334" s="21" t="s">
        <v>2</v>
      </c>
      <c r="E334" s="21" t="s">
        <v>46</v>
      </c>
      <c r="F334" s="5812">
        <v>2</v>
      </c>
      <c r="G334" s="5813">
        <v>0.17986111111111111</v>
      </c>
      <c r="H334" s="21" t="s">
        <v>10</v>
      </c>
      <c r="I334" s="21" t="s">
        <v>55</v>
      </c>
      <c r="J334" s="21" t="s">
        <v>616</v>
      </c>
      <c r="K334" s="5814" t="s">
        <v>3151</v>
      </c>
    </row>
    <row r="335" spans="1:11">
      <c r="A335" s="21" t="s">
        <v>3152</v>
      </c>
      <c r="B335" s="21" t="s">
        <v>3153</v>
      </c>
      <c r="C335" s="21" t="s">
        <v>22</v>
      </c>
      <c r="D335" s="21" t="s">
        <v>2</v>
      </c>
      <c r="E335" s="21" t="s">
        <v>46</v>
      </c>
      <c r="F335" s="5812">
        <v>2</v>
      </c>
      <c r="G335" s="5813">
        <v>0.18402777777777779</v>
      </c>
      <c r="H335" s="21" t="s">
        <v>10</v>
      </c>
      <c r="I335" s="21" t="s">
        <v>11</v>
      </c>
      <c r="J335" s="21" t="s">
        <v>127</v>
      </c>
      <c r="K335" s="5814" t="s">
        <v>3154</v>
      </c>
    </row>
    <row r="336" spans="1:11">
      <c r="A336" s="21" t="s">
        <v>2854</v>
      </c>
      <c r="B336" s="21" t="s">
        <v>3155</v>
      </c>
      <c r="C336" s="21" t="s">
        <v>8</v>
      </c>
      <c r="D336" s="21" t="s">
        <v>2</v>
      </c>
      <c r="E336" s="21" t="s">
        <v>46</v>
      </c>
      <c r="F336" s="5812">
        <v>2</v>
      </c>
      <c r="G336" s="5813">
        <v>0.18472222222222223</v>
      </c>
      <c r="H336" s="21" t="s">
        <v>10</v>
      </c>
      <c r="I336" s="21" t="s">
        <v>263</v>
      </c>
      <c r="J336" s="21" t="s">
        <v>3156</v>
      </c>
      <c r="K336" s="5814" t="s">
        <v>3157</v>
      </c>
    </row>
    <row r="337" spans="1:11">
      <c r="A337" s="21" t="s">
        <v>2609</v>
      </c>
      <c r="B337" s="21" t="s">
        <v>3158</v>
      </c>
      <c r="C337" s="21" t="s">
        <v>8</v>
      </c>
      <c r="D337" s="21" t="s">
        <v>2</v>
      </c>
      <c r="E337" s="21" t="s">
        <v>46</v>
      </c>
      <c r="F337" s="5812">
        <v>2</v>
      </c>
      <c r="G337" s="5813">
        <v>0.19930555555555557</v>
      </c>
      <c r="H337" s="21" t="s">
        <v>10</v>
      </c>
      <c r="I337" s="21" t="s">
        <v>187</v>
      </c>
      <c r="J337" s="21" t="s">
        <v>48</v>
      </c>
      <c r="K337" s="5814" t="s">
        <v>3159</v>
      </c>
    </row>
    <row r="338" spans="1:11">
      <c r="A338" s="21" t="s">
        <v>3160</v>
      </c>
      <c r="B338" s="21" t="s">
        <v>3161</v>
      </c>
      <c r="C338" s="21" t="s">
        <v>8</v>
      </c>
      <c r="D338" s="21" t="s">
        <v>2</v>
      </c>
      <c r="E338" s="21" t="s">
        <v>46</v>
      </c>
      <c r="F338" s="5812">
        <v>2</v>
      </c>
      <c r="G338" s="5813">
        <v>0.20069444444444445</v>
      </c>
      <c r="H338" s="21" t="s">
        <v>10</v>
      </c>
      <c r="I338" s="21" t="s">
        <v>2176</v>
      </c>
      <c r="J338" s="21" t="s">
        <v>3148</v>
      </c>
      <c r="K338" s="5814" t="s">
        <v>3162</v>
      </c>
    </row>
    <row r="339" spans="1:11">
      <c r="A339" s="21" t="s">
        <v>2201</v>
      </c>
      <c r="B339" s="21" t="s">
        <v>3163</v>
      </c>
      <c r="C339" s="21" t="s">
        <v>8</v>
      </c>
      <c r="D339" s="21" t="s">
        <v>2</v>
      </c>
      <c r="E339" s="21" t="s">
        <v>46</v>
      </c>
      <c r="F339" s="5812">
        <v>2</v>
      </c>
      <c r="G339" s="5813">
        <v>0.20347222222222222</v>
      </c>
      <c r="H339" s="21" t="s">
        <v>10</v>
      </c>
      <c r="I339" s="21" t="s">
        <v>615</v>
      </c>
      <c r="J339" s="21" t="s">
        <v>518</v>
      </c>
      <c r="K339" s="5814" t="s">
        <v>3164</v>
      </c>
    </row>
    <row r="340" spans="1:11">
      <c r="A340" s="21" t="s">
        <v>2966</v>
      </c>
      <c r="B340" s="21" t="s">
        <v>3165</v>
      </c>
      <c r="C340" s="21" t="s">
        <v>22</v>
      </c>
      <c r="D340" s="21" t="s">
        <v>2</v>
      </c>
      <c r="E340" s="21" t="s">
        <v>46</v>
      </c>
      <c r="F340" s="5812">
        <v>2</v>
      </c>
      <c r="G340" s="5813">
        <v>0.2076388888888889</v>
      </c>
      <c r="H340" s="21" t="s">
        <v>10</v>
      </c>
      <c r="I340" s="21" t="s">
        <v>11</v>
      </c>
      <c r="J340" s="21" t="s">
        <v>48</v>
      </c>
      <c r="K340" s="5814" t="s">
        <v>3166</v>
      </c>
    </row>
    <row r="341" spans="1:11">
      <c r="A341" s="21" t="s">
        <v>3036</v>
      </c>
      <c r="B341" s="21" t="s">
        <v>3167</v>
      </c>
      <c r="C341" s="21" t="s">
        <v>22</v>
      </c>
      <c r="D341" s="21" t="s">
        <v>2</v>
      </c>
      <c r="E341" s="21" t="s">
        <v>46</v>
      </c>
      <c r="F341" s="5812">
        <v>2</v>
      </c>
      <c r="G341" s="5813">
        <v>0.2076388888888889</v>
      </c>
      <c r="H341" s="21" t="s">
        <v>10</v>
      </c>
      <c r="I341" s="21" t="s">
        <v>2860</v>
      </c>
      <c r="J341" s="21" t="s">
        <v>3168</v>
      </c>
      <c r="K341" s="5814" t="s">
        <v>3169</v>
      </c>
    </row>
    <row r="342" spans="1:11">
      <c r="A342" s="21" t="s">
        <v>3170</v>
      </c>
      <c r="B342" s="21" t="s">
        <v>3171</v>
      </c>
      <c r="C342" s="21" t="s">
        <v>8</v>
      </c>
      <c r="D342" s="21" t="s">
        <v>2</v>
      </c>
      <c r="E342" s="21" t="s">
        <v>46</v>
      </c>
      <c r="F342" s="5812">
        <v>2</v>
      </c>
      <c r="G342" s="5813">
        <v>0.2076388888888889</v>
      </c>
      <c r="H342" s="21" t="s">
        <v>10</v>
      </c>
      <c r="I342" s="21" t="s">
        <v>2269</v>
      </c>
      <c r="J342" s="21" t="s">
        <v>518</v>
      </c>
      <c r="K342" s="5814" t="s">
        <v>3172</v>
      </c>
    </row>
    <row r="343" spans="1:11">
      <c r="A343" s="21" t="s">
        <v>3173</v>
      </c>
      <c r="B343" s="21" t="s">
        <v>3174</v>
      </c>
      <c r="C343" s="21" t="s">
        <v>22</v>
      </c>
      <c r="D343" s="21" t="s">
        <v>2</v>
      </c>
      <c r="E343" s="21" t="s">
        <v>46</v>
      </c>
      <c r="F343" s="5812">
        <v>2</v>
      </c>
      <c r="G343" s="5813">
        <v>0.20833333333333334</v>
      </c>
      <c r="H343" s="21" t="s">
        <v>10</v>
      </c>
      <c r="I343" s="21" t="s">
        <v>39</v>
      </c>
      <c r="J343" s="21" t="s">
        <v>3175</v>
      </c>
      <c r="K343" s="5814" t="s">
        <v>3176</v>
      </c>
    </row>
    <row r="344" spans="1:11">
      <c r="A344" s="21" t="s">
        <v>2555</v>
      </c>
      <c r="B344" s="21" t="s">
        <v>3177</v>
      </c>
      <c r="C344" s="21" t="s">
        <v>8</v>
      </c>
      <c r="D344" s="21" t="s">
        <v>2</v>
      </c>
      <c r="E344" s="21" t="s">
        <v>46</v>
      </c>
      <c r="F344" s="5812">
        <v>3</v>
      </c>
      <c r="G344" s="5813">
        <v>1.1111111111111112E-2</v>
      </c>
      <c r="H344" s="21" t="s">
        <v>10</v>
      </c>
      <c r="I344" s="21" t="s">
        <v>2557</v>
      </c>
      <c r="J344" s="21" t="s">
        <v>48</v>
      </c>
      <c r="K344" s="5814" t="s">
        <v>3178</v>
      </c>
    </row>
    <row r="345" spans="1:11">
      <c r="A345" s="21" t="s">
        <v>2969</v>
      </c>
      <c r="B345" s="21" t="s">
        <v>3179</v>
      </c>
      <c r="C345" s="21" t="s">
        <v>8</v>
      </c>
      <c r="D345" s="21" t="s">
        <v>2</v>
      </c>
      <c r="E345" s="21" t="s">
        <v>46</v>
      </c>
      <c r="F345" s="5812">
        <v>3</v>
      </c>
      <c r="G345" s="5813">
        <v>1.8749999999999999E-2</v>
      </c>
      <c r="H345" s="21" t="s">
        <v>10</v>
      </c>
      <c r="I345" s="21" t="s">
        <v>23</v>
      </c>
      <c r="J345" s="21" t="s">
        <v>48</v>
      </c>
      <c r="K345" s="5814" t="s">
        <v>3180</v>
      </c>
    </row>
    <row r="346" spans="1:11">
      <c r="A346" s="21" t="s">
        <v>2156</v>
      </c>
      <c r="B346" s="21" t="s">
        <v>3181</v>
      </c>
      <c r="C346" s="21" t="s">
        <v>8</v>
      </c>
      <c r="D346" s="21" t="s">
        <v>2</v>
      </c>
      <c r="E346" s="21" t="s">
        <v>46</v>
      </c>
      <c r="F346" s="5812">
        <v>3</v>
      </c>
      <c r="G346" s="5813">
        <v>2.9861111111111113E-2</v>
      </c>
      <c r="H346" s="21" t="s">
        <v>10</v>
      </c>
      <c r="I346" s="21" t="s">
        <v>11</v>
      </c>
      <c r="J346" s="21" t="s">
        <v>722</v>
      </c>
      <c r="K346" s="5814" t="s">
        <v>3182</v>
      </c>
    </row>
    <row r="347" spans="1:11">
      <c r="A347" s="21" t="s">
        <v>3183</v>
      </c>
      <c r="B347" s="21" t="s">
        <v>3184</v>
      </c>
      <c r="C347" s="21" t="s">
        <v>8</v>
      </c>
      <c r="D347" s="21" t="s">
        <v>2</v>
      </c>
      <c r="E347" s="21" t="s">
        <v>46</v>
      </c>
      <c r="F347" s="5812">
        <v>3</v>
      </c>
      <c r="G347" s="5813">
        <v>3.4027777777777775E-2</v>
      </c>
      <c r="H347" s="21" t="s">
        <v>10</v>
      </c>
      <c r="I347" s="21" t="s">
        <v>89</v>
      </c>
      <c r="J347" s="21" t="s">
        <v>127</v>
      </c>
      <c r="K347" s="5814" t="s">
        <v>3185</v>
      </c>
    </row>
    <row r="348" spans="1:11">
      <c r="A348" s="21" t="s">
        <v>2534</v>
      </c>
      <c r="B348" s="21" t="s">
        <v>3186</v>
      </c>
      <c r="C348" s="21" t="s">
        <v>22</v>
      </c>
      <c r="D348" s="21" t="s">
        <v>2</v>
      </c>
      <c r="E348" s="21" t="s">
        <v>46</v>
      </c>
      <c r="F348" s="5812">
        <v>3</v>
      </c>
      <c r="G348" s="5813">
        <v>3.9583333333333331E-2</v>
      </c>
      <c r="H348" s="21" t="s">
        <v>10</v>
      </c>
      <c r="I348" s="21" t="s">
        <v>23</v>
      </c>
      <c r="J348" s="21" t="s">
        <v>2953</v>
      </c>
      <c r="K348" s="5814" t="s">
        <v>3187</v>
      </c>
    </row>
    <row r="349" spans="1:11">
      <c r="A349" s="21" t="s">
        <v>2115</v>
      </c>
      <c r="B349" s="21" t="s">
        <v>3188</v>
      </c>
      <c r="C349" s="21" t="s">
        <v>8</v>
      </c>
      <c r="D349" s="21" t="s">
        <v>2</v>
      </c>
      <c r="E349" s="21" t="s">
        <v>46</v>
      </c>
      <c r="F349" s="5812">
        <v>3</v>
      </c>
      <c r="G349" s="5813">
        <v>5.2777777777777778E-2</v>
      </c>
      <c r="H349" s="21" t="s">
        <v>10</v>
      </c>
      <c r="I349" s="21" t="s">
        <v>73</v>
      </c>
      <c r="J349" s="21" t="s">
        <v>48</v>
      </c>
      <c r="K349" s="5814" t="s">
        <v>3189</v>
      </c>
    </row>
    <row r="350" spans="1:11">
      <c r="A350" s="21" t="s">
        <v>2216</v>
      </c>
      <c r="B350" s="21" t="s">
        <v>3190</v>
      </c>
      <c r="C350" s="21" t="s">
        <v>8</v>
      </c>
      <c r="D350" s="21" t="s">
        <v>2</v>
      </c>
      <c r="E350" s="21" t="s">
        <v>46</v>
      </c>
      <c r="F350" s="5812">
        <v>3</v>
      </c>
      <c r="G350" s="5813">
        <v>7.6388888888888895E-2</v>
      </c>
      <c r="H350" s="21" t="s">
        <v>10</v>
      </c>
      <c r="I350" s="21" t="s">
        <v>11</v>
      </c>
      <c r="J350" s="21" t="s">
        <v>48</v>
      </c>
      <c r="K350" s="5814" t="s">
        <v>3191</v>
      </c>
    </row>
    <row r="351" spans="1:11">
      <c r="A351" s="21" t="s">
        <v>3192</v>
      </c>
      <c r="B351" s="21" t="s">
        <v>3193</v>
      </c>
      <c r="C351" s="21" t="s">
        <v>22</v>
      </c>
      <c r="D351" s="21" t="s">
        <v>2</v>
      </c>
      <c r="E351" s="21" t="s">
        <v>46</v>
      </c>
      <c r="F351" s="5812">
        <v>3</v>
      </c>
      <c r="G351" s="5813">
        <v>7.9166666666666663E-2</v>
      </c>
      <c r="H351" s="21" t="s">
        <v>10</v>
      </c>
      <c r="I351" s="21" t="s">
        <v>2665</v>
      </c>
      <c r="J351" s="21" t="s">
        <v>97</v>
      </c>
      <c r="K351" s="5814" t="s">
        <v>3194</v>
      </c>
    </row>
    <row r="352" spans="1:11">
      <c r="A352" s="21" t="s">
        <v>3195</v>
      </c>
      <c r="B352" s="21" t="s">
        <v>3196</v>
      </c>
      <c r="C352" s="21" t="s">
        <v>22</v>
      </c>
      <c r="D352" s="21" t="s">
        <v>2</v>
      </c>
      <c r="E352" s="21" t="s">
        <v>46</v>
      </c>
      <c r="F352" s="5812">
        <v>3</v>
      </c>
      <c r="G352" s="5813">
        <v>8.1944444444444445E-2</v>
      </c>
      <c r="H352" s="21" t="s">
        <v>10</v>
      </c>
      <c r="I352" s="21" t="s">
        <v>194</v>
      </c>
      <c r="J352" s="21" t="s">
        <v>3197</v>
      </c>
      <c r="K352" s="5814" t="s">
        <v>3198</v>
      </c>
    </row>
    <row r="353" spans="1:11">
      <c r="A353" s="21" t="s">
        <v>2245</v>
      </c>
      <c r="B353" s="21" t="s">
        <v>3199</v>
      </c>
      <c r="C353" s="21" t="s">
        <v>22</v>
      </c>
      <c r="D353" s="21" t="s">
        <v>2</v>
      </c>
      <c r="E353" s="21" t="s">
        <v>46</v>
      </c>
      <c r="F353" s="5812">
        <v>3</v>
      </c>
      <c r="G353" s="5813">
        <v>0.10625</v>
      </c>
      <c r="H353" s="21" t="s">
        <v>10</v>
      </c>
      <c r="I353" s="21" t="s">
        <v>11</v>
      </c>
      <c r="J353" s="21" t="s">
        <v>3132</v>
      </c>
      <c r="K353" s="5814" t="s">
        <v>3200</v>
      </c>
    </row>
    <row r="354" spans="1:11">
      <c r="A354" s="21" t="s">
        <v>94</v>
      </c>
      <c r="B354" s="21" t="s">
        <v>95</v>
      </c>
      <c r="C354" s="21" t="s">
        <v>22</v>
      </c>
      <c r="D354" s="21" t="s">
        <v>2</v>
      </c>
      <c r="E354" s="21" t="s">
        <v>46</v>
      </c>
      <c r="F354" s="5812">
        <v>3</v>
      </c>
      <c r="G354" s="5813">
        <v>0.10833333333333334</v>
      </c>
      <c r="H354" s="21" t="s">
        <v>10</v>
      </c>
      <c r="I354" s="21" t="s">
        <v>96</v>
      </c>
      <c r="J354" s="21" t="s">
        <v>97</v>
      </c>
      <c r="K354" s="5814" t="s">
        <v>98</v>
      </c>
    </row>
    <row r="355" spans="1:11">
      <c r="A355" s="21" t="s">
        <v>2506</v>
      </c>
      <c r="B355" s="21" t="s">
        <v>3201</v>
      </c>
      <c r="C355" s="21" t="s">
        <v>22</v>
      </c>
      <c r="D355" s="21" t="s">
        <v>2</v>
      </c>
      <c r="E355" s="21" t="s">
        <v>46</v>
      </c>
      <c r="F355" s="5812">
        <v>3</v>
      </c>
      <c r="G355" s="5813">
        <v>0.10972222222222222</v>
      </c>
      <c r="H355" s="21" t="s">
        <v>10</v>
      </c>
      <c r="I355" s="21" t="s">
        <v>400</v>
      </c>
      <c r="J355" s="21" t="s">
        <v>127</v>
      </c>
      <c r="K355" s="5814" t="s">
        <v>3202</v>
      </c>
    </row>
    <row r="356" spans="1:11">
      <c r="A356" s="21" t="s">
        <v>3203</v>
      </c>
      <c r="B356" s="21" t="s">
        <v>3204</v>
      </c>
      <c r="C356" s="21" t="s">
        <v>22</v>
      </c>
      <c r="D356" s="21" t="s">
        <v>2</v>
      </c>
      <c r="E356" s="21" t="s">
        <v>46</v>
      </c>
      <c r="F356" s="5812">
        <v>3</v>
      </c>
      <c r="G356" s="5813">
        <v>0.10972222222222222</v>
      </c>
      <c r="H356" s="21" t="s">
        <v>10</v>
      </c>
      <c r="I356" s="21" t="s">
        <v>2814</v>
      </c>
      <c r="J356" s="21" t="s">
        <v>48</v>
      </c>
      <c r="K356" s="5814" t="s">
        <v>3205</v>
      </c>
    </row>
    <row r="357" spans="1:11">
      <c r="A357" s="21" t="s">
        <v>3009</v>
      </c>
      <c r="B357" s="21" t="s">
        <v>3206</v>
      </c>
      <c r="C357" s="21" t="s">
        <v>8</v>
      </c>
      <c r="D357" s="21" t="s">
        <v>2</v>
      </c>
      <c r="E357" s="21" t="s">
        <v>46</v>
      </c>
      <c r="F357" s="5812">
        <v>3</v>
      </c>
      <c r="G357" s="5813">
        <v>0.11874999999999999</v>
      </c>
      <c r="H357" s="21" t="s">
        <v>10</v>
      </c>
      <c r="I357" s="21" t="s">
        <v>23</v>
      </c>
      <c r="J357" s="21" t="s">
        <v>406</v>
      </c>
      <c r="K357" s="5814" t="s">
        <v>3207</v>
      </c>
    </row>
    <row r="358" spans="1:11">
      <c r="A358" s="21" t="s">
        <v>3208</v>
      </c>
      <c r="B358" s="21" t="s">
        <v>3209</v>
      </c>
      <c r="C358" s="21" t="s">
        <v>8</v>
      </c>
      <c r="D358" s="21" t="s">
        <v>2</v>
      </c>
      <c r="E358" s="21" t="s">
        <v>46</v>
      </c>
      <c r="F358" s="5812">
        <v>3</v>
      </c>
      <c r="G358" s="5813">
        <v>0.13680555555555557</v>
      </c>
      <c r="H358" s="21" t="s">
        <v>10</v>
      </c>
      <c r="I358" s="21" t="s">
        <v>609</v>
      </c>
      <c r="J358" s="21" t="s">
        <v>3148</v>
      </c>
      <c r="K358" s="5814" t="s">
        <v>3210</v>
      </c>
    </row>
    <row r="359" spans="1:11">
      <c r="A359" s="21" t="s">
        <v>2446</v>
      </c>
      <c r="B359" s="21" t="s">
        <v>3211</v>
      </c>
      <c r="C359" s="21" t="s">
        <v>8</v>
      </c>
      <c r="D359" s="21" t="s">
        <v>2</v>
      </c>
      <c r="E359" s="21" t="s">
        <v>46</v>
      </c>
      <c r="F359" s="5812">
        <v>3</v>
      </c>
      <c r="G359" s="5813">
        <v>0.14791666666666667</v>
      </c>
      <c r="H359" s="21" t="s">
        <v>10</v>
      </c>
      <c r="I359" s="21" t="s">
        <v>55</v>
      </c>
      <c r="J359" s="21" t="s">
        <v>48</v>
      </c>
      <c r="K359" s="5814" t="s">
        <v>3212</v>
      </c>
    </row>
    <row r="360" spans="1:11">
      <c r="A360" s="21" t="s">
        <v>3213</v>
      </c>
      <c r="B360" s="21" t="s">
        <v>3214</v>
      </c>
      <c r="C360" s="21" t="s">
        <v>22</v>
      </c>
      <c r="D360" s="21" t="s">
        <v>2</v>
      </c>
      <c r="E360" s="21" t="s">
        <v>46</v>
      </c>
      <c r="F360" s="5812">
        <v>3</v>
      </c>
      <c r="G360" s="5813">
        <v>0.15208333333333332</v>
      </c>
      <c r="H360" s="21" t="s">
        <v>10</v>
      </c>
      <c r="I360" s="21" t="s">
        <v>3215</v>
      </c>
      <c r="J360" s="21" t="s">
        <v>406</v>
      </c>
      <c r="K360" s="5814" t="s">
        <v>3216</v>
      </c>
    </row>
    <row r="361" spans="1:11">
      <c r="A361" s="21" t="s">
        <v>3217</v>
      </c>
      <c r="B361" s="21" t="s">
        <v>3218</v>
      </c>
      <c r="C361" s="21" t="s">
        <v>8</v>
      </c>
      <c r="D361" s="21" t="s">
        <v>2</v>
      </c>
      <c r="E361" s="21" t="s">
        <v>46</v>
      </c>
      <c r="F361" s="5812">
        <v>3</v>
      </c>
      <c r="G361" s="5813">
        <v>0.15486111111111112</v>
      </c>
      <c r="H361" s="21" t="s">
        <v>10</v>
      </c>
      <c r="I361" s="21" t="s">
        <v>2713</v>
      </c>
      <c r="J361" s="21" t="s">
        <v>48</v>
      </c>
      <c r="K361" s="5814" t="s">
        <v>3219</v>
      </c>
    </row>
    <row r="362" spans="1:11">
      <c r="A362" s="21" t="s">
        <v>3220</v>
      </c>
      <c r="B362" s="21" t="s">
        <v>3221</v>
      </c>
      <c r="C362" s="21" t="s">
        <v>22</v>
      </c>
      <c r="D362" s="21" t="s">
        <v>2</v>
      </c>
      <c r="E362" s="21" t="s">
        <v>46</v>
      </c>
      <c r="F362" s="5812">
        <v>3</v>
      </c>
      <c r="G362" s="5813">
        <v>0.15972222222222221</v>
      </c>
      <c r="H362" s="21" t="s">
        <v>10</v>
      </c>
      <c r="I362" s="21" t="s">
        <v>194</v>
      </c>
      <c r="J362" s="21" t="s">
        <v>3222</v>
      </c>
      <c r="K362" s="5814" t="s">
        <v>3223</v>
      </c>
    </row>
    <row r="363" spans="1:11">
      <c r="A363" s="21" t="s">
        <v>3224</v>
      </c>
      <c r="B363" s="21" t="s">
        <v>3225</v>
      </c>
      <c r="C363" s="21" t="s">
        <v>8</v>
      </c>
      <c r="D363" s="21" t="s">
        <v>2</v>
      </c>
      <c r="E363" s="21" t="s">
        <v>46</v>
      </c>
      <c r="F363" s="5812">
        <v>3</v>
      </c>
      <c r="G363" s="5813">
        <v>0.16111111111111112</v>
      </c>
      <c r="H363" s="21" t="s">
        <v>10</v>
      </c>
      <c r="I363" s="21" t="s">
        <v>39</v>
      </c>
      <c r="J363" s="21" t="s">
        <v>3226</v>
      </c>
      <c r="K363" s="5814" t="s">
        <v>3227</v>
      </c>
    </row>
    <row r="364" spans="1:11">
      <c r="A364" s="21" t="s">
        <v>2595</v>
      </c>
      <c r="B364" s="21" t="s">
        <v>3228</v>
      </c>
      <c r="C364" s="21" t="s">
        <v>22</v>
      </c>
      <c r="D364" s="21" t="s">
        <v>2</v>
      </c>
      <c r="E364" s="21" t="s">
        <v>46</v>
      </c>
      <c r="F364" s="5812">
        <v>3</v>
      </c>
      <c r="G364" s="5813">
        <v>0.16250000000000001</v>
      </c>
      <c r="H364" s="21" t="s">
        <v>10</v>
      </c>
      <c r="I364" s="21" t="s">
        <v>2597</v>
      </c>
      <c r="J364" s="21" t="s">
        <v>2953</v>
      </c>
      <c r="K364" s="5814" t="s">
        <v>3229</v>
      </c>
    </row>
    <row r="365" spans="1:11">
      <c r="A365" s="21" t="s">
        <v>3230</v>
      </c>
      <c r="B365" s="21" t="s">
        <v>3231</v>
      </c>
      <c r="C365" s="21" t="s">
        <v>8</v>
      </c>
      <c r="D365" s="21" t="s">
        <v>2</v>
      </c>
      <c r="E365" s="21" t="s">
        <v>46</v>
      </c>
      <c r="F365" s="5812">
        <v>3</v>
      </c>
      <c r="G365" s="5813">
        <v>0.17569444444444443</v>
      </c>
      <c r="H365" s="21" t="s">
        <v>10</v>
      </c>
      <c r="I365" s="21" t="s">
        <v>23</v>
      </c>
      <c r="J365" s="21" t="s">
        <v>97</v>
      </c>
      <c r="K365" s="5814" t="s">
        <v>3232</v>
      </c>
    </row>
    <row r="366" spans="1:11">
      <c r="A366" s="21" t="s">
        <v>3039</v>
      </c>
      <c r="B366" s="21" t="s">
        <v>3233</v>
      </c>
      <c r="C366" s="21" t="s">
        <v>8</v>
      </c>
      <c r="D366" s="21" t="s">
        <v>2</v>
      </c>
      <c r="E366" s="21" t="s">
        <v>46</v>
      </c>
      <c r="F366" s="5812">
        <v>3</v>
      </c>
      <c r="G366" s="5813">
        <v>0.18124999999999999</v>
      </c>
      <c r="H366" s="21" t="s">
        <v>10</v>
      </c>
      <c r="I366" s="21" t="s">
        <v>400</v>
      </c>
      <c r="J366" s="21" t="s">
        <v>127</v>
      </c>
      <c r="K366" s="5814" t="s">
        <v>3234</v>
      </c>
    </row>
    <row r="367" spans="1:11">
      <c r="A367" s="21" t="s">
        <v>3235</v>
      </c>
      <c r="B367" s="21" t="s">
        <v>3236</v>
      </c>
      <c r="C367" s="21" t="s">
        <v>8</v>
      </c>
      <c r="D367" s="21" t="s">
        <v>2</v>
      </c>
      <c r="E367" s="21" t="s">
        <v>46</v>
      </c>
      <c r="F367" s="5812">
        <v>3</v>
      </c>
      <c r="G367" s="5813">
        <v>0.18958333333333333</v>
      </c>
      <c r="H367" s="21" t="s">
        <v>10</v>
      </c>
      <c r="I367" s="21" t="s">
        <v>55</v>
      </c>
      <c r="J367" s="21" t="s">
        <v>97</v>
      </c>
      <c r="K367" s="5814" t="s">
        <v>3237</v>
      </c>
    </row>
    <row r="368" spans="1:11">
      <c r="A368" s="21" t="s">
        <v>31</v>
      </c>
      <c r="B368" s="21" t="s">
        <v>153</v>
      </c>
      <c r="C368" s="21" t="s">
        <v>8</v>
      </c>
      <c r="D368" s="21" t="s">
        <v>2</v>
      </c>
      <c r="E368" s="21" t="s">
        <v>46</v>
      </c>
      <c r="F368" s="5812">
        <v>3</v>
      </c>
      <c r="G368" s="5813">
        <v>0.19513888888888889</v>
      </c>
      <c r="H368" s="21" t="s">
        <v>10</v>
      </c>
      <c r="I368" s="21" t="s">
        <v>11</v>
      </c>
      <c r="J368" s="21" t="s">
        <v>154</v>
      </c>
      <c r="K368" s="5814" t="s">
        <v>155</v>
      </c>
    </row>
    <row r="369" spans="1:11">
      <c r="A369" s="21" t="s">
        <v>2719</v>
      </c>
      <c r="B369" s="21" t="s">
        <v>3238</v>
      </c>
      <c r="C369" s="21" t="s">
        <v>22</v>
      </c>
      <c r="D369" s="21" t="s">
        <v>2</v>
      </c>
      <c r="E369" s="21" t="s">
        <v>46</v>
      </c>
      <c r="F369" s="5812">
        <v>3</v>
      </c>
      <c r="G369" s="5813">
        <v>0.20833333333333334</v>
      </c>
      <c r="H369" s="21" t="s">
        <v>10</v>
      </c>
      <c r="I369" s="21" t="s">
        <v>2721</v>
      </c>
      <c r="J369" s="21" t="s">
        <v>3239</v>
      </c>
      <c r="K369" s="5814" t="s">
        <v>3240</v>
      </c>
    </row>
    <row r="370" spans="1:11">
      <c r="A370" s="21" t="s">
        <v>2053</v>
      </c>
      <c r="B370" s="21" t="s">
        <v>3241</v>
      </c>
      <c r="C370" s="21" t="s">
        <v>8</v>
      </c>
      <c r="D370" s="21" t="s">
        <v>2</v>
      </c>
      <c r="E370" s="21" t="s">
        <v>46</v>
      </c>
      <c r="F370" s="5812">
        <v>4</v>
      </c>
      <c r="G370" s="5813">
        <v>9.5138888888888884E-2</v>
      </c>
      <c r="H370" s="21" t="s">
        <v>54</v>
      </c>
      <c r="I370" s="21" t="s">
        <v>55</v>
      </c>
      <c r="J370" s="21" t="s">
        <v>722</v>
      </c>
      <c r="K370" s="5814" t="s">
        <v>3242</v>
      </c>
    </row>
    <row r="371" spans="1:11">
      <c r="A371" s="21" t="s">
        <v>3243</v>
      </c>
      <c r="B371" s="21" t="s">
        <v>3244</v>
      </c>
      <c r="C371" s="21" t="s">
        <v>8</v>
      </c>
      <c r="D371" s="21" t="s">
        <v>2</v>
      </c>
      <c r="E371" s="21" t="s">
        <v>46</v>
      </c>
      <c r="F371" s="5812">
        <v>5</v>
      </c>
      <c r="G371" s="5813">
        <v>4.8611111111111112E-2</v>
      </c>
      <c r="H371" s="21" t="s">
        <v>54</v>
      </c>
      <c r="I371" s="21" t="s">
        <v>55</v>
      </c>
      <c r="J371" s="21" t="s">
        <v>48</v>
      </c>
      <c r="K371" s="5814" t="s">
        <v>3245</v>
      </c>
    </row>
    <row r="372" spans="1:11">
      <c r="A372" s="21" t="s">
        <v>2143</v>
      </c>
      <c r="B372" s="21" t="s">
        <v>3246</v>
      </c>
      <c r="C372" s="21" t="s">
        <v>179</v>
      </c>
      <c r="D372" s="21" t="s">
        <v>2</v>
      </c>
      <c r="E372" s="21" t="s">
        <v>920</v>
      </c>
      <c r="F372" s="5812">
        <v>1</v>
      </c>
      <c r="G372" s="5813">
        <v>2.6388888888888889E-2</v>
      </c>
      <c r="H372" s="21" t="s">
        <v>10</v>
      </c>
      <c r="I372" s="21" t="s">
        <v>654</v>
      </c>
      <c r="J372" s="21" t="s">
        <v>3247</v>
      </c>
      <c r="K372" s="5814" t="s">
        <v>3248</v>
      </c>
    </row>
    <row r="373" spans="1:11">
      <c r="A373" s="21" t="s">
        <v>3249</v>
      </c>
      <c r="B373" s="21" t="s">
        <v>3250</v>
      </c>
      <c r="C373" s="21" t="s">
        <v>179</v>
      </c>
      <c r="D373" s="21" t="s">
        <v>2</v>
      </c>
      <c r="E373" s="21" t="s">
        <v>920</v>
      </c>
      <c r="F373" s="5812">
        <v>1</v>
      </c>
      <c r="G373" s="5813">
        <v>9.7222222222222224E-2</v>
      </c>
      <c r="H373" s="21" t="s">
        <v>10</v>
      </c>
      <c r="I373" s="21" t="s">
        <v>11</v>
      </c>
      <c r="J373" s="21"/>
      <c r="K373" s="5814" t="s">
        <v>3251</v>
      </c>
    </row>
    <row r="374" spans="1:11">
      <c r="A374" s="21" t="s">
        <v>3252</v>
      </c>
      <c r="B374" s="21" t="s">
        <v>3253</v>
      </c>
      <c r="C374" s="21" t="s">
        <v>179</v>
      </c>
      <c r="D374" s="21" t="s">
        <v>2</v>
      </c>
      <c r="E374" s="21" t="s">
        <v>920</v>
      </c>
      <c r="F374" s="5812">
        <v>3</v>
      </c>
      <c r="G374" s="5813">
        <v>0.125</v>
      </c>
      <c r="H374" s="21" t="s">
        <v>10</v>
      </c>
      <c r="I374" s="21" t="s">
        <v>2660</v>
      </c>
      <c r="J374" s="21" t="s">
        <v>3254</v>
      </c>
      <c r="K374" s="5814" t="s">
        <v>3255</v>
      </c>
    </row>
    <row r="375" spans="1:11">
      <c r="A375" s="21" t="s">
        <v>3256</v>
      </c>
      <c r="B375" s="21" t="s">
        <v>3257</v>
      </c>
      <c r="C375" s="21" t="s">
        <v>179</v>
      </c>
      <c r="D375" s="21" t="s">
        <v>2</v>
      </c>
      <c r="E375" s="21" t="s">
        <v>920</v>
      </c>
      <c r="F375" s="5812">
        <v>3</v>
      </c>
      <c r="G375" s="5813">
        <v>0.20833333333333334</v>
      </c>
      <c r="H375" s="21" t="s">
        <v>10</v>
      </c>
      <c r="I375" s="21" t="s">
        <v>73</v>
      </c>
      <c r="J375" s="21" t="s">
        <v>3258</v>
      </c>
      <c r="K375" s="5814" t="s">
        <v>3259</v>
      </c>
    </row>
    <row r="376" spans="1:11">
      <c r="A376" s="21" t="s">
        <v>3260</v>
      </c>
      <c r="B376" s="21" t="s">
        <v>3261</v>
      </c>
      <c r="C376" s="21" t="s">
        <v>22</v>
      </c>
      <c r="D376" s="21" t="s">
        <v>2</v>
      </c>
      <c r="E376" s="21" t="s">
        <v>61</v>
      </c>
      <c r="F376" s="5812">
        <v>1</v>
      </c>
      <c r="G376" s="5813">
        <v>1.5972222222222221E-2</v>
      </c>
      <c r="H376" s="21" t="s">
        <v>10</v>
      </c>
      <c r="I376" s="21" t="s">
        <v>226</v>
      </c>
      <c r="J376" s="21" t="s">
        <v>3262</v>
      </c>
      <c r="K376" s="5814" t="s">
        <v>3263</v>
      </c>
    </row>
    <row r="377" spans="1:11">
      <c r="A377" s="21" t="s">
        <v>2757</v>
      </c>
      <c r="B377" s="21" t="s">
        <v>3264</v>
      </c>
      <c r="C377" s="21" t="s">
        <v>22</v>
      </c>
      <c r="D377" s="21" t="s">
        <v>2</v>
      </c>
      <c r="E377" s="21" t="s">
        <v>61</v>
      </c>
      <c r="F377" s="5812">
        <v>1</v>
      </c>
      <c r="G377" s="5813">
        <v>2.0833333333333332E-2</v>
      </c>
      <c r="H377" s="21" t="s">
        <v>10</v>
      </c>
      <c r="I377" s="21" t="s">
        <v>39</v>
      </c>
      <c r="J377" s="21" t="s">
        <v>3265</v>
      </c>
      <c r="K377" s="5814" t="s">
        <v>3266</v>
      </c>
    </row>
    <row r="378" spans="1:11">
      <c r="A378" s="21" t="s">
        <v>2454</v>
      </c>
      <c r="B378" s="21" t="s">
        <v>3267</v>
      </c>
      <c r="C378" s="21" t="s">
        <v>22</v>
      </c>
      <c r="D378" s="21" t="s">
        <v>2</v>
      </c>
      <c r="E378" s="21" t="s">
        <v>61</v>
      </c>
      <c r="F378" s="5812">
        <v>1</v>
      </c>
      <c r="G378" s="5813">
        <v>3.2638888888888891E-2</v>
      </c>
      <c r="H378" s="21" t="s">
        <v>10</v>
      </c>
      <c r="I378" s="21" t="s">
        <v>615</v>
      </c>
      <c r="J378" s="21" t="s">
        <v>324</v>
      </c>
      <c r="K378" s="5814" t="s">
        <v>3268</v>
      </c>
    </row>
    <row r="379" spans="1:11">
      <c r="A379" s="21" t="s">
        <v>2698</v>
      </c>
      <c r="B379" s="21" t="s">
        <v>3269</v>
      </c>
      <c r="C379" s="21" t="s">
        <v>22</v>
      </c>
      <c r="D379" s="21" t="s">
        <v>2</v>
      </c>
      <c r="E379" s="21" t="s">
        <v>61</v>
      </c>
      <c r="F379" s="5812">
        <v>1</v>
      </c>
      <c r="G379" s="5813">
        <v>4.0972222222222222E-2</v>
      </c>
      <c r="H379" s="21" t="s">
        <v>10</v>
      </c>
      <c r="I379" s="21" t="s">
        <v>3270</v>
      </c>
      <c r="J379" s="21" t="s">
        <v>3271</v>
      </c>
      <c r="K379" s="5814" t="s">
        <v>3272</v>
      </c>
    </row>
    <row r="380" spans="1:11">
      <c r="A380" s="21" t="s">
        <v>2383</v>
      </c>
      <c r="B380" s="21" t="s">
        <v>3273</v>
      </c>
      <c r="C380" s="21" t="s">
        <v>8</v>
      </c>
      <c r="D380" s="21" t="s">
        <v>2</v>
      </c>
      <c r="E380" s="21" t="s">
        <v>61</v>
      </c>
      <c r="F380" s="5812">
        <v>1</v>
      </c>
      <c r="G380" s="5813">
        <v>4.4444444444444446E-2</v>
      </c>
      <c r="H380" s="21" t="s">
        <v>10</v>
      </c>
      <c r="I380" s="21" t="s">
        <v>23</v>
      </c>
      <c r="J380" s="21" t="s">
        <v>67</v>
      </c>
      <c r="K380" s="5814" t="s">
        <v>3274</v>
      </c>
    </row>
    <row r="381" spans="1:11">
      <c r="A381" s="21" t="s">
        <v>2966</v>
      </c>
      <c r="B381" s="21" t="s">
        <v>3275</v>
      </c>
      <c r="C381" s="21" t="s">
        <v>8</v>
      </c>
      <c r="D381" s="21" t="s">
        <v>2</v>
      </c>
      <c r="E381" s="21" t="s">
        <v>61</v>
      </c>
      <c r="F381" s="5812">
        <v>1</v>
      </c>
      <c r="G381" s="5813">
        <v>6.1111111111111109E-2</v>
      </c>
      <c r="H381" s="21" t="s">
        <v>10</v>
      </c>
      <c r="I381" s="21" t="s">
        <v>23</v>
      </c>
      <c r="J381" s="21" t="s">
        <v>67</v>
      </c>
      <c r="K381" s="5814" t="s">
        <v>3276</v>
      </c>
    </row>
    <row r="382" spans="1:11">
      <c r="A382" s="21" t="s">
        <v>3089</v>
      </c>
      <c r="B382" s="21" t="s">
        <v>3277</v>
      </c>
      <c r="C382" s="21" t="s">
        <v>8</v>
      </c>
      <c r="D382" s="21" t="s">
        <v>2</v>
      </c>
      <c r="E382" s="21" t="s">
        <v>61</v>
      </c>
      <c r="F382" s="5812">
        <v>1</v>
      </c>
      <c r="G382" s="5813">
        <v>6.3194444444444442E-2</v>
      </c>
      <c r="H382" s="21" t="s">
        <v>10</v>
      </c>
      <c r="I382" s="21" t="s">
        <v>3278</v>
      </c>
      <c r="J382" s="21" t="s">
        <v>3279</v>
      </c>
      <c r="K382" s="5814" t="s">
        <v>3280</v>
      </c>
    </row>
    <row r="383" spans="1:11">
      <c r="A383" s="21" t="s">
        <v>3173</v>
      </c>
      <c r="B383" s="21" t="s">
        <v>3281</v>
      </c>
      <c r="C383" s="21" t="s">
        <v>22</v>
      </c>
      <c r="D383" s="21" t="s">
        <v>2</v>
      </c>
      <c r="E383" s="21" t="s">
        <v>61</v>
      </c>
      <c r="F383" s="5812">
        <v>1</v>
      </c>
      <c r="G383" s="5813">
        <v>6.9444444444444448E-2</v>
      </c>
      <c r="H383" s="21" t="s">
        <v>10</v>
      </c>
      <c r="I383" s="21" t="s">
        <v>3024</v>
      </c>
      <c r="J383" s="21" t="s">
        <v>782</v>
      </c>
      <c r="K383" s="5814" t="s">
        <v>3282</v>
      </c>
    </row>
    <row r="384" spans="1:11">
      <c r="A384" s="21" t="s">
        <v>2229</v>
      </c>
      <c r="B384" s="21" t="s">
        <v>3283</v>
      </c>
      <c r="C384" s="21" t="s">
        <v>22</v>
      </c>
      <c r="D384" s="21" t="s">
        <v>2</v>
      </c>
      <c r="E384" s="21" t="s">
        <v>61</v>
      </c>
      <c r="F384" s="5812">
        <v>1</v>
      </c>
      <c r="G384" s="5813">
        <v>7.4999999999999997E-2</v>
      </c>
      <c r="H384" s="21" t="s">
        <v>10</v>
      </c>
      <c r="I384" s="21" t="s">
        <v>2176</v>
      </c>
      <c r="J384" s="21" t="s">
        <v>3284</v>
      </c>
      <c r="K384" s="5814" t="s">
        <v>3285</v>
      </c>
    </row>
    <row r="385" spans="1:11">
      <c r="A385" s="21" t="s">
        <v>3286</v>
      </c>
      <c r="B385" s="21" t="s">
        <v>3287</v>
      </c>
      <c r="C385" s="21" t="s">
        <v>22</v>
      </c>
      <c r="D385" s="21" t="s">
        <v>2</v>
      </c>
      <c r="E385" s="21" t="s">
        <v>61</v>
      </c>
      <c r="F385" s="5812">
        <v>1</v>
      </c>
      <c r="G385" s="5813">
        <v>8.2638888888888887E-2</v>
      </c>
      <c r="H385" s="21" t="s">
        <v>10</v>
      </c>
      <c r="I385" s="21" t="s">
        <v>47</v>
      </c>
      <c r="J385" s="21" t="s">
        <v>3271</v>
      </c>
      <c r="K385" s="5814" t="s">
        <v>3288</v>
      </c>
    </row>
    <row r="386" spans="1:11">
      <c r="A386" s="21" t="s">
        <v>2225</v>
      </c>
      <c r="B386" s="21" t="s">
        <v>3289</v>
      </c>
      <c r="C386" s="21" t="s">
        <v>22</v>
      </c>
      <c r="D386" s="21" t="s">
        <v>2</v>
      </c>
      <c r="E386" s="21" t="s">
        <v>61</v>
      </c>
      <c r="F386" s="5812">
        <v>1</v>
      </c>
      <c r="G386" s="5813">
        <v>8.4027777777777785E-2</v>
      </c>
      <c r="H386" s="21" t="s">
        <v>10</v>
      </c>
      <c r="I386" s="21" t="s">
        <v>187</v>
      </c>
      <c r="J386" s="21" t="s">
        <v>1194</v>
      </c>
      <c r="K386" s="5814" t="s">
        <v>3290</v>
      </c>
    </row>
    <row r="387" spans="1:11">
      <c r="A387" s="21" t="s">
        <v>2250</v>
      </c>
      <c r="B387" s="21" t="s">
        <v>3291</v>
      </c>
      <c r="C387" s="21" t="s">
        <v>22</v>
      </c>
      <c r="D387" s="21" t="s">
        <v>2</v>
      </c>
      <c r="E387" s="21" t="s">
        <v>61</v>
      </c>
      <c r="F387" s="5812">
        <v>1</v>
      </c>
      <c r="G387" s="5813">
        <v>8.8888888888888892E-2</v>
      </c>
      <c r="H387" s="21" t="s">
        <v>10</v>
      </c>
      <c r="I387" s="21" t="s">
        <v>39</v>
      </c>
      <c r="J387" s="21" t="s">
        <v>110</v>
      </c>
      <c r="K387" s="5814" t="s">
        <v>3292</v>
      </c>
    </row>
    <row r="388" spans="1:11">
      <c r="A388" s="21" t="s">
        <v>3293</v>
      </c>
      <c r="B388" s="21" t="s">
        <v>3294</v>
      </c>
      <c r="C388" s="21" t="s">
        <v>22</v>
      </c>
      <c r="D388" s="21" t="s">
        <v>2</v>
      </c>
      <c r="E388" s="21" t="s">
        <v>61</v>
      </c>
      <c r="F388" s="5812">
        <v>1</v>
      </c>
      <c r="G388" s="5813">
        <v>8.8888888888888892E-2</v>
      </c>
      <c r="H388" s="21" t="s">
        <v>10</v>
      </c>
      <c r="I388" s="21" t="s">
        <v>23</v>
      </c>
      <c r="J388" s="21" t="s">
        <v>110</v>
      </c>
      <c r="K388" s="5814" t="s">
        <v>3295</v>
      </c>
    </row>
    <row r="389" spans="1:11">
      <c r="A389" s="21" t="s">
        <v>3049</v>
      </c>
      <c r="B389" s="21" t="s">
        <v>3296</v>
      </c>
      <c r="C389" s="21" t="s">
        <v>22</v>
      </c>
      <c r="D389" s="21" t="s">
        <v>2</v>
      </c>
      <c r="E389" s="21" t="s">
        <v>61</v>
      </c>
      <c r="F389" s="5812">
        <v>1</v>
      </c>
      <c r="G389" s="5813">
        <v>9.4444444444444442E-2</v>
      </c>
      <c r="H389" s="21" t="s">
        <v>10</v>
      </c>
      <c r="I389" s="21" t="s">
        <v>47</v>
      </c>
      <c r="J389" s="21" t="s">
        <v>67</v>
      </c>
      <c r="K389" s="5814" t="s">
        <v>3297</v>
      </c>
    </row>
    <row r="390" spans="1:11">
      <c r="A390" s="21" t="s">
        <v>2768</v>
      </c>
      <c r="B390" s="21" t="s">
        <v>3298</v>
      </c>
      <c r="C390" s="21" t="s">
        <v>22</v>
      </c>
      <c r="D390" s="21" t="s">
        <v>2</v>
      </c>
      <c r="E390" s="21" t="s">
        <v>61</v>
      </c>
      <c r="F390" s="5812">
        <v>1</v>
      </c>
      <c r="G390" s="5813">
        <v>9.583333333333334E-2</v>
      </c>
      <c r="H390" s="21" t="s">
        <v>10</v>
      </c>
      <c r="I390" s="21" t="s">
        <v>11</v>
      </c>
      <c r="J390" s="21" t="s">
        <v>1379</v>
      </c>
      <c r="K390" s="5814" t="s">
        <v>3299</v>
      </c>
    </row>
    <row r="391" spans="1:11">
      <c r="A391" s="21" t="s">
        <v>3249</v>
      </c>
      <c r="B391" s="21" t="s">
        <v>3300</v>
      </c>
      <c r="C391" s="21" t="s">
        <v>8</v>
      </c>
      <c r="D391" s="21" t="s">
        <v>2</v>
      </c>
      <c r="E391" s="21" t="s">
        <v>61</v>
      </c>
      <c r="F391" s="5812">
        <v>1</v>
      </c>
      <c r="G391" s="5813">
        <v>0.10069444444444445</v>
      </c>
      <c r="H391" s="21" t="s">
        <v>10</v>
      </c>
      <c r="I391" s="21" t="s">
        <v>23</v>
      </c>
      <c r="J391" s="21" t="s">
        <v>67</v>
      </c>
      <c r="K391" s="5814" t="s">
        <v>3301</v>
      </c>
    </row>
    <row r="392" spans="1:11">
      <c r="A392" s="21" t="s">
        <v>2413</v>
      </c>
      <c r="B392" s="21" t="s">
        <v>3302</v>
      </c>
      <c r="C392" s="21" t="s">
        <v>22</v>
      </c>
      <c r="D392" s="21" t="s">
        <v>2</v>
      </c>
      <c r="E392" s="21" t="s">
        <v>61</v>
      </c>
      <c r="F392" s="5812">
        <v>1</v>
      </c>
      <c r="G392" s="5813">
        <v>0.10208333333333333</v>
      </c>
      <c r="H392" s="21" t="s">
        <v>10</v>
      </c>
      <c r="I392" s="21" t="s">
        <v>55</v>
      </c>
      <c r="J392" s="21" t="s">
        <v>67</v>
      </c>
      <c r="K392" s="5814" t="s">
        <v>3303</v>
      </c>
    </row>
    <row r="393" spans="1:11">
      <c r="A393" s="21" t="s">
        <v>2905</v>
      </c>
      <c r="B393" s="21" t="s">
        <v>3304</v>
      </c>
      <c r="C393" s="21" t="s">
        <v>8</v>
      </c>
      <c r="D393" s="21" t="s">
        <v>2</v>
      </c>
      <c r="E393" s="21" t="s">
        <v>61</v>
      </c>
      <c r="F393" s="5812">
        <v>1</v>
      </c>
      <c r="G393" s="5813">
        <v>0.10694444444444444</v>
      </c>
      <c r="H393" s="21" t="s">
        <v>10</v>
      </c>
      <c r="I393" s="21" t="s">
        <v>3305</v>
      </c>
      <c r="J393" s="21" t="s">
        <v>67</v>
      </c>
      <c r="K393" s="5814" t="s">
        <v>3306</v>
      </c>
    </row>
    <row r="394" spans="1:11">
      <c r="A394" s="21" t="s">
        <v>2513</v>
      </c>
      <c r="B394" s="21" t="s">
        <v>3307</v>
      </c>
      <c r="C394" s="21" t="s">
        <v>8</v>
      </c>
      <c r="D394" s="21" t="s">
        <v>2</v>
      </c>
      <c r="E394" s="21" t="s">
        <v>61</v>
      </c>
      <c r="F394" s="5812">
        <v>1</v>
      </c>
      <c r="G394" s="5813">
        <v>0.11319444444444444</v>
      </c>
      <c r="H394" s="21" t="s">
        <v>10</v>
      </c>
      <c r="I394" s="21" t="s">
        <v>23</v>
      </c>
      <c r="J394" s="21" t="s">
        <v>67</v>
      </c>
      <c r="K394" s="5814" t="s">
        <v>3308</v>
      </c>
    </row>
    <row r="395" spans="1:11">
      <c r="A395" s="21" t="s">
        <v>3230</v>
      </c>
      <c r="B395" s="21" t="s">
        <v>3309</v>
      </c>
      <c r="C395" s="21" t="s">
        <v>8</v>
      </c>
      <c r="D395" s="21" t="s">
        <v>2</v>
      </c>
      <c r="E395" s="21" t="s">
        <v>61</v>
      </c>
      <c r="F395" s="5812">
        <v>1</v>
      </c>
      <c r="G395" s="5813">
        <v>0.11388888888888889</v>
      </c>
      <c r="H395" s="21" t="s">
        <v>10</v>
      </c>
      <c r="I395" s="21" t="s">
        <v>55</v>
      </c>
      <c r="J395" s="21" t="s">
        <v>897</v>
      </c>
      <c r="K395" s="5814" t="s">
        <v>3310</v>
      </c>
    </row>
    <row r="396" spans="1:11">
      <c r="A396" s="21" t="s">
        <v>3311</v>
      </c>
      <c r="B396" s="21" t="s">
        <v>3312</v>
      </c>
      <c r="C396" s="21" t="s">
        <v>8</v>
      </c>
      <c r="D396" s="21" t="s">
        <v>2</v>
      </c>
      <c r="E396" s="21" t="s">
        <v>61</v>
      </c>
      <c r="F396" s="5812">
        <v>1</v>
      </c>
      <c r="G396" s="5813">
        <v>0.11736111111111111</v>
      </c>
      <c r="H396" s="21" t="s">
        <v>10</v>
      </c>
      <c r="I396" s="21" t="s">
        <v>39</v>
      </c>
      <c r="J396" s="21" t="s">
        <v>3313</v>
      </c>
      <c r="K396" s="5814" t="s">
        <v>3314</v>
      </c>
    </row>
    <row r="397" spans="1:11">
      <c r="A397" s="21" t="s">
        <v>3315</v>
      </c>
      <c r="B397" s="21" t="s">
        <v>3316</v>
      </c>
      <c r="C397" s="21" t="s">
        <v>22</v>
      </c>
      <c r="D397" s="21" t="s">
        <v>2</v>
      </c>
      <c r="E397" s="21" t="s">
        <v>61</v>
      </c>
      <c r="F397" s="5812">
        <v>1</v>
      </c>
      <c r="G397" s="5813">
        <v>0.12708333333333333</v>
      </c>
      <c r="H397" s="21" t="s">
        <v>10</v>
      </c>
      <c r="I397" s="21" t="s">
        <v>23</v>
      </c>
      <c r="J397" s="21" t="s">
        <v>3313</v>
      </c>
      <c r="K397" s="5814" t="s">
        <v>3317</v>
      </c>
    </row>
    <row r="398" spans="1:11">
      <c r="A398" s="21" t="s">
        <v>2651</v>
      </c>
      <c r="B398" s="21" t="s">
        <v>3318</v>
      </c>
      <c r="C398" s="21" t="s">
        <v>22</v>
      </c>
      <c r="D398" s="21" t="s">
        <v>2</v>
      </c>
      <c r="E398" s="21" t="s">
        <v>61</v>
      </c>
      <c r="F398" s="5812">
        <v>1</v>
      </c>
      <c r="G398" s="5813">
        <v>0.13125000000000001</v>
      </c>
      <c r="H398" s="21" t="s">
        <v>10</v>
      </c>
      <c r="I398" s="21" t="s">
        <v>11</v>
      </c>
      <c r="J398" s="21" t="s">
        <v>3313</v>
      </c>
      <c r="K398" s="5814" t="s">
        <v>3319</v>
      </c>
    </row>
    <row r="399" spans="1:11">
      <c r="A399" s="21" t="s">
        <v>2998</v>
      </c>
      <c r="B399" s="21" t="s">
        <v>2230</v>
      </c>
      <c r="C399" s="21" t="s">
        <v>22</v>
      </c>
      <c r="D399" s="21" t="s">
        <v>2</v>
      </c>
      <c r="E399" s="21" t="s">
        <v>61</v>
      </c>
      <c r="F399" s="5812">
        <v>1</v>
      </c>
      <c r="G399" s="5813">
        <v>0.13680555555555557</v>
      </c>
      <c r="H399" s="21" t="s">
        <v>54</v>
      </c>
      <c r="I399" s="21" t="s">
        <v>96</v>
      </c>
      <c r="J399" s="21" t="s">
        <v>3313</v>
      </c>
      <c r="K399" s="5814" t="s">
        <v>3320</v>
      </c>
    </row>
    <row r="400" spans="1:11">
      <c r="A400" s="21" t="s">
        <v>2088</v>
      </c>
      <c r="B400" s="21" t="s">
        <v>3321</v>
      </c>
      <c r="C400" s="21" t="s">
        <v>8</v>
      </c>
      <c r="D400" s="21" t="s">
        <v>2</v>
      </c>
      <c r="E400" s="21" t="s">
        <v>61</v>
      </c>
      <c r="F400" s="5812">
        <v>1</v>
      </c>
      <c r="G400" s="5813">
        <v>0.13750000000000001</v>
      </c>
      <c r="H400" s="21" t="s">
        <v>10</v>
      </c>
      <c r="I400" s="21" t="s">
        <v>23</v>
      </c>
      <c r="J400" s="21" t="s">
        <v>67</v>
      </c>
      <c r="K400" s="5814" t="s">
        <v>3322</v>
      </c>
    </row>
    <row r="401" spans="1:11">
      <c r="A401" s="21" t="s">
        <v>3323</v>
      </c>
      <c r="B401" s="21" t="s">
        <v>3324</v>
      </c>
      <c r="C401" s="21" t="s">
        <v>22</v>
      </c>
      <c r="D401" s="21" t="s">
        <v>2</v>
      </c>
      <c r="E401" s="21" t="s">
        <v>61</v>
      </c>
      <c r="F401" s="5812">
        <v>1</v>
      </c>
      <c r="G401" s="5813">
        <v>0.13750000000000001</v>
      </c>
      <c r="H401" s="21" t="s">
        <v>10</v>
      </c>
      <c r="I401" s="21" t="s">
        <v>3325</v>
      </c>
      <c r="J401" s="21" t="s">
        <v>3326</v>
      </c>
      <c r="K401" s="5814" t="s">
        <v>3327</v>
      </c>
    </row>
    <row r="402" spans="1:11">
      <c r="A402" s="21" t="s">
        <v>3328</v>
      </c>
      <c r="B402" s="21" t="s">
        <v>3329</v>
      </c>
      <c r="C402" s="21" t="s">
        <v>8</v>
      </c>
      <c r="D402" s="21" t="s">
        <v>2</v>
      </c>
      <c r="E402" s="21" t="s">
        <v>61</v>
      </c>
      <c r="F402" s="5812">
        <v>1</v>
      </c>
      <c r="G402" s="5813">
        <v>0.14652777777777778</v>
      </c>
      <c r="H402" s="21" t="s">
        <v>10</v>
      </c>
      <c r="I402" s="21" t="s">
        <v>187</v>
      </c>
      <c r="J402" s="21" t="s">
        <v>1379</v>
      </c>
      <c r="K402" s="5814" t="s">
        <v>3330</v>
      </c>
    </row>
    <row r="403" spans="1:11">
      <c r="A403" s="21" t="s">
        <v>2995</v>
      </c>
      <c r="B403" s="21" t="s">
        <v>3331</v>
      </c>
      <c r="C403" s="21" t="s">
        <v>8</v>
      </c>
      <c r="D403" s="21" t="s">
        <v>2</v>
      </c>
      <c r="E403" s="21" t="s">
        <v>61</v>
      </c>
      <c r="F403" s="5812">
        <v>1</v>
      </c>
      <c r="G403" s="5813">
        <v>0.15763888888888888</v>
      </c>
      <c r="H403" s="21" t="s">
        <v>10</v>
      </c>
      <c r="I403" s="21" t="s">
        <v>39</v>
      </c>
      <c r="J403" s="21" t="s">
        <v>3332</v>
      </c>
      <c r="K403" s="5814" t="s">
        <v>3333</v>
      </c>
    </row>
    <row r="404" spans="1:11">
      <c r="A404" s="21" t="s">
        <v>2655</v>
      </c>
      <c r="B404" s="21" t="s">
        <v>3334</v>
      </c>
      <c r="C404" s="21" t="s">
        <v>22</v>
      </c>
      <c r="D404" s="21" t="s">
        <v>2</v>
      </c>
      <c r="E404" s="21" t="s">
        <v>61</v>
      </c>
      <c r="F404" s="5812">
        <v>1</v>
      </c>
      <c r="G404" s="5813">
        <v>0.16597222222222222</v>
      </c>
      <c r="H404" s="21" t="s">
        <v>10</v>
      </c>
      <c r="I404" s="21" t="s">
        <v>55</v>
      </c>
      <c r="J404" s="21" t="s">
        <v>67</v>
      </c>
      <c r="K404" s="5814" t="s">
        <v>3335</v>
      </c>
    </row>
    <row r="405" spans="1:11">
      <c r="A405" s="21" t="s">
        <v>52</v>
      </c>
      <c r="B405" s="21" t="s">
        <v>60</v>
      </c>
      <c r="C405" s="21" t="s">
        <v>8</v>
      </c>
      <c r="D405" s="21" t="s">
        <v>2</v>
      </c>
      <c r="E405" s="21" t="s">
        <v>61</v>
      </c>
      <c r="F405" s="5812">
        <v>1</v>
      </c>
      <c r="G405" s="5813">
        <v>0.16805555555555557</v>
      </c>
      <c r="H405" s="21" t="s">
        <v>10</v>
      </c>
      <c r="I405" s="21" t="s">
        <v>55</v>
      </c>
      <c r="J405" s="21" t="s">
        <v>62</v>
      </c>
      <c r="K405" s="5814" t="s">
        <v>63</v>
      </c>
    </row>
    <row r="406" spans="1:11">
      <c r="A406" s="21" t="s">
        <v>2761</v>
      </c>
      <c r="B406" s="21" t="s">
        <v>3336</v>
      </c>
      <c r="C406" s="21" t="s">
        <v>8</v>
      </c>
      <c r="D406" s="21" t="s">
        <v>2</v>
      </c>
      <c r="E406" s="21" t="s">
        <v>61</v>
      </c>
      <c r="F406" s="5812">
        <v>1</v>
      </c>
      <c r="G406" s="5813">
        <v>0.16875000000000001</v>
      </c>
      <c r="H406" s="21" t="s">
        <v>10</v>
      </c>
      <c r="I406" s="21" t="s">
        <v>2247</v>
      </c>
      <c r="J406" s="21" t="s">
        <v>3313</v>
      </c>
      <c r="K406" s="5814" t="s">
        <v>3337</v>
      </c>
    </row>
    <row r="407" spans="1:11">
      <c r="A407" s="21" t="s">
        <v>3338</v>
      </c>
      <c r="B407" s="21" t="s">
        <v>3339</v>
      </c>
      <c r="C407" s="21" t="s">
        <v>8</v>
      </c>
      <c r="D407" s="21" t="s">
        <v>2</v>
      </c>
      <c r="E407" s="21" t="s">
        <v>61</v>
      </c>
      <c r="F407" s="5812">
        <v>1</v>
      </c>
      <c r="G407" s="5813">
        <v>0.17152777777777778</v>
      </c>
      <c r="H407" s="21" t="s">
        <v>10</v>
      </c>
      <c r="I407" s="21" t="s">
        <v>23</v>
      </c>
      <c r="J407" s="21" t="s">
        <v>3340</v>
      </c>
      <c r="K407" s="5814" t="s">
        <v>3341</v>
      </c>
    </row>
    <row r="408" spans="1:11">
      <c r="A408" s="21" t="s">
        <v>2311</v>
      </c>
      <c r="B408" s="21" t="s">
        <v>3342</v>
      </c>
      <c r="C408" s="21" t="s">
        <v>8</v>
      </c>
      <c r="D408" s="21" t="s">
        <v>2</v>
      </c>
      <c r="E408" s="21" t="s">
        <v>61</v>
      </c>
      <c r="F408" s="5812">
        <v>1</v>
      </c>
      <c r="G408" s="5813">
        <v>0.17708333333333334</v>
      </c>
      <c r="H408" s="21" t="s">
        <v>10</v>
      </c>
      <c r="I408" s="21" t="s">
        <v>3343</v>
      </c>
      <c r="J408" s="21" t="s">
        <v>62</v>
      </c>
      <c r="K408" s="5814" t="s">
        <v>3344</v>
      </c>
    </row>
    <row r="409" spans="1:11">
      <c r="A409" s="21" t="s">
        <v>3345</v>
      </c>
      <c r="B409" s="21" t="s">
        <v>3346</v>
      </c>
      <c r="C409" s="21" t="s">
        <v>22</v>
      </c>
      <c r="D409" s="21" t="s">
        <v>2</v>
      </c>
      <c r="E409" s="21" t="s">
        <v>61</v>
      </c>
      <c r="F409" s="5812">
        <v>1</v>
      </c>
      <c r="G409" s="5813">
        <v>0.18124999999999999</v>
      </c>
      <c r="H409" s="21" t="s">
        <v>10</v>
      </c>
      <c r="I409" s="21" t="s">
        <v>2872</v>
      </c>
      <c r="J409" s="21" t="s">
        <v>928</v>
      </c>
      <c r="K409" s="5814" t="s">
        <v>3347</v>
      </c>
    </row>
    <row r="410" spans="1:11">
      <c r="A410" s="21" t="s">
        <v>3348</v>
      </c>
      <c r="B410" s="21" t="s">
        <v>3349</v>
      </c>
      <c r="C410" s="21" t="s">
        <v>22</v>
      </c>
      <c r="D410" s="21" t="s">
        <v>2</v>
      </c>
      <c r="E410" s="21" t="s">
        <v>61</v>
      </c>
      <c r="F410" s="5812">
        <v>1</v>
      </c>
      <c r="G410" s="5813">
        <v>0.19097222222222221</v>
      </c>
      <c r="H410" s="21" t="s">
        <v>10</v>
      </c>
      <c r="I410" s="21" t="s">
        <v>55</v>
      </c>
      <c r="J410" s="21" t="s">
        <v>3350</v>
      </c>
      <c r="K410" s="5814" t="s">
        <v>3351</v>
      </c>
    </row>
    <row r="411" spans="1:11">
      <c r="A411" s="21" t="s">
        <v>2542</v>
      </c>
      <c r="B411" s="21" t="s">
        <v>3352</v>
      </c>
      <c r="C411" s="21" t="s">
        <v>22</v>
      </c>
      <c r="D411" s="21" t="s">
        <v>2</v>
      </c>
      <c r="E411" s="21" t="s">
        <v>61</v>
      </c>
      <c r="F411" s="5812">
        <v>1</v>
      </c>
      <c r="G411" s="5813">
        <v>0.19583333333333333</v>
      </c>
      <c r="H411" s="21" t="s">
        <v>10</v>
      </c>
      <c r="I411" s="21" t="s">
        <v>55</v>
      </c>
      <c r="J411" s="21" t="s">
        <v>3326</v>
      </c>
      <c r="K411" s="5814" t="s">
        <v>3353</v>
      </c>
    </row>
    <row r="412" spans="1:11">
      <c r="A412" s="21" t="s">
        <v>3354</v>
      </c>
      <c r="B412" s="21" t="s">
        <v>3355</v>
      </c>
      <c r="C412" s="21" t="s">
        <v>8</v>
      </c>
      <c r="D412" s="21" t="s">
        <v>2</v>
      </c>
      <c r="E412" s="21" t="s">
        <v>61</v>
      </c>
      <c r="F412" s="5812">
        <v>1</v>
      </c>
      <c r="G412" s="5813">
        <v>0.20347222222222222</v>
      </c>
      <c r="H412" s="21" t="s">
        <v>10</v>
      </c>
      <c r="I412" s="21" t="s">
        <v>3356</v>
      </c>
      <c r="J412" s="21" t="s">
        <v>3357</v>
      </c>
      <c r="K412" s="5814" t="s">
        <v>3358</v>
      </c>
    </row>
    <row r="413" spans="1:11">
      <c r="A413" s="21" t="s">
        <v>2376</v>
      </c>
      <c r="B413" s="21" t="s">
        <v>3359</v>
      </c>
      <c r="C413" s="21" t="s">
        <v>8</v>
      </c>
      <c r="D413" s="21" t="s">
        <v>2</v>
      </c>
      <c r="E413" s="21" t="s">
        <v>61</v>
      </c>
      <c r="F413" s="5812">
        <v>1</v>
      </c>
      <c r="G413" s="5813">
        <v>0.20416666666666666</v>
      </c>
      <c r="H413" s="21" t="s">
        <v>10</v>
      </c>
      <c r="I413" s="21" t="s">
        <v>23</v>
      </c>
      <c r="J413" s="21" t="s">
        <v>3360</v>
      </c>
      <c r="K413" s="5814" t="s">
        <v>3361</v>
      </c>
    </row>
    <row r="414" spans="1:11">
      <c r="A414" s="21" t="s">
        <v>2626</v>
      </c>
      <c r="B414" s="21" t="s">
        <v>3362</v>
      </c>
      <c r="C414" s="21" t="s">
        <v>8</v>
      </c>
      <c r="D414" s="21" t="s">
        <v>2</v>
      </c>
      <c r="E414" s="21" t="s">
        <v>61</v>
      </c>
      <c r="F414" s="5812">
        <v>2</v>
      </c>
      <c r="G414" s="5813">
        <v>0.05</v>
      </c>
      <c r="H414" s="21" t="s">
        <v>10</v>
      </c>
      <c r="I414" s="21" t="s">
        <v>96</v>
      </c>
      <c r="J414" s="21" t="s">
        <v>67</v>
      </c>
      <c r="K414" s="5814" t="s">
        <v>3363</v>
      </c>
    </row>
    <row r="415" spans="1:11">
      <c r="A415" s="21" t="s">
        <v>3364</v>
      </c>
      <c r="B415" s="21" t="s">
        <v>3365</v>
      </c>
      <c r="C415" s="21" t="s">
        <v>22</v>
      </c>
      <c r="D415" s="21" t="s">
        <v>2</v>
      </c>
      <c r="E415" s="21" t="s">
        <v>61</v>
      </c>
      <c r="F415" s="5812">
        <v>2</v>
      </c>
      <c r="G415" s="5813">
        <v>6.3194444444444442E-2</v>
      </c>
      <c r="H415" s="21" t="s">
        <v>10</v>
      </c>
      <c r="I415" s="21" t="s">
        <v>2176</v>
      </c>
      <c r="J415" s="21" t="s">
        <v>67</v>
      </c>
      <c r="K415" s="5814" t="s">
        <v>3366</v>
      </c>
    </row>
    <row r="416" spans="1:11">
      <c r="A416" s="21" t="s">
        <v>2250</v>
      </c>
      <c r="B416" s="21" t="s">
        <v>3367</v>
      </c>
      <c r="C416" s="21" t="s">
        <v>8</v>
      </c>
      <c r="D416" s="21" t="s">
        <v>2</v>
      </c>
      <c r="E416" s="21" t="s">
        <v>61</v>
      </c>
      <c r="F416" s="5812">
        <v>2</v>
      </c>
      <c r="G416" s="5813">
        <v>6.8750000000000006E-2</v>
      </c>
      <c r="H416" s="21" t="s">
        <v>10</v>
      </c>
      <c r="I416" s="21" t="s">
        <v>23</v>
      </c>
      <c r="J416" s="21" t="s">
        <v>928</v>
      </c>
      <c r="K416" s="5814" t="s">
        <v>3368</v>
      </c>
    </row>
    <row r="417" spans="1:11">
      <c r="A417" s="21" t="s">
        <v>3369</v>
      </c>
      <c r="B417" s="21" t="s">
        <v>3370</v>
      </c>
      <c r="C417" s="21" t="s">
        <v>8</v>
      </c>
      <c r="D417" s="21" t="s">
        <v>2</v>
      </c>
      <c r="E417" s="21" t="s">
        <v>61</v>
      </c>
      <c r="F417" s="5812">
        <v>2</v>
      </c>
      <c r="G417" s="5813">
        <v>7.013888888888889E-2</v>
      </c>
      <c r="H417" s="21" t="s">
        <v>10</v>
      </c>
      <c r="I417" s="21" t="s">
        <v>23</v>
      </c>
      <c r="J417" s="21" t="s">
        <v>1327</v>
      </c>
      <c r="K417" s="5814" t="s">
        <v>3371</v>
      </c>
    </row>
    <row r="418" spans="1:11">
      <c r="A418" s="21" t="s">
        <v>2212</v>
      </c>
      <c r="B418" s="21" t="s">
        <v>3372</v>
      </c>
      <c r="C418" s="21" t="s">
        <v>22</v>
      </c>
      <c r="D418" s="21" t="s">
        <v>2</v>
      </c>
      <c r="E418" s="21" t="s">
        <v>61</v>
      </c>
      <c r="F418" s="5812">
        <v>2</v>
      </c>
      <c r="G418" s="5813">
        <v>7.9166666666666663E-2</v>
      </c>
      <c r="H418" s="21" t="s">
        <v>10</v>
      </c>
      <c r="I418" s="21" t="s">
        <v>3373</v>
      </c>
      <c r="J418" s="21" t="s">
        <v>1327</v>
      </c>
      <c r="K418" s="5814" t="s">
        <v>3374</v>
      </c>
    </row>
    <row r="419" spans="1:11">
      <c r="A419" s="21" t="s">
        <v>3082</v>
      </c>
      <c r="B419" s="21" t="s">
        <v>3375</v>
      </c>
      <c r="C419" s="21" t="s">
        <v>8</v>
      </c>
      <c r="D419" s="21" t="s">
        <v>2</v>
      </c>
      <c r="E419" s="21" t="s">
        <v>61</v>
      </c>
      <c r="F419" s="5812">
        <v>2</v>
      </c>
      <c r="G419" s="5813">
        <v>7.9861111111111105E-2</v>
      </c>
      <c r="H419" s="21" t="s">
        <v>10</v>
      </c>
      <c r="I419" s="21" t="s">
        <v>117</v>
      </c>
      <c r="J419" s="21" t="s">
        <v>3313</v>
      </c>
      <c r="K419" s="5814" t="s">
        <v>3376</v>
      </c>
    </row>
    <row r="420" spans="1:11">
      <c r="A420" s="21" t="s">
        <v>2188</v>
      </c>
      <c r="B420" s="21" t="s">
        <v>3377</v>
      </c>
      <c r="C420" s="21" t="s">
        <v>22</v>
      </c>
      <c r="D420" s="21" t="s">
        <v>2</v>
      </c>
      <c r="E420" s="21" t="s">
        <v>61</v>
      </c>
      <c r="F420" s="5812">
        <v>2</v>
      </c>
      <c r="G420" s="5813">
        <v>8.819444444444445E-2</v>
      </c>
      <c r="H420" s="21" t="s">
        <v>10</v>
      </c>
      <c r="I420" s="21" t="s">
        <v>2153</v>
      </c>
      <c r="J420" s="21" t="s">
        <v>1379</v>
      </c>
      <c r="K420" s="5814" t="s">
        <v>3378</v>
      </c>
    </row>
    <row r="421" spans="1:11">
      <c r="A421" s="21" t="s">
        <v>2263</v>
      </c>
      <c r="B421" s="21" t="s">
        <v>3379</v>
      </c>
      <c r="C421" s="21" t="s">
        <v>8</v>
      </c>
      <c r="D421" s="21" t="s">
        <v>2</v>
      </c>
      <c r="E421" s="21" t="s">
        <v>61</v>
      </c>
      <c r="F421" s="5812">
        <v>2</v>
      </c>
      <c r="G421" s="5813">
        <v>8.9583333333333334E-2</v>
      </c>
      <c r="H421" s="21" t="s">
        <v>10</v>
      </c>
      <c r="I421" s="21" t="s">
        <v>2247</v>
      </c>
      <c r="J421" s="21" t="s">
        <v>67</v>
      </c>
      <c r="K421" s="5814" t="s">
        <v>3380</v>
      </c>
    </row>
    <row r="422" spans="1:11">
      <c r="A422" s="21" t="s">
        <v>2276</v>
      </c>
      <c r="B422" s="21" t="s">
        <v>3381</v>
      </c>
      <c r="C422" s="21" t="s">
        <v>8</v>
      </c>
      <c r="D422" s="21" t="s">
        <v>2</v>
      </c>
      <c r="E422" s="21" t="s">
        <v>61</v>
      </c>
      <c r="F422" s="5812">
        <v>2</v>
      </c>
      <c r="G422" s="5813">
        <v>9.375E-2</v>
      </c>
      <c r="H422" s="21" t="s">
        <v>10</v>
      </c>
      <c r="I422" s="21" t="s">
        <v>3382</v>
      </c>
      <c r="J422" s="21" t="s">
        <v>3383</v>
      </c>
      <c r="K422" s="5814" t="s">
        <v>3384</v>
      </c>
    </row>
    <row r="423" spans="1:11">
      <c r="A423" s="21" t="s">
        <v>2915</v>
      </c>
      <c r="B423" s="21" t="s">
        <v>3385</v>
      </c>
      <c r="C423" s="21" t="s">
        <v>22</v>
      </c>
      <c r="D423" s="21" t="s">
        <v>2</v>
      </c>
      <c r="E423" s="21" t="s">
        <v>61</v>
      </c>
      <c r="F423" s="5812">
        <v>2</v>
      </c>
      <c r="G423" s="5813">
        <v>9.583333333333334E-2</v>
      </c>
      <c r="H423" s="21" t="s">
        <v>10</v>
      </c>
      <c r="I423" s="21" t="s">
        <v>187</v>
      </c>
      <c r="J423" s="21" t="s">
        <v>782</v>
      </c>
      <c r="K423" s="5814" t="s">
        <v>3386</v>
      </c>
    </row>
    <row r="424" spans="1:11">
      <c r="A424" s="21" t="s">
        <v>3387</v>
      </c>
      <c r="B424" s="21" t="s">
        <v>3388</v>
      </c>
      <c r="C424" s="21" t="s">
        <v>8</v>
      </c>
      <c r="D424" s="21" t="s">
        <v>2</v>
      </c>
      <c r="E424" s="21" t="s">
        <v>61</v>
      </c>
      <c r="F424" s="5812">
        <v>2</v>
      </c>
      <c r="G424" s="5813">
        <v>0.10347222222222222</v>
      </c>
      <c r="H424" s="21" t="s">
        <v>10</v>
      </c>
      <c r="I424" s="21" t="s">
        <v>55</v>
      </c>
      <c r="J424" s="21" t="s">
        <v>67</v>
      </c>
      <c r="K424" s="5814" t="s">
        <v>3389</v>
      </c>
    </row>
    <row r="425" spans="1:11">
      <c r="A425" s="21" t="s">
        <v>2737</v>
      </c>
      <c r="B425" s="21" t="s">
        <v>3390</v>
      </c>
      <c r="C425" s="21" t="s">
        <v>22</v>
      </c>
      <c r="D425" s="21" t="s">
        <v>2</v>
      </c>
      <c r="E425" s="21" t="s">
        <v>61</v>
      </c>
      <c r="F425" s="5812">
        <v>2</v>
      </c>
      <c r="G425" s="5813">
        <v>0.10625</v>
      </c>
      <c r="H425" s="21" t="s">
        <v>10</v>
      </c>
      <c r="I425" s="21" t="s">
        <v>609</v>
      </c>
      <c r="J425" s="21" t="s">
        <v>3391</v>
      </c>
      <c r="K425" s="5814" t="s">
        <v>3392</v>
      </c>
    </row>
    <row r="426" spans="1:11">
      <c r="A426" s="21" t="s">
        <v>2115</v>
      </c>
      <c r="B426" s="21" t="s">
        <v>3393</v>
      </c>
      <c r="C426" s="21" t="s">
        <v>8</v>
      </c>
      <c r="D426" s="21" t="s">
        <v>2</v>
      </c>
      <c r="E426" s="21" t="s">
        <v>61</v>
      </c>
      <c r="F426" s="5812">
        <v>2</v>
      </c>
      <c r="G426" s="5813">
        <v>0.1076388888888889</v>
      </c>
      <c r="H426" s="21" t="s">
        <v>10</v>
      </c>
      <c r="I426" s="21" t="s">
        <v>209</v>
      </c>
      <c r="J426" s="21" t="s">
        <v>67</v>
      </c>
      <c r="K426" s="5814" t="s">
        <v>3394</v>
      </c>
    </row>
    <row r="427" spans="1:11">
      <c r="A427" s="21" t="s">
        <v>3395</v>
      </c>
      <c r="B427" s="21" t="s">
        <v>3396</v>
      </c>
      <c r="C427" s="21" t="s">
        <v>8</v>
      </c>
      <c r="D427" s="21" t="s">
        <v>2</v>
      </c>
      <c r="E427" s="21" t="s">
        <v>61</v>
      </c>
      <c r="F427" s="5812">
        <v>2</v>
      </c>
      <c r="G427" s="5813">
        <v>0.11527777777777778</v>
      </c>
      <c r="H427" s="21" t="s">
        <v>10</v>
      </c>
      <c r="I427" s="21" t="s">
        <v>2814</v>
      </c>
      <c r="J427" s="21" t="s">
        <v>67</v>
      </c>
      <c r="K427" s="5814" t="s">
        <v>3397</v>
      </c>
    </row>
    <row r="428" spans="1:11">
      <c r="A428" s="21" t="s">
        <v>2250</v>
      </c>
      <c r="B428" s="21" t="s">
        <v>3398</v>
      </c>
      <c r="C428" s="21" t="s">
        <v>8</v>
      </c>
      <c r="D428" s="21" t="s">
        <v>2</v>
      </c>
      <c r="E428" s="21" t="s">
        <v>61</v>
      </c>
      <c r="F428" s="5812">
        <v>2</v>
      </c>
      <c r="G428" s="5813">
        <v>0.12777777777777777</v>
      </c>
      <c r="H428" s="21" t="s">
        <v>10</v>
      </c>
      <c r="I428" s="21" t="s">
        <v>39</v>
      </c>
      <c r="J428" s="21" t="s">
        <v>67</v>
      </c>
      <c r="K428" s="5814" t="s">
        <v>3399</v>
      </c>
    </row>
    <row r="429" spans="1:11">
      <c r="A429" s="21" t="s">
        <v>3134</v>
      </c>
      <c r="B429" s="21" t="s">
        <v>3400</v>
      </c>
      <c r="C429" s="21" t="s">
        <v>8</v>
      </c>
      <c r="D429" s="21" t="s">
        <v>2</v>
      </c>
      <c r="E429" s="21" t="s">
        <v>61</v>
      </c>
      <c r="F429" s="5812">
        <v>2</v>
      </c>
      <c r="G429" s="5813">
        <v>0.13125000000000001</v>
      </c>
      <c r="H429" s="21" t="s">
        <v>10</v>
      </c>
      <c r="I429" s="21" t="s">
        <v>55</v>
      </c>
      <c r="J429" s="21" t="s">
        <v>505</v>
      </c>
      <c r="K429" s="5814" t="s">
        <v>3401</v>
      </c>
    </row>
    <row r="430" spans="1:11">
      <c r="A430" s="21" t="s">
        <v>2233</v>
      </c>
      <c r="B430" s="21" t="s">
        <v>3402</v>
      </c>
      <c r="C430" s="21" t="s">
        <v>8</v>
      </c>
      <c r="D430" s="21" t="s">
        <v>2</v>
      </c>
      <c r="E430" s="21" t="s">
        <v>61</v>
      </c>
      <c r="F430" s="5812">
        <v>2</v>
      </c>
      <c r="G430" s="5813">
        <v>0.13402777777777777</v>
      </c>
      <c r="H430" s="21" t="s">
        <v>10</v>
      </c>
      <c r="I430" s="21" t="s">
        <v>47</v>
      </c>
      <c r="J430" s="21" t="s">
        <v>3403</v>
      </c>
      <c r="K430" s="5814" t="s">
        <v>3404</v>
      </c>
    </row>
    <row r="431" spans="1:11">
      <c r="A431" s="21" t="s">
        <v>2450</v>
      </c>
      <c r="B431" s="21" t="s">
        <v>3405</v>
      </c>
      <c r="C431" s="21" t="s">
        <v>8</v>
      </c>
      <c r="D431" s="21" t="s">
        <v>2</v>
      </c>
      <c r="E431" s="21" t="s">
        <v>61</v>
      </c>
      <c r="F431" s="5812">
        <v>2</v>
      </c>
      <c r="G431" s="5813">
        <v>0.14166666666666666</v>
      </c>
      <c r="H431" s="21" t="s">
        <v>10</v>
      </c>
      <c r="I431" s="21" t="s">
        <v>73</v>
      </c>
      <c r="J431" s="21" t="s">
        <v>67</v>
      </c>
      <c r="K431" s="5814" t="s">
        <v>3406</v>
      </c>
    </row>
    <row r="432" spans="1:11">
      <c r="A432" s="21" t="s">
        <v>2985</v>
      </c>
      <c r="B432" s="21" t="s">
        <v>3407</v>
      </c>
      <c r="C432" s="21" t="s">
        <v>8</v>
      </c>
      <c r="D432" s="21" t="s">
        <v>2</v>
      </c>
      <c r="E432" s="21" t="s">
        <v>61</v>
      </c>
      <c r="F432" s="5812">
        <v>2</v>
      </c>
      <c r="G432" s="5813">
        <v>0.1423611111111111</v>
      </c>
      <c r="H432" s="21" t="s">
        <v>10</v>
      </c>
      <c r="I432" s="21" t="s">
        <v>23</v>
      </c>
      <c r="J432" s="21" t="s">
        <v>67</v>
      </c>
      <c r="K432" s="5814" t="s">
        <v>3408</v>
      </c>
    </row>
    <row r="433" spans="1:11">
      <c r="A433" s="21" t="s">
        <v>3409</v>
      </c>
      <c r="B433" s="21" t="s">
        <v>3410</v>
      </c>
      <c r="C433" s="21" t="s">
        <v>8</v>
      </c>
      <c r="D433" s="21" t="s">
        <v>2</v>
      </c>
      <c r="E433" s="21" t="s">
        <v>61</v>
      </c>
      <c r="F433" s="5812">
        <v>2</v>
      </c>
      <c r="G433" s="5813">
        <v>0.14444444444444443</v>
      </c>
      <c r="H433" s="21" t="s">
        <v>10</v>
      </c>
      <c r="I433" s="21" t="s">
        <v>654</v>
      </c>
      <c r="J433" s="21" t="s">
        <v>836</v>
      </c>
      <c r="K433" s="5814" t="s">
        <v>3411</v>
      </c>
    </row>
    <row r="434" spans="1:11">
      <c r="A434" s="21" t="s">
        <v>3412</v>
      </c>
      <c r="B434" s="21" t="s">
        <v>3413</v>
      </c>
      <c r="C434" s="21" t="s">
        <v>8</v>
      </c>
      <c r="D434" s="21" t="s">
        <v>2</v>
      </c>
      <c r="E434" s="21" t="s">
        <v>61</v>
      </c>
      <c r="F434" s="5812">
        <v>2</v>
      </c>
      <c r="G434" s="5813">
        <v>0.15208333333333332</v>
      </c>
      <c r="H434" s="21" t="s">
        <v>10</v>
      </c>
      <c r="I434" s="21" t="s">
        <v>96</v>
      </c>
      <c r="J434" s="21" t="s">
        <v>67</v>
      </c>
      <c r="K434" s="5814" t="s">
        <v>3414</v>
      </c>
    </row>
    <row r="435" spans="1:11">
      <c r="A435" s="21" t="s">
        <v>2687</v>
      </c>
      <c r="B435" s="21" t="s">
        <v>3415</v>
      </c>
      <c r="C435" s="21" t="s">
        <v>8</v>
      </c>
      <c r="D435" s="21" t="s">
        <v>2</v>
      </c>
      <c r="E435" s="21" t="s">
        <v>61</v>
      </c>
      <c r="F435" s="5812">
        <v>2</v>
      </c>
      <c r="G435" s="5813">
        <v>0.15416666666666667</v>
      </c>
      <c r="H435" s="21" t="s">
        <v>10</v>
      </c>
      <c r="I435" s="21" t="s">
        <v>187</v>
      </c>
      <c r="J435" s="21" t="s">
        <v>3416</v>
      </c>
      <c r="K435" s="5814" t="s">
        <v>3417</v>
      </c>
    </row>
    <row r="436" spans="1:11">
      <c r="A436" s="21" t="s">
        <v>2362</v>
      </c>
      <c r="B436" s="21" t="s">
        <v>3418</v>
      </c>
      <c r="C436" s="21" t="s">
        <v>8</v>
      </c>
      <c r="D436" s="21" t="s">
        <v>2</v>
      </c>
      <c r="E436" s="21" t="s">
        <v>61</v>
      </c>
      <c r="F436" s="5812">
        <v>2</v>
      </c>
      <c r="G436" s="5813">
        <v>0.15972222222222221</v>
      </c>
      <c r="H436" s="21" t="s">
        <v>10</v>
      </c>
      <c r="I436" s="21" t="s">
        <v>11</v>
      </c>
      <c r="J436" s="21" t="s">
        <v>3313</v>
      </c>
      <c r="K436" s="5814" t="s">
        <v>3419</v>
      </c>
    </row>
    <row r="437" spans="1:11">
      <c r="A437" s="21" t="s">
        <v>3412</v>
      </c>
      <c r="B437" s="21" t="s">
        <v>3420</v>
      </c>
      <c r="C437" s="21" t="s">
        <v>8</v>
      </c>
      <c r="D437" s="21" t="s">
        <v>2</v>
      </c>
      <c r="E437" s="21" t="s">
        <v>61</v>
      </c>
      <c r="F437" s="5812">
        <v>2</v>
      </c>
      <c r="G437" s="5813">
        <v>0.16666666666666666</v>
      </c>
      <c r="H437" s="21" t="s">
        <v>10</v>
      </c>
      <c r="I437" s="21" t="s">
        <v>11</v>
      </c>
      <c r="J437" s="21" t="s">
        <v>836</v>
      </c>
      <c r="K437" s="5814" t="s">
        <v>3421</v>
      </c>
    </row>
    <row r="438" spans="1:11">
      <c r="A438" s="21" t="s">
        <v>103</v>
      </c>
      <c r="B438" s="21" t="s">
        <v>104</v>
      </c>
      <c r="C438" s="21" t="s">
        <v>8</v>
      </c>
      <c r="D438" s="21" t="s">
        <v>2</v>
      </c>
      <c r="E438" s="21" t="s">
        <v>61</v>
      </c>
      <c r="F438" s="5812">
        <v>2</v>
      </c>
      <c r="G438" s="5813">
        <v>0.16805555555555557</v>
      </c>
      <c r="H438" s="21" t="s">
        <v>10</v>
      </c>
      <c r="I438" s="21" t="s">
        <v>39</v>
      </c>
      <c r="J438" s="21" t="s">
        <v>67</v>
      </c>
      <c r="K438" s="5814" t="s">
        <v>105</v>
      </c>
    </row>
    <row r="439" spans="1:11">
      <c r="A439" s="21" t="s">
        <v>3002</v>
      </c>
      <c r="B439" s="21" t="s">
        <v>3422</v>
      </c>
      <c r="C439" s="21" t="s">
        <v>8</v>
      </c>
      <c r="D439" s="21" t="s">
        <v>2</v>
      </c>
      <c r="E439" s="21" t="s">
        <v>61</v>
      </c>
      <c r="F439" s="5812">
        <v>2</v>
      </c>
      <c r="G439" s="5813">
        <v>0.17499999999999999</v>
      </c>
      <c r="H439" s="21" t="s">
        <v>10</v>
      </c>
      <c r="I439" s="21" t="s">
        <v>23</v>
      </c>
      <c r="J439" s="21" t="s">
        <v>67</v>
      </c>
      <c r="K439" s="5814" t="s">
        <v>3423</v>
      </c>
    </row>
    <row r="440" spans="1:11">
      <c r="A440" s="21" t="s">
        <v>2982</v>
      </c>
      <c r="B440" s="21" t="s">
        <v>3424</v>
      </c>
      <c r="C440" s="21" t="s">
        <v>8</v>
      </c>
      <c r="D440" s="21" t="s">
        <v>2</v>
      </c>
      <c r="E440" s="21" t="s">
        <v>61</v>
      </c>
      <c r="F440" s="5812">
        <v>2</v>
      </c>
      <c r="G440" s="5813">
        <v>0.17569444444444443</v>
      </c>
      <c r="H440" s="21" t="s">
        <v>10</v>
      </c>
      <c r="I440" s="21" t="s">
        <v>23</v>
      </c>
      <c r="J440" s="21" t="s">
        <v>3425</v>
      </c>
      <c r="K440" s="5814" t="s">
        <v>3426</v>
      </c>
    </row>
    <row r="441" spans="1:11">
      <c r="A441" s="21" t="s">
        <v>3427</v>
      </c>
      <c r="B441" s="21" t="s">
        <v>3428</v>
      </c>
      <c r="C441" s="21" t="s">
        <v>8</v>
      </c>
      <c r="D441" s="21" t="s">
        <v>2</v>
      </c>
      <c r="E441" s="21" t="s">
        <v>61</v>
      </c>
      <c r="F441" s="5812">
        <v>2</v>
      </c>
      <c r="G441" s="5813">
        <v>0.17916666666666667</v>
      </c>
      <c r="H441" s="21" t="s">
        <v>10</v>
      </c>
      <c r="I441" s="21" t="s">
        <v>47</v>
      </c>
      <c r="J441" s="21" t="s">
        <v>3313</v>
      </c>
      <c r="K441" s="5814" t="s">
        <v>3429</v>
      </c>
    </row>
    <row r="442" spans="1:11">
      <c r="A442" s="21" t="s">
        <v>3430</v>
      </c>
      <c r="B442" s="21" t="s">
        <v>3431</v>
      </c>
      <c r="C442" s="21" t="s">
        <v>8</v>
      </c>
      <c r="D442" s="21" t="s">
        <v>2</v>
      </c>
      <c r="E442" s="21" t="s">
        <v>61</v>
      </c>
      <c r="F442" s="5812">
        <v>2</v>
      </c>
      <c r="G442" s="5813">
        <v>0.19166666666666668</v>
      </c>
      <c r="H442" s="21" t="s">
        <v>10</v>
      </c>
      <c r="I442" s="21" t="s">
        <v>39</v>
      </c>
      <c r="J442" s="21" t="s">
        <v>3432</v>
      </c>
      <c r="K442" s="5814" t="s">
        <v>3433</v>
      </c>
    </row>
    <row r="443" spans="1:11">
      <c r="A443" s="21" t="s">
        <v>79</v>
      </c>
      <c r="B443" s="21" t="s">
        <v>109</v>
      </c>
      <c r="C443" s="21" t="s">
        <v>22</v>
      </c>
      <c r="D443" s="21" t="s">
        <v>2</v>
      </c>
      <c r="E443" s="21" t="s">
        <v>61</v>
      </c>
      <c r="F443" s="5812">
        <v>2</v>
      </c>
      <c r="G443" s="5813">
        <v>0.2076388888888889</v>
      </c>
      <c r="H443" s="21" t="s">
        <v>10</v>
      </c>
      <c r="I443" s="21" t="s">
        <v>96</v>
      </c>
      <c r="J443" s="21" t="s">
        <v>110</v>
      </c>
      <c r="K443" s="5814" t="s">
        <v>111</v>
      </c>
    </row>
    <row r="444" spans="1:11">
      <c r="A444" s="21" t="s">
        <v>65</v>
      </c>
      <c r="B444" s="21" t="s">
        <v>213</v>
      </c>
      <c r="C444" s="21" t="s">
        <v>8</v>
      </c>
      <c r="D444" s="21" t="s">
        <v>2</v>
      </c>
      <c r="E444" s="21" t="s">
        <v>61</v>
      </c>
      <c r="F444" s="5812">
        <v>3</v>
      </c>
      <c r="G444" s="5813">
        <v>4.027777777777778E-2</v>
      </c>
      <c r="H444" s="21" t="s">
        <v>10</v>
      </c>
      <c r="I444" s="21" t="s">
        <v>39</v>
      </c>
      <c r="J444" s="21" t="s">
        <v>67</v>
      </c>
      <c r="K444" s="5814" t="s">
        <v>214</v>
      </c>
    </row>
    <row r="445" spans="1:11">
      <c r="A445" s="21" t="s">
        <v>3434</v>
      </c>
      <c r="B445" s="21" t="s">
        <v>3435</v>
      </c>
      <c r="C445" s="21" t="s">
        <v>22</v>
      </c>
      <c r="D445" s="21" t="s">
        <v>2</v>
      </c>
      <c r="E445" s="21" t="s">
        <v>61</v>
      </c>
      <c r="F445" s="5812">
        <v>3</v>
      </c>
      <c r="G445" s="5813">
        <v>6.805555555555555E-2</v>
      </c>
      <c r="H445" s="21" t="s">
        <v>10</v>
      </c>
      <c r="I445" s="21" t="s">
        <v>89</v>
      </c>
      <c r="J445" s="21" t="s">
        <v>505</v>
      </c>
      <c r="K445" s="5814" t="s">
        <v>3436</v>
      </c>
    </row>
    <row r="446" spans="1:11">
      <c r="A446" s="21" t="s">
        <v>2450</v>
      </c>
      <c r="B446" s="21" t="s">
        <v>3437</v>
      </c>
      <c r="C446" s="21" t="s">
        <v>8</v>
      </c>
      <c r="D446" s="21" t="s">
        <v>2</v>
      </c>
      <c r="E446" s="21" t="s">
        <v>61</v>
      </c>
      <c r="F446" s="5812">
        <v>3</v>
      </c>
      <c r="G446" s="5813">
        <v>7.4999999999999997E-2</v>
      </c>
      <c r="H446" s="21" t="s">
        <v>10</v>
      </c>
      <c r="I446" s="21" t="s">
        <v>226</v>
      </c>
      <c r="J446" s="21" t="s">
        <v>3383</v>
      </c>
      <c r="K446" s="5814" t="s">
        <v>3438</v>
      </c>
    </row>
    <row r="447" spans="1:11">
      <c r="A447" s="21" t="s">
        <v>160</v>
      </c>
      <c r="B447" s="21" t="s">
        <v>161</v>
      </c>
      <c r="C447" s="21" t="s">
        <v>22</v>
      </c>
      <c r="D447" s="21" t="s">
        <v>2</v>
      </c>
      <c r="E447" s="21" t="s">
        <v>61</v>
      </c>
      <c r="F447" s="5812">
        <v>3</v>
      </c>
      <c r="G447" s="5813">
        <v>8.611111111111111E-2</v>
      </c>
      <c r="H447" s="21" t="s">
        <v>10</v>
      </c>
      <c r="I447" s="21" t="s">
        <v>162</v>
      </c>
      <c r="J447" s="21" t="s">
        <v>67</v>
      </c>
      <c r="K447" s="5814" t="s">
        <v>163</v>
      </c>
    </row>
    <row r="448" spans="1:11">
      <c r="A448" s="21" t="s">
        <v>3439</v>
      </c>
      <c r="B448" s="21" t="s">
        <v>3440</v>
      </c>
      <c r="C448" s="21" t="s">
        <v>22</v>
      </c>
      <c r="D448" s="21" t="s">
        <v>2</v>
      </c>
      <c r="E448" s="21" t="s">
        <v>61</v>
      </c>
      <c r="F448" s="5812">
        <v>3</v>
      </c>
      <c r="G448" s="5813">
        <v>9.0972222222222218E-2</v>
      </c>
      <c r="H448" s="21" t="s">
        <v>10</v>
      </c>
      <c r="I448" s="21" t="s">
        <v>3441</v>
      </c>
      <c r="J448" s="21" t="s">
        <v>3442</v>
      </c>
      <c r="K448" s="5814" t="s">
        <v>3443</v>
      </c>
    </row>
    <row r="449" spans="1:11">
      <c r="A449" s="21" t="s">
        <v>2737</v>
      </c>
      <c r="B449" s="21" t="s">
        <v>3444</v>
      </c>
      <c r="C449" s="21" t="s">
        <v>8</v>
      </c>
      <c r="D449" s="21" t="s">
        <v>2</v>
      </c>
      <c r="E449" s="21" t="s">
        <v>61</v>
      </c>
      <c r="F449" s="5812">
        <v>3</v>
      </c>
      <c r="G449" s="5813">
        <v>0.10555555555555556</v>
      </c>
      <c r="H449" s="21" t="s">
        <v>10</v>
      </c>
      <c r="I449" s="21" t="s">
        <v>187</v>
      </c>
      <c r="J449" s="21" t="s">
        <v>62</v>
      </c>
      <c r="K449" s="5814" t="s">
        <v>3445</v>
      </c>
    </row>
    <row r="450" spans="1:11">
      <c r="A450" s="21" t="s">
        <v>3446</v>
      </c>
      <c r="B450" s="21" t="s">
        <v>3447</v>
      </c>
      <c r="C450" s="21" t="s">
        <v>8</v>
      </c>
      <c r="D450" s="21" t="s">
        <v>2</v>
      </c>
      <c r="E450" s="21" t="s">
        <v>61</v>
      </c>
      <c r="F450" s="5812">
        <v>3</v>
      </c>
      <c r="G450" s="5813">
        <v>0.11874999999999999</v>
      </c>
      <c r="H450" s="21" t="s">
        <v>10</v>
      </c>
      <c r="I450" s="21" t="s">
        <v>3448</v>
      </c>
      <c r="J450" s="21" t="s">
        <v>67</v>
      </c>
      <c r="K450" s="5814" t="s">
        <v>3449</v>
      </c>
    </row>
    <row r="451" spans="1:11">
      <c r="A451" s="21" t="s">
        <v>2560</v>
      </c>
      <c r="B451" s="21" t="s">
        <v>3450</v>
      </c>
      <c r="C451" s="21" t="s">
        <v>8</v>
      </c>
      <c r="D451" s="21" t="s">
        <v>2</v>
      </c>
      <c r="E451" s="21" t="s">
        <v>61</v>
      </c>
      <c r="F451" s="5812">
        <v>3</v>
      </c>
      <c r="G451" s="5813">
        <v>0.12013888888888889</v>
      </c>
      <c r="H451" s="21" t="s">
        <v>10</v>
      </c>
      <c r="I451" s="21" t="s">
        <v>3451</v>
      </c>
      <c r="J451" s="21" t="s">
        <v>67</v>
      </c>
      <c r="K451" s="5814" t="s">
        <v>3452</v>
      </c>
    </row>
    <row r="452" spans="1:11">
      <c r="A452" s="21" t="s">
        <v>3286</v>
      </c>
      <c r="B452" s="21" t="s">
        <v>3453</v>
      </c>
      <c r="C452" s="21" t="s">
        <v>22</v>
      </c>
      <c r="D452" s="21" t="s">
        <v>2</v>
      </c>
      <c r="E452" s="21" t="s">
        <v>61</v>
      </c>
      <c r="F452" s="5812">
        <v>3</v>
      </c>
      <c r="G452" s="5813">
        <v>0.12222222222222222</v>
      </c>
      <c r="H452" s="21" t="s">
        <v>10</v>
      </c>
      <c r="I452" s="21" t="s">
        <v>2523</v>
      </c>
      <c r="J452" s="21" t="s">
        <v>928</v>
      </c>
      <c r="K452" s="5814" t="s">
        <v>3454</v>
      </c>
    </row>
    <row r="453" spans="1:11">
      <c r="A453" s="21" t="s">
        <v>2272</v>
      </c>
      <c r="B453" s="21" t="s">
        <v>3455</v>
      </c>
      <c r="C453" s="21" t="s">
        <v>22</v>
      </c>
      <c r="D453" s="21" t="s">
        <v>2</v>
      </c>
      <c r="E453" s="21" t="s">
        <v>61</v>
      </c>
      <c r="F453" s="5812">
        <v>3</v>
      </c>
      <c r="G453" s="5813">
        <v>0.14374999999999999</v>
      </c>
      <c r="H453" s="21" t="s">
        <v>10</v>
      </c>
      <c r="I453" s="21" t="s">
        <v>2176</v>
      </c>
      <c r="J453" s="21" t="s">
        <v>3456</v>
      </c>
      <c r="K453" s="5814" t="s">
        <v>3457</v>
      </c>
    </row>
    <row r="454" spans="1:11">
      <c r="A454" s="21" t="s">
        <v>3458</v>
      </c>
      <c r="B454" s="21" t="s">
        <v>3459</v>
      </c>
      <c r="C454" s="21" t="s">
        <v>22</v>
      </c>
      <c r="D454" s="21" t="s">
        <v>2</v>
      </c>
      <c r="E454" s="21" t="s">
        <v>61</v>
      </c>
      <c r="F454" s="5812">
        <v>3</v>
      </c>
      <c r="G454" s="5813">
        <v>0.15208333333333332</v>
      </c>
      <c r="H454" s="21" t="s">
        <v>10</v>
      </c>
      <c r="I454" s="21" t="s">
        <v>400</v>
      </c>
      <c r="J454" s="21" t="s">
        <v>67</v>
      </c>
      <c r="K454" s="5814" t="s">
        <v>3460</v>
      </c>
    </row>
    <row r="455" spans="1:11">
      <c r="A455" s="21" t="s">
        <v>3173</v>
      </c>
      <c r="B455" s="21" t="s">
        <v>3461</v>
      </c>
      <c r="C455" s="21" t="s">
        <v>8</v>
      </c>
      <c r="D455" s="21" t="s">
        <v>2</v>
      </c>
      <c r="E455" s="21" t="s">
        <v>61</v>
      </c>
      <c r="F455" s="5812">
        <v>3</v>
      </c>
      <c r="G455" s="5813">
        <v>0.17499999999999999</v>
      </c>
      <c r="H455" s="21" t="s">
        <v>10</v>
      </c>
      <c r="I455" s="21" t="s">
        <v>39</v>
      </c>
      <c r="J455" s="21" t="s">
        <v>67</v>
      </c>
      <c r="K455" s="5814" t="s">
        <v>3462</v>
      </c>
    </row>
    <row r="456" spans="1:11">
      <c r="A456" s="21" t="s">
        <v>3006</v>
      </c>
      <c r="B456" s="21" t="s">
        <v>3463</v>
      </c>
      <c r="C456" s="21" t="s">
        <v>8</v>
      </c>
      <c r="D456" s="21" t="s">
        <v>2</v>
      </c>
      <c r="E456" s="21" t="s">
        <v>61</v>
      </c>
      <c r="F456" s="5812">
        <v>3</v>
      </c>
      <c r="G456" s="5813">
        <v>0.17986111111111111</v>
      </c>
      <c r="H456" s="21" t="s">
        <v>10</v>
      </c>
      <c r="I456" s="21" t="s">
        <v>3464</v>
      </c>
      <c r="J456" s="21" t="s">
        <v>62</v>
      </c>
      <c r="K456" s="5814" t="s">
        <v>3465</v>
      </c>
    </row>
    <row r="457" spans="1:11">
      <c r="A457" s="21" t="s">
        <v>2481</v>
      </c>
      <c r="B457" s="21" t="s">
        <v>3466</v>
      </c>
      <c r="C457" s="21" t="s">
        <v>22</v>
      </c>
      <c r="D457" s="21" t="s">
        <v>2</v>
      </c>
      <c r="E457" s="21" t="s">
        <v>61</v>
      </c>
      <c r="F457" s="5812">
        <v>3</v>
      </c>
      <c r="G457" s="5813">
        <v>0.19375000000000001</v>
      </c>
      <c r="H457" s="21" t="s">
        <v>10</v>
      </c>
      <c r="I457" s="21" t="s">
        <v>55</v>
      </c>
      <c r="J457" s="21" t="s">
        <v>324</v>
      </c>
      <c r="K457" s="5814" t="s">
        <v>3467</v>
      </c>
    </row>
    <row r="458" spans="1:11">
      <c r="A458" s="21" t="s">
        <v>2088</v>
      </c>
      <c r="B458" s="21" t="s">
        <v>3468</v>
      </c>
      <c r="C458" s="21" t="s">
        <v>22</v>
      </c>
      <c r="D458" s="21" t="s">
        <v>2</v>
      </c>
      <c r="E458" s="21" t="s">
        <v>61</v>
      </c>
      <c r="F458" s="5812">
        <v>3</v>
      </c>
      <c r="G458" s="5813">
        <v>0.19652777777777777</v>
      </c>
      <c r="H458" s="21" t="s">
        <v>10</v>
      </c>
      <c r="I458" s="21" t="s">
        <v>11</v>
      </c>
      <c r="J458" s="21" t="s">
        <v>3469</v>
      </c>
      <c r="K458" s="5814" t="s">
        <v>3470</v>
      </c>
    </row>
    <row r="459" spans="1:11">
      <c r="A459" s="21" t="s">
        <v>65</v>
      </c>
      <c r="B459" s="21" t="s">
        <v>66</v>
      </c>
      <c r="C459" s="21" t="s">
        <v>22</v>
      </c>
      <c r="D459" s="21" t="s">
        <v>2</v>
      </c>
      <c r="E459" s="21" t="s">
        <v>61</v>
      </c>
      <c r="F459" s="5812">
        <v>3</v>
      </c>
      <c r="G459" s="5813">
        <v>0.20069444444444445</v>
      </c>
      <c r="H459" s="21" t="s">
        <v>10</v>
      </c>
      <c r="I459" s="21" t="s">
        <v>23</v>
      </c>
      <c r="J459" s="21" t="s">
        <v>67</v>
      </c>
      <c r="K459" s="5814" t="s">
        <v>68</v>
      </c>
    </row>
    <row r="460" spans="1:11">
      <c r="A460" s="21" t="s">
        <v>2387</v>
      </c>
      <c r="B460" s="21" t="s">
        <v>3471</v>
      </c>
      <c r="C460" s="21" t="s">
        <v>8</v>
      </c>
      <c r="D460" s="21" t="s">
        <v>2</v>
      </c>
      <c r="E460" s="21" t="s">
        <v>244</v>
      </c>
      <c r="F460" s="5812">
        <v>4</v>
      </c>
      <c r="G460" s="5813">
        <v>0.20833333333333334</v>
      </c>
      <c r="H460" s="21" t="s">
        <v>54</v>
      </c>
      <c r="I460" s="21" t="s">
        <v>55</v>
      </c>
      <c r="J460" s="21" t="s">
        <v>3472</v>
      </c>
      <c r="K460" s="5814" t="s">
        <v>3473</v>
      </c>
    </row>
    <row r="461" spans="1:11">
      <c r="A461" s="21" t="s">
        <v>3474</v>
      </c>
      <c r="B461" s="21" t="s">
        <v>3475</v>
      </c>
      <c r="C461" s="21" t="s">
        <v>8</v>
      </c>
      <c r="D461" s="21" t="s">
        <v>225</v>
      </c>
      <c r="E461" s="21" t="s">
        <v>193</v>
      </c>
      <c r="F461" s="5812">
        <v>3</v>
      </c>
      <c r="G461" s="5813">
        <v>0.20833333333333334</v>
      </c>
      <c r="H461" s="21" t="s">
        <v>10</v>
      </c>
      <c r="I461" s="21" t="s">
        <v>73</v>
      </c>
      <c r="J461" s="21" t="s">
        <v>3476</v>
      </c>
      <c r="K461" s="5814" t="s">
        <v>3477</v>
      </c>
    </row>
    <row r="462" spans="1:11">
      <c r="A462" s="21" t="s">
        <v>2391</v>
      </c>
      <c r="B462" s="21" t="s">
        <v>3478</v>
      </c>
      <c r="C462" s="21" t="s">
        <v>22</v>
      </c>
      <c r="D462" s="21" t="s">
        <v>225</v>
      </c>
      <c r="E462" s="21" t="s">
        <v>193</v>
      </c>
      <c r="F462" s="5812">
        <v>3</v>
      </c>
      <c r="G462" s="5813">
        <v>0.20833333333333334</v>
      </c>
      <c r="H462" s="21" t="s">
        <v>10</v>
      </c>
      <c r="I462" s="21" t="s">
        <v>39</v>
      </c>
      <c r="J462" s="21" t="s">
        <v>3479</v>
      </c>
      <c r="K462" s="5814" t="s">
        <v>3480</v>
      </c>
    </row>
    <row r="463" spans="1:11">
      <c r="A463" s="21" t="s">
        <v>3481</v>
      </c>
      <c r="B463" s="21" t="s">
        <v>3482</v>
      </c>
      <c r="C463" s="21" t="s">
        <v>22</v>
      </c>
      <c r="D463" s="21" t="s">
        <v>225</v>
      </c>
      <c r="E463" s="21" t="s">
        <v>193</v>
      </c>
      <c r="F463" s="5812">
        <v>3</v>
      </c>
      <c r="G463" s="5813">
        <v>0.20833333333333334</v>
      </c>
      <c r="H463" s="21" t="s">
        <v>10</v>
      </c>
      <c r="I463" s="21" t="s">
        <v>2313</v>
      </c>
      <c r="J463" s="21" t="s">
        <v>3483</v>
      </c>
      <c r="K463" s="5814" t="s">
        <v>3484</v>
      </c>
    </row>
    <row r="464" spans="1:11">
      <c r="A464" s="21" t="s">
        <v>223</v>
      </c>
      <c r="B464" s="21" t="s">
        <v>224</v>
      </c>
      <c r="C464" s="21" t="s">
        <v>8</v>
      </c>
      <c r="D464" s="21" t="s">
        <v>225</v>
      </c>
      <c r="E464" s="21" t="s">
        <v>9</v>
      </c>
      <c r="F464" s="5812">
        <v>3</v>
      </c>
      <c r="G464" s="5813">
        <v>0.20833333333333334</v>
      </c>
      <c r="H464" s="21" t="s">
        <v>10</v>
      </c>
      <c r="I464" s="21" t="s">
        <v>226</v>
      </c>
      <c r="J464" s="21" t="s">
        <v>227</v>
      </c>
      <c r="K464" s="5814" t="s">
        <v>228</v>
      </c>
    </row>
    <row r="465" spans="1:11">
      <c r="A465" s="21" t="s">
        <v>2311</v>
      </c>
      <c r="B465" s="21" t="s">
        <v>3485</v>
      </c>
      <c r="C465" s="21" t="s">
        <v>22</v>
      </c>
      <c r="D465" s="21" t="s">
        <v>225</v>
      </c>
      <c r="E465" s="21" t="s">
        <v>9</v>
      </c>
      <c r="F465" s="5812">
        <v>3</v>
      </c>
      <c r="G465" s="5813">
        <v>0.20833333333333334</v>
      </c>
      <c r="H465" s="21" t="s">
        <v>10</v>
      </c>
      <c r="I465" s="21" t="s">
        <v>2814</v>
      </c>
      <c r="J465" s="21" t="s">
        <v>3486</v>
      </c>
      <c r="K465" s="5814" t="s">
        <v>3487</v>
      </c>
    </row>
    <row r="466" spans="1:11">
      <c r="A466" s="21" t="s">
        <v>3029</v>
      </c>
      <c r="B466" s="21" t="s">
        <v>3488</v>
      </c>
      <c r="C466" s="21" t="s">
        <v>8</v>
      </c>
      <c r="D466" s="21" t="s">
        <v>225</v>
      </c>
      <c r="E466" s="21" t="s">
        <v>9</v>
      </c>
      <c r="F466" s="5812">
        <v>3</v>
      </c>
      <c r="G466" s="5813">
        <v>0.20833333333333334</v>
      </c>
      <c r="H466" s="21" t="s">
        <v>10</v>
      </c>
      <c r="I466" s="21" t="s">
        <v>55</v>
      </c>
      <c r="J466" s="21" t="s">
        <v>3489</v>
      </c>
      <c r="K466" s="5814" t="s">
        <v>3490</v>
      </c>
    </row>
    <row r="467" spans="1:11">
      <c r="A467" s="21" t="s">
        <v>3491</v>
      </c>
      <c r="B467" s="21" t="s">
        <v>3492</v>
      </c>
      <c r="C467" s="21" t="s">
        <v>22</v>
      </c>
      <c r="D467" s="21" t="s">
        <v>225</v>
      </c>
      <c r="E467" s="21" t="s">
        <v>9</v>
      </c>
      <c r="F467" s="5812">
        <v>3</v>
      </c>
      <c r="G467" s="5813">
        <v>0.20833333333333334</v>
      </c>
      <c r="H467" s="21" t="s">
        <v>10</v>
      </c>
      <c r="I467" s="21" t="s">
        <v>23</v>
      </c>
      <c r="J467" s="21" t="s">
        <v>3493</v>
      </c>
      <c r="K467" s="5814" t="s">
        <v>3494</v>
      </c>
    </row>
    <row r="468" spans="1:11">
      <c r="A468" s="21" t="s">
        <v>3495</v>
      </c>
      <c r="B468" s="21" t="s">
        <v>3496</v>
      </c>
      <c r="C468" s="21" t="s">
        <v>22</v>
      </c>
      <c r="D468" s="21" t="s">
        <v>225</v>
      </c>
      <c r="E468" s="21" t="s">
        <v>9</v>
      </c>
      <c r="F468" s="5812">
        <v>3</v>
      </c>
      <c r="G468" s="5813">
        <v>0.20833333333333334</v>
      </c>
      <c r="H468" s="21" t="s">
        <v>10</v>
      </c>
      <c r="I468" s="21" t="s">
        <v>3451</v>
      </c>
      <c r="J468" s="21" t="s">
        <v>3497</v>
      </c>
      <c r="K468" s="5814" t="s">
        <v>3498</v>
      </c>
    </row>
    <row r="469" spans="1:11">
      <c r="A469" s="21" t="s">
        <v>2341</v>
      </c>
      <c r="B469" s="21" t="s">
        <v>3499</v>
      </c>
      <c r="C469" s="21" t="s">
        <v>8</v>
      </c>
      <c r="D469" s="21" t="s">
        <v>225</v>
      </c>
      <c r="E469" s="21" t="s">
        <v>9</v>
      </c>
      <c r="F469" s="5812">
        <v>3</v>
      </c>
      <c r="G469" s="5813">
        <v>0.20833333333333334</v>
      </c>
      <c r="H469" s="21" t="s">
        <v>10</v>
      </c>
      <c r="I469" s="21" t="s">
        <v>609</v>
      </c>
      <c r="J469" s="21" t="s">
        <v>3500</v>
      </c>
      <c r="K469" s="5814" t="s">
        <v>3501</v>
      </c>
    </row>
    <row r="470" spans="1:11">
      <c r="A470" s="21" t="s">
        <v>2053</v>
      </c>
      <c r="B470" s="21" t="s">
        <v>3502</v>
      </c>
      <c r="C470" s="21" t="s">
        <v>8</v>
      </c>
      <c r="D470" s="21" t="s">
        <v>225</v>
      </c>
      <c r="E470" s="21" t="s">
        <v>9</v>
      </c>
      <c r="F470" s="5812">
        <v>3</v>
      </c>
      <c r="G470" s="5813">
        <v>0.20833333333333334</v>
      </c>
      <c r="H470" s="21" t="s">
        <v>10</v>
      </c>
      <c r="I470" s="21" t="s">
        <v>96</v>
      </c>
      <c r="J470" s="21" t="s">
        <v>3503</v>
      </c>
      <c r="K470" s="5814" t="s">
        <v>3504</v>
      </c>
    </row>
    <row r="471" spans="1:11">
      <c r="A471" s="21" t="s">
        <v>3505</v>
      </c>
      <c r="B471" s="21" t="s">
        <v>3506</v>
      </c>
      <c r="C471" s="21" t="s">
        <v>22</v>
      </c>
      <c r="D471" s="21" t="s">
        <v>225</v>
      </c>
      <c r="E471" s="21" t="s">
        <v>9</v>
      </c>
      <c r="F471" s="5812">
        <v>3</v>
      </c>
      <c r="G471" s="5813">
        <v>0.20833333333333334</v>
      </c>
      <c r="H471" s="21" t="s">
        <v>10</v>
      </c>
      <c r="I471" s="21" t="s">
        <v>23</v>
      </c>
      <c r="J471" s="21" t="s">
        <v>3507</v>
      </c>
      <c r="K471" s="5814" t="s">
        <v>3508</v>
      </c>
    </row>
    <row r="472" spans="1:11">
      <c r="A472" s="21" t="s">
        <v>2509</v>
      </c>
      <c r="B472" s="21" t="s">
        <v>3509</v>
      </c>
      <c r="C472" s="21" t="s">
        <v>8</v>
      </c>
      <c r="D472" s="21" t="s">
        <v>225</v>
      </c>
      <c r="E472" s="21" t="s">
        <v>9</v>
      </c>
      <c r="F472" s="5812">
        <v>3</v>
      </c>
      <c r="G472" s="5813">
        <v>0.20833333333333334</v>
      </c>
      <c r="H472" s="21" t="s">
        <v>10</v>
      </c>
      <c r="I472" s="21" t="s">
        <v>226</v>
      </c>
      <c r="J472" s="21" t="s">
        <v>3510</v>
      </c>
      <c r="K472" s="5814" t="s">
        <v>3511</v>
      </c>
    </row>
    <row r="473" spans="1:11">
      <c r="A473" s="21" t="s">
        <v>2509</v>
      </c>
      <c r="B473" s="21" t="s">
        <v>3512</v>
      </c>
      <c r="C473" s="21" t="s">
        <v>8</v>
      </c>
      <c r="D473" s="21" t="s">
        <v>225</v>
      </c>
      <c r="E473" s="21" t="s">
        <v>9</v>
      </c>
      <c r="F473" s="5812">
        <v>3</v>
      </c>
      <c r="G473" s="5813">
        <v>0.20833333333333334</v>
      </c>
      <c r="H473" s="21" t="s">
        <v>10</v>
      </c>
      <c r="I473" s="21" t="s">
        <v>23</v>
      </c>
      <c r="J473" s="21" t="s">
        <v>3513</v>
      </c>
      <c r="K473" s="5814" t="s">
        <v>3514</v>
      </c>
    </row>
    <row r="474" spans="1:11">
      <c r="A474" s="21" t="s">
        <v>3515</v>
      </c>
      <c r="B474" s="21" t="s">
        <v>3516</v>
      </c>
      <c r="C474" s="21" t="s">
        <v>22</v>
      </c>
      <c r="D474" s="21" t="s">
        <v>225</v>
      </c>
      <c r="E474" s="21" t="s">
        <v>9</v>
      </c>
      <c r="F474" s="5812">
        <v>3</v>
      </c>
      <c r="G474" s="5813">
        <v>0.20833333333333334</v>
      </c>
      <c r="H474" s="21" t="s">
        <v>10</v>
      </c>
      <c r="I474" s="21" t="s">
        <v>3517</v>
      </c>
      <c r="J474" s="21" t="s">
        <v>3518</v>
      </c>
      <c r="K474" s="5814" t="s">
        <v>3519</v>
      </c>
    </row>
    <row r="475" spans="1:11">
      <c r="A475" s="21" t="s">
        <v>2542</v>
      </c>
      <c r="B475" s="21" t="s">
        <v>3520</v>
      </c>
      <c r="C475" s="21" t="s">
        <v>8</v>
      </c>
      <c r="D475" s="21" t="s">
        <v>225</v>
      </c>
      <c r="E475" s="21" t="s">
        <v>9</v>
      </c>
      <c r="F475" s="5812">
        <v>3</v>
      </c>
      <c r="G475" s="5813">
        <v>0.20833333333333334</v>
      </c>
      <c r="H475" s="21" t="s">
        <v>10</v>
      </c>
      <c r="I475" s="21" t="s">
        <v>2544</v>
      </c>
      <c r="J475" s="21" t="s">
        <v>3521</v>
      </c>
      <c r="K475" s="5814" t="s">
        <v>3522</v>
      </c>
    </row>
    <row r="476" spans="1:11">
      <c r="A476" s="21" t="s">
        <v>2547</v>
      </c>
      <c r="B476" s="21" t="s">
        <v>3523</v>
      </c>
      <c r="C476" s="21" t="s">
        <v>8</v>
      </c>
      <c r="D476" s="21" t="s">
        <v>225</v>
      </c>
      <c r="E476" s="21" t="s">
        <v>9</v>
      </c>
      <c r="F476" s="5812">
        <v>3</v>
      </c>
      <c r="G476" s="5813">
        <v>0.20833333333333334</v>
      </c>
      <c r="H476" s="21" t="s">
        <v>10</v>
      </c>
      <c r="I476" s="21" t="s">
        <v>39</v>
      </c>
      <c r="J476" s="21" t="s">
        <v>3524</v>
      </c>
      <c r="K476" s="5814" t="s">
        <v>3525</v>
      </c>
    </row>
    <row r="477" spans="1:11">
      <c r="A477" s="21" t="s">
        <v>3315</v>
      </c>
      <c r="B477" s="21" t="s">
        <v>3526</v>
      </c>
      <c r="C477" s="21" t="s">
        <v>8</v>
      </c>
      <c r="D477" s="21" t="s">
        <v>225</v>
      </c>
      <c r="E477" s="21" t="s">
        <v>9</v>
      </c>
      <c r="F477" s="5812">
        <v>3</v>
      </c>
      <c r="G477" s="5813">
        <v>0.20833333333333334</v>
      </c>
      <c r="H477" s="21" t="s">
        <v>10</v>
      </c>
      <c r="I477" s="21" t="s">
        <v>39</v>
      </c>
      <c r="J477" s="21" t="s">
        <v>3527</v>
      </c>
      <c r="K477" s="5814" t="s">
        <v>3528</v>
      </c>
    </row>
    <row r="478" spans="1:11">
      <c r="A478" s="21" t="s">
        <v>2169</v>
      </c>
      <c r="B478" s="21" t="s">
        <v>3529</v>
      </c>
      <c r="C478" s="21" t="s">
        <v>22</v>
      </c>
      <c r="D478" s="21" t="s">
        <v>225</v>
      </c>
      <c r="E478" s="21" t="s">
        <v>9</v>
      </c>
      <c r="F478" s="5812">
        <v>3</v>
      </c>
      <c r="G478" s="5813">
        <v>0.20833333333333334</v>
      </c>
      <c r="H478" s="21" t="s">
        <v>10</v>
      </c>
      <c r="I478" s="21" t="s">
        <v>615</v>
      </c>
      <c r="J478" s="21" t="s">
        <v>3530</v>
      </c>
      <c r="K478" s="5814" t="s">
        <v>3531</v>
      </c>
    </row>
    <row r="479" spans="1:11">
      <c r="A479" s="21" t="s">
        <v>3532</v>
      </c>
      <c r="B479" s="21" t="s">
        <v>3533</v>
      </c>
      <c r="C479" s="21" t="s">
        <v>8</v>
      </c>
      <c r="D479" s="21" t="s">
        <v>225</v>
      </c>
      <c r="E479" s="21" t="s">
        <v>9</v>
      </c>
      <c r="F479" s="5812">
        <v>3</v>
      </c>
      <c r="G479" s="5813">
        <v>0.20833333333333334</v>
      </c>
      <c r="H479" s="21" t="s">
        <v>10</v>
      </c>
      <c r="I479" s="21" t="s">
        <v>3534</v>
      </c>
      <c r="J479" s="21" t="s">
        <v>3535</v>
      </c>
      <c r="K479" s="5814" t="s">
        <v>3536</v>
      </c>
    </row>
    <row r="480" spans="1:11">
      <c r="A480" s="21" t="s">
        <v>3537</v>
      </c>
      <c r="B480" s="21" t="s">
        <v>3538</v>
      </c>
      <c r="C480" s="21" t="s">
        <v>8</v>
      </c>
      <c r="D480" s="21" t="s">
        <v>225</v>
      </c>
      <c r="E480" s="21" t="s">
        <v>9</v>
      </c>
      <c r="F480" s="5812">
        <v>3</v>
      </c>
      <c r="G480" s="5813">
        <v>0.20833333333333334</v>
      </c>
      <c r="H480" s="21" t="s">
        <v>10</v>
      </c>
      <c r="I480" s="21" t="s">
        <v>55</v>
      </c>
      <c r="J480" s="21" t="s">
        <v>3539</v>
      </c>
      <c r="K480" s="5814" t="s">
        <v>3540</v>
      </c>
    </row>
    <row r="481" spans="1:11">
      <c r="A481" s="21" t="s">
        <v>3541</v>
      </c>
      <c r="B481" s="21" t="s">
        <v>3542</v>
      </c>
      <c r="C481" s="21" t="s">
        <v>8</v>
      </c>
      <c r="D481" s="21" t="s">
        <v>225</v>
      </c>
      <c r="E481" s="21" t="s">
        <v>9</v>
      </c>
      <c r="F481" s="5812">
        <v>3</v>
      </c>
      <c r="G481" s="5813">
        <v>0.20833333333333334</v>
      </c>
      <c r="H481" s="21" t="s">
        <v>10</v>
      </c>
      <c r="I481" s="21" t="s">
        <v>11</v>
      </c>
      <c r="J481" s="21" t="s">
        <v>3543</v>
      </c>
      <c r="K481" s="5814" t="s">
        <v>3544</v>
      </c>
    </row>
    <row r="482" spans="1:11">
      <c r="A482" s="21" t="s">
        <v>3056</v>
      </c>
      <c r="B482" s="21" t="s">
        <v>3545</v>
      </c>
      <c r="C482" s="21" t="s">
        <v>8</v>
      </c>
      <c r="D482" s="21" t="s">
        <v>225</v>
      </c>
      <c r="E482" s="21" t="s">
        <v>9</v>
      </c>
      <c r="F482" s="5812">
        <v>3</v>
      </c>
      <c r="G482" s="5813">
        <v>0.20833333333333334</v>
      </c>
      <c r="H482" s="21" t="s">
        <v>10</v>
      </c>
      <c r="I482" s="21" t="s">
        <v>47</v>
      </c>
      <c r="J482" s="21" t="s">
        <v>3546</v>
      </c>
      <c r="K482" s="5814" t="s">
        <v>3547</v>
      </c>
    </row>
    <row r="483" spans="1:11">
      <c r="A483" s="21" t="s">
        <v>2323</v>
      </c>
      <c r="B483" s="21" t="s">
        <v>3548</v>
      </c>
      <c r="C483" s="21" t="s">
        <v>8</v>
      </c>
      <c r="D483" s="21" t="s">
        <v>225</v>
      </c>
      <c r="E483" s="21" t="s">
        <v>9</v>
      </c>
      <c r="F483" s="5812">
        <v>5</v>
      </c>
      <c r="G483" s="5813">
        <v>0.20833333333333334</v>
      </c>
      <c r="H483" s="21" t="s">
        <v>54</v>
      </c>
      <c r="I483" s="21" t="s">
        <v>96</v>
      </c>
      <c r="J483" s="21" t="s">
        <v>3549</v>
      </c>
      <c r="K483" s="5814" t="s">
        <v>3550</v>
      </c>
    </row>
    <row r="484" spans="1:11">
      <c r="A484" s="21" t="s">
        <v>3551</v>
      </c>
      <c r="B484" s="21" t="s">
        <v>3552</v>
      </c>
      <c r="C484" s="21" t="s">
        <v>8</v>
      </c>
      <c r="D484" s="21" t="s">
        <v>225</v>
      </c>
      <c r="E484" s="21" t="s">
        <v>9</v>
      </c>
      <c r="F484" s="5812">
        <v>5</v>
      </c>
      <c r="G484" s="5813">
        <v>0.20833333333333334</v>
      </c>
      <c r="H484" s="21" t="s">
        <v>54</v>
      </c>
      <c r="I484" s="21" t="s">
        <v>47</v>
      </c>
      <c r="J484" s="21" t="s">
        <v>3553</v>
      </c>
      <c r="K484" s="5814" t="s">
        <v>3554</v>
      </c>
    </row>
    <row r="485" spans="1:11">
      <c r="A485" s="21" t="s">
        <v>2839</v>
      </c>
      <c r="B485" s="21" t="s">
        <v>3555</v>
      </c>
      <c r="C485" s="21" t="s">
        <v>8</v>
      </c>
      <c r="D485" s="21" t="s">
        <v>225</v>
      </c>
      <c r="E485" s="21" t="s">
        <v>46</v>
      </c>
      <c r="F485" s="5812">
        <v>1</v>
      </c>
      <c r="G485" s="5813">
        <v>5.6250000000000001E-2</v>
      </c>
      <c r="H485" s="21" t="s">
        <v>10</v>
      </c>
      <c r="I485" s="21" t="s">
        <v>2176</v>
      </c>
      <c r="J485" s="21" t="s">
        <v>406</v>
      </c>
      <c r="K485" s="5814" t="s">
        <v>3556</v>
      </c>
    </row>
    <row r="486" spans="1:11">
      <c r="A486" s="21" t="s">
        <v>2053</v>
      </c>
      <c r="B486" s="21" t="s">
        <v>3557</v>
      </c>
      <c r="C486" s="21" t="s">
        <v>22</v>
      </c>
      <c r="D486" s="21" t="s">
        <v>225</v>
      </c>
      <c r="E486" s="21" t="s">
        <v>46</v>
      </c>
      <c r="F486" s="5812">
        <v>1</v>
      </c>
      <c r="G486" s="5813">
        <v>8.9583333333333334E-2</v>
      </c>
      <c r="H486" s="21" t="s">
        <v>10</v>
      </c>
      <c r="I486" s="21" t="s">
        <v>615</v>
      </c>
      <c r="J486" s="21" t="s">
        <v>48</v>
      </c>
      <c r="K486" s="5814" t="s">
        <v>3558</v>
      </c>
    </row>
    <row r="487" spans="1:11">
      <c r="A487" s="21" t="s">
        <v>3559</v>
      </c>
      <c r="B487" s="21" t="s">
        <v>3560</v>
      </c>
      <c r="C487" s="21" t="s">
        <v>8</v>
      </c>
      <c r="D487" s="21" t="s">
        <v>225</v>
      </c>
      <c r="E487" s="21" t="s">
        <v>46</v>
      </c>
      <c r="F487" s="5812">
        <v>1</v>
      </c>
      <c r="G487" s="5813">
        <v>0.14097222222222222</v>
      </c>
      <c r="H487" s="21" t="s">
        <v>54</v>
      </c>
      <c r="I487" s="21" t="s">
        <v>55</v>
      </c>
      <c r="J487" s="21" t="s">
        <v>258</v>
      </c>
      <c r="K487" s="5814" t="s">
        <v>3561</v>
      </c>
    </row>
    <row r="488" spans="1:11">
      <c r="A488" s="21" t="s">
        <v>231</v>
      </c>
      <c r="B488" s="21" t="s">
        <v>232</v>
      </c>
      <c r="C488" s="21" t="s">
        <v>8</v>
      </c>
      <c r="D488" s="21" t="s">
        <v>225</v>
      </c>
      <c r="E488" s="21" t="s">
        <v>46</v>
      </c>
      <c r="F488" s="5812">
        <v>1</v>
      </c>
      <c r="G488" s="5813">
        <v>0.1673611111111111</v>
      </c>
      <c r="H488" s="21" t="s">
        <v>10</v>
      </c>
      <c r="I488" s="21" t="s">
        <v>233</v>
      </c>
      <c r="J488" s="21" t="s">
        <v>48</v>
      </c>
      <c r="K488" s="5814" t="s">
        <v>3562</v>
      </c>
    </row>
    <row r="489" spans="1:11">
      <c r="A489" s="21" t="s">
        <v>2383</v>
      </c>
      <c r="B489" s="21" t="s">
        <v>3563</v>
      </c>
      <c r="C489" s="21" t="s">
        <v>22</v>
      </c>
      <c r="D489" s="21" t="s">
        <v>225</v>
      </c>
      <c r="E489" s="21" t="s">
        <v>46</v>
      </c>
      <c r="F489" s="5812">
        <v>1</v>
      </c>
      <c r="G489" s="5813">
        <v>0.17708333333333334</v>
      </c>
      <c r="H489" s="21" t="s">
        <v>10</v>
      </c>
      <c r="I489" s="21" t="s">
        <v>654</v>
      </c>
      <c r="J489" s="21" t="s">
        <v>430</v>
      </c>
      <c r="K489" s="5814" t="s">
        <v>3564</v>
      </c>
    </row>
    <row r="490" spans="1:11">
      <c r="A490" s="21" t="s">
        <v>3565</v>
      </c>
      <c r="B490" s="21" t="s">
        <v>3566</v>
      </c>
      <c r="C490" s="21" t="s">
        <v>8</v>
      </c>
      <c r="D490" s="21" t="s">
        <v>225</v>
      </c>
      <c r="E490" s="21" t="s">
        <v>46</v>
      </c>
      <c r="F490" s="5812">
        <v>1</v>
      </c>
      <c r="G490" s="5813">
        <v>0.17916666666666667</v>
      </c>
      <c r="H490" s="21" t="s">
        <v>10</v>
      </c>
      <c r="I490" s="21" t="s">
        <v>2247</v>
      </c>
      <c r="J490" s="21" t="s">
        <v>97</v>
      </c>
      <c r="K490" s="5814" t="s">
        <v>3567</v>
      </c>
    </row>
    <row r="491" spans="1:11">
      <c r="A491" s="21" t="s">
        <v>3056</v>
      </c>
      <c r="B491" s="21" t="s">
        <v>3568</v>
      </c>
      <c r="C491" s="21" t="s">
        <v>8</v>
      </c>
      <c r="D491" s="21" t="s">
        <v>225</v>
      </c>
      <c r="E491" s="21" t="s">
        <v>46</v>
      </c>
      <c r="F491" s="5812">
        <v>1</v>
      </c>
      <c r="G491" s="5813">
        <v>0.20347222222222222</v>
      </c>
      <c r="H491" s="21" t="s">
        <v>10</v>
      </c>
      <c r="I491" s="21" t="s">
        <v>3569</v>
      </c>
      <c r="J491" s="21" t="s">
        <v>48</v>
      </c>
      <c r="K491" s="5814" t="s">
        <v>3570</v>
      </c>
    </row>
    <row r="492" spans="1:11">
      <c r="A492" s="21" t="s">
        <v>2127</v>
      </c>
      <c r="B492" s="21" t="s">
        <v>3571</v>
      </c>
      <c r="C492" s="21" t="s">
        <v>22</v>
      </c>
      <c r="D492" s="21" t="s">
        <v>225</v>
      </c>
      <c r="E492" s="21" t="s">
        <v>46</v>
      </c>
      <c r="F492" s="5812">
        <v>2</v>
      </c>
      <c r="G492" s="5813">
        <v>6.3888888888888884E-2</v>
      </c>
      <c r="H492" s="21" t="s">
        <v>10</v>
      </c>
      <c r="I492" s="21" t="s">
        <v>55</v>
      </c>
      <c r="J492" s="21" t="s">
        <v>1076</v>
      </c>
      <c r="K492" s="5814" t="s">
        <v>3572</v>
      </c>
    </row>
    <row r="493" spans="1:11">
      <c r="A493" s="21" t="s">
        <v>2817</v>
      </c>
      <c r="B493" s="21" t="s">
        <v>3573</v>
      </c>
      <c r="C493" s="21" t="s">
        <v>8</v>
      </c>
      <c r="D493" s="21" t="s">
        <v>225</v>
      </c>
      <c r="E493" s="21" t="s">
        <v>46</v>
      </c>
      <c r="F493" s="5812">
        <v>2</v>
      </c>
      <c r="G493" s="5813">
        <v>0.10347222222222222</v>
      </c>
      <c r="H493" s="21" t="s">
        <v>54</v>
      </c>
      <c r="I493" s="21" t="s">
        <v>2247</v>
      </c>
      <c r="J493" s="21" t="s">
        <v>127</v>
      </c>
      <c r="K493" s="5814" t="s">
        <v>3574</v>
      </c>
    </row>
    <row r="494" spans="1:11">
      <c r="A494" s="21" t="s">
        <v>2921</v>
      </c>
      <c r="B494" s="21" t="s">
        <v>3575</v>
      </c>
      <c r="C494" s="21" t="s">
        <v>8</v>
      </c>
      <c r="D494" s="21" t="s">
        <v>225</v>
      </c>
      <c r="E494" s="21" t="s">
        <v>46</v>
      </c>
      <c r="F494" s="5812">
        <v>2</v>
      </c>
      <c r="G494" s="5813">
        <v>0.15138888888888888</v>
      </c>
      <c r="H494" s="21" t="s">
        <v>10</v>
      </c>
      <c r="I494" s="21" t="s">
        <v>2923</v>
      </c>
      <c r="J494" s="21" t="s">
        <v>258</v>
      </c>
      <c r="K494" s="5814" t="s">
        <v>3576</v>
      </c>
    </row>
    <row r="495" spans="1:11">
      <c r="A495" s="21" t="s">
        <v>2383</v>
      </c>
      <c r="B495" s="21" t="s">
        <v>3577</v>
      </c>
      <c r="C495" s="21" t="s">
        <v>22</v>
      </c>
      <c r="D495" s="21" t="s">
        <v>225</v>
      </c>
      <c r="E495" s="21" t="s">
        <v>46</v>
      </c>
      <c r="F495" s="5812">
        <v>2</v>
      </c>
      <c r="G495" s="5813">
        <v>0.18611111111111112</v>
      </c>
      <c r="H495" s="21" t="s">
        <v>10</v>
      </c>
      <c r="I495" s="21" t="s">
        <v>11</v>
      </c>
      <c r="J495" s="21" t="s">
        <v>940</v>
      </c>
      <c r="K495" s="5814" t="s">
        <v>3578</v>
      </c>
    </row>
    <row r="496" spans="1:11">
      <c r="A496" s="21" t="s">
        <v>2391</v>
      </c>
      <c r="B496" s="21" t="s">
        <v>3579</v>
      </c>
      <c r="C496" s="21" t="s">
        <v>8</v>
      </c>
      <c r="D496" s="21" t="s">
        <v>225</v>
      </c>
      <c r="E496" s="21" t="s">
        <v>46</v>
      </c>
      <c r="F496" s="5812">
        <v>3</v>
      </c>
      <c r="G496" s="5813">
        <v>9.7916666666666666E-2</v>
      </c>
      <c r="H496" s="21" t="s">
        <v>10</v>
      </c>
      <c r="I496" s="21" t="s">
        <v>96</v>
      </c>
      <c r="J496" s="21" t="s">
        <v>3580</v>
      </c>
      <c r="K496" s="5814" t="s">
        <v>3581</v>
      </c>
    </row>
    <row r="497" spans="1:11">
      <c r="A497" s="21" t="s">
        <v>3230</v>
      </c>
      <c r="B497" s="21" t="s">
        <v>3582</v>
      </c>
      <c r="C497" s="21" t="s">
        <v>8</v>
      </c>
      <c r="D497" s="21" t="s">
        <v>225</v>
      </c>
      <c r="E497" s="21" t="s">
        <v>46</v>
      </c>
      <c r="F497" s="5812">
        <v>3</v>
      </c>
      <c r="G497" s="5813">
        <v>0.10347222222222222</v>
      </c>
      <c r="H497" s="21" t="s">
        <v>10</v>
      </c>
      <c r="I497" s="21" t="s">
        <v>96</v>
      </c>
      <c r="J497" s="21" t="s">
        <v>97</v>
      </c>
      <c r="K497" s="5814" t="s">
        <v>3583</v>
      </c>
    </row>
    <row r="498" spans="1:11">
      <c r="A498" s="21" t="s">
        <v>3584</v>
      </c>
      <c r="B498" s="21" t="s">
        <v>3585</v>
      </c>
      <c r="C498" s="21" t="s">
        <v>22</v>
      </c>
      <c r="D498" s="21" t="s">
        <v>225</v>
      </c>
      <c r="E498" s="21" t="s">
        <v>46</v>
      </c>
      <c r="F498" s="5812">
        <v>3</v>
      </c>
      <c r="G498" s="5813">
        <v>0.15972222222222221</v>
      </c>
      <c r="H498" s="21" t="s">
        <v>10</v>
      </c>
      <c r="I498" s="21" t="s">
        <v>2731</v>
      </c>
      <c r="J498" s="21" t="s">
        <v>722</v>
      </c>
      <c r="K498" s="5814" t="s">
        <v>3586</v>
      </c>
    </row>
    <row r="499" spans="1:11">
      <c r="A499" s="21" t="s">
        <v>2291</v>
      </c>
      <c r="B499" s="21" t="s">
        <v>3587</v>
      </c>
      <c r="C499" s="21" t="s">
        <v>179</v>
      </c>
      <c r="D499" s="21" t="s">
        <v>225</v>
      </c>
      <c r="E499" s="21" t="s">
        <v>920</v>
      </c>
      <c r="F499" s="5812">
        <v>2</v>
      </c>
      <c r="G499" s="5813">
        <v>8.2638888888888887E-2</v>
      </c>
      <c r="H499" s="21" t="s">
        <v>10</v>
      </c>
      <c r="I499" s="21" t="s">
        <v>23</v>
      </c>
      <c r="J499" s="21" t="s">
        <v>3588</v>
      </c>
      <c r="K499" s="5814" t="s">
        <v>3589</v>
      </c>
    </row>
    <row r="500" spans="1:11">
      <c r="A500" s="21" t="s">
        <v>2966</v>
      </c>
      <c r="B500" s="21" t="s">
        <v>3590</v>
      </c>
      <c r="C500" s="21" t="s">
        <v>22</v>
      </c>
      <c r="D500" s="21" t="s">
        <v>225</v>
      </c>
      <c r="E500" s="21" t="s">
        <v>61</v>
      </c>
      <c r="F500" s="5812">
        <v>1</v>
      </c>
      <c r="G500" s="5813">
        <v>5.5555555555555552E-2</v>
      </c>
      <c r="H500" s="21" t="s">
        <v>10</v>
      </c>
      <c r="I500" s="21" t="s">
        <v>23</v>
      </c>
      <c r="J500" s="21" t="s">
        <v>67</v>
      </c>
      <c r="K500" s="5814" t="s">
        <v>3591</v>
      </c>
    </row>
    <row r="501" spans="1:11">
      <c r="A501" s="21" t="s">
        <v>2245</v>
      </c>
      <c r="B501" s="21" t="s">
        <v>3592</v>
      </c>
      <c r="C501" s="21" t="s">
        <v>22</v>
      </c>
      <c r="D501" s="21" t="s">
        <v>225</v>
      </c>
      <c r="E501" s="21" t="s">
        <v>61</v>
      </c>
      <c r="F501" s="5812">
        <v>1</v>
      </c>
      <c r="G501" s="5813">
        <v>6.7361111111111108E-2</v>
      </c>
      <c r="H501" s="21" t="s">
        <v>10</v>
      </c>
      <c r="I501" s="21" t="s">
        <v>3593</v>
      </c>
      <c r="J501" s="21" t="s">
        <v>3279</v>
      </c>
      <c r="K501" s="5814" t="s">
        <v>3594</v>
      </c>
    </row>
    <row r="502" spans="1:11">
      <c r="A502" s="21" t="s">
        <v>2391</v>
      </c>
      <c r="B502" s="21" t="s">
        <v>3595</v>
      </c>
      <c r="C502" s="21" t="s">
        <v>8</v>
      </c>
      <c r="D502" s="21" t="s">
        <v>225</v>
      </c>
      <c r="E502" s="21" t="s">
        <v>61</v>
      </c>
      <c r="F502" s="5812">
        <v>1</v>
      </c>
      <c r="G502" s="5813">
        <v>9.2361111111111116E-2</v>
      </c>
      <c r="H502" s="21" t="s">
        <v>54</v>
      </c>
      <c r="I502" s="21" t="s">
        <v>55</v>
      </c>
      <c r="J502" s="21" t="s">
        <v>782</v>
      </c>
      <c r="K502" s="5814" t="s">
        <v>3596</v>
      </c>
    </row>
    <row r="503" spans="1:11">
      <c r="A503" s="21" t="s">
        <v>3597</v>
      </c>
      <c r="B503" s="21" t="s">
        <v>3598</v>
      </c>
      <c r="C503" s="21" t="s">
        <v>8</v>
      </c>
      <c r="D503" s="21" t="s">
        <v>225</v>
      </c>
      <c r="E503" s="21" t="s">
        <v>61</v>
      </c>
      <c r="F503" s="5812">
        <v>1</v>
      </c>
      <c r="G503" s="5813">
        <v>0.10069444444444445</v>
      </c>
      <c r="H503" s="21" t="s">
        <v>10</v>
      </c>
      <c r="I503" s="21" t="s">
        <v>55</v>
      </c>
      <c r="J503" s="21" t="s">
        <v>928</v>
      </c>
      <c r="K503" s="5814" t="s">
        <v>3599</v>
      </c>
    </row>
    <row r="504" spans="1:11">
      <c r="A504" s="21" t="s">
        <v>3012</v>
      </c>
      <c r="B504" s="21" t="s">
        <v>3600</v>
      </c>
      <c r="C504" s="21" t="s">
        <v>22</v>
      </c>
      <c r="D504" s="21" t="s">
        <v>225</v>
      </c>
      <c r="E504" s="21" t="s">
        <v>61</v>
      </c>
      <c r="F504" s="5812">
        <v>1</v>
      </c>
      <c r="G504" s="5813">
        <v>0.10833333333333334</v>
      </c>
      <c r="H504" s="21" t="s">
        <v>10</v>
      </c>
      <c r="I504" s="21" t="s">
        <v>55</v>
      </c>
      <c r="J504" s="21" t="s">
        <v>3350</v>
      </c>
      <c r="K504" s="5814" t="s">
        <v>3601</v>
      </c>
    </row>
    <row r="505" spans="1:11">
      <c r="A505" s="21" t="s">
        <v>2088</v>
      </c>
      <c r="B505" s="21" t="s">
        <v>3602</v>
      </c>
      <c r="C505" s="21" t="s">
        <v>8</v>
      </c>
      <c r="D505" s="21" t="s">
        <v>225</v>
      </c>
      <c r="E505" s="21" t="s">
        <v>61</v>
      </c>
      <c r="F505" s="5812">
        <v>1</v>
      </c>
      <c r="G505" s="5813">
        <v>0.15138888888888888</v>
      </c>
      <c r="H505" s="21" t="s">
        <v>10</v>
      </c>
      <c r="I505" s="21" t="s">
        <v>55</v>
      </c>
      <c r="J505" s="21" t="s">
        <v>3326</v>
      </c>
      <c r="K505" s="5814" t="s">
        <v>3603</v>
      </c>
    </row>
    <row r="506" spans="1:11">
      <c r="A506" s="21" t="s">
        <v>2391</v>
      </c>
      <c r="B506" s="21" t="s">
        <v>3604</v>
      </c>
      <c r="C506" s="21" t="s">
        <v>8</v>
      </c>
      <c r="D506" s="21" t="s">
        <v>225</v>
      </c>
      <c r="E506" s="21" t="s">
        <v>61</v>
      </c>
      <c r="F506" s="5812">
        <v>1</v>
      </c>
      <c r="G506" s="5813">
        <v>0.18541666666666667</v>
      </c>
      <c r="H506" s="21" t="s">
        <v>10</v>
      </c>
      <c r="I506" s="21" t="s">
        <v>47</v>
      </c>
      <c r="J506" s="21" t="s">
        <v>67</v>
      </c>
      <c r="K506" s="5814" t="s">
        <v>3605</v>
      </c>
    </row>
    <row r="507" spans="1:11">
      <c r="A507" s="21" t="s">
        <v>2446</v>
      </c>
      <c r="B507" s="21" t="s">
        <v>3606</v>
      </c>
      <c r="C507" s="21" t="s">
        <v>8</v>
      </c>
      <c r="D507" s="21" t="s">
        <v>225</v>
      </c>
      <c r="E507" s="21" t="s">
        <v>61</v>
      </c>
      <c r="F507" s="5812">
        <v>1</v>
      </c>
      <c r="G507" s="5813">
        <v>0.2076388888888889</v>
      </c>
      <c r="H507" s="21" t="s">
        <v>10</v>
      </c>
      <c r="I507" s="21" t="s">
        <v>55</v>
      </c>
      <c r="J507" s="21" t="s">
        <v>3607</v>
      </c>
      <c r="K507" s="5814" t="s">
        <v>3608</v>
      </c>
    </row>
    <row r="508" spans="1:11">
      <c r="A508" s="21" t="s">
        <v>3243</v>
      </c>
      <c r="B508" s="21" t="s">
        <v>3609</v>
      </c>
      <c r="C508" s="21" t="s">
        <v>22</v>
      </c>
      <c r="D508" s="21" t="s">
        <v>225</v>
      </c>
      <c r="E508" s="21" t="s">
        <v>61</v>
      </c>
      <c r="F508" s="5812">
        <v>2</v>
      </c>
      <c r="G508" s="5813">
        <v>8.5416666666666669E-2</v>
      </c>
      <c r="H508" s="21" t="s">
        <v>10</v>
      </c>
      <c r="I508" s="21" t="s">
        <v>39</v>
      </c>
      <c r="J508" s="21" t="s">
        <v>67</v>
      </c>
      <c r="K508" s="5814" t="s">
        <v>3610</v>
      </c>
    </row>
    <row r="509" spans="1:11">
      <c r="A509" s="21" t="s">
        <v>3348</v>
      </c>
      <c r="B509" s="21" t="s">
        <v>3611</v>
      </c>
      <c r="C509" s="21" t="s">
        <v>22</v>
      </c>
      <c r="D509" s="21" t="s">
        <v>225</v>
      </c>
      <c r="E509" s="21" t="s">
        <v>61</v>
      </c>
      <c r="F509" s="5812">
        <v>2</v>
      </c>
      <c r="G509" s="5813">
        <v>0.10347222222222222</v>
      </c>
      <c r="H509" s="21" t="s">
        <v>10</v>
      </c>
      <c r="I509" s="21" t="s">
        <v>96</v>
      </c>
      <c r="J509" s="21" t="s">
        <v>67</v>
      </c>
      <c r="K509" s="5814" t="s">
        <v>3612</v>
      </c>
    </row>
    <row r="510" spans="1:11">
      <c r="A510" s="21" t="s">
        <v>3613</v>
      </c>
      <c r="B510" s="21" t="s">
        <v>3614</v>
      </c>
      <c r="C510" s="21" t="s">
        <v>22</v>
      </c>
      <c r="D510" s="21" t="s">
        <v>225</v>
      </c>
      <c r="E510" s="21" t="s">
        <v>61</v>
      </c>
      <c r="F510" s="5812">
        <v>2</v>
      </c>
      <c r="G510" s="5813">
        <v>0.18055555555555555</v>
      </c>
      <c r="H510" s="21" t="s">
        <v>10</v>
      </c>
      <c r="I510" s="21" t="s">
        <v>55</v>
      </c>
      <c r="J510" s="21" t="s">
        <v>67</v>
      </c>
      <c r="K510" s="5814" t="s">
        <v>3615</v>
      </c>
    </row>
    <row r="511" spans="1:11">
      <c r="A511" s="21" t="s">
        <v>3616</v>
      </c>
      <c r="B511" s="21" t="s">
        <v>3617</v>
      </c>
      <c r="C511" s="21" t="s">
        <v>22</v>
      </c>
      <c r="D511" s="21" t="s">
        <v>225</v>
      </c>
      <c r="E511" s="21" t="s">
        <v>61</v>
      </c>
      <c r="F511" s="5812">
        <v>3</v>
      </c>
      <c r="G511" s="5813">
        <v>0.11388888888888889</v>
      </c>
      <c r="H511" s="21" t="s">
        <v>10</v>
      </c>
      <c r="I511" s="21" t="s">
        <v>11</v>
      </c>
      <c r="J511" s="21" t="s">
        <v>782</v>
      </c>
      <c r="K511" s="5814" t="s">
        <v>3618</v>
      </c>
    </row>
    <row r="512" spans="1:11">
      <c r="A512" s="21" t="s">
        <v>2478</v>
      </c>
      <c r="B512" s="21" t="s">
        <v>3619</v>
      </c>
      <c r="C512" s="21" t="s">
        <v>8</v>
      </c>
      <c r="D512" s="21" t="s">
        <v>225</v>
      </c>
      <c r="E512" s="21" t="s">
        <v>61</v>
      </c>
      <c r="F512" s="5812">
        <v>3</v>
      </c>
      <c r="G512" s="5813">
        <v>0.12222222222222222</v>
      </c>
      <c r="H512" s="21" t="s">
        <v>10</v>
      </c>
      <c r="I512" s="21" t="s">
        <v>96</v>
      </c>
      <c r="J512" s="21" t="s">
        <v>282</v>
      </c>
      <c r="K512" s="5814" t="s">
        <v>3620</v>
      </c>
    </row>
    <row r="513" spans="1:11">
      <c r="A513" s="21" t="s">
        <v>2910</v>
      </c>
      <c r="B513" s="21" t="s">
        <v>3621</v>
      </c>
      <c r="C513" s="21" t="s">
        <v>8</v>
      </c>
      <c r="D513" s="21" t="s">
        <v>225</v>
      </c>
      <c r="E513" s="21" t="s">
        <v>244</v>
      </c>
      <c r="F513" s="5812">
        <v>2</v>
      </c>
      <c r="G513" s="5813">
        <v>0.15138888888888888</v>
      </c>
      <c r="H513" s="21" t="s">
        <v>10</v>
      </c>
      <c r="I513" s="21" t="s">
        <v>11</v>
      </c>
      <c r="J513" s="21" t="s">
        <v>3622</v>
      </c>
      <c r="K513" s="5814" t="s">
        <v>3623</v>
      </c>
    </row>
    <row r="514" spans="1:11">
      <c r="A514" s="21"/>
      <c r="B514" s="21"/>
      <c r="C514" s="21"/>
      <c r="D514" s="21"/>
      <c r="E514" s="21"/>
      <c r="F514" s="5812"/>
      <c r="G514" s="5813"/>
      <c r="H514" s="21"/>
      <c r="I514" s="21"/>
      <c r="J514" s="21"/>
      <c r="K514" s="21"/>
    </row>
    <row r="515" spans="1:11">
      <c r="A515" s="21" t="s">
        <v>2571</v>
      </c>
      <c r="B515" s="21" t="s">
        <v>3624</v>
      </c>
      <c r="C515" s="21" t="s">
        <v>179</v>
      </c>
      <c r="D515" s="21" t="s">
        <v>237</v>
      </c>
      <c r="E515" s="21" t="s">
        <v>180</v>
      </c>
      <c r="F515" s="5812">
        <v>1</v>
      </c>
      <c r="G515" s="5813">
        <v>1.0416666666666666E-2</v>
      </c>
      <c r="H515" s="21" t="s">
        <v>54</v>
      </c>
      <c r="I515" s="21" t="s">
        <v>55</v>
      </c>
      <c r="J515" s="21" t="s">
        <v>3625</v>
      </c>
      <c r="K515" s="5814" t="s">
        <v>3626</v>
      </c>
    </row>
    <row r="516" spans="1:11">
      <c r="A516" s="21" t="s">
        <v>2061</v>
      </c>
      <c r="B516" s="21" t="s">
        <v>3627</v>
      </c>
      <c r="C516" s="21" t="s">
        <v>179</v>
      </c>
      <c r="D516" s="21" t="s">
        <v>237</v>
      </c>
      <c r="E516" s="21" t="s">
        <v>180</v>
      </c>
      <c r="F516" s="5812">
        <v>2</v>
      </c>
      <c r="G516" s="5813">
        <v>3.1944444444444442E-2</v>
      </c>
      <c r="H516" s="21" t="s">
        <v>10</v>
      </c>
      <c r="I516" s="21" t="s">
        <v>55</v>
      </c>
      <c r="J516" s="21" t="s">
        <v>3628</v>
      </c>
      <c r="K516" s="5814" t="s">
        <v>3629</v>
      </c>
    </row>
    <row r="517" spans="1:11">
      <c r="A517" s="21" t="s">
        <v>3630</v>
      </c>
      <c r="B517" s="21" t="s">
        <v>3631</v>
      </c>
      <c r="C517" s="21" t="s">
        <v>179</v>
      </c>
      <c r="D517" s="21" t="s">
        <v>237</v>
      </c>
      <c r="E517" s="21" t="s">
        <v>180</v>
      </c>
      <c r="F517" s="5812">
        <v>2</v>
      </c>
      <c r="G517" s="5813">
        <v>6.5277777777777782E-2</v>
      </c>
      <c r="H517" s="21" t="s">
        <v>10</v>
      </c>
      <c r="I517" s="21" t="s">
        <v>55</v>
      </c>
      <c r="J517" s="21" t="s">
        <v>3632</v>
      </c>
      <c r="K517" s="5814" t="s">
        <v>3633</v>
      </c>
    </row>
    <row r="518" spans="1:11">
      <c r="A518" s="21" t="s">
        <v>2918</v>
      </c>
      <c r="B518" s="21" t="s">
        <v>3634</v>
      </c>
      <c r="C518" s="21" t="s">
        <v>709</v>
      </c>
      <c r="D518" s="21" t="s">
        <v>237</v>
      </c>
      <c r="E518" s="21" t="s">
        <v>710</v>
      </c>
      <c r="F518" s="5812">
        <v>3</v>
      </c>
      <c r="G518" s="5813">
        <v>0.20833333333333334</v>
      </c>
      <c r="H518" s="21" t="s">
        <v>10</v>
      </c>
      <c r="I518" s="21" t="s">
        <v>23</v>
      </c>
      <c r="J518" s="21" t="s">
        <v>3635</v>
      </c>
      <c r="K518" s="5814" t="s">
        <v>3636</v>
      </c>
    </row>
    <row r="519" spans="1:11">
      <c r="A519" s="21" t="s">
        <v>2053</v>
      </c>
      <c r="B519" s="21" t="s">
        <v>3637</v>
      </c>
      <c r="C519" s="21" t="s">
        <v>8</v>
      </c>
      <c r="D519" s="21" t="s">
        <v>237</v>
      </c>
      <c r="E519" s="21" t="s">
        <v>710</v>
      </c>
      <c r="F519" s="5812">
        <v>3</v>
      </c>
      <c r="G519" s="5813">
        <v>0.20833333333333334</v>
      </c>
      <c r="H519" s="21" t="s">
        <v>10</v>
      </c>
      <c r="I519" s="21" t="s">
        <v>89</v>
      </c>
      <c r="J519" s="21" t="s">
        <v>3638</v>
      </c>
      <c r="K519" s="5814" t="s">
        <v>3639</v>
      </c>
    </row>
    <row r="520" spans="1:11">
      <c r="A520" s="21" t="s">
        <v>3409</v>
      </c>
      <c r="B520" s="21" t="s">
        <v>3640</v>
      </c>
      <c r="C520" s="21" t="s">
        <v>8</v>
      </c>
      <c r="D520" s="21" t="s">
        <v>237</v>
      </c>
      <c r="E520" s="21" t="s">
        <v>710</v>
      </c>
      <c r="F520" s="5812">
        <v>3</v>
      </c>
      <c r="G520" s="5813">
        <v>0.20833333333333334</v>
      </c>
      <c r="H520" s="21" t="s">
        <v>10</v>
      </c>
      <c r="I520" s="21" t="s">
        <v>11</v>
      </c>
      <c r="J520" s="21" t="s">
        <v>3641</v>
      </c>
      <c r="K520" s="5814" t="s">
        <v>3642</v>
      </c>
    </row>
    <row r="521" spans="1:11">
      <c r="A521" s="21" t="s">
        <v>3643</v>
      </c>
      <c r="B521" s="21" t="s">
        <v>3644</v>
      </c>
      <c r="C521" s="21" t="s">
        <v>709</v>
      </c>
      <c r="D521" s="21" t="s">
        <v>237</v>
      </c>
      <c r="E521" s="21" t="s">
        <v>710</v>
      </c>
      <c r="F521" s="5812">
        <v>3</v>
      </c>
      <c r="G521" s="5813">
        <v>0.20833333333333334</v>
      </c>
      <c r="H521" s="21" t="s">
        <v>10</v>
      </c>
      <c r="I521" s="21" t="s">
        <v>55</v>
      </c>
      <c r="J521" s="21" t="s">
        <v>3645</v>
      </c>
      <c r="K521" s="5814" t="s">
        <v>3646</v>
      </c>
    </row>
    <row r="522" spans="1:11">
      <c r="A522" s="21" t="s">
        <v>3647</v>
      </c>
      <c r="B522" s="21" t="s">
        <v>3648</v>
      </c>
      <c r="C522" s="21" t="s">
        <v>22</v>
      </c>
      <c r="D522" s="21" t="s">
        <v>237</v>
      </c>
      <c r="E522" s="21" t="s">
        <v>710</v>
      </c>
      <c r="F522" s="5812">
        <v>3</v>
      </c>
      <c r="G522" s="5813">
        <v>0.20833333333333334</v>
      </c>
      <c r="H522" s="21" t="s">
        <v>10</v>
      </c>
      <c r="I522" s="21" t="s">
        <v>47</v>
      </c>
      <c r="J522" s="21" t="s">
        <v>3649</v>
      </c>
      <c r="K522" s="5814" t="s">
        <v>3650</v>
      </c>
    </row>
    <row r="523" spans="1:11">
      <c r="A523" s="21" t="s">
        <v>3651</v>
      </c>
      <c r="B523" s="21" t="s">
        <v>3652</v>
      </c>
      <c r="C523" s="21" t="s">
        <v>22</v>
      </c>
      <c r="D523" s="21" t="s">
        <v>237</v>
      </c>
      <c r="E523" s="21" t="s">
        <v>710</v>
      </c>
      <c r="F523" s="5812">
        <v>3</v>
      </c>
      <c r="G523" s="5813">
        <v>0.20833333333333334</v>
      </c>
      <c r="H523" s="21" t="s">
        <v>10</v>
      </c>
      <c r="I523" s="21" t="s">
        <v>187</v>
      </c>
      <c r="J523" s="21" t="s">
        <v>3653</v>
      </c>
      <c r="K523" s="5814" t="s">
        <v>3654</v>
      </c>
    </row>
    <row r="524" spans="1:11">
      <c r="A524" s="21" t="s">
        <v>2846</v>
      </c>
      <c r="B524" s="21" t="s">
        <v>3655</v>
      </c>
      <c r="C524" s="21" t="s">
        <v>709</v>
      </c>
      <c r="D524" s="21" t="s">
        <v>237</v>
      </c>
      <c r="E524" s="21" t="s">
        <v>710</v>
      </c>
      <c r="F524" s="5812">
        <v>3</v>
      </c>
      <c r="G524" s="5813">
        <v>0.20833333333333334</v>
      </c>
      <c r="H524" s="21" t="s">
        <v>10</v>
      </c>
      <c r="I524" s="21" t="s">
        <v>3441</v>
      </c>
      <c r="J524" s="21" t="s">
        <v>3656</v>
      </c>
      <c r="K524" s="5814" t="s">
        <v>3657</v>
      </c>
    </row>
    <row r="525" spans="1:11">
      <c r="A525" s="21" t="s">
        <v>3098</v>
      </c>
      <c r="B525" s="21" t="s">
        <v>3658</v>
      </c>
      <c r="C525" s="21" t="s">
        <v>22</v>
      </c>
      <c r="D525" s="21" t="s">
        <v>237</v>
      </c>
      <c r="E525" s="21" t="s">
        <v>710</v>
      </c>
      <c r="F525" s="5812">
        <v>3</v>
      </c>
      <c r="G525" s="5813">
        <v>0.20833333333333334</v>
      </c>
      <c r="H525" s="21" t="s">
        <v>10</v>
      </c>
      <c r="I525" s="21" t="s">
        <v>47</v>
      </c>
      <c r="J525" s="21" t="s">
        <v>3659</v>
      </c>
      <c r="K525" s="5814" t="s">
        <v>3660</v>
      </c>
    </row>
    <row r="526" spans="1:11">
      <c r="A526" s="21" t="s">
        <v>2918</v>
      </c>
      <c r="B526" s="21" t="s">
        <v>3661</v>
      </c>
      <c r="C526" s="21" t="s">
        <v>8</v>
      </c>
      <c r="D526" s="21" t="s">
        <v>237</v>
      </c>
      <c r="E526" s="21" t="s">
        <v>193</v>
      </c>
      <c r="F526" s="5812">
        <v>3</v>
      </c>
      <c r="G526" s="5813">
        <v>0.20833333333333334</v>
      </c>
      <c r="H526" s="21" t="s">
        <v>2081</v>
      </c>
      <c r="I526" s="21" t="s">
        <v>39</v>
      </c>
      <c r="J526" s="21" t="s">
        <v>3662</v>
      </c>
      <c r="K526" s="5814" t="s">
        <v>3663</v>
      </c>
    </row>
    <row r="527" spans="1:11">
      <c r="A527" s="21" t="s">
        <v>79</v>
      </c>
      <c r="B527" s="21" t="s">
        <v>352</v>
      </c>
      <c r="C527" s="21" t="s">
        <v>22</v>
      </c>
      <c r="D527" s="21" t="s">
        <v>237</v>
      </c>
      <c r="E527" s="21" t="s">
        <v>193</v>
      </c>
      <c r="F527" s="5812">
        <v>3</v>
      </c>
      <c r="G527" s="5813">
        <v>0.20833333333333334</v>
      </c>
      <c r="H527" s="21" t="s">
        <v>10</v>
      </c>
      <c r="I527" s="21" t="s">
        <v>96</v>
      </c>
      <c r="J527" s="21" t="s">
        <v>353</v>
      </c>
      <c r="K527" s="5814" t="s">
        <v>354</v>
      </c>
    </row>
    <row r="528" spans="1:11">
      <c r="A528" s="21" t="s">
        <v>79</v>
      </c>
      <c r="B528" s="21" t="s">
        <v>358</v>
      </c>
      <c r="C528" s="21" t="s">
        <v>22</v>
      </c>
      <c r="D528" s="21" t="s">
        <v>237</v>
      </c>
      <c r="E528" s="21" t="s">
        <v>193</v>
      </c>
      <c r="F528" s="5812">
        <v>3</v>
      </c>
      <c r="G528" s="5813">
        <v>0.20833333333333334</v>
      </c>
      <c r="H528" s="21" t="s">
        <v>10</v>
      </c>
      <c r="I528" s="21" t="s">
        <v>11</v>
      </c>
      <c r="J528" s="21" t="s">
        <v>359</v>
      </c>
      <c r="K528" s="5814" t="s">
        <v>360</v>
      </c>
    </row>
    <row r="529" spans="1:11">
      <c r="A529" s="21" t="s">
        <v>20</v>
      </c>
      <c r="B529" s="21" t="s">
        <v>292</v>
      </c>
      <c r="C529" s="21" t="s">
        <v>8</v>
      </c>
      <c r="D529" s="21" t="s">
        <v>237</v>
      </c>
      <c r="E529" s="21" t="s">
        <v>193</v>
      </c>
      <c r="F529" s="5812">
        <v>3</v>
      </c>
      <c r="G529" s="5813">
        <v>0.20833333333333334</v>
      </c>
      <c r="H529" s="21" t="s">
        <v>10</v>
      </c>
      <c r="I529" s="21" t="s">
        <v>23</v>
      </c>
      <c r="J529" s="21" t="s">
        <v>293</v>
      </c>
      <c r="K529" s="5814" t="s">
        <v>294</v>
      </c>
    </row>
    <row r="530" spans="1:11">
      <c r="A530" s="21" t="s">
        <v>20</v>
      </c>
      <c r="B530" s="21" t="s">
        <v>383</v>
      </c>
      <c r="C530" s="21" t="s">
        <v>22</v>
      </c>
      <c r="D530" s="21" t="s">
        <v>237</v>
      </c>
      <c r="E530" s="21" t="s">
        <v>193</v>
      </c>
      <c r="F530" s="5812">
        <v>3</v>
      </c>
      <c r="G530" s="5813">
        <v>0.20833333333333334</v>
      </c>
      <c r="H530" s="21" t="s">
        <v>10</v>
      </c>
      <c r="I530" s="21" t="s">
        <v>39</v>
      </c>
      <c r="J530" s="21" t="s">
        <v>384</v>
      </c>
      <c r="K530" s="5814" t="s">
        <v>385</v>
      </c>
    </row>
    <row r="531" spans="1:11">
      <c r="A531" s="21" t="s">
        <v>185</v>
      </c>
      <c r="B531" s="21" t="s">
        <v>399</v>
      </c>
      <c r="C531" s="21" t="s">
        <v>22</v>
      </c>
      <c r="D531" s="21" t="s">
        <v>237</v>
      </c>
      <c r="E531" s="21" t="s">
        <v>193</v>
      </c>
      <c r="F531" s="5812">
        <v>3</v>
      </c>
      <c r="G531" s="5813">
        <v>0.20833333333333334</v>
      </c>
      <c r="H531" s="21" t="s">
        <v>10</v>
      </c>
      <c r="I531" s="21" t="s">
        <v>400</v>
      </c>
      <c r="J531" s="21" t="s">
        <v>401</v>
      </c>
      <c r="K531" s="5814" t="s">
        <v>402</v>
      </c>
    </row>
    <row r="532" spans="1:11">
      <c r="A532" s="21" t="s">
        <v>3664</v>
      </c>
      <c r="B532" s="21" t="s">
        <v>3665</v>
      </c>
      <c r="C532" s="21" t="s">
        <v>22</v>
      </c>
      <c r="D532" s="21" t="s">
        <v>237</v>
      </c>
      <c r="E532" s="21" t="s">
        <v>193</v>
      </c>
      <c r="F532" s="5812">
        <v>3</v>
      </c>
      <c r="G532" s="5813">
        <v>0.20833333333333334</v>
      </c>
      <c r="H532" s="21" t="s">
        <v>10</v>
      </c>
      <c r="I532" s="21" t="s">
        <v>609</v>
      </c>
      <c r="J532" s="21" t="s">
        <v>3666</v>
      </c>
      <c r="K532" s="5814" t="s">
        <v>3667</v>
      </c>
    </row>
    <row r="533" spans="1:11">
      <c r="A533" s="21" t="s">
        <v>3039</v>
      </c>
      <c r="B533" s="21" t="s">
        <v>3668</v>
      </c>
      <c r="C533" s="21" t="s">
        <v>22</v>
      </c>
      <c r="D533" s="21" t="s">
        <v>237</v>
      </c>
      <c r="E533" s="21" t="s">
        <v>193</v>
      </c>
      <c r="F533" s="5812">
        <v>3</v>
      </c>
      <c r="G533" s="5813">
        <v>0.20833333333333334</v>
      </c>
      <c r="H533" s="21" t="s">
        <v>10</v>
      </c>
      <c r="I533" s="21" t="s">
        <v>11</v>
      </c>
      <c r="J533" s="21" t="s">
        <v>3669</v>
      </c>
      <c r="K533" s="5814" t="s">
        <v>3670</v>
      </c>
    </row>
    <row r="534" spans="1:11">
      <c r="A534" s="21" t="s">
        <v>3671</v>
      </c>
      <c r="B534" s="21" t="s">
        <v>3672</v>
      </c>
      <c r="C534" s="21" t="s">
        <v>8</v>
      </c>
      <c r="D534" s="21" t="s">
        <v>237</v>
      </c>
      <c r="E534" s="21" t="s">
        <v>193</v>
      </c>
      <c r="F534" s="5812">
        <v>3</v>
      </c>
      <c r="G534" s="5813">
        <v>0.20833333333333334</v>
      </c>
      <c r="H534" s="21" t="s">
        <v>10</v>
      </c>
      <c r="I534" s="21" t="s">
        <v>2814</v>
      </c>
      <c r="J534" s="21" t="s">
        <v>3673</v>
      </c>
      <c r="K534" s="5814" t="s">
        <v>3674</v>
      </c>
    </row>
    <row r="535" spans="1:11">
      <c r="A535" s="21" t="s">
        <v>2387</v>
      </c>
      <c r="B535" s="21" t="s">
        <v>3675</v>
      </c>
      <c r="C535" s="21" t="s">
        <v>8</v>
      </c>
      <c r="D535" s="21" t="s">
        <v>237</v>
      </c>
      <c r="E535" s="21" t="s">
        <v>193</v>
      </c>
      <c r="F535" s="5812">
        <v>3</v>
      </c>
      <c r="G535" s="5813">
        <v>0.20833333333333334</v>
      </c>
      <c r="H535" s="21" t="s">
        <v>10</v>
      </c>
      <c r="I535" s="21" t="s">
        <v>11</v>
      </c>
      <c r="J535" s="21" t="s">
        <v>3676</v>
      </c>
      <c r="K535" s="5814" t="s">
        <v>3677</v>
      </c>
    </row>
    <row r="536" spans="1:11">
      <c r="A536" s="21" t="s">
        <v>2395</v>
      </c>
      <c r="B536" s="21" t="s">
        <v>3678</v>
      </c>
      <c r="C536" s="21" t="s">
        <v>709</v>
      </c>
      <c r="D536" s="21" t="s">
        <v>237</v>
      </c>
      <c r="E536" s="21" t="s">
        <v>193</v>
      </c>
      <c r="F536" s="5812">
        <v>3</v>
      </c>
      <c r="G536" s="5813">
        <v>0.20833333333333334</v>
      </c>
      <c r="H536" s="21" t="s">
        <v>10</v>
      </c>
      <c r="I536" s="21" t="s">
        <v>89</v>
      </c>
      <c r="J536" s="21" t="s">
        <v>3679</v>
      </c>
      <c r="K536" s="5814" t="s">
        <v>3680</v>
      </c>
    </row>
    <row r="537" spans="1:11">
      <c r="A537" s="21" t="s">
        <v>2420</v>
      </c>
      <c r="B537" s="21" t="s">
        <v>3681</v>
      </c>
      <c r="C537" s="21" t="s">
        <v>22</v>
      </c>
      <c r="D537" s="21" t="s">
        <v>237</v>
      </c>
      <c r="E537" s="21" t="s">
        <v>193</v>
      </c>
      <c r="F537" s="5812">
        <v>3</v>
      </c>
      <c r="G537" s="5813">
        <v>0.20833333333333334</v>
      </c>
      <c r="H537" s="21" t="s">
        <v>10</v>
      </c>
      <c r="I537" s="21" t="s">
        <v>2269</v>
      </c>
      <c r="J537" s="21" t="s">
        <v>3682</v>
      </c>
      <c r="K537" s="5814" t="s">
        <v>3683</v>
      </c>
    </row>
    <row r="538" spans="1:11">
      <c r="A538" s="21" t="s">
        <v>3434</v>
      </c>
      <c r="B538" s="21" t="s">
        <v>3684</v>
      </c>
      <c r="C538" s="21" t="s">
        <v>8</v>
      </c>
      <c r="D538" s="21" t="s">
        <v>237</v>
      </c>
      <c r="E538" s="21" t="s">
        <v>193</v>
      </c>
      <c r="F538" s="5812">
        <v>3</v>
      </c>
      <c r="G538" s="5813">
        <v>0.20833333333333334</v>
      </c>
      <c r="H538" s="21" t="s">
        <v>10</v>
      </c>
      <c r="I538" s="21" t="s">
        <v>39</v>
      </c>
      <c r="J538" s="21" t="s">
        <v>3685</v>
      </c>
      <c r="K538" s="5814" t="s">
        <v>3686</v>
      </c>
    </row>
    <row r="539" spans="1:11">
      <c r="A539" s="21" t="s">
        <v>2061</v>
      </c>
      <c r="B539" s="21" t="s">
        <v>3687</v>
      </c>
      <c r="C539" s="21" t="s">
        <v>8</v>
      </c>
      <c r="D539" s="21" t="s">
        <v>237</v>
      </c>
      <c r="E539" s="21" t="s">
        <v>193</v>
      </c>
      <c r="F539" s="5812">
        <v>3</v>
      </c>
      <c r="G539" s="5813">
        <v>0.20833333333333334</v>
      </c>
      <c r="H539" s="21" t="s">
        <v>10</v>
      </c>
      <c r="I539" s="21" t="s">
        <v>89</v>
      </c>
      <c r="J539" s="21" t="s">
        <v>3688</v>
      </c>
      <c r="K539" s="5814" t="s">
        <v>3689</v>
      </c>
    </row>
    <row r="540" spans="1:11">
      <c r="A540" s="21" t="s">
        <v>3690</v>
      </c>
      <c r="B540" s="21" t="s">
        <v>3691</v>
      </c>
      <c r="C540" s="21" t="s">
        <v>8</v>
      </c>
      <c r="D540" s="21" t="s">
        <v>237</v>
      </c>
      <c r="E540" s="21" t="s">
        <v>193</v>
      </c>
      <c r="F540" s="5812">
        <v>3</v>
      </c>
      <c r="G540" s="5813">
        <v>0.20833333333333334</v>
      </c>
      <c r="H540" s="21" t="s">
        <v>10</v>
      </c>
      <c r="I540" s="21" t="s">
        <v>11</v>
      </c>
      <c r="J540" s="21" t="s">
        <v>3692</v>
      </c>
      <c r="K540" s="5814" t="s">
        <v>3693</v>
      </c>
    </row>
    <row r="541" spans="1:11">
      <c r="A541" s="21" t="s">
        <v>3256</v>
      </c>
      <c r="B541" s="21" t="s">
        <v>3694</v>
      </c>
      <c r="C541" s="21" t="s">
        <v>8</v>
      </c>
      <c r="D541" s="21" t="s">
        <v>237</v>
      </c>
      <c r="E541" s="21" t="s">
        <v>193</v>
      </c>
      <c r="F541" s="5812">
        <v>3</v>
      </c>
      <c r="G541" s="5813">
        <v>0.20833333333333334</v>
      </c>
      <c r="H541" s="21" t="s">
        <v>10</v>
      </c>
      <c r="I541" s="21" t="s">
        <v>226</v>
      </c>
      <c r="J541" s="21" t="s">
        <v>3695</v>
      </c>
      <c r="K541" s="5814" t="s">
        <v>3696</v>
      </c>
    </row>
    <row r="542" spans="1:11">
      <c r="A542" s="21" t="s">
        <v>2499</v>
      </c>
      <c r="B542" s="21" t="s">
        <v>3697</v>
      </c>
      <c r="C542" s="21" t="s">
        <v>22</v>
      </c>
      <c r="D542" s="21" t="s">
        <v>237</v>
      </c>
      <c r="E542" s="21" t="s">
        <v>193</v>
      </c>
      <c r="F542" s="5812">
        <v>3</v>
      </c>
      <c r="G542" s="5813">
        <v>0.20833333333333334</v>
      </c>
      <c r="H542" s="21" t="s">
        <v>10</v>
      </c>
      <c r="I542" s="21" t="s">
        <v>96</v>
      </c>
      <c r="J542" s="21" t="s">
        <v>3698</v>
      </c>
      <c r="K542" s="5814" t="s">
        <v>3699</v>
      </c>
    </row>
    <row r="543" spans="1:11">
      <c r="A543" s="21" t="s">
        <v>2521</v>
      </c>
      <c r="B543" s="21" t="s">
        <v>3700</v>
      </c>
      <c r="C543" s="21" t="s">
        <v>709</v>
      </c>
      <c r="D543" s="21" t="s">
        <v>237</v>
      </c>
      <c r="E543" s="21" t="s">
        <v>193</v>
      </c>
      <c r="F543" s="5812">
        <v>3</v>
      </c>
      <c r="G543" s="5813">
        <v>0.20833333333333334</v>
      </c>
      <c r="H543" s="21" t="s">
        <v>10</v>
      </c>
      <c r="I543" s="21" t="s">
        <v>96</v>
      </c>
      <c r="J543" s="21" t="s">
        <v>3701</v>
      </c>
      <c r="K543" s="5814" t="s">
        <v>3702</v>
      </c>
    </row>
    <row r="544" spans="1:11">
      <c r="A544" s="21" t="s">
        <v>3703</v>
      </c>
      <c r="B544" s="21" t="s">
        <v>3704</v>
      </c>
      <c r="C544" s="21" t="s">
        <v>8</v>
      </c>
      <c r="D544" s="21" t="s">
        <v>237</v>
      </c>
      <c r="E544" s="21" t="s">
        <v>193</v>
      </c>
      <c r="F544" s="5812">
        <v>3</v>
      </c>
      <c r="G544" s="5813">
        <v>0.20833333333333334</v>
      </c>
      <c r="H544" s="21" t="s">
        <v>10</v>
      </c>
      <c r="I544" s="21" t="s">
        <v>2523</v>
      </c>
      <c r="J544" s="21" t="s">
        <v>3705</v>
      </c>
      <c r="K544" s="5814" t="s">
        <v>3706</v>
      </c>
    </row>
    <row r="545" spans="1:11">
      <c r="A545" s="21" t="s">
        <v>2547</v>
      </c>
      <c r="B545" s="21" t="s">
        <v>3707</v>
      </c>
      <c r="C545" s="21" t="s">
        <v>8</v>
      </c>
      <c r="D545" s="21" t="s">
        <v>237</v>
      </c>
      <c r="E545" s="21" t="s">
        <v>193</v>
      </c>
      <c r="F545" s="5812">
        <v>3</v>
      </c>
      <c r="G545" s="5813">
        <v>0.20833333333333334</v>
      </c>
      <c r="H545" s="21" t="s">
        <v>10</v>
      </c>
      <c r="I545" s="21" t="s">
        <v>23</v>
      </c>
      <c r="J545" s="21" t="s">
        <v>3708</v>
      </c>
      <c r="K545" s="5814" t="s">
        <v>3709</v>
      </c>
    </row>
    <row r="546" spans="1:11">
      <c r="A546" s="21" t="s">
        <v>3710</v>
      </c>
      <c r="B546" s="21" t="s">
        <v>3711</v>
      </c>
      <c r="C546" s="21" t="s">
        <v>8</v>
      </c>
      <c r="D546" s="21" t="s">
        <v>237</v>
      </c>
      <c r="E546" s="21" t="s">
        <v>193</v>
      </c>
      <c r="F546" s="5812">
        <v>3</v>
      </c>
      <c r="G546" s="5813">
        <v>0.20833333333333334</v>
      </c>
      <c r="H546" s="21" t="s">
        <v>10</v>
      </c>
      <c r="I546" s="21" t="s">
        <v>96</v>
      </c>
      <c r="J546" s="21" t="s">
        <v>3712</v>
      </c>
      <c r="K546" s="5814" t="s">
        <v>3713</v>
      </c>
    </row>
    <row r="547" spans="1:11">
      <c r="A547" s="21" t="s">
        <v>2979</v>
      </c>
      <c r="B547" s="21" t="s">
        <v>3714</v>
      </c>
      <c r="C547" s="21" t="s">
        <v>8</v>
      </c>
      <c r="D547" s="21" t="s">
        <v>237</v>
      </c>
      <c r="E547" s="21" t="s">
        <v>193</v>
      </c>
      <c r="F547" s="5812">
        <v>3</v>
      </c>
      <c r="G547" s="5813">
        <v>0.20833333333333334</v>
      </c>
      <c r="H547" s="21" t="s">
        <v>10</v>
      </c>
      <c r="I547" s="21" t="s">
        <v>39</v>
      </c>
      <c r="J547" s="21" t="s">
        <v>3715</v>
      </c>
      <c r="K547" s="5814" t="s">
        <v>3716</v>
      </c>
    </row>
    <row r="548" spans="1:11">
      <c r="A548" s="21" t="s">
        <v>2143</v>
      </c>
      <c r="B548" s="21" t="s">
        <v>3717</v>
      </c>
      <c r="C548" s="21" t="s">
        <v>22</v>
      </c>
      <c r="D548" s="21" t="s">
        <v>237</v>
      </c>
      <c r="E548" s="21" t="s">
        <v>193</v>
      </c>
      <c r="F548" s="5812">
        <v>3</v>
      </c>
      <c r="G548" s="5813">
        <v>0.20833333333333334</v>
      </c>
      <c r="H548" s="21" t="s">
        <v>10</v>
      </c>
      <c r="I548" s="21" t="s">
        <v>73</v>
      </c>
      <c r="J548" s="21" t="s">
        <v>3718</v>
      </c>
      <c r="K548" s="5814" t="s">
        <v>3719</v>
      </c>
    </row>
    <row r="549" spans="1:11">
      <c r="A549" s="21" t="s">
        <v>3720</v>
      </c>
      <c r="B549" s="21" t="s">
        <v>3721</v>
      </c>
      <c r="C549" s="21" t="s">
        <v>22</v>
      </c>
      <c r="D549" s="21" t="s">
        <v>237</v>
      </c>
      <c r="E549" s="21" t="s">
        <v>193</v>
      </c>
      <c r="F549" s="5812">
        <v>3</v>
      </c>
      <c r="G549" s="5813">
        <v>0.20833333333333334</v>
      </c>
      <c r="H549" s="21" t="s">
        <v>10</v>
      </c>
      <c r="I549" s="21" t="s">
        <v>194</v>
      </c>
      <c r="J549" s="21" t="s">
        <v>3722</v>
      </c>
      <c r="K549" s="5814" t="s">
        <v>3723</v>
      </c>
    </row>
    <row r="550" spans="1:11">
      <c r="A550" s="21" t="s">
        <v>3446</v>
      </c>
      <c r="B550" s="21" t="s">
        <v>3724</v>
      </c>
      <c r="C550" s="21" t="s">
        <v>22</v>
      </c>
      <c r="D550" s="21" t="s">
        <v>237</v>
      </c>
      <c r="E550" s="21" t="s">
        <v>193</v>
      </c>
      <c r="F550" s="5812">
        <v>3</v>
      </c>
      <c r="G550" s="5813">
        <v>0.20833333333333334</v>
      </c>
      <c r="H550" s="21" t="s">
        <v>10</v>
      </c>
      <c r="I550" s="21" t="s">
        <v>3725</v>
      </c>
      <c r="J550" s="21" t="s">
        <v>3726</v>
      </c>
      <c r="K550" s="5814" t="s">
        <v>3727</v>
      </c>
    </row>
    <row r="551" spans="1:11">
      <c r="A551" s="21" t="s">
        <v>3728</v>
      </c>
      <c r="B551" s="21" t="s">
        <v>3729</v>
      </c>
      <c r="C551" s="21" t="s">
        <v>709</v>
      </c>
      <c r="D551" s="21" t="s">
        <v>237</v>
      </c>
      <c r="E551" s="21" t="s">
        <v>193</v>
      </c>
      <c r="F551" s="5812">
        <v>3</v>
      </c>
      <c r="G551" s="5813">
        <v>0.20833333333333334</v>
      </c>
      <c r="H551" s="21" t="s">
        <v>10</v>
      </c>
      <c r="I551" s="21" t="s">
        <v>55</v>
      </c>
      <c r="J551" s="21" t="s">
        <v>3730</v>
      </c>
      <c r="K551" s="5814" t="s">
        <v>3731</v>
      </c>
    </row>
    <row r="552" spans="1:11">
      <c r="A552" s="21" t="s">
        <v>2174</v>
      </c>
      <c r="B552" s="21" t="s">
        <v>3732</v>
      </c>
      <c r="C552" s="21" t="s">
        <v>8</v>
      </c>
      <c r="D552" s="21" t="s">
        <v>237</v>
      </c>
      <c r="E552" s="21" t="s">
        <v>193</v>
      </c>
      <c r="F552" s="5812">
        <v>3</v>
      </c>
      <c r="G552" s="5813">
        <v>0.20833333333333334</v>
      </c>
      <c r="H552" s="21" t="s">
        <v>10</v>
      </c>
      <c r="I552" s="21" t="s">
        <v>788</v>
      </c>
      <c r="J552" s="21" t="s">
        <v>3733</v>
      </c>
      <c r="K552" s="5814" t="s">
        <v>3734</v>
      </c>
    </row>
    <row r="553" spans="1:11">
      <c r="A553" s="21" t="s">
        <v>2616</v>
      </c>
      <c r="B553" s="21" t="s">
        <v>3735</v>
      </c>
      <c r="C553" s="21" t="s">
        <v>22</v>
      </c>
      <c r="D553" s="21" t="s">
        <v>237</v>
      </c>
      <c r="E553" s="21" t="s">
        <v>193</v>
      </c>
      <c r="F553" s="5812">
        <v>3</v>
      </c>
      <c r="G553" s="5813">
        <v>0.20833333333333334</v>
      </c>
      <c r="H553" s="21" t="s">
        <v>10</v>
      </c>
      <c r="I553" s="21" t="s">
        <v>2872</v>
      </c>
      <c r="J553" s="21" t="s">
        <v>3736</v>
      </c>
      <c r="K553" s="5814" t="s">
        <v>3737</v>
      </c>
    </row>
    <row r="554" spans="1:11">
      <c r="A554" s="21" t="s">
        <v>2668</v>
      </c>
      <c r="B554" s="21" t="s">
        <v>3738</v>
      </c>
      <c r="C554" s="21" t="s">
        <v>8</v>
      </c>
      <c r="D554" s="21" t="s">
        <v>237</v>
      </c>
      <c r="E554" s="21" t="s">
        <v>193</v>
      </c>
      <c r="F554" s="5812">
        <v>3</v>
      </c>
      <c r="G554" s="5813">
        <v>0.20833333333333334</v>
      </c>
      <c r="H554" s="21" t="s">
        <v>10</v>
      </c>
      <c r="I554" s="21" t="s">
        <v>2872</v>
      </c>
      <c r="J554" s="21" t="s">
        <v>3739</v>
      </c>
      <c r="K554" s="5814" t="s">
        <v>3740</v>
      </c>
    </row>
    <row r="555" spans="1:11">
      <c r="A555" s="21" t="s">
        <v>3741</v>
      </c>
      <c r="B555" s="21" t="s">
        <v>3742</v>
      </c>
      <c r="C555" s="21" t="s">
        <v>22</v>
      </c>
      <c r="D555" s="21" t="s">
        <v>237</v>
      </c>
      <c r="E555" s="21" t="s">
        <v>193</v>
      </c>
      <c r="F555" s="5812">
        <v>3</v>
      </c>
      <c r="G555" s="5813">
        <v>0.20833333333333334</v>
      </c>
      <c r="H555" s="21" t="s">
        <v>10</v>
      </c>
      <c r="I555" s="21" t="s">
        <v>2872</v>
      </c>
      <c r="J555" s="21" t="s">
        <v>3743</v>
      </c>
      <c r="K555" s="5814" t="s">
        <v>3744</v>
      </c>
    </row>
    <row r="556" spans="1:11">
      <c r="A556" s="21" t="s">
        <v>3089</v>
      </c>
      <c r="B556" s="21" t="s">
        <v>3745</v>
      </c>
      <c r="C556" s="21" t="s">
        <v>8</v>
      </c>
      <c r="D556" s="21" t="s">
        <v>237</v>
      </c>
      <c r="E556" s="21" t="s">
        <v>193</v>
      </c>
      <c r="F556" s="5812">
        <v>3</v>
      </c>
      <c r="G556" s="5813">
        <v>0.20833333333333334</v>
      </c>
      <c r="H556" s="21" t="s">
        <v>10</v>
      </c>
      <c r="I556" s="21" t="s">
        <v>2692</v>
      </c>
      <c r="J556" s="21" t="s">
        <v>3746</v>
      </c>
      <c r="K556" s="5814" t="s">
        <v>3747</v>
      </c>
    </row>
    <row r="557" spans="1:11">
      <c r="A557" s="21" t="s">
        <v>2702</v>
      </c>
      <c r="B557" s="21" t="s">
        <v>3748</v>
      </c>
      <c r="C557" s="21" t="s">
        <v>22</v>
      </c>
      <c r="D557" s="21" t="s">
        <v>237</v>
      </c>
      <c r="E557" s="21" t="s">
        <v>193</v>
      </c>
      <c r="F557" s="5812">
        <v>3</v>
      </c>
      <c r="G557" s="5813">
        <v>0.20833333333333334</v>
      </c>
      <c r="H557" s="21" t="s">
        <v>10</v>
      </c>
      <c r="I557" s="21" t="s">
        <v>2704</v>
      </c>
      <c r="J557" s="21" t="s">
        <v>3749</v>
      </c>
      <c r="K557" s="5814" t="s">
        <v>3750</v>
      </c>
    </row>
    <row r="558" spans="1:11">
      <c r="A558" s="21" t="s">
        <v>3647</v>
      </c>
      <c r="B558" s="21" t="s">
        <v>3751</v>
      </c>
      <c r="C558" s="21" t="s">
        <v>8</v>
      </c>
      <c r="D558" s="21" t="s">
        <v>237</v>
      </c>
      <c r="E558" s="21" t="s">
        <v>193</v>
      </c>
      <c r="F558" s="5812">
        <v>3</v>
      </c>
      <c r="G558" s="5813">
        <v>0.20833333333333334</v>
      </c>
      <c r="H558" s="21" t="s">
        <v>10</v>
      </c>
      <c r="I558" s="21" t="s">
        <v>39</v>
      </c>
      <c r="J558" s="21" t="s">
        <v>3752</v>
      </c>
      <c r="K558" s="5814" t="s">
        <v>3753</v>
      </c>
    </row>
    <row r="559" spans="1:11">
      <c r="A559" s="21" t="s">
        <v>3647</v>
      </c>
      <c r="B559" s="21" t="s">
        <v>3754</v>
      </c>
      <c r="C559" s="21" t="s">
        <v>22</v>
      </c>
      <c r="D559" s="21" t="s">
        <v>237</v>
      </c>
      <c r="E559" s="21" t="s">
        <v>193</v>
      </c>
      <c r="F559" s="5812">
        <v>3</v>
      </c>
      <c r="G559" s="5813">
        <v>0.20833333333333334</v>
      </c>
      <c r="H559" s="21" t="s">
        <v>10</v>
      </c>
      <c r="I559" s="21" t="s">
        <v>39</v>
      </c>
      <c r="J559" s="21" t="s">
        <v>3755</v>
      </c>
      <c r="K559" s="5814" t="s">
        <v>3756</v>
      </c>
    </row>
    <row r="560" spans="1:11">
      <c r="A560" s="21" t="s">
        <v>3757</v>
      </c>
      <c r="B560" s="21" t="s">
        <v>3758</v>
      </c>
      <c r="C560" s="21" t="s">
        <v>22</v>
      </c>
      <c r="D560" s="21" t="s">
        <v>237</v>
      </c>
      <c r="E560" s="21" t="s">
        <v>193</v>
      </c>
      <c r="F560" s="5812">
        <v>3</v>
      </c>
      <c r="G560" s="5813">
        <v>0.20833333333333334</v>
      </c>
      <c r="H560" s="21" t="s">
        <v>10</v>
      </c>
      <c r="I560" s="21" t="s">
        <v>55</v>
      </c>
      <c r="J560" s="21" t="s">
        <v>3759</v>
      </c>
      <c r="K560" s="5814" t="s">
        <v>3760</v>
      </c>
    </row>
    <row r="561" spans="1:11">
      <c r="A561" s="21" t="s">
        <v>3761</v>
      </c>
      <c r="B561" s="21" t="s">
        <v>3762</v>
      </c>
      <c r="C561" s="21" t="s">
        <v>22</v>
      </c>
      <c r="D561" s="21" t="s">
        <v>237</v>
      </c>
      <c r="E561" s="21" t="s">
        <v>193</v>
      </c>
      <c r="F561" s="5812">
        <v>3</v>
      </c>
      <c r="G561" s="5813">
        <v>0.20833333333333334</v>
      </c>
      <c r="H561" s="21" t="s">
        <v>10</v>
      </c>
      <c r="I561" s="21" t="s">
        <v>47</v>
      </c>
      <c r="J561" s="21" t="s">
        <v>3763</v>
      </c>
      <c r="K561" s="5814" t="s">
        <v>3764</v>
      </c>
    </row>
    <row r="562" spans="1:11">
      <c r="A562" s="21" t="s">
        <v>3765</v>
      </c>
      <c r="B562" s="21" t="s">
        <v>3766</v>
      </c>
      <c r="C562" s="21" t="s">
        <v>22</v>
      </c>
      <c r="D562" s="21" t="s">
        <v>237</v>
      </c>
      <c r="E562" s="21" t="s">
        <v>193</v>
      </c>
      <c r="F562" s="5812">
        <v>3</v>
      </c>
      <c r="G562" s="5813">
        <v>0.20833333333333334</v>
      </c>
      <c r="H562" s="21" t="s">
        <v>10</v>
      </c>
      <c r="I562" s="21" t="s">
        <v>187</v>
      </c>
      <c r="J562" s="21" t="s">
        <v>3767</v>
      </c>
      <c r="K562" s="5814" t="s">
        <v>3768</v>
      </c>
    </row>
    <row r="563" spans="1:11">
      <c r="A563" s="21" t="s">
        <v>3769</v>
      </c>
      <c r="B563" s="21" t="s">
        <v>3770</v>
      </c>
      <c r="C563" s="21" t="s">
        <v>8</v>
      </c>
      <c r="D563" s="21" t="s">
        <v>237</v>
      </c>
      <c r="E563" s="21" t="s">
        <v>193</v>
      </c>
      <c r="F563" s="5812">
        <v>3</v>
      </c>
      <c r="G563" s="5813">
        <v>0.20833333333333334</v>
      </c>
      <c r="H563" s="21" t="s">
        <v>10</v>
      </c>
      <c r="I563" s="21" t="s">
        <v>2269</v>
      </c>
      <c r="J563" s="21" t="s">
        <v>3771</v>
      </c>
      <c r="K563" s="5814" t="s">
        <v>3772</v>
      </c>
    </row>
    <row r="564" spans="1:11">
      <c r="A564" s="21" t="s">
        <v>2768</v>
      </c>
      <c r="B564" s="21" t="s">
        <v>3773</v>
      </c>
      <c r="C564" s="21" t="s">
        <v>22</v>
      </c>
      <c r="D564" s="21" t="s">
        <v>237</v>
      </c>
      <c r="E564" s="21" t="s">
        <v>193</v>
      </c>
      <c r="F564" s="5812">
        <v>3</v>
      </c>
      <c r="G564" s="5813">
        <v>0.20833333333333334</v>
      </c>
      <c r="H564" s="21" t="s">
        <v>10</v>
      </c>
      <c r="I564" s="21" t="s">
        <v>226</v>
      </c>
      <c r="J564" s="21" t="s">
        <v>3774</v>
      </c>
      <c r="K564" s="5814" t="s">
        <v>3775</v>
      </c>
    </row>
    <row r="565" spans="1:11">
      <c r="A565" s="21" t="s">
        <v>2784</v>
      </c>
      <c r="B565" s="21" t="s">
        <v>3776</v>
      </c>
      <c r="C565" s="21" t="s">
        <v>22</v>
      </c>
      <c r="D565" s="21" t="s">
        <v>237</v>
      </c>
      <c r="E565" s="21" t="s">
        <v>193</v>
      </c>
      <c r="F565" s="5812">
        <v>3</v>
      </c>
      <c r="G565" s="5813">
        <v>0.20833333333333334</v>
      </c>
      <c r="H565" s="21" t="s">
        <v>10</v>
      </c>
      <c r="I565" s="21" t="s">
        <v>3777</v>
      </c>
      <c r="J565" s="21" t="s">
        <v>3778</v>
      </c>
      <c r="K565" s="5814" t="s">
        <v>3779</v>
      </c>
    </row>
    <row r="566" spans="1:11">
      <c r="A566" s="21" t="s">
        <v>3584</v>
      </c>
      <c r="B566" s="21" t="s">
        <v>3780</v>
      </c>
      <c r="C566" s="21" t="s">
        <v>8</v>
      </c>
      <c r="D566" s="21" t="s">
        <v>237</v>
      </c>
      <c r="E566" s="21" t="s">
        <v>193</v>
      </c>
      <c r="F566" s="5812">
        <v>3</v>
      </c>
      <c r="G566" s="5813">
        <v>0.20833333333333334</v>
      </c>
      <c r="H566" s="21" t="s">
        <v>10</v>
      </c>
      <c r="I566" s="21" t="s">
        <v>2260</v>
      </c>
      <c r="J566" s="21" t="s">
        <v>3781</v>
      </c>
      <c r="K566" s="5814" t="s">
        <v>3782</v>
      </c>
    </row>
    <row r="567" spans="1:11">
      <c r="A567" s="21" t="s">
        <v>3783</v>
      </c>
      <c r="B567" s="21" t="s">
        <v>3784</v>
      </c>
      <c r="C567" s="21" t="s">
        <v>8</v>
      </c>
      <c r="D567" s="21" t="s">
        <v>237</v>
      </c>
      <c r="E567" s="21" t="s">
        <v>193</v>
      </c>
      <c r="F567" s="5812">
        <v>3</v>
      </c>
      <c r="G567" s="5813">
        <v>0.20833333333333334</v>
      </c>
      <c r="H567" s="21" t="s">
        <v>10</v>
      </c>
      <c r="I567" s="21" t="s">
        <v>2872</v>
      </c>
      <c r="J567" s="21" t="s">
        <v>3785</v>
      </c>
      <c r="K567" s="5814" t="s">
        <v>3786</v>
      </c>
    </row>
    <row r="568" spans="1:11">
      <c r="A568" s="21" t="s">
        <v>3787</v>
      </c>
      <c r="B568" s="21" t="s">
        <v>3788</v>
      </c>
      <c r="C568" s="21" t="s">
        <v>22</v>
      </c>
      <c r="D568" s="21" t="s">
        <v>237</v>
      </c>
      <c r="E568" s="21" t="s">
        <v>193</v>
      </c>
      <c r="F568" s="5812">
        <v>3</v>
      </c>
      <c r="G568" s="5813">
        <v>0.20833333333333334</v>
      </c>
      <c r="H568" s="21" t="s">
        <v>10</v>
      </c>
      <c r="I568" s="21" t="s">
        <v>226</v>
      </c>
      <c r="J568" s="21" t="s">
        <v>3789</v>
      </c>
      <c r="K568" s="5814" t="s">
        <v>3790</v>
      </c>
    </row>
    <row r="569" spans="1:11">
      <c r="A569" s="21" t="s">
        <v>3192</v>
      </c>
      <c r="B569" s="21" t="s">
        <v>3791</v>
      </c>
      <c r="C569" s="21" t="s">
        <v>22</v>
      </c>
      <c r="D569" s="21" t="s">
        <v>237</v>
      </c>
      <c r="E569" s="21" t="s">
        <v>193</v>
      </c>
      <c r="F569" s="5812">
        <v>3</v>
      </c>
      <c r="G569" s="5813">
        <v>0.20833333333333334</v>
      </c>
      <c r="H569" s="21" t="s">
        <v>10</v>
      </c>
      <c r="I569" s="21" t="s">
        <v>2297</v>
      </c>
      <c r="J569" s="21" t="s">
        <v>3792</v>
      </c>
      <c r="K569" s="5814" t="s">
        <v>3793</v>
      </c>
    </row>
    <row r="570" spans="1:11">
      <c r="A570" s="21" t="s">
        <v>2839</v>
      </c>
      <c r="B570" s="21" t="s">
        <v>3794</v>
      </c>
      <c r="C570" s="21" t="s">
        <v>8</v>
      </c>
      <c r="D570" s="21" t="s">
        <v>237</v>
      </c>
      <c r="E570" s="21" t="s">
        <v>193</v>
      </c>
      <c r="F570" s="5812">
        <v>3</v>
      </c>
      <c r="G570" s="5813">
        <v>0.20833333333333334</v>
      </c>
      <c r="H570" s="21" t="s">
        <v>10</v>
      </c>
      <c r="I570" s="21" t="s">
        <v>2176</v>
      </c>
      <c r="J570" s="21" t="s">
        <v>3795</v>
      </c>
      <c r="K570" s="5814" t="s">
        <v>3796</v>
      </c>
    </row>
    <row r="571" spans="1:11">
      <c r="A571" s="21" t="s">
        <v>3049</v>
      </c>
      <c r="B571" s="21" t="s">
        <v>3797</v>
      </c>
      <c r="C571" s="21" t="s">
        <v>22</v>
      </c>
      <c r="D571" s="21" t="s">
        <v>237</v>
      </c>
      <c r="E571" s="21" t="s">
        <v>193</v>
      </c>
      <c r="F571" s="5812">
        <v>3</v>
      </c>
      <c r="G571" s="5813">
        <v>0.20833333333333334</v>
      </c>
      <c r="H571" s="21" t="s">
        <v>10</v>
      </c>
      <c r="I571" s="21" t="s">
        <v>2713</v>
      </c>
      <c r="J571" s="21" t="s">
        <v>3798</v>
      </c>
      <c r="K571" s="5814" t="s">
        <v>3799</v>
      </c>
    </row>
    <row r="572" spans="1:11">
      <c r="A572" s="21" t="s">
        <v>3427</v>
      </c>
      <c r="B572" s="21" t="s">
        <v>3800</v>
      </c>
      <c r="C572" s="21" t="s">
        <v>8</v>
      </c>
      <c r="D572" s="21" t="s">
        <v>237</v>
      </c>
      <c r="E572" s="21" t="s">
        <v>193</v>
      </c>
      <c r="F572" s="5812">
        <v>3</v>
      </c>
      <c r="G572" s="5813">
        <v>0.20833333333333334</v>
      </c>
      <c r="H572" s="21" t="s">
        <v>10</v>
      </c>
      <c r="I572" s="21" t="s">
        <v>39</v>
      </c>
      <c r="J572" s="21" t="s">
        <v>3801</v>
      </c>
      <c r="K572" s="5814" t="s">
        <v>3802</v>
      </c>
    </row>
    <row r="573" spans="1:11">
      <c r="A573" s="21" t="s">
        <v>2267</v>
      </c>
      <c r="B573" s="21" t="s">
        <v>3803</v>
      </c>
      <c r="C573" s="21" t="s">
        <v>22</v>
      </c>
      <c r="D573" s="21" t="s">
        <v>237</v>
      </c>
      <c r="E573" s="21" t="s">
        <v>193</v>
      </c>
      <c r="F573" s="5812">
        <v>3</v>
      </c>
      <c r="G573" s="5813">
        <v>0.20833333333333334</v>
      </c>
      <c r="H573" s="21" t="s">
        <v>10</v>
      </c>
      <c r="I573" s="21" t="s">
        <v>2713</v>
      </c>
      <c r="J573" s="21" t="s">
        <v>3804</v>
      </c>
      <c r="K573" s="5814" t="s">
        <v>3805</v>
      </c>
    </row>
    <row r="574" spans="1:11">
      <c r="A574" s="21" t="s">
        <v>2858</v>
      </c>
      <c r="B574" s="21" t="s">
        <v>3806</v>
      </c>
      <c r="C574" s="21" t="s">
        <v>709</v>
      </c>
      <c r="D574" s="21" t="s">
        <v>237</v>
      </c>
      <c r="E574" s="21" t="s">
        <v>193</v>
      </c>
      <c r="F574" s="5812">
        <v>3</v>
      </c>
      <c r="G574" s="5813">
        <v>0.20833333333333334</v>
      </c>
      <c r="H574" s="21" t="s">
        <v>10</v>
      </c>
      <c r="I574" s="21" t="s">
        <v>2660</v>
      </c>
      <c r="J574" s="21" t="s">
        <v>3807</v>
      </c>
      <c r="K574" s="5814" t="s">
        <v>3808</v>
      </c>
    </row>
    <row r="575" spans="1:11">
      <c r="A575" s="21" t="s">
        <v>3293</v>
      </c>
      <c r="B575" s="21" t="s">
        <v>3809</v>
      </c>
      <c r="C575" s="21" t="s">
        <v>22</v>
      </c>
      <c r="D575" s="21" t="s">
        <v>237</v>
      </c>
      <c r="E575" s="21" t="s">
        <v>193</v>
      </c>
      <c r="F575" s="5812">
        <v>3</v>
      </c>
      <c r="G575" s="5813">
        <v>0.20833333333333334</v>
      </c>
      <c r="H575" s="21" t="s">
        <v>10</v>
      </c>
      <c r="I575" s="21" t="s">
        <v>2297</v>
      </c>
      <c r="J575" s="21" t="s">
        <v>3810</v>
      </c>
      <c r="K575" s="5814" t="s">
        <v>3811</v>
      </c>
    </row>
    <row r="576" spans="1:11">
      <c r="A576" s="21" t="s">
        <v>2886</v>
      </c>
      <c r="B576" s="21" t="s">
        <v>3812</v>
      </c>
      <c r="C576" s="21" t="s">
        <v>8</v>
      </c>
      <c r="D576" s="21" t="s">
        <v>237</v>
      </c>
      <c r="E576" s="21" t="s">
        <v>193</v>
      </c>
      <c r="F576" s="5812">
        <v>3</v>
      </c>
      <c r="G576" s="5813">
        <v>0.20833333333333334</v>
      </c>
      <c r="H576" s="21" t="s">
        <v>10</v>
      </c>
      <c r="I576" s="21" t="s">
        <v>2297</v>
      </c>
      <c r="J576" s="21" t="s">
        <v>3813</v>
      </c>
      <c r="K576" s="5814" t="s">
        <v>3814</v>
      </c>
    </row>
    <row r="577" spans="1:11">
      <c r="A577" s="21" t="s">
        <v>3260</v>
      </c>
      <c r="B577" s="21" t="s">
        <v>3815</v>
      </c>
      <c r="C577" s="21" t="s">
        <v>8</v>
      </c>
      <c r="D577" s="21" t="s">
        <v>237</v>
      </c>
      <c r="E577" s="21" t="s">
        <v>193</v>
      </c>
      <c r="F577" s="5812">
        <v>3</v>
      </c>
      <c r="G577" s="5813">
        <v>0.20833333333333334</v>
      </c>
      <c r="H577" s="21" t="s">
        <v>10</v>
      </c>
      <c r="I577" s="21" t="s">
        <v>2247</v>
      </c>
      <c r="J577" s="21" t="s">
        <v>3816</v>
      </c>
      <c r="K577" s="5814" t="s">
        <v>3817</v>
      </c>
    </row>
    <row r="578" spans="1:11">
      <c r="A578" s="21" t="s">
        <v>3170</v>
      </c>
      <c r="B578" s="21" t="s">
        <v>3818</v>
      </c>
      <c r="C578" s="21" t="s">
        <v>8</v>
      </c>
      <c r="D578" s="21" t="s">
        <v>237</v>
      </c>
      <c r="E578" s="21" t="s">
        <v>193</v>
      </c>
      <c r="F578" s="5812">
        <v>3</v>
      </c>
      <c r="G578" s="5813">
        <v>0.20833333333333334</v>
      </c>
      <c r="H578" s="21" t="s">
        <v>10</v>
      </c>
      <c r="I578" s="21" t="s">
        <v>2660</v>
      </c>
      <c r="J578" s="21" t="s">
        <v>3819</v>
      </c>
      <c r="K578" s="5814" t="s">
        <v>3820</v>
      </c>
    </row>
    <row r="579" spans="1:11">
      <c r="A579" s="21" t="s">
        <v>3170</v>
      </c>
      <c r="B579" s="21" t="s">
        <v>3821</v>
      </c>
      <c r="C579" s="21" t="s">
        <v>22</v>
      </c>
      <c r="D579" s="21" t="s">
        <v>237</v>
      </c>
      <c r="E579" s="21" t="s">
        <v>193</v>
      </c>
      <c r="F579" s="5812">
        <v>3</v>
      </c>
      <c r="G579" s="5813">
        <v>0.20833333333333334</v>
      </c>
      <c r="H579" s="21" t="s">
        <v>10</v>
      </c>
      <c r="I579" s="21" t="s">
        <v>3822</v>
      </c>
      <c r="J579" s="21" t="s">
        <v>3823</v>
      </c>
      <c r="K579" s="5814" t="s">
        <v>3824</v>
      </c>
    </row>
    <row r="580" spans="1:11">
      <c r="A580" s="21" t="s">
        <v>2944</v>
      </c>
      <c r="B580" s="21" t="s">
        <v>3825</v>
      </c>
      <c r="C580" s="21" t="s">
        <v>22</v>
      </c>
      <c r="D580" s="21" t="s">
        <v>237</v>
      </c>
      <c r="E580" s="21" t="s">
        <v>193</v>
      </c>
      <c r="F580" s="5812">
        <v>5</v>
      </c>
      <c r="G580" s="5813">
        <v>0.20833333333333334</v>
      </c>
      <c r="H580" s="21" t="s">
        <v>54</v>
      </c>
      <c r="I580" s="21" t="s">
        <v>55</v>
      </c>
      <c r="J580" s="21" t="s">
        <v>3826</v>
      </c>
      <c r="K580" s="5814" t="s">
        <v>3827</v>
      </c>
    </row>
    <row r="581" spans="1:11">
      <c r="A581" s="21" t="s">
        <v>3828</v>
      </c>
      <c r="B581" s="21" t="s">
        <v>3829</v>
      </c>
      <c r="C581" s="21" t="s">
        <v>8</v>
      </c>
      <c r="D581" s="21" t="s">
        <v>237</v>
      </c>
      <c r="E581" s="21" t="s">
        <v>193</v>
      </c>
      <c r="F581" s="5812">
        <v>5</v>
      </c>
      <c r="G581" s="5813">
        <v>0.20833333333333334</v>
      </c>
      <c r="H581" s="21" t="s">
        <v>54</v>
      </c>
      <c r="I581" s="21" t="s">
        <v>55</v>
      </c>
      <c r="J581" s="21" t="s">
        <v>3830</v>
      </c>
      <c r="K581" s="5814" t="s">
        <v>3831</v>
      </c>
    </row>
    <row r="582" spans="1:11">
      <c r="A582" s="21" t="s">
        <v>339</v>
      </c>
      <c r="B582" s="21" t="s">
        <v>340</v>
      </c>
      <c r="C582" s="21" t="s">
        <v>22</v>
      </c>
      <c r="D582" s="21" t="s">
        <v>237</v>
      </c>
      <c r="E582" s="21" t="s">
        <v>9</v>
      </c>
      <c r="F582" s="5812">
        <v>3</v>
      </c>
      <c r="G582" s="5813">
        <v>0.20833333333333334</v>
      </c>
      <c r="H582" s="21" t="s">
        <v>10</v>
      </c>
      <c r="I582" s="21" t="s">
        <v>96</v>
      </c>
      <c r="J582" s="21" t="s">
        <v>341</v>
      </c>
      <c r="K582" s="5814" t="s">
        <v>342</v>
      </c>
    </row>
    <row r="583" spans="1:11">
      <c r="A583" s="21" t="s">
        <v>94</v>
      </c>
      <c r="B583" s="21" t="s">
        <v>250</v>
      </c>
      <c r="C583" s="21" t="s">
        <v>22</v>
      </c>
      <c r="D583" s="21" t="s">
        <v>237</v>
      </c>
      <c r="E583" s="21" t="s">
        <v>9</v>
      </c>
      <c r="F583" s="5812">
        <v>3</v>
      </c>
      <c r="G583" s="5813">
        <v>0.20833333333333334</v>
      </c>
      <c r="H583" s="21" t="s">
        <v>10</v>
      </c>
      <c r="I583" s="21" t="s">
        <v>23</v>
      </c>
      <c r="J583" s="21" t="s">
        <v>251</v>
      </c>
      <c r="K583" s="5814" t="s">
        <v>252</v>
      </c>
    </row>
    <row r="584" spans="1:11">
      <c r="A584" s="21" t="s">
        <v>103</v>
      </c>
      <c r="B584" s="21" t="s">
        <v>347</v>
      </c>
      <c r="C584" s="21" t="s">
        <v>22</v>
      </c>
      <c r="D584" s="21" t="s">
        <v>237</v>
      </c>
      <c r="E584" s="21" t="s">
        <v>9</v>
      </c>
      <c r="F584" s="5812">
        <v>3</v>
      </c>
      <c r="G584" s="5813">
        <v>0.20833333333333334</v>
      </c>
      <c r="H584" s="21" t="s">
        <v>10</v>
      </c>
      <c r="I584" s="21" t="s">
        <v>96</v>
      </c>
      <c r="J584" s="21" t="s">
        <v>348</v>
      </c>
      <c r="K584" s="5814" t="s">
        <v>349</v>
      </c>
    </row>
    <row r="585" spans="1:11">
      <c r="A585" s="21" t="s">
        <v>125</v>
      </c>
      <c r="B585" s="21" t="s">
        <v>286</v>
      </c>
      <c r="C585" s="21" t="s">
        <v>8</v>
      </c>
      <c r="D585" s="21" t="s">
        <v>237</v>
      </c>
      <c r="E585" s="21" t="s">
        <v>9</v>
      </c>
      <c r="F585" s="5812">
        <v>3</v>
      </c>
      <c r="G585" s="5813">
        <v>0.20833333333333334</v>
      </c>
      <c r="H585" s="21" t="s">
        <v>10</v>
      </c>
      <c r="I585" s="21" t="s">
        <v>39</v>
      </c>
      <c r="J585" s="21" t="s">
        <v>287</v>
      </c>
      <c r="K585" s="5814" t="s">
        <v>288</v>
      </c>
    </row>
    <row r="586" spans="1:11">
      <c r="A586" s="21" t="s">
        <v>311</v>
      </c>
      <c r="B586" s="21" t="s">
        <v>312</v>
      </c>
      <c r="C586" s="21" t="s">
        <v>8</v>
      </c>
      <c r="D586" s="21" t="s">
        <v>237</v>
      </c>
      <c r="E586" s="21" t="s">
        <v>9</v>
      </c>
      <c r="F586" s="5812">
        <v>3</v>
      </c>
      <c r="G586" s="5813">
        <v>0.20833333333333334</v>
      </c>
      <c r="H586" s="21" t="s">
        <v>10</v>
      </c>
      <c r="I586" s="21" t="s">
        <v>39</v>
      </c>
      <c r="J586" s="21" t="s">
        <v>313</v>
      </c>
      <c r="K586" s="5814" t="s">
        <v>314</v>
      </c>
    </row>
    <row r="587" spans="1:11">
      <c r="A587" s="21" t="s">
        <v>185</v>
      </c>
      <c r="B587" s="21" t="s">
        <v>395</v>
      </c>
      <c r="C587" s="21" t="s">
        <v>22</v>
      </c>
      <c r="D587" s="21" t="s">
        <v>237</v>
      </c>
      <c r="E587" s="21" t="s">
        <v>9</v>
      </c>
      <c r="F587" s="5812">
        <v>3</v>
      </c>
      <c r="G587" s="5813">
        <v>0.20833333333333334</v>
      </c>
      <c r="H587" s="21" t="s">
        <v>10</v>
      </c>
      <c r="I587" s="21" t="s">
        <v>47</v>
      </c>
      <c r="J587" s="21" t="s">
        <v>396</v>
      </c>
      <c r="K587" s="5814" t="s">
        <v>397</v>
      </c>
    </row>
    <row r="588" spans="1:11">
      <c r="A588" s="21" t="s">
        <v>6</v>
      </c>
      <c r="B588" s="21" t="s">
        <v>236</v>
      </c>
      <c r="C588" s="21" t="s">
        <v>22</v>
      </c>
      <c r="D588" s="21" t="s">
        <v>237</v>
      </c>
      <c r="E588" s="21" t="s">
        <v>9</v>
      </c>
      <c r="F588" s="5812">
        <v>3</v>
      </c>
      <c r="G588" s="5813">
        <v>0.20833333333333334</v>
      </c>
      <c r="H588" s="21" t="s">
        <v>10</v>
      </c>
      <c r="I588" s="21" t="s">
        <v>11</v>
      </c>
      <c r="J588" s="21" t="s">
        <v>238</v>
      </c>
      <c r="K588" s="5814" t="s">
        <v>3832</v>
      </c>
    </row>
    <row r="589" spans="1:11">
      <c r="A589" s="21" t="s">
        <v>2307</v>
      </c>
      <c r="B589" s="21" t="s">
        <v>3833</v>
      </c>
      <c r="C589" s="21" t="s">
        <v>8</v>
      </c>
      <c r="D589" s="21" t="s">
        <v>237</v>
      </c>
      <c r="E589" s="21" t="s">
        <v>9</v>
      </c>
      <c r="F589" s="5812">
        <v>3</v>
      </c>
      <c r="G589" s="5813">
        <v>0.20833333333333334</v>
      </c>
      <c r="H589" s="21" t="s">
        <v>10</v>
      </c>
      <c r="I589" s="21" t="s">
        <v>39</v>
      </c>
      <c r="J589" s="21" t="s">
        <v>3834</v>
      </c>
      <c r="K589" s="5814" t="s">
        <v>3835</v>
      </c>
    </row>
    <row r="590" spans="1:11">
      <c r="A590" s="21" t="s">
        <v>2941</v>
      </c>
      <c r="B590" s="21" t="s">
        <v>3836</v>
      </c>
      <c r="C590" s="21" t="s">
        <v>22</v>
      </c>
      <c r="D590" s="21" t="s">
        <v>237</v>
      </c>
      <c r="E590" s="21" t="s">
        <v>9</v>
      </c>
      <c r="F590" s="5812">
        <v>3</v>
      </c>
      <c r="G590" s="5813">
        <v>0.20833333333333334</v>
      </c>
      <c r="H590" s="21" t="s">
        <v>10</v>
      </c>
      <c r="I590" s="21" t="s">
        <v>23</v>
      </c>
      <c r="J590" s="21" t="s">
        <v>3837</v>
      </c>
      <c r="K590" s="5814" t="s">
        <v>3838</v>
      </c>
    </row>
    <row r="591" spans="1:11">
      <c r="A591" s="21" t="s">
        <v>2995</v>
      </c>
      <c r="B591" s="21" t="s">
        <v>3839</v>
      </c>
      <c r="C591" s="21" t="s">
        <v>8</v>
      </c>
      <c r="D591" s="21" t="s">
        <v>237</v>
      </c>
      <c r="E591" s="21" t="s">
        <v>9</v>
      </c>
      <c r="F591" s="5812">
        <v>3</v>
      </c>
      <c r="G591" s="5813">
        <v>0.20833333333333334</v>
      </c>
      <c r="H591" s="21" t="s">
        <v>10</v>
      </c>
      <c r="I591" s="21" t="s">
        <v>96</v>
      </c>
      <c r="J591" s="21" t="s">
        <v>3840</v>
      </c>
      <c r="K591" s="5814" t="s">
        <v>3841</v>
      </c>
    </row>
    <row r="592" spans="1:11">
      <c r="A592" s="21" t="s">
        <v>2323</v>
      </c>
      <c r="B592" s="21" t="s">
        <v>3842</v>
      </c>
      <c r="C592" s="21" t="s">
        <v>8</v>
      </c>
      <c r="D592" s="21" t="s">
        <v>237</v>
      </c>
      <c r="E592" s="21" t="s">
        <v>9</v>
      </c>
      <c r="F592" s="5812">
        <v>3</v>
      </c>
      <c r="G592" s="5813">
        <v>0.20833333333333334</v>
      </c>
      <c r="H592" s="21" t="s">
        <v>10</v>
      </c>
      <c r="I592" s="21" t="s">
        <v>187</v>
      </c>
      <c r="J592" s="21" t="s">
        <v>3843</v>
      </c>
      <c r="K592" s="5814" t="s">
        <v>3844</v>
      </c>
    </row>
    <row r="593" spans="1:11">
      <c r="A593" s="21" t="s">
        <v>2323</v>
      </c>
      <c r="B593" s="21" t="s">
        <v>3845</v>
      </c>
      <c r="C593" s="21" t="s">
        <v>8</v>
      </c>
      <c r="D593" s="21" t="s">
        <v>237</v>
      </c>
      <c r="E593" s="21" t="s">
        <v>9</v>
      </c>
      <c r="F593" s="5812">
        <v>3</v>
      </c>
      <c r="G593" s="5813">
        <v>0.20833333333333334</v>
      </c>
      <c r="H593" s="21" t="s">
        <v>10</v>
      </c>
      <c r="I593" s="21" t="s">
        <v>3846</v>
      </c>
      <c r="J593" s="21" t="s">
        <v>3847</v>
      </c>
      <c r="K593" s="5814" t="s">
        <v>3848</v>
      </c>
    </row>
    <row r="594" spans="1:11">
      <c r="A594" s="21" t="s">
        <v>2084</v>
      </c>
      <c r="B594" s="21" t="s">
        <v>3849</v>
      </c>
      <c r="C594" s="21" t="s">
        <v>8</v>
      </c>
      <c r="D594" s="21" t="s">
        <v>237</v>
      </c>
      <c r="E594" s="21" t="s">
        <v>9</v>
      </c>
      <c r="F594" s="5812">
        <v>3</v>
      </c>
      <c r="G594" s="5813">
        <v>0.20833333333333334</v>
      </c>
      <c r="H594" s="21" t="s">
        <v>10</v>
      </c>
      <c r="I594" s="21" t="s">
        <v>47</v>
      </c>
      <c r="J594" s="21" t="s">
        <v>3850</v>
      </c>
      <c r="K594" s="5814" t="s">
        <v>3851</v>
      </c>
    </row>
    <row r="595" spans="1:11">
      <c r="A595" s="21" t="s">
        <v>2084</v>
      </c>
      <c r="B595" s="21" t="s">
        <v>3852</v>
      </c>
      <c r="C595" s="21" t="s">
        <v>8</v>
      </c>
      <c r="D595" s="21" t="s">
        <v>237</v>
      </c>
      <c r="E595" s="21" t="s">
        <v>9</v>
      </c>
      <c r="F595" s="5812">
        <v>3</v>
      </c>
      <c r="G595" s="5813">
        <v>0.20833333333333334</v>
      </c>
      <c r="H595" s="21" t="s">
        <v>10</v>
      </c>
      <c r="I595" s="21" t="s">
        <v>3343</v>
      </c>
      <c r="J595" s="21" t="s">
        <v>3853</v>
      </c>
      <c r="K595" s="5814" t="s">
        <v>3854</v>
      </c>
    </row>
    <row r="596" spans="1:11">
      <c r="A596" s="21" t="s">
        <v>3855</v>
      </c>
      <c r="B596" s="21" t="s">
        <v>3856</v>
      </c>
      <c r="C596" s="21" t="s">
        <v>22</v>
      </c>
      <c r="D596" s="21" t="s">
        <v>237</v>
      </c>
      <c r="E596" s="21" t="s">
        <v>9</v>
      </c>
      <c r="F596" s="5812">
        <v>3</v>
      </c>
      <c r="G596" s="5813">
        <v>0.20833333333333334</v>
      </c>
      <c r="H596" s="21" t="s">
        <v>10</v>
      </c>
      <c r="I596" s="21" t="s">
        <v>654</v>
      </c>
      <c r="J596" s="21" t="s">
        <v>3857</v>
      </c>
      <c r="K596" s="5814" t="s">
        <v>3858</v>
      </c>
    </row>
    <row r="597" spans="1:11">
      <c r="A597" s="21" t="s">
        <v>3855</v>
      </c>
      <c r="B597" s="21" t="s">
        <v>3859</v>
      </c>
      <c r="C597" s="21" t="s">
        <v>22</v>
      </c>
      <c r="D597" s="21" t="s">
        <v>237</v>
      </c>
      <c r="E597" s="21" t="s">
        <v>9</v>
      </c>
      <c r="F597" s="5812">
        <v>3</v>
      </c>
      <c r="G597" s="5813">
        <v>0.20833333333333334</v>
      </c>
      <c r="H597" s="21" t="s">
        <v>10</v>
      </c>
      <c r="I597" s="21" t="s">
        <v>11</v>
      </c>
      <c r="J597" s="21" t="s">
        <v>3860</v>
      </c>
      <c r="K597" s="5814" t="s">
        <v>3861</v>
      </c>
    </row>
    <row r="598" spans="1:11">
      <c r="A598" s="21" t="s">
        <v>2947</v>
      </c>
      <c r="B598" s="21" t="s">
        <v>3862</v>
      </c>
      <c r="C598" s="21" t="s">
        <v>8</v>
      </c>
      <c r="D598" s="21" t="s">
        <v>237</v>
      </c>
      <c r="E598" s="21" t="s">
        <v>9</v>
      </c>
      <c r="F598" s="5812">
        <v>3</v>
      </c>
      <c r="G598" s="5813">
        <v>0.20833333333333334</v>
      </c>
      <c r="H598" s="21" t="s">
        <v>10</v>
      </c>
      <c r="I598" s="21" t="s">
        <v>96</v>
      </c>
      <c r="J598" s="21" t="s">
        <v>3863</v>
      </c>
      <c r="K598" s="5814" t="s">
        <v>3864</v>
      </c>
    </row>
    <row r="599" spans="1:11">
      <c r="A599" s="21" t="s">
        <v>2947</v>
      </c>
      <c r="B599" s="21" t="s">
        <v>3865</v>
      </c>
      <c r="C599" s="21" t="s">
        <v>8</v>
      </c>
      <c r="D599" s="21" t="s">
        <v>237</v>
      </c>
      <c r="E599" s="21" t="s">
        <v>9</v>
      </c>
      <c r="F599" s="5812">
        <v>3</v>
      </c>
      <c r="G599" s="5813">
        <v>0.20833333333333334</v>
      </c>
      <c r="H599" s="21" t="s">
        <v>10</v>
      </c>
      <c r="I599" s="21" t="s">
        <v>3866</v>
      </c>
      <c r="J599" s="21" t="s">
        <v>3867</v>
      </c>
      <c r="K599" s="5814" t="s">
        <v>3868</v>
      </c>
    </row>
    <row r="600" spans="1:11">
      <c r="A600" s="21" t="s">
        <v>2327</v>
      </c>
      <c r="B600" s="21" t="s">
        <v>3869</v>
      </c>
      <c r="C600" s="21" t="s">
        <v>8</v>
      </c>
      <c r="D600" s="21" t="s">
        <v>237</v>
      </c>
      <c r="E600" s="21" t="s">
        <v>9</v>
      </c>
      <c r="F600" s="5812">
        <v>3</v>
      </c>
      <c r="G600" s="5813">
        <v>0.20833333333333334</v>
      </c>
      <c r="H600" s="21" t="s">
        <v>10</v>
      </c>
      <c r="I600" s="21" t="s">
        <v>39</v>
      </c>
      <c r="J600" s="21" t="s">
        <v>3870</v>
      </c>
      <c r="K600" s="5814" t="s">
        <v>3871</v>
      </c>
    </row>
    <row r="601" spans="1:11">
      <c r="A601" s="21" t="s">
        <v>3872</v>
      </c>
      <c r="B601" s="21" t="s">
        <v>3873</v>
      </c>
      <c r="C601" s="21" t="s">
        <v>8</v>
      </c>
      <c r="D601" s="21" t="s">
        <v>237</v>
      </c>
      <c r="E601" s="21" t="s">
        <v>9</v>
      </c>
      <c r="F601" s="5812">
        <v>3</v>
      </c>
      <c r="G601" s="5813">
        <v>0.20833333333333334</v>
      </c>
      <c r="H601" s="21" t="s">
        <v>10</v>
      </c>
      <c r="I601" s="21" t="s">
        <v>11</v>
      </c>
      <c r="J601" s="21" t="s">
        <v>3874</v>
      </c>
      <c r="K601" s="5814" t="s">
        <v>3875</v>
      </c>
    </row>
    <row r="602" spans="1:11">
      <c r="A602" s="21" t="s">
        <v>3872</v>
      </c>
      <c r="B602" s="21" t="s">
        <v>3876</v>
      </c>
      <c r="C602" s="21" t="s">
        <v>22</v>
      </c>
      <c r="D602" s="21" t="s">
        <v>237</v>
      </c>
      <c r="E602" s="21" t="s">
        <v>9</v>
      </c>
      <c r="F602" s="5812">
        <v>3</v>
      </c>
      <c r="G602" s="5813">
        <v>0.20833333333333334</v>
      </c>
      <c r="H602" s="21" t="s">
        <v>10</v>
      </c>
      <c r="I602" s="21" t="s">
        <v>263</v>
      </c>
      <c r="J602" s="21" t="s">
        <v>3877</v>
      </c>
      <c r="K602" s="5814" t="s">
        <v>3878</v>
      </c>
    </row>
    <row r="603" spans="1:11">
      <c r="A603" s="21" t="s">
        <v>2284</v>
      </c>
      <c r="B603" s="21" t="s">
        <v>3879</v>
      </c>
      <c r="C603" s="21" t="s">
        <v>22</v>
      </c>
      <c r="D603" s="21" t="s">
        <v>237</v>
      </c>
      <c r="E603" s="21" t="s">
        <v>9</v>
      </c>
      <c r="F603" s="5812">
        <v>3</v>
      </c>
      <c r="G603" s="5813">
        <v>0.20833333333333334</v>
      </c>
      <c r="H603" s="21" t="s">
        <v>10</v>
      </c>
      <c r="I603" s="21" t="s">
        <v>654</v>
      </c>
      <c r="J603" s="21" t="s">
        <v>3880</v>
      </c>
      <c r="K603" s="5814" t="s">
        <v>3881</v>
      </c>
    </row>
    <row r="604" spans="1:11">
      <c r="A604" s="21" t="s">
        <v>3882</v>
      </c>
      <c r="B604" s="21" t="s">
        <v>3883</v>
      </c>
      <c r="C604" s="21" t="s">
        <v>8</v>
      </c>
      <c r="D604" s="21" t="s">
        <v>237</v>
      </c>
      <c r="E604" s="21" t="s">
        <v>9</v>
      </c>
      <c r="F604" s="5812">
        <v>3</v>
      </c>
      <c r="G604" s="5813">
        <v>0.20833333333333334</v>
      </c>
      <c r="H604" s="21" t="s">
        <v>10</v>
      </c>
      <c r="I604" s="21" t="s">
        <v>23</v>
      </c>
      <c r="J604" s="21" t="s">
        <v>3884</v>
      </c>
      <c r="K604" s="5814" t="s">
        <v>3885</v>
      </c>
    </row>
    <row r="605" spans="1:11">
      <c r="A605" s="21" t="s">
        <v>3886</v>
      </c>
      <c r="B605" s="21" t="s">
        <v>3887</v>
      </c>
      <c r="C605" s="21" t="s">
        <v>8</v>
      </c>
      <c r="D605" s="21" t="s">
        <v>237</v>
      </c>
      <c r="E605" s="21" t="s">
        <v>9</v>
      </c>
      <c r="F605" s="5812">
        <v>3</v>
      </c>
      <c r="G605" s="5813">
        <v>0.20833333333333334</v>
      </c>
      <c r="H605" s="21" t="s">
        <v>10</v>
      </c>
      <c r="I605" s="21" t="s">
        <v>96</v>
      </c>
      <c r="J605" s="21" t="s">
        <v>3888</v>
      </c>
      <c r="K605" s="5814" t="s">
        <v>3889</v>
      </c>
    </row>
    <row r="606" spans="1:11">
      <c r="A606" s="21" t="s">
        <v>3886</v>
      </c>
      <c r="B606" s="21" t="s">
        <v>3890</v>
      </c>
      <c r="C606" s="21" t="s">
        <v>22</v>
      </c>
      <c r="D606" s="21" t="s">
        <v>237</v>
      </c>
      <c r="E606" s="21" t="s">
        <v>9</v>
      </c>
      <c r="F606" s="5812">
        <v>3</v>
      </c>
      <c r="G606" s="5813">
        <v>0.20833333333333334</v>
      </c>
      <c r="H606" s="21" t="s">
        <v>10</v>
      </c>
      <c r="I606" s="21" t="s">
        <v>2149</v>
      </c>
      <c r="J606" s="21" t="s">
        <v>3891</v>
      </c>
      <c r="K606" s="5814" t="s">
        <v>3892</v>
      </c>
    </row>
    <row r="607" spans="1:11">
      <c r="A607" s="21" t="s">
        <v>2358</v>
      </c>
      <c r="B607" s="21" t="s">
        <v>3893</v>
      </c>
      <c r="C607" s="21" t="s">
        <v>8</v>
      </c>
      <c r="D607" s="21" t="s">
        <v>237</v>
      </c>
      <c r="E607" s="21" t="s">
        <v>9</v>
      </c>
      <c r="F607" s="5812">
        <v>3</v>
      </c>
      <c r="G607" s="5813">
        <v>0.20833333333333334</v>
      </c>
      <c r="H607" s="21" t="s">
        <v>10</v>
      </c>
      <c r="I607" s="21" t="s">
        <v>39</v>
      </c>
      <c r="J607" s="21" t="s">
        <v>3894</v>
      </c>
      <c r="K607" s="5814" t="s">
        <v>3895</v>
      </c>
    </row>
    <row r="608" spans="1:11">
      <c r="A608" s="21" t="s">
        <v>3896</v>
      </c>
      <c r="B608" s="21" t="s">
        <v>3897</v>
      </c>
      <c r="C608" s="21" t="s">
        <v>22</v>
      </c>
      <c r="D608" s="21" t="s">
        <v>237</v>
      </c>
      <c r="E608" s="21" t="s">
        <v>9</v>
      </c>
      <c r="F608" s="5812">
        <v>3</v>
      </c>
      <c r="G608" s="5813">
        <v>0.20833333333333334</v>
      </c>
      <c r="H608" s="21" t="s">
        <v>10</v>
      </c>
      <c r="I608" s="21" t="s">
        <v>226</v>
      </c>
      <c r="J608" s="21" t="s">
        <v>3898</v>
      </c>
      <c r="K608" s="5814" t="s">
        <v>3899</v>
      </c>
    </row>
    <row r="609" spans="1:11">
      <c r="A609" s="21" t="s">
        <v>2391</v>
      </c>
      <c r="B609" s="21" t="s">
        <v>3900</v>
      </c>
      <c r="C609" s="21" t="s">
        <v>22</v>
      </c>
      <c r="D609" s="21" t="s">
        <v>237</v>
      </c>
      <c r="E609" s="21" t="s">
        <v>9</v>
      </c>
      <c r="F609" s="5812">
        <v>3</v>
      </c>
      <c r="G609" s="5813">
        <v>0.20833333333333334</v>
      </c>
      <c r="H609" s="21" t="s">
        <v>10</v>
      </c>
      <c r="I609" s="21" t="s">
        <v>55</v>
      </c>
      <c r="J609" s="21" t="s">
        <v>3901</v>
      </c>
      <c r="K609" s="5814" t="s">
        <v>3902</v>
      </c>
    </row>
    <row r="610" spans="1:11">
      <c r="A610" s="21" t="s">
        <v>3033</v>
      </c>
      <c r="B610" s="21" t="s">
        <v>3903</v>
      </c>
      <c r="C610" s="21" t="s">
        <v>8</v>
      </c>
      <c r="D610" s="21" t="s">
        <v>237</v>
      </c>
      <c r="E610" s="21" t="s">
        <v>9</v>
      </c>
      <c r="F610" s="5812">
        <v>3</v>
      </c>
      <c r="G610" s="5813">
        <v>0.20833333333333334</v>
      </c>
      <c r="H610" s="21" t="s">
        <v>10</v>
      </c>
      <c r="I610" s="21" t="s">
        <v>96</v>
      </c>
      <c r="J610" s="21" t="s">
        <v>3904</v>
      </c>
      <c r="K610" s="5814" t="s">
        <v>3905</v>
      </c>
    </row>
    <row r="611" spans="1:11">
      <c r="A611" s="21" t="s">
        <v>3033</v>
      </c>
      <c r="B611" s="21" t="s">
        <v>3906</v>
      </c>
      <c r="C611" s="21" t="s">
        <v>22</v>
      </c>
      <c r="D611" s="21" t="s">
        <v>237</v>
      </c>
      <c r="E611" s="21" t="s">
        <v>9</v>
      </c>
      <c r="F611" s="5812">
        <v>3</v>
      </c>
      <c r="G611" s="5813">
        <v>0.20833333333333334</v>
      </c>
      <c r="H611" s="21" t="s">
        <v>10</v>
      </c>
      <c r="I611" s="21" t="s">
        <v>2814</v>
      </c>
      <c r="J611" s="21" t="s">
        <v>3907</v>
      </c>
      <c r="K611" s="5814" t="s">
        <v>3908</v>
      </c>
    </row>
    <row r="612" spans="1:11">
      <c r="A612" s="21" t="s">
        <v>3909</v>
      </c>
      <c r="B612" s="21" t="s">
        <v>3910</v>
      </c>
      <c r="C612" s="21" t="s">
        <v>8</v>
      </c>
      <c r="D612" s="21" t="s">
        <v>237</v>
      </c>
      <c r="E612" s="21" t="s">
        <v>9</v>
      </c>
      <c r="F612" s="5812">
        <v>3</v>
      </c>
      <c r="G612" s="5813">
        <v>0.20833333333333334</v>
      </c>
      <c r="H612" s="21" t="s">
        <v>10</v>
      </c>
      <c r="I612" s="21" t="s">
        <v>2313</v>
      </c>
      <c r="J612" s="21" t="s">
        <v>3911</v>
      </c>
      <c r="K612" s="5814" t="s">
        <v>3912</v>
      </c>
    </row>
    <row r="613" spans="1:11">
      <c r="A613" s="21" t="s">
        <v>2413</v>
      </c>
      <c r="B613" s="21" t="s">
        <v>3913</v>
      </c>
      <c r="C613" s="21" t="s">
        <v>8</v>
      </c>
      <c r="D613" s="21" t="s">
        <v>237</v>
      </c>
      <c r="E613" s="21" t="s">
        <v>9</v>
      </c>
      <c r="F613" s="5812">
        <v>3</v>
      </c>
      <c r="G613" s="5813">
        <v>0.20833333333333334</v>
      </c>
      <c r="H613" s="21" t="s">
        <v>10</v>
      </c>
      <c r="I613" s="21" t="s">
        <v>23</v>
      </c>
      <c r="J613" s="21" t="s">
        <v>3914</v>
      </c>
      <c r="K613" s="5814" t="s">
        <v>3915</v>
      </c>
    </row>
    <row r="614" spans="1:11">
      <c r="A614" s="21" t="s">
        <v>2955</v>
      </c>
      <c r="B614" s="21" t="s">
        <v>3916</v>
      </c>
      <c r="C614" s="21" t="s">
        <v>22</v>
      </c>
      <c r="D614" s="21" t="s">
        <v>237</v>
      </c>
      <c r="E614" s="21" t="s">
        <v>9</v>
      </c>
      <c r="F614" s="5812">
        <v>3</v>
      </c>
      <c r="G614" s="5813">
        <v>0.20833333333333334</v>
      </c>
      <c r="H614" s="21" t="s">
        <v>10</v>
      </c>
      <c r="I614" s="21" t="s">
        <v>11</v>
      </c>
      <c r="J614" s="21" t="s">
        <v>3917</v>
      </c>
      <c r="K614" s="5814" t="s">
        <v>3918</v>
      </c>
    </row>
    <row r="615" spans="1:11">
      <c r="A615" s="21" t="s">
        <v>2955</v>
      </c>
      <c r="B615" s="21" t="s">
        <v>3919</v>
      </c>
      <c r="C615" s="21" t="s">
        <v>8</v>
      </c>
      <c r="D615" s="21" t="s">
        <v>237</v>
      </c>
      <c r="E615" s="21" t="s">
        <v>9</v>
      </c>
      <c r="F615" s="5812">
        <v>3</v>
      </c>
      <c r="G615" s="5813">
        <v>0.20833333333333334</v>
      </c>
      <c r="H615" s="21" t="s">
        <v>10</v>
      </c>
      <c r="I615" s="21" t="s">
        <v>11</v>
      </c>
      <c r="J615" s="21" t="s">
        <v>3920</v>
      </c>
      <c r="K615" s="5814" t="s">
        <v>3921</v>
      </c>
    </row>
    <row r="616" spans="1:11">
      <c r="A616" s="21" t="s">
        <v>2893</v>
      </c>
      <c r="B616" s="21" t="s">
        <v>3922</v>
      </c>
      <c r="C616" s="21" t="s">
        <v>8</v>
      </c>
      <c r="D616" s="21" t="s">
        <v>237</v>
      </c>
      <c r="E616" s="21" t="s">
        <v>9</v>
      </c>
      <c r="F616" s="5812">
        <v>3</v>
      </c>
      <c r="G616" s="5813">
        <v>0.20833333333333334</v>
      </c>
      <c r="H616" s="21" t="s">
        <v>10</v>
      </c>
      <c r="I616" s="21" t="s">
        <v>96</v>
      </c>
      <c r="J616" s="21" t="s">
        <v>3923</v>
      </c>
      <c r="K616" s="5814" t="s">
        <v>3924</v>
      </c>
    </row>
    <row r="617" spans="1:11">
      <c r="A617" s="21" t="s">
        <v>2929</v>
      </c>
      <c r="B617" s="21" t="s">
        <v>3925</v>
      </c>
      <c r="C617" s="21" t="s">
        <v>8</v>
      </c>
      <c r="D617" s="21" t="s">
        <v>237</v>
      </c>
      <c r="E617" s="21" t="s">
        <v>9</v>
      </c>
      <c r="F617" s="5812">
        <v>3</v>
      </c>
      <c r="G617" s="5813">
        <v>0.20833333333333334</v>
      </c>
      <c r="H617" s="21" t="s">
        <v>10</v>
      </c>
      <c r="I617" s="21" t="s">
        <v>55</v>
      </c>
      <c r="J617" s="21" t="s">
        <v>3926</v>
      </c>
      <c r="K617" s="5814" t="s">
        <v>3927</v>
      </c>
    </row>
    <row r="618" spans="1:11">
      <c r="A618" s="21" t="s">
        <v>3130</v>
      </c>
      <c r="B618" s="21" t="s">
        <v>3928</v>
      </c>
      <c r="C618" s="21" t="s">
        <v>8</v>
      </c>
      <c r="D618" s="21" t="s">
        <v>237</v>
      </c>
      <c r="E618" s="21" t="s">
        <v>9</v>
      </c>
      <c r="F618" s="5812">
        <v>3</v>
      </c>
      <c r="G618" s="5813">
        <v>0.20833333333333334</v>
      </c>
      <c r="H618" s="21" t="s">
        <v>10</v>
      </c>
      <c r="I618" s="21" t="s">
        <v>11</v>
      </c>
      <c r="J618" s="21" t="s">
        <v>3929</v>
      </c>
      <c r="K618" s="5814" t="s">
        <v>3930</v>
      </c>
    </row>
    <row r="619" spans="1:11">
      <c r="A619" s="21" t="s">
        <v>2442</v>
      </c>
      <c r="B619" s="21" t="s">
        <v>3931</v>
      </c>
      <c r="C619" s="21" t="s">
        <v>8</v>
      </c>
      <c r="D619" s="21" t="s">
        <v>237</v>
      </c>
      <c r="E619" s="21" t="s">
        <v>9</v>
      </c>
      <c r="F619" s="5812">
        <v>3</v>
      </c>
      <c r="G619" s="5813">
        <v>0.20833333333333334</v>
      </c>
      <c r="H619" s="21" t="s">
        <v>10</v>
      </c>
      <c r="I619" s="21" t="s">
        <v>23</v>
      </c>
      <c r="J619" s="21" t="s">
        <v>3932</v>
      </c>
      <c r="K619" s="5814" t="s">
        <v>3933</v>
      </c>
    </row>
    <row r="620" spans="1:11">
      <c r="A620" s="21" t="s">
        <v>3551</v>
      </c>
      <c r="B620" s="21" t="s">
        <v>3934</v>
      </c>
      <c r="C620" s="21" t="s">
        <v>22</v>
      </c>
      <c r="D620" s="21" t="s">
        <v>237</v>
      </c>
      <c r="E620" s="21" t="s">
        <v>9</v>
      </c>
      <c r="F620" s="5812">
        <v>3</v>
      </c>
      <c r="G620" s="5813">
        <v>0.20833333333333334</v>
      </c>
      <c r="H620" s="21" t="s">
        <v>10</v>
      </c>
      <c r="I620" s="21" t="s">
        <v>39</v>
      </c>
      <c r="J620" s="21" t="s">
        <v>3935</v>
      </c>
      <c r="K620" s="5814" t="s">
        <v>3936</v>
      </c>
    </row>
    <row r="621" spans="1:11">
      <c r="A621" s="21" t="s">
        <v>3559</v>
      </c>
      <c r="B621" s="21" t="s">
        <v>3937</v>
      </c>
      <c r="C621" s="21" t="s">
        <v>22</v>
      </c>
      <c r="D621" s="21" t="s">
        <v>237</v>
      </c>
      <c r="E621" s="21" t="s">
        <v>9</v>
      </c>
      <c r="F621" s="5812">
        <v>3</v>
      </c>
      <c r="G621" s="5813">
        <v>0.20833333333333334</v>
      </c>
      <c r="H621" s="21" t="s">
        <v>10</v>
      </c>
      <c r="I621" s="21" t="s">
        <v>96</v>
      </c>
      <c r="J621" s="21" t="s">
        <v>3938</v>
      </c>
      <c r="K621" s="5814" t="s">
        <v>3939</v>
      </c>
    </row>
    <row r="622" spans="1:11">
      <c r="A622" s="21" t="s">
        <v>2446</v>
      </c>
      <c r="B622" s="21" t="s">
        <v>3940</v>
      </c>
      <c r="C622" s="21" t="s">
        <v>8</v>
      </c>
      <c r="D622" s="21" t="s">
        <v>237</v>
      </c>
      <c r="E622" s="21" t="s">
        <v>9</v>
      </c>
      <c r="F622" s="5812">
        <v>3</v>
      </c>
      <c r="G622" s="5813">
        <v>0.20833333333333334</v>
      </c>
      <c r="H622" s="21" t="s">
        <v>10</v>
      </c>
      <c r="I622" s="21" t="s">
        <v>96</v>
      </c>
      <c r="J622" s="21" t="s">
        <v>3941</v>
      </c>
      <c r="K622" s="5814" t="s">
        <v>3942</v>
      </c>
    </row>
    <row r="623" spans="1:11">
      <c r="A623" s="21" t="s">
        <v>3434</v>
      </c>
      <c r="B623" s="21" t="s">
        <v>3943</v>
      </c>
      <c r="C623" s="21" t="s">
        <v>8</v>
      </c>
      <c r="D623" s="21" t="s">
        <v>237</v>
      </c>
      <c r="E623" s="21" t="s">
        <v>9</v>
      </c>
      <c r="F623" s="5812">
        <v>3</v>
      </c>
      <c r="G623" s="5813">
        <v>0.20833333333333334</v>
      </c>
      <c r="H623" s="21" t="s">
        <v>10</v>
      </c>
      <c r="I623" s="21" t="s">
        <v>23</v>
      </c>
      <c r="J623" s="21" t="s">
        <v>3944</v>
      </c>
      <c r="K623" s="5814" t="s">
        <v>3945</v>
      </c>
    </row>
    <row r="624" spans="1:11">
      <c r="A624" s="21" t="s">
        <v>3946</v>
      </c>
      <c r="B624" s="21" t="s">
        <v>3947</v>
      </c>
      <c r="C624" s="21" t="s">
        <v>8</v>
      </c>
      <c r="D624" s="21" t="s">
        <v>237</v>
      </c>
      <c r="E624" s="21" t="s">
        <v>9</v>
      </c>
      <c r="F624" s="5812">
        <v>3</v>
      </c>
      <c r="G624" s="5813">
        <v>0.20833333333333334</v>
      </c>
      <c r="H624" s="21" t="s">
        <v>10</v>
      </c>
      <c r="I624" s="21" t="s">
        <v>11</v>
      </c>
      <c r="J624" s="21" t="s">
        <v>3948</v>
      </c>
      <c r="K624" s="5814" t="s">
        <v>3949</v>
      </c>
    </row>
    <row r="625" spans="1:11">
      <c r="A625" s="21" t="s">
        <v>3946</v>
      </c>
      <c r="B625" s="21" t="s">
        <v>3950</v>
      </c>
      <c r="C625" s="21" t="s">
        <v>8</v>
      </c>
      <c r="D625" s="21" t="s">
        <v>237</v>
      </c>
      <c r="E625" s="21" t="s">
        <v>9</v>
      </c>
      <c r="F625" s="5812">
        <v>3</v>
      </c>
      <c r="G625" s="5813">
        <v>0.20833333333333334</v>
      </c>
      <c r="H625" s="21" t="s">
        <v>10</v>
      </c>
      <c r="I625" s="21" t="s">
        <v>11</v>
      </c>
      <c r="J625" s="21" t="s">
        <v>3951</v>
      </c>
      <c r="K625" s="5814" t="s">
        <v>3952</v>
      </c>
    </row>
    <row r="626" spans="1:11">
      <c r="A626" s="21" t="s">
        <v>3116</v>
      </c>
      <c r="B626" s="21" t="s">
        <v>3953</v>
      </c>
      <c r="C626" s="21" t="s">
        <v>8</v>
      </c>
      <c r="D626" s="21" t="s">
        <v>237</v>
      </c>
      <c r="E626" s="21" t="s">
        <v>9</v>
      </c>
      <c r="F626" s="5812">
        <v>3</v>
      </c>
      <c r="G626" s="5813">
        <v>0.20833333333333334</v>
      </c>
      <c r="H626" s="21" t="s">
        <v>10</v>
      </c>
      <c r="I626" s="21" t="s">
        <v>39</v>
      </c>
      <c r="J626" s="21" t="s">
        <v>3954</v>
      </c>
      <c r="K626" s="5814" t="s">
        <v>3955</v>
      </c>
    </row>
    <row r="627" spans="1:11">
      <c r="A627" s="21" t="s">
        <v>2461</v>
      </c>
      <c r="B627" s="21" t="s">
        <v>3956</v>
      </c>
      <c r="C627" s="21" t="s">
        <v>8</v>
      </c>
      <c r="D627" s="21" t="s">
        <v>237</v>
      </c>
      <c r="E627" s="21" t="s">
        <v>9</v>
      </c>
      <c r="F627" s="5812">
        <v>3</v>
      </c>
      <c r="G627" s="5813">
        <v>0.20833333333333334</v>
      </c>
      <c r="H627" s="21" t="s">
        <v>10</v>
      </c>
      <c r="I627" s="21" t="s">
        <v>23</v>
      </c>
      <c r="J627" s="21" t="s">
        <v>3957</v>
      </c>
      <c r="K627" s="5814" t="s">
        <v>3958</v>
      </c>
    </row>
    <row r="628" spans="1:11">
      <c r="A628" s="21" t="s">
        <v>2461</v>
      </c>
      <c r="B628" s="21" t="s">
        <v>3959</v>
      </c>
      <c r="C628" s="21" t="s">
        <v>8</v>
      </c>
      <c r="D628" s="21" t="s">
        <v>237</v>
      </c>
      <c r="E628" s="21" t="s">
        <v>9</v>
      </c>
      <c r="F628" s="5812">
        <v>3</v>
      </c>
      <c r="G628" s="5813">
        <v>0.20833333333333334</v>
      </c>
      <c r="H628" s="21" t="s">
        <v>10</v>
      </c>
      <c r="I628" s="21" t="s">
        <v>96</v>
      </c>
      <c r="J628" s="21" t="s">
        <v>3960</v>
      </c>
      <c r="K628" s="5814" t="s">
        <v>3961</v>
      </c>
    </row>
    <row r="629" spans="1:11">
      <c r="A629" s="21" t="s">
        <v>2104</v>
      </c>
      <c r="B629" s="21" t="s">
        <v>3962</v>
      </c>
      <c r="C629" s="21" t="s">
        <v>8</v>
      </c>
      <c r="D629" s="21" t="s">
        <v>237</v>
      </c>
      <c r="E629" s="21" t="s">
        <v>9</v>
      </c>
      <c r="F629" s="5812">
        <v>3</v>
      </c>
      <c r="G629" s="5813">
        <v>0.20833333333333334</v>
      </c>
      <c r="H629" s="21" t="s">
        <v>10</v>
      </c>
      <c r="I629" s="21" t="s">
        <v>39</v>
      </c>
      <c r="J629" s="21" t="s">
        <v>3963</v>
      </c>
      <c r="K629" s="5814" t="s">
        <v>3964</v>
      </c>
    </row>
    <row r="630" spans="1:11">
      <c r="A630" s="21" t="s">
        <v>2104</v>
      </c>
      <c r="B630" s="21" t="s">
        <v>3965</v>
      </c>
      <c r="C630" s="21" t="s">
        <v>8</v>
      </c>
      <c r="D630" s="21" t="s">
        <v>237</v>
      </c>
      <c r="E630" s="21" t="s">
        <v>9</v>
      </c>
      <c r="F630" s="5812">
        <v>3</v>
      </c>
      <c r="G630" s="5813">
        <v>0.20833333333333334</v>
      </c>
      <c r="H630" s="21" t="s">
        <v>10</v>
      </c>
      <c r="I630" s="21" t="s">
        <v>55</v>
      </c>
      <c r="J630" s="21" t="s">
        <v>3966</v>
      </c>
      <c r="K630" s="5814" t="s">
        <v>3967</v>
      </c>
    </row>
    <row r="631" spans="1:11">
      <c r="A631" s="21" t="s">
        <v>3220</v>
      </c>
      <c r="B631" s="21" t="s">
        <v>3968</v>
      </c>
      <c r="C631" s="21" t="s">
        <v>8</v>
      </c>
      <c r="D631" s="21" t="s">
        <v>237</v>
      </c>
      <c r="E631" s="21" t="s">
        <v>9</v>
      </c>
      <c r="F631" s="5812">
        <v>3</v>
      </c>
      <c r="G631" s="5813">
        <v>0.20833333333333334</v>
      </c>
      <c r="H631" s="21" t="s">
        <v>10</v>
      </c>
      <c r="I631" s="21" t="s">
        <v>11</v>
      </c>
      <c r="J631" s="21" t="s">
        <v>3969</v>
      </c>
      <c r="K631" s="5814" t="s">
        <v>3970</v>
      </c>
    </row>
    <row r="632" spans="1:11">
      <c r="A632" s="21" t="s">
        <v>3220</v>
      </c>
      <c r="B632" s="21" t="s">
        <v>3971</v>
      </c>
      <c r="C632" s="21" t="s">
        <v>8</v>
      </c>
      <c r="D632" s="21" t="s">
        <v>237</v>
      </c>
      <c r="E632" s="21" t="s">
        <v>9</v>
      </c>
      <c r="F632" s="5812">
        <v>3</v>
      </c>
      <c r="G632" s="5813">
        <v>0.20833333333333334</v>
      </c>
      <c r="H632" s="21" t="s">
        <v>10</v>
      </c>
      <c r="I632" s="21" t="s">
        <v>194</v>
      </c>
      <c r="J632" s="21" t="s">
        <v>3972</v>
      </c>
      <c r="K632" s="5814" t="s">
        <v>3973</v>
      </c>
    </row>
    <row r="633" spans="1:11">
      <c r="A633" s="21" t="s">
        <v>3974</v>
      </c>
      <c r="B633" s="21" t="s">
        <v>3975</v>
      </c>
      <c r="C633" s="21" t="s">
        <v>22</v>
      </c>
      <c r="D633" s="21" t="s">
        <v>237</v>
      </c>
      <c r="E633" s="21" t="s">
        <v>9</v>
      </c>
      <c r="F633" s="5812">
        <v>3</v>
      </c>
      <c r="G633" s="5813">
        <v>0.20833333333333334</v>
      </c>
      <c r="H633" s="21" t="s">
        <v>10</v>
      </c>
      <c r="I633" s="21" t="s">
        <v>47</v>
      </c>
      <c r="J633" s="21" t="s">
        <v>3976</v>
      </c>
      <c r="K633" s="5814" t="s">
        <v>3977</v>
      </c>
    </row>
    <row r="634" spans="1:11">
      <c r="A634" s="21" t="s">
        <v>2108</v>
      </c>
      <c r="B634" s="21" t="s">
        <v>3978</v>
      </c>
      <c r="C634" s="21" t="s">
        <v>22</v>
      </c>
      <c r="D634" s="21" t="s">
        <v>237</v>
      </c>
      <c r="E634" s="21" t="s">
        <v>9</v>
      </c>
      <c r="F634" s="5812">
        <v>3</v>
      </c>
      <c r="G634" s="5813">
        <v>0.20833333333333334</v>
      </c>
      <c r="H634" s="21" t="s">
        <v>10</v>
      </c>
      <c r="I634" s="21" t="s">
        <v>23</v>
      </c>
      <c r="J634" s="21" t="s">
        <v>3979</v>
      </c>
      <c r="K634" s="5814" t="s">
        <v>3980</v>
      </c>
    </row>
    <row r="635" spans="1:11">
      <c r="A635" s="21" t="s">
        <v>2481</v>
      </c>
      <c r="B635" s="21" t="s">
        <v>3981</v>
      </c>
      <c r="C635" s="21" t="s">
        <v>8</v>
      </c>
      <c r="D635" s="21" t="s">
        <v>237</v>
      </c>
      <c r="E635" s="21" t="s">
        <v>9</v>
      </c>
      <c r="F635" s="5812">
        <v>3</v>
      </c>
      <c r="G635" s="5813">
        <v>0.20833333333333334</v>
      </c>
      <c r="H635" s="21" t="s">
        <v>10</v>
      </c>
      <c r="I635" s="21" t="s">
        <v>55</v>
      </c>
      <c r="J635" s="21" t="s">
        <v>3982</v>
      </c>
      <c r="K635" s="5814" t="s">
        <v>3983</v>
      </c>
    </row>
    <row r="636" spans="1:11">
      <c r="A636" s="21" t="s">
        <v>3984</v>
      </c>
      <c r="B636" s="21" t="s">
        <v>3985</v>
      </c>
      <c r="C636" s="21" t="s">
        <v>8</v>
      </c>
      <c r="D636" s="21" t="s">
        <v>237</v>
      </c>
      <c r="E636" s="21" t="s">
        <v>9</v>
      </c>
      <c r="F636" s="5812">
        <v>3</v>
      </c>
      <c r="G636" s="5813">
        <v>0.20833333333333334</v>
      </c>
      <c r="H636" s="21" t="s">
        <v>10</v>
      </c>
      <c r="I636" s="21" t="s">
        <v>89</v>
      </c>
      <c r="J636" s="21" t="s">
        <v>3986</v>
      </c>
      <c r="K636" s="5814" t="s">
        <v>3987</v>
      </c>
    </row>
    <row r="637" spans="1:11">
      <c r="A637" s="21" t="s">
        <v>3984</v>
      </c>
      <c r="B637" s="21" t="s">
        <v>3988</v>
      </c>
      <c r="C637" s="21" t="s">
        <v>22</v>
      </c>
      <c r="D637" s="21" t="s">
        <v>237</v>
      </c>
      <c r="E637" s="21" t="s">
        <v>9</v>
      </c>
      <c r="F637" s="5812">
        <v>3</v>
      </c>
      <c r="G637" s="5813">
        <v>0.20833333333333334</v>
      </c>
      <c r="H637" s="21" t="s">
        <v>10</v>
      </c>
      <c r="I637" s="21" t="s">
        <v>55</v>
      </c>
      <c r="J637" s="21" t="s">
        <v>3989</v>
      </c>
      <c r="K637" s="5814" t="s">
        <v>3990</v>
      </c>
    </row>
    <row r="638" spans="1:11">
      <c r="A638" s="21" t="s">
        <v>3690</v>
      </c>
      <c r="B638" s="21" t="s">
        <v>3991</v>
      </c>
      <c r="C638" s="21" t="s">
        <v>22</v>
      </c>
      <c r="D638" s="21" t="s">
        <v>237</v>
      </c>
      <c r="E638" s="21" t="s">
        <v>9</v>
      </c>
      <c r="F638" s="5812">
        <v>3</v>
      </c>
      <c r="G638" s="5813">
        <v>0.20833333333333334</v>
      </c>
      <c r="H638" s="21" t="s">
        <v>10</v>
      </c>
      <c r="I638" s="21" t="s">
        <v>11</v>
      </c>
      <c r="J638" s="21" t="s">
        <v>3992</v>
      </c>
      <c r="K638" s="5814" t="s">
        <v>3993</v>
      </c>
    </row>
    <row r="639" spans="1:11">
      <c r="A639" s="21" t="s">
        <v>2901</v>
      </c>
      <c r="B639" s="21" t="s">
        <v>3994</v>
      </c>
      <c r="C639" s="21" t="s">
        <v>8</v>
      </c>
      <c r="D639" s="21" t="s">
        <v>237</v>
      </c>
      <c r="E639" s="21" t="s">
        <v>9</v>
      </c>
      <c r="F639" s="5812">
        <v>3</v>
      </c>
      <c r="G639" s="5813">
        <v>0.20833333333333334</v>
      </c>
      <c r="H639" s="21" t="s">
        <v>10</v>
      </c>
      <c r="I639" s="21" t="s">
        <v>39</v>
      </c>
      <c r="J639" s="21" t="s">
        <v>3995</v>
      </c>
      <c r="K639" s="5814" t="s">
        <v>3996</v>
      </c>
    </row>
    <row r="640" spans="1:11">
      <c r="A640" s="21" t="s">
        <v>2901</v>
      </c>
      <c r="B640" s="21" t="s">
        <v>3997</v>
      </c>
      <c r="C640" s="21" t="s">
        <v>8</v>
      </c>
      <c r="D640" s="21" t="s">
        <v>237</v>
      </c>
      <c r="E640" s="21" t="s">
        <v>9</v>
      </c>
      <c r="F640" s="5812">
        <v>3</v>
      </c>
      <c r="G640" s="5813">
        <v>0.20833333333333334</v>
      </c>
      <c r="H640" s="21" t="s">
        <v>10</v>
      </c>
      <c r="I640" s="21" t="s">
        <v>55</v>
      </c>
      <c r="J640" s="21" t="s">
        <v>3998</v>
      </c>
      <c r="K640" s="5814" t="s">
        <v>3999</v>
      </c>
    </row>
    <row r="641" spans="1:11">
      <c r="A641" s="21" t="s">
        <v>3256</v>
      </c>
      <c r="B641" s="21" t="s">
        <v>4000</v>
      </c>
      <c r="C641" s="21" t="s">
        <v>22</v>
      </c>
      <c r="D641" s="21" t="s">
        <v>237</v>
      </c>
      <c r="E641" s="21" t="s">
        <v>9</v>
      </c>
      <c r="F641" s="5812">
        <v>3</v>
      </c>
      <c r="G641" s="5813">
        <v>0.20833333333333334</v>
      </c>
      <c r="H641" s="21" t="s">
        <v>10</v>
      </c>
      <c r="I641" s="21" t="s">
        <v>654</v>
      </c>
      <c r="J641" s="21" t="s">
        <v>4001</v>
      </c>
      <c r="K641" s="5814" t="s">
        <v>4002</v>
      </c>
    </row>
    <row r="642" spans="1:11">
      <c r="A642" s="21" t="s">
        <v>4003</v>
      </c>
      <c r="B642" s="21" t="s">
        <v>4004</v>
      </c>
      <c r="C642" s="21" t="s">
        <v>22</v>
      </c>
      <c r="D642" s="21" t="s">
        <v>237</v>
      </c>
      <c r="E642" s="21" t="s">
        <v>9</v>
      </c>
      <c r="F642" s="5812">
        <v>3</v>
      </c>
      <c r="G642" s="5813">
        <v>0.20833333333333334</v>
      </c>
      <c r="H642" s="21" t="s">
        <v>10</v>
      </c>
      <c r="I642" s="21" t="s">
        <v>55</v>
      </c>
      <c r="J642" s="21" t="s">
        <v>4005</v>
      </c>
      <c r="K642" s="5814" t="s">
        <v>4006</v>
      </c>
    </row>
    <row r="643" spans="1:11">
      <c r="A643" s="21" t="s">
        <v>2499</v>
      </c>
      <c r="B643" s="21" t="s">
        <v>4007</v>
      </c>
      <c r="C643" s="21" t="s">
        <v>22</v>
      </c>
      <c r="D643" s="21" t="s">
        <v>237</v>
      </c>
      <c r="E643" s="21" t="s">
        <v>9</v>
      </c>
      <c r="F643" s="5812">
        <v>3</v>
      </c>
      <c r="G643" s="5813">
        <v>0.20833333333333334</v>
      </c>
      <c r="H643" s="21" t="s">
        <v>10</v>
      </c>
      <c r="I643" s="21" t="s">
        <v>23</v>
      </c>
      <c r="J643" s="21" t="s">
        <v>2346</v>
      </c>
      <c r="K643" s="5814" t="s">
        <v>4008</v>
      </c>
    </row>
    <row r="644" spans="1:11">
      <c r="A644" s="21" t="s">
        <v>2935</v>
      </c>
      <c r="B644" s="21" t="s">
        <v>4009</v>
      </c>
      <c r="C644" s="21" t="s">
        <v>8</v>
      </c>
      <c r="D644" s="21" t="s">
        <v>237</v>
      </c>
      <c r="E644" s="21" t="s">
        <v>9</v>
      </c>
      <c r="F644" s="5812">
        <v>3</v>
      </c>
      <c r="G644" s="5813">
        <v>0.20833333333333334</v>
      </c>
      <c r="H644" s="21" t="s">
        <v>10</v>
      </c>
      <c r="I644" s="21" t="s">
        <v>4010</v>
      </c>
      <c r="J644" s="21" t="s">
        <v>4011</v>
      </c>
      <c r="K644" s="5814" t="s">
        <v>4012</v>
      </c>
    </row>
    <row r="645" spans="1:11">
      <c r="A645" s="21" t="s">
        <v>2119</v>
      </c>
      <c r="B645" s="21" t="s">
        <v>4013</v>
      </c>
      <c r="C645" s="21" t="s">
        <v>8</v>
      </c>
      <c r="D645" s="21" t="s">
        <v>237</v>
      </c>
      <c r="E645" s="21" t="s">
        <v>9</v>
      </c>
      <c r="F645" s="5812">
        <v>3</v>
      </c>
      <c r="G645" s="5813">
        <v>0.20833333333333334</v>
      </c>
      <c r="H645" s="21" t="s">
        <v>10</v>
      </c>
      <c r="I645" s="21" t="s">
        <v>96</v>
      </c>
      <c r="J645" s="21" t="s">
        <v>4014</v>
      </c>
      <c r="K645" s="5814" t="s">
        <v>4015</v>
      </c>
    </row>
    <row r="646" spans="1:11">
      <c r="A646" s="21" t="s">
        <v>2119</v>
      </c>
      <c r="B646" s="21" t="s">
        <v>4016</v>
      </c>
      <c r="C646" s="21" t="s">
        <v>8</v>
      </c>
      <c r="D646" s="21" t="s">
        <v>237</v>
      </c>
      <c r="E646" s="21" t="s">
        <v>9</v>
      </c>
      <c r="F646" s="5812">
        <v>3</v>
      </c>
      <c r="G646" s="5813">
        <v>0.20833333333333334</v>
      </c>
      <c r="H646" s="21" t="s">
        <v>10</v>
      </c>
      <c r="I646" s="21" t="s">
        <v>96</v>
      </c>
      <c r="J646" s="21" t="s">
        <v>4017</v>
      </c>
      <c r="K646" s="5814" t="s">
        <v>4018</v>
      </c>
    </row>
    <row r="647" spans="1:11">
      <c r="A647" s="21" t="s">
        <v>3224</v>
      </c>
      <c r="B647" s="21" t="s">
        <v>4019</v>
      </c>
      <c r="C647" s="21" t="s">
        <v>22</v>
      </c>
      <c r="D647" s="21" t="s">
        <v>237</v>
      </c>
      <c r="E647" s="21" t="s">
        <v>9</v>
      </c>
      <c r="F647" s="5812">
        <v>3</v>
      </c>
      <c r="G647" s="5813">
        <v>0.20833333333333334</v>
      </c>
      <c r="H647" s="21" t="s">
        <v>10</v>
      </c>
      <c r="I647" s="21" t="s">
        <v>23</v>
      </c>
      <c r="J647" s="21" t="s">
        <v>4020</v>
      </c>
      <c r="K647" s="5814" t="s">
        <v>4021</v>
      </c>
    </row>
    <row r="648" spans="1:11">
      <c r="A648" s="21" t="s">
        <v>2506</v>
      </c>
      <c r="B648" s="21" t="s">
        <v>4022</v>
      </c>
      <c r="C648" s="21" t="s">
        <v>8</v>
      </c>
      <c r="D648" s="21" t="s">
        <v>237</v>
      </c>
      <c r="E648" s="21" t="s">
        <v>9</v>
      </c>
      <c r="F648" s="5812">
        <v>3</v>
      </c>
      <c r="G648" s="5813">
        <v>0.20833333333333334</v>
      </c>
      <c r="H648" s="21" t="s">
        <v>10</v>
      </c>
      <c r="I648" s="21" t="s">
        <v>23</v>
      </c>
      <c r="J648" s="21" t="s">
        <v>4023</v>
      </c>
      <c r="K648" s="5814" t="s">
        <v>4024</v>
      </c>
    </row>
    <row r="649" spans="1:11">
      <c r="A649" s="21" t="s">
        <v>3026</v>
      </c>
      <c r="B649" s="21" t="s">
        <v>4025</v>
      </c>
      <c r="C649" s="21" t="s">
        <v>22</v>
      </c>
      <c r="D649" s="21" t="s">
        <v>237</v>
      </c>
      <c r="E649" s="21" t="s">
        <v>9</v>
      </c>
      <c r="F649" s="5812">
        <v>3</v>
      </c>
      <c r="G649" s="5813">
        <v>0.20833333333333334</v>
      </c>
      <c r="H649" s="21" t="s">
        <v>10</v>
      </c>
      <c r="I649" s="21" t="s">
        <v>39</v>
      </c>
      <c r="J649" s="21" t="s">
        <v>4026</v>
      </c>
      <c r="K649" s="5814" t="s">
        <v>4027</v>
      </c>
    </row>
    <row r="650" spans="1:11">
      <c r="A650" s="21" t="s">
        <v>3026</v>
      </c>
      <c r="B650" s="21" t="s">
        <v>4028</v>
      </c>
      <c r="C650" s="21" t="s">
        <v>8</v>
      </c>
      <c r="D650" s="21" t="s">
        <v>237</v>
      </c>
      <c r="E650" s="21" t="s">
        <v>9</v>
      </c>
      <c r="F650" s="5812">
        <v>3</v>
      </c>
      <c r="G650" s="5813">
        <v>0.20833333333333334</v>
      </c>
      <c r="H650" s="21" t="s">
        <v>10</v>
      </c>
      <c r="I650" s="21" t="s">
        <v>55</v>
      </c>
      <c r="J650" s="21" t="s">
        <v>4029</v>
      </c>
      <c r="K650" s="5814" t="s">
        <v>4030</v>
      </c>
    </row>
    <row r="651" spans="1:11">
      <c r="A651" s="21" t="s">
        <v>3505</v>
      </c>
      <c r="B651" s="21" t="s">
        <v>4031</v>
      </c>
      <c r="C651" s="21" t="s">
        <v>8</v>
      </c>
      <c r="D651" s="21" t="s">
        <v>237</v>
      </c>
      <c r="E651" s="21" t="s">
        <v>9</v>
      </c>
      <c r="F651" s="5812">
        <v>3</v>
      </c>
      <c r="G651" s="5813">
        <v>0.20833333333333334</v>
      </c>
      <c r="H651" s="21" t="s">
        <v>10</v>
      </c>
      <c r="I651" s="21" t="s">
        <v>11</v>
      </c>
      <c r="J651" s="21" t="s">
        <v>4032</v>
      </c>
      <c r="K651" s="5814" t="s">
        <v>4033</v>
      </c>
    </row>
    <row r="652" spans="1:11">
      <c r="A652" s="21" t="s">
        <v>2910</v>
      </c>
      <c r="B652" s="21" t="s">
        <v>4034</v>
      </c>
      <c r="C652" s="21" t="s">
        <v>8</v>
      </c>
      <c r="D652" s="21" t="s">
        <v>237</v>
      </c>
      <c r="E652" s="21" t="s">
        <v>9</v>
      </c>
      <c r="F652" s="5812">
        <v>3</v>
      </c>
      <c r="G652" s="5813">
        <v>0.20833333333333334</v>
      </c>
      <c r="H652" s="21" t="s">
        <v>10</v>
      </c>
      <c r="I652" s="21" t="s">
        <v>23</v>
      </c>
      <c r="J652" s="21" t="s">
        <v>4035</v>
      </c>
      <c r="K652" s="5814" t="s">
        <v>4036</v>
      </c>
    </row>
    <row r="653" spans="1:11">
      <c r="A653" s="21" t="s">
        <v>2910</v>
      </c>
      <c r="B653" s="21" t="s">
        <v>4037</v>
      </c>
      <c r="C653" s="21" t="s">
        <v>8</v>
      </c>
      <c r="D653" s="21" t="s">
        <v>237</v>
      </c>
      <c r="E653" s="21" t="s">
        <v>9</v>
      </c>
      <c r="F653" s="5812">
        <v>3</v>
      </c>
      <c r="G653" s="5813">
        <v>0.20833333333333334</v>
      </c>
      <c r="H653" s="21" t="s">
        <v>10</v>
      </c>
      <c r="I653" s="21" t="s">
        <v>39</v>
      </c>
      <c r="J653" s="21" t="s">
        <v>4038</v>
      </c>
      <c r="K653" s="5814" t="s">
        <v>4039</v>
      </c>
    </row>
    <row r="654" spans="1:11">
      <c r="A654" s="21" t="s">
        <v>3412</v>
      </c>
      <c r="B654" s="21" t="s">
        <v>4040</v>
      </c>
      <c r="C654" s="21" t="s">
        <v>8</v>
      </c>
      <c r="D654" s="21" t="s">
        <v>237</v>
      </c>
      <c r="E654" s="21" t="s">
        <v>9</v>
      </c>
      <c r="F654" s="5812">
        <v>3</v>
      </c>
      <c r="G654" s="5813">
        <v>0.20833333333333334</v>
      </c>
      <c r="H654" s="21" t="s">
        <v>10</v>
      </c>
      <c r="I654" s="21" t="s">
        <v>47</v>
      </c>
      <c r="J654" s="21" t="s">
        <v>4041</v>
      </c>
      <c r="K654" s="5814" t="s">
        <v>4042</v>
      </c>
    </row>
    <row r="655" spans="1:11">
      <c r="A655" s="21" t="s">
        <v>4043</v>
      </c>
      <c r="B655" s="21" t="s">
        <v>4044</v>
      </c>
      <c r="C655" s="21" t="s">
        <v>22</v>
      </c>
      <c r="D655" s="21" t="s">
        <v>237</v>
      </c>
      <c r="E655" s="21" t="s">
        <v>9</v>
      </c>
      <c r="F655" s="5812">
        <v>3</v>
      </c>
      <c r="G655" s="5813">
        <v>0.20833333333333334</v>
      </c>
      <c r="H655" s="21" t="s">
        <v>10</v>
      </c>
      <c r="I655" s="21" t="s">
        <v>47</v>
      </c>
      <c r="J655" s="21" t="s">
        <v>4045</v>
      </c>
      <c r="K655" s="5814" t="s">
        <v>4046</v>
      </c>
    </row>
    <row r="656" spans="1:11">
      <c r="A656" s="21" t="s">
        <v>4047</v>
      </c>
      <c r="B656" s="21" t="s">
        <v>4048</v>
      </c>
      <c r="C656" s="21" t="s">
        <v>8</v>
      </c>
      <c r="D656" s="21" t="s">
        <v>237</v>
      </c>
      <c r="E656" s="21" t="s">
        <v>9</v>
      </c>
      <c r="F656" s="5812">
        <v>3</v>
      </c>
      <c r="G656" s="5813">
        <v>0.20833333333333334</v>
      </c>
      <c r="H656" s="21" t="s">
        <v>10</v>
      </c>
      <c r="I656" s="21" t="s">
        <v>400</v>
      </c>
      <c r="J656" s="21" t="s">
        <v>2515</v>
      </c>
      <c r="K656" s="5814" t="s">
        <v>4049</v>
      </c>
    </row>
    <row r="657" spans="1:11">
      <c r="A657" s="21" t="s">
        <v>3348</v>
      </c>
      <c r="B657" s="21" t="s">
        <v>4050</v>
      </c>
      <c r="C657" s="21" t="s">
        <v>22</v>
      </c>
      <c r="D657" s="21" t="s">
        <v>237</v>
      </c>
      <c r="E657" s="21" t="s">
        <v>9</v>
      </c>
      <c r="F657" s="5812">
        <v>3</v>
      </c>
      <c r="G657" s="5813">
        <v>0.20833333333333334</v>
      </c>
      <c r="H657" s="21" t="s">
        <v>10</v>
      </c>
      <c r="I657" s="21" t="s">
        <v>55</v>
      </c>
      <c r="J657" s="21" t="s">
        <v>4051</v>
      </c>
      <c r="K657" s="5814" t="s">
        <v>4052</v>
      </c>
    </row>
    <row r="658" spans="1:11">
      <c r="A658" s="21" t="s">
        <v>3009</v>
      </c>
      <c r="B658" s="21" t="s">
        <v>4053</v>
      </c>
      <c r="C658" s="21" t="s">
        <v>8</v>
      </c>
      <c r="D658" s="21" t="s">
        <v>237</v>
      </c>
      <c r="E658" s="21" t="s">
        <v>9</v>
      </c>
      <c r="F658" s="5812">
        <v>3</v>
      </c>
      <c r="G658" s="5813">
        <v>0.20833333333333334</v>
      </c>
      <c r="H658" s="21" t="s">
        <v>10</v>
      </c>
      <c r="I658" s="21" t="s">
        <v>11</v>
      </c>
      <c r="J658" s="21" t="s">
        <v>4054</v>
      </c>
      <c r="K658" s="5814" t="s">
        <v>4055</v>
      </c>
    </row>
    <row r="659" spans="1:11">
      <c r="A659" s="21" t="s">
        <v>2938</v>
      </c>
      <c r="B659" s="21" t="s">
        <v>4056</v>
      </c>
      <c r="C659" s="21" t="s">
        <v>22</v>
      </c>
      <c r="D659" s="21" t="s">
        <v>237</v>
      </c>
      <c r="E659" s="21" t="s">
        <v>9</v>
      </c>
      <c r="F659" s="5812">
        <v>3</v>
      </c>
      <c r="G659" s="5813">
        <v>0.20833333333333334</v>
      </c>
      <c r="H659" s="21" t="s">
        <v>10</v>
      </c>
      <c r="I659" s="21" t="s">
        <v>3517</v>
      </c>
      <c r="J659" s="21" t="s">
        <v>4057</v>
      </c>
      <c r="K659" s="5814" t="s">
        <v>4058</v>
      </c>
    </row>
    <row r="660" spans="1:11">
      <c r="A660" s="21" t="s">
        <v>2517</v>
      </c>
      <c r="B660" s="21" t="s">
        <v>4059</v>
      </c>
      <c r="C660" s="21" t="s">
        <v>8</v>
      </c>
      <c r="D660" s="21" t="s">
        <v>237</v>
      </c>
      <c r="E660" s="21" t="s">
        <v>9</v>
      </c>
      <c r="F660" s="5812">
        <v>3</v>
      </c>
      <c r="G660" s="5813">
        <v>0.20833333333333334</v>
      </c>
      <c r="H660" s="21" t="s">
        <v>10</v>
      </c>
      <c r="I660" s="21" t="s">
        <v>2523</v>
      </c>
      <c r="J660" s="21" t="s">
        <v>4060</v>
      </c>
      <c r="K660" s="5814" t="s">
        <v>4061</v>
      </c>
    </row>
    <row r="661" spans="1:11">
      <c r="A661" s="21" t="s">
        <v>2517</v>
      </c>
      <c r="B661" s="21" t="s">
        <v>4062</v>
      </c>
      <c r="C661" s="21" t="s">
        <v>22</v>
      </c>
      <c r="D661" s="21" t="s">
        <v>237</v>
      </c>
      <c r="E661" s="21" t="s">
        <v>9</v>
      </c>
      <c r="F661" s="5812">
        <v>3</v>
      </c>
      <c r="G661" s="5813">
        <v>0.20833333333333334</v>
      </c>
      <c r="H661" s="21" t="s">
        <v>10</v>
      </c>
      <c r="I661" s="21" t="s">
        <v>2523</v>
      </c>
      <c r="J661" s="21" t="s">
        <v>4063</v>
      </c>
      <c r="K661" s="5814" t="s">
        <v>4064</v>
      </c>
    </row>
    <row r="662" spans="1:11">
      <c r="A662" s="21" t="s">
        <v>2517</v>
      </c>
      <c r="B662" s="21" t="s">
        <v>4065</v>
      </c>
      <c r="C662" s="21" t="s">
        <v>8</v>
      </c>
      <c r="D662" s="21" t="s">
        <v>237</v>
      </c>
      <c r="E662" s="21" t="s">
        <v>9</v>
      </c>
      <c r="F662" s="5812">
        <v>3</v>
      </c>
      <c r="G662" s="5813">
        <v>0.20833333333333334</v>
      </c>
      <c r="H662" s="21" t="s">
        <v>10</v>
      </c>
      <c r="I662" s="21" t="s">
        <v>47</v>
      </c>
      <c r="J662" s="21" t="s">
        <v>4066</v>
      </c>
      <c r="K662" s="5814" t="s">
        <v>4067</v>
      </c>
    </row>
    <row r="663" spans="1:11">
      <c r="A663" s="21" t="s">
        <v>4068</v>
      </c>
      <c r="B663" s="21" t="s">
        <v>4069</v>
      </c>
      <c r="C663" s="21" t="s">
        <v>8</v>
      </c>
      <c r="D663" s="21" t="s">
        <v>237</v>
      </c>
      <c r="E663" s="21" t="s">
        <v>9</v>
      </c>
      <c r="F663" s="5812">
        <v>3</v>
      </c>
      <c r="G663" s="5813">
        <v>0.20833333333333334</v>
      </c>
      <c r="H663" s="21" t="s">
        <v>10</v>
      </c>
      <c r="I663" s="21" t="s">
        <v>39</v>
      </c>
      <c r="J663" s="21" t="s">
        <v>4070</v>
      </c>
      <c r="K663" s="5814" t="s">
        <v>4071</v>
      </c>
    </row>
    <row r="664" spans="1:11">
      <c r="A664" s="21" t="s">
        <v>2530</v>
      </c>
      <c r="B664" s="21" t="s">
        <v>4072</v>
      </c>
      <c r="C664" s="21" t="s">
        <v>22</v>
      </c>
      <c r="D664" s="21" t="s">
        <v>237</v>
      </c>
      <c r="E664" s="21" t="s">
        <v>9</v>
      </c>
      <c r="F664" s="5812">
        <v>3</v>
      </c>
      <c r="G664" s="5813">
        <v>0.20833333333333334</v>
      </c>
      <c r="H664" s="21" t="s">
        <v>10</v>
      </c>
      <c r="I664" s="21" t="s">
        <v>226</v>
      </c>
      <c r="J664" s="21" t="s">
        <v>1497</v>
      </c>
      <c r="K664" s="5814" t="s">
        <v>4073</v>
      </c>
    </row>
    <row r="665" spans="1:11">
      <c r="A665" s="21" t="s">
        <v>2530</v>
      </c>
      <c r="B665" s="21" t="s">
        <v>4074</v>
      </c>
      <c r="C665" s="21" t="s">
        <v>8</v>
      </c>
      <c r="D665" s="21" t="s">
        <v>237</v>
      </c>
      <c r="E665" s="21" t="s">
        <v>9</v>
      </c>
      <c r="F665" s="5812">
        <v>3</v>
      </c>
      <c r="G665" s="5813">
        <v>0.20833333333333334</v>
      </c>
      <c r="H665" s="21" t="s">
        <v>10</v>
      </c>
      <c r="I665" s="21" t="s">
        <v>23</v>
      </c>
      <c r="J665" s="21" t="s">
        <v>4075</v>
      </c>
      <c r="K665" s="5814" t="s">
        <v>4076</v>
      </c>
    </row>
    <row r="666" spans="1:11">
      <c r="A666" s="21" t="s">
        <v>2135</v>
      </c>
      <c r="B666" s="21" t="s">
        <v>4077</v>
      </c>
      <c r="C666" s="21" t="s">
        <v>8</v>
      </c>
      <c r="D666" s="21" t="s">
        <v>237</v>
      </c>
      <c r="E666" s="21" t="s">
        <v>9</v>
      </c>
      <c r="F666" s="5812">
        <v>3</v>
      </c>
      <c r="G666" s="5813">
        <v>0.20833333333333334</v>
      </c>
      <c r="H666" s="21" t="s">
        <v>10</v>
      </c>
      <c r="I666" s="21" t="s">
        <v>39</v>
      </c>
      <c r="J666" s="21" t="s">
        <v>4078</v>
      </c>
      <c r="K666" s="5814" t="s">
        <v>4079</v>
      </c>
    </row>
    <row r="667" spans="1:11">
      <c r="A667" s="21" t="s">
        <v>2534</v>
      </c>
      <c r="B667" s="21" t="s">
        <v>4080</v>
      </c>
      <c r="C667" s="21" t="s">
        <v>22</v>
      </c>
      <c r="D667" s="21" t="s">
        <v>237</v>
      </c>
      <c r="E667" s="21" t="s">
        <v>9</v>
      </c>
      <c r="F667" s="5812">
        <v>3</v>
      </c>
      <c r="G667" s="5813">
        <v>0.20833333333333334</v>
      </c>
      <c r="H667" s="21" t="s">
        <v>10</v>
      </c>
      <c r="I667" s="21" t="s">
        <v>39</v>
      </c>
      <c r="J667" s="21" t="s">
        <v>4081</v>
      </c>
      <c r="K667" s="5814" t="s">
        <v>4082</v>
      </c>
    </row>
    <row r="668" spans="1:11">
      <c r="A668" s="21" t="s">
        <v>2534</v>
      </c>
      <c r="B668" s="21" t="s">
        <v>4083</v>
      </c>
      <c r="C668" s="21" t="s">
        <v>8</v>
      </c>
      <c r="D668" s="21" t="s">
        <v>237</v>
      </c>
      <c r="E668" s="21" t="s">
        <v>9</v>
      </c>
      <c r="F668" s="5812">
        <v>3</v>
      </c>
      <c r="G668" s="5813">
        <v>0.20833333333333334</v>
      </c>
      <c r="H668" s="21" t="s">
        <v>10</v>
      </c>
      <c r="I668" s="21" t="s">
        <v>96</v>
      </c>
      <c r="J668" s="21" t="s">
        <v>4084</v>
      </c>
      <c r="K668" s="5814" t="s">
        <v>4085</v>
      </c>
    </row>
    <row r="669" spans="1:11">
      <c r="A669" s="21" t="s">
        <v>2538</v>
      </c>
      <c r="B669" s="21" t="s">
        <v>4086</v>
      </c>
      <c r="C669" s="21" t="s">
        <v>8</v>
      </c>
      <c r="D669" s="21" t="s">
        <v>237</v>
      </c>
      <c r="E669" s="21" t="s">
        <v>9</v>
      </c>
      <c r="F669" s="5812">
        <v>3</v>
      </c>
      <c r="G669" s="5813">
        <v>0.20833333333333334</v>
      </c>
      <c r="H669" s="21" t="s">
        <v>10</v>
      </c>
      <c r="I669" s="21" t="s">
        <v>47</v>
      </c>
      <c r="J669" s="21" t="s">
        <v>4087</v>
      </c>
      <c r="K669" s="5814" t="s">
        <v>4088</v>
      </c>
    </row>
    <row r="670" spans="1:11">
      <c r="A670" s="21" t="s">
        <v>3387</v>
      </c>
      <c r="B670" s="21" t="s">
        <v>4089</v>
      </c>
      <c r="C670" s="21" t="s">
        <v>8</v>
      </c>
      <c r="D670" s="21" t="s">
        <v>237</v>
      </c>
      <c r="E670" s="21" t="s">
        <v>9</v>
      </c>
      <c r="F670" s="5812">
        <v>3</v>
      </c>
      <c r="G670" s="5813">
        <v>0.20833333333333334</v>
      </c>
      <c r="H670" s="21" t="s">
        <v>10</v>
      </c>
      <c r="I670" s="21" t="s">
        <v>2544</v>
      </c>
      <c r="J670" s="21" t="s">
        <v>4090</v>
      </c>
      <c r="K670" s="5814" t="s">
        <v>4091</v>
      </c>
    </row>
    <row r="671" spans="1:11">
      <c r="A671" s="21" t="s">
        <v>3387</v>
      </c>
      <c r="B671" s="21" t="s">
        <v>4092</v>
      </c>
      <c r="C671" s="21" t="s">
        <v>8</v>
      </c>
      <c r="D671" s="21" t="s">
        <v>237</v>
      </c>
      <c r="E671" s="21" t="s">
        <v>9</v>
      </c>
      <c r="F671" s="5812">
        <v>3</v>
      </c>
      <c r="G671" s="5813">
        <v>0.20833333333333334</v>
      </c>
      <c r="H671" s="21" t="s">
        <v>10</v>
      </c>
      <c r="I671" s="21" t="s">
        <v>47</v>
      </c>
      <c r="J671" s="21" t="s">
        <v>4093</v>
      </c>
      <c r="K671" s="5814" t="s">
        <v>4094</v>
      </c>
    </row>
    <row r="672" spans="1:11">
      <c r="A672" s="21" t="s">
        <v>3616</v>
      </c>
      <c r="B672" s="21" t="s">
        <v>4095</v>
      </c>
      <c r="C672" s="21" t="s">
        <v>22</v>
      </c>
      <c r="D672" s="21" t="s">
        <v>237</v>
      </c>
      <c r="E672" s="21" t="s">
        <v>9</v>
      </c>
      <c r="F672" s="5812">
        <v>3</v>
      </c>
      <c r="G672" s="5813">
        <v>0.20833333333333334</v>
      </c>
      <c r="H672" s="21" t="s">
        <v>10</v>
      </c>
      <c r="I672" s="21" t="s">
        <v>55</v>
      </c>
      <c r="J672" s="21" t="s">
        <v>4096</v>
      </c>
      <c r="K672" s="5814" t="s">
        <v>4097</v>
      </c>
    </row>
    <row r="673" spans="1:11">
      <c r="A673" s="21" t="s">
        <v>3597</v>
      </c>
      <c r="B673" s="21" t="s">
        <v>4098</v>
      </c>
      <c r="C673" s="21" t="s">
        <v>8</v>
      </c>
      <c r="D673" s="21" t="s">
        <v>237</v>
      </c>
      <c r="E673" s="21" t="s">
        <v>9</v>
      </c>
      <c r="F673" s="5812">
        <v>3</v>
      </c>
      <c r="G673" s="5813">
        <v>0.20833333333333334</v>
      </c>
      <c r="H673" s="21" t="s">
        <v>10</v>
      </c>
      <c r="I673" s="21" t="s">
        <v>96</v>
      </c>
      <c r="J673" s="21" t="s">
        <v>4099</v>
      </c>
      <c r="K673" s="5814" t="s">
        <v>4100</v>
      </c>
    </row>
    <row r="674" spans="1:11">
      <c r="A674" s="21" t="s">
        <v>2966</v>
      </c>
      <c r="B674" s="21" t="s">
        <v>4101</v>
      </c>
      <c r="C674" s="21" t="s">
        <v>8</v>
      </c>
      <c r="D674" s="21" t="s">
        <v>237</v>
      </c>
      <c r="E674" s="21" t="s">
        <v>9</v>
      </c>
      <c r="F674" s="5812">
        <v>3</v>
      </c>
      <c r="G674" s="5813">
        <v>0.20833333333333334</v>
      </c>
      <c r="H674" s="21" t="s">
        <v>10</v>
      </c>
      <c r="I674" s="21" t="s">
        <v>11</v>
      </c>
      <c r="J674" s="21" t="s">
        <v>4102</v>
      </c>
      <c r="K674" s="5814" t="s">
        <v>4103</v>
      </c>
    </row>
    <row r="675" spans="1:11">
      <c r="A675" s="21" t="s">
        <v>2966</v>
      </c>
      <c r="B675" s="21" t="s">
        <v>4104</v>
      </c>
      <c r="C675" s="21" t="s">
        <v>8</v>
      </c>
      <c r="D675" s="21" t="s">
        <v>237</v>
      </c>
      <c r="E675" s="21" t="s">
        <v>9</v>
      </c>
      <c r="F675" s="5812">
        <v>3</v>
      </c>
      <c r="G675" s="5813">
        <v>0.20833333333333334</v>
      </c>
      <c r="H675" s="21" t="s">
        <v>10</v>
      </c>
      <c r="I675" s="21" t="s">
        <v>39</v>
      </c>
      <c r="J675" s="21" t="s">
        <v>4105</v>
      </c>
      <c r="K675" s="5814" t="s">
        <v>4106</v>
      </c>
    </row>
    <row r="676" spans="1:11">
      <c r="A676" s="21" t="s">
        <v>3710</v>
      </c>
      <c r="B676" s="21" t="s">
        <v>4107</v>
      </c>
      <c r="C676" s="21" t="s">
        <v>8</v>
      </c>
      <c r="D676" s="21" t="s">
        <v>237</v>
      </c>
      <c r="E676" s="21" t="s">
        <v>9</v>
      </c>
      <c r="F676" s="5812">
        <v>3</v>
      </c>
      <c r="G676" s="5813">
        <v>0.20833333333333334</v>
      </c>
      <c r="H676" s="21" t="s">
        <v>10</v>
      </c>
      <c r="I676" s="21" t="s">
        <v>226</v>
      </c>
      <c r="J676" s="21" t="s">
        <v>4108</v>
      </c>
      <c r="K676" s="5814" t="s">
        <v>4109</v>
      </c>
    </row>
    <row r="677" spans="1:11">
      <c r="A677" s="21" t="s">
        <v>3710</v>
      </c>
      <c r="B677" s="21" t="s">
        <v>4110</v>
      </c>
      <c r="C677" s="21" t="s">
        <v>8</v>
      </c>
      <c r="D677" s="21" t="s">
        <v>237</v>
      </c>
      <c r="E677" s="21" t="s">
        <v>9</v>
      </c>
      <c r="F677" s="5812">
        <v>3</v>
      </c>
      <c r="G677" s="5813">
        <v>0.20833333333333334</v>
      </c>
      <c r="H677" s="21" t="s">
        <v>10</v>
      </c>
      <c r="I677" s="21" t="s">
        <v>11</v>
      </c>
      <c r="J677" s="21" t="s">
        <v>4111</v>
      </c>
      <c r="K677" s="5814" t="s">
        <v>4112</v>
      </c>
    </row>
    <row r="678" spans="1:11">
      <c r="A678" s="21" t="s">
        <v>3710</v>
      </c>
      <c r="B678" s="21" t="s">
        <v>4113</v>
      </c>
      <c r="C678" s="21" t="s">
        <v>22</v>
      </c>
      <c r="D678" s="21" t="s">
        <v>237</v>
      </c>
      <c r="E678" s="21" t="s">
        <v>9</v>
      </c>
      <c r="F678" s="5812">
        <v>3</v>
      </c>
      <c r="G678" s="5813">
        <v>0.20833333333333334</v>
      </c>
      <c r="H678" s="21" t="s">
        <v>10</v>
      </c>
      <c r="I678" s="21" t="s">
        <v>55</v>
      </c>
      <c r="J678" s="21" t="s">
        <v>4114</v>
      </c>
      <c r="K678" s="5814" t="s">
        <v>4115</v>
      </c>
    </row>
    <row r="679" spans="1:11">
      <c r="A679" s="21" t="s">
        <v>4116</v>
      </c>
      <c r="B679" s="21" t="s">
        <v>4117</v>
      </c>
      <c r="C679" s="21" t="s">
        <v>8</v>
      </c>
      <c r="D679" s="21" t="s">
        <v>237</v>
      </c>
      <c r="E679" s="21" t="s">
        <v>9</v>
      </c>
      <c r="F679" s="5812">
        <v>3</v>
      </c>
      <c r="G679" s="5813">
        <v>0.20833333333333334</v>
      </c>
      <c r="H679" s="21" t="s">
        <v>10</v>
      </c>
      <c r="I679" s="21" t="s">
        <v>11</v>
      </c>
      <c r="J679" s="21" t="s">
        <v>4118</v>
      </c>
      <c r="K679" s="5814" t="s">
        <v>4119</v>
      </c>
    </row>
    <row r="680" spans="1:11">
      <c r="A680" s="21" t="s">
        <v>2143</v>
      </c>
      <c r="B680" s="21" t="s">
        <v>4120</v>
      </c>
      <c r="C680" s="21" t="s">
        <v>22</v>
      </c>
      <c r="D680" s="21" t="s">
        <v>237</v>
      </c>
      <c r="E680" s="21" t="s">
        <v>9</v>
      </c>
      <c r="F680" s="5812">
        <v>3</v>
      </c>
      <c r="G680" s="5813">
        <v>0.20833333333333334</v>
      </c>
      <c r="H680" s="21" t="s">
        <v>10</v>
      </c>
      <c r="I680" s="21" t="s">
        <v>209</v>
      </c>
      <c r="J680" s="21" t="s">
        <v>4121</v>
      </c>
      <c r="K680" s="5814" t="s">
        <v>4122</v>
      </c>
    </row>
    <row r="681" spans="1:11">
      <c r="A681" s="21" t="s">
        <v>2560</v>
      </c>
      <c r="B681" s="21" t="s">
        <v>4123</v>
      </c>
      <c r="C681" s="21" t="s">
        <v>8</v>
      </c>
      <c r="D681" s="21" t="s">
        <v>237</v>
      </c>
      <c r="E681" s="21" t="s">
        <v>9</v>
      </c>
      <c r="F681" s="5812">
        <v>3</v>
      </c>
      <c r="G681" s="5813">
        <v>0.20833333333333334</v>
      </c>
      <c r="H681" s="21" t="s">
        <v>10</v>
      </c>
      <c r="I681" s="21" t="s">
        <v>3451</v>
      </c>
      <c r="J681" s="21" t="s">
        <v>4124</v>
      </c>
      <c r="K681" s="5814" t="s">
        <v>4125</v>
      </c>
    </row>
    <row r="682" spans="1:11">
      <c r="A682" s="21" t="s">
        <v>3311</v>
      </c>
      <c r="B682" s="21" t="s">
        <v>4126</v>
      </c>
      <c r="C682" s="21" t="s">
        <v>22</v>
      </c>
      <c r="D682" s="21" t="s">
        <v>237</v>
      </c>
      <c r="E682" s="21" t="s">
        <v>9</v>
      </c>
      <c r="F682" s="5812">
        <v>3</v>
      </c>
      <c r="G682" s="5813">
        <v>0.20833333333333334</v>
      </c>
      <c r="H682" s="21" t="s">
        <v>10</v>
      </c>
      <c r="I682" s="21" t="s">
        <v>23</v>
      </c>
      <c r="J682" s="21" t="s">
        <v>4127</v>
      </c>
      <c r="K682" s="5814" t="s">
        <v>4128</v>
      </c>
    </row>
    <row r="683" spans="1:11">
      <c r="A683" s="21" t="s">
        <v>2147</v>
      </c>
      <c r="B683" s="21" t="s">
        <v>4129</v>
      </c>
      <c r="C683" s="21" t="s">
        <v>8</v>
      </c>
      <c r="D683" s="21" t="s">
        <v>237</v>
      </c>
      <c r="E683" s="21" t="s">
        <v>9</v>
      </c>
      <c r="F683" s="5812">
        <v>3</v>
      </c>
      <c r="G683" s="5813">
        <v>0.20833333333333334</v>
      </c>
      <c r="H683" s="21" t="s">
        <v>10</v>
      </c>
      <c r="I683" s="21" t="s">
        <v>2660</v>
      </c>
      <c r="J683" s="21" t="s">
        <v>4130</v>
      </c>
      <c r="K683" s="5814" t="s">
        <v>4131</v>
      </c>
    </row>
    <row r="684" spans="1:11">
      <c r="A684" s="21" t="s">
        <v>4132</v>
      </c>
      <c r="B684" s="21" t="s">
        <v>4133</v>
      </c>
      <c r="C684" s="21" t="s">
        <v>8</v>
      </c>
      <c r="D684" s="21" t="s">
        <v>237</v>
      </c>
      <c r="E684" s="21" t="s">
        <v>9</v>
      </c>
      <c r="F684" s="5812">
        <v>3</v>
      </c>
      <c r="G684" s="5813">
        <v>0.20833333333333334</v>
      </c>
      <c r="H684" s="21" t="s">
        <v>10</v>
      </c>
      <c r="I684" s="21" t="s">
        <v>233</v>
      </c>
      <c r="J684" s="21" t="s">
        <v>4134</v>
      </c>
      <c r="K684" s="5814" t="s">
        <v>4135</v>
      </c>
    </row>
    <row r="685" spans="1:11">
      <c r="A685" s="21" t="s">
        <v>2160</v>
      </c>
      <c r="B685" s="21" t="s">
        <v>4136</v>
      </c>
      <c r="C685" s="21" t="s">
        <v>8</v>
      </c>
      <c r="D685" s="21" t="s">
        <v>237</v>
      </c>
      <c r="E685" s="21" t="s">
        <v>9</v>
      </c>
      <c r="F685" s="5812">
        <v>3</v>
      </c>
      <c r="G685" s="5813">
        <v>0.20833333333333334</v>
      </c>
      <c r="H685" s="21" t="s">
        <v>10</v>
      </c>
      <c r="I685" s="21" t="s">
        <v>47</v>
      </c>
      <c r="J685" s="21" t="s">
        <v>4137</v>
      </c>
      <c r="K685" s="5814" t="s">
        <v>4138</v>
      </c>
    </row>
    <row r="686" spans="1:11">
      <c r="A686" s="21" t="s">
        <v>4139</v>
      </c>
      <c r="B686" s="21" t="s">
        <v>4140</v>
      </c>
      <c r="C686" s="21" t="s">
        <v>22</v>
      </c>
      <c r="D686" s="21" t="s">
        <v>237</v>
      </c>
      <c r="E686" s="21" t="s">
        <v>9</v>
      </c>
      <c r="F686" s="5812">
        <v>3</v>
      </c>
      <c r="G686" s="5813">
        <v>0.20833333333333334</v>
      </c>
      <c r="H686" s="21" t="s">
        <v>10</v>
      </c>
      <c r="I686" s="21" t="s">
        <v>2713</v>
      </c>
      <c r="J686" s="21" t="s">
        <v>4141</v>
      </c>
      <c r="K686" s="5814" t="s">
        <v>4142</v>
      </c>
    </row>
    <row r="687" spans="1:11">
      <c r="A687" s="21" t="s">
        <v>2992</v>
      </c>
      <c r="B687" s="21" t="s">
        <v>3624</v>
      </c>
      <c r="C687" s="21" t="s">
        <v>8</v>
      </c>
      <c r="D687" s="21" t="s">
        <v>237</v>
      </c>
      <c r="E687" s="21" t="s">
        <v>9</v>
      </c>
      <c r="F687" s="5812">
        <v>3</v>
      </c>
      <c r="G687" s="5813">
        <v>0.20833333333333334</v>
      </c>
      <c r="H687" s="21" t="s">
        <v>10</v>
      </c>
      <c r="I687" s="21" t="s">
        <v>187</v>
      </c>
      <c r="J687" s="21" t="s">
        <v>4143</v>
      </c>
      <c r="K687" s="5814" t="s">
        <v>4144</v>
      </c>
    </row>
    <row r="688" spans="1:11">
      <c r="A688" s="21" t="s">
        <v>2992</v>
      </c>
      <c r="B688" s="21" t="s">
        <v>4145</v>
      </c>
      <c r="C688" s="21" t="s">
        <v>22</v>
      </c>
      <c r="D688" s="21" t="s">
        <v>237</v>
      </c>
      <c r="E688" s="21" t="s">
        <v>9</v>
      </c>
      <c r="F688" s="5812">
        <v>3</v>
      </c>
      <c r="G688" s="5813">
        <v>0.20833333333333334</v>
      </c>
      <c r="H688" s="21" t="s">
        <v>10</v>
      </c>
      <c r="I688" s="21" t="s">
        <v>4146</v>
      </c>
      <c r="J688" s="21" t="s">
        <v>4147</v>
      </c>
      <c r="K688" s="5814" t="s">
        <v>4148</v>
      </c>
    </row>
    <row r="689" spans="1:11">
      <c r="A689" s="21" t="s">
        <v>3208</v>
      </c>
      <c r="B689" s="21" t="s">
        <v>4149</v>
      </c>
      <c r="C689" s="21" t="s">
        <v>8</v>
      </c>
      <c r="D689" s="21" t="s">
        <v>237</v>
      </c>
      <c r="E689" s="21" t="s">
        <v>9</v>
      </c>
      <c r="F689" s="5812">
        <v>3</v>
      </c>
      <c r="G689" s="5813">
        <v>0.20833333333333334</v>
      </c>
      <c r="H689" s="21" t="s">
        <v>10</v>
      </c>
      <c r="I689" s="21" t="s">
        <v>187</v>
      </c>
      <c r="J689" s="21" t="s">
        <v>4150</v>
      </c>
      <c r="K689" s="5814" t="s">
        <v>4151</v>
      </c>
    </row>
    <row r="690" spans="1:11">
      <c r="A690" s="21" t="s">
        <v>2165</v>
      </c>
      <c r="B690" s="21" t="s">
        <v>4152</v>
      </c>
      <c r="C690" s="21" t="s">
        <v>8</v>
      </c>
      <c r="D690" s="21" t="s">
        <v>237</v>
      </c>
      <c r="E690" s="21" t="s">
        <v>9</v>
      </c>
      <c r="F690" s="5812">
        <v>3</v>
      </c>
      <c r="G690" s="5813">
        <v>0.20833333333333334</v>
      </c>
      <c r="H690" s="21" t="s">
        <v>10</v>
      </c>
      <c r="I690" s="21" t="s">
        <v>2872</v>
      </c>
      <c r="J690" s="21" t="s">
        <v>4153</v>
      </c>
      <c r="K690" s="5814" t="s">
        <v>4154</v>
      </c>
    </row>
    <row r="691" spans="1:11">
      <c r="A691" s="21" t="s">
        <v>2174</v>
      </c>
      <c r="B691" s="21" t="s">
        <v>4155</v>
      </c>
      <c r="C691" s="21" t="s">
        <v>8</v>
      </c>
      <c r="D691" s="21" t="s">
        <v>237</v>
      </c>
      <c r="E691" s="21" t="s">
        <v>9</v>
      </c>
      <c r="F691" s="5812">
        <v>3</v>
      </c>
      <c r="G691" s="5813">
        <v>0.20833333333333334</v>
      </c>
      <c r="H691" s="21" t="s">
        <v>10</v>
      </c>
      <c r="I691" s="21" t="s">
        <v>233</v>
      </c>
      <c r="J691" s="21" t="s">
        <v>4156</v>
      </c>
      <c r="K691" s="5814" t="s">
        <v>4157</v>
      </c>
    </row>
    <row r="692" spans="1:11">
      <c r="A692" s="21" t="s">
        <v>2179</v>
      </c>
      <c r="B692" s="21" t="s">
        <v>4158</v>
      </c>
      <c r="C692" s="21" t="s">
        <v>8</v>
      </c>
      <c r="D692" s="21" t="s">
        <v>237</v>
      </c>
      <c r="E692" s="21" t="s">
        <v>9</v>
      </c>
      <c r="F692" s="5812">
        <v>3</v>
      </c>
      <c r="G692" s="5813">
        <v>0.20833333333333334</v>
      </c>
      <c r="H692" s="21" t="s">
        <v>10</v>
      </c>
      <c r="I692" s="21" t="s">
        <v>226</v>
      </c>
      <c r="J692" s="21" t="s">
        <v>4159</v>
      </c>
      <c r="K692" s="5814" t="s">
        <v>4160</v>
      </c>
    </row>
    <row r="693" spans="1:11">
      <c r="A693" s="21" t="s">
        <v>2595</v>
      </c>
      <c r="B693" s="21" t="s">
        <v>4161</v>
      </c>
      <c r="C693" s="21" t="s">
        <v>22</v>
      </c>
      <c r="D693" s="21" t="s">
        <v>237</v>
      </c>
      <c r="E693" s="21" t="s">
        <v>9</v>
      </c>
      <c r="F693" s="5812">
        <v>3</v>
      </c>
      <c r="G693" s="5813">
        <v>0.20833333333333334</v>
      </c>
      <c r="H693" s="21" t="s">
        <v>10</v>
      </c>
      <c r="I693" s="21" t="s">
        <v>2692</v>
      </c>
      <c r="J693" s="21" t="s">
        <v>4162</v>
      </c>
      <c r="K693" s="5814" t="s">
        <v>4163</v>
      </c>
    </row>
    <row r="694" spans="1:11">
      <c r="A694" s="21" t="s">
        <v>2985</v>
      </c>
      <c r="B694" s="21" t="s">
        <v>4164</v>
      </c>
      <c r="C694" s="21" t="s">
        <v>22</v>
      </c>
      <c r="D694" s="21" t="s">
        <v>237</v>
      </c>
      <c r="E694" s="21" t="s">
        <v>9</v>
      </c>
      <c r="F694" s="5812">
        <v>3</v>
      </c>
      <c r="G694" s="5813">
        <v>0.20833333333333334</v>
      </c>
      <c r="H694" s="21" t="s">
        <v>10</v>
      </c>
      <c r="I694" s="21" t="s">
        <v>47</v>
      </c>
      <c r="J694" s="21" t="s">
        <v>4165</v>
      </c>
      <c r="K694" s="5814" t="s">
        <v>4166</v>
      </c>
    </row>
    <row r="695" spans="1:11">
      <c r="A695" s="21" t="s">
        <v>2605</v>
      </c>
      <c r="B695" s="21" t="s">
        <v>4167</v>
      </c>
      <c r="C695" s="21" t="s">
        <v>8</v>
      </c>
      <c r="D695" s="21" t="s">
        <v>237</v>
      </c>
      <c r="E695" s="21" t="s">
        <v>9</v>
      </c>
      <c r="F695" s="5812">
        <v>3</v>
      </c>
      <c r="G695" s="5813">
        <v>0.20833333333333334</v>
      </c>
      <c r="H695" s="21" t="s">
        <v>10</v>
      </c>
      <c r="I695" s="21" t="s">
        <v>2959</v>
      </c>
      <c r="J695" s="21" t="s">
        <v>4168</v>
      </c>
      <c r="K695" s="5814" t="s">
        <v>4169</v>
      </c>
    </row>
    <row r="696" spans="1:11">
      <c r="A696" s="21" t="s">
        <v>4170</v>
      </c>
      <c r="B696" s="21" t="s">
        <v>4171</v>
      </c>
      <c r="C696" s="21" t="s">
        <v>8</v>
      </c>
      <c r="D696" s="21" t="s">
        <v>237</v>
      </c>
      <c r="E696" s="21" t="s">
        <v>9</v>
      </c>
      <c r="F696" s="5812">
        <v>3</v>
      </c>
      <c r="G696" s="5813">
        <v>0.20833333333333334</v>
      </c>
      <c r="H696" s="21" t="s">
        <v>10</v>
      </c>
      <c r="I696" s="21" t="s">
        <v>3725</v>
      </c>
      <c r="J696" s="21" t="s">
        <v>4172</v>
      </c>
      <c r="K696" s="5814" t="s">
        <v>4173</v>
      </c>
    </row>
    <row r="697" spans="1:11">
      <c r="A697" s="21" t="s">
        <v>3160</v>
      </c>
      <c r="B697" s="21" t="s">
        <v>4174</v>
      </c>
      <c r="C697" s="21" t="s">
        <v>22</v>
      </c>
      <c r="D697" s="21" t="s">
        <v>237</v>
      </c>
      <c r="E697" s="21" t="s">
        <v>9</v>
      </c>
      <c r="F697" s="5812">
        <v>3</v>
      </c>
      <c r="G697" s="5813">
        <v>0.20833333333333334</v>
      </c>
      <c r="H697" s="21" t="s">
        <v>10</v>
      </c>
      <c r="I697" s="21" t="s">
        <v>47</v>
      </c>
      <c r="J697" s="21" t="s">
        <v>4175</v>
      </c>
      <c r="K697" s="5814" t="s">
        <v>4176</v>
      </c>
    </row>
    <row r="698" spans="1:11">
      <c r="A698" s="21" t="s">
        <v>4177</v>
      </c>
      <c r="B698" s="21" t="s">
        <v>4178</v>
      </c>
      <c r="C698" s="21" t="s">
        <v>8</v>
      </c>
      <c r="D698" s="21" t="s">
        <v>237</v>
      </c>
      <c r="E698" s="21" t="s">
        <v>9</v>
      </c>
      <c r="F698" s="5812">
        <v>3</v>
      </c>
      <c r="G698" s="5813">
        <v>0.20833333333333334</v>
      </c>
      <c r="H698" s="21" t="s">
        <v>10</v>
      </c>
      <c r="I698" s="21" t="s">
        <v>4179</v>
      </c>
      <c r="J698" s="21" t="s">
        <v>4180</v>
      </c>
      <c r="K698" s="5814" t="s">
        <v>4181</v>
      </c>
    </row>
    <row r="699" spans="1:11">
      <c r="A699" s="21" t="s">
        <v>2630</v>
      </c>
      <c r="B699" s="21" t="s">
        <v>4182</v>
      </c>
      <c r="C699" s="21" t="s">
        <v>8</v>
      </c>
      <c r="D699" s="21" t="s">
        <v>237</v>
      </c>
      <c r="E699" s="21" t="s">
        <v>9</v>
      </c>
      <c r="F699" s="5812">
        <v>3</v>
      </c>
      <c r="G699" s="5813">
        <v>0.20833333333333334</v>
      </c>
      <c r="H699" s="21" t="s">
        <v>10</v>
      </c>
      <c r="I699" s="21" t="s">
        <v>226</v>
      </c>
      <c r="J699" s="21" t="s">
        <v>4183</v>
      </c>
      <c r="K699" s="5814" t="s">
        <v>4184</v>
      </c>
    </row>
    <row r="700" spans="1:11">
      <c r="A700" s="21" t="s">
        <v>2630</v>
      </c>
      <c r="B700" s="21" t="s">
        <v>4185</v>
      </c>
      <c r="C700" s="21" t="s">
        <v>22</v>
      </c>
      <c r="D700" s="21" t="s">
        <v>237</v>
      </c>
      <c r="E700" s="21" t="s">
        <v>9</v>
      </c>
      <c r="F700" s="5812">
        <v>3</v>
      </c>
      <c r="G700" s="5813">
        <v>0.20833333333333334</v>
      </c>
      <c r="H700" s="21" t="s">
        <v>10</v>
      </c>
      <c r="I700" s="21" t="s">
        <v>2218</v>
      </c>
      <c r="J700" s="21" t="s">
        <v>4186</v>
      </c>
      <c r="K700" s="5814" t="s">
        <v>4187</v>
      </c>
    </row>
    <row r="701" spans="1:11">
      <c r="A701" s="21" t="s">
        <v>2638</v>
      </c>
      <c r="B701" s="21" t="s">
        <v>4188</v>
      </c>
      <c r="C701" s="21" t="s">
        <v>8</v>
      </c>
      <c r="D701" s="21" t="s">
        <v>237</v>
      </c>
      <c r="E701" s="21" t="s">
        <v>9</v>
      </c>
      <c r="F701" s="5812">
        <v>3</v>
      </c>
      <c r="G701" s="5813">
        <v>0.20833333333333334</v>
      </c>
      <c r="H701" s="21" t="s">
        <v>10</v>
      </c>
      <c r="I701" s="21" t="s">
        <v>55</v>
      </c>
      <c r="J701" s="21" t="s">
        <v>4189</v>
      </c>
      <c r="K701" s="5814" t="s">
        <v>4190</v>
      </c>
    </row>
    <row r="702" spans="1:11">
      <c r="A702" s="21" t="s">
        <v>2638</v>
      </c>
      <c r="B702" s="21" t="s">
        <v>4191</v>
      </c>
      <c r="C702" s="21" t="s">
        <v>8</v>
      </c>
      <c r="D702" s="21" t="s">
        <v>237</v>
      </c>
      <c r="E702" s="21" t="s">
        <v>9</v>
      </c>
      <c r="F702" s="5812">
        <v>3</v>
      </c>
      <c r="G702" s="5813">
        <v>0.20833333333333334</v>
      </c>
      <c r="H702" s="21" t="s">
        <v>10</v>
      </c>
      <c r="I702" s="21" t="s">
        <v>2640</v>
      </c>
      <c r="J702" s="21" t="s">
        <v>4192</v>
      </c>
      <c r="K702" s="5814" t="s">
        <v>4193</v>
      </c>
    </row>
    <row r="703" spans="1:11">
      <c r="A703" s="21" t="s">
        <v>3395</v>
      </c>
      <c r="B703" s="21" t="s">
        <v>4194</v>
      </c>
      <c r="C703" s="21" t="s">
        <v>8</v>
      </c>
      <c r="D703" s="21" t="s">
        <v>237</v>
      </c>
      <c r="E703" s="21" t="s">
        <v>9</v>
      </c>
      <c r="F703" s="5812">
        <v>3</v>
      </c>
      <c r="G703" s="5813">
        <v>0.20833333333333334</v>
      </c>
      <c r="H703" s="21" t="s">
        <v>10</v>
      </c>
      <c r="I703" s="21" t="s">
        <v>2713</v>
      </c>
      <c r="J703" s="21" t="s">
        <v>4195</v>
      </c>
      <c r="K703" s="5814" t="s">
        <v>4196</v>
      </c>
    </row>
    <row r="704" spans="1:11">
      <c r="A704" s="21" t="s">
        <v>3323</v>
      </c>
      <c r="B704" s="21" t="s">
        <v>4197</v>
      </c>
      <c r="C704" s="21" t="s">
        <v>8</v>
      </c>
      <c r="D704" s="21" t="s">
        <v>237</v>
      </c>
      <c r="E704" s="21" t="s">
        <v>9</v>
      </c>
      <c r="F704" s="5812">
        <v>3</v>
      </c>
      <c r="G704" s="5813">
        <v>0.20833333333333334</v>
      </c>
      <c r="H704" s="21" t="s">
        <v>10</v>
      </c>
      <c r="I704" s="21" t="s">
        <v>55</v>
      </c>
      <c r="J704" s="21" t="s">
        <v>4198</v>
      </c>
      <c r="K704" s="5814" t="s">
        <v>4199</v>
      </c>
    </row>
    <row r="705" spans="1:11">
      <c r="A705" s="21" t="s">
        <v>2643</v>
      </c>
      <c r="B705" s="21" t="s">
        <v>4200</v>
      </c>
      <c r="C705" s="21" t="s">
        <v>22</v>
      </c>
      <c r="D705" s="21" t="s">
        <v>237</v>
      </c>
      <c r="E705" s="21" t="s">
        <v>9</v>
      </c>
      <c r="F705" s="5812">
        <v>3</v>
      </c>
      <c r="G705" s="5813">
        <v>0.20833333333333334</v>
      </c>
      <c r="H705" s="21" t="s">
        <v>10</v>
      </c>
      <c r="I705" s="21" t="s">
        <v>39</v>
      </c>
      <c r="J705" s="21" t="s">
        <v>4075</v>
      </c>
      <c r="K705" s="5814" t="s">
        <v>4201</v>
      </c>
    </row>
    <row r="706" spans="1:11">
      <c r="A706" s="21" t="s">
        <v>2651</v>
      </c>
      <c r="B706" s="21" t="s">
        <v>4202</v>
      </c>
      <c r="C706" s="21" t="s">
        <v>8</v>
      </c>
      <c r="D706" s="21" t="s">
        <v>237</v>
      </c>
      <c r="E706" s="21" t="s">
        <v>9</v>
      </c>
      <c r="F706" s="5812">
        <v>3</v>
      </c>
      <c r="G706" s="5813">
        <v>0.20833333333333334</v>
      </c>
      <c r="H706" s="21" t="s">
        <v>10</v>
      </c>
      <c r="I706" s="21" t="s">
        <v>11</v>
      </c>
      <c r="J706" s="21" t="s">
        <v>4203</v>
      </c>
      <c r="K706" s="5814" t="s">
        <v>4204</v>
      </c>
    </row>
    <row r="707" spans="1:11">
      <c r="A707" s="21" t="s">
        <v>2655</v>
      </c>
      <c r="B707" s="21" t="s">
        <v>4205</v>
      </c>
      <c r="C707" s="21" t="s">
        <v>8</v>
      </c>
      <c r="D707" s="21" t="s">
        <v>237</v>
      </c>
      <c r="E707" s="21" t="s">
        <v>9</v>
      </c>
      <c r="F707" s="5812">
        <v>3</v>
      </c>
      <c r="G707" s="5813">
        <v>0.20833333333333334</v>
      </c>
      <c r="H707" s="21" t="s">
        <v>10</v>
      </c>
      <c r="I707" s="21" t="s">
        <v>2660</v>
      </c>
      <c r="J707" s="21" t="s">
        <v>4206</v>
      </c>
      <c r="K707" s="5814" t="s">
        <v>4207</v>
      </c>
    </row>
    <row r="708" spans="1:11">
      <c r="A708" s="21" t="s">
        <v>2998</v>
      </c>
      <c r="B708" s="21" t="s">
        <v>4208</v>
      </c>
      <c r="C708" s="21" t="s">
        <v>8</v>
      </c>
      <c r="D708" s="21" t="s">
        <v>237</v>
      </c>
      <c r="E708" s="21" t="s">
        <v>9</v>
      </c>
      <c r="F708" s="5812">
        <v>3</v>
      </c>
      <c r="G708" s="5813">
        <v>0.20833333333333334</v>
      </c>
      <c r="H708" s="21" t="s">
        <v>10</v>
      </c>
      <c r="I708" s="21" t="s">
        <v>233</v>
      </c>
      <c r="J708" s="21" t="s">
        <v>4209</v>
      </c>
      <c r="K708" s="5814" t="s">
        <v>4210</v>
      </c>
    </row>
    <row r="709" spans="1:11">
      <c r="A709" s="21" t="s">
        <v>2663</v>
      </c>
      <c r="B709" s="21" t="s">
        <v>4211</v>
      </c>
      <c r="C709" s="21" t="s">
        <v>8</v>
      </c>
      <c r="D709" s="21" t="s">
        <v>237</v>
      </c>
      <c r="E709" s="21" t="s">
        <v>9</v>
      </c>
      <c r="F709" s="5812">
        <v>3</v>
      </c>
      <c r="G709" s="5813">
        <v>0.20833333333333334</v>
      </c>
      <c r="H709" s="21" t="s">
        <v>10</v>
      </c>
      <c r="I709" s="21" t="s">
        <v>4212</v>
      </c>
      <c r="J709" s="21" t="s">
        <v>4213</v>
      </c>
      <c r="K709" s="5814" t="s">
        <v>4214</v>
      </c>
    </row>
    <row r="710" spans="1:11">
      <c r="A710" s="21" t="s">
        <v>3002</v>
      </c>
      <c r="B710" s="21" t="s">
        <v>4215</v>
      </c>
      <c r="C710" s="21" t="s">
        <v>22</v>
      </c>
      <c r="D710" s="21" t="s">
        <v>237</v>
      </c>
      <c r="E710" s="21" t="s">
        <v>9</v>
      </c>
      <c r="F710" s="5812">
        <v>3</v>
      </c>
      <c r="G710" s="5813">
        <v>0.20833333333333334</v>
      </c>
      <c r="H710" s="21" t="s">
        <v>10</v>
      </c>
      <c r="I710" s="21" t="s">
        <v>23</v>
      </c>
      <c r="J710" s="21" t="s">
        <v>4216</v>
      </c>
      <c r="K710" s="5814" t="s">
        <v>4217</v>
      </c>
    </row>
    <row r="711" spans="1:11">
      <c r="A711" s="21" t="s">
        <v>3364</v>
      </c>
      <c r="B711" s="21" t="s">
        <v>4218</v>
      </c>
      <c r="C711" s="21" t="s">
        <v>22</v>
      </c>
      <c r="D711" s="21" t="s">
        <v>237</v>
      </c>
      <c r="E711" s="21" t="s">
        <v>9</v>
      </c>
      <c r="F711" s="5812">
        <v>3</v>
      </c>
      <c r="G711" s="5813">
        <v>0.20833333333333334</v>
      </c>
      <c r="H711" s="21" t="s">
        <v>10</v>
      </c>
      <c r="I711" s="21" t="s">
        <v>11</v>
      </c>
      <c r="J711" s="21" t="s">
        <v>4219</v>
      </c>
      <c r="K711" s="5814" t="s">
        <v>4220</v>
      </c>
    </row>
    <row r="712" spans="1:11">
      <c r="A712" s="21" t="s">
        <v>3364</v>
      </c>
      <c r="B712" s="21" t="s">
        <v>4221</v>
      </c>
      <c r="C712" s="21" t="s">
        <v>8</v>
      </c>
      <c r="D712" s="21" t="s">
        <v>237</v>
      </c>
      <c r="E712" s="21" t="s">
        <v>9</v>
      </c>
      <c r="F712" s="5812">
        <v>3</v>
      </c>
      <c r="G712" s="5813">
        <v>0.20833333333333334</v>
      </c>
      <c r="H712" s="21" t="s">
        <v>10</v>
      </c>
      <c r="I712" s="21" t="s">
        <v>2176</v>
      </c>
      <c r="J712" s="21" t="s">
        <v>4222</v>
      </c>
      <c r="K712" s="5814" t="s">
        <v>4223</v>
      </c>
    </row>
    <row r="713" spans="1:11">
      <c r="A713" s="21" t="s">
        <v>3741</v>
      </c>
      <c r="B713" s="21" t="s">
        <v>4224</v>
      </c>
      <c r="C713" s="21" t="s">
        <v>22</v>
      </c>
      <c r="D713" s="21" t="s">
        <v>237</v>
      </c>
      <c r="E713" s="21" t="s">
        <v>9</v>
      </c>
      <c r="F713" s="5812">
        <v>3</v>
      </c>
      <c r="G713" s="5813">
        <v>0.20833333333333334</v>
      </c>
      <c r="H713" s="21" t="s">
        <v>10</v>
      </c>
      <c r="I713" s="21" t="s">
        <v>226</v>
      </c>
      <c r="J713" s="21" t="s">
        <v>4225</v>
      </c>
      <c r="K713" s="5814" t="s">
        <v>4226</v>
      </c>
    </row>
    <row r="714" spans="1:11">
      <c r="A714" s="21" t="s">
        <v>2675</v>
      </c>
      <c r="B714" s="21" t="s">
        <v>4227</v>
      </c>
      <c r="C714" s="21" t="s">
        <v>8</v>
      </c>
      <c r="D714" s="21" t="s">
        <v>237</v>
      </c>
      <c r="E714" s="21" t="s">
        <v>9</v>
      </c>
      <c r="F714" s="5812">
        <v>3</v>
      </c>
      <c r="G714" s="5813">
        <v>0.20833333333333334</v>
      </c>
      <c r="H714" s="21" t="s">
        <v>10</v>
      </c>
      <c r="I714" s="21" t="s">
        <v>400</v>
      </c>
      <c r="J714" s="21" t="s">
        <v>4228</v>
      </c>
      <c r="K714" s="5814" t="s">
        <v>4229</v>
      </c>
    </row>
    <row r="715" spans="1:11">
      <c r="A715" s="21" t="s">
        <v>2201</v>
      </c>
      <c r="B715" s="21" t="s">
        <v>4230</v>
      </c>
      <c r="C715" s="21" t="s">
        <v>22</v>
      </c>
      <c r="D715" s="21" t="s">
        <v>237</v>
      </c>
      <c r="E715" s="21" t="s">
        <v>9</v>
      </c>
      <c r="F715" s="5812">
        <v>3</v>
      </c>
      <c r="G715" s="5813">
        <v>0.20833333333333334</v>
      </c>
      <c r="H715" s="21" t="s">
        <v>10</v>
      </c>
      <c r="I715" s="21" t="s">
        <v>2692</v>
      </c>
      <c r="J715" s="21" t="s">
        <v>4231</v>
      </c>
      <c r="K715" s="5814" t="s">
        <v>4232</v>
      </c>
    </row>
    <row r="716" spans="1:11">
      <c r="A716" s="21" t="s">
        <v>4233</v>
      </c>
      <c r="B716" s="21" t="s">
        <v>4234</v>
      </c>
      <c r="C716" s="21" t="s">
        <v>8</v>
      </c>
      <c r="D716" s="21" t="s">
        <v>237</v>
      </c>
      <c r="E716" s="21" t="s">
        <v>9</v>
      </c>
      <c r="F716" s="5812">
        <v>3</v>
      </c>
      <c r="G716" s="5813">
        <v>0.20833333333333334</v>
      </c>
      <c r="H716" s="21" t="s">
        <v>10</v>
      </c>
      <c r="I716" s="21" t="s">
        <v>2872</v>
      </c>
      <c r="J716" s="21" t="s">
        <v>4235</v>
      </c>
      <c r="K716" s="5814" t="s">
        <v>4236</v>
      </c>
    </row>
    <row r="717" spans="1:11">
      <c r="A717" s="21" t="s">
        <v>2698</v>
      </c>
      <c r="B717" s="21" t="s">
        <v>4237</v>
      </c>
      <c r="C717" s="21" t="s">
        <v>22</v>
      </c>
      <c r="D717" s="21" t="s">
        <v>237</v>
      </c>
      <c r="E717" s="21" t="s">
        <v>9</v>
      </c>
      <c r="F717" s="5812">
        <v>3</v>
      </c>
      <c r="G717" s="5813">
        <v>0.20833333333333334</v>
      </c>
      <c r="H717" s="21" t="s">
        <v>10</v>
      </c>
      <c r="I717" s="21" t="s">
        <v>47</v>
      </c>
      <c r="J717" s="21" t="s">
        <v>4238</v>
      </c>
      <c r="K717" s="5814" t="s">
        <v>4239</v>
      </c>
    </row>
    <row r="718" spans="1:11">
      <c r="A718" s="21" t="s">
        <v>2702</v>
      </c>
      <c r="B718" s="21" t="s">
        <v>4240</v>
      </c>
      <c r="C718" s="21" t="s">
        <v>22</v>
      </c>
      <c r="D718" s="21" t="s">
        <v>237</v>
      </c>
      <c r="E718" s="21" t="s">
        <v>9</v>
      </c>
      <c r="F718" s="5812">
        <v>3</v>
      </c>
      <c r="G718" s="5813">
        <v>0.20833333333333334</v>
      </c>
      <c r="H718" s="21" t="s">
        <v>10</v>
      </c>
      <c r="I718" s="21" t="s">
        <v>96</v>
      </c>
      <c r="J718" s="21" t="s">
        <v>4241</v>
      </c>
      <c r="K718" s="5814" t="s">
        <v>4242</v>
      </c>
    </row>
    <row r="719" spans="1:11">
      <c r="A719" s="21" t="s">
        <v>2711</v>
      </c>
      <c r="B719" s="21" t="s">
        <v>4243</v>
      </c>
      <c r="C719" s="21" t="s">
        <v>8</v>
      </c>
      <c r="D719" s="21" t="s">
        <v>237</v>
      </c>
      <c r="E719" s="21" t="s">
        <v>9</v>
      </c>
      <c r="F719" s="5812">
        <v>3</v>
      </c>
      <c r="G719" s="5813">
        <v>0.20833333333333334</v>
      </c>
      <c r="H719" s="21" t="s">
        <v>10</v>
      </c>
      <c r="I719" s="21" t="s">
        <v>2713</v>
      </c>
      <c r="J719" s="21" t="s">
        <v>4244</v>
      </c>
      <c r="K719" s="5814" t="s">
        <v>4245</v>
      </c>
    </row>
    <row r="720" spans="1:11">
      <c r="A720" s="21" t="s">
        <v>2719</v>
      </c>
      <c r="B720" s="21" t="s">
        <v>4246</v>
      </c>
      <c r="C720" s="21" t="s">
        <v>8</v>
      </c>
      <c r="D720" s="21" t="s">
        <v>237</v>
      </c>
      <c r="E720" s="21" t="s">
        <v>9</v>
      </c>
      <c r="F720" s="5812">
        <v>3</v>
      </c>
      <c r="G720" s="5813">
        <v>0.20833333333333334</v>
      </c>
      <c r="H720" s="21" t="s">
        <v>10</v>
      </c>
      <c r="I720" s="21" t="s">
        <v>47</v>
      </c>
      <c r="J720" s="21" t="s">
        <v>4247</v>
      </c>
      <c r="K720" s="5814" t="s">
        <v>4248</v>
      </c>
    </row>
    <row r="721" spans="1:11">
      <c r="A721" s="21" t="s">
        <v>4249</v>
      </c>
      <c r="B721" s="21" t="s">
        <v>4250</v>
      </c>
      <c r="C721" s="21" t="s">
        <v>8</v>
      </c>
      <c r="D721" s="21" t="s">
        <v>237</v>
      </c>
      <c r="E721" s="21" t="s">
        <v>9</v>
      </c>
      <c r="F721" s="5812">
        <v>3</v>
      </c>
      <c r="G721" s="5813">
        <v>0.20833333333333334</v>
      </c>
      <c r="H721" s="21" t="s">
        <v>10</v>
      </c>
      <c r="I721" s="21" t="s">
        <v>194</v>
      </c>
      <c r="J721" s="21" t="s">
        <v>4251</v>
      </c>
      <c r="K721" s="5814" t="s">
        <v>4252</v>
      </c>
    </row>
    <row r="722" spans="1:11">
      <c r="A722" s="21" t="s">
        <v>4249</v>
      </c>
      <c r="B722" s="21" t="s">
        <v>4253</v>
      </c>
      <c r="C722" s="21" t="s">
        <v>8</v>
      </c>
      <c r="D722" s="21" t="s">
        <v>237</v>
      </c>
      <c r="E722" s="21" t="s">
        <v>9</v>
      </c>
      <c r="F722" s="5812">
        <v>3</v>
      </c>
      <c r="G722" s="5813">
        <v>0.20833333333333334</v>
      </c>
      <c r="H722" s="21" t="s">
        <v>10</v>
      </c>
      <c r="I722" s="21" t="s">
        <v>4254</v>
      </c>
      <c r="J722" s="21" t="s">
        <v>4255</v>
      </c>
      <c r="K722" s="5814" t="s">
        <v>4256</v>
      </c>
    </row>
    <row r="723" spans="1:11">
      <c r="A723" s="21" t="s">
        <v>4257</v>
      </c>
      <c r="B723" s="21" t="s">
        <v>4258</v>
      </c>
      <c r="C723" s="21" t="s">
        <v>22</v>
      </c>
      <c r="D723" s="21" t="s">
        <v>237</v>
      </c>
      <c r="E723" s="21" t="s">
        <v>9</v>
      </c>
      <c r="F723" s="5812">
        <v>3</v>
      </c>
      <c r="G723" s="5813">
        <v>0.20833333333333334</v>
      </c>
      <c r="H723" s="21" t="s">
        <v>10</v>
      </c>
      <c r="I723" s="21" t="s">
        <v>226</v>
      </c>
      <c r="J723" s="21" t="s">
        <v>4259</v>
      </c>
      <c r="K723" s="5814" t="s">
        <v>4260</v>
      </c>
    </row>
    <row r="724" spans="1:11">
      <c r="A724" s="21" t="s">
        <v>3125</v>
      </c>
      <c r="B724" s="21" t="s">
        <v>4261</v>
      </c>
      <c r="C724" s="21" t="s">
        <v>8</v>
      </c>
      <c r="D724" s="21" t="s">
        <v>237</v>
      </c>
      <c r="E724" s="21" t="s">
        <v>9</v>
      </c>
      <c r="F724" s="5812">
        <v>3</v>
      </c>
      <c r="G724" s="5813">
        <v>0.20833333333333334</v>
      </c>
      <c r="H724" s="21" t="s">
        <v>10</v>
      </c>
      <c r="I724" s="21" t="s">
        <v>187</v>
      </c>
      <c r="J724" s="21" t="s">
        <v>4262</v>
      </c>
      <c r="K724" s="5814" t="s">
        <v>4263</v>
      </c>
    </row>
    <row r="725" spans="1:11">
      <c r="A725" s="21" t="s">
        <v>3125</v>
      </c>
      <c r="B725" s="21" t="s">
        <v>4264</v>
      </c>
      <c r="C725" s="21" t="s">
        <v>22</v>
      </c>
      <c r="D725" s="21" t="s">
        <v>237</v>
      </c>
      <c r="E725" s="21" t="s">
        <v>9</v>
      </c>
      <c r="F725" s="5812">
        <v>3</v>
      </c>
      <c r="G725" s="5813">
        <v>0.20833333333333334</v>
      </c>
      <c r="H725" s="21" t="s">
        <v>10</v>
      </c>
      <c r="I725" s="21" t="s">
        <v>187</v>
      </c>
      <c r="J725" s="21" t="s">
        <v>4265</v>
      </c>
      <c r="K725" s="5814" t="s">
        <v>4266</v>
      </c>
    </row>
    <row r="726" spans="1:11">
      <c r="A726" s="21" t="s">
        <v>3125</v>
      </c>
      <c r="B726" s="21" t="s">
        <v>4267</v>
      </c>
      <c r="C726" s="21" t="s">
        <v>22</v>
      </c>
      <c r="D726" s="21" t="s">
        <v>237</v>
      </c>
      <c r="E726" s="21" t="s">
        <v>9</v>
      </c>
      <c r="F726" s="5812">
        <v>3</v>
      </c>
      <c r="G726" s="5813">
        <v>0.20833333333333334</v>
      </c>
      <c r="H726" s="21" t="s">
        <v>10</v>
      </c>
      <c r="I726" s="21" t="s">
        <v>4146</v>
      </c>
      <c r="J726" s="21" t="s">
        <v>4268</v>
      </c>
      <c r="K726" s="5814" t="s">
        <v>4269</v>
      </c>
    </row>
    <row r="727" spans="1:11">
      <c r="A727" s="21" t="s">
        <v>3354</v>
      </c>
      <c r="B727" s="21" t="s">
        <v>4270</v>
      </c>
      <c r="C727" s="21" t="s">
        <v>8</v>
      </c>
      <c r="D727" s="21" t="s">
        <v>237</v>
      </c>
      <c r="E727" s="21" t="s">
        <v>9</v>
      </c>
      <c r="F727" s="5812">
        <v>3</v>
      </c>
      <c r="G727" s="5813">
        <v>0.20833333333333334</v>
      </c>
      <c r="H727" s="21" t="s">
        <v>10</v>
      </c>
      <c r="I727" s="21" t="s">
        <v>3356</v>
      </c>
      <c r="J727" s="21" t="s">
        <v>4271</v>
      </c>
      <c r="K727" s="5814" t="s">
        <v>4272</v>
      </c>
    </row>
    <row r="728" spans="1:11">
      <c r="A728" s="21" t="s">
        <v>3369</v>
      </c>
      <c r="B728" s="21" t="s">
        <v>4273</v>
      </c>
      <c r="C728" s="21" t="s">
        <v>8</v>
      </c>
      <c r="D728" s="21" t="s">
        <v>237</v>
      </c>
      <c r="E728" s="21" t="s">
        <v>9</v>
      </c>
      <c r="F728" s="5812">
        <v>3</v>
      </c>
      <c r="G728" s="5813">
        <v>0.20833333333333334</v>
      </c>
      <c r="H728" s="21" t="s">
        <v>10</v>
      </c>
      <c r="I728" s="21" t="s">
        <v>2297</v>
      </c>
      <c r="J728" s="21" t="s">
        <v>4274</v>
      </c>
      <c r="K728" s="5814" t="s">
        <v>4275</v>
      </c>
    </row>
    <row r="729" spans="1:11">
      <c r="A729" s="21" t="s">
        <v>2212</v>
      </c>
      <c r="B729" s="21" t="s">
        <v>4276</v>
      </c>
      <c r="C729" s="21" t="s">
        <v>22</v>
      </c>
      <c r="D729" s="21" t="s">
        <v>237</v>
      </c>
      <c r="E729" s="21" t="s">
        <v>9</v>
      </c>
      <c r="F729" s="5812">
        <v>3</v>
      </c>
      <c r="G729" s="5813">
        <v>0.20833333333333334</v>
      </c>
      <c r="H729" s="21" t="s">
        <v>10</v>
      </c>
      <c r="I729" s="21" t="s">
        <v>39</v>
      </c>
      <c r="J729" s="21" t="s">
        <v>4277</v>
      </c>
      <c r="K729" s="5814" t="s">
        <v>4278</v>
      </c>
    </row>
    <row r="730" spans="1:11">
      <c r="A730" s="21" t="s">
        <v>3769</v>
      </c>
      <c r="B730" s="21" t="s">
        <v>4279</v>
      </c>
      <c r="C730" s="21" t="s">
        <v>22</v>
      </c>
      <c r="D730" s="21" t="s">
        <v>237</v>
      </c>
      <c r="E730" s="21" t="s">
        <v>9</v>
      </c>
      <c r="F730" s="5812">
        <v>3</v>
      </c>
      <c r="G730" s="5813">
        <v>0.20833333333333334</v>
      </c>
      <c r="H730" s="21" t="s">
        <v>10</v>
      </c>
      <c r="I730" s="21" t="s">
        <v>55</v>
      </c>
      <c r="J730" s="21" t="s">
        <v>4280</v>
      </c>
      <c r="K730" s="5814" t="s">
        <v>4281</v>
      </c>
    </row>
    <row r="731" spans="1:11">
      <c r="A731" s="21" t="s">
        <v>3213</v>
      </c>
      <c r="B731" s="21" t="s">
        <v>4282</v>
      </c>
      <c r="C731" s="21" t="s">
        <v>22</v>
      </c>
      <c r="D731" s="21" t="s">
        <v>237</v>
      </c>
      <c r="E731" s="21" t="s">
        <v>9</v>
      </c>
      <c r="F731" s="5812">
        <v>3</v>
      </c>
      <c r="G731" s="5813">
        <v>0.20833333333333334</v>
      </c>
      <c r="H731" s="21" t="s">
        <v>10</v>
      </c>
      <c r="I731" s="21" t="s">
        <v>47</v>
      </c>
      <c r="J731" s="21" t="s">
        <v>4283</v>
      </c>
      <c r="K731" s="5814" t="s">
        <v>4284</v>
      </c>
    </row>
    <row r="732" spans="1:11">
      <c r="A732" s="21" t="s">
        <v>3213</v>
      </c>
      <c r="B732" s="21" t="s">
        <v>4285</v>
      </c>
      <c r="C732" s="21" t="s">
        <v>22</v>
      </c>
      <c r="D732" s="21" t="s">
        <v>237</v>
      </c>
      <c r="E732" s="21" t="s">
        <v>9</v>
      </c>
      <c r="F732" s="5812">
        <v>3</v>
      </c>
      <c r="G732" s="5813">
        <v>0.20833333333333334</v>
      </c>
      <c r="H732" s="21" t="s">
        <v>10</v>
      </c>
      <c r="I732" s="21" t="s">
        <v>4286</v>
      </c>
      <c r="J732" s="21" t="s">
        <v>4287</v>
      </c>
      <c r="K732" s="5814" t="s">
        <v>4288</v>
      </c>
    </row>
    <row r="733" spans="1:11">
      <c r="A733" s="21" t="s">
        <v>4289</v>
      </c>
      <c r="B733" s="21" t="s">
        <v>4290</v>
      </c>
      <c r="C733" s="21" t="s">
        <v>8</v>
      </c>
      <c r="D733" s="21" t="s">
        <v>237</v>
      </c>
      <c r="E733" s="21" t="s">
        <v>9</v>
      </c>
      <c r="F733" s="5812">
        <v>3</v>
      </c>
      <c r="G733" s="5813">
        <v>0.20833333333333334</v>
      </c>
      <c r="H733" s="21" t="s">
        <v>10</v>
      </c>
      <c r="I733" s="21" t="s">
        <v>3534</v>
      </c>
      <c r="J733" s="21" t="s">
        <v>4291</v>
      </c>
      <c r="K733" s="5814" t="s">
        <v>4292</v>
      </c>
    </row>
    <row r="734" spans="1:11">
      <c r="A734" s="21" t="s">
        <v>4293</v>
      </c>
      <c r="B734" s="21" t="s">
        <v>4294</v>
      </c>
      <c r="C734" s="21" t="s">
        <v>8</v>
      </c>
      <c r="D734" s="21" t="s">
        <v>237</v>
      </c>
      <c r="E734" s="21" t="s">
        <v>9</v>
      </c>
      <c r="F734" s="5812">
        <v>3</v>
      </c>
      <c r="G734" s="5813">
        <v>0.20833333333333334</v>
      </c>
      <c r="H734" s="21" t="s">
        <v>10</v>
      </c>
      <c r="I734" s="21" t="s">
        <v>400</v>
      </c>
      <c r="J734" s="21" t="s">
        <v>4295</v>
      </c>
      <c r="K734" s="5814" t="s">
        <v>4296</v>
      </c>
    </row>
    <row r="735" spans="1:11">
      <c r="A735" s="21" t="s">
        <v>4293</v>
      </c>
      <c r="B735" s="21" t="s">
        <v>4297</v>
      </c>
      <c r="C735" s="21" t="s">
        <v>22</v>
      </c>
      <c r="D735" s="21" t="s">
        <v>237</v>
      </c>
      <c r="E735" s="21" t="s">
        <v>9</v>
      </c>
      <c r="F735" s="5812">
        <v>3</v>
      </c>
      <c r="G735" s="5813">
        <v>0.20833333333333334</v>
      </c>
      <c r="H735" s="21" t="s">
        <v>10</v>
      </c>
      <c r="I735" s="21" t="s">
        <v>4298</v>
      </c>
      <c r="J735" s="21" t="s">
        <v>4299</v>
      </c>
      <c r="K735" s="5814" t="s">
        <v>4300</v>
      </c>
    </row>
    <row r="736" spans="1:11">
      <c r="A736" s="21" t="s">
        <v>3537</v>
      </c>
      <c r="B736" s="21" t="s">
        <v>4301</v>
      </c>
      <c r="C736" s="21" t="s">
        <v>22</v>
      </c>
      <c r="D736" s="21" t="s">
        <v>237</v>
      </c>
      <c r="E736" s="21" t="s">
        <v>9</v>
      </c>
      <c r="F736" s="5812">
        <v>3</v>
      </c>
      <c r="G736" s="5813">
        <v>0.20833333333333334</v>
      </c>
      <c r="H736" s="21" t="s">
        <v>10</v>
      </c>
      <c r="I736" s="21" t="s">
        <v>2297</v>
      </c>
      <c r="J736" s="21" t="s">
        <v>4302</v>
      </c>
      <c r="K736" s="5814" t="s">
        <v>4303</v>
      </c>
    </row>
    <row r="737" spans="1:11">
      <c r="A737" s="21" t="s">
        <v>2768</v>
      </c>
      <c r="B737" s="21" t="s">
        <v>4304</v>
      </c>
      <c r="C737" s="21" t="s">
        <v>22</v>
      </c>
      <c r="D737" s="21" t="s">
        <v>237</v>
      </c>
      <c r="E737" s="21" t="s">
        <v>9</v>
      </c>
      <c r="F737" s="5812">
        <v>3</v>
      </c>
      <c r="G737" s="5813">
        <v>0.20833333333333334</v>
      </c>
      <c r="H737" s="21" t="s">
        <v>10</v>
      </c>
      <c r="I737" s="21" t="s">
        <v>194</v>
      </c>
      <c r="J737" s="21" t="s">
        <v>4305</v>
      </c>
      <c r="K737" s="5814" t="s">
        <v>4306</v>
      </c>
    </row>
    <row r="738" spans="1:11">
      <c r="A738" s="21" t="s">
        <v>2768</v>
      </c>
      <c r="B738" s="21" t="s">
        <v>4307</v>
      </c>
      <c r="C738" s="21" t="s">
        <v>8</v>
      </c>
      <c r="D738" s="21" t="s">
        <v>237</v>
      </c>
      <c r="E738" s="21" t="s">
        <v>9</v>
      </c>
      <c r="F738" s="5812">
        <v>3</v>
      </c>
      <c r="G738" s="5813">
        <v>0.20833333333333334</v>
      </c>
      <c r="H738" s="21" t="s">
        <v>10</v>
      </c>
      <c r="I738" s="21" t="s">
        <v>11</v>
      </c>
      <c r="J738" s="21" t="s">
        <v>4308</v>
      </c>
      <c r="K738" s="5814" t="s">
        <v>4309</v>
      </c>
    </row>
    <row r="739" spans="1:11">
      <c r="A739" s="21" t="s">
        <v>3430</v>
      </c>
      <c r="B739" s="21" t="s">
        <v>4310</v>
      </c>
      <c r="C739" s="21" t="s">
        <v>8</v>
      </c>
      <c r="D739" s="21" t="s">
        <v>237</v>
      </c>
      <c r="E739" s="21" t="s">
        <v>9</v>
      </c>
      <c r="F739" s="5812">
        <v>3</v>
      </c>
      <c r="G739" s="5813">
        <v>0.20833333333333334</v>
      </c>
      <c r="H739" s="21" t="s">
        <v>10</v>
      </c>
      <c r="I739" s="21" t="s">
        <v>47</v>
      </c>
      <c r="J739" s="21" t="s">
        <v>4311</v>
      </c>
      <c r="K739" s="5814" t="s">
        <v>4312</v>
      </c>
    </row>
    <row r="740" spans="1:11">
      <c r="A740" s="21" t="s">
        <v>4313</v>
      </c>
      <c r="B740" s="21" t="s">
        <v>4314</v>
      </c>
      <c r="C740" s="21" t="s">
        <v>8</v>
      </c>
      <c r="D740" s="21" t="s">
        <v>237</v>
      </c>
      <c r="E740" s="21" t="s">
        <v>9</v>
      </c>
      <c r="F740" s="5812">
        <v>3</v>
      </c>
      <c r="G740" s="5813">
        <v>0.20833333333333334</v>
      </c>
      <c r="H740" s="21" t="s">
        <v>10</v>
      </c>
      <c r="I740" s="21" t="s">
        <v>96</v>
      </c>
      <c r="J740" s="21" t="s">
        <v>4315</v>
      </c>
      <c r="K740" s="5814" t="s">
        <v>4316</v>
      </c>
    </row>
    <row r="741" spans="1:11">
      <c r="A741" s="21" t="s">
        <v>4317</v>
      </c>
      <c r="B741" s="21" t="s">
        <v>4318</v>
      </c>
      <c r="C741" s="21" t="s">
        <v>8</v>
      </c>
      <c r="D741" s="21" t="s">
        <v>237</v>
      </c>
      <c r="E741" s="21" t="s">
        <v>9</v>
      </c>
      <c r="F741" s="5812">
        <v>3</v>
      </c>
      <c r="G741" s="5813">
        <v>0.20833333333333334</v>
      </c>
      <c r="H741" s="21" t="s">
        <v>10</v>
      </c>
      <c r="I741" s="21" t="s">
        <v>3534</v>
      </c>
      <c r="J741" s="21" t="s">
        <v>4319</v>
      </c>
      <c r="K741" s="5814" t="s">
        <v>4320</v>
      </c>
    </row>
    <row r="742" spans="1:11">
      <c r="A742" s="21" t="s">
        <v>4321</v>
      </c>
      <c r="B742" s="21" t="s">
        <v>4322</v>
      </c>
      <c r="C742" s="21" t="s">
        <v>22</v>
      </c>
      <c r="D742" s="21" t="s">
        <v>237</v>
      </c>
      <c r="E742" s="21" t="s">
        <v>9</v>
      </c>
      <c r="F742" s="5812">
        <v>3</v>
      </c>
      <c r="G742" s="5813">
        <v>0.20833333333333334</v>
      </c>
      <c r="H742" s="21" t="s">
        <v>10</v>
      </c>
      <c r="I742" s="21" t="s">
        <v>73</v>
      </c>
      <c r="J742" s="21" t="s">
        <v>4323</v>
      </c>
      <c r="K742" s="5814" t="s">
        <v>4324</v>
      </c>
    </row>
    <row r="743" spans="1:11">
      <c r="A743" s="21" t="s">
        <v>2788</v>
      </c>
      <c r="B743" s="21" t="s">
        <v>4325</v>
      </c>
      <c r="C743" s="21" t="s">
        <v>22</v>
      </c>
      <c r="D743" s="21" t="s">
        <v>237</v>
      </c>
      <c r="E743" s="21" t="s">
        <v>9</v>
      </c>
      <c r="F743" s="5812">
        <v>3</v>
      </c>
      <c r="G743" s="5813">
        <v>0.20833333333333334</v>
      </c>
      <c r="H743" s="21" t="s">
        <v>10</v>
      </c>
      <c r="I743" s="21" t="s">
        <v>2747</v>
      </c>
      <c r="J743" s="21" t="s">
        <v>4326</v>
      </c>
      <c r="K743" s="5814" t="s">
        <v>4327</v>
      </c>
    </row>
    <row r="744" spans="1:11">
      <c r="A744" s="21" t="s">
        <v>2792</v>
      </c>
      <c r="B744" s="21" t="s">
        <v>4328</v>
      </c>
      <c r="C744" s="21" t="s">
        <v>22</v>
      </c>
      <c r="D744" s="21" t="s">
        <v>237</v>
      </c>
      <c r="E744" s="21" t="s">
        <v>9</v>
      </c>
      <c r="F744" s="5812">
        <v>3</v>
      </c>
      <c r="G744" s="5813">
        <v>0.20833333333333334</v>
      </c>
      <c r="H744" s="21" t="s">
        <v>10</v>
      </c>
      <c r="I744" s="21" t="s">
        <v>4329</v>
      </c>
      <c r="J744" s="21" t="s">
        <v>4330</v>
      </c>
      <c r="K744" s="5814" t="s">
        <v>4331</v>
      </c>
    </row>
    <row r="745" spans="1:11">
      <c r="A745" s="21" t="s">
        <v>2804</v>
      </c>
      <c r="B745" s="21" t="s">
        <v>4332</v>
      </c>
      <c r="C745" s="21" t="s">
        <v>22</v>
      </c>
      <c r="D745" s="21" t="s">
        <v>237</v>
      </c>
      <c r="E745" s="21" t="s">
        <v>9</v>
      </c>
      <c r="F745" s="5812">
        <v>3</v>
      </c>
      <c r="G745" s="5813">
        <v>0.20833333333333334</v>
      </c>
      <c r="H745" s="21" t="s">
        <v>10</v>
      </c>
      <c r="I745" s="21" t="s">
        <v>3024</v>
      </c>
      <c r="J745" s="21" t="s">
        <v>4333</v>
      </c>
      <c r="K745" s="5814" t="s">
        <v>4334</v>
      </c>
    </row>
    <row r="746" spans="1:11">
      <c r="A746" s="21" t="s">
        <v>2808</v>
      </c>
      <c r="B746" s="21" t="s">
        <v>4335</v>
      </c>
      <c r="C746" s="21" t="s">
        <v>8</v>
      </c>
      <c r="D746" s="21" t="s">
        <v>237</v>
      </c>
      <c r="E746" s="21" t="s">
        <v>9</v>
      </c>
      <c r="F746" s="5812">
        <v>3</v>
      </c>
      <c r="G746" s="5813">
        <v>0.20833333333333334</v>
      </c>
      <c r="H746" s="21" t="s">
        <v>10</v>
      </c>
      <c r="I746" s="21" t="s">
        <v>226</v>
      </c>
      <c r="J746" s="21" t="s">
        <v>4336</v>
      </c>
      <c r="K746" s="5814" t="s">
        <v>4337</v>
      </c>
    </row>
    <row r="747" spans="1:11">
      <c r="A747" s="21" t="s">
        <v>4338</v>
      </c>
      <c r="B747" s="21" t="s">
        <v>4339</v>
      </c>
      <c r="C747" s="21" t="s">
        <v>22</v>
      </c>
      <c r="D747" s="21" t="s">
        <v>237</v>
      </c>
      <c r="E747" s="21" t="s">
        <v>9</v>
      </c>
      <c r="F747" s="5812">
        <v>3</v>
      </c>
      <c r="G747" s="5813">
        <v>0.20833333333333334</v>
      </c>
      <c r="H747" s="21" t="s">
        <v>10</v>
      </c>
      <c r="I747" s="21" t="s">
        <v>226</v>
      </c>
      <c r="J747" s="21" t="s">
        <v>4340</v>
      </c>
      <c r="K747" s="5814" t="s">
        <v>4341</v>
      </c>
    </row>
    <row r="748" spans="1:11">
      <c r="A748" s="21" t="s">
        <v>3044</v>
      </c>
      <c r="B748" s="21" t="s">
        <v>4342</v>
      </c>
      <c r="C748" s="21" t="s">
        <v>22</v>
      </c>
      <c r="D748" s="21" t="s">
        <v>237</v>
      </c>
      <c r="E748" s="21" t="s">
        <v>9</v>
      </c>
      <c r="F748" s="5812">
        <v>3</v>
      </c>
      <c r="G748" s="5813">
        <v>0.20833333333333334</v>
      </c>
      <c r="H748" s="21" t="s">
        <v>10</v>
      </c>
      <c r="I748" s="21" t="s">
        <v>23</v>
      </c>
      <c r="J748" s="21" t="s">
        <v>4343</v>
      </c>
      <c r="K748" s="5814" t="s">
        <v>4344</v>
      </c>
    </row>
    <row r="749" spans="1:11">
      <c r="A749" s="21" t="s">
        <v>4345</v>
      </c>
      <c r="B749" s="21" t="s">
        <v>4346</v>
      </c>
      <c r="C749" s="21" t="s">
        <v>22</v>
      </c>
      <c r="D749" s="21" t="s">
        <v>237</v>
      </c>
      <c r="E749" s="21" t="s">
        <v>9</v>
      </c>
      <c r="F749" s="5812">
        <v>3</v>
      </c>
      <c r="G749" s="5813">
        <v>0.20833333333333334</v>
      </c>
      <c r="H749" s="21" t="s">
        <v>10</v>
      </c>
      <c r="I749" s="21" t="s">
        <v>3534</v>
      </c>
      <c r="J749" s="21" t="s">
        <v>4347</v>
      </c>
      <c r="K749" s="5814" t="s">
        <v>4348</v>
      </c>
    </row>
    <row r="750" spans="1:11">
      <c r="A750" s="21" t="s">
        <v>4345</v>
      </c>
      <c r="B750" s="21" t="s">
        <v>4349</v>
      </c>
      <c r="C750" s="21" t="s">
        <v>8</v>
      </c>
      <c r="D750" s="21" t="s">
        <v>237</v>
      </c>
      <c r="E750" s="21" t="s">
        <v>9</v>
      </c>
      <c r="F750" s="5812">
        <v>3</v>
      </c>
      <c r="G750" s="5813">
        <v>0.20833333333333334</v>
      </c>
      <c r="H750" s="21" t="s">
        <v>10</v>
      </c>
      <c r="I750" s="21" t="s">
        <v>2269</v>
      </c>
      <c r="J750" s="21" t="s">
        <v>4350</v>
      </c>
      <c r="K750" s="5814" t="s">
        <v>4351</v>
      </c>
    </row>
    <row r="751" spans="1:11">
      <c r="A751" s="21" t="s">
        <v>2812</v>
      </c>
      <c r="B751" s="21" t="s">
        <v>4352</v>
      </c>
      <c r="C751" s="21" t="s">
        <v>8</v>
      </c>
      <c r="D751" s="21" t="s">
        <v>237</v>
      </c>
      <c r="E751" s="21" t="s">
        <v>9</v>
      </c>
      <c r="F751" s="5812">
        <v>3</v>
      </c>
      <c r="G751" s="5813">
        <v>0.20833333333333334</v>
      </c>
      <c r="H751" s="21" t="s">
        <v>10</v>
      </c>
      <c r="I751" s="21" t="s">
        <v>2814</v>
      </c>
      <c r="J751" s="21" t="s">
        <v>4353</v>
      </c>
      <c r="K751" s="5814" t="s">
        <v>4354</v>
      </c>
    </row>
    <row r="752" spans="1:11">
      <c r="A752" s="21" t="s">
        <v>3541</v>
      </c>
      <c r="B752" s="21" t="s">
        <v>4355</v>
      </c>
      <c r="C752" s="21" t="s">
        <v>8</v>
      </c>
      <c r="D752" s="21" t="s">
        <v>237</v>
      </c>
      <c r="E752" s="21" t="s">
        <v>9</v>
      </c>
      <c r="F752" s="5812">
        <v>3</v>
      </c>
      <c r="G752" s="5813">
        <v>0.20833333333333334</v>
      </c>
      <c r="H752" s="21" t="s">
        <v>10</v>
      </c>
      <c r="I752" s="21" t="s">
        <v>11</v>
      </c>
      <c r="J752" s="21" t="s">
        <v>4356</v>
      </c>
      <c r="K752" s="5814" t="s">
        <v>4357</v>
      </c>
    </row>
    <row r="753" spans="1:11">
      <c r="A753" s="21" t="s">
        <v>2245</v>
      </c>
      <c r="B753" s="21" t="s">
        <v>4358</v>
      </c>
      <c r="C753" s="21" t="s">
        <v>8</v>
      </c>
      <c r="D753" s="21" t="s">
        <v>237</v>
      </c>
      <c r="E753" s="21" t="s">
        <v>9</v>
      </c>
      <c r="F753" s="5812">
        <v>3</v>
      </c>
      <c r="G753" s="5813">
        <v>0.20833333333333334</v>
      </c>
      <c r="H753" s="21" t="s">
        <v>10</v>
      </c>
      <c r="I753" s="21" t="s">
        <v>3593</v>
      </c>
      <c r="J753" s="21" t="s">
        <v>4359</v>
      </c>
      <c r="K753" s="5814" t="s">
        <v>4360</v>
      </c>
    </row>
    <row r="754" spans="1:11">
      <c r="A754" s="21" t="s">
        <v>2295</v>
      </c>
      <c r="B754" s="21" t="s">
        <v>4361</v>
      </c>
      <c r="C754" s="21" t="s">
        <v>22</v>
      </c>
      <c r="D754" s="21" t="s">
        <v>237</v>
      </c>
      <c r="E754" s="21" t="s">
        <v>9</v>
      </c>
      <c r="F754" s="5812">
        <v>3</v>
      </c>
      <c r="G754" s="5813">
        <v>0.20833333333333334</v>
      </c>
      <c r="H754" s="21" t="s">
        <v>10</v>
      </c>
      <c r="I754" s="21" t="s">
        <v>226</v>
      </c>
      <c r="J754" s="21" t="s">
        <v>4362</v>
      </c>
      <c r="K754" s="5814" t="s">
        <v>4363</v>
      </c>
    </row>
    <row r="755" spans="1:11">
      <c r="A755" s="21" t="s">
        <v>2817</v>
      </c>
      <c r="B755" s="21" t="s">
        <v>4364</v>
      </c>
      <c r="C755" s="21" t="s">
        <v>8</v>
      </c>
      <c r="D755" s="21" t="s">
        <v>237</v>
      </c>
      <c r="E755" s="21" t="s">
        <v>9</v>
      </c>
      <c r="F755" s="5812">
        <v>3</v>
      </c>
      <c r="G755" s="5813">
        <v>0.20833333333333334</v>
      </c>
      <c r="H755" s="21" t="s">
        <v>10</v>
      </c>
      <c r="I755" s="21" t="s">
        <v>2297</v>
      </c>
      <c r="J755" s="21" t="s">
        <v>4365</v>
      </c>
      <c r="K755" s="5814" t="s">
        <v>4366</v>
      </c>
    </row>
    <row r="756" spans="1:11">
      <c r="A756" s="21" t="s">
        <v>2932</v>
      </c>
      <c r="B756" s="21" t="s">
        <v>4367</v>
      </c>
      <c r="C756" s="21" t="s">
        <v>8</v>
      </c>
      <c r="D756" s="21" t="s">
        <v>237</v>
      </c>
      <c r="E756" s="21" t="s">
        <v>9</v>
      </c>
      <c r="F756" s="5812">
        <v>3</v>
      </c>
      <c r="G756" s="5813">
        <v>0.20833333333333334</v>
      </c>
      <c r="H756" s="21" t="s">
        <v>10</v>
      </c>
      <c r="I756" s="21" t="s">
        <v>39</v>
      </c>
      <c r="J756" s="21" t="s">
        <v>4368</v>
      </c>
      <c r="K756" s="5814" t="s">
        <v>4369</v>
      </c>
    </row>
    <row r="757" spans="1:11">
      <c r="A757" s="21" t="s">
        <v>3828</v>
      </c>
      <c r="B757" s="21" t="s">
        <v>4370</v>
      </c>
      <c r="C757" s="21" t="s">
        <v>8</v>
      </c>
      <c r="D757" s="21" t="s">
        <v>237</v>
      </c>
      <c r="E757" s="21" t="s">
        <v>9</v>
      </c>
      <c r="F757" s="5812">
        <v>3</v>
      </c>
      <c r="G757" s="5813">
        <v>0.20833333333333334</v>
      </c>
      <c r="H757" s="21" t="s">
        <v>10</v>
      </c>
      <c r="I757" s="21" t="s">
        <v>2297</v>
      </c>
      <c r="J757" s="21" t="s">
        <v>4371</v>
      </c>
      <c r="K757" s="5814" t="s">
        <v>4372</v>
      </c>
    </row>
    <row r="758" spans="1:11">
      <c r="A758" s="21" t="s">
        <v>3828</v>
      </c>
      <c r="B758" s="21" t="s">
        <v>4373</v>
      </c>
      <c r="C758" s="21" t="s">
        <v>8</v>
      </c>
      <c r="D758" s="21" t="s">
        <v>237</v>
      </c>
      <c r="E758" s="21" t="s">
        <v>9</v>
      </c>
      <c r="F758" s="5812">
        <v>3</v>
      </c>
      <c r="G758" s="5813">
        <v>0.20833333333333334</v>
      </c>
      <c r="H758" s="21" t="s">
        <v>10</v>
      </c>
      <c r="I758" s="21" t="s">
        <v>2297</v>
      </c>
      <c r="J758" s="21" t="s">
        <v>4374</v>
      </c>
      <c r="K758" s="5814" t="s">
        <v>4375</v>
      </c>
    </row>
    <row r="759" spans="1:11">
      <c r="A759" s="21" t="s">
        <v>3192</v>
      </c>
      <c r="B759" s="21" t="s">
        <v>4376</v>
      </c>
      <c r="C759" s="21" t="s">
        <v>8</v>
      </c>
      <c r="D759" s="21" t="s">
        <v>237</v>
      </c>
      <c r="E759" s="21" t="s">
        <v>9</v>
      </c>
      <c r="F759" s="5812">
        <v>3</v>
      </c>
      <c r="G759" s="5813">
        <v>0.20833333333333334</v>
      </c>
      <c r="H759" s="21" t="s">
        <v>10</v>
      </c>
      <c r="I759" s="21" t="s">
        <v>55</v>
      </c>
      <c r="J759" s="21" t="s">
        <v>4377</v>
      </c>
      <c r="K759" s="5814" t="s">
        <v>4378</v>
      </c>
    </row>
    <row r="760" spans="1:11">
      <c r="A760" s="21" t="s">
        <v>4379</v>
      </c>
      <c r="B760" s="21" t="s">
        <v>4380</v>
      </c>
      <c r="C760" s="21" t="s">
        <v>8</v>
      </c>
      <c r="D760" s="21" t="s">
        <v>237</v>
      </c>
      <c r="E760" s="21" t="s">
        <v>9</v>
      </c>
      <c r="F760" s="5812">
        <v>3</v>
      </c>
      <c r="G760" s="5813">
        <v>0.20833333333333334</v>
      </c>
      <c r="H760" s="21" t="s">
        <v>10</v>
      </c>
      <c r="I760" s="21" t="s">
        <v>96</v>
      </c>
      <c r="J760" s="21" t="s">
        <v>4381</v>
      </c>
      <c r="K760" s="5814" t="s">
        <v>4382</v>
      </c>
    </row>
    <row r="761" spans="1:11">
      <c r="A761" s="21" t="s">
        <v>4383</v>
      </c>
      <c r="B761" s="21" t="s">
        <v>4384</v>
      </c>
      <c r="C761" s="21" t="s">
        <v>8</v>
      </c>
      <c r="D761" s="21" t="s">
        <v>237</v>
      </c>
      <c r="E761" s="21" t="s">
        <v>9</v>
      </c>
      <c r="F761" s="5812">
        <v>3</v>
      </c>
      <c r="G761" s="5813">
        <v>0.20833333333333334</v>
      </c>
      <c r="H761" s="21" t="s">
        <v>10</v>
      </c>
      <c r="I761" s="21" t="s">
        <v>2297</v>
      </c>
      <c r="J761" s="21" t="s">
        <v>4385</v>
      </c>
      <c r="K761" s="5814" t="s">
        <v>4386</v>
      </c>
    </row>
    <row r="762" spans="1:11">
      <c r="A762" s="21" t="s">
        <v>4383</v>
      </c>
      <c r="B762" s="21" t="s">
        <v>4387</v>
      </c>
      <c r="C762" s="21" t="s">
        <v>22</v>
      </c>
      <c r="D762" s="21" t="s">
        <v>237</v>
      </c>
      <c r="E762" s="21" t="s">
        <v>9</v>
      </c>
      <c r="F762" s="5812">
        <v>3</v>
      </c>
      <c r="G762" s="5813">
        <v>0.20833333333333334</v>
      </c>
      <c r="H762" s="21" t="s">
        <v>10</v>
      </c>
      <c r="I762" s="21" t="s">
        <v>2297</v>
      </c>
      <c r="J762" s="21" t="s">
        <v>4388</v>
      </c>
      <c r="K762" s="5814" t="s">
        <v>4389</v>
      </c>
    </row>
    <row r="763" spans="1:11">
      <c r="A763" s="21" t="s">
        <v>2254</v>
      </c>
      <c r="B763" s="21" t="s">
        <v>4390</v>
      </c>
      <c r="C763" s="21" t="s">
        <v>22</v>
      </c>
      <c r="D763" s="21" t="s">
        <v>237</v>
      </c>
      <c r="E763" s="21" t="s">
        <v>9</v>
      </c>
      <c r="F763" s="5812">
        <v>3</v>
      </c>
      <c r="G763" s="5813">
        <v>0.20833333333333334</v>
      </c>
      <c r="H763" s="21" t="s">
        <v>10</v>
      </c>
      <c r="I763" s="21" t="s">
        <v>55</v>
      </c>
      <c r="J763" s="21" t="s">
        <v>4391</v>
      </c>
      <c r="K763" s="5814" t="s">
        <v>4392</v>
      </c>
    </row>
    <row r="764" spans="1:11">
      <c r="A764" s="21" t="s">
        <v>2921</v>
      </c>
      <c r="B764" s="21" t="s">
        <v>4393</v>
      </c>
      <c r="C764" s="21" t="s">
        <v>8</v>
      </c>
      <c r="D764" s="21" t="s">
        <v>237</v>
      </c>
      <c r="E764" s="21" t="s">
        <v>9</v>
      </c>
      <c r="F764" s="5812">
        <v>3</v>
      </c>
      <c r="G764" s="5813">
        <v>0.20833333333333334</v>
      </c>
      <c r="H764" s="21" t="s">
        <v>10</v>
      </c>
      <c r="I764" s="21" t="s">
        <v>55</v>
      </c>
      <c r="J764" s="21" t="s">
        <v>4394</v>
      </c>
      <c r="K764" s="5814" t="s">
        <v>4395</v>
      </c>
    </row>
    <row r="765" spans="1:11">
      <c r="A765" s="21" t="s">
        <v>4396</v>
      </c>
      <c r="B765" s="21" t="s">
        <v>4397</v>
      </c>
      <c r="C765" s="21" t="s">
        <v>8</v>
      </c>
      <c r="D765" s="21" t="s">
        <v>237</v>
      </c>
      <c r="E765" s="21" t="s">
        <v>9</v>
      </c>
      <c r="F765" s="5812">
        <v>3</v>
      </c>
      <c r="G765" s="5813">
        <v>0.20833333333333334</v>
      </c>
      <c r="H765" s="21" t="s">
        <v>10</v>
      </c>
      <c r="I765" s="21" t="s">
        <v>2872</v>
      </c>
      <c r="J765" s="21" t="s">
        <v>4398</v>
      </c>
      <c r="K765" s="5814" t="s">
        <v>4399</v>
      </c>
    </row>
    <row r="766" spans="1:11">
      <c r="A766" s="21" t="s">
        <v>2258</v>
      </c>
      <c r="B766" s="21" t="s">
        <v>4400</v>
      </c>
      <c r="C766" s="21" t="s">
        <v>22</v>
      </c>
      <c r="D766" s="21" t="s">
        <v>237</v>
      </c>
      <c r="E766" s="21" t="s">
        <v>9</v>
      </c>
      <c r="F766" s="5812">
        <v>3</v>
      </c>
      <c r="G766" s="5813">
        <v>0.20833333333333334</v>
      </c>
      <c r="H766" s="21" t="s">
        <v>10</v>
      </c>
      <c r="I766" s="21" t="s">
        <v>2731</v>
      </c>
      <c r="J766" s="21" t="s">
        <v>4401</v>
      </c>
      <c r="K766" s="5814" t="s">
        <v>4402</v>
      </c>
    </row>
    <row r="767" spans="1:11">
      <c r="A767" s="21" t="s">
        <v>2258</v>
      </c>
      <c r="B767" s="21" t="s">
        <v>4403</v>
      </c>
      <c r="C767" s="21" t="s">
        <v>8</v>
      </c>
      <c r="D767" s="21" t="s">
        <v>237</v>
      </c>
      <c r="E767" s="21" t="s">
        <v>9</v>
      </c>
      <c r="F767" s="5812">
        <v>3</v>
      </c>
      <c r="G767" s="5813">
        <v>0.20833333333333334</v>
      </c>
      <c r="H767" s="21" t="s">
        <v>10</v>
      </c>
      <c r="I767" s="21" t="s">
        <v>2731</v>
      </c>
      <c r="J767" s="21" t="s">
        <v>4404</v>
      </c>
      <c r="K767" s="5814" t="s">
        <v>4405</v>
      </c>
    </row>
    <row r="768" spans="1:11">
      <c r="A768" s="21" t="s">
        <v>3565</v>
      </c>
      <c r="B768" s="21" t="s">
        <v>4406</v>
      </c>
      <c r="C768" s="21" t="s">
        <v>8</v>
      </c>
      <c r="D768" s="21" t="s">
        <v>237</v>
      </c>
      <c r="E768" s="21" t="s">
        <v>9</v>
      </c>
      <c r="F768" s="5812">
        <v>3</v>
      </c>
      <c r="G768" s="5813">
        <v>0.20833333333333334</v>
      </c>
      <c r="H768" s="21" t="s">
        <v>10</v>
      </c>
      <c r="I768" s="21" t="s">
        <v>11</v>
      </c>
      <c r="J768" s="21" t="s">
        <v>4407</v>
      </c>
      <c r="K768" s="5814" t="s">
        <v>4408</v>
      </c>
    </row>
    <row r="769" spans="1:11">
      <c r="A769" s="21" t="s">
        <v>4409</v>
      </c>
      <c r="B769" s="21" t="s">
        <v>4410</v>
      </c>
      <c r="C769" s="21" t="s">
        <v>22</v>
      </c>
      <c r="D769" s="21" t="s">
        <v>237</v>
      </c>
      <c r="E769" s="21" t="s">
        <v>9</v>
      </c>
      <c r="F769" s="5812">
        <v>3</v>
      </c>
      <c r="G769" s="5813">
        <v>0.20833333333333334</v>
      </c>
      <c r="H769" s="21" t="s">
        <v>10</v>
      </c>
      <c r="I769" s="21" t="s">
        <v>39</v>
      </c>
      <c r="J769" s="21" t="s">
        <v>4411</v>
      </c>
      <c r="K769" s="5814" t="s">
        <v>4412</v>
      </c>
    </row>
    <row r="770" spans="1:11">
      <c r="A770" s="21" t="s">
        <v>2846</v>
      </c>
      <c r="B770" s="21" t="s">
        <v>4413</v>
      </c>
      <c r="C770" s="21" t="s">
        <v>8</v>
      </c>
      <c r="D770" s="21" t="s">
        <v>237</v>
      </c>
      <c r="E770" s="21" t="s">
        <v>9</v>
      </c>
      <c r="F770" s="5812">
        <v>3</v>
      </c>
      <c r="G770" s="5813">
        <v>0.20833333333333334</v>
      </c>
      <c r="H770" s="21" t="s">
        <v>10</v>
      </c>
      <c r="I770" s="21" t="s">
        <v>263</v>
      </c>
      <c r="J770" s="21" t="s">
        <v>4414</v>
      </c>
      <c r="K770" s="5814" t="s">
        <v>4415</v>
      </c>
    </row>
    <row r="771" spans="1:11">
      <c r="A771" s="21" t="s">
        <v>3144</v>
      </c>
      <c r="B771" s="21" t="s">
        <v>4416</v>
      </c>
      <c r="C771" s="21" t="s">
        <v>8</v>
      </c>
      <c r="D771" s="21" t="s">
        <v>237</v>
      </c>
      <c r="E771" s="21" t="s">
        <v>9</v>
      </c>
      <c r="F771" s="5812">
        <v>3</v>
      </c>
      <c r="G771" s="5813">
        <v>0.20833333333333334</v>
      </c>
      <c r="H771" s="21" t="s">
        <v>10</v>
      </c>
      <c r="I771" s="21" t="s">
        <v>4417</v>
      </c>
      <c r="J771" s="21" t="s">
        <v>4418</v>
      </c>
      <c r="K771" s="5814" t="s">
        <v>4419</v>
      </c>
    </row>
    <row r="772" spans="1:11">
      <c r="A772" s="21" t="s">
        <v>2850</v>
      </c>
      <c r="B772" s="21" t="s">
        <v>4420</v>
      </c>
      <c r="C772" s="21" t="s">
        <v>8</v>
      </c>
      <c r="D772" s="21" t="s">
        <v>237</v>
      </c>
      <c r="E772" s="21" t="s">
        <v>9</v>
      </c>
      <c r="F772" s="5812">
        <v>3</v>
      </c>
      <c r="G772" s="5813">
        <v>0.20833333333333334</v>
      </c>
      <c r="H772" s="21" t="s">
        <v>10</v>
      </c>
      <c r="I772" s="21"/>
      <c r="J772" s="21" t="s">
        <v>4421</v>
      </c>
      <c r="K772" s="5814" t="s">
        <v>4422</v>
      </c>
    </row>
    <row r="773" spans="1:11">
      <c r="A773" s="21" t="s">
        <v>4423</v>
      </c>
      <c r="B773" s="21" t="s">
        <v>4424</v>
      </c>
      <c r="C773" s="21" t="s">
        <v>8</v>
      </c>
      <c r="D773" s="21" t="s">
        <v>237</v>
      </c>
      <c r="E773" s="21" t="s">
        <v>9</v>
      </c>
      <c r="F773" s="5812">
        <v>3</v>
      </c>
      <c r="G773" s="5813">
        <v>0.20833333333333334</v>
      </c>
      <c r="H773" s="21" t="s">
        <v>10</v>
      </c>
      <c r="I773" s="21" t="s">
        <v>2297</v>
      </c>
      <c r="J773" s="21" t="s">
        <v>4425</v>
      </c>
      <c r="K773" s="5814" t="s">
        <v>4426</v>
      </c>
    </row>
    <row r="774" spans="1:11">
      <c r="A774" s="21" t="s">
        <v>2854</v>
      </c>
      <c r="B774" s="21" t="s">
        <v>4427</v>
      </c>
      <c r="C774" s="21" t="s">
        <v>8</v>
      </c>
      <c r="D774" s="21" t="s">
        <v>237</v>
      </c>
      <c r="E774" s="21" t="s">
        <v>9</v>
      </c>
      <c r="F774" s="5812">
        <v>3</v>
      </c>
      <c r="G774" s="5813">
        <v>0.20833333333333334</v>
      </c>
      <c r="H774" s="21" t="s">
        <v>10</v>
      </c>
      <c r="I774" s="21" t="s">
        <v>226</v>
      </c>
      <c r="J774" s="21" t="s">
        <v>4428</v>
      </c>
      <c r="K774" s="5814" t="s">
        <v>4429</v>
      </c>
    </row>
    <row r="775" spans="1:11">
      <c r="A775" s="21" t="s">
        <v>4430</v>
      </c>
      <c r="B775" s="21" t="s">
        <v>4431</v>
      </c>
      <c r="C775" s="21" t="s">
        <v>8</v>
      </c>
      <c r="D775" s="21" t="s">
        <v>237</v>
      </c>
      <c r="E775" s="21" t="s">
        <v>9</v>
      </c>
      <c r="F775" s="5812">
        <v>3</v>
      </c>
      <c r="G775" s="5813">
        <v>0.20833333333333334</v>
      </c>
      <c r="H775" s="21" t="s">
        <v>10</v>
      </c>
      <c r="I775" s="21" t="s">
        <v>47</v>
      </c>
      <c r="J775" s="21" t="s">
        <v>4432</v>
      </c>
      <c r="K775" s="5814" t="s">
        <v>4433</v>
      </c>
    </row>
    <row r="776" spans="1:11">
      <c r="A776" s="21" t="s">
        <v>4434</v>
      </c>
      <c r="B776" s="21" t="s">
        <v>4435</v>
      </c>
      <c r="C776" s="21" t="s">
        <v>8</v>
      </c>
      <c r="D776" s="21" t="s">
        <v>237</v>
      </c>
      <c r="E776" s="21" t="s">
        <v>9</v>
      </c>
      <c r="F776" s="5812">
        <v>3</v>
      </c>
      <c r="G776" s="5813">
        <v>0.20833333333333334</v>
      </c>
      <c r="H776" s="21" t="s">
        <v>10</v>
      </c>
      <c r="I776" s="21" t="s">
        <v>73</v>
      </c>
      <c r="J776" s="21" t="s">
        <v>4436</v>
      </c>
      <c r="K776" s="5814" t="s">
        <v>4437</v>
      </c>
    </row>
    <row r="777" spans="1:11">
      <c r="A777" s="21" t="s">
        <v>2280</v>
      </c>
      <c r="B777" s="21" t="s">
        <v>4438</v>
      </c>
      <c r="C777" s="21" t="s">
        <v>8</v>
      </c>
      <c r="D777" s="21" t="s">
        <v>237</v>
      </c>
      <c r="E777" s="21" t="s">
        <v>9</v>
      </c>
      <c r="F777" s="5812">
        <v>3</v>
      </c>
      <c r="G777" s="5813">
        <v>0.20833333333333334</v>
      </c>
      <c r="H777" s="21" t="s">
        <v>10</v>
      </c>
      <c r="I777" s="21" t="s">
        <v>96</v>
      </c>
      <c r="J777" s="21" t="s">
        <v>4439</v>
      </c>
      <c r="K777" s="5814" t="s">
        <v>4440</v>
      </c>
    </row>
    <row r="778" spans="1:11">
      <c r="A778" s="21" t="s">
        <v>3098</v>
      </c>
      <c r="B778" s="21" t="s">
        <v>4441</v>
      </c>
      <c r="C778" s="21" t="s">
        <v>22</v>
      </c>
      <c r="D778" s="21" t="s">
        <v>237</v>
      </c>
      <c r="E778" s="21" t="s">
        <v>9</v>
      </c>
      <c r="F778" s="5812">
        <v>3</v>
      </c>
      <c r="G778" s="5813">
        <v>0.20833333333333334</v>
      </c>
      <c r="H778" s="21" t="s">
        <v>10</v>
      </c>
      <c r="I778" s="21" t="s">
        <v>2713</v>
      </c>
      <c r="J778" s="21" t="s">
        <v>4442</v>
      </c>
      <c r="K778" s="5814" t="s">
        <v>4443</v>
      </c>
    </row>
    <row r="779" spans="1:11">
      <c r="A779" s="21" t="s">
        <v>3260</v>
      </c>
      <c r="B779" s="21" t="s">
        <v>4444</v>
      </c>
      <c r="C779" s="21" t="s">
        <v>8</v>
      </c>
      <c r="D779" s="21" t="s">
        <v>237</v>
      </c>
      <c r="E779" s="21" t="s">
        <v>9</v>
      </c>
      <c r="F779" s="5812">
        <v>3</v>
      </c>
      <c r="G779" s="5813">
        <v>0.20833333333333334</v>
      </c>
      <c r="H779" s="21" t="s">
        <v>10</v>
      </c>
      <c r="I779" s="21" t="s">
        <v>2247</v>
      </c>
      <c r="J779" s="21" t="s">
        <v>4445</v>
      </c>
      <c r="K779" s="5814" t="s">
        <v>4446</v>
      </c>
    </row>
    <row r="780" spans="1:11">
      <c r="A780" s="21" t="s">
        <v>71</v>
      </c>
      <c r="B780" s="21" t="s">
        <v>334</v>
      </c>
      <c r="C780" s="21" t="s">
        <v>22</v>
      </c>
      <c r="D780" s="21" t="s">
        <v>237</v>
      </c>
      <c r="E780" s="21" t="s">
        <v>9</v>
      </c>
      <c r="F780" s="5812">
        <v>5</v>
      </c>
      <c r="G780" s="5813">
        <v>0.20833333333333334</v>
      </c>
      <c r="H780" s="21" t="s">
        <v>54</v>
      </c>
      <c r="I780" s="21" t="s">
        <v>55</v>
      </c>
      <c r="J780" s="21" t="s">
        <v>335</v>
      </c>
      <c r="K780" s="5814" t="s">
        <v>4447</v>
      </c>
    </row>
    <row r="781" spans="1:11">
      <c r="A781" s="21" t="s">
        <v>3664</v>
      </c>
      <c r="B781" s="21" t="s">
        <v>4448</v>
      </c>
      <c r="C781" s="21" t="s">
        <v>22</v>
      </c>
      <c r="D781" s="21" t="s">
        <v>237</v>
      </c>
      <c r="E781" s="21" t="s">
        <v>9</v>
      </c>
      <c r="F781" s="5812">
        <v>5</v>
      </c>
      <c r="G781" s="5813">
        <v>0.20833333333333334</v>
      </c>
      <c r="H781" s="21" t="s">
        <v>54</v>
      </c>
      <c r="I781" s="21" t="s">
        <v>47</v>
      </c>
      <c r="J781" s="21" t="s">
        <v>4449</v>
      </c>
      <c r="K781" s="5814" t="s">
        <v>4450</v>
      </c>
    </row>
    <row r="782" spans="1:11">
      <c r="A782" s="21" t="s">
        <v>2334</v>
      </c>
      <c r="B782" s="21" t="s">
        <v>4451</v>
      </c>
      <c r="C782" s="21" t="s">
        <v>8</v>
      </c>
      <c r="D782" s="21" t="s">
        <v>237</v>
      </c>
      <c r="E782" s="21" t="s">
        <v>9</v>
      </c>
      <c r="F782" s="5812">
        <v>5</v>
      </c>
      <c r="G782" s="5813">
        <v>0.20833333333333334</v>
      </c>
      <c r="H782" s="21" t="s">
        <v>54</v>
      </c>
      <c r="I782" s="21" t="s">
        <v>96</v>
      </c>
      <c r="J782" s="21" t="s">
        <v>4452</v>
      </c>
      <c r="K782" s="5814" t="s">
        <v>4453</v>
      </c>
    </row>
    <row r="783" spans="1:11">
      <c r="A783" s="21" t="s">
        <v>3946</v>
      </c>
      <c r="B783" s="21" t="s">
        <v>4454</v>
      </c>
      <c r="C783" s="21" t="s">
        <v>8</v>
      </c>
      <c r="D783" s="21" t="s">
        <v>237</v>
      </c>
      <c r="E783" s="21" t="s">
        <v>9</v>
      </c>
      <c r="F783" s="5812">
        <v>5</v>
      </c>
      <c r="G783" s="5813">
        <v>0.20833333333333334</v>
      </c>
      <c r="H783" s="21" t="s">
        <v>54</v>
      </c>
      <c r="I783" s="21" t="s">
        <v>11</v>
      </c>
      <c r="J783" s="21" t="s">
        <v>4455</v>
      </c>
      <c r="K783" s="5814" t="s">
        <v>4456</v>
      </c>
    </row>
    <row r="784" spans="1:11">
      <c r="A784" s="21" t="s">
        <v>3105</v>
      </c>
      <c r="B784" s="21" t="s">
        <v>4457</v>
      </c>
      <c r="C784" s="21" t="s">
        <v>8</v>
      </c>
      <c r="D784" s="21" t="s">
        <v>237</v>
      </c>
      <c r="E784" s="21" t="s">
        <v>9</v>
      </c>
      <c r="F784" s="5812">
        <v>5</v>
      </c>
      <c r="G784" s="5813">
        <v>0.20833333333333334</v>
      </c>
      <c r="H784" s="21" t="s">
        <v>54</v>
      </c>
      <c r="I784" s="21" t="s">
        <v>47</v>
      </c>
      <c r="J784" s="21" t="s">
        <v>4458</v>
      </c>
      <c r="K784" s="5814" t="s">
        <v>4459</v>
      </c>
    </row>
    <row r="785" spans="1:11">
      <c r="A785" s="21" t="s">
        <v>2495</v>
      </c>
      <c r="B785" s="21" t="s">
        <v>4460</v>
      </c>
      <c r="C785" s="21" t="s">
        <v>8</v>
      </c>
      <c r="D785" s="21" t="s">
        <v>237</v>
      </c>
      <c r="E785" s="21" t="s">
        <v>9</v>
      </c>
      <c r="F785" s="5812">
        <v>5</v>
      </c>
      <c r="G785" s="5813">
        <v>0.20833333333333334</v>
      </c>
      <c r="H785" s="21" t="s">
        <v>54</v>
      </c>
      <c r="I785" s="21" t="s">
        <v>55</v>
      </c>
      <c r="J785" s="21" t="s">
        <v>4461</v>
      </c>
      <c r="K785" s="5814" t="s">
        <v>4462</v>
      </c>
    </row>
    <row r="786" spans="1:11">
      <c r="A786" s="21" t="s">
        <v>4043</v>
      </c>
      <c r="B786" s="21" t="s">
        <v>4463</v>
      </c>
      <c r="C786" s="21" t="s">
        <v>8</v>
      </c>
      <c r="D786" s="21" t="s">
        <v>237</v>
      </c>
      <c r="E786" s="21" t="s">
        <v>9</v>
      </c>
      <c r="F786" s="5812">
        <v>5</v>
      </c>
      <c r="G786" s="5813">
        <v>0.20833333333333334</v>
      </c>
      <c r="H786" s="21" t="s">
        <v>54</v>
      </c>
      <c r="I786" s="21" t="s">
        <v>55</v>
      </c>
      <c r="J786" s="21" t="s">
        <v>4464</v>
      </c>
      <c r="K786" s="5814" t="s">
        <v>4465</v>
      </c>
    </row>
    <row r="787" spans="1:11">
      <c r="A787" s="21" t="s">
        <v>2938</v>
      </c>
      <c r="B787" s="21" t="s">
        <v>4466</v>
      </c>
      <c r="C787" s="21" t="s">
        <v>8</v>
      </c>
      <c r="D787" s="21" t="s">
        <v>237</v>
      </c>
      <c r="E787" s="21" t="s">
        <v>9</v>
      </c>
      <c r="F787" s="5812">
        <v>5</v>
      </c>
      <c r="G787" s="5813">
        <v>0.20833333333333334</v>
      </c>
      <c r="H787" s="21" t="s">
        <v>54</v>
      </c>
      <c r="I787" s="21" t="s">
        <v>2313</v>
      </c>
      <c r="J787" s="21" t="s">
        <v>4467</v>
      </c>
      <c r="K787" s="5814" t="s">
        <v>4468</v>
      </c>
    </row>
    <row r="788" spans="1:11">
      <c r="A788" s="21" t="s">
        <v>3387</v>
      </c>
      <c r="B788" s="21" t="s">
        <v>4469</v>
      </c>
      <c r="C788" s="21" t="s">
        <v>8</v>
      </c>
      <c r="D788" s="21" t="s">
        <v>237</v>
      </c>
      <c r="E788" s="21" t="s">
        <v>9</v>
      </c>
      <c r="F788" s="5812">
        <v>5</v>
      </c>
      <c r="G788" s="5813">
        <v>0.20833333333333334</v>
      </c>
      <c r="H788" s="21" t="s">
        <v>54</v>
      </c>
      <c r="I788" s="21" t="s">
        <v>55</v>
      </c>
      <c r="J788" s="21" t="s">
        <v>4470</v>
      </c>
      <c r="K788" s="5814" t="s">
        <v>4471</v>
      </c>
    </row>
    <row r="789" spans="1:11">
      <c r="A789" s="21" t="s">
        <v>2780</v>
      </c>
      <c r="B789" s="21" t="s">
        <v>4472</v>
      </c>
      <c r="C789" s="21" t="s">
        <v>8</v>
      </c>
      <c r="D789" s="21" t="s">
        <v>237</v>
      </c>
      <c r="E789" s="21" t="s">
        <v>9</v>
      </c>
      <c r="F789" s="5812">
        <v>5</v>
      </c>
      <c r="G789" s="5813">
        <v>0.20833333333333334</v>
      </c>
      <c r="H789" s="21" t="s">
        <v>54</v>
      </c>
      <c r="I789" s="21" t="s">
        <v>55</v>
      </c>
      <c r="J789" s="21" t="s">
        <v>4473</v>
      </c>
      <c r="K789" s="5814" t="s">
        <v>4474</v>
      </c>
    </row>
    <row r="790" spans="1:11">
      <c r="A790" s="21" t="s">
        <v>3170</v>
      </c>
      <c r="B790" s="21" t="s">
        <v>4475</v>
      </c>
      <c r="C790" s="21" t="s">
        <v>8</v>
      </c>
      <c r="D790" s="21" t="s">
        <v>237</v>
      </c>
      <c r="E790" s="21" t="s">
        <v>9</v>
      </c>
      <c r="F790" s="5812">
        <v>5</v>
      </c>
      <c r="G790" s="5813">
        <v>0.20833333333333334</v>
      </c>
      <c r="H790" s="21" t="s">
        <v>54</v>
      </c>
      <c r="I790" s="21" t="s">
        <v>2269</v>
      </c>
      <c r="J790" s="21" t="s">
        <v>4476</v>
      </c>
      <c r="K790" s="5814" t="s">
        <v>4477</v>
      </c>
    </row>
    <row r="791" spans="1:11">
      <c r="A791" s="21" t="s">
        <v>2878</v>
      </c>
      <c r="B791" s="21" t="s">
        <v>4478</v>
      </c>
      <c r="C791" s="21" t="s">
        <v>8</v>
      </c>
      <c r="D791" s="21" t="s">
        <v>237</v>
      </c>
      <c r="E791" s="21" t="s">
        <v>46</v>
      </c>
      <c r="F791" s="5812">
        <v>1</v>
      </c>
      <c r="G791" s="5813">
        <v>1.1111111111111112E-2</v>
      </c>
      <c r="H791" s="21" t="s">
        <v>10</v>
      </c>
      <c r="I791" s="21" t="s">
        <v>2872</v>
      </c>
      <c r="J791" s="21" t="s">
        <v>48</v>
      </c>
      <c r="K791" s="5814" t="s">
        <v>4479</v>
      </c>
    </row>
    <row r="792" spans="1:11">
      <c r="A792" s="21" t="s">
        <v>3134</v>
      </c>
      <c r="B792" s="21" t="s">
        <v>4480</v>
      </c>
      <c r="C792" s="21" t="s">
        <v>8</v>
      </c>
      <c r="D792" s="21" t="s">
        <v>237</v>
      </c>
      <c r="E792" s="21" t="s">
        <v>46</v>
      </c>
      <c r="F792" s="5812">
        <v>1</v>
      </c>
      <c r="G792" s="5813">
        <v>1.5277777777777777E-2</v>
      </c>
      <c r="H792" s="21" t="s">
        <v>10</v>
      </c>
      <c r="I792" s="21" t="s">
        <v>89</v>
      </c>
      <c r="J792" s="21" t="s">
        <v>48</v>
      </c>
      <c r="K792" s="5814" t="s">
        <v>4481</v>
      </c>
    </row>
    <row r="793" spans="1:11">
      <c r="A793" s="21" t="s">
        <v>2910</v>
      </c>
      <c r="B793" s="21" t="s">
        <v>4482</v>
      </c>
      <c r="C793" s="21" t="s">
        <v>8</v>
      </c>
      <c r="D793" s="21" t="s">
        <v>237</v>
      </c>
      <c r="E793" s="21" t="s">
        <v>46</v>
      </c>
      <c r="F793" s="5812">
        <v>1</v>
      </c>
      <c r="G793" s="5813">
        <v>1.8055555555555554E-2</v>
      </c>
      <c r="H793" s="21" t="s">
        <v>10</v>
      </c>
      <c r="I793" s="21" t="s">
        <v>23</v>
      </c>
      <c r="J793" s="21" t="s">
        <v>48</v>
      </c>
      <c r="K793" s="5814" t="s">
        <v>4483</v>
      </c>
    </row>
    <row r="794" spans="1:11">
      <c r="A794" s="21" t="s">
        <v>2225</v>
      </c>
      <c r="B794" s="21" t="s">
        <v>4484</v>
      </c>
      <c r="C794" s="21" t="s">
        <v>22</v>
      </c>
      <c r="D794" s="21" t="s">
        <v>237</v>
      </c>
      <c r="E794" s="21" t="s">
        <v>46</v>
      </c>
      <c r="F794" s="5812">
        <v>1</v>
      </c>
      <c r="G794" s="5813">
        <v>1.8055555555555554E-2</v>
      </c>
      <c r="H794" s="21" t="s">
        <v>10</v>
      </c>
      <c r="I794" s="21" t="s">
        <v>400</v>
      </c>
      <c r="J794" s="21" t="s">
        <v>722</v>
      </c>
      <c r="K794" s="5814" t="s">
        <v>4485</v>
      </c>
    </row>
    <row r="795" spans="1:11">
      <c r="A795" s="21" t="s">
        <v>2858</v>
      </c>
      <c r="B795" s="21" t="s">
        <v>4486</v>
      </c>
      <c r="C795" s="21" t="s">
        <v>22</v>
      </c>
      <c r="D795" s="21" t="s">
        <v>237</v>
      </c>
      <c r="E795" s="21" t="s">
        <v>46</v>
      </c>
      <c r="F795" s="5812">
        <v>1</v>
      </c>
      <c r="G795" s="5813">
        <v>1.9444444444444445E-2</v>
      </c>
      <c r="H795" s="21" t="s">
        <v>10</v>
      </c>
      <c r="I795" s="21" t="s">
        <v>2269</v>
      </c>
      <c r="J795" s="21" t="s">
        <v>406</v>
      </c>
      <c r="K795" s="5814" t="s">
        <v>4487</v>
      </c>
    </row>
    <row r="796" spans="1:11">
      <c r="A796" s="21" t="s">
        <v>2711</v>
      </c>
      <c r="B796" s="21" t="s">
        <v>4488</v>
      </c>
      <c r="C796" s="21" t="s">
        <v>8</v>
      </c>
      <c r="D796" s="21" t="s">
        <v>237</v>
      </c>
      <c r="E796" s="21" t="s">
        <v>46</v>
      </c>
      <c r="F796" s="5812">
        <v>1</v>
      </c>
      <c r="G796" s="5813">
        <v>2.7083333333333334E-2</v>
      </c>
      <c r="H796" s="21" t="s">
        <v>10</v>
      </c>
      <c r="I796" s="21" t="s">
        <v>233</v>
      </c>
      <c r="J796" s="21" t="s">
        <v>774</v>
      </c>
      <c r="K796" s="5814" t="s">
        <v>4489</v>
      </c>
    </row>
    <row r="797" spans="1:11">
      <c r="A797" s="21" t="s">
        <v>2893</v>
      </c>
      <c r="B797" s="21" t="s">
        <v>4490</v>
      </c>
      <c r="C797" s="21" t="s">
        <v>22</v>
      </c>
      <c r="D797" s="21" t="s">
        <v>237</v>
      </c>
      <c r="E797" s="21" t="s">
        <v>46</v>
      </c>
      <c r="F797" s="5812">
        <v>1</v>
      </c>
      <c r="G797" s="5813">
        <v>2.8472222222222222E-2</v>
      </c>
      <c r="H797" s="21" t="s">
        <v>10</v>
      </c>
      <c r="I797" s="21" t="s">
        <v>55</v>
      </c>
      <c r="J797" s="21" t="s">
        <v>48</v>
      </c>
      <c r="K797" s="5814" t="s">
        <v>4491</v>
      </c>
    </row>
    <row r="798" spans="1:11">
      <c r="A798" s="21" t="s">
        <v>160</v>
      </c>
      <c r="B798" s="21" t="s">
        <v>305</v>
      </c>
      <c r="C798" s="21" t="s">
        <v>22</v>
      </c>
      <c r="D798" s="21" t="s">
        <v>237</v>
      </c>
      <c r="E798" s="21" t="s">
        <v>46</v>
      </c>
      <c r="F798" s="5812">
        <v>1</v>
      </c>
      <c r="G798" s="5813">
        <v>3.0555555555555555E-2</v>
      </c>
      <c r="H798" s="21" t="s">
        <v>10</v>
      </c>
      <c r="I798" s="21" t="s">
        <v>306</v>
      </c>
      <c r="J798" s="21" t="s">
        <v>307</v>
      </c>
      <c r="K798" s="5814" t="s">
        <v>308</v>
      </c>
    </row>
    <row r="799" spans="1:11">
      <c r="A799" s="21" t="s">
        <v>223</v>
      </c>
      <c r="B799" s="21" t="s">
        <v>408</v>
      </c>
      <c r="C799" s="21" t="s">
        <v>22</v>
      </c>
      <c r="D799" s="21" t="s">
        <v>237</v>
      </c>
      <c r="E799" s="21" t="s">
        <v>46</v>
      </c>
      <c r="F799" s="5812">
        <v>1</v>
      </c>
      <c r="G799" s="5813">
        <v>3.4027777777777775E-2</v>
      </c>
      <c r="H799" s="21" t="s">
        <v>10</v>
      </c>
      <c r="I799" s="21" t="s">
        <v>11</v>
      </c>
      <c r="J799" s="21" t="s">
        <v>48</v>
      </c>
      <c r="K799" s="5814" t="s">
        <v>409</v>
      </c>
    </row>
    <row r="800" spans="1:11">
      <c r="A800" s="21" t="s">
        <v>3757</v>
      </c>
      <c r="B800" s="21" t="s">
        <v>4492</v>
      </c>
      <c r="C800" s="21" t="s">
        <v>22</v>
      </c>
      <c r="D800" s="21" t="s">
        <v>237</v>
      </c>
      <c r="E800" s="21" t="s">
        <v>46</v>
      </c>
      <c r="F800" s="5812">
        <v>1</v>
      </c>
      <c r="G800" s="5813">
        <v>3.4722222222222224E-2</v>
      </c>
      <c r="H800" s="21" t="s">
        <v>10</v>
      </c>
      <c r="I800" s="21" t="s">
        <v>187</v>
      </c>
      <c r="J800" s="21" t="s">
        <v>258</v>
      </c>
      <c r="K800" s="5814" t="s">
        <v>4493</v>
      </c>
    </row>
    <row r="801" spans="1:11">
      <c r="A801" s="21" t="s">
        <v>3026</v>
      </c>
      <c r="B801" s="21" t="s">
        <v>4494</v>
      </c>
      <c r="C801" s="21" t="s">
        <v>22</v>
      </c>
      <c r="D801" s="21" t="s">
        <v>237</v>
      </c>
      <c r="E801" s="21" t="s">
        <v>46</v>
      </c>
      <c r="F801" s="5812">
        <v>1</v>
      </c>
      <c r="G801" s="5813">
        <v>3.888888888888889E-2</v>
      </c>
      <c r="H801" s="21" t="s">
        <v>10</v>
      </c>
      <c r="I801" s="21" t="s">
        <v>39</v>
      </c>
      <c r="J801" s="21" t="s">
        <v>154</v>
      </c>
      <c r="K801" s="5814" t="s">
        <v>4495</v>
      </c>
    </row>
    <row r="802" spans="1:11">
      <c r="A802" s="21" t="s">
        <v>2605</v>
      </c>
      <c r="B802" s="21" t="s">
        <v>4496</v>
      </c>
      <c r="C802" s="21" t="s">
        <v>22</v>
      </c>
      <c r="D802" s="21" t="s">
        <v>237</v>
      </c>
      <c r="E802" s="21" t="s">
        <v>46</v>
      </c>
      <c r="F802" s="5812">
        <v>1</v>
      </c>
      <c r="G802" s="5813">
        <v>4.027777777777778E-2</v>
      </c>
      <c r="H802" s="21" t="s">
        <v>54</v>
      </c>
      <c r="I802" s="21" t="s">
        <v>2692</v>
      </c>
      <c r="J802" s="21" t="s">
        <v>48</v>
      </c>
      <c r="K802" s="5814" t="s">
        <v>4497</v>
      </c>
    </row>
    <row r="803" spans="1:11">
      <c r="A803" s="21" t="s">
        <v>2499</v>
      </c>
      <c r="B803" s="21" t="s">
        <v>4498</v>
      </c>
      <c r="C803" s="21" t="s">
        <v>8</v>
      </c>
      <c r="D803" s="21" t="s">
        <v>237</v>
      </c>
      <c r="E803" s="21" t="s">
        <v>46</v>
      </c>
      <c r="F803" s="5812">
        <v>1</v>
      </c>
      <c r="G803" s="5813">
        <v>4.3749999999999997E-2</v>
      </c>
      <c r="H803" s="21" t="s">
        <v>10</v>
      </c>
      <c r="I803" s="21" t="s">
        <v>96</v>
      </c>
      <c r="J803" s="21" t="s">
        <v>3004</v>
      </c>
      <c r="K803" s="5814" t="s">
        <v>4499</v>
      </c>
    </row>
    <row r="804" spans="1:11">
      <c r="A804" s="21" t="s">
        <v>2376</v>
      </c>
      <c r="B804" s="21" t="s">
        <v>4500</v>
      </c>
      <c r="C804" s="21" t="s">
        <v>22</v>
      </c>
      <c r="D804" s="21" t="s">
        <v>237</v>
      </c>
      <c r="E804" s="21" t="s">
        <v>46</v>
      </c>
      <c r="F804" s="5812">
        <v>1</v>
      </c>
      <c r="G804" s="5813">
        <v>4.6527777777777779E-2</v>
      </c>
      <c r="H804" s="21" t="s">
        <v>10</v>
      </c>
      <c r="I804" s="21" t="s">
        <v>39</v>
      </c>
      <c r="J804" s="21" t="s">
        <v>3148</v>
      </c>
      <c r="K804" s="5814" t="s">
        <v>4501</v>
      </c>
    </row>
    <row r="805" spans="1:11">
      <c r="A805" s="21" t="s">
        <v>2387</v>
      </c>
      <c r="B805" s="21" t="s">
        <v>4502</v>
      </c>
      <c r="C805" s="21" t="s">
        <v>8</v>
      </c>
      <c r="D805" s="21" t="s">
        <v>237</v>
      </c>
      <c r="E805" s="21" t="s">
        <v>46</v>
      </c>
      <c r="F805" s="5812">
        <v>1</v>
      </c>
      <c r="G805" s="5813">
        <v>4.791666666666667E-2</v>
      </c>
      <c r="H805" s="21" t="s">
        <v>10</v>
      </c>
      <c r="I805" s="21" t="s">
        <v>11</v>
      </c>
      <c r="J805" s="21" t="s">
        <v>258</v>
      </c>
      <c r="K805" s="5814" t="s">
        <v>4503</v>
      </c>
    </row>
    <row r="806" spans="1:11">
      <c r="A806" s="21" t="s">
        <v>2944</v>
      </c>
      <c r="B806" s="21" t="s">
        <v>4504</v>
      </c>
      <c r="C806" s="21" t="s">
        <v>8</v>
      </c>
      <c r="D806" s="21" t="s">
        <v>237</v>
      </c>
      <c r="E806" s="21" t="s">
        <v>46</v>
      </c>
      <c r="F806" s="5812">
        <v>1</v>
      </c>
      <c r="G806" s="5813">
        <v>0.05</v>
      </c>
      <c r="H806" s="21" t="s">
        <v>10</v>
      </c>
      <c r="I806" s="21" t="s">
        <v>89</v>
      </c>
      <c r="J806" s="21" t="s">
        <v>4505</v>
      </c>
      <c r="K806" s="5814" t="s">
        <v>4506</v>
      </c>
    </row>
    <row r="807" spans="1:11">
      <c r="A807" s="21" t="s">
        <v>3703</v>
      </c>
      <c r="B807" s="21" t="s">
        <v>4507</v>
      </c>
      <c r="C807" s="21" t="s">
        <v>22</v>
      </c>
      <c r="D807" s="21" t="s">
        <v>237</v>
      </c>
      <c r="E807" s="21" t="s">
        <v>46</v>
      </c>
      <c r="F807" s="5812">
        <v>1</v>
      </c>
      <c r="G807" s="5813">
        <v>5.2777777777777778E-2</v>
      </c>
      <c r="H807" s="21" t="s">
        <v>10</v>
      </c>
      <c r="I807" s="21" t="s">
        <v>2523</v>
      </c>
      <c r="J807" s="21" t="s">
        <v>722</v>
      </c>
      <c r="K807" s="5814" t="s">
        <v>4508</v>
      </c>
    </row>
    <row r="808" spans="1:11">
      <c r="A808" s="21" t="s">
        <v>2551</v>
      </c>
      <c r="B808" s="21" t="s">
        <v>4509</v>
      </c>
      <c r="C808" s="21" t="s">
        <v>22</v>
      </c>
      <c r="D808" s="21" t="s">
        <v>237</v>
      </c>
      <c r="E808" s="21" t="s">
        <v>46</v>
      </c>
      <c r="F808" s="5812">
        <v>1</v>
      </c>
      <c r="G808" s="5813">
        <v>5.9027777777777776E-2</v>
      </c>
      <c r="H808" s="21" t="s">
        <v>10</v>
      </c>
      <c r="I808" s="21" t="s">
        <v>4510</v>
      </c>
      <c r="J808" s="21" t="s">
        <v>430</v>
      </c>
      <c r="K808" s="5814" t="s">
        <v>4511</v>
      </c>
    </row>
    <row r="809" spans="1:11">
      <c r="A809" s="21" t="s">
        <v>103</v>
      </c>
      <c r="B809" s="21" t="s">
        <v>257</v>
      </c>
      <c r="C809" s="21" t="s">
        <v>22</v>
      </c>
      <c r="D809" s="21" t="s">
        <v>237</v>
      </c>
      <c r="E809" s="21" t="s">
        <v>46</v>
      </c>
      <c r="F809" s="5812">
        <v>1</v>
      </c>
      <c r="G809" s="5813">
        <v>6.1805555555555558E-2</v>
      </c>
      <c r="H809" s="21" t="s">
        <v>10</v>
      </c>
      <c r="I809" s="21" t="s">
        <v>39</v>
      </c>
      <c r="J809" s="21" t="s">
        <v>258</v>
      </c>
      <c r="K809" s="5814" t="s">
        <v>259</v>
      </c>
    </row>
    <row r="810" spans="1:11">
      <c r="A810" s="21" t="s">
        <v>223</v>
      </c>
      <c r="B810" s="21" t="s">
        <v>331</v>
      </c>
      <c r="C810" s="21" t="s">
        <v>8</v>
      </c>
      <c r="D810" s="21" t="s">
        <v>237</v>
      </c>
      <c r="E810" s="21" t="s">
        <v>46</v>
      </c>
      <c r="F810" s="5812">
        <v>1</v>
      </c>
      <c r="G810" s="5813">
        <v>6.25E-2</v>
      </c>
      <c r="H810" s="21" t="s">
        <v>10</v>
      </c>
      <c r="I810" s="21" t="s">
        <v>11</v>
      </c>
      <c r="J810" s="21" t="s">
        <v>97</v>
      </c>
      <c r="K810" s="5814" t="s">
        <v>332</v>
      </c>
    </row>
    <row r="811" spans="1:11">
      <c r="A811" s="21" t="s">
        <v>65</v>
      </c>
      <c r="B811" s="21" t="s">
        <v>328</v>
      </c>
      <c r="C811" s="21" t="s">
        <v>8</v>
      </c>
      <c r="D811" s="21" t="s">
        <v>237</v>
      </c>
      <c r="E811" s="21" t="s">
        <v>46</v>
      </c>
      <c r="F811" s="5812">
        <v>1</v>
      </c>
      <c r="G811" s="5813">
        <v>6.3194444444444442E-2</v>
      </c>
      <c r="H811" s="21" t="s">
        <v>10</v>
      </c>
      <c r="I811" s="21" t="s">
        <v>55</v>
      </c>
      <c r="J811" s="21" t="s">
        <v>48</v>
      </c>
      <c r="K811" s="5814" t="s">
        <v>329</v>
      </c>
    </row>
    <row r="812" spans="1:11">
      <c r="A812" s="21" t="s">
        <v>3338</v>
      </c>
      <c r="B812" s="21" t="s">
        <v>4512</v>
      </c>
      <c r="C812" s="21" t="s">
        <v>22</v>
      </c>
      <c r="D812" s="21" t="s">
        <v>237</v>
      </c>
      <c r="E812" s="21" t="s">
        <v>46</v>
      </c>
      <c r="F812" s="5812">
        <v>1</v>
      </c>
      <c r="G812" s="5813">
        <v>6.3888888888888884E-2</v>
      </c>
      <c r="H812" s="21" t="s">
        <v>10</v>
      </c>
      <c r="I812" s="21" t="s">
        <v>55</v>
      </c>
      <c r="J812" s="21" t="s">
        <v>97</v>
      </c>
      <c r="K812" s="5814" t="s">
        <v>4513</v>
      </c>
    </row>
    <row r="813" spans="1:11">
      <c r="A813" s="21" t="s">
        <v>2267</v>
      </c>
      <c r="B813" s="21" t="s">
        <v>4514</v>
      </c>
      <c r="C813" s="21" t="s">
        <v>8</v>
      </c>
      <c r="D813" s="21" t="s">
        <v>237</v>
      </c>
      <c r="E813" s="21" t="s">
        <v>46</v>
      </c>
      <c r="F813" s="5812">
        <v>1</v>
      </c>
      <c r="G813" s="5813">
        <v>6.458333333333334E-2</v>
      </c>
      <c r="H813" s="21" t="s">
        <v>10</v>
      </c>
      <c r="I813" s="21" t="s">
        <v>2660</v>
      </c>
      <c r="J813" s="21" t="s">
        <v>406</v>
      </c>
      <c r="K813" s="5814" t="s">
        <v>4515</v>
      </c>
    </row>
    <row r="814" spans="1:11">
      <c r="A814" s="21" t="s">
        <v>2571</v>
      </c>
      <c r="B814" s="21" t="s">
        <v>4516</v>
      </c>
      <c r="C814" s="21" t="s">
        <v>22</v>
      </c>
      <c r="D814" s="21" t="s">
        <v>237</v>
      </c>
      <c r="E814" s="21" t="s">
        <v>46</v>
      </c>
      <c r="F814" s="5812">
        <v>1</v>
      </c>
      <c r="G814" s="5813">
        <v>6.6666666666666666E-2</v>
      </c>
      <c r="H814" s="21" t="s">
        <v>10</v>
      </c>
      <c r="I814" s="21" t="s">
        <v>96</v>
      </c>
      <c r="J814" s="21" t="s">
        <v>48</v>
      </c>
      <c r="K814" s="5814" t="s">
        <v>4517</v>
      </c>
    </row>
    <row r="815" spans="1:11">
      <c r="A815" s="21" t="s">
        <v>2495</v>
      </c>
      <c r="B815" s="21" t="s">
        <v>4518</v>
      </c>
      <c r="C815" s="21" t="s">
        <v>22</v>
      </c>
      <c r="D815" s="21" t="s">
        <v>237</v>
      </c>
      <c r="E815" s="21" t="s">
        <v>46</v>
      </c>
      <c r="F815" s="5812">
        <v>1</v>
      </c>
      <c r="G815" s="5813">
        <v>6.7361111111111108E-2</v>
      </c>
      <c r="H815" s="21" t="s">
        <v>10</v>
      </c>
      <c r="I815" s="21" t="s">
        <v>39</v>
      </c>
      <c r="J815" s="21" t="s">
        <v>48</v>
      </c>
      <c r="K815" s="5814" t="s">
        <v>4519</v>
      </c>
    </row>
    <row r="816" spans="1:11">
      <c r="A816" s="21" t="s">
        <v>3345</v>
      </c>
      <c r="B816" s="21" t="s">
        <v>4520</v>
      </c>
      <c r="C816" s="21" t="s">
        <v>8</v>
      </c>
      <c r="D816" s="21" t="s">
        <v>237</v>
      </c>
      <c r="E816" s="21" t="s">
        <v>46</v>
      </c>
      <c r="F816" s="5812">
        <v>1</v>
      </c>
      <c r="G816" s="5813">
        <v>6.8750000000000006E-2</v>
      </c>
      <c r="H816" s="21" t="s">
        <v>54</v>
      </c>
      <c r="I816" s="21" t="s">
        <v>55</v>
      </c>
      <c r="J816" s="21" t="s">
        <v>4521</v>
      </c>
      <c r="K816" s="5814" t="s">
        <v>4522</v>
      </c>
    </row>
    <row r="817" spans="1:11">
      <c r="A817" s="21" t="s">
        <v>3243</v>
      </c>
      <c r="B817" s="21" t="s">
        <v>4523</v>
      </c>
      <c r="C817" s="21" t="s">
        <v>22</v>
      </c>
      <c r="D817" s="21" t="s">
        <v>237</v>
      </c>
      <c r="E817" s="21" t="s">
        <v>46</v>
      </c>
      <c r="F817" s="5812">
        <v>1</v>
      </c>
      <c r="G817" s="5813">
        <v>7.013888888888889E-2</v>
      </c>
      <c r="H817" s="21" t="s">
        <v>10</v>
      </c>
      <c r="I817" s="21" t="s">
        <v>23</v>
      </c>
      <c r="J817" s="21" t="s">
        <v>97</v>
      </c>
      <c r="K817" s="5814" t="s">
        <v>4524</v>
      </c>
    </row>
    <row r="818" spans="1:11">
      <c r="A818" s="21" t="s">
        <v>44</v>
      </c>
      <c r="B818" s="21" t="s">
        <v>317</v>
      </c>
      <c r="C818" s="21" t="s">
        <v>8</v>
      </c>
      <c r="D818" s="21" t="s">
        <v>237</v>
      </c>
      <c r="E818" s="21" t="s">
        <v>46</v>
      </c>
      <c r="F818" s="5812">
        <v>1</v>
      </c>
      <c r="G818" s="5813">
        <v>8.1250000000000003E-2</v>
      </c>
      <c r="H818" s="21" t="s">
        <v>10</v>
      </c>
      <c r="I818" s="21" t="s">
        <v>55</v>
      </c>
      <c r="J818" s="21" t="s">
        <v>48</v>
      </c>
      <c r="K818" s="5814" t="s">
        <v>318</v>
      </c>
    </row>
    <row r="819" spans="1:11">
      <c r="A819" s="21" t="s">
        <v>3116</v>
      </c>
      <c r="B819" s="21" t="s">
        <v>4525</v>
      </c>
      <c r="C819" s="21" t="s">
        <v>8</v>
      </c>
      <c r="D819" s="21" t="s">
        <v>237</v>
      </c>
      <c r="E819" s="21" t="s">
        <v>46</v>
      </c>
      <c r="F819" s="5812">
        <v>1</v>
      </c>
      <c r="G819" s="5813">
        <v>9.166666666666666E-2</v>
      </c>
      <c r="H819" s="21" t="s">
        <v>10</v>
      </c>
      <c r="I819" s="21" t="s">
        <v>55</v>
      </c>
      <c r="J819" s="21" t="s">
        <v>97</v>
      </c>
      <c r="K819" s="5814" t="s">
        <v>4526</v>
      </c>
    </row>
    <row r="820" spans="1:11">
      <c r="A820" s="21" t="s">
        <v>4527</v>
      </c>
      <c r="B820" s="21" t="s">
        <v>4528</v>
      </c>
      <c r="C820" s="21" t="s">
        <v>22</v>
      </c>
      <c r="D820" s="21" t="s">
        <v>237</v>
      </c>
      <c r="E820" s="21" t="s">
        <v>46</v>
      </c>
      <c r="F820" s="5812">
        <v>1</v>
      </c>
      <c r="G820" s="5813">
        <v>9.3055555555555558E-2</v>
      </c>
      <c r="H820" s="21" t="s">
        <v>10</v>
      </c>
      <c r="I820" s="21" t="s">
        <v>2660</v>
      </c>
      <c r="J820" s="21" t="s">
        <v>97</v>
      </c>
      <c r="K820" s="5814" t="s">
        <v>4529</v>
      </c>
    </row>
    <row r="821" spans="1:11">
      <c r="A821" s="21" t="s">
        <v>4423</v>
      </c>
      <c r="B821" s="21" t="s">
        <v>4530</v>
      </c>
      <c r="C821" s="21" t="s">
        <v>8</v>
      </c>
      <c r="D821" s="21" t="s">
        <v>237</v>
      </c>
      <c r="E821" s="21" t="s">
        <v>46</v>
      </c>
      <c r="F821" s="5812">
        <v>1</v>
      </c>
      <c r="G821" s="5813">
        <v>0.10277777777777777</v>
      </c>
      <c r="H821" s="21" t="s">
        <v>54</v>
      </c>
      <c r="I821" s="21" t="s">
        <v>2297</v>
      </c>
      <c r="J821" s="21" t="s">
        <v>406</v>
      </c>
      <c r="K821" s="5814" t="s">
        <v>4531</v>
      </c>
    </row>
    <row r="822" spans="1:11">
      <c r="A822" s="21" t="s">
        <v>2796</v>
      </c>
      <c r="B822" s="21" t="s">
        <v>4532</v>
      </c>
      <c r="C822" s="21" t="s">
        <v>22</v>
      </c>
      <c r="D822" s="21" t="s">
        <v>237</v>
      </c>
      <c r="E822" s="21" t="s">
        <v>46</v>
      </c>
      <c r="F822" s="5812">
        <v>1</v>
      </c>
      <c r="G822" s="5813">
        <v>0.10347222222222222</v>
      </c>
      <c r="H822" s="21" t="s">
        <v>54</v>
      </c>
      <c r="I822" s="21" t="s">
        <v>55</v>
      </c>
      <c r="J822" s="21" t="s">
        <v>48</v>
      </c>
      <c r="K822" s="5814" t="s">
        <v>4533</v>
      </c>
    </row>
    <row r="823" spans="1:11">
      <c r="A823" s="21" t="s">
        <v>3828</v>
      </c>
      <c r="B823" s="21" t="s">
        <v>4534</v>
      </c>
      <c r="C823" s="21" t="s">
        <v>8</v>
      </c>
      <c r="D823" s="21" t="s">
        <v>237</v>
      </c>
      <c r="E823" s="21" t="s">
        <v>46</v>
      </c>
      <c r="F823" s="5812">
        <v>1</v>
      </c>
      <c r="G823" s="5813">
        <v>0.10555555555555556</v>
      </c>
      <c r="H823" s="21" t="s">
        <v>10</v>
      </c>
      <c r="I823" s="21" t="s">
        <v>4535</v>
      </c>
      <c r="J823" s="21" t="s">
        <v>97</v>
      </c>
      <c r="K823" s="5814" t="s">
        <v>4536</v>
      </c>
    </row>
    <row r="824" spans="1:11">
      <c r="A824" s="21" t="s">
        <v>2438</v>
      </c>
      <c r="B824" s="21" t="s">
        <v>4537</v>
      </c>
      <c r="C824" s="21" t="s">
        <v>8</v>
      </c>
      <c r="D824" s="21" t="s">
        <v>237</v>
      </c>
      <c r="E824" s="21" t="s">
        <v>46</v>
      </c>
      <c r="F824" s="5812">
        <v>1</v>
      </c>
      <c r="G824" s="5813">
        <v>0.10625</v>
      </c>
      <c r="H824" s="21" t="s">
        <v>10</v>
      </c>
      <c r="I824" s="21" t="s">
        <v>2544</v>
      </c>
      <c r="J824" s="21" t="s">
        <v>97</v>
      </c>
      <c r="K824" s="5814" t="s">
        <v>4538</v>
      </c>
    </row>
    <row r="825" spans="1:11">
      <c r="A825" s="21" t="s">
        <v>2334</v>
      </c>
      <c r="B825" s="21" t="s">
        <v>4539</v>
      </c>
      <c r="C825" s="21" t="s">
        <v>8</v>
      </c>
      <c r="D825" s="21" t="s">
        <v>237</v>
      </c>
      <c r="E825" s="21" t="s">
        <v>46</v>
      </c>
      <c r="F825" s="5812">
        <v>1</v>
      </c>
      <c r="G825" s="5813">
        <v>0.10902777777777778</v>
      </c>
      <c r="H825" s="21" t="s">
        <v>10</v>
      </c>
      <c r="I825" s="21" t="s">
        <v>11</v>
      </c>
      <c r="J825" s="21" t="s">
        <v>2953</v>
      </c>
      <c r="K825" s="5814" t="s">
        <v>4540</v>
      </c>
    </row>
    <row r="826" spans="1:11">
      <c r="A826" s="21" t="s">
        <v>3119</v>
      </c>
      <c r="B826" s="21" t="s">
        <v>4541</v>
      </c>
      <c r="C826" s="21" t="s">
        <v>8</v>
      </c>
      <c r="D826" s="21" t="s">
        <v>237</v>
      </c>
      <c r="E826" s="21" t="s">
        <v>46</v>
      </c>
      <c r="F826" s="5812">
        <v>1</v>
      </c>
      <c r="G826" s="5813">
        <v>0.10972222222222222</v>
      </c>
      <c r="H826" s="21" t="s">
        <v>10</v>
      </c>
      <c r="I826" s="21" t="s">
        <v>39</v>
      </c>
      <c r="J826" s="21" t="s">
        <v>48</v>
      </c>
      <c r="K826" s="5814" t="s">
        <v>4542</v>
      </c>
    </row>
    <row r="827" spans="1:11">
      <c r="A827" s="21" t="s">
        <v>4379</v>
      </c>
      <c r="B827" s="21" t="s">
        <v>4543</v>
      </c>
      <c r="C827" s="21" t="s">
        <v>8</v>
      </c>
      <c r="D827" s="21" t="s">
        <v>237</v>
      </c>
      <c r="E827" s="21" t="s">
        <v>46</v>
      </c>
      <c r="F827" s="5812">
        <v>1</v>
      </c>
      <c r="G827" s="5813">
        <v>0.1125</v>
      </c>
      <c r="H827" s="21" t="s">
        <v>10</v>
      </c>
      <c r="I827" s="21" t="s">
        <v>55</v>
      </c>
      <c r="J827" s="21" t="s">
        <v>48</v>
      </c>
      <c r="K827" s="5814" t="s">
        <v>4544</v>
      </c>
    </row>
    <row r="828" spans="1:11">
      <c r="A828" s="21" t="s">
        <v>177</v>
      </c>
      <c r="B828" s="21" t="s">
        <v>387</v>
      </c>
      <c r="C828" s="21" t="s">
        <v>8</v>
      </c>
      <c r="D828" s="21" t="s">
        <v>237</v>
      </c>
      <c r="E828" s="21" t="s">
        <v>46</v>
      </c>
      <c r="F828" s="5812">
        <v>1</v>
      </c>
      <c r="G828" s="5813">
        <v>0.11319444444444444</v>
      </c>
      <c r="H828" s="21" t="s">
        <v>10</v>
      </c>
      <c r="I828" s="21" t="s">
        <v>96</v>
      </c>
      <c r="J828" s="21" t="s">
        <v>48</v>
      </c>
      <c r="K828" s="5814" t="s">
        <v>388</v>
      </c>
    </row>
    <row r="829" spans="1:11">
      <c r="A829" s="21" t="s">
        <v>2560</v>
      </c>
      <c r="B829" s="21" t="s">
        <v>4545</v>
      </c>
      <c r="C829" s="21" t="s">
        <v>8</v>
      </c>
      <c r="D829" s="21" t="s">
        <v>237</v>
      </c>
      <c r="E829" s="21" t="s">
        <v>46</v>
      </c>
      <c r="F829" s="5812">
        <v>1</v>
      </c>
      <c r="G829" s="5813">
        <v>0.11319444444444444</v>
      </c>
      <c r="H829" s="21" t="s">
        <v>10</v>
      </c>
      <c r="I829" s="21" t="s">
        <v>4546</v>
      </c>
      <c r="J829" s="21" t="s">
        <v>940</v>
      </c>
      <c r="K829" s="5814" t="s">
        <v>4547</v>
      </c>
    </row>
    <row r="830" spans="1:11">
      <c r="A830" s="21" t="s">
        <v>3765</v>
      </c>
      <c r="B830" s="21" t="s">
        <v>4548</v>
      </c>
      <c r="C830" s="21" t="s">
        <v>8</v>
      </c>
      <c r="D830" s="21" t="s">
        <v>237</v>
      </c>
      <c r="E830" s="21" t="s">
        <v>46</v>
      </c>
      <c r="F830" s="5812">
        <v>1</v>
      </c>
      <c r="G830" s="5813">
        <v>0.11597222222222223</v>
      </c>
      <c r="H830" s="21" t="s">
        <v>10</v>
      </c>
      <c r="I830" s="21" t="s">
        <v>187</v>
      </c>
      <c r="J830" s="21" t="s">
        <v>518</v>
      </c>
      <c r="K830" s="5814" t="s">
        <v>4549</v>
      </c>
    </row>
    <row r="831" spans="1:11">
      <c r="A831" s="21" t="s">
        <v>2702</v>
      </c>
      <c r="B831" s="21" t="s">
        <v>4550</v>
      </c>
      <c r="C831" s="21" t="s">
        <v>22</v>
      </c>
      <c r="D831" s="21" t="s">
        <v>237</v>
      </c>
      <c r="E831" s="21" t="s">
        <v>46</v>
      </c>
      <c r="F831" s="5812">
        <v>1</v>
      </c>
      <c r="G831" s="5813">
        <v>0.11944444444444445</v>
      </c>
      <c r="H831" s="21" t="s">
        <v>10</v>
      </c>
      <c r="I831" s="21" t="s">
        <v>96</v>
      </c>
      <c r="J831" s="21" t="s">
        <v>48</v>
      </c>
      <c r="K831" s="5814" t="s">
        <v>4551</v>
      </c>
    </row>
    <row r="832" spans="1:11">
      <c r="A832" s="21" t="s">
        <v>4552</v>
      </c>
      <c r="B832" s="21" t="s">
        <v>4553</v>
      </c>
      <c r="C832" s="21" t="s">
        <v>8</v>
      </c>
      <c r="D832" s="21" t="s">
        <v>237</v>
      </c>
      <c r="E832" s="21" t="s">
        <v>46</v>
      </c>
      <c r="F832" s="5812">
        <v>1</v>
      </c>
      <c r="G832" s="5813">
        <v>0.12083333333333333</v>
      </c>
      <c r="H832" s="21" t="s">
        <v>10</v>
      </c>
      <c r="I832" s="21" t="s">
        <v>23</v>
      </c>
      <c r="J832" s="21" t="s">
        <v>127</v>
      </c>
      <c r="K832" s="5814" t="s">
        <v>4554</v>
      </c>
    </row>
    <row r="833" spans="1:11">
      <c r="A833" s="21" t="s">
        <v>2362</v>
      </c>
      <c r="B833" s="21" t="s">
        <v>4555</v>
      </c>
      <c r="C833" s="21" t="s">
        <v>8</v>
      </c>
      <c r="D833" s="21" t="s">
        <v>237</v>
      </c>
      <c r="E833" s="21" t="s">
        <v>46</v>
      </c>
      <c r="F833" s="5812">
        <v>1</v>
      </c>
      <c r="G833" s="5813">
        <v>0.12777777777777777</v>
      </c>
      <c r="H833" s="21" t="s">
        <v>10</v>
      </c>
      <c r="I833" s="21" t="s">
        <v>55</v>
      </c>
      <c r="J833" s="21" t="s">
        <v>722</v>
      </c>
      <c r="K833" s="5814" t="s">
        <v>4556</v>
      </c>
    </row>
    <row r="834" spans="1:11">
      <c r="A834" s="21" t="s">
        <v>2961</v>
      </c>
      <c r="B834" s="21" t="s">
        <v>4557</v>
      </c>
      <c r="C834" s="21" t="s">
        <v>8</v>
      </c>
      <c r="D834" s="21" t="s">
        <v>237</v>
      </c>
      <c r="E834" s="21" t="s">
        <v>46</v>
      </c>
      <c r="F834" s="5812">
        <v>1</v>
      </c>
      <c r="G834" s="5813">
        <v>0.12777777777777777</v>
      </c>
      <c r="H834" s="21" t="s">
        <v>10</v>
      </c>
      <c r="I834" s="21" t="s">
        <v>47</v>
      </c>
      <c r="J834" s="21" t="s">
        <v>48</v>
      </c>
      <c r="K834" s="5814" t="s">
        <v>4558</v>
      </c>
    </row>
    <row r="835" spans="1:11">
      <c r="A835" s="21" t="s">
        <v>2595</v>
      </c>
      <c r="B835" s="21" t="s">
        <v>4559</v>
      </c>
      <c r="C835" s="21" t="s">
        <v>8</v>
      </c>
      <c r="D835" s="21" t="s">
        <v>237</v>
      </c>
      <c r="E835" s="21" t="s">
        <v>46</v>
      </c>
      <c r="F835" s="5812">
        <v>1</v>
      </c>
      <c r="G835" s="5813">
        <v>0.12986111111111112</v>
      </c>
      <c r="H835" s="21" t="s">
        <v>10</v>
      </c>
      <c r="I835" s="21" t="s">
        <v>96</v>
      </c>
      <c r="J835" s="21" t="s">
        <v>48</v>
      </c>
      <c r="K835" s="5814" t="s">
        <v>4560</v>
      </c>
    </row>
    <row r="836" spans="1:11">
      <c r="A836" s="21" t="s">
        <v>2854</v>
      </c>
      <c r="B836" s="21" t="s">
        <v>4561</v>
      </c>
      <c r="C836" s="21" t="s">
        <v>22</v>
      </c>
      <c r="D836" s="21" t="s">
        <v>237</v>
      </c>
      <c r="E836" s="21" t="s">
        <v>46</v>
      </c>
      <c r="F836" s="5812">
        <v>1</v>
      </c>
      <c r="G836" s="5813">
        <v>0.13402777777777777</v>
      </c>
      <c r="H836" s="21" t="s">
        <v>10</v>
      </c>
      <c r="I836" s="21" t="s">
        <v>2297</v>
      </c>
      <c r="J836" s="21" t="s">
        <v>97</v>
      </c>
      <c r="K836" s="5814" t="s">
        <v>4562</v>
      </c>
    </row>
    <row r="837" spans="1:11">
      <c r="A837" s="21" t="s">
        <v>2147</v>
      </c>
      <c r="B837" s="21" t="s">
        <v>4563</v>
      </c>
      <c r="C837" s="21" t="s">
        <v>22</v>
      </c>
      <c r="D837" s="21" t="s">
        <v>237</v>
      </c>
      <c r="E837" s="21" t="s">
        <v>46</v>
      </c>
      <c r="F837" s="5812">
        <v>1</v>
      </c>
      <c r="G837" s="5813">
        <v>0.13750000000000001</v>
      </c>
      <c r="H837" s="21" t="s">
        <v>54</v>
      </c>
      <c r="I837" s="21" t="s">
        <v>47</v>
      </c>
      <c r="J837" s="21" t="s">
        <v>97</v>
      </c>
      <c r="K837" s="5814" t="s">
        <v>4564</v>
      </c>
    </row>
    <row r="838" spans="1:11">
      <c r="A838" s="21" t="s">
        <v>4565</v>
      </c>
      <c r="B838" s="21" t="s">
        <v>4566</v>
      </c>
      <c r="C838" s="21" t="s">
        <v>22</v>
      </c>
      <c r="D838" s="21" t="s">
        <v>237</v>
      </c>
      <c r="E838" s="21" t="s">
        <v>46</v>
      </c>
      <c r="F838" s="5812">
        <v>1</v>
      </c>
      <c r="G838" s="5813">
        <v>0.13958333333333334</v>
      </c>
      <c r="H838" s="21" t="s">
        <v>10</v>
      </c>
      <c r="I838" s="21" t="s">
        <v>47</v>
      </c>
      <c r="J838" s="21" t="s">
        <v>127</v>
      </c>
      <c r="K838" s="5814" t="s">
        <v>4567</v>
      </c>
    </row>
    <row r="839" spans="1:11">
      <c r="A839" s="21" t="s">
        <v>4568</v>
      </c>
      <c r="B839" s="21" t="s">
        <v>4569</v>
      </c>
      <c r="C839" s="21" t="s">
        <v>8</v>
      </c>
      <c r="D839" s="21" t="s">
        <v>237</v>
      </c>
      <c r="E839" s="21" t="s">
        <v>46</v>
      </c>
      <c r="F839" s="5812">
        <v>1</v>
      </c>
      <c r="G839" s="5813">
        <v>0.14583333333333334</v>
      </c>
      <c r="H839" s="21" t="s">
        <v>10</v>
      </c>
      <c r="I839" s="21" t="s">
        <v>226</v>
      </c>
      <c r="J839" s="21" t="s">
        <v>258</v>
      </c>
      <c r="K839" s="5814" t="s">
        <v>4570</v>
      </c>
    </row>
    <row r="840" spans="1:11">
      <c r="A840" s="21" t="s">
        <v>44</v>
      </c>
      <c r="B840" s="21" t="s">
        <v>321</v>
      </c>
      <c r="C840" s="21" t="s">
        <v>8</v>
      </c>
      <c r="D840" s="21" t="s">
        <v>237</v>
      </c>
      <c r="E840" s="21" t="s">
        <v>46</v>
      </c>
      <c r="F840" s="5812">
        <v>1</v>
      </c>
      <c r="G840" s="5813">
        <v>0.14722222222222223</v>
      </c>
      <c r="H840" s="21" t="s">
        <v>10</v>
      </c>
      <c r="I840" s="21" t="s">
        <v>96</v>
      </c>
      <c r="J840" s="21" t="s">
        <v>48</v>
      </c>
      <c r="K840" s="5814" t="s">
        <v>322</v>
      </c>
    </row>
    <row r="841" spans="1:11">
      <c r="A841" s="21" t="s">
        <v>2311</v>
      </c>
      <c r="B841" s="21" t="s">
        <v>4571</v>
      </c>
      <c r="C841" s="21" t="s">
        <v>8</v>
      </c>
      <c r="D841" s="21" t="s">
        <v>237</v>
      </c>
      <c r="E841" s="21" t="s">
        <v>46</v>
      </c>
      <c r="F841" s="5812">
        <v>1</v>
      </c>
      <c r="G841" s="5813">
        <v>0.16041666666666668</v>
      </c>
      <c r="H841" s="21" t="s">
        <v>10</v>
      </c>
      <c r="I841" s="21" t="s">
        <v>2814</v>
      </c>
      <c r="J841" s="21" t="s">
        <v>4572</v>
      </c>
      <c r="K841" s="5814" t="s">
        <v>4573</v>
      </c>
    </row>
    <row r="842" spans="1:11">
      <c r="A842" s="21" t="s">
        <v>2513</v>
      </c>
      <c r="B842" s="21" t="s">
        <v>4574</v>
      </c>
      <c r="C842" s="21" t="s">
        <v>8</v>
      </c>
      <c r="D842" s="21" t="s">
        <v>237</v>
      </c>
      <c r="E842" s="21" t="s">
        <v>46</v>
      </c>
      <c r="F842" s="5812">
        <v>1</v>
      </c>
      <c r="G842" s="5813">
        <v>0.16041666666666668</v>
      </c>
      <c r="H842" s="21" t="s">
        <v>10</v>
      </c>
      <c r="I842" s="21" t="s">
        <v>55</v>
      </c>
      <c r="J842" s="21" t="s">
        <v>722</v>
      </c>
      <c r="K842" s="5814" t="s">
        <v>4575</v>
      </c>
    </row>
    <row r="843" spans="1:11">
      <c r="A843" s="21" t="s">
        <v>115</v>
      </c>
      <c r="B843" s="21" t="s">
        <v>262</v>
      </c>
      <c r="C843" s="21" t="s">
        <v>22</v>
      </c>
      <c r="D843" s="21" t="s">
        <v>237</v>
      </c>
      <c r="E843" s="21" t="s">
        <v>46</v>
      </c>
      <c r="F843" s="5812">
        <v>1</v>
      </c>
      <c r="G843" s="5813">
        <v>0.16666666666666666</v>
      </c>
      <c r="H843" s="21" t="s">
        <v>10</v>
      </c>
      <c r="I843" s="21" t="s">
        <v>263</v>
      </c>
      <c r="J843" s="21" t="s">
        <v>97</v>
      </c>
      <c r="K843" s="5814" t="s">
        <v>264</v>
      </c>
    </row>
    <row r="844" spans="1:11">
      <c r="A844" s="21" t="s">
        <v>2609</v>
      </c>
      <c r="B844" s="21" t="s">
        <v>4576</v>
      </c>
      <c r="C844" s="21" t="s">
        <v>22</v>
      </c>
      <c r="D844" s="21" t="s">
        <v>237</v>
      </c>
      <c r="E844" s="21" t="s">
        <v>46</v>
      </c>
      <c r="F844" s="5812">
        <v>1</v>
      </c>
      <c r="G844" s="5813">
        <v>0.17083333333333334</v>
      </c>
      <c r="H844" s="21" t="s">
        <v>10</v>
      </c>
      <c r="I844" s="21" t="s">
        <v>226</v>
      </c>
      <c r="J844" s="21" t="s">
        <v>48</v>
      </c>
      <c r="K844" s="5814" t="s">
        <v>4577</v>
      </c>
    </row>
    <row r="845" spans="1:11">
      <c r="A845" s="21" t="s">
        <v>3409</v>
      </c>
      <c r="B845" s="21" t="s">
        <v>4578</v>
      </c>
      <c r="C845" s="21" t="s">
        <v>22</v>
      </c>
      <c r="D845" s="21" t="s">
        <v>237</v>
      </c>
      <c r="E845" s="21" t="s">
        <v>46</v>
      </c>
      <c r="F845" s="5812">
        <v>1</v>
      </c>
      <c r="G845" s="5813">
        <v>0.17430555555555555</v>
      </c>
      <c r="H845" s="21" t="s">
        <v>54</v>
      </c>
      <c r="I845" s="21" t="s">
        <v>11</v>
      </c>
      <c r="J845" s="21" t="s">
        <v>4579</v>
      </c>
      <c r="K845" s="5814" t="s">
        <v>4580</v>
      </c>
    </row>
    <row r="846" spans="1:11">
      <c r="A846" s="21" t="s">
        <v>2675</v>
      </c>
      <c r="B846" s="21" t="s">
        <v>4581</v>
      </c>
      <c r="C846" s="21" t="s">
        <v>8</v>
      </c>
      <c r="D846" s="21" t="s">
        <v>237</v>
      </c>
      <c r="E846" s="21" t="s">
        <v>46</v>
      </c>
      <c r="F846" s="5812">
        <v>1</v>
      </c>
      <c r="G846" s="5813">
        <v>0.17430555555555555</v>
      </c>
      <c r="H846" s="21" t="s">
        <v>10</v>
      </c>
      <c r="I846" s="21" t="s">
        <v>2872</v>
      </c>
      <c r="J846" s="21" t="s">
        <v>48</v>
      </c>
      <c r="K846" s="5814" t="s">
        <v>4582</v>
      </c>
    </row>
    <row r="847" spans="1:11">
      <c r="A847" s="21" t="s">
        <v>37</v>
      </c>
      <c r="B847" s="21" t="s">
        <v>405</v>
      </c>
      <c r="C847" s="21" t="s">
        <v>22</v>
      </c>
      <c r="D847" s="21" t="s">
        <v>237</v>
      </c>
      <c r="E847" s="21" t="s">
        <v>46</v>
      </c>
      <c r="F847" s="5812">
        <v>1</v>
      </c>
      <c r="G847" s="5813">
        <v>0.17499999999999999</v>
      </c>
      <c r="H847" s="21" t="s">
        <v>10</v>
      </c>
      <c r="I847" s="21" t="s">
        <v>47</v>
      </c>
      <c r="J847" s="21" t="s">
        <v>406</v>
      </c>
      <c r="K847" s="5814" t="s">
        <v>407</v>
      </c>
    </row>
    <row r="848" spans="1:11">
      <c r="A848" s="21" t="s">
        <v>2169</v>
      </c>
      <c r="B848" s="21" t="s">
        <v>4583</v>
      </c>
      <c r="C848" s="21" t="s">
        <v>22</v>
      </c>
      <c r="D848" s="21" t="s">
        <v>237</v>
      </c>
      <c r="E848" s="21" t="s">
        <v>46</v>
      </c>
      <c r="F848" s="5812">
        <v>1</v>
      </c>
      <c r="G848" s="5813">
        <v>0.1763888888888889</v>
      </c>
      <c r="H848" s="21" t="s">
        <v>10</v>
      </c>
      <c r="I848" s="21" t="s">
        <v>55</v>
      </c>
      <c r="J848" s="21" t="s">
        <v>48</v>
      </c>
      <c r="K848" s="5814" t="s">
        <v>4584</v>
      </c>
    </row>
    <row r="849" spans="1:11">
      <c r="A849" s="21" t="s">
        <v>3387</v>
      </c>
      <c r="B849" s="21" t="s">
        <v>4585</v>
      </c>
      <c r="C849" s="21" t="s">
        <v>22</v>
      </c>
      <c r="D849" s="21" t="s">
        <v>237</v>
      </c>
      <c r="E849" s="21" t="s">
        <v>46</v>
      </c>
      <c r="F849" s="5812">
        <v>1</v>
      </c>
      <c r="G849" s="5813">
        <v>0.17916666666666667</v>
      </c>
      <c r="H849" s="21" t="s">
        <v>10</v>
      </c>
      <c r="I849" s="21" t="s">
        <v>2814</v>
      </c>
      <c r="J849" s="21" t="s">
        <v>4586</v>
      </c>
      <c r="K849" s="5814" t="s">
        <v>4587</v>
      </c>
    </row>
    <row r="850" spans="1:11">
      <c r="A850" s="21" t="s">
        <v>4233</v>
      </c>
      <c r="B850" s="21" t="s">
        <v>4588</v>
      </c>
      <c r="C850" s="21" t="s">
        <v>8</v>
      </c>
      <c r="D850" s="21" t="s">
        <v>237</v>
      </c>
      <c r="E850" s="21" t="s">
        <v>46</v>
      </c>
      <c r="F850" s="5812">
        <v>1</v>
      </c>
      <c r="G850" s="5813">
        <v>0.17986111111111111</v>
      </c>
      <c r="H850" s="21" t="s">
        <v>10</v>
      </c>
      <c r="I850" s="21" t="s">
        <v>2872</v>
      </c>
      <c r="J850" s="21" t="s">
        <v>4589</v>
      </c>
      <c r="K850" s="5814" t="s">
        <v>4590</v>
      </c>
    </row>
    <row r="851" spans="1:11">
      <c r="A851" s="21" t="s">
        <v>2446</v>
      </c>
      <c r="B851" s="21" t="s">
        <v>4591</v>
      </c>
      <c r="C851" s="21" t="s">
        <v>22</v>
      </c>
      <c r="D851" s="21" t="s">
        <v>237</v>
      </c>
      <c r="E851" s="21" t="s">
        <v>46</v>
      </c>
      <c r="F851" s="5812">
        <v>1</v>
      </c>
      <c r="G851" s="5813">
        <v>0.18333333333333332</v>
      </c>
      <c r="H851" s="21" t="s">
        <v>10</v>
      </c>
      <c r="I851" s="21" t="s">
        <v>39</v>
      </c>
      <c r="J851" s="21" t="s">
        <v>97</v>
      </c>
      <c r="K851" s="5814" t="s">
        <v>4592</v>
      </c>
    </row>
    <row r="852" spans="1:11">
      <c r="A852" s="21" t="s">
        <v>2595</v>
      </c>
      <c r="B852" s="21" t="s">
        <v>4593</v>
      </c>
      <c r="C852" s="21" t="s">
        <v>8</v>
      </c>
      <c r="D852" s="21" t="s">
        <v>237</v>
      </c>
      <c r="E852" s="21" t="s">
        <v>46</v>
      </c>
      <c r="F852" s="5812">
        <v>1</v>
      </c>
      <c r="G852" s="5813">
        <v>0.18402777777777779</v>
      </c>
      <c r="H852" s="21" t="s">
        <v>10</v>
      </c>
      <c r="I852" s="21" t="s">
        <v>96</v>
      </c>
      <c r="J852" s="21" t="s">
        <v>127</v>
      </c>
      <c r="K852" s="5814" t="s">
        <v>4594</v>
      </c>
    </row>
    <row r="853" spans="1:11">
      <c r="A853" s="21" t="s">
        <v>3105</v>
      </c>
      <c r="B853" s="21" t="s">
        <v>4595</v>
      </c>
      <c r="C853" s="21" t="s">
        <v>8</v>
      </c>
      <c r="D853" s="21" t="s">
        <v>237</v>
      </c>
      <c r="E853" s="21" t="s">
        <v>46</v>
      </c>
      <c r="F853" s="5812">
        <v>1</v>
      </c>
      <c r="G853" s="5813">
        <v>0.1875</v>
      </c>
      <c r="H853" s="21" t="s">
        <v>10</v>
      </c>
      <c r="I853" s="21" t="s">
        <v>55</v>
      </c>
      <c r="J853" s="21" t="s">
        <v>4589</v>
      </c>
      <c r="K853" s="5814" t="s">
        <v>4596</v>
      </c>
    </row>
    <row r="854" spans="1:11">
      <c r="A854" s="21" t="s">
        <v>4597</v>
      </c>
      <c r="B854" s="21" t="s">
        <v>4598</v>
      </c>
      <c r="C854" s="21" t="s">
        <v>22</v>
      </c>
      <c r="D854" s="21" t="s">
        <v>237</v>
      </c>
      <c r="E854" s="21" t="s">
        <v>46</v>
      </c>
      <c r="F854" s="5812">
        <v>1</v>
      </c>
      <c r="G854" s="5813">
        <v>0.18958333333333333</v>
      </c>
      <c r="H854" s="21" t="s">
        <v>10</v>
      </c>
      <c r="I854" s="21" t="s">
        <v>400</v>
      </c>
      <c r="J854" s="21" t="s">
        <v>48</v>
      </c>
      <c r="K854" s="5814" t="s">
        <v>4599</v>
      </c>
    </row>
    <row r="855" spans="1:11">
      <c r="A855" s="21" t="s">
        <v>2156</v>
      </c>
      <c r="B855" s="21" t="s">
        <v>4600</v>
      </c>
      <c r="C855" s="21" t="s">
        <v>8</v>
      </c>
      <c r="D855" s="21" t="s">
        <v>237</v>
      </c>
      <c r="E855" s="21" t="s">
        <v>46</v>
      </c>
      <c r="F855" s="5812">
        <v>1</v>
      </c>
      <c r="G855" s="5813">
        <v>0.19027777777777777</v>
      </c>
      <c r="H855" s="21" t="s">
        <v>10</v>
      </c>
      <c r="I855" s="21" t="s">
        <v>96</v>
      </c>
      <c r="J855" s="21" t="s">
        <v>907</v>
      </c>
      <c r="K855" s="5814" t="s">
        <v>4601</v>
      </c>
    </row>
    <row r="856" spans="1:11">
      <c r="A856" s="21" t="s">
        <v>3537</v>
      </c>
      <c r="B856" s="21" t="s">
        <v>4602</v>
      </c>
      <c r="C856" s="21" t="s">
        <v>8</v>
      </c>
      <c r="D856" s="21" t="s">
        <v>237</v>
      </c>
      <c r="E856" s="21" t="s">
        <v>46</v>
      </c>
      <c r="F856" s="5812">
        <v>1</v>
      </c>
      <c r="G856" s="5813">
        <v>0.19027777777777777</v>
      </c>
      <c r="H856" s="21" t="s">
        <v>10</v>
      </c>
      <c r="I856" s="21" t="s">
        <v>89</v>
      </c>
      <c r="J856" s="21" t="s">
        <v>127</v>
      </c>
      <c r="K856" s="5814" t="s">
        <v>4603</v>
      </c>
    </row>
    <row r="857" spans="1:11">
      <c r="A857" s="21" t="s">
        <v>115</v>
      </c>
      <c r="B857" s="21" t="s">
        <v>364</v>
      </c>
      <c r="C857" s="21" t="s">
        <v>8</v>
      </c>
      <c r="D857" s="21" t="s">
        <v>237</v>
      </c>
      <c r="E857" s="21" t="s">
        <v>46</v>
      </c>
      <c r="F857" s="5812">
        <v>1</v>
      </c>
      <c r="G857" s="5813">
        <v>0.19652777777777777</v>
      </c>
      <c r="H857" s="21" t="s">
        <v>10</v>
      </c>
      <c r="I857" s="21" t="s">
        <v>11</v>
      </c>
      <c r="J857" s="21" t="s">
        <v>48</v>
      </c>
      <c r="K857" s="5814" t="s">
        <v>365</v>
      </c>
    </row>
    <row r="858" spans="1:11">
      <c r="A858" s="21" t="s">
        <v>2205</v>
      </c>
      <c r="B858" s="21" t="s">
        <v>4604</v>
      </c>
      <c r="C858" s="21" t="s">
        <v>22</v>
      </c>
      <c r="D858" s="21" t="s">
        <v>237</v>
      </c>
      <c r="E858" s="21" t="s">
        <v>46</v>
      </c>
      <c r="F858" s="5812">
        <v>1</v>
      </c>
      <c r="G858" s="5813">
        <v>0.19722222222222222</v>
      </c>
      <c r="H858" s="21" t="s">
        <v>10</v>
      </c>
      <c r="I858" s="21" t="s">
        <v>96</v>
      </c>
      <c r="J858" s="21" t="s">
        <v>406</v>
      </c>
      <c r="K858" s="5814" t="s">
        <v>4605</v>
      </c>
    </row>
    <row r="859" spans="1:11">
      <c r="A859" s="21" t="s">
        <v>3235</v>
      </c>
      <c r="B859" s="21" t="s">
        <v>4606</v>
      </c>
      <c r="C859" s="21" t="s">
        <v>22</v>
      </c>
      <c r="D859" s="21" t="s">
        <v>237</v>
      </c>
      <c r="E859" s="21" t="s">
        <v>46</v>
      </c>
      <c r="F859" s="5812">
        <v>1</v>
      </c>
      <c r="G859" s="5813">
        <v>0.19930555555555557</v>
      </c>
      <c r="H859" s="21" t="s">
        <v>10</v>
      </c>
      <c r="I859" s="21" t="s">
        <v>96</v>
      </c>
      <c r="J859" s="21" t="s">
        <v>127</v>
      </c>
      <c r="K859" s="5814" t="s">
        <v>4607</v>
      </c>
    </row>
    <row r="860" spans="1:11">
      <c r="A860" s="21" t="s">
        <v>2995</v>
      </c>
      <c r="B860" s="21" t="s">
        <v>4608</v>
      </c>
      <c r="C860" s="21" t="s">
        <v>22</v>
      </c>
      <c r="D860" s="21" t="s">
        <v>237</v>
      </c>
      <c r="E860" s="21" t="s">
        <v>46</v>
      </c>
      <c r="F860" s="5812">
        <v>1</v>
      </c>
      <c r="G860" s="5813">
        <v>0.2</v>
      </c>
      <c r="H860" s="21" t="s">
        <v>10</v>
      </c>
      <c r="I860" s="21" t="s">
        <v>96</v>
      </c>
      <c r="J860" s="21" t="s">
        <v>907</v>
      </c>
      <c r="K860" s="5814" t="s">
        <v>4609</v>
      </c>
    </row>
    <row r="861" spans="1:11">
      <c r="A861" s="21" t="s">
        <v>2372</v>
      </c>
      <c r="B861" s="21" t="s">
        <v>4610</v>
      </c>
      <c r="C861" s="21" t="s">
        <v>8</v>
      </c>
      <c r="D861" s="21" t="s">
        <v>237</v>
      </c>
      <c r="E861" s="21" t="s">
        <v>46</v>
      </c>
      <c r="F861" s="5812">
        <v>1</v>
      </c>
      <c r="G861" s="5813">
        <v>0.20208333333333334</v>
      </c>
      <c r="H861" s="21" t="s">
        <v>10</v>
      </c>
      <c r="I861" s="21" t="s">
        <v>187</v>
      </c>
      <c r="J861" s="21" t="s">
        <v>48</v>
      </c>
      <c r="K861" s="5814" t="s">
        <v>4611</v>
      </c>
    </row>
    <row r="862" spans="1:11">
      <c r="A862" s="21" t="s">
        <v>3338</v>
      </c>
      <c r="B862" s="21" t="s">
        <v>4612</v>
      </c>
      <c r="C862" s="21" t="s">
        <v>22</v>
      </c>
      <c r="D862" s="21" t="s">
        <v>237</v>
      </c>
      <c r="E862" s="21" t="s">
        <v>46</v>
      </c>
      <c r="F862" s="5812">
        <v>2</v>
      </c>
      <c r="G862" s="5813">
        <v>5.5555555555555558E-3</v>
      </c>
      <c r="H862" s="21" t="s">
        <v>54</v>
      </c>
      <c r="I862" s="21" t="s">
        <v>55</v>
      </c>
      <c r="J862" s="21" t="s">
        <v>4613</v>
      </c>
      <c r="K862" s="5814" t="s">
        <v>4614</v>
      </c>
    </row>
    <row r="863" spans="1:11">
      <c r="A863" s="21" t="s">
        <v>3974</v>
      </c>
      <c r="B863" s="21" t="s">
        <v>4615</v>
      </c>
      <c r="C863" s="21" t="s">
        <v>22</v>
      </c>
      <c r="D863" s="21" t="s">
        <v>237</v>
      </c>
      <c r="E863" s="21" t="s">
        <v>46</v>
      </c>
      <c r="F863" s="5812">
        <v>2</v>
      </c>
      <c r="G863" s="5813">
        <v>9.7222222222222224E-3</v>
      </c>
      <c r="H863" s="21" t="s">
        <v>10</v>
      </c>
      <c r="I863" s="21" t="s">
        <v>47</v>
      </c>
      <c r="J863" s="21" t="s">
        <v>940</v>
      </c>
      <c r="K863" s="5814" t="s">
        <v>4616</v>
      </c>
    </row>
    <row r="864" spans="1:11">
      <c r="A864" s="21" t="s">
        <v>4409</v>
      </c>
      <c r="B864" s="21" t="s">
        <v>4617</v>
      </c>
      <c r="C864" s="21" t="s">
        <v>22</v>
      </c>
      <c r="D864" s="21" t="s">
        <v>237</v>
      </c>
      <c r="E864" s="21" t="s">
        <v>46</v>
      </c>
      <c r="F864" s="5812">
        <v>2</v>
      </c>
      <c r="G864" s="5813">
        <v>1.5972222222222221E-2</v>
      </c>
      <c r="H864" s="21" t="s">
        <v>10</v>
      </c>
      <c r="I864" s="21" t="s">
        <v>39</v>
      </c>
      <c r="J864" s="21" t="s">
        <v>154</v>
      </c>
      <c r="K864" s="5814" t="s">
        <v>4618</v>
      </c>
    </row>
    <row r="865" spans="1:11">
      <c r="A865" s="21" t="s">
        <v>2241</v>
      </c>
      <c r="B865" s="21" t="s">
        <v>4619</v>
      </c>
      <c r="C865" s="21" t="s">
        <v>8</v>
      </c>
      <c r="D865" s="21" t="s">
        <v>237</v>
      </c>
      <c r="E865" s="21" t="s">
        <v>46</v>
      </c>
      <c r="F865" s="5812">
        <v>2</v>
      </c>
      <c r="G865" s="5813">
        <v>1.6666666666666666E-2</v>
      </c>
      <c r="H865" s="21" t="s">
        <v>54</v>
      </c>
      <c r="I865" s="21" t="s">
        <v>2297</v>
      </c>
      <c r="J865" s="21" t="s">
        <v>97</v>
      </c>
      <c r="K865" s="5814" t="s">
        <v>4620</v>
      </c>
    </row>
    <row r="866" spans="1:11">
      <c r="A866" s="21" t="s">
        <v>4621</v>
      </c>
      <c r="B866" s="21" t="s">
        <v>4622</v>
      </c>
      <c r="C866" s="21" t="s">
        <v>22</v>
      </c>
      <c r="D866" s="21" t="s">
        <v>237</v>
      </c>
      <c r="E866" s="21" t="s">
        <v>46</v>
      </c>
      <c r="F866" s="5812">
        <v>2</v>
      </c>
      <c r="G866" s="5813">
        <v>2.0833333333333332E-2</v>
      </c>
      <c r="H866" s="21" t="s">
        <v>10</v>
      </c>
      <c r="I866" s="21" t="s">
        <v>2247</v>
      </c>
      <c r="J866" s="21" t="s">
        <v>417</v>
      </c>
      <c r="K866" s="5814" t="s">
        <v>4623</v>
      </c>
    </row>
    <row r="867" spans="1:11">
      <c r="A867" s="21" t="s">
        <v>4396</v>
      </c>
      <c r="B867" s="21" t="s">
        <v>4624</v>
      </c>
      <c r="C867" s="21" t="s">
        <v>22</v>
      </c>
      <c r="D867" s="21" t="s">
        <v>237</v>
      </c>
      <c r="E867" s="21" t="s">
        <v>46</v>
      </c>
      <c r="F867" s="5812">
        <v>2</v>
      </c>
      <c r="G867" s="5813">
        <v>2.361111111111111E-2</v>
      </c>
      <c r="H867" s="21" t="s">
        <v>10</v>
      </c>
      <c r="I867" s="21" t="s">
        <v>23</v>
      </c>
      <c r="J867" s="21" t="s">
        <v>48</v>
      </c>
      <c r="K867" s="5814" t="s">
        <v>4625</v>
      </c>
    </row>
    <row r="868" spans="1:11">
      <c r="A868" s="21" t="s">
        <v>2341</v>
      </c>
      <c r="B868" s="21" t="s">
        <v>4626</v>
      </c>
      <c r="C868" s="21" t="s">
        <v>22</v>
      </c>
      <c r="D868" s="21" t="s">
        <v>237</v>
      </c>
      <c r="E868" s="21" t="s">
        <v>46</v>
      </c>
      <c r="F868" s="5812">
        <v>2</v>
      </c>
      <c r="G868" s="5813">
        <v>2.5000000000000001E-2</v>
      </c>
      <c r="H868" s="21" t="s">
        <v>10</v>
      </c>
      <c r="I868" s="21" t="s">
        <v>2435</v>
      </c>
      <c r="J868" s="21" t="s">
        <v>518</v>
      </c>
      <c r="K868" s="5814" t="s">
        <v>4627</v>
      </c>
    </row>
    <row r="869" spans="1:11">
      <c r="A869" s="21" t="s">
        <v>2998</v>
      </c>
      <c r="B869" s="21" t="s">
        <v>4628</v>
      </c>
      <c r="C869" s="21" t="s">
        <v>8</v>
      </c>
      <c r="D869" s="21" t="s">
        <v>237</v>
      </c>
      <c r="E869" s="21" t="s">
        <v>46</v>
      </c>
      <c r="F869" s="5812">
        <v>2</v>
      </c>
      <c r="G869" s="5813">
        <v>3.0555555555555555E-2</v>
      </c>
      <c r="H869" s="21" t="s">
        <v>10</v>
      </c>
      <c r="I869" s="21" t="s">
        <v>400</v>
      </c>
      <c r="J869" s="21" t="s">
        <v>97</v>
      </c>
      <c r="K869" s="5814" t="s">
        <v>4629</v>
      </c>
    </row>
    <row r="870" spans="1:11">
      <c r="A870" s="21" t="s">
        <v>3896</v>
      </c>
      <c r="B870" s="21" t="s">
        <v>4630</v>
      </c>
      <c r="C870" s="21" t="s">
        <v>22</v>
      </c>
      <c r="D870" s="21" t="s">
        <v>237</v>
      </c>
      <c r="E870" s="21" t="s">
        <v>46</v>
      </c>
      <c r="F870" s="5812">
        <v>2</v>
      </c>
      <c r="G870" s="5813">
        <v>5.1388888888888887E-2</v>
      </c>
      <c r="H870" s="21" t="s">
        <v>10</v>
      </c>
      <c r="I870" s="21" t="s">
        <v>2435</v>
      </c>
      <c r="J870" s="21" t="s">
        <v>48</v>
      </c>
      <c r="K870" s="5814" t="s">
        <v>4631</v>
      </c>
    </row>
    <row r="871" spans="1:11">
      <c r="A871" s="21" t="s">
        <v>2571</v>
      </c>
      <c r="B871" s="21" t="s">
        <v>4632</v>
      </c>
      <c r="C871" s="21" t="s">
        <v>22</v>
      </c>
      <c r="D871" s="21" t="s">
        <v>237</v>
      </c>
      <c r="E871" s="21" t="s">
        <v>46</v>
      </c>
      <c r="F871" s="5812">
        <v>2</v>
      </c>
      <c r="G871" s="5813">
        <v>6.3194444444444442E-2</v>
      </c>
      <c r="H871" s="21" t="s">
        <v>10</v>
      </c>
      <c r="I871" s="21" t="s">
        <v>55</v>
      </c>
      <c r="J871" s="21" t="s">
        <v>3132</v>
      </c>
      <c r="K871" s="5814" t="s">
        <v>4633</v>
      </c>
    </row>
    <row r="872" spans="1:11">
      <c r="A872" s="21" t="s">
        <v>2737</v>
      </c>
      <c r="B872" s="21" t="s">
        <v>4634</v>
      </c>
      <c r="C872" s="21" t="s">
        <v>22</v>
      </c>
      <c r="D872" s="21" t="s">
        <v>237</v>
      </c>
      <c r="E872" s="21" t="s">
        <v>46</v>
      </c>
      <c r="F872" s="5812">
        <v>2</v>
      </c>
      <c r="G872" s="5813">
        <v>6.5972222222222224E-2</v>
      </c>
      <c r="H872" s="21" t="s">
        <v>54</v>
      </c>
      <c r="I872" s="21" t="s">
        <v>226</v>
      </c>
      <c r="J872" s="21" t="s">
        <v>406</v>
      </c>
      <c r="K872" s="5814" t="s">
        <v>4635</v>
      </c>
    </row>
    <row r="873" spans="1:11">
      <c r="A873" s="21" t="s">
        <v>3409</v>
      </c>
      <c r="B873" s="21" t="s">
        <v>4636</v>
      </c>
      <c r="C873" s="21" t="s">
        <v>8</v>
      </c>
      <c r="D873" s="21" t="s">
        <v>237</v>
      </c>
      <c r="E873" s="21" t="s">
        <v>46</v>
      </c>
      <c r="F873" s="5812">
        <v>2</v>
      </c>
      <c r="G873" s="5813">
        <v>7.6388888888888895E-2</v>
      </c>
      <c r="H873" s="21" t="s">
        <v>10</v>
      </c>
      <c r="I873" s="21" t="s">
        <v>11</v>
      </c>
      <c r="J873" s="21" t="s">
        <v>4637</v>
      </c>
      <c r="K873" s="5814" t="s">
        <v>4638</v>
      </c>
    </row>
    <row r="874" spans="1:11">
      <c r="A874" s="21" t="s">
        <v>3643</v>
      </c>
      <c r="B874" s="21" t="s">
        <v>4639</v>
      </c>
      <c r="C874" s="21" t="s">
        <v>22</v>
      </c>
      <c r="D874" s="21" t="s">
        <v>237</v>
      </c>
      <c r="E874" s="21" t="s">
        <v>46</v>
      </c>
      <c r="F874" s="5812">
        <v>2</v>
      </c>
      <c r="G874" s="5813">
        <v>7.6388888888888895E-2</v>
      </c>
      <c r="H874" s="21" t="s">
        <v>10</v>
      </c>
      <c r="I874" s="21" t="s">
        <v>39</v>
      </c>
      <c r="J874" s="21" t="s">
        <v>722</v>
      </c>
      <c r="K874" s="5814" t="s">
        <v>4640</v>
      </c>
    </row>
    <row r="875" spans="1:11">
      <c r="A875" s="21" t="s">
        <v>4047</v>
      </c>
      <c r="B875" s="21" t="s">
        <v>4641</v>
      </c>
      <c r="C875" s="21" t="s">
        <v>8</v>
      </c>
      <c r="D875" s="21" t="s">
        <v>237</v>
      </c>
      <c r="E875" s="21" t="s">
        <v>46</v>
      </c>
      <c r="F875" s="5812">
        <v>2</v>
      </c>
      <c r="G875" s="5813">
        <v>7.7777777777777779E-2</v>
      </c>
      <c r="H875" s="21" t="s">
        <v>10</v>
      </c>
      <c r="I875" s="21" t="s">
        <v>39</v>
      </c>
      <c r="J875" s="21" t="s">
        <v>48</v>
      </c>
      <c r="K875" s="5814" t="s">
        <v>4642</v>
      </c>
    </row>
    <row r="876" spans="1:11">
      <c r="A876" s="21" t="s">
        <v>115</v>
      </c>
      <c r="B876" s="21" t="s">
        <v>369</v>
      </c>
      <c r="C876" s="21" t="s">
        <v>8</v>
      </c>
      <c r="D876" s="21" t="s">
        <v>237</v>
      </c>
      <c r="E876" s="21" t="s">
        <v>46</v>
      </c>
      <c r="F876" s="5812">
        <v>2</v>
      </c>
      <c r="G876" s="5813">
        <v>8.3333333333333329E-2</v>
      </c>
      <c r="H876" s="21" t="s">
        <v>10</v>
      </c>
      <c r="I876" s="21" t="s">
        <v>263</v>
      </c>
      <c r="J876" s="21" t="s">
        <v>48</v>
      </c>
      <c r="K876" s="5814" t="s">
        <v>370</v>
      </c>
    </row>
    <row r="877" spans="1:11">
      <c r="A877" s="21" t="s">
        <v>2446</v>
      </c>
      <c r="B877" s="21" t="s">
        <v>4643</v>
      </c>
      <c r="C877" s="21" t="s">
        <v>8</v>
      </c>
      <c r="D877" s="21" t="s">
        <v>237</v>
      </c>
      <c r="E877" s="21" t="s">
        <v>46</v>
      </c>
      <c r="F877" s="5812">
        <v>2</v>
      </c>
      <c r="G877" s="5813">
        <v>8.4027777777777785E-2</v>
      </c>
      <c r="H877" s="21" t="s">
        <v>10</v>
      </c>
      <c r="I877" s="21" t="s">
        <v>11</v>
      </c>
      <c r="J877" s="21" t="s">
        <v>940</v>
      </c>
      <c r="K877" s="5814" t="s">
        <v>4644</v>
      </c>
    </row>
    <row r="878" spans="1:11">
      <c r="A878" s="21" t="s">
        <v>177</v>
      </c>
      <c r="B878" s="21" t="s">
        <v>391</v>
      </c>
      <c r="C878" s="21" t="s">
        <v>22</v>
      </c>
      <c r="D878" s="21" t="s">
        <v>237</v>
      </c>
      <c r="E878" s="21" t="s">
        <v>46</v>
      </c>
      <c r="F878" s="5812">
        <v>2</v>
      </c>
      <c r="G878" s="5813">
        <v>9.166666666666666E-2</v>
      </c>
      <c r="H878" s="21" t="s">
        <v>10</v>
      </c>
      <c r="I878" s="21" t="s">
        <v>39</v>
      </c>
      <c r="J878" s="21" t="s">
        <v>97</v>
      </c>
      <c r="K878" s="5814" t="s">
        <v>392</v>
      </c>
    </row>
    <row r="879" spans="1:11">
      <c r="A879" s="21" t="s">
        <v>4645</v>
      </c>
      <c r="B879" s="21" t="s">
        <v>4646</v>
      </c>
      <c r="C879" s="21" t="s">
        <v>8</v>
      </c>
      <c r="D879" s="21" t="s">
        <v>237</v>
      </c>
      <c r="E879" s="21" t="s">
        <v>46</v>
      </c>
      <c r="F879" s="5812">
        <v>2</v>
      </c>
      <c r="G879" s="5813">
        <v>9.375E-2</v>
      </c>
      <c r="H879" s="21" t="s">
        <v>10</v>
      </c>
      <c r="I879" s="21" t="s">
        <v>226</v>
      </c>
      <c r="J879" s="21" t="s">
        <v>4647</v>
      </c>
      <c r="K879" s="5814" t="s">
        <v>4648</v>
      </c>
    </row>
    <row r="880" spans="1:11">
      <c r="A880" s="21" t="s">
        <v>3354</v>
      </c>
      <c r="B880" s="21" t="s">
        <v>4649</v>
      </c>
      <c r="C880" s="21" t="s">
        <v>8</v>
      </c>
      <c r="D880" s="21" t="s">
        <v>237</v>
      </c>
      <c r="E880" s="21" t="s">
        <v>46</v>
      </c>
      <c r="F880" s="5812">
        <v>2</v>
      </c>
      <c r="G880" s="5813">
        <v>0.10833333333333334</v>
      </c>
      <c r="H880" s="21" t="s">
        <v>54</v>
      </c>
      <c r="I880" s="21" t="s">
        <v>11</v>
      </c>
      <c r="J880" s="21" t="s">
        <v>48</v>
      </c>
      <c r="K880" s="5814" t="s">
        <v>4650</v>
      </c>
    </row>
    <row r="881" spans="1:11">
      <c r="A881" s="21" t="s">
        <v>4116</v>
      </c>
      <c r="B881" s="21" t="s">
        <v>4651</v>
      </c>
      <c r="C881" s="21" t="s">
        <v>22</v>
      </c>
      <c r="D881" s="21" t="s">
        <v>237</v>
      </c>
      <c r="E881" s="21" t="s">
        <v>46</v>
      </c>
      <c r="F881" s="5812">
        <v>2</v>
      </c>
      <c r="G881" s="5813">
        <v>0.11736111111111111</v>
      </c>
      <c r="H881" s="21" t="s">
        <v>10</v>
      </c>
      <c r="I881" s="21" t="s">
        <v>96</v>
      </c>
      <c r="J881" s="21" t="s">
        <v>4652</v>
      </c>
      <c r="K881" s="5814" t="s">
        <v>4653</v>
      </c>
    </row>
    <row r="882" spans="1:11">
      <c r="A882" s="21" t="s">
        <v>4654</v>
      </c>
      <c r="B882" s="21" t="s">
        <v>4655</v>
      </c>
      <c r="C882" s="21" t="s">
        <v>22</v>
      </c>
      <c r="D882" s="21" t="s">
        <v>237</v>
      </c>
      <c r="E882" s="21" t="s">
        <v>46</v>
      </c>
      <c r="F882" s="5812">
        <v>2</v>
      </c>
      <c r="G882" s="5813">
        <v>0.13819444444444445</v>
      </c>
      <c r="H882" s="21" t="s">
        <v>10</v>
      </c>
      <c r="I882" s="21" t="s">
        <v>2660</v>
      </c>
      <c r="J882" s="21" t="s">
        <v>4656</v>
      </c>
      <c r="K882" s="5814" t="s">
        <v>4657</v>
      </c>
    </row>
    <row r="883" spans="1:11">
      <c r="A883" s="21" t="s">
        <v>2139</v>
      </c>
      <c r="B883" s="21" t="s">
        <v>4658</v>
      </c>
      <c r="C883" s="21" t="s">
        <v>22</v>
      </c>
      <c r="D883" s="21" t="s">
        <v>237</v>
      </c>
      <c r="E883" s="21" t="s">
        <v>46</v>
      </c>
      <c r="F883" s="5812">
        <v>2</v>
      </c>
      <c r="G883" s="5813">
        <v>0.15277777777777779</v>
      </c>
      <c r="H883" s="21" t="s">
        <v>10</v>
      </c>
      <c r="I883" s="21" t="s">
        <v>96</v>
      </c>
      <c r="J883" s="21" t="s">
        <v>48</v>
      </c>
      <c r="K883" s="5814" t="s">
        <v>4659</v>
      </c>
    </row>
    <row r="884" spans="1:11">
      <c r="A884" s="21" t="s">
        <v>2057</v>
      </c>
      <c r="B884" s="21" t="s">
        <v>4660</v>
      </c>
      <c r="C884" s="21" t="s">
        <v>8</v>
      </c>
      <c r="D884" s="21" t="s">
        <v>237</v>
      </c>
      <c r="E884" s="21" t="s">
        <v>46</v>
      </c>
      <c r="F884" s="5812">
        <v>2</v>
      </c>
      <c r="G884" s="5813">
        <v>0.15833333333333333</v>
      </c>
      <c r="H884" s="21" t="s">
        <v>10</v>
      </c>
      <c r="I884" s="21" t="s">
        <v>39</v>
      </c>
      <c r="J884" s="21" t="s">
        <v>127</v>
      </c>
      <c r="K884" s="5814" t="s">
        <v>4661</v>
      </c>
    </row>
    <row r="885" spans="1:11">
      <c r="A885" s="21" t="s">
        <v>3765</v>
      </c>
      <c r="B885" s="21" t="s">
        <v>4662</v>
      </c>
      <c r="C885" s="21" t="s">
        <v>22</v>
      </c>
      <c r="D885" s="21" t="s">
        <v>237</v>
      </c>
      <c r="E885" s="21" t="s">
        <v>46</v>
      </c>
      <c r="F885" s="5812">
        <v>2</v>
      </c>
      <c r="G885" s="5813">
        <v>0.15833333333333333</v>
      </c>
      <c r="H885" s="21" t="s">
        <v>10</v>
      </c>
      <c r="I885" s="21" t="s">
        <v>4663</v>
      </c>
      <c r="J885" s="21" t="s">
        <v>4589</v>
      </c>
      <c r="K885" s="5814" t="s">
        <v>4664</v>
      </c>
    </row>
    <row r="886" spans="1:11">
      <c r="A886" s="21" t="s">
        <v>3909</v>
      </c>
      <c r="B886" s="21" t="s">
        <v>4665</v>
      </c>
      <c r="C886" s="21" t="s">
        <v>22</v>
      </c>
      <c r="D886" s="21" t="s">
        <v>237</v>
      </c>
      <c r="E886" s="21" t="s">
        <v>46</v>
      </c>
      <c r="F886" s="5812">
        <v>2</v>
      </c>
      <c r="G886" s="5813">
        <v>0.1736111111111111</v>
      </c>
      <c r="H886" s="21" t="s">
        <v>10</v>
      </c>
      <c r="I886" s="21" t="s">
        <v>2544</v>
      </c>
      <c r="J886" s="21" t="s">
        <v>127</v>
      </c>
      <c r="K886" s="5814" t="s">
        <v>4666</v>
      </c>
    </row>
    <row r="887" spans="1:11">
      <c r="A887" s="21" t="s">
        <v>3664</v>
      </c>
      <c r="B887" s="21" t="s">
        <v>4667</v>
      </c>
      <c r="C887" s="21" t="s">
        <v>8</v>
      </c>
      <c r="D887" s="21" t="s">
        <v>237</v>
      </c>
      <c r="E887" s="21" t="s">
        <v>46</v>
      </c>
      <c r="F887" s="5812">
        <v>2</v>
      </c>
      <c r="G887" s="5813">
        <v>0.17569444444444443</v>
      </c>
      <c r="H887" s="21" t="s">
        <v>10</v>
      </c>
      <c r="I887" s="21" t="s">
        <v>11</v>
      </c>
      <c r="J887" s="21" t="s">
        <v>48</v>
      </c>
      <c r="K887" s="5814" t="s">
        <v>4668</v>
      </c>
    </row>
    <row r="888" spans="1:11">
      <c r="A888" s="21" t="s">
        <v>2358</v>
      </c>
      <c r="B888" s="21" t="s">
        <v>4669</v>
      </c>
      <c r="C888" s="21" t="s">
        <v>8</v>
      </c>
      <c r="D888" s="21" t="s">
        <v>237</v>
      </c>
      <c r="E888" s="21" t="s">
        <v>46</v>
      </c>
      <c r="F888" s="5812">
        <v>2</v>
      </c>
      <c r="G888" s="5813">
        <v>0.17569444444444443</v>
      </c>
      <c r="H888" s="21" t="s">
        <v>10</v>
      </c>
      <c r="I888" s="21" t="s">
        <v>96</v>
      </c>
      <c r="J888" s="21" t="s">
        <v>48</v>
      </c>
      <c r="K888" s="5814" t="s">
        <v>4670</v>
      </c>
    </row>
    <row r="889" spans="1:11">
      <c r="A889" s="21" t="s">
        <v>4671</v>
      </c>
      <c r="B889" s="21" t="s">
        <v>4672</v>
      </c>
      <c r="C889" s="21" t="s">
        <v>22</v>
      </c>
      <c r="D889" s="21" t="s">
        <v>237</v>
      </c>
      <c r="E889" s="21" t="s">
        <v>46</v>
      </c>
      <c r="F889" s="5812">
        <v>2</v>
      </c>
      <c r="G889" s="5813">
        <v>0.17569444444444443</v>
      </c>
      <c r="H889" s="21" t="s">
        <v>10</v>
      </c>
      <c r="I889" s="21" t="s">
        <v>3534</v>
      </c>
      <c r="J889" s="21" t="s">
        <v>722</v>
      </c>
      <c r="K889" s="5814" t="s">
        <v>4673</v>
      </c>
    </row>
    <row r="890" spans="1:11">
      <c r="A890" s="21" t="s">
        <v>3173</v>
      </c>
      <c r="B890" s="21" t="s">
        <v>4674</v>
      </c>
      <c r="C890" s="21" t="s">
        <v>22</v>
      </c>
      <c r="D890" s="21" t="s">
        <v>237</v>
      </c>
      <c r="E890" s="21" t="s">
        <v>46</v>
      </c>
      <c r="F890" s="5812">
        <v>2</v>
      </c>
      <c r="G890" s="5813">
        <v>0.1763888888888889</v>
      </c>
      <c r="H890" s="21" t="s">
        <v>10</v>
      </c>
      <c r="I890" s="21" t="s">
        <v>39</v>
      </c>
      <c r="J890" s="21" t="s">
        <v>97</v>
      </c>
      <c r="K890" s="5814" t="s">
        <v>4675</v>
      </c>
    </row>
    <row r="891" spans="1:11">
      <c r="A891" s="21" t="s">
        <v>3651</v>
      </c>
      <c r="B891" s="21" t="s">
        <v>4676</v>
      </c>
      <c r="C891" s="21" t="s">
        <v>8</v>
      </c>
      <c r="D891" s="21" t="s">
        <v>237</v>
      </c>
      <c r="E891" s="21" t="s">
        <v>46</v>
      </c>
      <c r="F891" s="5812">
        <v>2</v>
      </c>
      <c r="G891" s="5813">
        <v>0.18333333333333332</v>
      </c>
      <c r="H891" s="21" t="s">
        <v>10</v>
      </c>
      <c r="I891" s="21" t="s">
        <v>11</v>
      </c>
      <c r="J891" s="21" t="s">
        <v>127</v>
      </c>
      <c r="K891" s="5814" t="s">
        <v>4677</v>
      </c>
    </row>
    <row r="892" spans="1:11">
      <c r="A892" s="21" t="s">
        <v>3315</v>
      </c>
      <c r="B892" s="21" t="s">
        <v>4678</v>
      </c>
      <c r="C892" s="21" t="s">
        <v>8</v>
      </c>
      <c r="D892" s="21" t="s">
        <v>237</v>
      </c>
      <c r="E892" s="21" t="s">
        <v>46</v>
      </c>
      <c r="F892" s="5812">
        <v>2</v>
      </c>
      <c r="G892" s="5813">
        <v>0.18541666666666667</v>
      </c>
      <c r="H892" s="21" t="s">
        <v>10</v>
      </c>
      <c r="I892" s="21" t="s">
        <v>96</v>
      </c>
      <c r="J892" s="21" t="s">
        <v>616</v>
      </c>
      <c r="K892" s="5814" t="s">
        <v>4679</v>
      </c>
    </row>
    <row r="893" spans="1:11">
      <c r="A893" s="21" t="s">
        <v>3348</v>
      </c>
      <c r="B893" s="21" t="s">
        <v>4680</v>
      </c>
      <c r="C893" s="21" t="s">
        <v>8</v>
      </c>
      <c r="D893" s="21" t="s">
        <v>237</v>
      </c>
      <c r="E893" s="21" t="s">
        <v>46</v>
      </c>
      <c r="F893" s="5812">
        <v>2</v>
      </c>
      <c r="G893" s="5813">
        <v>0.18611111111111112</v>
      </c>
      <c r="H893" s="21" t="s">
        <v>10</v>
      </c>
      <c r="I893" s="21" t="s">
        <v>226</v>
      </c>
      <c r="J893" s="21" t="s">
        <v>258</v>
      </c>
      <c r="K893" s="5814" t="s">
        <v>4681</v>
      </c>
    </row>
    <row r="894" spans="1:11">
      <c r="A894" s="21" t="s">
        <v>3230</v>
      </c>
      <c r="B894" s="21" t="s">
        <v>4682</v>
      </c>
      <c r="C894" s="21" t="s">
        <v>8</v>
      </c>
      <c r="D894" s="21" t="s">
        <v>237</v>
      </c>
      <c r="E894" s="21" t="s">
        <v>46</v>
      </c>
      <c r="F894" s="5812">
        <v>2</v>
      </c>
      <c r="G894" s="5813">
        <v>0.1875</v>
      </c>
      <c r="H894" s="21" t="s">
        <v>10</v>
      </c>
      <c r="I894" s="21" t="s">
        <v>23</v>
      </c>
      <c r="J894" s="21" t="s">
        <v>97</v>
      </c>
      <c r="K894" s="5814" t="s">
        <v>4683</v>
      </c>
    </row>
    <row r="895" spans="1:11">
      <c r="A895" s="21" t="s">
        <v>2147</v>
      </c>
      <c r="B895" s="21" t="s">
        <v>4684</v>
      </c>
      <c r="C895" s="21" t="s">
        <v>22</v>
      </c>
      <c r="D895" s="21" t="s">
        <v>237</v>
      </c>
      <c r="E895" s="21" t="s">
        <v>46</v>
      </c>
      <c r="F895" s="5812">
        <v>2</v>
      </c>
      <c r="G895" s="5813">
        <v>0.18888888888888888</v>
      </c>
      <c r="H895" s="21" t="s">
        <v>10</v>
      </c>
      <c r="I895" s="21" t="s">
        <v>2149</v>
      </c>
      <c r="J895" s="21" t="s">
        <v>97</v>
      </c>
      <c r="K895" s="5814" t="s">
        <v>4685</v>
      </c>
    </row>
    <row r="896" spans="1:11">
      <c r="A896" s="21" t="s">
        <v>2530</v>
      </c>
      <c r="B896" s="21" t="s">
        <v>4686</v>
      </c>
      <c r="C896" s="21" t="s">
        <v>22</v>
      </c>
      <c r="D896" s="21" t="s">
        <v>237</v>
      </c>
      <c r="E896" s="21" t="s">
        <v>46</v>
      </c>
      <c r="F896" s="5812">
        <v>2</v>
      </c>
      <c r="G896" s="5813">
        <v>0.19236111111111112</v>
      </c>
      <c r="H896" s="21" t="s">
        <v>10</v>
      </c>
      <c r="I896" s="21" t="s">
        <v>39</v>
      </c>
      <c r="J896" s="21" t="s">
        <v>4687</v>
      </c>
      <c r="K896" s="5814" t="s">
        <v>4688</v>
      </c>
    </row>
    <row r="897" spans="1:11">
      <c r="A897" s="21" t="s">
        <v>3036</v>
      </c>
      <c r="B897" s="21" t="s">
        <v>4689</v>
      </c>
      <c r="C897" s="21" t="s">
        <v>22</v>
      </c>
      <c r="D897" s="21" t="s">
        <v>237</v>
      </c>
      <c r="E897" s="21" t="s">
        <v>46</v>
      </c>
      <c r="F897" s="5812">
        <v>2</v>
      </c>
      <c r="G897" s="5813">
        <v>0.19444444444444445</v>
      </c>
      <c r="H897" s="21" t="s">
        <v>10</v>
      </c>
      <c r="I897" s="21" t="s">
        <v>3534</v>
      </c>
      <c r="J897" s="21" t="s">
        <v>4652</v>
      </c>
      <c r="K897" s="5814" t="s">
        <v>4690</v>
      </c>
    </row>
    <row r="898" spans="1:11">
      <c r="A898" s="21" t="s">
        <v>3395</v>
      </c>
      <c r="B898" s="21" t="s">
        <v>4691</v>
      </c>
      <c r="C898" s="21" t="s">
        <v>8</v>
      </c>
      <c r="D898" s="21" t="s">
        <v>237</v>
      </c>
      <c r="E898" s="21" t="s">
        <v>46</v>
      </c>
      <c r="F898" s="5812">
        <v>2</v>
      </c>
      <c r="G898" s="5813">
        <v>0.19583333333333333</v>
      </c>
      <c r="H898" s="21" t="s">
        <v>10</v>
      </c>
      <c r="I898" s="21" t="s">
        <v>2544</v>
      </c>
      <c r="J898" s="21" t="s">
        <v>97</v>
      </c>
      <c r="K898" s="5814" t="s">
        <v>4692</v>
      </c>
    </row>
    <row r="899" spans="1:11">
      <c r="A899" s="21" t="s">
        <v>2741</v>
      </c>
      <c r="B899" s="21" t="s">
        <v>4693</v>
      </c>
      <c r="C899" s="21" t="s">
        <v>8</v>
      </c>
      <c r="D899" s="21" t="s">
        <v>237</v>
      </c>
      <c r="E899" s="21" t="s">
        <v>46</v>
      </c>
      <c r="F899" s="5812">
        <v>2</v>
      </c>
      <c r="G899" s="5813">
        <v>0.20624999999999999</v>
      </c>
      <c r="H899" s="21" t="s">
        <v>10</v>
      </c>
      <c r="I899" s="21" t="s">
        <v>47</v>
      </c>
      <c r="J899" s="21" t="s">
        <v>4586</v>
      </c>
      <c r="K899" s="5814" t="s">
        <v>4694</v>
      </c>
    </row>
    <row r="900" spans="1:11">
      <c r="A900" s="21" t="s">
        <v>3613</v>
      </c>
      <c r="B900" s="21" t="s">
        <v>4695</v>
      </c>
      <c r="C900" s="21" t="s">
        <v>8</v>
      </c>
      <c r="D900" s="21" t="s">
        <v>237</v>
      </c>
      <c r="E900" s="21" t="s">
        <v>46</v>
      </c>
      <c r="F900" s="5812">
        <v>3</v>
      </c>
      <c r="G900" s="5813">
        <v>4.8611111111111112E-3</v>
      </c>
      <c r="H900" s="21" t="s">
        <v>10</v>
      </c>
      <c r="I900" s="21" t="s">
        <v>47</v>
      </c>
      <c r="J900" s="21" t="s">
        <v>48</v>
      </c>
      <c r="K900" s="5814" t="s">
        <v>4696</v>
      </c>
    </row>
    <row r="901" spans="1:11">
      <c r="A901" s="21" t="s">
        <v>115</v>
      </c>
      <c r="B901" s="21" t="s">
        <v>268</v>
      </c>
      <c r="C901" s="21" t="s">
        <v>8</v>
      </c>
      <c r="D901" s="21" t="s">
        <v>237</v>
      </c>
      <c r="E901" s="21" t="s">
        <v>46</v>
      </c>
      <c r="F901" s="5812">
        <v>3</v>
      </c>
      <c r="G901" s="5813">
        <v>1.5277777777777777E-2</v>
      </c>
      <c r="H901" s="21" t="s">
        <v>10</v>
      </c>
      <c r="I901" s="21" t="s">
        <v>11</v>
      </c>
      <c r="J901" s="21" t="s">
        <v>48</v>
      </c>
      <c r="K901" s="5814" t="s">
        <v>269</v>
      </c>
    </row>
    <row r="902" spans="1:11">
      <c r="A902" s="21" t="s">
        <v>3125</v>
      </c>
      <c r="B902" s="21" t="s">
        <v>4697</v>
      </c>
      <c r="C902" s="21" t="s">
        <v>8</v>
      </c>
      <c r="D902" s="21" t="s">
        <v>237</v>
      </c>
      <c r="E902" s="21" t="s">
        <v>46</v>
      </c>
      <c r="F902" s="5812">
        <v>3</v>
      </c>
      <c r="G902" s="5813">
        <v>2.2222222222222223E-2</v>
      </c>
      <c r="H902" s="21" t="s">
        <v>10</v>
      </c>
      <c r="I902" s="21" t="s">
        <v>226</v>
      </c>
      <c r="J902" s="21" t="s">
        <v>406</v>
      </c>
      <c r="K902" s="5814" t="s">
        <v>4698</v>
      </c>
    </row>
    <row r="903" spans="1:11">
      <c r="A903" s="21" t="s">
        <v>2882</v>
      </c>
      <c r="B903" s="21" t="s">
        <v>4699</v>
      </c>
      <c r="C903" s="21" t="s">
        <v>22</v>
      </c>
      <c r="D903" s="21" t="s">
        <v>237</v>
      </c>
      <c r="E903" s="21" t="s">
        <v>46</v>
      </c>
      <c r="F903" s="5812">
        <v>3</v>
      </c>
      <c r="G903" s="5813">
        <v>2.2222222222222223E-2</v>
      </c>
      <c r="H903" s="21" t="s">
        <v>10</v>
      </c>
      <c r="I903" s="21" t="s">
        <v>47</v>
      </c>
      <c r="J903" s="21" t="s">
        <v>154</v>
      </c>
      <c r="K903" s="5814" t="s">
        <v>4700</v>
      </c>
    </row>
    <row r="904" spans="1:11">
      <c r="A904" s="21" t="s">
        <v>4321</v>
      </c>
      <c r="B904" s="21" t="s">
        <v>4701</v>
      </c>
      <c r="C904" s="21" t="s">
        <v>22</v>
      </c>
      <c r="D904" s="21" t="s">
        <v>237</v>
      </c>
      <c r="E904" s="21" t="s">
        <v>46</v>
      </c>
      <c r="F904" s="5812">
        <v>3</v>
      </c>
      <c r="G904" s="5813">
        <v>2.7083333333333334E-2</v>
      </c>
      <c r="H904" s="21" t="s">
        <v>10</v>
      </c>
      <c r="I904" s="21" t="s">
        <v>654</v>
      </c>
      <c r="J904" s="21" t="s">
        <v>48</v>
      </c>
      <c r="K904" s="5814" t="s">
        <v>4702</v>
      </c>
    </row>
    <row r="905" spans="1:11">
      <c r="A905" s="21" t="s">
        <v>2955</v>
      </c>
      <c r="B905" s="21" t="s">
        <v>4703</v>
      </c>
      <c r="C905" s="21" t="s">
        <v>22</v>
      </c>
      <c r="D905" s="21" t="s">
        <v>237</v>
      </c>
      <c r="E905" s="21" t="s">
        <v>46</v>
      </c>
      <c r="F905" s="5812">
        <v>3</v>
      </c>
      <c r="G905" s="5813">
        <v>3.8194444444444448E-2</v>
      </c>
      <c r="H905" s="21" t="s">
        <v>10</v>
      </c>
      <c r="I905" s="21" t="s">
        <v>39</v>
      </c>
      <c r="J905" s="21" t="s">
        <v>4586</v>
      </c>
      <c r="K905" s="5814" t="s">
        <v>4704</v>
      </c>
    </row>
    <row r="906" spans="1:11">
      <c r="A906" s="21" t="s">
        <v>3256</v>
      </c>
      <c r="B906" s="21" t="s">
        <v>4705</v>
      </c>
      <c r="C906" s="21" t="s">
        <v>22</v>
      </c>
      <c r="D906" s="21" t="s">
        <v>237</v>
      </c>
      <c r="E906" s="21" t="s">
        <v>46</v>
      </c>
      <c r="F906" s="5812">
        <v>3</v>
      </c>
      <c r="G906" s="5813">
        <v>5.2777777777777778E-2</v>
      </c>
      <c r="H906" s="21" t="s">
        <v>10</v>
      </c>
      <c r="I906" s="21" t="s">
        <v>89</v>
      </c>
      <c r="J906" s="21" t="s">
        <v>48</v>
      </c>
      <c r="K906" s="5814" t="s">
        <v>4706</v>
      </c>
    </row>
    <row r="907" spans="1:11">
      <c r="A907" s="21" t="s">
        <v>2702</v>
      </c>
      <c r="B907" s="21" t="s">
        <v>4707</v>
      </c>
      <c r="C907" s="21" t="s">
        <v>22</v>
      </c>
      <c r="D907" s="21" t="s">
        <v>237</v>
      </c>
      <c r="E907" s="21" t="s">
        <v>46</v>
      </c>
      <c r="F907" s="5812">
        <v>3</v>
      </c>
      <c r="G907" s="5813">
        <v>6.1805555555555558E-2</v>
      </c>
      <c r="H907" s="21" t="s">
        <v>10</v>
      </c>
      <c r="I907" s="21" t="s">
        <v>55</v>
      </c>
      <c r="J907" s="21" t="s">
        <v>48</v>
      </c>
      <c r="K907" s="5814" t="s">
        <v>4708</v>
      </c>
    </row>
    <row r="908" spans="1:11">
      <c r="A908" s="21" t="s">
        <v>2079</v>
      </c>
      <c r="B908" s="21" t="s">
        <v>4709</v>
      </c>
      <c r="C908" s="21" t="s">
        <v>22</v>
      </c>
      <c r="D908" s="21" t="s">
        <v>237</v>
      </c>
      <c r="E908" s="21" t="s">
        <v>46</v>
      </c>
      <c r="F908" s="5812">
        <v>3</v>
      </c>
      <c r="G908" s="5813">
        <v>7.2222222222222215E-2</v>
      </c>
      <c r="H908" s="21" t="s">
        <v>54</v>
      </c>
      <c r="I908" s="21" t="s">
        <v>96</v>
      </c>
      <c r="J908" s="21" t="s">
        <v>48</v>
      </c>
      <c r="K908" s="5814" t="s">
        <v>4710</v>
      </c>
    </row>
    <row r="909" spans="1:11">
      <c r="A909" s="21" t="s">
        <v>4711</v>
      </c>
      <c r="B909" s="21" t="s">
        <v>4712</v>
      </c>
      <c r="C909" s="21" t="s">
        <v>8</v>
      </c>
      <c r="D909" s="21" t="s">
        <v>237</v>
      </c>
      <c r="E909" s="21" t="s">
        <v>46</v>
      </c>
      <c r="F909" s="5812">
        <v>3</v>
      </c>
      <c r="G909" s="5813">
        <v>7.5694444444444439E-2</v>
      </c>
      <c r="H909" s="21" t="s">
        <v>10</v>
      </c>
      <c r="I909" s="21" t="s">
        <v>11</v>
      </c>
      <c r="J909" s="21" t="s">
        <v>722</v>
      </c>
      <c r="K909" s="5814" t="s">
        <v>4713</v>
      </c>
    </row>
    <row r="910" spans="1:11">
      <c r="A910" s="21" t="s">
        <v>4568</v>
      </c>
      <c r="B910" s="21" t="s">
        <v>4714</v>
      </c>
      <c r="C910" s="21" t="s">
        <v>8</v>
      </c>
      <c r="D910" s="21" t="s">
        <v>237</v>
      </c>
      <c r="E910" s="21" t="s">
        <v>46</v>
      </c>
      <c r="F910" s="5812">
        <v>3</v>
      </c>
      <c r="G910" s="5813">
        <v>8.2638888888888887E-2</v>
      </c>
      <c r="H910" s="21" t="s">
        <v>10</v>
      </c>
      <c r="I910" s="21" t="s">
        <v>194</v>
      </c>
      <c r="J910" s="21" t="s">
        <v>406</v>
      </c>
      <c r="K910" s="5814" t="s">
        <v>4715</v>
      </c>
    </row>
    <row r="911" spans="1:11">
      <c r="A911" s="21" t="s">
        <v>2311</v>
      </c>
      <c r="B911" s="21" t="s">
        <v>4716</v>
      </c>
      <c r="C911" s="21" t="s">
        <v>8</v>
      </c>
      <c r="D911" s="21" t="s">
        <v>237</v>
      </c>
      <c r="E911" s="21" t="s">
        <v>46</v>
      </c>
      <c r="F911" s="5812">
        <v>3</v>
      </c>
      <c r="G911" s="5813">
        <v>9.7222222222222224E-2</v>
      </c>
      <c r="H911" s="21" t="s">
        <v>10</v>
      </c>
      <c r="I911" s="21" t="s">
        <v>3343</v>
      </c>
      <c r="J911" s="21" t="s">
        <v>3004</v>
      </c>
      <c r="K911" s="5814" t="s">
        <v>4717</v>
      </c>
    </row>
    <row r="912" spans="1:11">
      <c r="A912" s="21" t="s">
        <v>2424</v>
      </c>
      <c r="B912" s="21" t="s">
        <v>4718</v>
      </c>
      <c r="C912" s="21" t="s">
        <v>8</v>
      </c>
      <c r="D912" s="21" t="s">
        <v>237</v>
      </c>
      <c r="E912" s="21" t="s">
        <v>46</v>
      </c>
      <c r="F912" s="5812">
        <v>3</v>
      </c>
      <c r="G912" s="5813">
        <v>0.125</v>
      </c>
      <c r="H912" s="21" t="s">
        <v>10</v>
      </c>
      <c r="I912" s="21" t="s">
        <v>39</v>
      </c>
      <c r="J912" s="21" t="s">
        <v>258</v>
      </c>
      <c r="K912" s="5814" t="s">
        <v>4719</v>
      </c>
    </row>
    <row r="913" spans="1:11">
      <c r="A913" s="21" t="s">
        <v>2233</v>
      </c>
      <c r="B913" s="21" t="s">
        <v>4720</v>
      </c>
      <c r="C913" s="21" t="s">
        <v>22</v>
      </c>
      <c r="D913" s="21" t="s">
        <v>237</v>
      </c>
      <c r="E913" s="21" t="s">
        <v>46</v>
      </c>
      <c r="F913" s="5812">
        <v>3</v>
      </c>
      <c r="G913" s="5813">
        <v>0.13819444444444445</v>
      </c>
      <c r="H913" s="21" t="s">
        <v>10</v>
      </c>
      <c r="I913" s="21" t="s">
        <v>23</v>
      </c>
      <c r="J913" s="21" t="s">
        <v>722</v>
      </c>
      <c r="K913" s="5814" t="s">
        <v>4721</v>
      </c>
    </row>
    <row r="914" spans="1:11">
      <c r="A914" s="21" t="s">
        <v>2491</v>
      </c>
      <c r="B914" s="21" t="s">
        <v>4722</v>
      </c>
      <c r="C914" s="21" t="s">
        <v>22</v>
      </c>
      <c r="D914" s="21" t="s">
        <v>237</v>
      </c>
      <c r="E914" s="21" t="s">
        <v>46</v>
      </c>
      <c r="F914" s="5812">
        <v>3</v>
      </c>
      <c r="G914" s="5813">
        <v>0.15277777777777779</v>
      </c>
      <c r="H914" s="21" t="s">
        <v>10</v>
      </c>
      <c r="I914" s="21" t="s">
        <v>39</v>
      </c>
      <c r="J914" s="21" t="s">
        <v>258</v>
      </c>
      <c r="K914" s="5814" t="s">
        <v>4723</v>
      </c>
    </row>
    <row r="915" spans="1:11">
      <c r="A915" s="21" t="s">
        <v>4724</v>
      </c>
      <c r="B915" s="21" t="s">
        <v>4725</v>
      </c>
      <c r="C915" s="21" t="s">
        <v>8</v>
      </c>
      <c r="D915" s="21" t="s">
        <v>237</v>
      </c>
      <c r="E915" s="21" t="s">
        <v>46</v>
      </c>
      <c r="F915" s="5812">
        <v>3</v>
      </c>
      <c r="G915" s="5813">
        <v>0.17291666666666666</v>
      </c>
      <c r="H915" s="21" t="s">
        <v>10</v>
      </c>
      <c r="I915" s="21" t="s">
        <v>4298</v>
      </c>
      <c r="J915" s="21" t="s">
        <v>722</v>
      </c>
      <c r="K915" s="5814" t="s">
        <v>4726</v>
      </c>
    </row>
    <row r="916" spans="1:11">
      <c r="A916" s="21" t="s">
        <v>3364</v>
      </c>
      <c r="B916" s="21" t="s">
        <v>4727</v>
      </c>
      <c r="C916" s="21" t="s">
        <v>8</v>
      </c>
      <c r="D916" s="21" t="s">
        <v>237</v>
      </c>
      <c r="E916" s="21" t="s">
        <v>46</v>
      </c>
      <c r="F916" s="5812">
        <v>3</v>
      </c>
      <c r="G916" s="5813">
        <v>0.17291666666666666</v>
      </c>
      <c r="H916" s="21" t="s">
        <v>10</v>
      </c>
      <c r="I916" s="21" t="s">
        <v>11</v>
      </c>
      <c r="J916" s="21" t="s">
        <v>1117</v>
      </c>
      <c r="K916" s="5814" t="s">
        <v>4728</v>
      </c>
    </row>
    <row r="917" spans="1:11">
      <c r="A917" s="21" t="s">
        <v>2905</v>
      </c>
      <c r="B917" s="21" t="s">
        <v>4729</v>
      </c>
      <c r="C917" s="21" t="s">
        <v>22</v>
      </c>
      <c r="D917" s="21" t="s">
        <v>237</v>
      </c>
      <c r="E917" s="21" t="s">
        <v>46</v>
      </c>
      <c r="F917" s="5812">
        <v>3</v>
      </c>
      <c r="G917" s="5813">
        <v>0.1736111111111111</v>
      </c>
      <c r="H917" s="21" t="s">
        <v>10</v>
      </c>
      <c r="I917" s="21" t="s">
        <v>226</v>
      </c>
      <c r="J917" s="21" t="s">
        <v>406</v>
      </c>
      <c r="K917" s="5814" t="s">
        <v>4730</v>
      </c>
    </row>
    <row r="918" spans="1:11">
      <c r="A918" s="21" t="s">
        <v>2630</v>
      </c>
      <c r="B918" s="21" t="s">
        <v>4731</v>
      </c>
      <c r="C918" s="21" t="s">
        <v>8</v>
      </c>
      <c r="D918" s="21" t="s">
        <v>237</v>
      </c>
      <c r="E918" s="21" t="s">
        <v>46</v>
      </c>
      <c r="F918" s="5812">
        <v>3</v>
      </c>
      <c r="G918" s="5813">
        <v>0.1763888888888889</v>
      </c>
      <c r="H918" s="21" t="s">
        <v>10</v>
      </c>
      <c r="I918" s="21" t="s">
        <v>11</v>
      </c>
      <c r="J918" s="21" t="s">
        <v>48</v>
      </c>
      <c r="K918" s="5814" t="s">
        <v>4732</v>
      </c>
    </row>
    <row r="919" spans="1:11">
      <c r="A919" s="21" t="s">
        <v>3134</v>
      </c>
      <c r="B919" s="21" t="s">
        <v>4733</v>
      </c>
      <c r="C919" s="21" t="s">
        <v>8</v>
      </c>
      <c r="D919" s="21" t="s">
        <v>237</v>
      </c>
      <c r="E919" s="21" t="s">
        <v>46</v>
      </c>
      <c r="F919" s="5812">
        <v>3</v>
      </c>
      <c r="G919" s="5813">
        <v>0.18819444444444444</v>
      </c>
      <c r="H919" s="21" t="s">
        <v>10</v>
      </c>
      <c r="I919" s="21" t="s">
        <v>39</v>
      </c>
      <c r="J919" s="21" t="s">
        <v>4734</v>
      </c>
      <c r="K919" s="5814" t="s">
        <v>4735</v>
      </c>
    </row>
    <row r="920" spans="1:11">
      <c r="A920" s="21" t="s">
        <v>3720</v>
      </c>
      <c r="B920" s="21" t="s">
        <v>4736</v>
      </c>
      <c r="C920" s="21" t="s">
        <v>8</v>
      </c>
      <c r="D920" s="21" t="s">
        <v>237</v>
      </c>
      <c r="E920" s="21" t="s">
        <v>46</v>
      </c>
      <c r="F920" s="5812">
        <v>3</v>
      </c>
      <c r="G920" s="5813">
        <v>0.18888888888888888</v>
      </c>
      <c r="H920" s="21" t="s">
        <v>10</v>
      </c>
      <c r="I920" s="21" t="s">
        <v>11</v>
      </c>
      <c r="J920" s="21" t="s">
        <v>518</v>
      </c>
      <c r="K920" s="5814" t="s">
        <v>4737</v>
      </c>
    </row>
    <row r="921" spans="1:11">
      <c r="A921" s="21" t="s">
        <v>4383</v>
      </c>
      <c r="B921" s="21" t="s">
        <v>4738</v>
      </c>
      <c r="C921" s="21" t="s">
        <v>8</v>
      </c>
      <c r="D921" s="21" t="s">
        <v>237</v>
      </c>
      <c r="E921" s="21" t="s">
        <v>46</v>
      </c>
      <c r="F921" s="5812">
        <v>3</v>
      </c>
      <c r="G921" s="5813">
        <v>0.19444444444444445</v>
      </c>
      <c r="H921" s="21" t="s">
        <v>10</v>
      </c>
      <c r="I921" s="21" t="s">
        <v>55</v>
      </c>
      <c r="J921" s="21" t="s">
        <v>2953</v>
      </c>
      <c r="K921" s="5814" t="s">
        <v>4739</v>
      </c>
    </row>
    <row r="922" spans="1:11">
      <c r="A922" s="21" t="s">
        <v>2192</v>
      </c>
      <c r="B922" s="21" t="s">
        <v>4740</v>
      </c>
      <c r="C922" s="21" t="s">
        <v>22</v>
      </c>
      <c r="D922" s="21" t="s">
        <v>237</v>
      </c>
      <c r="E922" s="21" t="s">
        <v>46</v>
      </c>
      <c r="F922" s="5812">
        <v>5</v>
      </c>
      <c r="G922" s="5813">
        <v>0.2076388888888889</v>
      </c>
      <c r="H922" s="21" t="s">
        <v>54</v>
      </c>
      <c r="I922" s="21" t="s">
        <v>187</v>
      </c>
      <c r="J922" s="21" t="s">
        <v>4652</v>
      </c>
      <c r="K922" s="5814" t="s">
        <v>4741</v>
      </c>
    </row>
    <row r="923" spans="1:11">
      <c r="A923" s="21" t="s">
        <v>4621</v>
      </c>
      <c r="B923" s="21" t="s">
        <v>4742</v>
      </c>
      <c r="C923" s="21" t="s">
        <v>179</v>
      </c>
      <c r="D923" s="21" t="s">
        <v>237</v>
      </c>
      <c r="E923" s="21" t="s">
        <v>920</v>
      </c>
      <c r="F923" s="5812">
        <v>1</v>
      </c>
      <c r="G923" s="5813">
        <v>0.14652777777777778</v>
      </c>
      <c r="H923" s="21" t="s">
        <v>10</v>
      </c>
      <c r="I923" s="21" t="s">
        <v>187</v>
      </c>
      <c r="J923" s="21" t="s">
        <v>4743</v>
      </c>
      <c r="K923" s="5814" t="s">
        <v>4744</v>
      </c>
    </row>
    <row r="924" spans="1:11">
      <c r="A924" s="21" t="s">
        <v>2192</v>
      </c>
      <c r="B924" s="21" t="s">
        <v>4745</v>
      </c>
      <c r="C924" s="21" t="s">
        <v>179</v>
      </c>
      <c r="D924" s="21" t="s">
        <v>237</v>
      </c>
      <c r="E924" s="21" t="s">
        <v>920</v>
      </c>
      <c r="F924" s="5812">
        <v>2</v>
      </c>
      <c r="G924" s="5813">
        <v>0.11319444444444444</v>
      </c>
      <c r="H924" s="21" t="s">
        <v>10</v>
      </c>
      <c r="I924" s="21" t="s">
        <v>2194</v>
      </c>
      <c r="J924" s="21" t="s">
        <v>4746</v>
      </c>
      <c r="K924" s="5814" t="s">
        <v>4747</v>
      </c>
    </row>
    <row r="925" spans="1:11">
      <c r="A925" s="21" t="s">
        <v>2075</v>
      </c>
      <c r="B925" s="21" t="s">
        <v>4748</v>
      </c>
      <c r="C925" s="21" t="s">
        <v>8</v>
      </c>
      <c r="D925" s="21" t="s">
        <v>237</v>
      </c>
      <c r="E925" s="21" t="s">
        <v>61</v>
      </c>
      <c r="F925" s="5812">
        <v>1</v>
      </c>
      <c r="G925" s="5813">
        <v>1.3194444444444444E-2</v>
      </c>
      <c r="H925" s="21" t="s">
        <v>10</v>
      </c>
      <c r="I925" s="21" t="s">
        <v>55</v>
      </c>
      <c r="J925" s="21" t="s">
        <v>4749</v>
      </c>
      <c r="K925" s="5814" t="s">
        <v>4750</v>
      </c>
    </row>
    <row r="926" spans="1:11">
      <c r="A926" s="21" t="s">
        <v>2383</v>
      </c>
      <c r="B926" s="21" t="s">
        <v>4751</v>
      </c>
      <c r="C926" s="21" t="s">
        <v>8</v>
      </c>
      <c r="D926" s="21" t="s">
        <v>237</v>
      </c>
      <c r="E926" s="21" t="s">
        <v>61</v>
      </c>
      <c r="F926" s="5812">
        <v>1</v>
      </c>
      <c r="G926" s="5813">
        <v>2.0833333333333332E-2</v>
      </c>
      <c r="H926" s="21" t="s">
        <v>10</v>
      </c>
      <c r="I926" s="21" t="s">
        <v>654</v>
      </c>
      <c r="J926" s="21" t="s">
        <v>110</v>
      </c>
      <c r="K926" s="5814" t="s">
        <v>4752</v>
      </c>
    </row>
    <row r="927" spans="1:11">
      <c r="A927" s="21" t="s">
        <v>2526</v>
      </c>
      <c r="B927" s="21" t="s">
        <v>4753</v>
      </c>
      <c r="C927" s="21" t="s">
        <v>8</v>
      </c>
      <c r="D927" s="21" t="s">
        <v>237</v>
      </c>
      <c r="E927" s="21" t="s">
        <v>61</v>
      </c>
      <c r="F927" s="5812">
        <v>1</v>
      </c>
      <c r="G927" s="5813">
        <v>2.7083333333333334E-2</v>
      </c>
      <c r="H927" s="21" t="s">
        <v>10</v>
      </c>
      <c r="I927" s="21" t="s">
        <v>55</v>
      </c>
      <c r="J927" s="21" t="s">
        <v>3350</v>
      </c>
      <c r="K927" s="5814" t="s">
        <v>4754</v>
      </c>
    </row>
    <row r="928" spans="1:11">
      <c r="A928" s="21" t="s">
        <v>2729</v>
      </c>
      <c r="B928" s="21" t="s">
        <v>4755</v>
      </c>
      <c r="C928" s="21" t="s">
        <v>8</v>
      </c>
      <c r="D928" s="21" t="s">
        <v>237</v>
      </c>
      <c r="E928" s="21" t="s">
        <v>61</v>
      </c>
      <c r="F928" s="5812">
        <v>1</v>
      </c>
      <c r="G928" s="5813">
        <v>2.7083333333333334E-2</v>
      </c>
      <c r="H928" s="21" t="s">
        <v>10</v>
      </c>
      <c r="I928" s="21" t="s">
        <v>2814</v>
      </c>
      <c r="J928" s="21" t="s">
        <v>974</v>
      </c>
      <c r="K928" s="5814" t="s">
        <v>4756</v>
      </c>
    </row>
    <row r="929" spans="1:11">
      <c r="A929" s="21" t="s">
        <v>2272</v>
      </c>
      <c r="B929" s="21" t="s">
        <v>4757</v>
      </c>
      <c r="C929" s="21" t="s">
        <v>22</v>
      </c>
      <c r="D929" s="21" t="s">
        <v>237</v>
      </c>
      <c r="E929" s="21" t="s">
        <v>61</v>
      </c>
      <c r="F929" s="5812">
        <v>1</v>
      </c>
      <c r="G929" s="5813">
        <v>2.7083333333333334E-2</v>
      </c>
      <c r="H929" s="21" t="s">
        <v>10</v>
      </c>
      <c r="I929" s="21" t="s">
        <v>2247</v>
      </c>
      <c r="J929" s="21" t="s">
        <v>4758</v>
      </c>
      <c r="K929" s="5814" t="s">
        <v>4759</v>
      </c>
    </row>
    <row r="930" spans="1:11">
      <c r="A930" s="21" t="s">
        <v>2131</v>
      </c>
      <c r="B930" s="21" t="s">
        <v>4760</v>
      </c>
      <c r="C930" s="21" t="s">
        <v>8</v>
      </c>
      <c r="D930" s="21" t="s">
        <v>237</v>
      </c>
      <c r="E930" s="21" t="s">
        <v>61</v>
      </c>
      <c r="F930" s="5812">
        <v>1</v>
      </c>
      <c r="G930" s="5813">
        <v>3.6111111111111108E-2</v>
      </c>
      <c r="H930" s="21" t="s">
        <v>10</v>
      </c>
      <c r="I930" s="21" t="s">
        <v>226</v>
      </c>
      <c r="J930" s="21" t="s">
        <v>376</v>
      </c>
      <c r="K930" s="5814" t="s">
        <v>4761</v>
      </c>
    </row>
    <row r="931" spans="1:11">
      <c r="A931" s="21" t="s">
        <v>2438</v>
      </c>
      <c r="B931" s="21" t="s">
        <v>4762</v>
      </c>
      <c r="C931" s="21" t="s">
        <v>22</v>
      </c>
      <c r="D931" s="21" t="s">
        <v>237</v>
      </c>
      <c r="E931" s="21" t="s">
        <v>61</v>
      </c>
      <c r="F931" s="5812">
        <v>1</v>
      </c>
      <c r="G931" s="5813">
        <v>3.9583333333333331E-2</v>
      </c>
      <c r="H931" s="21" t="s">
        <v>10</v>
      </c>
      <c r="I931" s="21" t="s">
        <v>2814</v>
      </c>
      <c r="J931" s="21" t="s">
        <v>1327</v>
      </c>
      <c r="K931" s="5814" t="s">
        <v>4763</v>
      </c>
    </row>
    <row r="932" spans="1:11">
      <c r="A932" s="21" t="s">
        <v>4654</v>
      </c>
      <c r="B932" s="21" t="s">
        <v>4764</v>
      </c>
      <c r="C932" s="21" t="s">
        <v>22</v>
      </c>
      <c r="D932" s="21" t="s">
        <v>237</v>
      </c>
      <c r="E932" s="21" t="s">
        <v>61</v>
      </c>
      <c r="F932" s="5812">
        <v>1</v>
      </c>
      <c r="G932" s="5813">
        <v>4.0972222222222222E-2</v>
      </c>
      <c r="H932" s="21" t="s">
        <v>10</v>
      </c>
      <c r="I932" s="21" t="s">
        <v>2660</v>
      </c>
      <c r="J932" s="21" t="s">
        <v>67</v>
      </c>
      <c r="K932" s="5814" t="s">
        <v>4765</v>
      </c>
    </row>
    <row r="933" spans="1:11">
      <c r="A933" s="21" t="s">
        <v>3395</v>
      </c>
      <c r="B933" s="21" t="s">
        <v>4766</v>
      </c>
      <c r="C933" s="21" t="s">
        <v>22</v>
      </c>
      <c r="D933" s="21" t="s">
        <v>237</v>
      </c>
      <c r="E933" s="21" t="s">
        <v>61</v>
      </c>
      <c r="F933" s="5812">
        <v>1</v>
      </c>
      <c r="G933" s="5813">
        <v>5.347222222222222E-2</v>
      </c>
      <c r="H933" s="21" t="s">
        <v>10</v>
      </c>
      <c r="I933" s="21" t="s">
        <v>47</v>
      </c>
      <c r="J933" s="21" t="s">
        <v>67</v>
      </c>
      <c r="K933" s="5814" t="s">
        <v>4767</v>
      </c>
    </row>
    <row r="934" spans="1:11">
      <c r="A934" s="21" t="s">
        <v>4768</v>
      </c>
      <c r="B934" s="21" t="s">
        <v>4769</v>
      </c>
      <c r="C934" s="21" t="s">
        <v>8</v>
      </c>
      <c r="D934" s="21" t="s">
        <v>237</v>
      </c>
      <c r="E934" s="21" t="s">
        <v>61</v>
      </c>
      <c r="F934" s="5812">
        <v>1</v>
      </c>
      <c r="G934" s="5813">
        <v>5.8333333333333334E-2</v>
      </c>
      <c r="H934" s="21" t="s">
        <v>10</v>
      </c>
      <c r="I934" s="21" t="s">
        <v>2660</v>
      </c>
      <c r="J934" s="21" t="s">
        <v>4770</v>
      </c>
      <c r="K934" s="5814" t="s">
        <v>4771</v>
      </c>
    </row>
    <row r="935" spans="1:11">
      <c r="A935" s="21" t="s">
        <v>2323</v>
      </c>
      <c r="B935" s="21" t="s">
        <v>4772</v>
      </c>
      <c r="C935" s="21" t="s">
        <v>8</v>
      </c>
      <c r="D935" s="21" t="s">
        <v>237</v>
      </c>
      <c r="E935" s="21" t="s">
        <v>61</v>
      </c>
      <c r="F935" s="5812">
        <v>1</v>
      </c>
      <c r="G935" s="5813">
        <v>6.805555555555555E-2</v>
      </c>
      <c r="H935" s="21" t="s">
        <v>10</v>
      </c>
      <c r="I935" s="21" t="s">
        <v>2959</v>
      </c>
      <c r="J935" s="21" t="s">
        <v>3383</v>
      </c>
      <c r="K935" s="5814" t="s">
        <v>4773</v>
      </c>
    </row>
    <row r="936" spans="1:11">
      <c r="A936" s="21" t="s">
        <v>3098</v>
      </c>
      <c r="B936" s="21" t="s">
        <v>4774</v>
      </c>
      <c r="C936" s="21" t="s">
        <v>8</v>
      </c>
      <c r="D936" s="21" t="s">
        <v>237</v>
      </c>
      <c r="E936" s="21" t="s">
        <v>61</v>
      </c>
      <c r="F936" s="5812">
        <v>1</v>
      </c>
      <c r="G936" s="5813">
        <v>7.013888888888889E-2</v>
      </c>
      <c r="H936" s="21" t="s">
        <v>10</v>
      </c>
      <c r="I936" s="21" t="s">
        <v>2713</v>
      </c>
      <c r="J936" s="21" t="s">
        <v>67</v>
      </c>
      <c r="K936" s="5814" t="s">
        <v>4775</v>
      </c>
    </row>
    <row r="937" spans="1:11">
      <c r="A937" s="21" t="s">
        <v>2079</v>
      </c>
      <c r="B937" s="21" t="s">
        <v>4776</v>
      </c>
      <c r="C937" s="21" t="s">
        <v>22</v>
      </c>
      <c r="D937" s="21" t="s">
        <v>237</v>
      </c>
      <c r="E937" s="21" t="s">
        <v>61</v>
      </c>
      <c r="F937" s="5812">
        <v>1</v>
      </c>
      <c r="G937" s="5813">
        <v>7.8472222222222221E-2</v>
      </c>
      <c r="H937" s="21" t="s">
        <v>10</v>
      </c>
      <c r="I937" s="21" t="s">
        <v>39</v>
      </c>
      <c r="J937" s="21" t="s">
        <v>3279</v>
      </c>
      <c r="K937" s="5814" t="s">
        <v>4777</v>
      </c>
    </row>
    <row r="938" spans="1:11">
      <c r="A938" s="21" t="s">
        <v>2100</v>
      </c>
      <c r="B938" s="21" t="s">
        <v>4778</v>
      </c>
      <c r="C938" s="21" t="s">
        <v>8</v>
      </c>
      <c r="D938" s="21" t="s">
        <v>237</v>
      </c>
      <c r="E938" s="21" t="s">
        <v>61</v>
      </c>
      <c r="F938" s="5812">
        <v>1</v>
      </c>
      <c r="G938" s="5813">
        <v>8.4722222222222227E-2</v>
      </c>
      <c r="H938" s="21" t="s">
        <v>10</v>
      </c>
      <c r="I938" s="21" t="s">
        <v>23</v>
      </c>
      <c r="J938" s="21" t="s">
        <v>67</v>
      </c>
      <c r="K938" s="5814" t="s">
        <v>4779</v>
      </c>
    </row>
    <row r="939" spans="1:11">
      <c r="A939" s="21" t="s">
        <v>2651</v>
      </c>
      <c r="B939" s="21" t="s">
        <v>4780</v>
      </c>
      <c r="C939" s="21" t="s">
        <v>22</v>
      </c>
      <c r="D939" s="21" t="s">
        <v>237</v>
      </c>
      <c r="E939" s="21" t="s">
        <v>61</v>
      </c>
      <c r="F939" s="5812">
        <v>1</v>
      </c>
      <c r="G939" s="5813">
        <v>8.7499999999999994E-2</v>
      </c>
      <c r="H939" s="21" t="s">
        <v>10</v>
      </c>
      <c r="I939" s="21" t="s">
        <v>11</v>
      </c>
      <c r="J939" s="21" t="s">
        <v>67</v>
      </c>
      <c r="K939" s="5814" t="s">
        <v>4781</v>
      </c>
    </row>
    <row r="940" spans="1:11">
      <c r="A940" s="21" t="s">
        <v>3741</v>
      </c>
      <c r="B940" s="21" t="s">
        <v>4782</v>
      </c>
      <c r="C940" s="21" t="s">
        <v>8</v>
      </c>
      <c r="D940" s="21" t="s">
        <v>237</v>
      </c>
      <c r="E940" s="21" t="s">
        <v>61</v>
      </c>
      <c r="F940" s="5812">
        <v>1</v>
      </c>
      <c r="G940" s="5813">
        <v>9.0972222222222218E-2</v>
      </c>
      <c r="H940" s="21" t="s">
        <v>10</v>
      </c>
      <c r="I940" s="21" t="s">
        <v>2872</v>
      </c>
      <c r="J940" s="21" t="s">
        <v>928</v>
      </c>
      <c r="K940" s="5814" t="s">
        <v>4783</v>
      </c>
    </row>
    <row r="941" spans="1:11">
      <c r="A941" s="21" t="s">
        <v>125</v>
      </c>
      <c r="B941" s="21" t="s">
        <v>375</v>
      </c>
      <c r="C941" s="21" t="s">
        <v>22</v>
      </c>
      <c r="D941" s="21" t="s">
        <v>237</v>
      </c>
      <c r="E941" s="21" t="s">
        <v>61</v>
      </c>
      <c r="F941" s="5812">
        <v>1</v>
      </c>
      <c r="G941" s="5813">
        <v>9.375E-2</v>
      </c>
      <c r="H941" s="21" t="s">
        <v>10</v>
      </c>
      <c r="I941" s="21" t="s">
        <v>23</v>
      </c>
      <c r="J941" s="21" t="s">
        <v>376</v>
      </c>
      <c r="K941" s="5814" t="s">
        <v>377</v>
      </c>
    </row>
    <row r="942" spans="1:11">
      <c r="A942" s="21" t="s">
        <v>3012</v>
      </c>
      <c r="B942" s="21" t="s">
        <v>4784</v>
      </c>
      <c r="C942" s="21" t="s">
        <v>22</v>
      </c>
      <c r="D942" s="21" t="s">
        <v>237</v>
      </c>
      <c r="E942" s="21" t="s">
        <v>61</v>
      </c>
      <c r="F942" s="5812">
        <v>1</v>
      </c>
      <c r="G942" s="5813">
        <v>0.10555555555555556</v>
      </c>
      <c r="H942" s="21" t="s">
        <v>10</v>
      </c>
      <c r="I942" s="21" t="s">
        <v>11</v>
      </c>
      <c r="J942" s="21" t="s">
        <v>3350</v>
      </c>
      <c r="K942" s="5814" t="s">
        <v>4785</v>
      </c>
    </row>
    <row r="943" spans="1:11">
      <c r="A943" s="21" t="s">
        <v>125</v>
      </c>
      <c r="B943" s="21" t="s">
        <v>281</v>
      </c>
      <c r="C943" s="21" t="s">
        <v>8</v>
      </c>
      <c r="D943" s="21" t="s">
        <v>237</v>
      </c>
      <c r="E943" s="21" t="s">
        <v>61</v>
      </c>
      <c r="F943" s="5812">
        <v>1</v>
      </c>
      <c r="G943" s="5813">
        <v>0.11458333333333333</v>
      </c>
      <c r="H943" s="21" t="s">
        <v>10</v>
      </c>
      <c r="I943" s="21" t="s">
        <v>96</v>
      </c>
      <c r="J943" s="21" t="s">
        <v>282</v>
      </c>
      <c r="K943" s="5814" t="s">
        <v>283</v>
      </c>
    </row>
    <row r="944" spans="1:11">
      <c r="A944" s="21" t="s">
        <v>2992</v>
      </c>
      <c r="B944" s="21" t="s">
        <v>4786</v>
      </c>
      <c r="C944" s="21" t="s">
        <v>8</v>
      </c>
      <c r="D944" s="21" t="s">
        <v>237</v>
      </c>
      <c r="E944" s="21" t="s">
        <v>61</v>
      </c>
      <c r="F944" s="5812">
        <v>1</v>
      </c>
      <c r="G944" s="5813">
        <v>0.11527777777777778</v>
      </c>
      <c r="H944" s="21" t="s">
        <v>10</v>
      </c>
      <c r="I944" s="21" t="s">
        <v>187</v>
      </c>
      <c r="J944" s="21" t="s">
        <v>928</v>
      </c>
      <c r="K944" s="5814" t="s">
        <v>4787</v>
      </c>
    </row>
    <row r="945" spans="1:11">
      <c r="A945" s="21" t="s">
        <v>2817</v>
      </c>
      <c r="B945" s="21" t="s">
        <v>4788</v>
      </c>
      <c r="C945" s="21" t="s">
        <v>8</v>
      </c>
      <c r="D945" s="21" t="s">
        <v>237</v>
      </c>
      <c r="E945" s="21" t="s">
        <v>61</v>
      </c>
      <c r="F945" s="5812">
        <v>1</v>
      </c>
      <c r="G945" s="5813">
        <v>0.12708333333333333</v>
      </c>
      <c r="H945" s="21" t="s">
        <v>10</v>
      </c>
      <c r="I945" s="21" t="s">
        <v>2247</v>
      </c>
      <c r="J945" s="21" t="s">
        <v>67</v>
      </c>
      <c r="K945" s="5814" t="s">
        <v>4789</v>
      </c>
    </row>
    <row r="946" spans="1:11">
      <c r="A946" s="21" t="s">
        <v>3630</v>
      </c>
      <c r="B946" s="21" t="s">
        <v>4790</v>
      </c>
      <c r="C946" s="21" t="s">
        <v>8</v>
      </c>
      <c r="D946" s="21" t="s">
        <v>237</v>
      </c>
      <c r="E946" s="21" t="s">
        <v>61</v>
      </c>
      <c r="F946" s="5812">
        <v>1</v>
      </c>
      <c r="G946" s="5813">
        <v>0.12847222222222221</v>
      </c>
      <c r="H946" s="21" t="s">
        <v>10</v>
      </c>
      <c r="I946" s="21" t="s">
        <v>4791</v>
      </c>
      <c r="J946" s="21" t="s">
        <v>974</v>
      </c>
      <c r="K946" s="5814" t="s">
        <v>4792</v>
      </c>
    </row>
    <row r="947" spans="1:11">
      <c r="A947" s="21" t="s">
        <v>2307</v>
      </c>
      <c r="B947" s="21" t="s">
        <v>4793</v>
      </c>
      <c r="C947" s="21" t="s">
        <v>22</v>
      </c>
      <c r="D947" s="21" t="s">
        <v>237</v>
      </c>
      <c r="E947" s="21" t="s">
        <v>61</v>
      </c>
      <c r="F947" s="5812">
        <v>1</v>
      </c>
      <c r="G947" s="5813">
        <v>0.13333333333333333</v>
      </c>
      <c r="H947" s="21" t="s">
        <v>10</v>
      </c>
      <c r="I947" s="21" t="s">
        <v>55</v>
      </c>
      <c r="J947" s="21" t="s">
        <v>3350</v>
      </c>
      <c r="K947" s="5814" t="s">
        <v>4794</v>
      </c>
    </row>
    <row r="948" spans="1:11">
      <c r="A948" s="21" t="s">
        <v>3551</v>
      </c>
      <c r="B948" s="21" t="s">
        <v>4795</v>
      </c>
      <c r="C948" s="21" t="s">
        <v>22</v>
      </c>
      <c r="D948" s="21" t="s">
        <v>237</v>
      </c>
      <c r="E948" s="21" t="s">
        <v>61</v>
      </c>
      <c r="F948" s="5812">
        <v>1</v>
      </c>
      <c r="G948" s="5813">
        <v>0.13541666666666666</v>
      </c>
      <c r="H948" s="21" t="s">
        <v>10</v>
      </c>
      <c r="I948" s="21" t="s">
        <v>47</v>
      </c>
      <c r="J948" s="21" t="s">
        <v>67</v>
      </c>
      <c r="K948" s="5814" t="s">
        <v>4796</v>
      </c>
    </row>
    <row r="949" spans="1:11">
      <c r="A949" s="21" t="s">
        <v>3203</v>
      </c>
      <c r="B949" s="21" t="s">
        <v>4797</v>
      </c>
      <c r="C949" s="21" t="s">
        <v>8</v>
      </c>
      <c r="D949" s="21" t="s">
        <v>237</v>
      </c>
      <c r="E949" s="21" t="s">
        <v>61</v>
      </c>
      <c r="F949" s="5812">
        <v>1</v>
      </c>
      <c r="G949" s="5813">
        <v>0.13541666666666666</v>
      </c>
      <c r="H949" s="21" t="s">
        <v>10</v>
      </c>
      <c r="I949" s="21" t="s">
        <v>2713</v>
      </c>
      <c r="J949" s="21" t="s">
        <v>1327</v>
      </c>
      <c r="K949" s="5814" t="s">
        <v>4798</v>
      </c>
    </row>
    <row r="950" spans="1:11">
      <c r="A950" s="21" t="s">
        <v>4068</v>
      </c>
      <c r="B950" s="21" t="s">
        <v>4799</v>
      </c>
      <c r="C950" s="21" t="s">
        <v>8</v>
      </c>
      <c r="D950" s="21" t="s">
        <v>237</v>
      </c>
      <c r="E950" s="21" t="s">
        <v>61</v>
      </c>
      <c r="F950" s="5812">
        <v>1</v>
      </c>
      <c r="G950" s="5813">
        <v>0.15138888888888888</v>
      </c>
      <c r="H950" s="21" t="s">
        <v>10</v>
      </c>
      <c r="I950" s="21" t="s">
        <v>23</v>
      </c>
      <c r="J950" s="21" t="s">
        <v>67</v>
      </c>
      <c r="K950" s="5814" t="s">
        <v>4800</v>
      </c>
    </row>
    <row r="951" spans="1:11">
      <c r="A951" s="21" t="s">
        <v>3144</v>
      </c>
      <c r="B951" s="21" t="s">
        <v>4801</v>
      </c>
      <c r="C951" s="21" t="s">
        <v>22</v>
      </c>
      <c r="D951" s="21" t="s">
        <v>237</v>
      </c>
      <c r="E951" s="21" t="s">
        <v>61</v>
      </c>
      <c r="F951" s="5812">
        <v>1</v>
      </c>
      <c r="G951" s="5813">
        <v>0.15138888888888888</v>
      </c>
      <c r="H951" s="21" t="s">
        <v>10</v>
      </c>
      <c r="I951" s="21" t="s">
        <v>55</v>
      </c>
      <c r="J951" s="21" t="s">
        <v>67</v>
      </c>
      <c r="K951" s="5814" t="s">
        <v>4802</v>
      </c>
    </row>
    <row r="952" spans="1:11">
      <c r="A952" s="21" t="s">
        <v>4132</v>
      </c>
      <c r="B952" s="21" t="s">
        <v>4803</v>
      </c>
      <c r="C952" s="21" t="s">
        <v>8</v>
      </c>
      <c r="D952" s="21" t="s">
        <v>237</v>
      </c>
      <c r="E952" s="21" t="s">
        <v>61</v>
      </c>
      <c r="F952" s="5812">
        <v>1</v>
      </c>
      <c r="G952" s="5813">
        <v>0.16458333333333333</v>
      </c>
      <c r="H952" s="21" t="s">
        <v>10</v>
      </c>
      <c r="I952" s="21" t="s">
        <v>2747</v>
      </c>
      <c r="J952" s="21" t="s">
        <v>67</v>
      </c>
      <c r="K952" s="5814" t="s">
        <v>4804</v>
      </c>
    </row>
    <row r="953" spans="1:11">
      <c r="A953" s="21" t="s">
        <v>2201</v>
      </c>
      <c r="B953" s="21" t="s">
        <v>4805</v>
      </c>
      <c r="C953" s="21" t="s">
        <v>22</v>
      </c>
      <c r="D953" s="21" t="s">
        <v>237</v>
      </c>
      <c r="E953" s="21" t="s">
        <v>61</v>
      </c>
      <c r="F953" s="5812">
        <v>1</v>
      </c>
      <c r="G953" s="5813">
        <v>0.17708333333333334</v>
      </c>
      <c r="H953" s="21" t="s">
        <v>10</v>
      </c>
      <c r="I953" s="21" t="s">
        <v>2692</v>
      </c>
      <c r="J953" s="21" t="s">
        <v>67</v>
      </c>
      <c r="K953" s="5814" t="s">
        <v>4806</v>
      </c>
    </row>
    <row r="954" spans="1:11">
      <c r="A954" s="21" t="s">
        <v>3769</v>
      </c>
      <c r="B954" s="21" t="s">
        <v>4807</v>
      </c>
      <c r="C954" s="21" t="s">
        <v>8</v>
      </c>
      <c r="D954" s="21" t="s">
        <v>237</v>
      </c>
      <c r="E954" s="21" t="s">
        <v>61</v>
      </c>
      <c r="F954" s="5812">
        <v>1</v>
      </c>
      <c r="G954" s="5813">
        <v>0.17777777777777778</v>
      </c>
      <c r="H954" s="21" t="s">
        <v>10</v>
      </c>
      <c r="I954" s="21" t="s">
        <v>3534</v>
      </c>
      <c r="J954" s="21" t="s">
        <v>4808</v>
      </c>
      <c r="K954" s="5814" t="s">
        <v>4809</v>
      </c>
    </row>
    <row r="955" spans="1:11">
      <c r="A955" s="21" t="s">
        <v>2070</v>
      </c>
      <c r="B955" s="21" t="s">
        <v>4810</v>
      </c>
      <c r="C955" s="21" t="s">
        <v>8</v>
      </c>
      <c r="D955" s="21" t="s">
        <v>237</v>
      </c>
      <c r="E955" s="21" t="s">
        <v>61</v>
      </c>
      <c r="F955" s="5812">
        <v>1</v>
      </c>
      <c r="G955" s="5813">
        <v>0.18055555555555555</v>
      </c>
      <c r="H955" s="21" t="s">
        <v>10</v>
      </c>
      <c r="I955" s="21" t="s">
        <v>226</v>
      </c>
      <c r="J955" s="21" t="s">
        <v>3332</v>
      </c>
      <c r="K955" s="5814" t="s">
        <v>4811</v>
      </c>
    </row>
    <row r="956" spans="1:11">
      <c r="A956" s="21" t="s">
        <v>3286</v>
      </c>
      <c r="B956" s="21" t="s">
        <v>4812</v>
      </c>
      <c r="C956" s="21" t="s">
        <v>8</v>
      </c>
      <c r="D956" s="21" t="s">
        <v>237</v>
      </c>
      <c r="E956" s="21" t="s">
        <v>61</v>
      </c>
      <c r="F956" s="5812">
        <v>1</v>
      </c>
      <c r="G956" s="5813">
        <v>0.18194444444444444</v>
      </c>
      <c r="H956" s="21" t="s">
        <v>10</v>
      </c>
      <c r="I956" s="21" t="s">
        <v>2872</v>
      </c>
      <c r="J956" s="21" t="s">
        <v>67</v>
      </c>
      <c r="K956" s="5814" t="s">
        <v>4813</v>
      </c>
    </row>
    <row r="957" spans="1:11">
      <c r="A957" s="21" t="s">
        <v>2647</v>
      </c>
      <c r="B957" s="21" t="s">
        <v>4814</v>
      </c>
      <c r="C957" s="21" t="s">
        <v>22</v>
      </c>
      <c r="D957" s="21" t="s">
        <v>237</v>
      </c>
      <c r="E957" s="21" t="s">
        <v>61</v>
      </c>
      <c r="F957" s="5812">
        <v>2</v>
      </c>
      <c r="G957" s="5813">
        <v>4.8611111111111112E-2</v>
      </c>
      <c r="H957" s="21" t="s">
        <v>10</v>
      </c>
      <c r="I957" s="21" t="s">
        <v>55</v>
      </c>
      <c r="J957" s="21" t="s">
        <v>67</v>
      </c>
      <c r="K957" s="5814" t="s">
        <v>4815</v>
      </c>
    </row>
    <row r="958" spans="1:11">
      <c r="A958" s="21" t="s">
        <v>2075</v>
      </c>
      <c r="B958" s="21" t="s">
        <v>4816</v>
      </c>
      <c r="C958" s="21" t="s">
        <v>8</v>
      </c>
      <c r="D958" s="21" t="s">
        <v>237</v>
      </c>
      <c r="E958" s="21" t="s">
        <v>61</v>
      </c>
      <c r="F958" s="5812">
        <v>2</v>
      </c>
      <c r="G958" s="5813">
        <v>5.5555555555555552E-2</v>
      </c>
      <c r="H958" s="21" t="s">
        <v>10</v>
      </c>
      <c r="I958" s="21" t="s">
        <v>226</v>
      </c>
      <c r="J958" s="21" t="s">
        <v>4817</v>
      </c>
      <c r="K958" s="5814" t="s">
        <v>4818</v>
      </c>
    </row>
    <row r="959" spans="1:11">
      <c r="A959" s="21" t="s">
        <v>2551</v>
      </c>
      <c r="B959" s="21" t="s">
        <v>4819</v>
      </c>
      <c r="C959" s="21" t="s">
        <v>8</v>
      </c>
      <c r="D959" s="21" t="s">
        <v>237</v>
      </c>
      <c r="E959" s="21" t="s">
        <v>61</v>
      </c>
      <c r="F959" s="5812">
        <v>2</v>
      </c>
      <c r="G959" s="5813">
        <v>6.805555555555555E-2</v>
      </c>
      <c r="H959" s="21" t="s">
        <v>10</v>
      </c>
      <c r="I959" s="21" t="s">
        <v>187</v>
      </c>
      <c r="J959" s="21" t="s">
        <v>67</v>
      </c>
      <c r="K959" s="5814" t="s">
        <v>4820</v>
      </c>
    </row>
    <row r="960" spans="1:11">
      <c r="A960" s="21" t="s">
        <v>2334</v>
      </c>
      <c r="B960" s="21" t="s">
        <v>4821</v>
      </c>
      <c r="C960" s="21" t="s">
        <v>8</v>
      </c>
      <c r="D960" s="21" t="s">
        <v>237</v>
      </c>
      <c r="E960" s="21" t="s">
        <v>61</v>
      </c>
      <c r="F960" s="5812">
        <v>2</v>
      </c>
      <c r="G960" s="5813">
        <v>6.9444444444444448E-2</v>
      </c>
      <c r="H960" s="21" t="s">
        <v>10</v>
      </c>
      <c r="I960" s="21" t="s">
        <v>96</v>
      </c>
      <c r="J960" s="21" t="s">
        <v>67</v>
      </c>
      <c r="K960" s="5814" t="s">
        <v>4822</v>
      </c>
    </row>
    <row r="961" spans="1:11">
      <c r="A961" s="21" t="s">
        <v>3249</v>
      </c>
      <c r="B961" s="21" t="s">
        <v>4823</v>
      </c>
      <c r="C961" s="21" t="s">
        <v>8</v>
      </c>
      <c r="D961" s="21" t="s">
        <v>237</v>
      </c>
      <c r="E961" s="21" t="s">
        <v>61</v>
      </c>
      <c r="F961" s="5812">
        <v>2</v>
      </c>
      <c r="G961" s="5813">
        <v>7.4999999999999997E-2</v>
      </c>
      <c r="H961" s="21" t="s">
        <v>10</v>
      </c>
      <c r="I961" s="21" t="s">
        <v>23</v>
      </c>
      <c r="J961" s="21" t="s">
        <v>836</v>
      </c>
      <c r="K961" s="5814" t="s">
        <v>4824</v>
      </c>
    </row>
    <row r="962" spans="1:11">
      <c r="A962" s="21" t="s">
        <v>125</v>
      </c>
      <c r="B962" s="21" t="s">
        <v>275</v>
      </c>
      <c r="C962" s="21" t="s">
        <v>22</v>
      </c>
      <c r="D962" s="21" t="s">
        <v>237</v>
      </c>
      <c r="E962" s="21" t="s">
        <v>61</v>
      </c>
      <c r="F962" s="5812">
        <v>2</v>
      </c>
      <c r="G962" s="5813">
        <v>7.6388888888888895E-2</v>
      </c>
      <c r="H962" s="21" t="s">
        <v>10</v>
      </c>
      <c r="I962" s="21" t="s">
        <v>55</v>
      </c>
      <c r="J962" s="21" t="s">
        <v>67</v>
      </c>
      <c r="K962" s="5814" t="s">
        <v>276</v>
      </c>
    </row>
    <row r="963" spans="1:11">
      <c r="A963" s="21" t="s">
        <v>2272</v>
      </c>
      <c r="B963" s="21" t="s">
        <v>4825</v>
      </c>
      <c r="C963" s="21" t="s">
        <v>22</v>
      </c>
      <c r="D963" s="21" t="s">
        <v>237</v>
      </c>
      <c r="E963" s="21" t="s">
        <v>61</v>
      </c>
      <c r="F963" s="5812">
        <v>2</v>
      </c>
      <c r="G963" s="5813">
        <v>8.0555555555555561E-2</v>
      </c>
      <c r="H963" s="21" t="s">
        <v>10</v>
      </c>
      <c r="I963" s="21" t="s">
        <v>55</v>
      </c>
      <c r="J963" s="21" t="s">
        <v>67</v>
      </c>
      <c r="K963" s="5814" t="s">
        <v>4826</v>
      </c>
    </row>
    <row r="964" spans="1:11">
      <c r="A964" s="21" t="s">
        <v>2796</v>
      </c>
      <c r="B964" s="21" t="s">
        <v>4827</v>
      </c>
      <c r="C964" s="21" t="s">
        <v>8</v>
      </c>
      <c r="D964" s="21" t="s">
        <v>237</v>
      </c>
      <c r="E964" s="21" t="s">
        <v>61</v>
      </c>
      <c r="F964" s="5812">
        <v>2</v>
      </c>
      <c r="G964" s="5813">
        <v>8.4027777777777785E-2</v>
      </c>
      <c r="H964" s="21" t="s">
        <v>10</v>
      </c>
      <c r="I964" s="21" t="s">
        <v>4828</v>
      </c>
      <c r="J964" s="21" t="s">
        <v>67</v>
      </c>
      <c r="K964" s="5814" t="s">
        <v>4829</v>
      </c>
    </row>
    <row r="965" spans="1:11">
      <c r="A965" s="21" t="s">
        <v>3886</v>
      </c>
      <c r="B965" s="21" t="s">
        <v>4830</v>
      </c>
      <c r="C965" s="21" t="s">
        <v>8</v>
      </c>
      <c r="D965" s="21" t="s">
        <v>237</v>
      </c>
      <c r="E965" s="21" t="s">
        <v>61</v>
      </c>
      <c r="F965" s="5812">
        <v>2</v>
      </c>
      <c r="G965" s="5813">
        <v>8.4722222222222227E-2</v>
      </c>
      <c r="H965" s="21" t="s">
        <v>10</v>
      </c>
      <c r="I965" s="21" t="s">
        <v>2149</v>
      </c>
      <c r="J965" s="21" t="s">
        <v>67</v>
      </c>
      <c r="K965" s="5814" t="s">
        <v>4831</v>
      </c>
    </row>
    <row r="966" spans="1:11">
      <c r="A966" s="21" t="s">
        <v>2245</v>
      </c>
      <c r="B966" s="21" t="s">
        <v>4832</v>
      </c>
      <c r="C966" s="21" t="s">
        <v>8</v>
      </c>
      <c r="D966" s="21" t="s">
        <v>237</v>
      </c>
      <c r="E966" s="21" t="s">
        <v>61</v>
      </c>
      <c r="F966" s="5812">
        <v>2</v>
      </c>
      <c r="G966" s="5813">
        <v>9.2361111111111116E-2</v>
      </c>
      <c r="H966" s="21" t="s">
        <v>10</v>
      </c>
      <c r="I966" s="21" t="s">
        <v>400</v>
      </c>
      <c r="J966" s="21" t="s">
        <v>3313</v>
      </c>
      <c r="K966" s="5814" t="s">
        <v>4833</v>
      </c>
    </row>
    <row r="967" spans="1:11">
      <c r="A967" s="21" t="s">
        <v>3354</v>
      </c>
      <c r="B967" s="21" t="s">
        <v>4834</v>
      </c>
      <c r="C967" s="21" t="s">
        <v>8</v>
      </c>
      <c r="D967" s="21" t="s">
        <v>237</v>
      </c>
      <c r="E967" s="21" t="s">
        <v>61</v>
      </c>
      <c r="F967" s="5812">
        <v>2</v>
      </c>
      <c r="G967" s="5813">
        <v>9.8611111111111108E-2</v>
      </c>
      <c r="H967" s="21" t="s">
        <v>10</v>
      </c>
      <c r="I967" s="21" t="s">
        <v>226</v>
      </c>
      <c r="J967" s="21" t="s">
        <v>67</v>
      </c>
      <c r="K967" s="5814" t="s">
        <v>4835</v>
      </c>
    </row>
    <row r="968" spans="1:11">
      <c r="A968" s="21" t="s">
        <v>4711</v>
      </c>
      <c r="B968" s="21" t="s">
        <v>4836</v>
      </c>
      <c r="C968" s="21" t="s">
        <v>22</v>
      </c>
      <c r="D968" s="21" t="s">
        <v>237</v>
      </c>
      <c r="E968" s="21" t="s">
        <v>61</v>
      </c>
      <c r="F968" s="5812">
        <v>2</v>
      </c>
      <c r="G968" s="5813">
        <v>0.10208333333333333</v>
      </c>
      <c r="H968" s="21" t="s">
        <v>10</v>
      </c>
      <c r="I968" s="21" t="s">
        <v>11</v>
      </c>
      <c r="J968" s="21" t="s">
        <v>67</v>
      </c>
      <c r="K968" s="5814" t="s">
        <v>4837</v>
      </c>
    </row>
    <row r="969" spans="1:11">
      <c r="A969" s="21" t="s">
        <v>2284</v>
      </c>
      <c r="B969" s="21" t="s">
        <v>4838</v>
      </c>
      <c r="C969" s="21" t="s">
        <v>8</v>
      </c>
      <c r="D969" s="21" t="s">
        <v>237</v>
      </c>
      <c r="E969" s="21" t="s">
        <v>61</v>
      </c>
      <c r="F969" s="5812">
        <v>2</v>
      </c>
      <c r="G969" s="5813">
        <v>0.11805555555555555</v>
      </c>
      <c r="H969" s="21" t="s">
        <v>10</v>
      </c>
      <c r="I969" s="21" t="s">
        <v>96</v>
      </c>
      <c r="J969" s="21" t="s">
        <v>3432</v>
      </c>
      <c r="K969" s="5814" t="s">
        <v>4839</v>
      </c>
    </row>
    <row r="970" spans="1:11">
      <c r="A970" s="21" t="s">
        <v>3230</v>
      </c>
      <c r="B970" s="21" t="s">
        <v>4840</v>
      </c>
      <c r="C970" s="21" t="s">
        <v>22</v>
      </c>
      <c r="D970" s="21" t="s">
        <v>237</v>
      </c>
      <c r="E970" s="21" t="s">
        <v>61</v>
      </c>
      <c r="F970" s="5812">
        <v>2</v>
      </c>
      <c r="G970" s="5813">
        <v>0.13194444444444445</v>
      </c>
      <c r="H970" s="21" t="s">
        <v>10</v>
      </c>
      <c r="I970" s="21" t="s">
        <v>47</v>
      </c>
      <c r="J970" s="21" t="s">
        <v>62</v>
      </c>
      <c r="K970" s="5814" t="s">
        <v>4841</v>
      </c>
    </row>
    <row r="971" spans="1:11">
      <c r="A971" s="21" t="s">
        <v>2403</v>
      </c>
      <c r="B971" s="21" t="s">
        <v>4842</v>
      </c>
      <c r="C971" s="21" t="s">
        <v>8</v>
      </c>
      <c r="D971" s="21" t="s">
        <v>237</v>
      </c>
      <c r="E971" s="21" t="s">
        <v>61</v>
      </c>
      <c r="F971" s="5812">
        <v>2</v>
      </c>
      <c r="G971" s="5813">
        <v>0.13402777777777777</v>
      </c>
      <c r="H971" s="21" t="s">
        <v>10</v>
      </c>
      <c r="I971" s="21" t="s">
        <v>89</v>
      </c>
      <c r="J971" s="21" t="s">
        <v>505</v>
      </c>
      <c r="K971" s="5814" t="s">
        <v>4843</v>
      </c>
    </row>
    <row r="972" spans="1:11">
      <c r="A972" s="21" t="s">
        <v>2070</v>
      </c>
      <c r="B972" s="21" t="s">
        <v>4844</v>
      </c>
      <c r="C972" s="21" t="s">
        <v>8</v>
      </c>
      <c r="D972" s="21" t="s">
        <v>237</v>
      </c>
      <c r="E972" s="21" t="s">
        <v>61</v>
      </c>
      <c r="F972" s="5812">
        <v>2</v>
      </c>
      <c r="G972" s="5813">
        <v>0.13750000000000001</v>
      </c>
      <c r="H972" s="21" t="s">
        <v>10</v>
      </c>
      <c r="I972" s="21" t="s">
        <v>2072</v>
      </c>
      <c r="J972" s="21" t="s">
        <v>3271</v>
      </c>
      <c r="K972" s="5814" t="s">
        <v>4845</v>
      </c>
    </row>
    <row r="973" spans="1:11">
      <c r="A973" s="21" t="s">
        <v>2212</v>
      </c>
      <c r="B973" s="21" t="s">
        <v>4846</v>
      </c>
      <c r="C973" s="21" t="s">
        <v>22</v>
      </c>
      <c r="D973" s="21" t="s">
        <v>237</v>
      </c>
      <c r="E973" s="21" t="s">
        <v>61</v>
      </c>
      <c r="F973" s="5812">
        <v>2</v>
      </c>
      <c r="G973" s="5813">
        <v>0.14027777777777778</v>
      </c>
      <c r="H973" s="21" t="s">
        <v>54</v>
      </c>
      <c r="I973" s="21" t="s">
        <v>89</v>
      </c>
      <c r="J973" s="21" t="s">
        <v>974</v>
      </c>
      <c r="K973" s="5814" t="s">
        <v>4847</v>
      </c>
    </row>
    <row r="974" spans="1:11">
      <c r="A974" s="21" t="s">
        <v>2467</v>
      </c>
      <c r="B974" s="21" t="s">
        <v>4848</v>
      </c>
      <c r="C974" s="21" t="s">
        <v>8</v>
      </c>
      <c r="D974" s="21" t="s">
        <v>237</v>
      </c>
      <c r="E974" s="21" t="s">
        <v>61</v>
      </c>
      <c r="F974" s="5812">
        <v>2</v>
      </c>
      <c r="G974" s="5813">
        <v>0.14652777777777778</v>
      </c>
      <c r="H974" s="21" t="s">
        <v>10</v>
      </c>
      <c r="I974" s="21" t="s">
        <v>96</v>
      </c>
      <c r="J974" s="21" t="s">
        <v>67</v>
      </c>
      <c r="K974" s="5814" t="s">
        <v>4849</v>
      </c>
    </row>
    <row r="975" spans="1:11">
      <c r="A975" s="21" t="s">
        <v>3152</v>
      </c>
      <c r="B975" s="21" t="s">
        <v>4850</v>
      </c>
      <c r="C975" s="21" t="s">
        <v>8</v>
      </c>
      <c r="D975" s="21" t="s">
        <v>237</v>
      </c>
      <c r="E975" s="21" t="s">
        <v>61</v>
      </c>
      <c r="F975" s="5812">
        <v>2</v>
      </c>
      <c r="G975" s="5813">
        <v>0.14652777777777778</v>
      </c>
      <c r="H975" s="21" t="s">
        <v>10</v>
      </c>
      <c r="I975" s="21" t="s">
        <v>23</v>
      </c>
      <c r="J975" s="21" t="s">
        <v>67</v>
      </c>
      <c r="K975" s="5814" t="s">
        <v>4851</v>
      </c>
    </row>
    <row r="976" spans="1:11">
      <c r="A976" s="21" t="s">
        <v>2551</v>
      </c>
      <c r="B976" s="21" t="s">
        <v>4852</v>
      </c>
      <c r="C976" s="21" t="s">
        <v>8</v>
      </c>
      <c r="D976" s="21" t="s">
        <v>237</v>
      </c>
      <c r="E976" s="21" t="s">
        <v>61</v>
      </c>
      <c r="F976" s="5812">
        <v>2</v>
      </c>
      <c r="G976" s="5813">
        <v>0.15138888888888888</v>
      </c>
      <c r="H976" s="21" t="s">
        <v>10</v>
      </c>
      <c r="I976" s="21" t="s">
        <v>4853</v>
      </c>
      <c r="J976" s="21" t="s">
        <v>4854</v>
      </c>
      <c r="K976" s="5814" t="s">
        <v>4855</v>
      </c>
    </row>
    <row r="977" spans="1:11">
      <c r="A977" s="21" t="s">
        <v>2687</v>
      </c>
      <c r="B977" s="21" t="s">
        <v>4856</v>
      </c>
      <c r="C977" s="21" t="s">
        <v>8</v>
      </c>
      <c r="D977" s="21" t="s">
        <v>237</v>
      </c>
      <c r="E977" s="21" t="s">
        <v>61</v>
      </c>
      <c r="F977" s="5812">
        <v>2</v>
      </c>
      <c r="G977" s="5813">
        <v>0.15694444444444444</v>
      </c>
      <c r="H977" s="21" t="s">
        <v>10</v>
      </c>
      <c r="I977" s="21" t="s">
        <v>654</v>
      </c>
      <c r="J977" s="21" t="s">
        <v>3416</v>
      </c>
      <c r="K977" s="5814" t="s">
        <v>4857</v>
      </c>
    </row>
    <row r="978" spans="1:11">
      <c r="A978" s="21" t="s">
        <v>65</v>
      </c>
      <c r="B978" s="21" t="s">
        <v>323</v>
      </c>
      <c r="C978" s="21" t="s">
        <v>22</v>
      </c>
      <c r="D978" s="21" t="s">
        <v>237</v>
      </c>
      <c r="E978" s="21" t="s">
        <v>61</v>
      </c>
      <c r="F978" s="5812">
        <v>2</v>
      </c>
      <c r="G978" s="5813">
        <v>0.16250000000000001</v>
      </c>
      <c r="H978" s="21" t="s">
        <v>10</v>
      </c>
      <c r="I978" s="21" t="s">
        <v>55</v>
      </c>
      <c r="J978" s="21" t="s">
        <v>324</v>
      </c>
      <c r="K978" s="5814" t="s">
        <v>325</v>
      </c>
    </row>
    <row r="979" spans="1:11">
      <c r="A979" s="21" t="s">
        <v>2284</v>
      </c>
      <c r="B979" s="21" t="s">
        <v>4858</v>
      </c>
      <c r="C979" s="21" t="s">
        <v>8</v>
      </c>
      <c r="D979" s="21" t="s">
        <v>237</v>
      </c>
      <c r="E979" s="21" t="s">
        <v>61</v>
      </c>
      <c r="F979" s="5812">
        <v>2</v>
      </c>
      <c r="G979" s="5813">
        <v>0.17430555555555555</v>
      </c>
      <c r="H979" s="21" t="s">
        <v>10</v>
      </c>
      <c r="I979" s="21" t="s">
        <v>96</v>
      </c>
      <c r="J979" s="21" t="s">
        <v>67</v>
      </c>
      <c r="K979" s="5814" t="s">
        <v>4859</v>
      </c>
    </row>
    <row r="980" spans="1:11">
      <c r="A980" s="21" t="s">
        <v>2237</v>
      </c>
      <c r="B980" s="21" t="s">
        <v>4860</v>
      </c>
      <c r="C980" s="21" t="s">
        <v>22</v>
      </c>
      <c r="D980" s="21" t="s">
        <v>237</v>
      </c>
      <c r="E980" s="21" t="s">
        <v>61</v>
      </c>
      <c r="F980" s="5812">
        <v>2</v>
      </c>
      <c r="G980" s="5813">
        <v>0.18124999999999999</v>
      </c>
      <c r="H980" s="21" t="s">
        <v>10</v>
      </c>
      <c r="I980" s="21" t="s">
        <v>4861</v>
      </c>
      <c r="J980" s="21" t="s">
        <v>67</v>
      </c>
      <c r="K980" s="5814" t="s">
        <v>4862</v>
      </c>
    </row>
    <row r="981" spans="1:11">
      <c r="A981" s="21" t="s">
        <v>4863</v>
      </c>
      <c r="B981" s="21" t="s">
        <v>4864</v>
      </c>
      <c r="C981" s="21" t="s">
        <v>22</v>
      </c>
      <c r="D981" s="21" t="s">
        <v>237</v>
      </c>
      <c r="E981" s="21" t="s">
        <v>61</v>
      </c>
      <c r="F981" s="5812">
        <v>2</v>
      </c>
      <c r="G981" s="5813">
        <v>0.18194444444444444</v>
      </c>
      <c r="H981" s="21" t="s">
        <v>10</v>
      </c>
      <c r="I981" s="21" t="s">
        <v>2713</v>
      </c>
      <c r="J981" s="21" t="s">
        <v>67</v>
      </c>
      <c r="K981" s="5814" t="s">
        <v>4865</v>
      </c>
    </row>
    <row r="982" spans="1:11">
      <c r="A982" s="21" t="s">
        <v>4170</v>
      </c>
      <c r="B982" s="21" t="s">
        <v>4866</v>
      </c>
      <c r="C982" s="21" t="s">
        <v>8</v>
      </c>
      <c r="D982" s="21" t="s">
        <v>237</v>
      </c>
      <c r="E982" s="21" t="s">
        <v>61</v>
      </c>
      <c r="F982" s="5812">
        <v>2</v>
      </c>
      <c r="G982" s="5813">
        <v>0.18402777777777779</v>
      </c>
      <c r="H982" s="21" t="s">
        <v>10</v>
      </c>
      <c r="I982" s="21" t="s">
        <v>47</v>
      </c>
      <c r="J982" s="21" t="s">
        <v>1327</v>
      </c>
      <c r="K982" s="5814" t="s">
        <v>4867</v>
      </c>
    </row>
    <row r="983" spans="1:11">
      <c r="A983" s="21" t="s">
        <v>3671</v>
      </c>
      <c r="B983" s="21" t="s">
        <v>4868</v>
      </c>
      <c r="C983" s="21" t="s">
        <v>8</v>
      </c>
      <c r="D983" s="21" t="s">
        <v>237</v>
      </c>
      <c r="E983" s="21" t="s">
        <v>61</v>
      </c>
      <c r="F983" s="5812">
        <v>2</v>
      </c>
      <c r="G983" s="5813">
        <v>0.18541666666666667</v>
      </c>
      <c r="H983" s="21" t="s">
        <v>10</v>
      </c>
      <c r="I983" s="21" t="s">
        <v>2814</v>
      </c>
      <c r="J983" s="21" t="s">
        <v>67</v>
      </c>
      <c r="K983" s="5814" t="s">
        <v>4869</v>
      </c>
    </row>
    <row r="984" spans="1:11">
      <c r="A984" s="21" t="s">
        <v>2442</v>
      </c>
      <c r="B984" s="21" t="s">
        <v>4870</v>
      </c>
      <c r="C984" s="21" t="s">
        <v>8</v>
      </c>
      <c r="D984" s="21" t="s">
        <v>237</v>
      </c>
      <c r="E984" s="21" t="s">
        <v>61</v>
      </c>
      <c r="F984" s="5812">
        <v>2</v>
      </c>
      <c r="G984" s="5813">
        <v>0.19583333333333333</v>
      </c>
      <c r="H984" s="21" t="s">
        <v>10</v>
      </c>
      <c r="I984" s="21" t="s">
        <v>23</v>
      </c>
      <c r="J984" s="21" t="s">
        <v>505</v>
      </c>
      <c r="K984" s="5814" t="s">
        <v>4871</v>
      </c>
    </row>
    <row r="985" spans="1:11">
      <c r="A985" s="21" t="s">
        <v>160</v>
      </c>
      <c r="B985" s="21" t="s">
        <v>299</v>
      </c>
      <c r="C985" s="21" t="s">
        <v>22</v>
      </c>
      <c r="D985" s="21" t="s">
        <v>237</v>
      </c>
      <c r="E985" s="21" t="s">
        <v>61</v>
      </c>
      <c r="F985" s="5812">
        <v>3</v>
      </c>
      <c r="G985" s="5813">
        <v>4.027777777777778E-2</v>
      </c>
      <c r="H985" s="21" t="s">
        <v>54</v>
      </c>
      <c r="I985" s="21" t="s">
        <v>47</v>
      </c>
      <c r="J985" s="21" t="s">
        <v>62</v>
      </c>
      <c r="K985" s="5814" t="s">
        <v>300</v>
      </c>
    </row>
    <row r="986" spans="1:11">
      <c r="A986" s="21" t="s">
        <v>4621</v>
      </c>
      <c r="B986" s="21" t="s">
        <v>4872</v>
      </c>
      <c r="C986" s="21" t="s">
        <v>22</v>
      </c>
      <c r="D986" s="21" t="s">
        <v>237</v>
      </c>
      <c r="E986" s="21" t="s">
        <v>61</v>
      </c>
      <c r="F986" s="5812">
        <v>3</v>
      </c>
      <c r="G986" s="5813">
        <v>4.8611111111111112E-2</v>
      </c>
      <c r="H986" s="21" t="s">
        <v>10</v>
      </c>
      <c r="I986" s="21" t="s">
        <v>187</v>
      </c>
      <c r="J986" s="21" t="s">
        <v>110</v>
      </c>
      <c r="K986" s="5814" t="s">
        <v>4873</v>
      </c>
    </row>
    <row r="987" spans="1:11">
      <c r="A987" s="21" t="s">
        <v>2131</v>
      </c>
      <c r="B987" s="21" t="s">
        <v>4874</v>
      </c>
      <c r="C987" s="21" t="s">
        <v>22</v>
      </c>
      <c r="D987" s="21" t="s">
        <v>237</v>
      </c>
      <c r="E987" s="21" t="s">
        <v>61</v>
      </c>
      <c r="F987" s="5812">
        <v>3</v>
      </c>
      <c r="G987" s="5813">
        <v>5.6250000000000001E-2</v>
      </c>
      <c r="H987" s="21" t="s">
        <v>10</v>
      </c>
      <c r="I987" s="21" t="s">
        <v>226</v>
      </c>
      <c r="J987" s="21" t="s">
        <v>4770</v>
      </c>
      <c r="K987" s="5814" t="s">
        <v>4875</v>
      </c>
    </row>
    <row r="988" spans="1:11">
      <c r="A988" s="21" t="s">
        <v>2263</v>
      </c>
      <c r="B988" s="21" t="s">
        <v>4876</v>
      </c>
      <c r="C988" s="21" t="s">
        <v>22</v>
      </c>
      <c r="D988" s="21" t="s">
        <v>237</v>
      </c>
      <c r="E988" s="21" t="s">
        <v>61</v>
      </c>
      <c r="F988" s="5812">
        <v>3</v>
      </c>
      <c r="G988" s="5813">
        <v>6.7361111111111108E-2</v>
      </c>
      <c r="H988" s="21" t="s">
        <v>10</v>
      </c>
      <c r="I988" s="21" t="s">
        <v>2297</v>
      </c>
      <c r="J988" s="21" t="s">
        <v>3271</v>
      </c>
      <c r="K988" s="5814" t="s">
        <v>4877</v>
      </c>
    </row>
    <row r="989" spans="1:11">
      <c r="A989" s="21" t="s">
        <v>3098</v>
      </c>
      <c r="B989" s="21" t="s">
        <v>4878</v>
      </c>
      <c r="C989" s="21" t="s">
        <v>22</v>
      </c>
      <c r="D989" s="21" t="s">
        <v>237</v>
      </c>
      <c r="E989" s="21" t="s">
        <v>61</v>
      </c>
      <c r="F989" s="5812">
        <v>3</v>
      </c>
      <c r="G989" s="5813">
        <v>7.013888888888889E-2</v>
      </c>
      <c r="H989" s="21" t="s">
        <v>10</v>
      </c>
      <c r="I989" s="21" t="s">
        <v>3100</v>
      </c>
      <c r="J989" s="21" t="s">
        <v>3313</v>
      </c>
      <c r="K989" s="5814" t="s">
        <v>4879</v>
      </c>
    </row>
    <row r="990" spans="1:11">
      <c r="A990" s="21" t="s">
        <v>2135</v>
      </c>
      <c r="B990" s="21" t="s">
        <v>4880</v>
      </c>
      <c r="C990" s="21" t="s">
        <v>8</v>
      </c>
      <c r="D990" s="21" t="s">
        <v>237</v>
      </c>
      <c r="E990" s="21" t="s">
        <v>61</v>
      </c>
      <c r="F990" s="5812">
        <v>3</v>
      </c>
      <c r="G990" s="5813">
        <v>7.1527777777777773E-2</v>
      </c>
      <c r="H990" s="21" t="s">
        <v>10</v>
      </c>
      <c r="I990" s="21" t="s">
        <v>96</v>
      </c>
      <c r="J990" s="21" t="s">
        <v>67</v>
      </c>
      <c r="K990" s="5814" t="s">
        <v>4881</v>
      </c>
    </row>
    <row r="991" spans="1:11">
      <c r="A991" s="21" t="s">
        <v>3787</v>
      </c>
      <c r="B991" s="21" t="s">
        <v>4882</v>
      </c>
      <c r="C991" s="21" t="s">
        <v>8</v>
      </c>
      <c r="D991" s="21" t="s">
        <v>237</v>
      </c>
      <c r="E991" s="21" t="s">
        <v>61</v>
      </c>
      <c r="F991" s="5812">
        <v>3</v>
      </c>
      <c r="G991" s="5813">
        <v>7.5694444444444439E-2</v>
      </c>
      <c r="H991" s="21" t="s">
        <v>10</v>
      </c>
      <c r="I991" s="21" t="s">
        <v>2872</v>
      </c>
      <c r="J991" s="21" t="s">
        <v>110</v>
      </c>
      <c r="K991" s="5814" t="s">
        <v>4883</v>
      </c>
    </row>
    <row r="992" spans="1:11">
      <c r="A992" s="21" t="s">
        <v>2974</v>
      </c>
      <c r="B992" s="21" t="s">
        <v>4884</v>
      </c>
      <c r="C992" s="21" t="s">
        <v>8</v>
      </c>
      <c r="D992" s="21" t="s">
        <v>237</v>
      </c>
      <c r="E992" s="21" t="s">
        <v>61</v>
      </c>
      <c r="F992" s="5812">
        <v>3</v>
      </c>
      <c r="G992" s="5813">
        <v>9.8611111111111108E-2</v>
      </c>
      <c r="H992" s="21" t="s">
        <v>10</v>
      </c>
      <c r="I992" s="21" t="s">
        <v>55</v>
      </c>
      <c r="J992" s="21" t="s">
        <v>1327</v>
      </c>
      <c r="K992" s="5814" t="s">
        <v>4885</v>
      </c>
    </row>
    <row r="993" spans="1:11">
      <c r="A993" s="21" t="s">
        <v>2513</v>
      </c>
      <c r="B993" s="21" t="s">
        <v>4886</v>
      </c>
      <c r="C993" s="21" t="s">
        <v>8</v>
      </c>
      <c r="D993" s="21" t="s">
        <v>237</v>
      </c>
      <c r="E993" s="21" t="s">
        <v>61</v>
      </c>
      <c r="F993" s="5812">
        <v>3</v>
      </c>
      <c r="G993" s="5813">
        <v>9.8611111111111108E-2</v>
      </c>
      <c r="H993" s="21" t="s">
        <v>10</v>
      </c>
      <c r="I993" s="21" t="s">
        <v>23</v>
      </c>
      <c r="J993" s="21" t="s">
        <v>67</v>
      </c>
      <c r="K993" s="5814" t="s">
        <v>4887</v>
      </c>
    </row>
    <row r="994" spans="1:11">
      <c r="A994" s="21" t="s">
        <v>71</v>
      </c>
      <c r="B994" s="21" t="s">
        <v>412</v>
      </c>
      <c r="C994" s="21" t="s">
        <v>8</v>
      </c>
      <c r="D994" s="21" t="s">
        <v>237</v>
      </c>
      <c r="E994" s="21" t="s">
        <v>61</v>
      </c>
      <c r="F994" s="5812">
        <v>3</v>
      </c>
      <c r="G994" s="5813">
        <v>9.930555555555555E-2</v>
      </c>
      <c r="H994" s="21" t="s">
        <v>10</v>
      </c>
      <c r="I994" s="21" t="s">
        <v>73</v>
      </c>
      <c r="J994" s="21" t="s">
        <v>67</v>
      </c>
      <c r="K994" s="5814" t="s">
        <v>4888</v>
      </c>
    </row>
    <row r="995" spans="1:11">
      <c r="A995" s="21" t="s">
        <v>3761</v>
      </c>
      <c r="B995" s="21" t="s">
        <v>4889</v>
      </c>
      <c r="C995" s="21" t="s">
        <v>8</v>
      </c>
      <c r="D995" s="21" t="s">
        <v>237</v>
      </c>
      <c r="E995" s="21" t="s">
        <v>61</v>
      </c>
      <c r="F995" s="5812">
        <v>3</v>
      </c>
      <c r="G995" s="5813">
        <v>0.11180555555555556</v>
      </c>
      <c r="H995" s="21" t="s">
        <v>10</v>
      </c>
      <c r="I995" s="21" t="s">
        <v>2260</v>
      </c>
      <c r="J995" s="21" t="s">
        <v>974</v>
      </c>
      <c r="K995" s="5814" t="s">
        <v>4890</v>
      </c>
    </row>
    <row r="996" spans="1:11">
      <c r="A996" s="21" t="s">
        <v>2915</v>
      </c>
      <c r="B996" s="21" t="s">
        <v>4891</v>
      </c>
      <c r="C996" s="21" t="s">
        <v>8</v>
      </c>
      <c r="D996" s="21" t="s">
        <v>237</v>
      </c>
      <c r="E996" s="21" t="s">
        <v>61</v>
      </c>
      <c r="F996" s="5812">
        <v>3</v>
      </c>
      <c r="G996" s="5813">
        <v>0.12152777777777778</v>
      </c>
      <c r="H996" s="21" t="s">
        <v>10</v>
      </c>
      <c r="I996" s="21" t="s">
        <v>194</v>
      </c>
      <c r="J996" s="21" t="s">
        <v>67</v>
      </c>
      <c r="K996" s="5814" t="s">
        <v>4892</v>
      </c>
    </row>
    <row r="997" spans="1:11">
      <c r="A997" s="21" t="s">
        <v>3537</v>
      </c>
      <c r="B997" s="21" t="s">
        <v>4893</v>
      </c>
      <c r="C997" s="21" t="s">
        <v>8</v>
      </c>
      <c r="D997" s="21" t="s">
        <v>237</v>
      </c>
      <c r="E997" s="21" t="s">
        <v>61</v>
      </c>
      <c r="F997" s="5812">
        <v>3</v>
      </c>
      <c r="G997" s="5813">
        <v>0.12430555555555556</v>
      </c>
      <c r="H997" s="21" t="s">
        <v>10</v>
      </c>
      <c r="I997" s="21" t="s">
        <v>96</v>
      </c>
      <c r="J997" s="21" t="s">
        <v>110</v>
      </c>
      <c r="K997" s="5814" t="s">
        <v>4894</v>
      </c>
    </row>
    <row r="998" spans="1:11">
      <c r="A998" s="21" t="s">
        <v>4047</v>
      </c>
      <c r="B998" s="21" t="s">
        <v>4895</v>
      </c>
      <c r="C998" s="21" t="s">
        <v>8</v>
      </c>
      <c r="D998" s="21" t="s">
        <v>237</v>
      </c>
      <c r="E998" s="21" t="s">
        <v>61</v>
      </c>
      <c r="F998" s="5812">
        <v>3</v>
      </c>
      <c r="G998" s="5813">
        <v>0.12638888888888888</v>
      </c>
      <c r="H998" s="21" t="s">
        <v>10</v>
      </c>
      <c r="I998" s="21" t="s">
        <v>23</v>
      </c>
      <c r="J998" s="21" t="s">
        <v>3279</v>
      </c>
      <c r="K998" s="5814" t="s">
        <v>4896</v>
      </c>
    </row>
    <row r="999" spans="1:11">
      <c r="A999" s="21" t="s">
        <v>2616</v>
      </c>
      <c r="B999" s="21" t="s">
        <v>4897</v>
      </c>
      <c r="C999" s="21" t="s">
        <v>22</v>
      </c>
      <c r="D999" s="21" t="s">
        <v>237</v>
      </c>
      <c r="E999" s="21" t="s">
        <v>61</v>
      </c>
      <c r="F999" s="5812">
        <v>3</v>
      </c>
      <c r="G999" s="5813">
        <v>0.1361111111111111</v>
      </c>
      <c r="H999" s="21" t="s">
        <v>10</v>
      </c>
      <c r="I999" s="21" t="s">
        <v>194</v>
      </c>
      <c r="J999" s="21" t="s">
        <v>836</v>
      </c>
      <c r="K999" s="5814" t="s">
        <v>4898</v>
      </c>
    </row>
    <row r="1000" spans="1:11">
      <c r="A1000" s="21" t="s">
        <v>4724</v>
      </c>
      <c r="B1000" s="21" t="s">
        <v>4899</v>
      </c>
      <c r="C1000" s="21" t="s">
        <v>8</v>
      </c>
      <c r="D1000" s="21" t="s">
        <v>237</v>
      </c>
      <c r="E1000" s="21" t="s">
        <v>61</v>
      </c>
      <c r="F1000" s="5812">
        <v>3</v>
      </c>
      <c r="G1000" s="5813">
        <v>0.13680555555555557</v>
      </c>
      <c r="H1000" s="21" t="s">
        <v>10</v>
      </c>
      <c r="I1000" s="21" t="s">
        <v>47</v>
      </c>
      <c r="J1000" s="21" t="s">
        <v>67</v>
      </c>
      <c r="K1000" s="5814" t="s">
        <v>4900</v>
      </c>
    </row>
    <row r="1001" spans="1:11">
      <c r="A1001" s="21" t="s">
        <v>3230</v>
      </c>
      <c r="B1001" s="21" t="s">
        <v>4901</v>
      </c>
      <c r="C1001" s="21" t="s">
        <v>8</v>
      </c>
      <c r="D1001" s="21" t="s">
        <v>237</v>
      </c>
      <c r="E1001" s="21" t="s">
        <v>61</v>
      </c>
      <c r="F1001" s="5812">
        <v>3</v>
      </c>
      <c r="G1001" s="5813">
        <v>0.15347222222222223</v>
      </c>
      <c r="H1001" s="21" t="s">
        <v>10</v>
      </c>
      <c r="I1001" s="21" t="s">
        <v>39</v>
      </c>
      <c r="J1001" s="21" t="s">
        <v>62</v>
      </c>
      <c r="K1001" s="5814" t="s">
        <v>4902</v>
      </c>
    </row>
    <row r="1002" spans="1:11">
      <c r="A1002" s="21" t="s">
        <v>3439</v>
      </c>
      <c r="B1002" s="21" t="s">
        <v>4903</v>
      </c>
      <c r="C1002" s="21" t="s">
        <v>22</v>
      </c>
      <c r="D1002" s="21" t="s">
        <v>237</v>
      </c>
      <c r="E1002" s="21" t="s">
        <v>61</v>
      </c>
      <c r="F1002" s="5812">
        <v>3</v>
      </c>
      <c r="G1002" s="5813">
        <v>0.16527777777777777</v>
      </c>
      <c r="H1002" s="21" t="s">
        <v>10</v>
      </c>
      <c r="I1002" s="21" t="s">
        <v>3441</v>
      </c>
      <c r="J1002" s="21" t="s">
        <v>3391</v>
      </c>
      <c r="K1002" s="5814" t="s">
        <v>4904</v>
      </c>
    </row>
    <row r="1003" spans="1:11">
      <c r="A1003" s="21" t="s">
        <v>3769</v>
      </c>
      <c r="B1003" s="21" t="s">
        <v>4905</v>
      </c>
      <c r="C1003" s="21" t="s">
        <v>8</v>
      </c>
      <c r="D1003" s="21" t="s">
        <v>237</v>
      </c>
      <c r="E1003" s="21" t="s">
        <v>61</v>
      </c>
      <c r="F1003" s="5812">
        <v>3</v>
      </c>
      <c r="G1003" s="5813">
        <v>0.1875</v>
      </c>
      <c r="H1003" s="21" t="s">
        <v>10</v>
      </c>
      <c r="I1003" s="21" t="s">
        <v>47</v>
      </c>
      <c r="J1003" s="21" t="s">
        <v>1327</v>
      </c>
      <c r="K1003" s="5814" t="s">
        <v>4906</v>
      </c>
    </row>
    <row r="1004" spans="1:11">
      <c r="A1004" s="21" t="s">
        <v>3439</v>
      </c>
      <c r="B1004" s="21" t="s">
        <v>4907</v>
      </c>
      <c r="C1004" s="21" t="s">
        <v>8</v>
      </c>
      <c r="D1004" s="21" t="s">
        <v>237</v>
      </c>
      <c r="E1004" s="21" t="s">
        <v>244</v>
      </c>
      <c r="F1004" s="5812">
        <v>1</v>
      </c>
      <c r="G1004" s="5813">
        <v>0.20833333333333334</v>
      </c>
      <c r="H1004" s="21" t="s">
        <v>10</v>
      </c>
      <c r="I1004" s="21" t="s">
        <v>226</v>
      </c>
      <c r="J1004" s="21" t="s">
        <v>4908</v>
      </c>
      <c r="K1004" s="5814" t="s">
        <v>4909</v>
      </c>
    </row>
    <row r="1005" spans="1:11">
      <c r="A1005" s="21" t="s">
        <v>87</v>
      </c>
      <c r="B1005" s="21" t="s">
        <v>243</v>
      </c>
      <c r="C1005" s="21" t="s">
        <v>22</v>
      </c>
      <c r="D1005" s="21" t="s">
        <v>237</v>
      </c>
      <c r="E1005" s="21" t="s">
        <v>244</v>
      </c>
      <c r="F1005" s="5812">
        <v>2</v>
      </c>
      <c r="G1005" s="5813">
        <v>0.14930555555555555</v>
      </c>
      <c r="H1005" s="21" t="s">
        <v>10</v>
      </c>
      <c r="I1005" s="21" t="s">
        <v>245</v>
      </c>
      <c r="J1005" s="21" t="s">
        <v>246</v>
      </c>
      <c r="K1005" s="5814" t="s">
        <v>247</v>
      </c>
    </row>
    <row r="1006" spans="1:11">
      <c r="A1006" s="21" t="s">
        <v>3053</v>
      </c>
      <c r="B1006" s="21" t="s">
        <v>4910</v>
      </c>
      <c r="C1006" s="21" t="s">
        <v>8</v>
      </c>
      <c r="D1006" s="21" t="s">
        <v>237</v>
      </c>
      <c r="E1006" s="21" t="s">
        <v>244</v>
      </c>
      <c r="F1006" s="5812">
        <v>2</v>
      </c>
      <c r="G1006" s="5813">
        <v>0.20833333333333334</v>
      </c>
      <c r="H1006" s="21" t="s">
        <v>10</v>
      </c>
      <c r="I1006" s="21" t="s">
        <v>2860</v>
      </c>
      <c r="J1006" s="21" t="s">
        <v>3622</v>
      </c>
      <c r="K1006" s="5814" t="s">
        <v>4911</v>
      </c>
    </row>
    <row r="1007" spans="1:11">
      <c r="A1007" s="21" t="s">
        <v>4321</v>
      </c>
      <c r="B1007" s="21" t="s">
        <v>4912</v>
      </c>
      <c r="C1007" s="21" t="s">
        <v>8</v>
      </c>
      <c r="D1007" s="21" t="s">
        <v>237</v>
      </c>
      <c r="E1007" s="21" t="s">
        <v>244</v>
      </c>
      <c r="F1007" s="5812">
        <v>2</v>
      </c>
      <c r="G1007" s="5813">
        <v>0.20833333333333334</v>
      </c>
      <c r="H1007" s="21" t="s">
        <v>10</v>
      </c>
      <c r="I1007" s="21" t="s">
        <v>4828</v>
      </c>
      <c r="J1007" s="21" t="s">
        <v>3622</v>
      </c>
      <c r="K1007" s="5814" t="s">
        <v>4913</v>
      </c>
    </row>
    <row r="1008" spans="1:11">
      <c r="A1008" s="21" t="s">
        <v>160</v>
      </c>
      <c r="B1008" s="21" t="s">
        <v>486</v>
      </c>
      <c r="C1008" s="21" t="s">
        <v>8</v>
      </c>
      <c r="D1008" s="21" t="s">
        <v>416</v>
      </c>
      <c r="E1008" s="21" t="s">
        <v>193</v>
      </c>
      <c r="F1008" s="5812">
        <v>3</v>
      </c>
      <c r="G1008" s="5813">
        <v>0.20833333333333334</v>
      </c>
      <c r="H1008" s="21" t="s">
        <v>10</v>
      </c>
      <c r="I1008" s="21" t="s">
        <v>306</v>
      </c>
      <c r="J1008" s="21" t="s">
        <v>487</v>
      </c>
      <c r="K1008" s="5814" t="s">
        <v>488</v>
      </c>
    </row>
    <row r="1009" spans="1:11">
      <c r="A1009" s="21" t="s">
        <v>160</v>
      </c>
      <c r="B1009" s="21" t="s">
        <v>458</v>
      </c>
      <c r="C1009" s="21" t="s">
        <v>22</v>
      </c>
      <c r="D1009" s="21" t="s">
        <v>416</v>
      </c>
      <c r="E1009" s="21" t="s">
        <v>193</v>
      </c>
      <c r="F1009" s="5812">
        <v>3</v>
      </c>
      <c r="G1009" s="5813">
        <v>0.20833333333333334</v>
      </c>
      <c r="H1009" s="21" t="s">
        <v>10</v>
      </c>
      <c r="I1009" s="21" t="s">
        <v>162</v>
      </c>
      <c r="J1009" s="21" t="s">
        <v>459</v>
      </c>
      <c r="K1009" s="5814" t="s">
        <v>460</v>
      </c>
    </row>
    <row r="1010" spans="1:11">
      <c r="A1010" s="21" t="s">
        <v>3855</v>
      </c>
      <c r="B1010" s="21" t="s">
        <v>4914</v>
      </c>
      <c r="C1010" s="21" t="s">
        <v>22</v>
      </c>
      <c r="D1010" s="21" t="s">
        <v>416</v>
      </c>
      <c r="E1010" s="21" t="s">
        <v>193</v>
      </c>
      <c r="F1010" s="5812">
        <v>3</v>
      </c>
      <c r="G1010" s="5813">
        <v>0.20833333333333334</v>
      </c>
      <c r="H1010" s="21" t="s">
        <v>10</v>
      </c>
      <c r="I1010" s="21" t="s">
        <v>11</v>
      </c>
      <c r="J1010" s="21" t="s">
        <v>4915</v>
      </c>
      <c r="K1010" s="5814" t="s">
        <v>4916</v>
      </c>
    </row>
    <row r="1011" spans="1:11">
      <c r="A1011" s="21" t="s">
        <v>3664</v>
      </c>
      <c r="B1011" s="21" t="s">
        <v>4917</v>
      </c>
      <c r="C1011" s="21" t="s">
        <v>22</v>
      </c>
      <c r="D1011" s="21" t="s">
        <v>416</v>
      </c>
      <c r="E1011" s="21" t="s">
        <v>193</v>
      </c>
      <c r="F1011" s="5812">
        <v>3</v>
      </c>
      <c r="G1011" s="5813">
        <v>0.20833333333333334</v>
      </c>
      <c r="H1011" s="21" t="s">
        <v>10</v>
      </c>
      <c r="I1011" s="21" t="s">
        <v>609</v>
      </c>
      <c r="J1011" s="21" t="s">
        <v>4918</v>
      </c>
      <c r="K1011" s="5814" t="s">
        <v>4919</v>
      </c>
    </row>
    <row r="1012" spans="1:11">
      <c r="A1012" s="21" t="s">
        <v>2092</v>
      </c>
      <c r="B1012" s="21" t="s">
        <v>4920</v>
      </c>
      <c r="C1012" s="21" t="s">
        <v>8</v>
      </c>
      <c r="D1012" s="21" t="s">
        <v>416</v>
      </c>
      <c r="E1012" s="21" t="s">
        <v>193</v>
      </c>
      <c r="F1012" s="5812">
        <v>3</v>
      </c>
      <c r="G1012" s="5813">
        <v>0.20833333333333334</v>
      </c>
      <c r="H1012" s="21" t="s">
        <v>10</v>
      </c>
      <c r="I1012" s="21" t="s">
        <v>11</v>
      </c>
      <c r="J1012" s="21" t="s">
        <v>4921</v>
      </c>
      <c r="K1012" s="5814" t="s">
        <v>4922</v>
      </c>
    </row>
    <row r="1013" spans="1:11">
      <c r="A1013" s="21" t="s">
        <v>2955</v>
      </c>
      <c r="B1013" s="21" t="s">
        <v>4923</v>
      </c>
      <c r="C1013" s="21" t="s">
        <v>8</v>
      </c>
      <c r="D1013" s="21" t="s">
        <v>416</v>
      </c>
      <c r="E1013" s="21" t="s">
        <v>193</v>
      </c>
      <c r="F1013" s="5812">
        <v>3</v>
      </c>
      <c r="G1013" s="5813">
        <v>0.20833333333333334</v>
      </c>
      <c r="H1013" s="21" t="s">
        <v>10</v>
      </c>
      <c r="I1013" s="21" t="s">
        <v>55</v>
      </c>
      <c r="J1013" s="21" t="s">
        <v>4924</v>
      </c>
      <c r="K1013" s="5814" t="s">
        <v>4925</v>
      </c>
    </row>
    <row r="1014" spans="1:11">
      <c r="A1014" s="21" t="s">
        <v>2428</v>
      </c>
      <c r="B1014" s="21" t="s">
        <v>4926</v>
      </c>
      <c r="C1014" s="21" t="s">
        <v>22</v>
      </c>
      <c r="D1014" s="21" t="s">
        <v>416</v>
      </c>
      <c r="E1014" s="21" t="s">
        <v>193</v>
      </c>
      <c r="F1014" s="5812">
        <v>3</v>
      </c>
      <c r="G1014" s="5813">
        <v>0.20833333333333334</v>
      </c>
      <c r="H1014" s="21" t="s">
        <v>10</v>
      </c>
      <c r="I1014" s="21" t="s">
        <v>11</v>
      </c>
      <c r="J1014" s="21" t="s">
        <v>4927</v>
      </c>
      <c r="K1014" s="5814" t="s">
        <v>4928</v>
      </c>
    </row>
    <row r="1015" spans="1:11">
      <c r="A1015" s="21" t="s">
        <v>3559</v>
      </c>
      <c r="B1015" s="21" t="s">
        <v>4929</v>
      </c>
      <c r="C1015" s="21" t="s">
        <v>22</v>
      </c>
      <c r="D1015" s="21" t="s">
        <v>416</v>
      </c>
      <c r="E1015" s="21" t="s">
        <v>193</v>
      </c>
      <c r="F1015" s="5812">
        <v>3</v>
      </c>
      <c r="G1015" s="5813">
        <v>0.20833333333333334</v>
      </c>
      <c r="H1015" s="21" t="s">
        <v>10</v>
      </c>
      <c r="I1015" s="21" t="s">
        <v>23</v>
      </c>
      <c r="J1015" s="21" t="s">
        <v>4930</v>
      </c>
      <c r="K1015" s="5814" t="s">
        <v>4931</v>
      </c>
    </row>
    <row r="1016" spans="1:11">
      <c r="A1016" s="21" t="s">
        <v>3946</v>
      </c>
      <c r="B1016" s="21" t="s">
        <v>4932</v>
      </c>
      <c r="C1016" s="21" t="s">
        <v>8</v>
      </c>
      <c r="D1016" s="21" t="s">
        <v>416</v>
      </c>
      <c r="E1016" s="21" t="s">
        <v>193</v>
      </c>
      <c r="F1016" s="5812">
        <v>3</v>
      </c>
      <c r="G1016" s="5813">
        <v>0.20833333333333334</v>
      </c>
      <c r="H1016" s="21" t="s">
        <v>10</v>
      </c>
      <c r="I1016" s="21" t="s">
        <v>39</v>
      </c>
      <c r="J1016" s="21" t="s">
        <v>4933</v>
      </c>
      <c r="K1016" s="5814" t="s">
        <v>4934</v>
      </c>
    </row>
    <row r="1017" spans="1:11">
      <c r="A1017" s="21" t="s">
        <v>3974</v>
      </c>
      <c r="B1017" s="21" t="s">
        <v>4935</v>
      </c>
      <c r="C1017" s="21" t="s">
        <v>8</v>
      </c>
      <c r="D1017" s="21" t="s">
        <v>416</v>
      </c>
      <c r="E1017" s="21" t="s">
        <v>193</v>
      </c>
      <c r="F1017" s="5812">
        <v>3</v>
      </c>
      <c r="G1017" s="5813">
        <v>0.20833333333333334</v>
      </c>
      <c r="H1017" s="21" t="s">
        <v>10</v>
      </c>
      <c r="I1017" s="21" t="s">
        <v>2544</v>
      </c>
      <c r="J1017" s="21" t="s">
        <v>4936</v>
      </c>
      <c r="K1017" s="5814" t="s">
        <v>4937</v>
      </c>
    </row>
    <row r="1018" spans="1:11">
      <c r="A1018" s="21" t="s">
        <v>3134</v>
      </c>
      <c r="B1018" s="21" t="s">
        <v>4938</v>
      </c>
      <c r="C1018" s="21" t="s">
        <v>22</v>
      </c>
      <c r="D1018" s="21" t="s">
        <v>416</v>
      </c>
      <c r="E1018" s="21" t="s">
        <v>193</v>
      </c>
      <c r="F1018" s="5812">
        <v>3</v>
      </c>
      <c r="G1018" s="5813">
        <v>0.20833333333333334</v>
      </c>
      <c r="H1018" s="21" t="s">
        <v>10</v>
      </c>
      <c r="I1018" s="21"/>
      <c r="J1018" s="21" t="s">
        <v>4939</v>
      </c>
      <c r="K1018" s="5814" t="s">
        <v>4940</v>
      </c>
    </row>
    <row r="1019" spans="1:11">
      <c r="A1019" s="21" t="s">
        <v>3412</v>
      </c>
      <c r="B1019" s="21" t="s">
        <v>4941</v>
      </c>
      <c r="C1019" s="21" t="s">
        <v>8</v>
      </c>
      <c r="D1019" s="21" t="s">
        <v>416</v>
      </c>
      <c r="E1019" s="21" t="s">
        <v>193</v>
      </c>
      <c r="F1019" s="5812">
        <v>3</v>
      </c>
      <c r="G1019" s="5813">
        <v>0.20833333333333334</v>
      </c>
      <c r="H1019" s="21" t="s">
        <v>10</v>
      </c>
      <c r="I1019" s="21" t="s">
        <v>55</v>
      </c>
      <c r="J1019" s="21" t="s">
        <v>4942</v>
      </c>
      <c r="K1019" s="5814" t="s">
        <v>4943</v>
      </c>
    </row>
    <row r="1020" spans="1:11">
      <c r="A1020" s="21" t="s">
        <v>2571</v>
      </c>
      <c r="B1020" s="21" t="s">
        <v>4944</v>
      </c>
      <c r="C1020" s="21" t="s">
        <v>709</v>
      </c>
      <c r="D1020" s="21" t="s">
        <v>416</v>
      </c>
      <c r="E1020" s="21" t="s">
        <v>193</v>
      </c>
      <c r="F1020" s="5812">
        <v>3</v>
      </c>
      <c r="G1020" s="5813">
        <v>0.20833333333333334</v>
      </c>
      <c r="H1020" s="21" t="s">
        <v>10</v>
      </c>
      <c r="I1020" s="21" t="s">
        <v>226</v>
      </c>
      <c r="J1020" s="21" t="s">
        <v>4945</v>
      </c>
      <c r="K1020" s="5814" t="s">
        <v>4946</v>
      </c>
    </row>
    <row r="1021" spans="1:11">
      <c r="A1021" s="21" t="s">
        <v>2655</v>
      </c>
      <c r="B1021" s="21" t="s">
        <v>4947</v>
      </c>
      <c r="C1021" s="21" t="s">
        <v>8</v>
      </c>
      <c r="D1021" s="21" t="s">
        <v>416</v>
      </c>
      <c r="E1021" s="21" t="s">
        <v>193</v>
      </c>
      <c r="F1021" s="5812">
        <v>3</v>
      </c>
      <c r="G1021" s="5813">
        <v>0.20833333333333334</v>
      </c>
      <c r="H1021" s="21" t="s">
        <v>10</v>
      </c>
      <c r="I1021" s="21" t="s">
        <v>47</v>
      </c>
      <c r="J1021" s="21" t="s">
        <v>4948</v>
      </c>
      <c r="K1021" s="5814" t="s">
        <v>4949</v>
      </c>
    </row>
    <row r="1022" spans="1:11">
      <c r="A1022" s="21" t="s">
        <v>2998</v>
      </c>
      <c r="B1022" s="21" t="s">
        <v>4950</v>
      </c>
      <c r="C1022" s="21" t="s">
        <v>22</v>
      </c>
      <c r="D1022" s="21" t="s">
        <v>416</v>
      </c>
      <c r="E1022" s="21" t="s">
        <v>193</v>
      </c>
      <c r="F1022" s="5812">
        <v>3</v>
      </c>
      <c r="G1022" s="5813">
        <v>0.20833333333333334</v>
      </c>
      <c r="H1022" s="21" t="s">
        <v>10</v>
      </c>
      <c r="I1022" s="21" t="s">
        <v>400</v>
      </c>
      <c r="J1022" s="21" t="s">
        <v>4951</v>
      </c>
      <c r="K1022" s="5814" t="s">
        <v>4952</v>
      </c>
    </row>
    <row r="1023" spans="1:11">
      <c r="A1023" s="21" t="s">
        <v>2192</v>
      </c>
      <c r="B1023" s="21" t="s">
        <v>4953</v>
      </c>
      <c r="C1023" s="21" t="s">
        <v>22</v>
      </c>
      <c r="D1023" s="21" t="s">
        <v>416</v>
      </c>
      <c r="E1023" s="21" t="s">
        <v>193</v>
      </c>
      <c r="F1023" s="5812">
        <v>3</v>
      </c>
      <c r="G1023" s="5813">
        <v>0.20833333333333334</v>
      </c>
      <c r="H1023" s="21" t="s">
        <v>10</v>
      </c>
      <c r="I1023" s="21" t="s">
        <v>4861</v>
      </c>
      <c r="J1023" s="21" t="s">
        <v>4954</v>
      </c>
      <c r="K1023" s="5814" t="s">
        <v>4955</v>
      </c>
    </row>
    <row r="1024" spans="1:11">
      <c r="A1024" s="21" t="s">
        <v>2687</v>
      </c>
      <c r="B1024" s="21" t="s">
        <v>4956</v>
      </c>
      <c r="C1024" s="21" t="s">
        <v>22</v>
      </c>
      <c r="D1024" s="21" t="s">
        <v>416</v>
      </c>
      <c r="E1024" s="21" t="s">
        <v>193</v>
      </c>
      <c r="F1024" s="5812">
        <v>3</v>
      </c>
      <c r="G1024" s="5813">
        <v>0.20833333333333334</v>
      </c>
      <c r="H1024" s="21" t="s">
        <v>10</v>
      </c>
      <c r="I1024" s="21" t="s">
        <v>654</v>
      </c>
      <c r="J1024" s="21" t="s">
        <v>4957</v>
      </c>
      <c r="K1024" s="5814" t="s">
        <v>4958</v>
      </c>
    </row>
    <row r="1025" spans="1:11">
      <c r="A1025" s="21" t="s">
        <v>2702</v>
      </c>
      <c r="B1025" s="21" t="s">
        <v>4959</v>
      </c>
      <c r="C1025" s="21" t="s">
        <v>22</v>
      </c>
      <c r="D1025" s="21" t="s">
        <v>416</v>
      </c>
      <c r="E1025" s="21" t="s">
        <v>193</v>
      </c>
      <c r="F1025" s="5812">
        <v>3</v>
      </c>
      <c r="G1025" s="5813">
        <v>0.20833333333333334</v>
      </c>
      <c r="H1025" s="21" t="s">
        <v>10</v>
      </c>
      <c r="I1025" s="21" t="s">
        <v>4960</v>
      </c>
      <c r="J1025" s="21" t="s">
        <v>4961</v>
      </c>
      <c r="K1025" s="5814" t="s">
        <v>4962</v>
      </c>
    </row>
    <row r="1026" spans="1:11">
      <c r="A1026" s="21" t="s">
        <v>3036</v>
      </c>
      <c r="B1026" s="21" t="s">
        <v>4963</v>
      </c>
      <c r="C1026" s="21" t="s">
        <v>8</v>
      </c>
      <c r="D1026" s="21" t="s">
        <v>416</v>
      </c>
      <c r="E1026" s="21" t="s">
        <v>193</v>
      </c>
      <c r="F1026" s="5812">
        <v>3</v>
      </c>
      <c r="G1026" s="5813">
        <v>0.20833333333333334</v>
      </c>
      <c r="H1026" s="21" t="s">
        <v>10</v>
      </c>
      <c r="I1026" s="21" t="s">
        <v>2269</v>
      </c>
      <c r="J1026" s="21" t="s">
        <v>4964</v>
      </c>
      <c r="K1026" s="5814" t="s">
        <v>4965</v>
      </c>
    </row>
    <row r="1027" spans="1:11">
      <c r="A1027" s="21" t="s">
        <v>3757</v>
      </c>
      <c r="B1027" s="21" t="s">
        <v>4966</v>
      </c>
      <c r="C1027" s="21" t="s">
        <v>22</v>
      </c>
      <c r="D1027" s="21" t="s">
        <v>416</v>
      </c>
      <c r="E1027" s="21" t="s">
        <v>193</v>
      </c>
      <c r="F1027" s="5812">
        <v>3</v>
      </c>
      <c r="G1027" s="5813">
        <v>0.20833333333333334</v>
      </c>
      <c r="H1027" s="21" t="s">
        <v>10</v>
      </c>
      <c r="I1027" s="21" t="s">
        <v>2665</v>
      </c>
      <c r="J1027" s="21" t="s">
        <v>4967</v>
      </c>
      <c r="K1027" s="5814" t="s">
        <v>4968</v>
      </c>
    </row>
    <row r="1028" spans="1:11">
      <c r="A1028" s="21" t="s">
        <v>2761</v>
      </c>
      <c r="B1028" s="21" t="s">
        <v>4969</v>
      </c>
      <c r="C1028" s="21" t="s">
        <v>8</v>
      </c>
      <c r="D1028" s="21" t="s">
        <v>416</v>
      </c>
      <c r="E1028" s="21" t="s">
        <v>193</v>
      </c>
      <c r="F1028" s="5812">
        <v>3</v>
      </c>
      <c r="G1028" s="5813">
        <v>0.20833333333333334</v>
      </c>
      <c r="H1028" s="21" t="s">
        <v>10</v>
      </c>
      <c r="I1028" s="21" t="s">
        <v>2247</v>
      </c>
      <c r="J1028" s="21" t="s">
        <v>4970</v>
      </c>
      <c r="K1028" s="5814" t="s">
        <v>4971</v>
      </c>
    </row>
    <row r="1029" spans="1:11">
      <c r="A1029" s="21" t="s">
        <v>3537</v>
      </c>
      <c r="B1029" s="21" t="s">
        <v>4972</v>
      </c>
      <c r="C1029" s="21" t="s">
        <v>22</v>
      </c>
      <c r="D1029" s="21" t="s">
        <v>416</v>
      </c>
      <c r="E1029" s="21" t="s">
        <v>193</v>
      </c>
      <c r="F1029" s="5812">
        <v>3</v>
      </c>
      <c r="G1029" s="5813">
        <v>0.20833333333333334</v>
      </c>
      <c r="H1029" s="21" t="s">
        <v>10</v>
      </c>
      <c r="I1029" s="21" t="s">
        <v>89</v>
      </c>
      <c r="J1029" s="21" t="s">
        <v>4973</v>
      </c>
      <c r="K1029" s="5814" t="s">
        <v>4974</v>
      </c>
    </row>
    <row r="1030" spans="1:11">
      <c r="A1030" s="21" t="s">
        <v>2237</v>
      </c>
      <c r="B1030" s="21" t="s">
        <v>4975</v>
      </c>
      <c r="C1030" s="21" t="s">
        <v>8</v>
      </c>
      <c r="D1030" s="21" t="s">
        <v>416</v>
      </c>
      <c r="E1030" s="21" t="s">
        <v>193</v>
      </c>
      <c r="F1030" s="5812">
        <v>3</v>
      </c>
      <c r="G1030" s="5813">
        <v>0.20833333333333334</v>
      </c>
      <c r="H1030" s="21" t="s">
        <v>10</v>
      </c>
      <c r="I1030" s="21" t="s">
        <v>4861</v>
      </c>
      <c r="J1030" s="21" t="s">
        <v>4976</v>
      </c>
      <c r="K1030" s="5814" t="s">
        <v>4977</v>
      </c>
    </row>
    <row r="1031" spans="1:11">
      <c r="A1031" s="21" t="s">
        <v>2808</v>
      </c>
      <c r="B1031" s="21" t="s">
        <v>4978</v>
      </c>
      <c r="C1031" s="21" t="s">
        <v>22</v>
      </c>
      <c r="D1031" s="21" t="s">
        <v>416</v>
      </c>
      <c r="E1031" s="21" t="s">
        <v>193</v>
      </c>
      <c r="F1031" s="5812">
        <v>3</v>
      </c>
      <c r="G1031" s="5813">
        <v>0.20833333333333334</v>
      </c>
      <c r="H1031" s="21" t="s">
        <v>10</v>
      </c>
      <c r="I1031" s="21" t="s">
        <v>400</v>
      </c>
      <c r="J1031" s="21" t="s">
        <v>4979</v>
      </c>
      <c r="K1031" s="5814" t="s">
        <v>4980</v>
      </c>
    </row>
    <row r="1032" spans="1:11">
      <c r="A1032" s="21" t="s">
        <v>3044</v>
      </c>
      <c r="B1032" s="21" t="s">
        <v>4981</v>
      </c>
      <c r="C1032" s="21" t="s">
        <v>8</v>
      </c>
      <c r="D1032" s="21" t="s">
        <v>416</v>
      </c>
      <c r="E1032" s="21" t="s">
        <v>193</v>
      </c>
      <c r="F1032" s="5812">
        <v>3</v>
      </c>
      <c r="G1032" s="5813">
        <v>0.20833333333333334</v>
      </c>
      <c r="H1032" s="21" t="s">
        <v>10</v>
      </c>
      <c r="I1032" s="21" t="s">
        <v>2872</v>
      </c>
      <c r="J1032" s="21" t="s">
        <v>4982</v>
      </c>
      <c r="K1032" s="5814" t="s">
        <v>4983</v>
      </c>
    </row>
    <row r="1033" spans="1:11">
      <c r="A1033" s="21" t="s">
        <v>3044</v>
      </c>
      <c r="B1033" s="21" t="s">
        <v>4984</v>
      </c>
      <c r="C1033" s="21" t="s">
        <v>8</v>
      </c>
      <c r="D1033" s="21" t="s">
        <v>416</v>
      </c>
      <c r="E1033" s="21" t="s">
        <v>193</v>
      </c>
      <c r="F1033" s="5812">
        <v>3</v>
      </c>
      <c r="G1033" s="5813">
        <v>0.20833333333333334</v>
      </c>
      <c r="H1033" s="21" t="s">
        <v>10</v>
      </c>
      <c r="I1033" s="21" t="s">
        <v>39</v>
      </c>
      <c r="J1033" s="21" t="s">
        <v>4985</v>
      </c>
      <c r="K1033" s="5814" t="s">
        <v>4986</v>
      </c>
    </row>
    <row r="1034" spans="1:11">
      <c r="A1034" s="21" t="s">
        <v>2831</v>
      </c>
      <c r="B1034" s="21" t="s">
        <v>4987</v>
      </c>
      <c r="C1034" s="21" t="s">
        <v>8</v>
      </c>
      <c r="D1034" s="21" t="s">
        <v>416</v>
      </c>
      <c r="E1034" s="21" t="s">
        <v>193</v>
      </c>
      <c r="F1034" s="5812">
        <v>3</v>
      </c>
      <c r="G1034" s="5813">
        <v>0.20833333333333334</v>
      </c>
      <c r="H1034" s="21" t="s">
        <v>10</v>
      </c>
      <c r="I1034" s="21" t="s">
        <v>2692</v>
      </c>
      <c r="J1034" s="21" t="s">
        <v>4988</v>
      </c>
      <c r="K1034" s="5814" t="s">
        <v>4989</v>
      </c>
    </row>
    <row r="1035" spans="1:11">
      <c r="A1035" s="21" t="s">
        <v>4379</v>
      </c>
      <c r="B1035" s="21" t="s">
        <v>4990</v>
      </c>
      <c r="C1035" s="21" t="s">
        <v>22</v>
      </c>
      <c r="D1035" s="21" t="s">
        <v>416</v>
      </c>
      <c r="E1035" s="21" t="s">
        <v>193</v>
      </c>
      <c r="F1035" s="5812">
        <v>3</v>
      </c>
      <c r="G1035" s="5813">
        <v>0.20833333333333334</v>
      </c>
      <c r="H1035" s="21" t="s">
        <v>10</v>
      </c>
      <c r="I1035" s="21" t="s">
        <v>23</v>
      </c>
      <c r="J1035" s="21" t="s">
        <v>4991</v>
      </c>
      <c r="K1035" s="5814" t="s">
        <v>4992</v>
      </c>
    </row>
    <row r="1036" spans="1:11">
      <c r="A1036" s="21" t="s">
        <v>2854</v>
      </c>
      <c r="B1036" s="21" t="s">
        <v>4993</v>
      </c>
      <c r="C1036" s="21" t="s">
        <v>22</v>
      </c>
      <c r="D1036" s="21" t="s">
        <v>416</v>
      </c>
      <c r="E1036" s="21" t="s">
        <v>193</v>
      </c>
      <c r="F1036" s="5812">
        <v>3</v>
      </c>
      <c r="G1036" s="5813">
        <v>0.20833333333333334</v>
      </c>
      <c r="H1036" s="21" t="s">
        <v>10</v>
      </c>
      <c r="I1036" s="21" t="s">
        <v>2247</v>
      </c>
      <c r="J1036" s="21" t="s">
        <v>4994</v>
      </c>
      <c r="K1036" s="5814" t="s">
        <v>4995</v>
      </c>
    </row>
    <row r="1037" spans="1:11">
      <c r="A1037" s="21" t="s">
        <v>3345</v>
      </c>
      <c r="B1037" s="21" t="s">
        <v>4996</v>
      </c>
      <c r="C1037" s="21" t="s">
        <v>8</v>
      </c>
      <c r="D1037" s="21" t="s">
        <v>416</v>
      </c>
      <c r="E1037" s="21" t="s">
        <v>193</v>
      </c>
      <c r="F1037" s="5812">
        <v>3</v>
      </c>
      <c r="G1037" s="5813">
        <v>0.20833333333333334</v>
      </c>
      <c r="H1037" s="21" t="s">
        <v>10</v>
      </c>
      <c r="I1037" s="21" t="s">
        <v>4997</v>
      </c>
      <c r="J1037" s="21" t="s">
        <v>4998</v>
      </c>
      <c r="K1037" s="5814" t="s">
        <v>4999</v>
      </c>
    </row>
    <row r="1038" spans="1:11">
      <c r="A1038" s="21" t="s">
        <v>3170</v>
      </c>
      <c r="B1038" s="21" t="s">
        <v>5000</v>
      </c>
      <c r="C1038" s="21" t="s">
        <v>22</v>
      </c>
      <c r="D1038" s="21" t="s">
        <v>416</v>
      </c>
      <c r="E1038" s="21" t="s">
        <v>193</v>
      </c>
      <c r="F1038" s="5812">
        <v>3</v>
      </c>
      <c r="G1038" s="5813">
        <v>0.20833333333333334</v>
      </c>
      <c r="H1038" s="21" t="s">
        <v>10</v>
      </c>
      <c r="I1038" s="21" t="s">
        <v>3822</v>
      </c>
      <c r="J1038" s="21" t="s">
        <v>5001</v>
      </c>
      <c r="K1038" s="5814" t="s">
        <v>5002</v>
      </c>
    </row>
    <row r="1039" spans="1:11">
      <c r="A1039" s="21" t="s">
        <v>160</v>
      </c>
      <c r="B1039" s="21" t="s">
        <v>448</v>
      </c>
      <c r="C1039" s="21" t="s">
        <v>22</v>
      </c>
      <c r="D1039" s="21" t="s">
        <v>416</v>
      </c>
      <c r="E1039" s="21" t="s">
        <v>193</v>
      </c>
      <c r="F1039" s="5812">
        <v>5</v>
      </c>
      <c r="G1039" s="5813">
        <v>0.20833333333333334</v>
      </c>
      <c r="H1039" s="21" t="s">
        <v>54</v>
      </c>
      <c r="I1039" s="21" t="s">
        <v>55</v>
      </c>
      <c r="J1039" s="21" t="s">
        <v>449</v>
      </c>
      <c r="K1039" s="5814" t="s">
        <v>450</v>
      </c>
    </row>
    <row r="1040" spans="1:11">
      <c r="A1040" s="21" t="s">
        <v>2327</v>
      </c>
      <c r="B1040" s="21" t="s">
        <v>5003</v>
      </c>
      <c r="C1040" s="21" t="s">
        <v>22</v>
      </c>
      <c r="D1040" s="21" t="s">
        <v>416</v>
      </c>
      <c r="E1040" s="21" t="s">
        <v>193</v>
      </c>
      <c r="F1040" s="5812">
        <v>5</v>
      </c>
      <c r="G1040" s="5813">
        <v>0.20833333333333334</v>
      </c>
      <c r="H1040" s="21" t="s">
        <v>54</v>
      </c>
      <c r="I1040" s="21" t="s">
        <v>55</v>
      </c>
      <c r="J1040" s="21" t="s">
        <v>5004</v>
      </c>
      <c r="K1040" s="5814" t="s">
        <v>5005</v>
      </c>
    </row>
    <row r="1041" spans="1:11">
      <c r="A1041" s="21" t="s">
        <v>3249</v>
      </c>
      <c r="B1041" s="21" t="s">
        <v>5006</v>
      </c>
      <c r="C1041" s="21" t="s">
        <v>8</v>
      </c>
      <c r="D1041" s="21" t="s">
        <v>416</v>
      </c>
      <c r="E1041" s="21" t="s">
        <v>9</v>
      </c>
      <c r="F1041" s="5812">
        <v>3</v>
      </c>
      <c r="G1041" s="5813">
        <v>0.2076388888888889</v>
      </c>
      <c r="H1041" s="21" t="s">
        <v>10</v>
      </c>
      <c r="I1041" s="21" t="s">
        <v>400</v>
      </c>
      <c r="J1041" s="21" t="s">
        <v>5007</v>
      </c>
      <c r="K1041" s="5814" t="s">
        <v>5008</v>
      </c>
    </row>
    <row r="1042" spans="1:11">
      <c r="A1042" s="21" t="s">
        <v>339</v>
      </c>
      <c r="B1042" s="21" t="s">
        <v>421</v>
      </c>
      <c r="C1042" s="21" t="s">
        <v>8</v>
      </c>
      <c r="D1042" s="21" t="s">
        <v>416</v>
      </c>
      <c r="E1042" s="21" t="s">
        <v>9</v>
      </c>
      <c r="F1042" s="5812">
        <v>3</v>
      </c>
      <c r="G1042" s="5813">
        <v>0.20833333333333334</v>
      </c>
      <c r="H1042" s="21" t="s">
        <v>10</v>
      </c>
      <c r="I1042" s="21" t="s">
        <v>263</v>
      </c>
      <c r="J1042" s="21" t="s">
        <v>422</v>
      </c>
      <c r="K1042" s="5814" t="s">
        <v>423</v>
      </c>
    </row>
    <row r="1043" spans="1:11">
      <c r="A1043" s="21" t="s">
        <v>135</v>
      </c>
      <c r="B1043" s="21" t="s">
        <v>472</v>
      </c>
      <c r="C1043" s="21" t="s">
        <v>22</v>
      </c>
      <c r="D1043" s="21" t="s">
        <v>416</v>
      </c>
      <c r="E1043" s="21" t="s">
        <v>9</v>
      </c>
      <c r="F1043" s="5812">
        <v>3</v>
      </c>
      <c r="G1043" s="5813">
        <v>0.20833333333333334</v>
      </c>
      <c r="H1043" s="21" t="s">
        <v>10</v>
      </c>
      <c r="I1043" s="21" t="s">
        <v>11</v>
      </c>
      <c r="J1043" s="21" t="s">
        <v>473</v>
      </c>
      <c r="K1043" s="5814" t="s">
        <v>474</v>
      </c>
    </row>
    <row r="1044" spans="1:11">
      <c r="A1044" s="21" t="s">
        <v>31</v>
      </c>
      <c r="B1044" s="21" t="s">
        <v>476</v>
      </c>
      <c r="C1044" s="21" t="s">
        <v>22</v>
      </c>
      <c r="D1044" s="21" t="s">
        <v>416</v>
      </c>
      <c r="E1044" s="21" t="s">
        <v>9</v>
      </c>
      <c r="F1044" s="5812">
        <v>3</v>
      </c>
      <c r="G1044" s="5813">
        <v>0.20833333333333334</v>
      </c>
      <c r="H1044" s="21" t="s">
        <v>10</v>
      </c>
      <c r="I1044" s="21" t="s">
        <v>11</v>
      </c>
      <c r="J1044" s="21" t="s">
        <v>477</v>
      </c>
      <c r="K1044" s="5814" t="s">
        <v>478</v>
      </c>
    </row>
    <row r="1045" spans="1:11">
      <c r="A1045" s="21" t="s">
        <v>311</v>
      </c>
      <c r="B1045" s="21" t="s">
        <v>498</v>
      </c>
      <c r="C1045" s="21" t="s">
        <v>22</v>
      </c>
      <c r="D1045" s="21" t="s">
        <v>416</v>
      </c>
      <c r="E1045" s="21" t="s">
        <v>9</v>
      </c>
      <c r="F1045" s="5812">
        <v>3</v>
      </c>
      <c r="G1045" s="5813">
        <v>0.20833333333333334</v>
      </c>
      <c r="H1045" s="21" t="s">
        <v>10</v>
      </c>
      <c r="I1045" s="21" t="s">
        <v>499</v>
      </c>
      <c r="J1045" s="21" t="s">
        <v>500</v>
      </c>
      <c r="K1045" s="5814" t="s">
        <v>501</v>
      </c>
    </row>
    <row r="1046" spans="1:11">
      <c r="A1046" s="21" t="s">
        <v>65</v>
      </c>
      <c r="B1046" s="21" t="s">
        <v>525</v>
      </c>
      <c r="C1046" s="21" t="s">
        <v>22</v>
      </c>
      <c r="D1046" s="21" t="s">
        <v>416</v>
      </c>
      <c r="E1046" s="21" t="s">
        <v>9</v>
      </c>
      <c r="F1046" s="5812">
        <v>3</v>
      </c>
      <c r="G1046" s="5813">
        <v>0.20833333333333334</v>
      </c>
      <c r="H1046" s="21" t="s">
        <v>10</v>
      </c>
      <c r="I1046" s="21" t="s">
        <v>23</v>
      </c>
      <c r="J1046" s="21" t="s">
        <v>526</v>
      </c>
      <c r="K1046" s="5814" t="s">
        <v>527</v>
      </c>
    </row>
    <row r="1047" spans="1:11">
      <c r="A1047" s="21" t="s">
        <v>223</v>
      </c>
      <c r="B1047" s="21" t="s">
        <v>528</v>
      </c>
      <c r="C1047" s="21" t="s">
        <v>8</v>
      </c>
      <c r="D1047" s="21" t="s">
        <v>416</v>
      </c>
      <c r="E1047" s="21" t="s">
        <v>9</v>
      </c>
      <c r="F1047" s="5812">
        <v>3</v>
      </c>
      <c r="G1047" s="5813">
        <v>0.20833333333333334</v>
      </c>
      <c r="H1047" s="21" t="s">
        <v>10</v>
      </c>
      <c r="I1047" s="21" t="s">
        <v>47</v>
      </c>
      <c r="J1047" s="21" t="s">
        <v>529</v>
      </c>
      <c r="K1047" s="5814" t="s">
        <v>530</v>
      </c>
    </row>
    <row r="1048" spans="1:11">
      <c r="A1048" s="21" t="s">
        <v>223</v>
      </c>
      <c r="B1048" s="21" t="s">
        <v>531</v>
      </c>
      <c r="C1048" s="21" t="s">
        <v>8</v>
      </c>
      <c r="D1048" s="21" t="s">
        <v>416</v>
      </c>
      <c r="E1048" s="21" t="s">
        <v>9</v>
      </c>
      <c r="F1048" s="5812">
        <v>3</v>
      </c>
      <c r="G1048" s="5813">
        <v>0.20833333333333334</v>
      </c>
      <c r="H1048" s="21" t="s">
        <v>10</v>
      </c>
      <c r="I1048" s="21" t="s">
        <v>89</v>
      </c>
      <c r="J1048" s="21" t="s">
        <v>532</v>
      </c>
      <c r="K1048" s="5814" t="s">
        <v>533</v>
      </c>
    </row>
    <row r="1049" spans="1:11">
      <c r="A1049" s="21" t="s">
        <v>4654</v>
      </c>
      <c r="B1049" s="21" t="s">
        <v>5009</v>
      </c>
      <c r="C1049" s="21" t="s">
        <v>8</v>
      </c>
      <c r="D1049" s="21" t="s">
        <v>416</v>
      </c>
      <c r="E1049" s="21" t="s">
        <v>9</v>
      </c>
      <c r="F1049" s="5812">
        <v>3</v>
      </c>
      <c r="G1049" s="5813">
        <v>0.20833333333333334</v>
      </c>
      <c r="H1049" s="21" t="s">
        <v>10</v>
      </c>
      <c r="I1049" s="21" t="s">
        <v>2660</v>
      </c>
      <c r="J1049" s="21" t="s">
        <v>5010</v>
      </c>
      <c r="K1049" s="5814" t="s">
        <v>5011</v>
      </c>
    </row>
    <row r="1050" spans="1:11">
      <c r="A1050" s="21" t="s">
        <v>2323</v>
      </c>
      <c r="B1050" s="21" t="s">
        <v>5012</v>
      </c>
      <c r="C1050" s="21" t="s">
        <v>8</v>
      </c>
      <c r="D1050" s="21" t="s">
        <v>416</v>
      </c>
      <c r="E1050" s="21" t="s">
        <v>9</v>
      </c>
      <c r="F1050" s="5812">
        <v>3</v>
      </c>
      <c r="G1050" s="5813">
        <v>0.20833333333333334</v>
      </c>
      <c r="H1050" s="21" t="s">
        <v>10</v>
      </c>
      <c r="I1050" s="21" t="s">
        <v>2959</v>
      </c>
      <c r="J1050" s="21" t="s">
        <v>5013</v>
      </c>
      <c r="K1050" s="5814" t="s">
        <v>5014</v>
      </c>
    </row>
    <row r="1051" spans="1:11">
      <c r="A1051" s="21" t="s">
        <v>5015</v>
      </c>
      <c r="B1051" s="21" t="s">
        <v>5016</v>
      </c>
      <c r="C1051" s="21" t="s">
        <v>8</v>
      </c>
      <c r="D1051" s="21" t="s">
        <v>416</v>
      </c>
      <c r="E1051" s="21" t="s">
        <v>9</v>
      </c>
      <c r="F1051" s="5812">
        <v>3</v>
      </c>
      <c r="G1051" s="5813">
        <v>0.20833333333333334</v>
      </c>
      <c r="H1051" s="21" t="s">
        <v>10</v>
      </c>
      <c r="I1051" s="21" t="s">
        <v>4535</v>
      </c>
      <c r="J1051" s="21" t="s">
        <v>5017</v>
      </c>
      <c r="K1051" s="5814" t="s">
        <v>5018</v>
      </c>
    </row>
    <row r="1052" spans="1:11">
      <c r="A1052" s="21" t="s">
        <v>2947</v>
      </c>
      <c r="B1052" s="21" t="s">
        <v>5019</v>
      </c>
      <c r="C1052" s="21" t="s">
        <v>22</v>
      </c>
      <c r="D1052" s="21" t="s">
        <v>416</v>
      </c>
      <c r="E1052" s="21" t="s">
        <v>9</v>
      </c>
      <c r="F1052" s="5812">
        <v>3</v>
      </c>
      <c r="G1052" s="5813">
        <v>0.20833333333333334</v>
      </c>
      <c r="H1052" s="21" t="s">
        <v>10</v>
      </c>
      <c r="I1052" s="21" t="s">
        <v>5020</v>
      </c>
      <c r="J1052" s="21" t="s">
        <v>5021</v>
      </c>
      <c r="K1052" s="5814" t="s">
        <v>5022</v>
      </c>
    </row>
    <row r="1053" spans="1:11">
      <c r="A1053" s="21" t="s">
        <v>2327</v>
      </c>
      <c r="B1053" s="21" t="s">
        <v>5023</v>
      </c>
      <c r="C1053" s="21" t="s">
        <v>8</v>
      </c>
      <c r="D1053" s="21" t="s">
        <v>416</v>
      </c>
      <c r="E1053" s="21" t="s">
        <v>9</v>
      </c>
      <c r="F1053" s="5812">
        <v>3</v>
      </c>
      <c r="G1053" s="5813">
        <v>0.20833333333333334</v>
      </c>
      <c r="H1053" s="21" t="s">
        <v>10</v>
      </c>
      <c r="I1053" s="21" t="s">
        <v>39</v>
      </c>
      <c r="J1053" s="21" t="s">
        <v>5024</v>
      </c>
      <c r="K1053" s="5814" t="s">
        <v>5025</v>
      </c>
    </row>
    <row r="1054" spans="1:11">
      <c r="A1054" s="21" t="s">
        <v>3243</v>
      </c>
      <c r="B1054" s="21" t="s">
        <v>5026</v>
      </c>
      <c r="C1054" s="21" t="s">
        <v>8</v>
      </c>
      <c r="D1054" s="21" t="s">
        <v>416</v>
      </c>
      <c r="E1054" s="21" t="s">
        <v>9</v>
      </c>
      <c r="F1054" s="5812">
        <v>3</v>
      </c>
      <c r="G1054" s="5813">
        <v>0.20833333333333334</v>
      </c>
      <c r="H1054" s="21" t="s">
        <v>10</v>
      </c>
      <c r="I1054" s="21" t="s">
        <v>23</v>
      </c>
      <c r="J1054" s="21" t="s">
        <v>5027</v>
      </c>
      <c r="K1054" s="5814" t="s">
        <v>5028</v>
      </c>
    </row>
    <row r="1055" spans="1:11">
      <c r="A1055" s="21" t="s">
        <v>2284</v>
      </c>
      <c r="B1055" s="21" t="s">
        <v>5029</v>
      </c>
      <c r="C1055" s="21" t="s">
        <v>8</v>
      </c>
      <c r="D1055" s="21" t="s">
        <v>416</v>
      </c>
      <c r="E1055" s="21" t="s">
        <v>9</v>
      </c>
      <c r="F1055" s="5812">
        <v>3</v>
      </c>
      <c r="G1055" s="5813">
        <v>0.20833333333333334</v>
      </c>
      <c r="H1055" s="21" t="s">
        <v>10</v>
      </c>
      <c r="I1055" s="21" t="s">
        <v>73</v>
      </c>
      <c r="J1055" s="21" t="s">
        <v>917</v>
      </c>
      <c r="K1055" s="5814" t="s">
        <v>5030</v>
      </c>
    </row>
    <row r="1056" spans="1:11">
      <c r="A1056" s="21" t="s">
        <v>2362</v>
      </c>
      <c r="B1056" s="21" t="s">
        <v>5031</v>
      </c>
      <c r="C1056" s="21" t="s">
        <v>22</v>
      </c>
      <c r="D1056" s="21" t="s">
        <v>416</v>
      </c>
      <c r="E1056" s="21" t="s">
        <v>9</v>
      </c>
      <c r="F1056" s="5812">
        <v>3</v>
      </c>
      <c r="G1056" s="5813">
        <v>0.20833333333333334</v>
      </c>
      <c r="H1056" s="21" t="s">
        <v>10</v>
      </c>
      <c r="I1056" s="21" t="s">
        <v>11</v>
      </c>
      <c r="J1056" s="21" t="s">
        <v>5032</v>
      </c>
      <c r="K1056" s="5814" t="s">
        <v>5033</v>
      </c>
    </row>
    <row r="1057" spans="1:11">
      <c r="A1057" s="21" t="s">
        <v>3338</v>
      </c>
      <c r="B1057" s="21" t="s">
        <v>5034</v>
      </c>
      <c r="C1057" s="21" t="s">
        <v>8</v>
      </c>
      <c r="D1057" s="21" t="s">
        <v>416</v>
      </c>
      <c r="E1057" s="21" t="s">
        <v>9</v>
      </c>
      <c r="F1057" s="5812">
        <v>3</v>
      </c>
      <c r="G1057" s="5813">
        <v>0.20833333333333334</v>
      </c>
      <c r="H1057" s="21" t="s">
        <v>10</v>
      </c>
      <c r="I1057" s="21" t="s">
        <v>39</v>
      </c>
      <c r="J1057" s="21" t="s">
        <v>5035</v>
      </c>
      <c r="K1057" s="5814" t="s">
        <v>5036</v>
      </c>
    </row>
    <row r="1058" spans="1:11">
      <c r="A1058" s="21" t="s">
        <v>3909</v>
      </c>
      <c r="B1058" s="21" t="s">
        <v>5037</v>
      </c>
      <c r="C1058" s="21" t="s">
        <v>8</v>
      </c>
      <c r="D1058" s="21" t="s">
        <v>416</v>
      </c>
      <c r="E1058" s="21" t="s">
        <v>9</v>
      </c>
      <c r="F1058" s="5812">
        <v>3</v>
      </c>
      <c r="G1058" s="5813">
        <v>0.20833333333333334</v>
      </c>
      <c r="H1058" s="21" t="s">
        <v>10</v>
      </c>
      <c r="I1058" s="21" t="s">
        <v>47</v>
      </c>
      <c r="J1058" s="21" t="s">
        <v>5038</v>
      </c>
      <c r="K1058" s="5814" t="s">
        <v>5039</v>
      </c>
    </row>
    <row r="1059" spans="1:11">
      <c r="A1059" s="21" t="s">
        <v>3183</v>
      </c>
      <c r="B1059" s="21" t="s">
        <v>5040</v>
      </c>
      <c r="C1059" s="21" t="s">
        <v>22</v>
      </c>
      <c r="D1059" s="21" t="s">
        <v>416</v>
      </c>
      <c r="E1059" s="21" t="s">
        <v>9</v>
      </c>
      <c r="F1059" s="5812">
        <v>3</v>
      </c>
      <c r="G1059" s="5813">
        <v>0.20833333333333334</v>
      </c>
      <c r="H1059" s="21" t="s">
        <v>10</v>
      </c>
      <c r="I1059" s="21" t="s">
        <v>89</v>
      </c>
      <c r="J1059" s="21" t="s">
        <v>5041</v>
      </c>
      <c r="K1059" s="5814" t="s">
        <v>5042</v>
      </c>
    </row>
    <row r="1060" spans="1:11">
      <c r="A1060" s="21" t="s">
        <v>3183</v>
      </c>
      <c r="B1060" s="21" t="s">
        <v>5043</v>
      </c>
      <c r="C1060" s="21" t="s">
        <v>8</v>
      </c>
      <c r="D1060" s="21" t="s">
        <v>416</v>
      </c>
      <c r="E1060" s="21" t="s">
        <v>9</v>
      </c>
      <c r="F1060" s="5812">
        <v>3</v>
      </c>
      <c r="G1060" s="5813">
        <v>0.20833333333333334</v>
      </c>
      <c r="H1060" s="21" t="s">
        <v>10</v>
      </c>
      <c r="I1060" s="21" t="s">
        <v>89</v>
      </c>
      <c r="J1060" s="21" t="s">
        <v>5044</v>
      </c>
      <c r="K1060" s="5814" t="s">
        <v>5045</v>
      </c>
    </row>
    <row r="1061" spans="1:11">
      <c r="A1061" s="21" t="s">
        <v>3130</v>
      </c>
      <c r="B1061" s="21" t="s">
        <v>5046</v>
      </c>
      <c r="C1061" s="21" t="s">
        <v>22</v>
      </c>
      <c r="D1061" s="21" t="s">
        <v>416</v>
      </c>
      <c r="E1061" s="21" t="s">
        <v>9</v>
      </c>
      <c r="F1061" s="5812">
        <v>3</v>
      </c>
      <c r="G1061" s="5813">
        <v>0.20833333333333334</v>
      </c>
      <c r="H1061" s="21" t="s">
        <v>10</v>
      </c>
      <c r="I1061" s="21" t="s">
        <v>5047</v>
      </c>
      <c r="J1061" s="21" t="s">
        <v>5048</v>
      </c>
      <c r="K1061" s="5814" t="s">
        <v>5049</v>
      </c>
    </row>
    <row r="1062" spans="1:11">
      <c r="A1062" s="21" t="s">
        <v>3130</v>
      </c>
      <c r="B1062" s="21" t="s">
        <v>5050</v>
      </c>
      <c r="C1062" s="21" t="s">
        <v>8</v>
      </c>
      <c r="D1062" s="21" t="s">
        <v>416</v>
      </c>
      <c r="E1062" s="21" t="s">
        <v>9</v>
      </c>
      <c r="F1062" s="5812">
        <v>3</v>
      </c>
      <c r="G1062" s="5813">
        <v>0.20833333333333334</v>
      </c>
      <c r="H1062" s="21" t="s">
        <v>10</v>
      </c>
      <c r="I1062" s="21" t="s">
        <v>5047</v>
      </c>
      <c r="J1062" s="21" t="s">
        <v>5051</v>
      </c>
      <c r="K1062" s="5814" t="s">
        <v>5052</v>
      </c>
    </row>
    <row r="1063" spans="1:11">
      <c r="A1063" s="21" t="s">
        <v>3551</v>
      </c>
      <c r="B1063" s="21" t="s">
        <v>5053</v>
      </c>
      <c r="C1063" s="21" t="s">
        <v>8</v>
      </c>
      <c r="D1063" s="21" t="s">
        <v>416</v>
      </c>
      <c r="E1063" s="21" t="s">
        <v>9</v>
      </c>
      <c r="F1063" s="5812">
        <v>3</v>
      </c>
      <c r="G1063" s="5813">
        <v>0.20833333333333334</v>
      </c>
      <c r="H1063" s="21" t="s">
        <v>10</v>
      </c>
      <c r="I1063" s="21" t="s">
        <v>23</v>
      </c>
      <c r="J1063" s="21" t="s">
        <v>5054</v>
      </c>
      <c r="K1063" s="5814" t="s">
        <v>5055</v>
      </c>
    </row>
    <row r="1064" spans="1:11">
      <c r="A1064" s="21" t="s">
        <v>2104</v>
      </c>
      <c r="B1064" s="21" t="s">
        <v>5056</v>
      </c>
      <c r="C1064" s="21" t="s">
        <v>8</v>
      </c>
      <c r="D1064" s="21" t="s">
        <v>416</v>
      </c>
      <c r="E1064" s="21" t="s">
        <v>9</v>
      </c>
      <c r="F1064" s="5812">
        <v>3</v>
      </c>
      <c r="G1064" s="5813">
        <v>0.20833333333333334</v>
      </c>
      <c r="H1064" s="21" t="s">
        <v>10</v>
      </c>
      <c r="I1064" s="21" t="s">
        <v>96</v>
      </c>
      <c r="J1064" s="21" t="s">
        <v>5057</v>
      </c>
      <c r="K1064" s="5814" t="s">
        <v>5058</v>
      </c>
    </row>
    <row r="1065" spans="1:11">
      <c r="A1065" s="21" t="s">
        <v>3220</v>
      </c>
      <c r="B1065" s="21" t="s">
        <v>5059</v>
      </c>
      <c r="C1065" s="21" t="s">
        <v>22</v>
      </c>
      <c r="D1065" s="21" t="s">
        <v>416</v>
      </c>
      <c r="E1065" s="21" t="s">
        <v>9</v>
      </c>
      <c r="F1065" s="5812">
        <v>3</v>
      </c>
      <c r="G1065" s="5813">
        <v>0.20833333333333334</v>
      </c>
      <c r="H1065" s="21" t="s">
        <v>10</v>
      </c>
      <c r="I1065" s="21" t="s">
        <v>89</v>
      </c>
      <c r="J1065" s="21" t="s">
        <v>5060</v>
      </c>
      <c r="K1065" s="5814" t="s">
        <v>5061</v>
      </c>
    </row>
    <row r="1066" spans="1:11">
      <c r="A1066" s="21" t="s">
        <v>2108</v>
      </c>
      <c r="B1066" s="21" t="s">
        <v>5062</v>
      </c>
      <c r="C1066" s="21" t="s">
        <v>22</v>
      </c>
      <c r="D1066" s="21" t="s">
        <v>416</v>
      </c>
      <c r="E1066" s="21" t="s">
        <v>9</v>
      </c>
      <c r="F1066" s="5812">
        <v>3</v>
      </c>
      <c r="G1066" s="5813">
        <v>0.20833333333333334</v>
      </c>
      <c r="H1066" s="21" t="s">
        <v>10</v>
      </c>
      <c r="I1066" s="21" t="s">
        <v>96</v>
      </c>
      <c r="J1066" s="21" t="s">
        <v>5063</v>
      </c>
      <c r="K1066" s="5814" t="s">
        <v>5064</v>
      </c>
    </row>
    <row r="1067" spans="1:11">
      <c r="A1067" s="21" t="s">
        <v>3643</v>
      </c>
      <c r="B1067" s="21" t="s">
        <v>5065</v>
      </c>
      <c r="C1067" s="21" t="s">
        <v>22</v>
      </c>
      <c r="D1067" s="21" t="s">
        <v>416</v>
      </c>
      <c r="E1067" s="21" t="s">
        <v>9</v>
      </c>
      <c r="F1067" s="5812">
        <v>3</v>
      </c>
      <c r="G1067" s="5813">
        <v>0.20833333333333334</v>
      </c>
      <c r="H1067" s="21" t="s">
        <v>10</v>
      </c>
      <c r="I1067" s="21" t="s">
        <v>39</v>
      </c>
      <c r="J1067" s="21" t="s">
        <v>5066</v>
      </c>
      <c r="K1067" s="5814" t="s">
        <v>5067</v>
      </c>
    </row>
    <row r="1068" spans="1:11">
      <c r="A1068" s="21" t="s">
        <v>2491</v>
      </c>
      <c r="B1068" s="21" t="s">
        <v>5068</v>
      </c>
      <c r="C1068" s="21" t="s">
        <v>22</v>
      </c>
      <c r="D1068" s="21" t="s">
        <v>416</v>
      </c>
      <c r="E1068" s="21" t="s">
        <v>9</v>
      </c>
      <c r="F1068" s="5812">
        <v>3</v>
      </c>
      <c r="G1068" s="5813">
        <v>0.20833333333333334</v>
      </c>
      <c r="H1068" s="21" t="s">
        <v>10</v>
      </c>
      <c r="I1068" s="21" t="s">
        <v>89</v>
      </c>
      <c r="J1068" s="21" t="s">
        <v>5069</v>
      </c>
      <c r="K1068" s="5814" t="s">
        <v>5070</v>
      </c>
    </row>
    <row r="1069" spans="1:11">
      <c r="A1069" s="21" t="s">
        <v>2935</v>
      </c>
      <c r="B1069" s="21" t="s">
        <v>5071</v>
      </c>
      <c r="C1069" s="21" t="s">
        <v>22</v>
      </c>
      <c r="D1069" s="21" t="s">
        <v>416</v>
      </c>
      <c r="E1069" s="21" t="s">
        <v>9</v>
      </c>
      <c r="F1069" s="5812">
        <v>3</v>
      </c>
      <c r="G1069" s="5813">
        <v>0.20833333333333334</v>
      </c>
      <c r="H1069" s="21" t="s">
        <v>10</v>
      </c>
      <c r="I1069" s="21" t="s">
        <v>4010</v>
      </c>
      <c r="J1069" s="21" t="s">
        <v>5072</v>
      </c>
      <c r="K1069" s="5814" t="s">
        <v>5073</v>
      </c>
    </row>
    <row r="1070" spans="1:11">
      <c r="A1070" s="21" t="s">
        <v>2123</v>
      </c>
      <c r="B1070" s="21" t="s">
        <v>5074</v>
      </c>
      <c r="C1070" s="21" t="s">
        <v>22</v>
      </c>
      <c r="D1070" s="21" t="s">
        <v>416</v>
      </c>
      <c r="E1070" s="21" t="s">
        <v>9</v>
      </c>
      <c r="F1070" s="5812">
        <v>3</v>
      </c>
      <c r="G1070" s="5813">
        <v>0.20833333333333334</v>
      </c>
      <c r="H1070" s="21" t="s">
        <v>10</v>
      </c>
      <c r="I1070" s="21" t="s">
        <v>96</v>
      </c>
      <c r="J1070" s="21" t="s">
        <v>5075</v>
      </c>
      <c r="K1070" s="5814" t="s">
        <v>5076</v>
      </c>
    </row>
    <row r="1071" spans="1:11">
      <c r="A1071" s="21" t="s">
        <v>2123</v>
      </c>
      <c r="B1071" s="21" t="s">
        <v>5077</v>
      </c>
      <c r="C1071" s="21" t="s">
        <v>8</v>
      </c>
      <c r="D1071" s="21" t="s">
        <v>416</v>
      </c>
      <c r="E1071" s="21" t="s">
        <v>9</v>
      </c>
      <c r="F1071" s="5812">
        <v>3</v>
      </c>
      <c r="G1071" s="5813">
        <v>0.20833333333333334</v>
      </c>
      <c r="H1071" s="21" t="s">
        <v>10</v>
      </c>
      <c r="I1071" s="21" t="s">
        <v>39</v>
      </c>
      <c r="J1071" s="21" t="s">
        <v>5078</v>
      </c>
      <c r="K1071" s="5814" t="s">
        <v>5079</v>
      </c>
    </row>
    <row r="1072" spans="1:11">
      <c r="A1072" s="21" t="s">
        <v>2910</v>
      </c>
      <c r="B1072" s="21" t="s">
        <v>5080</v>
      </c>
      <c r="C1072" s="21" t="s">
        <v>8</v>
      </c>
      <c r="D1072" s="21" t="s">
        <v>416</v>
      </c>
      <c r="E1072" s="21" t="s">
        <v>9</v>
      </c>
      <c r="F1072" s="5812">
        <v>3</v>
      </c>
      <c r="G1072" s="5813">
        <v>0.20833333333333334</v>
      </c>
      <c r="H1072" s="21" t="s">
        <v>10</v>
      </c>
      <c r="I1072" s="21" t="s">
        <v>11</v>
      </c>
      <c r="J1072" s="21" t="s">
        <v>5081</v>
      </c>
      <c r="K1072" s="5814" t="s">
        <v>5082</v>
      </c>
    </row>
    <row r="1073" spans="1:11">
      <c r="A1073" s="21" t="s">
        <v>3481</v>
      </c>
      <c r="B1073" s="21" t="s">
        <v>5083</v>
      </c>
      <c r="C1073" s="21" t="s">
        <v>8</v>
      </c>
      <c r="D1073" s="21" t="s">
        <v>416</v>
      </c>
      <c r="E1073" s="21" t="s">
        <v>9</v>
      </c>
      <c r="F1073" s="5812">
        <v>3</v>
      </c>
      <c r="G1073" s="5813">
        <v>0.20833333333333334</v>
      </c>
      <c r="H1073" s="21" t="s">
        <v>10</v>
      </c>
      <c r="I1073" s="21" t="s">
        <v>96</v>
      </c>
      <c r="J1073" s="21" t="s">
        <v>5084</v>
      </c>
      <c r="K1073" s="5814" t="s">
        <v>5085</v>
      </c>
    </row>
    <row r="1074" spans="1:11">
      <c r="A1074" s="21" t="s">
        <v>3412</v>
      </c>
      <c r="B1074" s="21" t="s">
        <v>5086</v>
      </c>
      <c r="C1074" s="21" t="s">
        <v>8</v>
      </c>
      <c r="D1074" s="21" t="s">
        <v>416</v>
      </c>
      <c r="E1074" s="21" t="s">
        <v>9</v>
      </c>
      <c r="F1074" s="5812">
        <v>3</v>
      </c>
      <c r="G1074" s="5813">
        <v>0.20833333333333334</v>
      </c>
      <c r="H1074" s="21" t="s">
        <v>10</v>
      </c>
      <c r="I1074" s="21" t="s">
        <v>96</v>
      </c>
      <c r="J1074" s="21" t="s">
        <v>5087</v>
      </c>
      <c r="K1074" s="5814" t="s">
        <v>5088</v>
      </c>
    </row>
    <row r="1075" spans="1:11">
      <c r="A1075" s="21" t="s">
        <v>3412</v>
      </c>
      <c r="B1075" s="21" t="s">
        <v>5089</v>
      </c>
      <c r="C1075" s="21" t="s">
        <v>8</v>
      </c>
      <c r="D1075" s="21" t="s">
        <v>416</v>
      </c>
      <c r="E1075" s="21" t="s">
        <v>9</v>
      </c>
      <c r="F1075" s="5812">
        <v>3</v>
      </c>
      <c r="G1075" s="5813">
        <v>0.20833333333333334</v>
      </c>
      <c r="H1075" s="21" t="s">
        <v>10</v>
      </c>
      <c r="I1075" s="21" t="s">
        <v>47</v>
      </c>
      <c r="J1075" s="21" t="s">
        <v>5090</v>
      </c>
      <c r="K1075" s="5814" t="s">
        <v>5091</v>
      </c>
    </row>
    <row r="1076" spans="1:11">
      <c r="A1076" s="21" t="s">
        <v>2517</v>
      </c>
      <c r="B1076" s="21" t="s">
        <v>5092</v>
      </c>
      <c r="C1076" s="21" t="s">
        <v>22</v>
      </c>
      <c r="D1076" s="21" t="s">
        <v>416</v>
      </c>
      <c r="E1076" s="21" t="s">
        <v>9</v>
      </c>
      <c r="F1076" s="5812">
        <v>3</v>
      </c>
      <c r="G1076" s="5813">
        <v>0.20833333333333334</v>
      </c>
      <c r="H1076" s="21" t="s">
        <v>10</v>
      </c>
      <c r="I1076" s="21" t="s">
        <v>2313</v>
      </c>
      <c r="J1076" s="21" t="s">
        <v>5093</v>
      </c>
      <c r="K1076" s="5814" t="s">
        <v>5094</v>
      </c>
    </row>
    <row r="1077" spans="1:11">
      <c r="A1077" s="21" t="s">
        <v>2131</v>
      </c>
      <c r="B1077" s="21" t="s">
        <v>5095</v>
      </c>
      <c r="C1077" s="21" t="s">
        <v>22</v>
      </c>
      <c r="D1077" s="21" t="s">
        <v>416</v>
      </c>
      <c r="E1077" s="21" t="s">
        <v>9</v>
      </c>
      <c r="F1077" s="5812">
        <v>3</v>
      </c>
      <c r="G1077" s="5813">
        <v>0.20833333333333334</v>
      </c>
      <c r="H1077" s="21" t="s">
        <v>10</v>
      </c>
      <c r="I1077" s="21" t="s">
        <v>96</v>
      </c>
      <c r="J1077" s="21" t="s">
        <v>5096</v>
      </c>
      <c r="K1077" s="5814" t="s">
        <v>5097</v>
      </c>
    </row>
    <row r="1078" spans="1:11">
      <c r="A1078" s="21" t="s">
        <v>2542</v>
      </c>
      <c r="B1078" s="21" t="s">
        <v>5098</v>
      </c>
      <c r="C1078" s="21" t="s">
        <v>22</v>
      </c>
      <c r="D1078" s="21" t="s">
        <v>416</v>
      </c>
      <c r="E1078" s="21" t="s">
        <v>9</v>
      </c>
      <c r="F1078" s="5812">
        <v>3</v>
      </c>
      <c r="G1078" s="5813">
        <v>0.20833333333333334</v>
      </c>
      <c r="H1078" s="21" t="s">
        <v>10</v>
      </c>
      <c r="I1078" s="21" t="s">
        <v>47</v>
      </c>
      <c r="J1078" s="21" t="s">
        <v>5099</v>
      </c>
      <c r="K1078" s="5814" t="s">
        <v>5100</v>
      </c>
    </row>
    <row r="1079" spans="1:11">
      <c r="A1079" s="21" t="s">
        <v>3387</v>
      </c>
      <c r="B1079" s="21" t="s">
        <v>5101</v>
      </c>
      <c r="C1079" s="21" t="s">
        <v>8</v>
      </c>
      <c r="D1079" s="21" t="s">
        <v>416</v>
      </c>
      <c r="E1079" s="21" t="s">
        <v>9</v>
      </c>
      <c r="F1079" s="5812">
        <v>3</v>
      </c>
      <c r="G1079" s="5813">
        <v>0.20833333333333334</v>
      </c>
      <c r="H1079" s="21" t="s">
        <v>10</v>
      </c>
      <c r="I1079" s="21" t="s">
        <v>47</v>
      </c>
      <c r="J1079" s="21" t="s">
        <v>5090</v>
      </c>
      <c r="K1079" s="5814" t="s">
        <v>5102</v>
      </c>
    </row>
    <row r="1080" spans="1:11">
      <c r="A1080" s="21" t="s">
        <v>3203</v>
      </c>
      <c r="B1080" s="21" t="s">
        <v>5103</v>
      </c>
      <c r="C1080" s="21" t="s">
        <v>8</v>
      </c>
      <c r="D1080" s="21" t="s">
        <v>416</v>
      </c>
      <c r="E1080" s="21" t="s">
        <v>9</v>
      </c>
      <c r="F1080" s="5812">
        <v>3</v>
      </c>
      <c r="G1080" s="5813">
        <v>0.20833333333333334</v>
      </c>
      <c r="H1080" s="21" t="s">
        <v>10</v>
      </c>
      <c r="I1080" s="21" t="s">
        <v>2713</v>
      </c>
      <c r="J1080" s="21" t="s">
        <v>5104</v>
      </c>
      <c r="K1080" s="5814" t="s">
        <v>5105</v>
      </c>
    </row>
    <row r="1081" spans="1:11">
      <c r="A1081" s="21" t="s">
        <v>2065</v>
      </c>
      <c r="B1081" s="21" t="s">
        <v>5106</v>
      </c>
      <c r="C1081" s="21" t="s">
        <v>22</v>
      </c>
      <c r="D1081" s="21" t="s">
        <v>416</v>
      </c>
      <c r="E1081" s="21" t="s">
        <v>9</v>
      </c>
      <c r="F1081" s="5812">
        <v>3</v>
      </c>
      <c r="G1081" s="5813">
        <v>0.20833333333333334</v>
      </c>
      <c r="H1081" s="21" t="s">
        <v>10</v>
      </c>
      <c r="I1081" s="21" t="s">
        <v>2176</v>
      </c>
      <c r="J1081" s="21" t="s">
        <v>5107</v>
      </c>
      <c r="K1081" s="5814" t="s">
        <v>5108</v>
      </c>
    </row>
    <row r="1082" spans="1:11">
      <c r="A1082" s="21" t="s">
        <v>2065</v>
      </c>
      <c r="B1082" s="21" t="s">
        <v>5109</v>
      </c>
      <c r="C1082" s="21" t="s">
        <v>22</v>
      </c>
      <c r="D1082" s="21" t="s">
        <v>416</v>
      </c>
      <c r="E1082" s="21" t="s">
        <v>9</v>
      </c>
      <c r="F1082" s="5812">
        <v>3</v>
      </c>
      <c r="G1082" s="5813">
        <v>0.20833333333333334</v>
      </c>
      <c r="H1082" s="21" t="s">
        <v>10</v>
      </c>
      <c r="I1082" s="21" t="s">
        <v>2067</v>
      </c>
      <c r="J1082" s="21" t="s">
        <v>5110</v>
      </c>
      <c r="K1082" s="5814" t="s">
        <v>5111</v>
      </c>
    </row>
    <row r="1083" spans="1:11">
      <c r="A1083" s="21" t="s">
        <v>4565</v>
      </c>
      <c r="B1083" s="21" t="s">
        <v>5112</v>
      </c>
      <c r="C1083" s="21" t="s">
        <v>8</v>
      </c>
      <c r="D1083" s="21" t="s">
        <v>416</v>
      </c>
      <c r="E1083" s="21" t="s">
        <v>9</v>
      </c>
      <c r="F1083" s="5812">
        <v>3</v>
      </c>
      <c r="G1083" s="5813">
        <v>0.20833333333333334</v>
      </c>
      <c r="H1083" s="21" t="s">
        <v>10</v>
      </c>
      <c r="I1083" s="21" t="s">
        <v>47</v>
      </c>
      <c r="J1083" s="21" t="s">
        <v>5113</v>
      </c>
      <c r="K1083" s="5814" t="s">
        <v>5114</v>
      </c>
    </row>
    <row r="1084" spans="1:11">
      <c r="A1084" s="21" t="s">
        <v>2555</v>
      </c>
      <c r="B1084" s="21" t="s">
        <v>5115</v>
      </c>
      <c r="C1084" s="21" t="s">
        <v>22</v>
      </c>
      <c r="D1084" s="21" t="s">
        <v>416</v>
      </c>
      <c r="E1084" s="21" t="s">
        <v>9</v>
      </c>
      <c r="F1084" s="5812">
        <v>3</v>
      </c>
      <c r="G1084" s="5813">
        <v>0.20833333333333334</v>
      </c>
      <c r="H1084" s="21" t="s">
        <v>10</v>
      </c>
      <c r="I1084" s="21" t="s">
        <v>55</v>
      </c>
      <c r="J1084" s="21" t="s">
        <v>5116</v>
      </c>
      <c r="K1084" s="5814" t="s">
        <v>5117</v>
      </c>
    </row>
    <row r="1085" spans="1:11">
      <c r="A1085" s="21" t="s">
        <v>3311</v>
      </c>
      <c r="B1085" s="21" t="s">
        <v>5118</v>
      </c>
      <c r="C1085" s="21" t="s">
        <v>22</v>
      </c>
      <c r="D1085" s="21" t="s">
        <v>416</v>
      </c>
      <c r="E1085" s="21" t="s">
        <v>9</v>
      </c>
      <c r="F1085" s="5812">
        <v>3</v>
      </c>
      <c r="G1085" s="5813">
        <v>0.20833333333333334</v>
      </c>
      <c r="H1085" s="21" t="s">
        <v>10</v>
      </c>
      <c r="I1085" s="21" t="s">
        <v>11</v>
      </c>
      <c r="J1085" s="21" t="s">
        <v>5119</v>
      </c>
      <c r="K1085" s="5814" t="s">
        <v>5120</v>
      </c>
    </row>
    <row r="1086" spans="1:11">
      <c r="A1086" s="21" t="s">
        <v>2156</v>
      </c>
      <c r="B1086" s="21" t="s">
        <v>5121</v>
      </c>
      <c r="C1086" s="21" t="s">
        <v>8</v>
      </c>
      <c r="D1086" s="21" t="s">
        <v>416</v>
      </c>
      <c r="E1086" s="21" t="s">
        <v>9</v>
      </c>
      <c r="F1086" s="5812">
        <v>3</v>
      </c>
      <c r="G1086" s="5813">
        <v>0.20833333333333334</v>
      </c>
      <c r="H1086" s="21" t="s">
        <v>10</v>
      </c>
      <c r="I1086" s="21" t="s">
        <v>23</v>
      </c>
      <c r="J1086" s="21" t="s">
        <v>5122</v>
      </c>
      <c r="K1086" s="5814" t="s">
        <v>5123</v>
      </c>
    </row>
    <row r="1087" spans="1:11">
      <c r="A1087" s="21" t="s">
        <v>2571</v>
      </c>
      <c r="B1087" s="21" t="s">
        <v>5124</v>
      </c>
      <c r="C1087" s="21" t="s">
        <v>8</v>
      </c>
      <c r="D1087" s="21" t="s">
        <v>416</v>
      </c>
      <c r="E1087" s="21" t="s">
        <v>9</v>
      </c>
      <c r="F1087" s="5812">
        <v>3</v>
      </c>
      <c r="G1087" s="5813">
        <v>0.20833333333333334</v>
      </c>
      <c r="H1087" s="21" t="s">
        <v>10</v>
      </c>
      <c r="I1087" s="21" t="s">
        <v>55</v>
      </c>
      <c r="J1087" s="21" t="s">
        <v>5125</v>
      </c>
      <c r="K1087" s="5814" t="s">
        <v>5126</v>
      </c>
    </row>
    <row r="1088" spans="1:11">
      <c r="A1088" s="21" t="s">
        <v>2579</v>
      </c>
      <c r="B1088" s="21" t="s">
        <v>5127</v>
      </c>
      <c r="C1088" s="21" t="s">
        <v>8</v>
      </c>
      <c r="D1088" s="21" t="s">
        <v>416</v>
      </c>
      <c r="E1088" s="21" t="s">
        <v>9</v>
      </c>
      <c r="F1088" s="5812">
        <v>3</v>
      </c>
      <c r="G1088" s="5813">
        <v>0.20833333333333334</v>
      </c>
      <c r="H1088" s="21" t="s">
        <v>10</v>
      </c>
      <c r="I1088" s="21" t="s">
        <v>2269</v>
      </c>
      <c r="J1088" s="21" t="s">
        <v>5128</v>
      </c>
      <c r="K1088" s="5814" t="s">
        <v>5129</v>
      </c>
    </row>
    <row r="1089" spans="1:11">
      <c r="A1089" s="21" t="s">
        <v>4724</v>
      </c>
      <c r="B1089" s="21" t="s">
        <v>5130</v>
      </c>
      <c r="C1089" s="21" t="s">
        <v>22</v>
      </c>
      <c r="D1089" s="21" t="s">
        <v>416</v>
      </c>
      <c r="E1089" s="21" t="s">
        <v>9</v>
      </c>
      <c r="F1089" s="5812">
        <v>3</v>
      </c>
      <c r="G1089" s="5813">
        <v>0.20833333333333334</v>
      </c>
      <c r="H1089" s="21" t="s">
        <v>10</v>
      </c>
      <c r="I1089" s="21" t="s">
        <v>226</v>
      </c>
      <c r="J1089" s="21" t="s">
        <v>5131</v>
      </c>
      <c r="K1089" s="5814" t="s">
        <v>5132</v>
      </c>
    </row>
    <row r="1090" spans="1:11">
      <c r="A1090" s="21" t="s">
        <v>2638</v>
      </c>
      <c r="B1090" s="21" t="s">
        <v>5133</v>
      </c>
      <c r="C1090" s="21" t="s">
        <v>8</v>
      </c>
      <c r="D1090" s="21" t="s">
        <v>416</v>
      </c>
      <c r="E1090" s="21" t="s">
        <v>9</v>
      </c>
      <c r="F1090" s="5812">
        <v>3</v>
      </c>
      <c r="G1090" s="5813">
        <v>0.20833333333333334</v>
      </c>
      <c r="H1090" s="21" t="s">
        <v>10</v>
      </c>
      <c r="I1090" s="21" t="s">
        <v>11</v>
      </c>
      <c r="J1090" s="21" t="s">
        <v>5134</v>
      </c>
      <c r="K1090" s="5814" t="s">
        <v>5135</v>
      </c>
    </row>
    <row r="1091" spans="1:11">
      <c r="A1091" s="21" t="s">
        <v>2638</v>
      </c>
      <c r="B1091" s="21" t="s">
        <v>5136</v>
      </c>
      <c r="C1091" s="21" t="s">
        <v>22</v>
      </c>
      <c r="D1091" s="21" t="s">
        <v>416</v>
      </c>
      <c r="E1091" s="21" t="s">
        <v>9</v>
      </c>
      <c r="F1091" s="5812">
        <v>3</v>
      </c>
      <c r="G1091" s="5813">
        <v>0.20833333333333334</v>
      </c>
      <c r="H1091" s="21" t="s">
        <v>10</v>
      </c>
      <c r="I1091" s="21" t="s">
        <v>2959</v>
      </c>
      <c r="J1091" s="21" t="s">
        <v>5137</v>
      </c>
      <c r="K1091" s="5814" t="s">
        <v>5138</v>
      </c>
    </row>
    <row r="1092" spans="1:11">
      <c r="A1092" s="21" t="s">
        <v>3328</v>
      </c>
      <c r="B1092" s="21" t="s">
        <v>5139</v>
      </c>
      <c r="C1092" s="21" t="s">
        <v>8</v>
      </c>
      <c r="D1092" s="21" t="s">
        <v>416</v>
      </c>
      <c r="E1092" s="21" t="s">
        <v>9</v>
      </c>
      <c r="F1092" s="5812">
        <v>3</v>
      </c>
      <c r="G1092" s="5813">
        <v>0.20833333333333334</v>
      </c>
      <c r="H1092" s="21" t="s">
        <v>10</v>
      </c>
      <c r="I1092" s="21" t="s">
        <v>2692</v>
      </c>
      <c r="J1092" s="21" t="s">
        <v>5140</v>
      </c>
      <c r="K1092" s="5814" t="s">
        <v>5141</v>
      </c>
    </row>
    <row r="1093" spans="1:11">
      <c r="A1093" s="21" t="s">
        <v>4527</v>
      </c>
      <c r="B1093" s="21" t="s">
        <v>5142</v>
      </c>
      <c r="C1093" s="21" t="s">
        <v>8</v>
      </c>
      <c r="D1093" s="21" t="s">
        <v>416</v>
      </c>
      <c r="E1093" s="21" t="s">
        <v>9</v>
      </c>
      <c r="F1093" s="5812">
        <v>3</v>
      </c>
      <c r="G1093" s="5813">
        <v>0.20833333333333334</v>
      </c>
      <c r="H1093" s="21" t="s">
        <v>10</v>
      </c>
      <c r="I1093" s="21" t="s">
        <v>55</v>
      </c>
      <c r="J1093" s="21" t="s">
        <v>5143</v>
      </c>
      <c r="K1093" s="5814" t="s">
        <v>5144</v>
      </c>
    </row>
    <row r="1094" spans="1:11">
      <c r="A1094" s="21" t="s">
        <v>4527</v>
      </c>
      <c r="B1094" s="21" t="s">
        <v>5145</v>
      </c>
      <c r="C1094" s="21" t="s">
        <v>22</v>
      </c>
      <c r="D1094" s="21" t="s">
        <v>416</v>
      </c>
      <c r="E1094" s="21" t="s">
        <v>9</v>
      </c>
      <c r="F1094" s="5812">
        <v>3</v>
      </c>
      <c r="G1094" s="5813">
        <v>0.20833333333333334</v>
      </c>
      <c r="H1094" s="21" t="s">
        <v>10</v>
      </c>
      <c r="I1094" s="21" t="s">
        <v>2660</v>
      </c>
      <c r="J1094" s="21" t="s">
        <v>5146</v>
      </c>
      <c r="K1094" s="5814" t="s">
        <v>5147</v>
      </c>
    </row>
    <row r="1095" spans="1:11">
      <c r="A1095" s="21" t="s">
        <v>5148</v>
      </c>
      <c r="B1095" s="21" t="s">
        <v>5149</v>
      </c>
      <c r="C1095" s="21" t="s">
        <v>22</v>
      </c>
      <c r="D1095" s="21" t="s">
        <v>416</v>
      </c>
      <c r="E1095" s="21" t="s">
        <v>9</v>
      </c>
      <c r="F1095" s="5812">
        <v>3</v>
      </c>
      <c r="G1095" s="5813">
        <v>0.20833333333333334</v>
      </c>
      <c r="H1095" s="21" t="s">
        <v>10</v>
      </c>
      <c r="I1095" s="21" t="s">
        <v>55</v>
      </c>
      <c r="J1095" s="21" t="s">
        <v>5150</v>
      </c>
      <c r="K1095" s="5814" t="s">
        <v>5151</v>
      </c>
    </row>
    <row r="1096" spans="1:11">
      <c r="A1096" s="21" t="s">
        <v>2711</v>
      </c>
      <c r="B1096" s="21" t="s">
        <v>5152</v>
      </c>
      <c r="C1096" s="21" t="s">
        <v>22</v>
      </c>
      <c r="D1096" s="21" t="s">
        <v>416</v>
      </c>
      <c r="E1096" s="21" t="s">
        <v>9</v>
      </c>
      <c r="F1096" s="5812">
        <v>3</v>
      </c>
      <c r="G1096" s="5813">
        <v>0.20833333333333334</v>
      </c>
      <c r="H1096" s="21" t="s">
        <v>10</v>
      </c>
      <c r="I1096" s="21" t="s">
        <v>47</v>
      </c>
      <c r="J1096" s="21" t="s">
        <v>5153</v>
      </c>
      <c r="K1096" s="5814" t="s">
        <v>5154</v>
      </c>
    </row>
    <row r="1097" spans="1:11">
      <c r="A1097" s="21" t="s">
        <v>2724</v>
      </c>
      <c r="B1097" s="21" t="s">
        <v>5155</v>
      </c>
      <c r="C1097" s="21" t="s">
        <v>22</v>
      </c>
      <c r="D1097" s="21" t="s">
        <v>416</v>
      </c>
      <c r="E1097" s="21" t="s">
        <v>9</v>
      </c>
      <c r="F1097" s="5812">
        <v>3</v>
      </c>
      <c r="G1097" s="5813">
        <v>0.20833333333333334</v>
      </c>
      <c r="H1097" s="21" t="s">
        <v>10</v>
      </c>
      <c r="I1097" s="21" t="s">
        <v>3138</v>
      </c>
      <c r="J1097" s="21" t="s">
        <v>5156</v>
      </c>
      <c r="K1097" s="5814" t="s">
        <v>5157</v>
      </c>
    </row>
    <row r="1098" spans="1:11">
      <c r="A1098" s="21" t="s">
        <v>2737</v>
      </c>
      <c r="B1098" s="21" t="s">
        <v>5158</v>
      </c>
      <c r="C1098" s="21" t="s">
        <v>22</v>
      </c>
      <c r="D1098" s="21" t="s">
        <v>416</v>
      </c>
      <c r="E1098" s="21" t="s">
        <v>9</v>
      </c>
      <c r="F1098" s="5812">
        <v>3</v>
      </c>
      <c r="G1098" s="5813">
        <v>0.20833333333333334</v>
      </c>
      <c r="H1098" s="21" t="s">
        <v>10</v>
      </c>
      <c r="I1098" s="21" t="s">
        <v>5159</v>
      </c>
      <c r="J1098" s="21" t="s">
        <v>5160</v>
      </c>
      <c r="K1098" s="5814" t="s">
        <v>5161</v>
      </c>
    </row>
    <row r="1099" spans="1:11">
      <c r="A1099" s="21" t="s">
        <v>3125</v>
      </c>
      <c r="B1099" s="21" t="s">
        <v>5162</v>
      </c>
      <c r="C1099" s="21" t="s">
        <v>8</v>
      </c>
      <c r="D1099" s="21" t="s">
        <v>416</v>
      </c>
      <c r="E1099" s="21" t="s">
        <v>9</v>
      </c>
      <c r="F1099" s="5812">
        <v>3</v>
      </c>
      <c r="G1099" s="5813">
        <v>0.20833333333333334</v>
      </c>
      <c r="H1099" s="21" t="s">
        <v>10</v>
      </c>
      <c r="I1099" s="21" t="s">
        <v>226</v>
      </c>
      <c r="J1099" s="21" t="s">
        <v>5163</v>
      </c>
      <c r="K1099" s="5814" t="s">
        <v>5164</v>
      </c>
    </row>
    <row r="1100" spans="1:11">
      <c r="A1100" s="21" t="s">
        <v>3369</v>
      </c>
      <c r="B1100" s="21" t="s">
        <v>5165</v>
      </c>
      <c r="C1100" s="21" t="s">
        <v>22</v>
      </c>
      <c r="D1100" s="21" t="s">
        <v>416</v>
      </c>
      <c r="E1100" s="21" t="s">
        <v>9</v>
      </c>
      <c r="F1100" s="5812">
        <v>3</v>
      </c>
      <c r="G1100" s="5813">
        <v>0.20833333333333334</v>
      </c>
      <c r="H1100" s="21" t="s">
        <v>10</v>
      </c>
      <c r="I1100" s="21" t="s">
        <v>2297</v>
      </c>
      <c r="J1100" s="21" t="s">
        <v>5166</v>
      </c>
      <c r="K1100" s="5814" t="s">
        <v>5167</v>
      </c>
    </row>
    <row r="1101" spans="1:11">
      <c r="A1101" s="21" t="s">
        <v>5168</v>
      </c>
      <c r="B1101" s="21" t="s">
        <v>5169</v>
      </c>
      <c r="C1101" s="21" t="s">
        <v>8</v>
      </c>
      <c r="D1101" s="21" t="s">
        <v>416</v>
      </c>
      <c r="E1101" s="21" t="s">
        <v>9</v>
      </c>
      <c r="F1101" s="5812">
        <v>3</v>
      </c>
      <c r="G1101" s="5813">
        <v>0.20833333333333334</v>
      </c>
      <c r="H1101" s="21" t="s">
        <v>10</v>
      </c>
      <c r="I1101" s="21" t="s">
        <v>11</v>
      </c>
      <c r="J1101" s="21" t="s">
        <v>5170</v>
      </c>
      <c r="K1101" s="5814" t="s">
        <v>5171</v>
      </c>
    </row>
    <row r="1102" spans="1:11">
      <c r="A1102" s="21" t="s">
        <v>3532</v>
      </c>
      <c r="B1102" s="21" t="s">
        <v>5172</v>
      </c>
      <c r="C1102" s="21" t="s">
        <v>22</v>
      </c>
      <c r="D1102" s="21" t="s">
        <v>416</v>
      </c>
      <c r="E1102" s="21" t="s">
        <v>9</v>
      </c>
      <c r="F1102" s="5812">
        <v>3</v>
      </c>
      <c r="G1102" s="5813">
        <v>0.20833333333333334</v>
      </c>
      <c r="H1102" s="21" t="s">
        <v>10</v>
      </c>
      <c r="I1102" s="21" t="s">
        <v>2269</v>
      </c>
      <c r="J1102" s="21" t="s">
        <v>5173</v>
      </c>
      <c r="K1102" s="5814" t="s">
        <v>5174</v>
      </c>
    </row>
    <row r="1103" spans="1:11">
      <c r="A1103" s="21" t="s">
        <v>2221</v>
      </c>
      <c r="B1103" s="21" t="s">
        <v>5175</v>
      </c>
      <c r="C1103" s="21" t="s">
        <v>8</v>
      </c>
      <c r="D1103" s="21" t="s">
        <v>416</v>
      </c>
      <c r="E1103" s="21" t="s">
        <v>9</v>
      </c>
      <c r="F1103" s="5812">
        <v>3</v>
      </c>
      <c r="G1103" s="5813">
        <v>0.20833333333333334</v>
      </c>
      <c r="H1103" s="21" t="s">
        <v>10</v>
      </c>
      <c r="I1103" s="21" t="s">
        <v>23</v>
      </c>
      <c r="J1103" s="21" t="s">
        <v>5176</v>
      </c>
      <c r="K1103" s="5814" t="s">
        <v>5177</v>
      </c>
    </row>
    <row r="1104" spans="1:11">
      <c r="A1104" s="21" t="s">
        <v>3053</v>
      </c>
      <c r="B1104" s="21" t="s">
        <v>5178</v>
      </c>
      <c r="C1104" s="21" t="s">
        <v>8</v>
      </c>
      <c r="D1104" s="21" t="s">
        <v>416</v>
      </c>
      <c r="E1104" s="21" t="s">
        <v>9</v>
      </c>
      <c r="F1104" s="5812">
        <v>3</v>
      </c>
      <c r="G1104" s="5813">
        <v>0.20833333333333334</v>
      </c>
      <c r="H1104" s="21" t="s">
        <v>10</v>
      </c>
      <c r="I1104" s="21" t="s">
        <v>2860</v>
      </c>
      <c r="J1104" s="21" t="s">
        <v>5179</v>
      </c>
      <c r="K1104" s="5814" t="s">
        <v>5180</v>
      </c>
    </row>
    <row r="1105" spans="1:11">
      <c r="A1105" s="21" t="s">
        <v>4317</v>
      </c>
      <c r="B1105" s="21" t="s">
        <v>5181</v>
      </c>
      <c r="C1105" s="21" t="s">
        <v>8</v>
      </c>
      <c r="D1105" s="21" t="s">
        <v>416</v>
      </c>
      <c r="E1105" s="21" t="s">
        <v>9</v>
      </c>
      <c r="F1105" s="5812">
        <v>3</v>
      </c>
      <c r="G1105" s="5813">
        <v>0.20833333333333334</v>
      </c>
      <c r="H1105" s="21" t="s">
        <v>10</v>
      </c>
      <c r="I1105" s="21" t="s">
        <v>47</v>
      </c>
      <c r="J1105" s="21" t="s">
        <v>5182</v>
      </c>
      <c r="K1105" s="5814" t="s">
        <v>5183</v>
      </c>
    </row>
    <row r="1106" spans="1:11">
      <c r="A1106" s="21" t="s">
        <v>2784</v>
      </c>
      <c r="B1106" s="21" t="s">
        <v>5184</v>
      </c>
      <c r="C1106" s="21" t="s">
        <v>22</v>
      </c>
      <c r="D1106" s="21" t="s">
        <v>416</v>
      </c>
      <c r="E1106" s="21" t="s">
        <v>9</v>
      </c>
      <c r="F1106" s="5812">
        <v>3</v>
      </c>
      <c r="G1106" s="5813">
        <v>0.20833333333333334</v>
      </c>
      <c r="H1106" s="21" t="s">
        <v>10</v>
      </c>
      <c r="I1106" s="21" t="s">
        <v>3777</v>
      </c>
      <c r="J1106" s="21" t="s">
        <v>5185</v>
      </c>
      <c r="K1106" s="5814" t="s">
        <v>5186</v>
      </c>
    </row>
    <row r="1107" spans="1:11">
      <c r="A1107" s="21" t="s">
        <v>4568</v>
      </c>
      <c r="B1107" s="21" t="s">
        <v>5187</v>
      </c>
      <c r="C1107" s="21" t="s">
        <v>22</v>
      </c>
      <c r="D1107" s="21" t="s">
        <v>416</v>
      </c>
      <c r="E1107" s="21" t="s">
        <v>9</v>
      </c>
      <c r="F1107" s="5812">
        <v>3</v>
      </c>
      <c r="G1107" s="5813">
        <v>0.20833333333333334</v>
      </c>
      <c r="H1107" s="21" t="s">
        <v>10</v>
      </c>
      <c r="I1107" s="21" t="s">
        <v>2297</v>
      </c>
      <c r="J1107" s="21" t="s">
        <v>5188</v>
      </c>
      <c r="K1107" s="5814" t="s">
        <v>5189</v>
      </c>
    </row>
    <row r="1108" spans="1:11">
      <c r="A1108" s="21" t="s">
        <v>2788</v>
      </c>
      <c r="B1108" s="21" t="s">
        <v>5190</v>
      </c>
      <c r="C1108" s="21" t="s">
        <v>22</v>
      </c>
      <c r="D1108" s="21" t="s">
        <v>416</v>
      </c>
      <c r="E1108" s="21" t="s">
        <v>9</v>
      </c>
      <c r="F1108" s="5812">
        <v>3</v>
      </c>
      <c r="G1108" s="5813">
        <v>0.20833333333333334</v>
      </c>
      <c r="H1108" s="21" t="s">
        <v>10</v>
      </c>
      <c r="I1108" s="21" t="s">
        <v>2247</v>
      </c>
      <c r="J1108" s="21" t="s">
        <v>5191</v>
      </c>
      <c r="K1108" s="5814" t="s">
        <v>5192</v>
      </c>
    </row>
    <row r="1109" spans="1:11">
      <c r="A1109" s="21" t="s">
        <v>3783</v>
      </c>
      <c r="B1109" s="21" t="s">
        <v>5193</v>
      </c>
      <c r="C1109" s="21" t="s">
        <v>8</v>
      </c>
      <c r="D1109" s="21" t="s">
        <v>416</v>
      </c>
      <c r="E1109" s="21" t="s">
        <v>9</v>
      </c>
      <c r="F1109" s="5812">
        <v>3</v>
      </c>
      <c r="G1109" s="5813">
        <v>0.20833333333333334</v>
      </c>
      <c r="H1109" s="21" t="s">
        <v>10</v>
      </c>
      <c r="I1109" s="21" t="s">
        <v>226</v>
      </c>
      <c r="J1109" s="21" t="s">
        <v>5194</v>
      </c>
      <c r="K1109" s="5814" t="s">
        <v>5195</v>
      </c>
    </row>
    <row r="1110" spans="1:11">
      <c r="A1110" s="21" t="s">
        <v>2241</v>
      </c>
      <c r="B1110" s="21" t="s">
        <v>5196</v>
      </c>
      <c r="C1110" s="21" t="s">
        <v>22</v>
      </c>
      <c r="D1110" s="21" t="s">
        <v>416</v>
      </c>
      <c r="E1110" s="21" t="s">
        <v>9</v>
      </c>
      <c r="F1110" s="5812">
        <v>3</v>
      </c>
      <c r="G1110" s="5813">
        <v>0.20833333333333334</v>
      </c>
      <c r="H1110" s="21" t="s">
        <v>10</v>
      </c>
      <c r="I1110" s="21" t="s">
        <v>55</v>
      </c>
      <c r="J1110" s="21" t="s">
        <v>5197</v>
      </c>
      <c r="K1110" s="5814" t="s">
        <v>5198</v>
      </c>
    </row>
    <row r="1111" spans="1:11">
      <c r="A1111" s="21" t="s">
        <v>2800</v>
      </c>
      <c r="B1111" s="21" t="s">
        <v>5199</v>
      </c>
      <c r="C1111" s="21" t="s">
        <v>22</v>
      </c>
      <c r="D1111" s="21" t="s">
        <v>416</v>
      </c>
      <c r="E1111" s="21" t="s">
        <v>9</v>
      </c>
      <c r="F1111" s="5812">
        <v>3</v>
      </c>
      <c r="G1111" s="5813">
        <v>0.20833333333333334</v>
      </c>
      <c r="H1111" s="21" t="s">
        <v>10</v>
      </c>
      <c r="I1111" s="21" t="s">
        <v>226</v>
      </c>
      <c r="J1111" s="21" t="s">
        <v>5200</v>
      </c>
      <c r="K1111" s="5814" t="s">
        <v>5201</v>
      </c>
    </row>
    <row r="1112" spans="1:11">
      <c r="A1112" s="21" t="s">
        <v>2804</v>
      </c>
      <c r="B1112" s="21" t="s">
        <v>5202</v>
      </c>
      <c r="C1112" s="21" t="s">
        <v>8</v>
      </c>
      <c r="D1112" s="21" t="s">
        <v>416</v>
      </c>
      <c r="E1112" s="21" t="s">
        <v>9</v>
      </c>
      <c r="F1112" s="5812">
        <v>3</v>
      </c>
      <c r="G1112" s="5813">
        <v>0.20833333333333334</v>
      </c>
      <c r="H1112" s="21" t="s">
        <v>10</v>
      </c>
      <c r="I1112" s="21" t="s">
        <v>89</v>
      </c>
      <c r="J1112" s="21" t="s">
        <v>5203</v>
      </c>
      <c r="K1112" s="5814" t="s">
        <v>5204</v>
      </c>
    </row>
    <row r="1113" spans="1:11">
      <c r="A1113" s="21" t="s">
        <v>4345</v>
      </c>
      <c r="B1113" s="21" t="s">
        <v>5205</v>
      </c>
      <c r="C1113" s="21" t="s">
        <v>8</v>
      </c>
      <c r="D1113" s="21" t="s">
        <v>416</v>
      </c>
      <c r="E1113" s="21" t="s">
        <v>9</v>
      </c>
      <c r="F1113" s="5812">
        <v>3</v>
      </c>
      <c r="G1113" s="5813">
        <v>0.20833333333333334</v>
      </c>
      <c r="H1113" s="21" t="s">
        <v>10</v>
      </c>
      <c r="I1113" s="21" t="s">
        <v>55</v>
      </c>
      <c r="J1113" s="21" t="s">
        <v>5206</v>
      </c>
      <c r="K1113" s="5814" t="s">
        <v>5207</v>
      </c>
    </row>
    <row r="1114" spans="1:11">
      <c r="A1114" s="21" t="s">
        <v>4345</v>
      </c>
      <c r="B1114" s="21" t="s">
        <v>5208</v>
      </c>
      <c r="C1114" s="21" t="s">
        <v>22</v>
      </c>
      <c r="D1114" s="21" t="s">
        <v>416</v>
      </c>
      <c r="E1114" s="21" t="s">
        <v>9</v>
      </c>
      <c r="F1114" s="5812">
        <v>3</v>
      </c>
      <c r="G1114" s="5813">
        <v>0.20833333333333334</v>
      </c>
      <c r="H1114" s="21" t="s">
        <v>10</v>
      </c>
      <c r="I1114" s="21" t="s">
        <v>2660</v>
      </c>
      <c r="J1114" s="21" t="s">
        <v>5209</v>
      </c>
      <c r="K1114" s="5814" t="s">
        <v>5210</v>
      </c>
    </row>
    <row r="1115" spans="1:11">
      <c r="A1115" s="21" t="s">
        <v>2812</v>
      </c>
      <c r="B1115" s="21" t="s">
        <v>5211</v>
      </c>
      <c r="C1115" s="21" t="s">
        <v>8</v>
      </c>
      <c r="D1115" s="21" t="s">
        <v>416</v>
      </c>
      <c r="E1115" s="21" t="s">
        <v>9</v>
      </c>
      <c r="F1115" s="5812">
        <v>3</v>
      </c>
      <c r="G1115" s="5813">
        <v>0.20833333333333334</v>
      </c>
      <c r="H1115" s="21" t="s">
        <v>10</v>
      </c>
      <c r="I1115" s="21" t="s">
        <v>2731</v>
      </c>
      <c r="J1115" s="21" t="s">
        <v>5212</v>
      </c>
      <c r="K1115" s="5814" t="s">
        <v>5213</v>
      </c>
    </row>
    <row r="1116" spans="1:11">
      <c r="A1116" s="21" t="s">
        <v>2817</v>
      </c>
      <c r="B1116" s="21" t="s">
        <v>5214</v>
      </c>
      <c r="C1116" s="21" t="s">
        <v>8</v>
      </c>
      <c r="D1116" s="21" t="s">
        <v>416</v>
      </c>
      <c r="E1116" s="21" t="s">
        <v>9</v>
      </c>
      <c r="F1116" s="5812">
        <v>3</v>
      </c>
      <c r="G1116" s="5813">
        <v>0.20833333333333334</v>
      </c>
      <c r="H1116" s="21" t="s">
        <v>10</v>
      </c>
      <c r="I1116" s="21" t="s">
        <v>2747</v>
      </c>
      <c r="J1116" s="21" t="s">
        <v>5215</v>
      </c>
      <c r="K1116" s="5814" t="s">
        <v>5216</v>
      </c>
    </row>
    <row r="1117" spans="1:11">
      <c r="A1117" s="21" t="s">
        <v>3458</v>
      </c>
      <c r="B1117" s="21" t="s">
        <v>5217</v>
      </c>
      <c r="C1117" s="21" t="s">
        <v>8</v>
      </c>
      <c r="D1117" s="21" t="s">
        <v>416</v>
      </c>
      <c r="E1117" s="21" t="s">
        <v>9</v>
      </c>
      <c r="F1117" s="5812">
        <v>3</v>
      </c>
      <c r="G1117" s="5813">
        <v>0.20833333333333334</v>
      </c>
      <c r="H1117" s="21" t="s">
        <v>10</v>
      </c>
      <c r="I1117" s="21" t="s">
        <v>400</v>
      </c>
      <c r="J1117" s="21" t="s">
        <v>5218</v>
      </c>
      <c r="K1117" s="5814" t="s">
        <v>5219</v>
      </c>
    </row>
    <row r="1118" spans="1:11">
      <c r="A1118" s="21" t="s">
        <v>5220</v>
      </c>
      <c r="B1118" s="21" t="s">
        <v>5221</v>
      </c>
      <c r="C1118" s="21" t="s">
        <v>8</v>
      </c>
      <c r="D1118" s="21" t="s">
        <v>416</v>
      </c>
      <c r="E1118" s="21" t="s">
        <v>9</v>
      </c>
      <c r="F1118" s="5812">
        <v>3</v>
      </c>
      <c r="G1118" s="5813">
        <v>0.20833333333333334</v>
      </c>
      <c r="H1118" s="21" t="s">
        <v>10</v>
      </c>
      <c r="I1118" s="21" t="s">
        <v>47</v>
      </c>
      <c r="J1118" s="21" t="s">
        <v>5222</v>
      </c>
      <c r="K1118" s="5814" t="s">
        <v>5223</v>
      </c>
    </row>
    <row r="1119" spans="1:11">
      <c r="A1119" s="21" t="s">
        <v>4645</v>
      </c>
      <c r="B1119" s="21" t="s">
        <v>5224</v>
      </c>
      <c r="C1119" s="21" t="s">
        <v>8</v>
      </c>
      <c r="D1119" s="21" t="s">
        <v>416</v>
      </c>
      <c r="E1119" s="21" t="s">
        <v>9</v>
      </c>
      <c r="F1119" s="5812">
        <v>3</v>
      </c>
      <c r="G1119" s="5813">
        <v>0.20833333333333334</v>
      </c>
      <c r="H1119" s="21" t="s">
        <v>10</v>
      </c>
      <c r="I1119" s="21" t="s">
        <v>39</v>
      </c>
      <c r="J1119" s="21" t="s">
        <v>5225</v>
      </c>
      <c r="K1119" s="5814" t="s">
        <v>5226</v>
      </c>
    </row>
    <row r="1120" spans="1:11">
      <c r="A1120" s="21" t="s">
        <v>4409</v>
      </c>
      <c r="B1120" s="21" t="s">
        <v>5227</v>
      </c>
      <c r="C1120" s="21" t="s">
        <v>8</v>
      </c>
      <c r="D1120" s="21" t="s">
        <v>416</v>
      </c>
      <c r="E1120" s="21" t="s">
        <v>9</v>
      </c>
      <c r="F1120" s="5812">
        <v>3</v>
      </c>
      <c r="G1120" s="5813">
        <v>0.20833333333333334</v>
      </c>
      <c r="H1120" s="21" t="s">
        <v>10</v>
      </c>
      <c r="I1120" s="21" t="s">
        <v>2297</v>
      </c>
      <c r="J1120" s="21" t="s">
        <v>2743</v>
      </c>
      <c r="K1120" s="5814" t="s">
        <v>5228</v>
      </c>
    </row>
    <row r="1121" spans="1:11">
      <c r="A1121" s="21" t="s">
        <v>4409</v>
      </c>
      <c r="B1121" s="21" t="s">
        <v>5229</v>
      </c>
      <c r="C1121" s="21" t="s">
        <v>22</v>
      </c>
      <c r="D1121" s="21" t="s">
        <v>416</v>
      </c>
      <c r="E1121" s="21" t="s">
        <v>9</v>
      </c>
      <c r="F1121" s="5812">
        <v>3</v>
      </c>
      <c r="G1121" s="5813">
        <v>0.20833333333333334</v>
      </c>
      <c r="H1121" s="21" t="s">
        <v>10</v>
      </c>
      <c r="I1121" s="21" t="s">
        <v>55</v>
      </c>
      <c r="J1121" s="21" t="s">
        <v>5230</v>
      </c>
      <c r="K1121" s="5814" t="s">
        <v>5231</v>
      </c>
    </row>
    <row r="1122" spans="1:11">
      <c r="A1122" s="21" t="s">
        <v>2846</v>
      </c>
      <c r="B1122" s="21" t="s">
        <v>5232</v>
      </c>
      <c r="C1122" s="21" t="s">
        <v>22</v>
      </c>
      <c r="D1122" s="21" t="s">
        <v>416</v>
      </c>
      <c r="E1122" s="21" t="s">
        <v>9</v>
      </c>
      <c r="F1122" s="5812">
        <v>3</v>
      </c>
      <c r="G1122" s="5813">
        <v>0.20833333333333334</v>
      </c>
      <c r="H1122" s="21" t="s">
        <v>10</v>
      </c>
      <c r="I1122" s="21" t="s">
        <v>117</v>
      </c>
      <c r="J1122" s="21" t="s">
        <v>5233</v>
      </c>
      <c r="K1122" s="5814" t="s">
        <v>5234</v>
      </c>
    </row>
    <row r="1123" spans="1:11">
      <c r="A1123" s="21" t="s">
        <v>5235</v>
      </c>
      <c r="B1123" s="21" t="s">
        <v>5236</v>
      </c>
      <c r="C1123" s="21" t="s">
        <v>22</v>
      </c>
      <c r="D1123" s="21" t="s">
        <v>416</v>
      </c>
      <c r="E1123" s="21" t="s">
        <v>9</v>
      </c>
      <c r="F1123" s="5812">
        <v>3</v>
      </c>
      <c r="G1123" s="5813">
        <v>0.20833333333333334</v>
      </c>
      <c r="H1123" s="21" t="s">
        <v>10</v>
      </c>
      <c r="I1123" s="21" t="s">
        <v>3534</v>
      </c>
      <c r="J1123" s="21" t="s">
        <v>5237</v>
      </c>
      <c r="K1123" s="5814" t="s">
        <v>5238</v>
      </c>
    </row>
    <row r="1124" spans="1:11">
      <c r="A1124" s="21" t="s">
        <v>4434</v>
      </c>
      <c r="B1124" s="21" t="s">
        <v>5239</v>
      </c>
      <c r="C1124" s="21" t="s">
        <v>8</v>
      </c>
      <c r="D1124" s="21" t="s">
        <v>416</v>
      </c>
      <c r="E1124" s="21" t="s">
        <v>9</v>
      </c>
      <c r="F1124" s="5812">
        <v>3</v>
      </c>
      <c r="G1124" s="5813">
        <v>0.20833333333333334</v>
      </c>
      <c r="H1124" s="21" t="s">
        <v>10</v>
      </c>
      <c r="I1124" s="21" t="s">
        <v>73</v>
      </c>
      <c r="J1124" s="21" t="s">
        <v>5240</v>
      </c>
      <c r="K1124" s="5814" t="s">
        <v>5241</v>
      </c>
    </row>
    <row r="1125" spans="1:11">
      <c r="A1125" s="21" t="s">
        <v>4434</v>
      </c>
      <c r="B1125" s="21" t="s">
        <v>5242</v>
      </c>
      <c r="C1125" s="21" t="s">
        <v>22</v>
      </c>
      <c r="D1125" s="21" t="s">
        <v>416</v>
      </c>
      <c r="E1125" s="21" t="s">
        <v>9</v>
      </c>
      <c r="F1125" s="5812">
        <v>3</v>
      </c>
      <c r="G1125" s="5813">
        <v>0.20833333333333334</v>
      </c>
      <c r="H1125" s="21" t="s">
        <v>10</v>
      </c>
      <c r="I1125" s="21" t="s">
        <v>5243</v>
      </c>
      <c r="J1125" s="21" t="s">
        <v>5244</v>
      </c>
      <c r="K1125" s="5814" t="s">
        <v>5245</v>
      </c>
    </row>
    <row r="1126" spans="1:11">
      <c r="A1126" s="21" t="s">
        <v>2858</v>
      </c>
      <c r="B1126" s="21" t="s">
        <v>5246</v>
      </c>
      <c r="C1126" s="21" t="s">
        <v>8</v>
      </c>
      <c r="D1126" s="21" t="s">
        <v>416</v>
      </c>
      <c r="E1126" s="21" t="s">
        <v>9</v>
      </c>
      <c r="F1126" s="5812">
        <v>3</v>
      </c>
      <c r="G1126" s="5813">
        <v>0.20833333333333334</v>
      </c>
      <c r="H1126" s="21" t="s">
        <v>10</v>
      </c>
      <c r="I1126" s="21" t="s">
        <v>2269</v>
      </c>
      <c r="J1126" s="21" t="s">
        <v>5247</v>
      </c>
      <c r="K1126" s="5814" t="s">
        <v>5248</v>
      </c>
    </row>
    <row r="1127" spans="1:11">
      <c r="A1127" s="21" t="s">
        <v>2276</v>
      </c>
      <c r="B1127" s="21" t="s">
        <v>5249</v>
      </c>
      <c r="C1127" s="21" t="s">
        <v>8</v>
      </c>
      <c r="D1127" s="21" t="s">
        <v>416</v>
      </c>
      <c r="E1127" s="21" t="s">
        <v>9</v>
      </c>
      <c r="F1127" s="5812">
        <v>3</v>
      </c>
      <c r="G1127" s="5813">
        <v>0.20833333333333334</v>
      </c>
      <c r="H1127" s="21" t="s">
        <v>10</v>
      </c>
      <c r="I1127" s="21" t="s">
        <v>2247</v>
      </c>
      <c r="J1127" s="21" t="s">
        <v>5250</v>
      </c>
      <c r="K1127" s="5814" t="s">
        <v>5251</v>
      </c>
    </row>
    <row r="1128" spans="1:11">
      <c r="A1128" s="21" t="s">
        <v>2961</v>
      </c>
      <c r="B1128" s="21" t="s">
        <v>5252</v>
      </c>
      <c r="C1128" s="21" t="s">
        <v>8</v>
      </c>
      <c r="D1128" s="21" t="s">
        <v>416</v>
      </c>
      <c r="E1128" s="21" t="s">
        <v>9</v>
      </c>
      <c r="F1128" s="5812">
        <v>3</v>
      </c>
      <c r="G1128" s="5813">
        <v>0.20833333333333334</v>
      </c>
      <c r="H1128" s="21" t="s">
        <v>10</v>
      </c>
      <c r="I1128" s="21" t="s">
        <v>2260</v>
      </c>
      <c r="J1128" s="21" t="s">
        <v>5253</v>
      </c>
      <c r="K1128" s="5814" t="s">
        <v>5254</v>
      </c>
    </row>
    <row r="1129" spans="1:11">
      <c r="A1129" s="21" t="s">
        <v>2882</v>
      </c>
      <c r="B1129" s="21" t="s">
        <v>5255</v>
      </c>
      <c r="C1129" s="21" t="s">
        <v>22</v>
      </c>
      <c r="D1129" s="21" t="s">
        <v>416</v>
      </c>
      <c r="E1129" s="21" t="s">
        <v>9</v>
      </c>
      <c r="F1129" s="5812">
        <v>3</v>
      </c>
      <c r="G1129" s="5813">
        <v>0.20833333333333334</v>
      </c>
      <c r="H1129" s="21" t="s">
        <v>10</v>
      </c>
      <c r="I1129" s="21" t="s">
        <v>47</v>
      </c>
      <c r="J1129" s="21" t="s">
        <v>5256</v>
      </c>
      <c r="K1129" s="5814" t="s">
        <v>5257</v>
      </c>
    </row>
    <row r="1130" spans="1:11">
      <c r="A1130" s="21" t="s">
        <v>3260</v>
      </c>
      <c r="B1130" s="21" t="s">
        <v>5258</v>
      </c>
      <c r="C1130" s="21" t="s">
        <v>8</v>
      </c>
      <c r="D1130" s="21" t="s">
        <v>416</v>
      </c>
      <c r="E1130" s="21" t="s">
        <v>9</v>
      </c>
      <c r="F1130" s="5812">
        <v>3</v>
      </c>
      <c r="G1130" s="5813">
        <v>0.20833333333333334</v>
      </c>
      <c r="H1130" s="21" t="s">
        <v>10</v>
      </c>
      <c r="I1130" s="21" t="s">
        <v>2247</v>
      </c>
      <c r="J1130" s="21" t="s">
        <v>5259</v>
      </c>
      <c r="K1130" s="5814" t="s">
        <v>5260</v>
      </c>
    </row>
    <row r="1131" spans="1:11">
      <c r="A1131" s="21" t="s">
        <v>4621</v>
      </c>
      <c r="B1131" s="21" t="s">
        <v>5261</v>
      </c>
      <c r="C1131" s="21" t="s">
        <v>8</v>
      </c>
      <c r="D1131" s="21" t="s">
        <v>416</v>
      </c>
      <c r="E1131" s="21" t="s">
        <v>9</v>
      </c>
      <c r="F1131" s="5812">
        <v>3</v>
      </c>
      <c r="G1131" s="5813">
        <v>0.20833333333333334</v>
      </c>
      <c r="H1131" s="21" t="s">
        <v>10</v>
      </c>
      <c r="I1131" s="21" t="s">
        <v>2747</v>
      </c>
      <c r="J1131" s="21" t="s">
        <v>5262</v>
      </c>
      <c r="K1131" s="5814" t="s">
        <v>5263</v>
      </c>
    </row>
    <row r="1132" spans="1:11">
      <c r="A1132" s="21" t="s">
        <v>5264</v>
      </c>
      <c r="B1132" s="21" t="s">
        <v>5265</v>
      </c>
      <c r="C1132" s="21" t="s">
        <v>8</v>
      </c>
      <c r="D1132" s="21" t="s">
        <v>416</v>
      </c>
      <c r="E1132" s="21" t="s">
        <v>9</v>
      </c>
      <c r="F1132" s="5812">
        <v>3</v>
      </c>
      <c r="G1132" s="5813">
        <v>0.20833333333333334</v>
      </c>
      <c r="H1132" s="21" t="s">
        <v>10</v>
      </c>
      <c r="I1132" s="21" t="s">
        <v>2297</v>
      </c>
      <c r="J1132" s="21" t="s">
        <v>5266</v>
      </c>
      <c r="K1132" s="5814" t="s">
        <v>5267</v>
      </c>
    </row>
    <row r="1133" spans="1:11">
      <c r="A1133" s="21" t="s">
        <v>5264</v>
      </c>
      <c r="B1133" s="21" t="s">
        <v>5268</v>
      </c>
      <c r="C1133" s="21" t="s">
        <v>8</v>
      </c>
      <c r="D1133" s="21" t="s">
        <v>416</v>
      </c>
      <c r="E1133" s="21" t="s">
        <v>9</v>
      </c>
      <c r="F1133" s="5812">
        <v>3</v>
      </c>
      <c r="G1133" s="5813">
        <v>0.20833333333333334</v>
      </c>
      <c r="H1133" s="21" t="s">
        <v>10</v>
      </c>
      <c r="I1133" s="21" t="s">
        <v>55</v>
      </c>
      <c r="J1133" s="21" t="s">
        <v>5269</v>
      </c>
      <c r="K1133" s="5814" t="s">
        <v>5270</v>
      </c>
    </row>
    <row r="1134" spans="1:11">
      <c r="A1134" s="21" t="s">
        <v>5264</v>
      </c>
      <c r="B1134" s="21" t="s">
        <v>5271</v>
      </c>
      <c r="C1134" s="21" t="s">
        <v>8</v>
      </c>
      <c r="D1134" s="21" t="s">
        <v>416</v>
      </c>
      <c r="E1134" s="21" t="s">
        <v>9</v>
      </c>
      <c r="F1134" s="5812">
        <v>3</v>
      </c>
      <c r="G1134" s="5813">
        <v>0.20833333333333334</v>
      </c>
      <c r="H1134" s="21" t="s">
        <v>10</v>
      </c>
      <c r="I1134" s="21" t="s">
        <v>39</v>
      </c>
      <c r="J1134" s="21" t="s">
        <v>5272</v>
      </c>
      <c r="K1134" s="5814" t="s">
        <v>5273</v>
      </c>
    </row>
    <row r="1135" spans="1:11">
      <c r="A1135" s="21" t="s">
        <v>2225</v>
      </c>
      <c r="B1135" s="21" t="s">
        <v>5274</v>
      </c>
      <c r="C1135" s="21" t="s">
        <v>8</v>
      </c>
      <c r="D1135" s="21" t="s">
        <v>416</v>
      </c>
      <c r="E1135" s="21" t="s">
        <v>9</v>
      </c>
      <c r="F1135" s="5812">
        <v>5</v>
      </c>
      <c r="G1135" s="5813">
        <v>0.20833333333333334</v>
      </c>
      <c r="H1135" s="21" t="s">
        <v>54</v>
      </c>
      <c r="I1135" s="21" t="s">
        <v>2297</v>
      </c>
      <c r="J1135" s="21" t="s">
        <v>5275</v>
      </c>
      <c r="K1135" s="5814" t="s">
        <v>5276</v>
      </c>
    </row>
    <row r="1136" spans="1:11">
      <c r="A1136" s="21" t="s">
        <v>125</v>
      </c>
      <c r="B1136" s="21" t="s">
        <v>465</v>
      </c>
      <c r="C1136" s="21" t="s">
        <v>22</v>
      </c>
      <c r="D1136" s="21" t="s">
        <v>416</v>
      </c>
      <c r="E1136" s="21" t="s">
        <v>466</v>
      </c>
      <c r="F1136" s="5812">
        <v>2</v>
      </c>
      <c r="G1136" s="5813">
        <v>0.11944444444444445</v>
      </c>
      <c r="H1136" s="21" t="s">
        <v>10</v>
      </c>
      <c r="I1136" s="21" t="s">
        <v>23</v>
      </c>
      <c r="J1136" s="21" t="s">
        <v>467</v>
      </c>
      <c r="K1136" s="5814" t="s">
        <v>468</v>
      </c>
    </row>
    <row r="1137" spans="1:11">
      <c r="A1137" s="21" t="s">
        <v>2225</v>
      </c>
      <c r="B1137" s="21" t="s">
        <v>5277</v>
      </c>
      <c r="C1137" s="21" t="s">
        <v>8</v>
      </c>
      <c r="D1137" s="21" t="s">
        <v>416</v>
      </c>
      <c r="E1137" s="21" t="s">
        <v>46</v>
      </c>
      <c r="F1137" s="5812">
        <v>1</v>
      </c>
      <c r="G1137" s="5813">
        <v>1.0416666666666666E-2</v>
      </c>
      <c r="H1137" s="21" t="s">
        <v>10</v>
      </c>
      <c r="I1137" s="21" t="s">
        <v>400</v>
      </c>
      <c r="J1137" s="21" t="s">
        <v>406</v>
      </c>
      <c r="K1137" s="5814" t="s">
        <v>5278</v>
      </c>
    </row>
    <row r="1138" spans="1:11">
      <c r="A1138" s="21" t="s">
        <v>3029</v>
      </c>
      <c r="B1138" s="21" t="s">
        <v>5279</v>
      </c>
      <c r="C1138" s="21" t="s">
        <v>22</v>
      </c>
      <c r="D1138" s="21" t="s">
        <v>416</v>
      </c>
      <c r="E1138" s="21" t="s">
        <v>46</v>
      </c>
      <c r="F1138" s="5812">
        <v>1</v>
      </c>
      <c r="G1138" s="5813">
        <v>1.1805555555555555E-2</v>
      </c>
      <c r="H1138" s="21" t="s">
        <v>10</v>
      </c>
      <c r="I1138" s="21" t="s">
        <v>96</v>
      </c>
      <c r="J1138" s="21" t="s">
        <v>48</v>
      </c>
      <c r="K1138" s="5814" t="s">
        <v>5280</v>
      </c>
    </row>
    <row r="1139" spans="1:11">
      <c r="A1139" s="21" t="s">
        <v>3348</v>
      </c>
      <c r="B1139" s="21" t="s">
        <v>5281</v>
      </c>
      <c r="C1139" s="21" t="s">
        <v>8</v>
      </c>
      <c r="D1139" s="21" t="s">
        <v>416</v>
      </c>
      <c r="E1139" s="21" t="s">
        <v>46</v>
      </c>
      <c r="F1139" s="5812">
        <v>1</v>
      </c>
      <c r="G1139" s="5813">
        <v>3.0555555555555555E-2</v>
      </c>
      <c r="H1139" s="21" t="s">
        <v>10</v>
      </c>
      <c r="I1139" s="21" t="s">
        <v>226</v>
      </c>
      <c r="J1139" s="21" t="s">
        <v>97</v>
      </c>
      <c r="K1139" s="5814" t="s">
        <v>5282</v>
      </c>
    </row>
    <row r="1140" spans="1:11">
      <c r="A1140" s="21" t="s">
        <v>2267</v>
      </c>
      <c r="B1140" s="21" t="s">
        <v>5283</v>
      </c>
      <c r="C1140" s="21" t="s">
        <v>22</v>
      </c>
      <c r="D1140" s="21" t="s">
        <v>416</v>
      </c>
      <c r="E1140" s="21" t="s">
        <v>46</v>
      </c>
      <c r="F1140" s="5812">
        <v>1</v>
      </c>
      <c r="G1140" s="5813">
        <v>3.0555555555555555E-2</v>
      </c>
      <c r="H1140" s="21" t="s">
        <v>10</v>
      </c>
      <c r="I1140" s="21" t="s">
        <v>2660</v>
      </c>
      <c r="J1140" s="21" t="s">
        <v>4656</v>
      </c>
      <c r="K1140" s="5814" t="s">
        <v>5284</v>
      </c>
    </row>
    <row r="1141" spans="1:11">
      <c r="A1141" s="21" t="s">
        <v>3886</v>
      </c>
      <c r="B1141" s="21" t="s">
        <v>5285</v>
      </c>
      <c r="C1141" s="21" t="s">
        <v>22</v>
      </c>
      <c r="D1141" s="21" t="s">
        <v>416</v>
      </c>
      <c r="E1141" s="21" t="s">
        <v>46</v>
      </c>
      <c r="F1141" s="5812">
        <v>1</v>
      </c>
      <c r="G1141" s="5813">
        <v>4.0972222222222222E-2</v>
      </c>
      <c r="H1141" s="21" t="s">
        <v>10</v>
      </c>
      <c r="I1141" s="21" t="s">
        <v>5286</v>
      </c>
      <c r="J1141" s="21" t="s">
        <v>4589</v>
      </c>
      <c r="K1141" s="5814" t="s">
        <v>5287</v>
      </c>
    </row>
    <row r="1142" spans="1:11">
      <c r="A1142" s="21" t="s">
        <v>2901</v>
      </c>
      <c r="B1142" s="21" t="s">
        <v>5288</v>
      </c>
      <c r="C1142" s="21" t="s">
        <v>8</v>
      </c>
      <c r="D1142" s="21" t="s">
        <v>416</v>
      </c>
      <c r="E1142" s="21" t="s">
        <v>46</v>
      </c>
      <c r="F1142" s="5812">
        <v>1</v>
      </c>
      <c r="G1142" s="5813">
        <v>4.1666666666666664E-2</v>
      </c>
      <c r="H1142" s="21" t="s">
        <v>10</v>
      </c>
      <c r="I1142" s="21" t="s">
        <v>23</v>
      </c>
      <c r="J1142" s="21" t="s">
        <v>48</v>
      </c>
      <c r="K1142" s="5814" t="s">
        <v>5289</v>
      </c>
    </row>
    <row r="1143" spans="1:11">
      <c r="A1143" s="21" t="s">
        <v>3671</v>
      </c>
      <c r="B1143" s="21" t="s">
        <v>5290</v>
      </c>
      <c r="C1143" s="21" t="s">
        <v>8</v>
      </c>
      <c r="D1143" s="21" t="s">
        <v>416</v>
      </c>
      <c r="E1143" s="21" t="s">
        <v>46</v>
      </c>
      <c r="F1143" s="5812">
        <v>1</v>
      </c>
      <c r="G1143" s="5813">
        <v>4.2361111111111113E-2</v>
      </c>
      <c r="H1143" s="21" t="s">
        <v>10</v>
      </c>
      <c r="I1143" s="21" t="s">
        <v>47</v>
      </c>
      <c r="J1143" s="21" t="s">
        <v>518</v>
      </c>
      <c r="K1143" s="5814" t="s">
        <v>5291</v>
      </c>
    </row>
    <row r="1144" spans="1:11">
      <c r="A1144" s="21" t="s">
        <v>2955</v>
      </c>
      <c r="B1144" s="21" t="s">
        <v>5292</v>
      </c>
      <c r="C1144" s="21" t="s">
        <v>8</v>
      </c>
      <c r="D1144" s="21" t="s">
        <v>416</v>
      </c>
      <c r="E1144" s="21" t="s">
        <v>46</v>
      </c>
      <c r="F1144" s="5812">
        <v>1</v>
      </c>
      <c r="G1144" s="5813">
        <v>4.2361111111111113E-2</v>
      </c>
      <c r="H1144" s="21" t="s">
        <v>10</v>
      </c>
      <c r="I1144" s="21" t="s">
        <v>11</v>
      </c>
      <c r="J1144" s="21" t="s">
        <v>48</v>
      </c>
      <c r="K1144" s="5814" t="s">
        <v>5293</v>
      </c>
    </row>
    <row r="1145" spans="1:11">
      <c r="A1145" s="21" t="s">
        <v>2413</v>
      </c>
      <c r="B1145" s="21" t="s">
        <v>5294</v>
      </c>
      <c r="C1145" s="21" t="s">
        <v>22</v>
      </c>
      <c r="D1145" s="21" t="s">
        <v>416</v>
      </c>
      <c r="E1145" s="21" t="s">
        <v>46</v>
      </c>
      <c r="F1145" s="5812">
        <v>1</v>
      </c>
      <c r="G1145" s="5813">
        <v>4.7222222222222221E-2</v>
      </c>
      <c r="H1145" s="21" t="s">
        <v>10</v>
      </c>
      <c r="I1145" s="21" t="s">
        <v>39</v>
      </c>
      <c r="J1145" s="21" t="s">
        <v>48</v>
      </c>
      <c r="K1145" s="5814" t="s">
        <v>5295</v>
      </c>
    </row>
    <row r="1146" spans="1:11">
      <c r="A1146" s="21" t="s">
        <v>3434</v>
      </c>
      <c r="B1146" s="21" t="s">
        <v>5296</v>
      </c>
      <c r="C1146" s="21" t="s">
        <v>8</v>
      </c>
      <c r="D1146" s="21" t="s">
        <v>416</v>
      </c>
      <c r="E1146" s="21" t="s">
        <v>46</v>
      </c>
      <c r="F1146" s="5812">
        <v>1</v>
      </c>
      <c r="G1146" s="5813">
        <v>5.6944444444444443E-2</v>
      </c>
      <c r="H1146" s="21" t="s">
        <v>10</v>
      </c>
      <c r="I1146" s="21" t="s">
        <v>39</v>
      </c>
      <c r="J1146" s="21" t="s">
        <v>4656</v>
      </c>
      <c r="K1146" s="5814" t="s">
        <v>5297</v>
      </c>
    </row>
    <row r="1147" spans="1:11">
      <c r="A1147" s="21" t="s">
        <v>2878</v>
      </c>
      <c r="B1147" s="21" t="s">
        <v>5298</v>
      </c>
      <c r="C1147" s="21" t="s">
        <v>22</v>
      </c>
      <c r="D1147" s="21" t="s">
        <v>416</v>
      </c>
      <c r="E1147" s="21" t="s">
        <v>46</v>
      </c>
      <c r="F1147" s="5812">
        <v>1</v>
      </c>
      <c r="G1147" s="5813">
        <v>6.6666666666666666E-2</v>
      </c>
      <c r="H1147" s="21" t="s">
        <v>10</v>
      </c>
      <c r="I1147" s="21" t="s">
        <v>5299</v>
      </c>
      <c r="J1147" s="21" t="s">
        <v>97</v>
      </c>
      <c r="K1147" s="5814" t="s">
        <v>5300</v>
      </c>
    </row>
    <row r="1148" spans="1:11">
      <c r="A1148" s="21" t="s">
        <v>2221</v>
      </c>
      <c r="B1148" s="21" t="s">
        <v>5301</v>
      </c>
      <c r="C1148" s="21" t="s">
        <v>8</v>
      </c>
      <c r="D1148" s="21" t="s">
        <v>416</v>
      </c>
      <c r="E1148" s="21" t="s">
        <v>46</v>
      </c>
      <c r="F1148" s="5812">
        <v>1</v>
      </c>
      <c r="G1148" s="5813">
        <v>6.805555555555555E-2</v>
      </c>
      <c r="H1148" s="21" t="s">
        <v>10</v>
      </c>
      <c r="I1148" s="21" t="s">
        <v>96</v>
      </c>
      <c r="J1148" s="21" t="s">
        <v>48</v>
      </c>
      <c r="K1148" s="5814" t="s">
        <v>5302</v>
      </c>
    </row>
    <row r="1149" spans="1:11">
      <c r="A1149" s="21" t="s">
        <v>2334</v>
      </c>
      <c r="B1149" s="21" t="s">
        <v>5303</v>
      </c>
      <c r="C1149" s="21" t="s">
        <v>8</v>
      </c>
      <c r="D1149" s="21" t="s">
        <v>416</v>
      </c>
      <c r="E1149" s="21" t="s">
        <v>46</v>
      </c>
      <c r="F1149" s="5812">
        <v>1</v>
      </c>
      <c r="G1149" s="5813">
        <v>8.9583333333333334E-2</v>
      </c>
      <c r="H1149" s="21" t="s">
        <v>10</v>
      </c>
      <c r="I1149" s="21" t="s">
        <v>660</v>
      </c>
      <c r="J1149" s="21" t="s">
        <v>2953</v>
      </c>
      <c r="K1149" s="5814" t="s">
        <v>5304</v>
      </c>
    </row>
    <row r="1150" spans="1:11">
      <c r="A1150" s="21" t="s">
        <v>2626</v>
      </c>
      <c r="B1150" s="21" t="s">
        <v>5305</v>
      </c>
      <c r="C1150" s="21" t="s">
        <v>22</v>
      </c>
      <c r="D1150" s="21" t="s">
        <v>416</v>
      </c>
      <c r="E1150" s="21" t="s">
        <v>46</v>
      </c>
      <c r="F1150" s="5812">
        <v>1</v>
      </c>
      <c r="G1150" s="5813">
        <v>0.12361111111111112</v>
      </c>
      <c r="H1150" s="21" t="s">
        <v>10</v>
      </c>
      <c r="I1150" s="21" t="s">
        <v>96</v>
      </c>
      <c r="J1150" s="21" t="s">
        <v>48</v>
      </c>
      <c r="K1150" s="5814" t="s">
        <v>5306</v>
      </c>
    </row>
    <row r="1151" spans="1:11">
      <c r="A1151" s="21" t="s">
        <v>2053</v>
      </c>
      <c r="B1151" s="21" t="s">
        <v>5307</v>
      </c>
      <c r="C1151" s="21" t="s">
        <v>22</v>
      </c>
      <c r="D1151" s="21" t="s">
        <v>416</v>
      </c>
      <c r="E1151" s="21" t="s">
        <v>46</v>
      </c>
      <c r="F1151" s="5812">
        <v>1</v>
      </c>
      <c r="G1151" s="5813">
        <v>0.12430555555555556</v>
      </c>
      <c r="H1151" s="21" t="s">
        <v>10</v>
      </c>
      <c r="I1151" s="21" t="s">
        <v>96</v>
      </c>
      <c r="J1151" s="21" t="s">
        <v>48</v>
      </c>
      <c r="K1151" s="5814" t="s">
        <v>5308</v>
      </c>
    </row>
    <row r="1152" spans="1:11">
      <c r="A1152" s="21" t="s">
        <v>2461</v>
      </c>
      <c r="B1152" s="21" t="s">
        <v>5309</v>
      </c>
      <c r="C1152" s="21" t="s">
        <v>8</v>
      </c>
      <c r="D1152" s="21" t="s">
        <v>416</v>
      </c>
      <c r="E1152" s="21" t="s">
        <v>46</v>
      </c>
      <c r="F1152" s="5812">
        <v>1</v>
      </c>
      <c r="G1152" s="5813">
        <v>0.13958333333333334</v>
      </c>
      <c r="H1152" s="21" t="s">
        <v>10</v>
      </c>
      <c r="I1152" s="21" t="s">
        <v>55</v>
      </c>
      <c r="J1152" s="21" t="s">
        <v>97</v>
      </c>
      <c r="K1152" s="5814" t="s">
        <v>5310</v>
      </c>
    </row>
    <row r="1153" spans="1:11">
      <c r="A1153" s="21" t="s">
        <v>2395</v>
      </c>
      <c r="B1153" s="21" t="s">
        <v>5311</v>
      </c>
      <c r="C1153" s="21" t="s">
        <v>22</v>
      </c>
      <c r="D1153" s="21" t="s">
        <v>416</v>
      </c>
      <c r="E1153" s="21" t="s">
        <v>46</v>
      </c>
      <c r="F1153" s="5812">
        <v>1</v>
      </c>
      <c r="G1153" s="5813">
        <v>0.15208333333333332</v>
      </c>
      <c r="H1153" s="21" t="s">
        <v>10</v>
      </c>
      <c r="I1153" s="21" t="s">
        <v>4535</v>
      </c>
      <c r="J1153" s="21" t="s">
        <v>417</v>
      </c>
      <c r="K1153" s="5814" t="s">
        <v>5312</v>
      </c>
    </row>
    <row r="1154" spans="1:11">
      <c r="A1154" s="21" t="s">
        <v>2201</v>
      </c>
      <c r="B1154" s="21" t="s">
        <v>5313</v>
      </c>
      <c r="C1154" s="21" t="s">
        <v>8</v>
      </c>
      <c r="D1154" s="21" t="s">
        <v>416</v>
      </c>
      <c r="E1154" s="21" t="s">
        <v>46</v>
      </c>
      <c r="F1154" s="5812">
        <v>1</v>
      </c>
      <c r="G1154" s="5813">
        <v>0.15694444444444444</v>
      </c>
      <c r="H1154" s="21" t="s">
        <v>10</v>
      </c>
      <c r="I1154" s="21" t="s">
        <v>615</v>
      </c>
      <c r="J1154" s="21" t="s">
        <v>97</v>
      </c>
      <c r="K1154" s="5814" t="s">
        <v>5314</v>
      </c>
    </row>
    <row r="1155" spans="1:11">
      <c r="A1155" s="21" t="s">
        <v>4233</v>
      </c>
      <c r="B1155" s="21" t="s">
        <v>5315</v>
      </c>
      <c r="C1155" s="21" t="s">
        <v>8</v>
      </c>
      <c r="D1155" s="21" t="s">
        <v>416</v>
      </c>
      <c r="E1155" s="21" t="s">
        <v>46</v>
      </c>
      <c r="F1155" s="5812">
        <v>1</v>
      </c>
      <c r="G1155" s="5813">
        <v>0.15902777777777777</v>
      </c>
      <c r="H1155" s="21" t="s">
        <v>10</v>
      </c>
      <c r="I1155" s="21" t="s">
        <v>11</v>
      </c>
      <c r="J1155" s="21" t="s">
        <v>722</v>
      </c>
      <c r="K1155" s="5814" t="s">
        <v>5316</v>
      </c>
    </row>
    <row r="1156" spans="1:11">
      <c r="A1156" s="21" t="s">
        <v>2897</v>
      </c>
      <c r="B1156" s="21" t="s">
        <v>5317</v>
      </c>
      <c r="C1156" s="21" t="s">
        <v>8</v>
      </c>
      <c r="D1156" s="21" t="s">
        <v>416</v>
      </c>
      <c r="E1156" s="21" t="s">
        <v>46</v>
      </c>
      <c r="F1156" s="5812">
        <v>1</v>
      </c>
      <c r="G1156" s="5813">
        <v>0.16805555555555557</v>
      </c>
      <c r="H1156" s="21" t="s">
        <v>10</v>
      </c>
      <c r="I1156" s="21" t="s">
        <v>11</v>
      </c>
      <c r="J1156" s="21" t="s">
        <v>97</v>
      </c>
      <c r="K1156" s="5814" t="s">
        <v>5318</v>
      </c>
    </row>
    <row r="1157" spans="1:11">
      <c r="A1157" s="21" t="s">
        <v>2966</v>
      </c>
      <c r="B1157" s="21" t="s">
        <v>5319</v>
      </c>
      <c r="C1157" s="21" t="s">
        <v>22</v>
      </c>
      <c r="D1157" s="21" t="s">
        <v>416</v>
      </c>
      <c r="E1157" s="21" t="s">
        <v>46</v>
      </c>
      <c r="F1157" s="5812">
        <v>1</v>
      </c>
      <c r="G1157" s="5813">
        <v>0.17083333333333334</v>
      </c>
      <c r="H1157" s="21" t="s">
        <v>10</v>
      </c>
      <c r="I1157" s="21" t="s">
        <v>11</v>
      </c>
      <c r="J1157" s="21" t="s">
        <v>616</v>
      </c>
      <c r="K1157" s="5814" t="s">
        <v>5320</v>
      </c>
    </row>
    <row r="1158" spans="1:11">
      <c r="A1158" s="21" t="s">
        <v>2147</v>
      </c>
      <c r="B1158" s="21" t="s">
        <v>5321</v>
      </c>
      <c r="C1158" s="21" t="s">
        <v>8</v>
      </c>
      <c r="D1158" s="21" t="s">
        <v>416</v>
      </c>
      <c r="E1158" s="21" t="s">
        <v>46</v>
      </c>
      <c r="F1158" s="5812">
        <v>1</v>
      </c>
      <c r="G1158" s="5813">
        <v>0.17847222222222223</v>
      </c>
      <c r="H1158" s="21" t="s">
        <v>10</v>
      </c>
      <c r="I1158" s="21" t="s">
        <v>47</v>
      </c>
      <c r="J1158" s="21" t="s">
        <v>48</v>
      </c>
      <c r="K1158" s="5814" t="s">
        <v>5322</v>
      </c>
    </row>
    <row r="1159" spans="1:11">
      <c r="A1159" s="21" t="s">
        <v>3002</v>
      </c>
      <c r="B1159" s="21" t="s">
        <v>5323</v>
      </c>
      <c r="C1159" s="21" t="s">
        <v>8</v>
      </c>
      <c r="D1159" s="21" t="s">
        <v>416</v>
      </c>
      <c r="E1159" s="21" t="s">
        <v>46</v>
      </c>
      <c r="F1159" s="5812">
        <v>1</v>
      </c>
      <c r="G1159" s="5813">
        <v>0.17986111111111111</v>
      </c>
      <c r="H1159" s="21" t="s">
        <v>10</v>
      </c>
      <c r="I1159" s="21" t="s">
        <v>2872</v>
      </c>
      <c r="J1159" s="21" t="s">
        <v>127</v>
      </c>
      <c r="K1159" s="5814" t="s">
        <v>5324</v>
      </c>
    </row>
    <row r="1160" spans="1:11">
      <c r="A1160" s="21" t="s">
        <v>2780</v>
      </c>
      <c r="B1160" s="21" t="s">
        <v>5325</v>
      </c>
      <c r="C1160" s="21" t="s">
        <v>8</v>
      </c>
      <c r="D1160" s="21" t="s">
        <v>416</v>
      </c>
      <c r="E1160" s="21" t="s">
        <v>46</v>
      </c>
      <c r="F1160" s="5812">
        <v>1</v>
      </c>
      <c r="G1160" s="5813">
        <v>0.18333333333333332</v>
      </c>
      <c r="H1160" s="21" t="s">
        <v>10</v>
      </c>
      <c r="I1160" s="21" t="s">
        <v>3382</v>
      </c>
      <c r="J1160" s="21" t="s">
        <v>5326</v>
      </c>
      <c r="K1160" s="5814" t="s">
        <v>5327</v>
      </c>
    </row>
    <row r="1161" spans="1:11">
      <c r="A1161" s="21" t="s">
        <v>2358</v>
      </c>
      <c r="B1161" s="21" t="s">
        <v>5328</v>
      </c>
      <c r="C1161" s="21" t="s">
        <v>8</v>
      </c>
      <c r="D1161" s="21" t="s">
        <v>416</v>
      </c>
      <c r="E1161" s="21" t="s">
        <v>46</v>
      </c>
      <c r="F1161" s="5812">
        <v>1</v>
      </c>
      <c r="G1161" s="5813">
        <v>0.18958333333333333</v>
      </c>
      <c r="H1161" s="21" t="s">
        <v>10</v>
      </c>
      <c r="I1161" s="21" t="s">
        <v>73</v>
      </c>
      <c r="J1161" s="21" t="s">
        <v>417</v>
      </c>
      <c r="K1161" s="5814" t="s">
        <v>5329</v>
      </c>
    </row>
    <row r="1162" spans="1:11">
      <c r="A1162" s="21" t="s">
        <v>6</v>
      </c>
      <c r="B1162" s="21" t="s">
        <v>415</v>
      </c>
      <c r="C1162" s="21" t="s">
        <v>8</v>
      </c>
      <c r="D1162" s="21" t="s">
        <v>416</v>
      </c>
      <c r="E1162" s="21" t="s">
        <v>46</v>
      </c>
      <c r="F1162" s="5812">
        <v>1</v>
      </c>
      <c r="G1162" s="5813">
        <v>0.19444444444444445</v>
      </c>
      <c r="H1162" s="21" t="s">
        <v>10</v>
      </c>
      <c r="I1162" s="21" t="s">
        <v>23</v>
      </c>
      <c r="J1162" s="21" t="s">
        <v>417</v>
      </c>
      <c r="K1162" s="5814" t="s">
        <v>5330</v>
      </c>
    </row>
    <row r="1163" spans="1:11">
      <c r="A1163" s="21" t="s">
        <v>2115</v>
      </c>
      <c r="B1163" s="21" t="s">
        <v>5331</v>
      </c>
      <c r="C1163" s="21" t="s">
        <v>8</v>
      </c>
      <c r="D1163" s="21" t="s">
        <v>416</v>
      </c>
      <c r="E1163" s="21" t="s">
        <v>46</v>
      </c>
      <c r="F1163" s="5812">
        <v>1</v>
      </c>
      <c r="G1163" s="5813">
        <v>0.19722222222222222</v>
      </c>
      <c r="H1163" s="21" t="s">
        <v>10</v>
      </c>
      <c r="I1163" s="21" t="s">
        <v>209</v>
      </c>
      <c r="J1163" s="21" t="s">
        <v>154</v>
      </c>
      <c r="K1163" s="5814" t="s">
        <v>5332</v>
      </c>
    </row>
    <row r="1164" spans="1:11">
      <c r="A1164" s="21" t="s">
        <v>2123</v>
      </c>
      <c r="B1164" s="21" t="s">
        <v>5333</v>
      </c>
      <c r="C1164" s="21" t="s">
        <v>22</v>
      </c>
      <c r="D1164" s="21" t="s">
        <v>416</v>
      </c>
      <c r="E1164" s="21" t="s">
        <v>46</v>
      </c>
      <c r="F1164" s="5812">
        <v>1</v>
      </c>
      <c r="G1164" s="5813">
        <v>0.2048611111111111</v>
      </c>
      <c r="H1164" s="21" t="s">
        <v>10</v>
      </c>
      <c r="I1164" s="21" t="s">
        <v>55</v>
      </c>
      <c r="J1164" s="21" t="s">
        <v>406</v>
      </c>
      <c r="K1164" s="5814" t="s">
        <v>5334</v>
      </c>
    </row>
    <row r="1165" spans="1:11">
      <c r="A1165" s="21" t="s">
        <v>5335</v>
      </c>
      <c r="B1165" s="21" t="s">
        <v>448</v>
      </c>
      <c r="C1165" s="21" t="s">
        <v>8</v>
      </c>
      <c r="D1165" s="21" t="s">
        <v>416</v>
      </c>
      <c r="E1165" s="21" t="s">
        <v>46</v>
      </c>
      <c r="F1165" s="5812">
        <v>1</v>
      </c>
      <c r="G1165" s="5813">
        <v>0.2076388888888889</v>
      </c>
      <c r="H1165" s="21" t="s">
        <v>10</v>
      </c>
      <c r="I1165" s="21" t="s">
        <v>47</v>
      </c>
      <c r="J1165" s="21" t="s">
        <v>127</v>
      </c>
      <c r="K1165" s="5814" t="s">
        <v>5336</v>
      </c>
    </row>
    <row r="1166" spans="1:11">
      <c r="A1166" s="21" t="s">
        <v>4671</v>
      </c>
      <c r="B1166" s="21" t="s">
        <v>5337</v>
      </c>
      <c r="C1166" s="21" t="s">
        <v>22</v>
      </c>
      <c r="D1166" s="21" t="s">
        <v>416</v>
      </c>
      <c r="E1166" s="21" t="s">
        <v>46</v>
      </c>
      <c r="F1166" s="5812">
        <v>1</v>
      </c>
      <c r="G1166" s="5813">
        <v>0.2076388888888889</v>
      </c>
      <c r="H1166" s="21" t="s">
        <v>10</v>
      </c>
      <c r="I1166" s="21" t="s">
        <v>2660</v>
      </c>
      <c r="J1166" s="21" t="s">
        <v>406</v>
      </c>
      <c r="K1166" s="5814" t="s">
        <v>5338</v>
      </c>
    </row>
    <row r="1167" spans="1:11">
      <c r="A1167" s="21" t="s">
        <v>4293</v>
      </c>
      <c r="B1167" s="21" t="s">
        <v>5339</v>
      </c>
      <c r="C1167" s="21" t="s">
        <v>8</v>
      </c>
      <c r="D1167" s="21" t="s">
        <v>416</v>
      </c>
      <c r="E1167" s="21" t="s">
        <v>46</v>
      </c>
      <c r="F1167" s="5812">
        <v>2</v>
      </c>
      <c r="G1167" s="5813">
        <v>1.7361111111111112E-2</v>
      </c>
      <c r="H1167" s="21" t="s">
        <v>10</v>
      </c>
      <c r="I1167" s="21" t="s">
        <v>400</v>
      </c>
      <c r="J1167" s="21" t="s">
        <v>48</v>
      </c>
      <c r="K1167" s="5814" t="s">
        <v>5340</v>
      </c>
    </row>
    <row r="1168" spans="1:11">
      <c r="A1168" s="21" t="s">
        <v>31</v>
      </c>
      <c r="B1168" s="21" t="s">
        <v>483</v>
      </c>
      <c r="C1168" s="21" t="s">
        <v>22</v>
      </c>
      <c r="D1168" s="21" t="s">
        <v>416</v>
      </c>
      <c r="E1168" s="21" t="s">
        <v>46</v>
      </c>
      <c r="F1168" s="5812">
        <v>2</v>
      </c>
      <c r="G1168" s="5813">
        <v>1.8055555555555554E-2</v>
      </c>
      <c r="H1168" s="21" t="s">
        <v>10</v>
      </c>
      <c r="I1168" s="21" t="s">
        <v>23</v>
      </c>
      <c r="J1168" s="21" t="s">
        <v>48</v>
      </c>
      <c r="K1168" s="5814" t="s">
        <v>484</v>
      </c>
    </row>
    <row r="1169" spans="1:11">
      <c r="A1169" s="21" t="s">
        <v>2467</v>
      </c>
      <c r="B1169" s="21" t="s">
        <v>5341</v>
      </c>
      <c r="C1169" s="21" t="s">
        <v>8</v>
      </c>
      <c r="D1169" s="21" t="s">
        <v>416</v>
      </c>
      <c r="E1169" s="21" t="s">
        <v>46</v>
      </c>
      <c r="F1169" s="5812">
        <v>2</v>
      </c>
      <c r="G1169" s="5813">
        <v>3.1944444444444442E-2</v>
      </c>
      <c r="H1169" s="21" t="s">
        <v>10</v>
      </c>
      <c r="I1169" s="21" t="s">
        <v>11</v>
      </c>
      <c r="J1169" s="21" t="s">
        <v>258</v>
      </c>
      <c r="K1169" s="5814" t="s">
        <v>5342</v>
      </c>
    </row>
    <row r="1170" spans="1:11">
      <c r="A1170" s="21" t="s">
        <v>52</v>
      </c>
      <c r="B1170" s="21" t="s">
        <v>522</v>
      </c>
      <c r="C1170" s="21" t="s">
        <v>8</v>
      </c>
      <c r="D1170" s="21" t="s">
        <v>416</v>
      </c>
      <c r="E1170" s="21" t="s">
        <v>46</v>
      </c>
      <c r="F1170" s="5812">
        <v>2</v>
      </c>
      <c r="G1170" s="5813">
        <v>3.8194444444444448E-2</v>
      </c>
      <c r="H1170" s="21" t="s">
        <v>10</v>
      </c>
      <c r="I1170" s="21" t="s">
        <v>39</v>
      </c>
      <c r="J1170" s="21" t="s">
        <v>127</v>
      </c>
      <c r="K1170" s="5814" t="s">
        <v>523</v>
      </c>
    </row>
    <row r="1171" spans="1:11">
      <c r="A1171" s="21" t="s">
        <v>3249</v>
      </c>
      <c r="B1171" s="21" t="s">
        <v>5343</v>
      </c>
      <c r="C1171" s="21" t="s">
        <v>22</v>
      </c>
      <c r="D1171" s="21" t="s">
        <v>416</v>
      </c>
      <c r="E1171" s="21" t="s">
        <v>46</v>
      </c>
      <c r="F1171" s="5812">
        <v>2</v>
      </c>
      <c r="G1171" s="5813">
        <v>4.3749999999999997E-2</v>
      </c>
      <c r="H1171" s="21" t="s">
        <v>10</v>
      </c>
      <c r="I1171" s="21" t="s">
        <v>11</v>
      </c>
      <c r="J1171" s="21" t="s">
        <v>3148</v>
      </c>
      <c r="K1171" s="5814" t="s">
        <v>5344</v>
      </c>
    </row>
    <row r="1172" spans="1:11">
      <c r="A1172" s="21" t="s">
        <v>87</v>
      </c>
      <c r="B1172" s="21" t="s">
        <v>429</v>
      </c>
      <c r="C1172" s="21" t="s">
        <v>8</v>
      </c>
      <c r="D1172" s="21" t="s">
        <v>416</v>
      </c>
      <c r="E1172" s="21" t="s">
        <v>46</v>
      </c>
      <c r="F1172" s="5812">
        <v>2</v>
      </c>
      <c r="G1172" s="5813">
        <v>6.5972222222222224E-2</v>
      </c>
      <c r="H1172" s="21" t="s">
        <v>10</v>
      </c>
      <c r="I1172" s="21" t="s">
        <v>245</v>
      </c>
      <c r="J1172" s="21" t="s">
        <v>430</v>
      </c>
      <c r="K1172" s="5814" t="s">
        <v>431</v>
      </c>
    </row>
    <row r="1173" spans="1:11">
      <c r="A1173" s="21" t="s">
        <v>3896</v>
      </c>
      <c r="B1173" s="21" t="s">
        <v>5345</v>
      </c>
      <c r="C1173" s="21" t="s">
        <v>8</v>
      </c>
      <c r="D1173" s="21" t="s">
        <v>416</v>
      </c>
      <c r="E1173" s="21" t="s">
        <v>46</v>
      </c>
      <c r="F1173" s="5812">
        <v>2</v>
      </c>
      <c r="G1173" s="5813">
        <v>7.2222222222222215E-2</v>
      </c>
      <c r="H1173" s="21" t="s">
        <v>10</v>
      </c>
      <c r="I1173" s="21" t="s">
        <v>11</v>
      </c>
      <c r="J1173" s="21" t="s">
        <v>48</v>
      </c>
      <c r="K1173" s="5814" t="s">
        <v>5346</v>
      </c>
    </row>
    <row r="1174" spans="1:11">
      <c r="A1174" s="21" t="s">
        <v>2551</v>
      </c>
      <c r="B1174" s="21" t="s">
        <v>5347</v>
      </c>
      <c r="C1174" s="21" t="s">
        <v>22</v>
      </c>
      <c r="D1174" s="21" t="s">
        <v>416</v>
      </c>
      <c r="E1174" s="21" t="s">
        <v>46</v>
      </c>
      <c r="F1174" s="5812">
        <v>2</v>
      </c>
      <c r="G1174" s="5813">
        <v>7.9166666666666663E-2</v>
      </c>
      <c r="H1174" s="21" t="s">
        <v>54</v>
      </c>
      <c r="I1174" s="21" t="s">
        <v>226</v>
      </c>
      <c r="J1174" s="21" t="s">
        <v>5348</v>
      </c>
      <c r="K1174" s="5814" t="s">
        <v>5349</v>
      </c>
    </row>
    <row r="1175" spans="1:11">
      <c r="A1175" s="21" t="s">
        <v>94</v>
      </c>
      <c r="B1175" s="21" t="s">
        <v>434</v>
      </c>
      <c r="C1175" s="21" t="s">
        <v>22</v>
      </c>
      <c r="D1175" s="21" t="s">
        <v>416</v>
      </c>
      <c r="E1175" s="21" t="s">
        <v>46</v>
      </c>
      <c r="F1175" s="5812">
        <v>2</v>
      </c>
      <c r="G1175" s="5813">
        <v>9.4444444444444442E-2</v>
      </c>
      <c r="H1175" s="21" t="s">
        <v>54</v>
      </c>
      <c r="I1175" s="21" t="s">
        <v>39</v>
      </c>
      <c r="J1175" s="21" t="s">
        <v>48</v>
      </c>
      <c r="K1175" s="5814" t="s">
        <v>435</v>
      </c>
    </row>
    <row r="1176" spans="1:11">
      <c r="A1176" s="21" t="s">
        <v>2915</v>
      </c>
      <c r="B1176" s="21" t="s">
        <v>5350</v>
      </c>
      <c r="C1176" s="21" t="s">
        <v>22</v>
      </c>
      <c r="D1176" s="21" t="s">
        <v>416</v>
      </c>
      <c r="E1176" s="21" t="s">
        <v>46</v>
      </c>
      <c r="F1176" s="5812">
        <v>2</v>
      </c>
      <c r="G1176" s="5813">
        <v>0.12152777777777778</v>
      </c>
      <c r="H1176" s="21" t="s">
        <v>10</v>
      </c>
      <c r="I1176" s="21" t="s">
        <v>226</v>
      </c>
      <c r="J1176" s="21" t="s">
        <v>127</v>
      </c>
      <c r="K1176" s="5814" t="s">
        <v>5351</v>
      </c>
    </row>
    <row r="1177" spans="1:11">
      <c r="A1177" s="21" t="s">
        <v>2969</v>
      </c>
      <c r="B1177" s="21" t="s">
        <v>5352</v>
      </c>
      <c r="C1177" s="21" t="s">
        <v>8</v>
      </c>
      <c r="D1177" s="21" t="s">
        <v>416</v>
      </c>
      <c r="E1177" s="21" t="s">
        <v>46</v>
      </c>
      <c r="F1177" s="5812">
        <v>2</v>
      </c>
      <c r="G1177" s="5813">
        <v>0.12222222222222222</v>
      </c>
      <c r="H1177" s="21" t="s">
        <v>10</v>
      </c>
      <c r="I1177" s="21" t="s">
        <v>39</v>
      </c>
      <c r="J1177" s="21" t="s">
        <v>48</v>
      </c>
      <c r="K1177" s="5814" t="s">
        <v>5353</v>
      </c>
    </row>
    <row r="1178" spans="1:11">
      <c r="A1178" s="21" t="s">
        <v>3089</v>
      </c>
      <c r="B1178" s="21" t="s">
        <v>5354</v>
      </c>
      <c r="C1178" s="21" t="s">
        <v>22</v>
      </c>
      <c r="D1178" s="21" t="s">
        <v>416</v>
      </c>
      <c r="E1178" s="21" t="s">
        <v>46</v>
      </c>
      <c r="F1178" s="5812">
        <v>2</v>
      </c>
      <c r="G1178" s="5813">
        <v>0.13055555555555556</v>
      </c>
      <c r="H1178" s="21" t="s">
        <v>10</v>
      </c>
      <c r="I1178" s="21" t="s">
        <v>3278</v>
      </c>
      <c r="J1178" s="21" t="s">
        <v>4734</v>
      </c>
      <c r="K1178" s="5814" t="s">
        <v>5355</v>
      </c>
    </row>
    <row r="1179" spans="1:11">
      <c r="A1179" s="21" t="s">
        <v>52</v>
      </c>
      <c r="B1179" s="21" t="s">
        <v>517</v>
      </c>
      <c r="C1179" s="21" t="s">
        <v>8</v>
      </c>
      <c r="D1179" s="21" t="s">
        <v>416</v>
      </c>
      <c r="E1179" s="21" t="s">
        <v>46</v>
      </c>
      <c r="F1179" s="5812">
        <v>2</v>
      </c>
      <c r="G1179" s="5813">
        <v>0.16597222222222222</v>
      </c>
      <c r="H1179" s="21" t="s">
        <v>10</v>
      </c>
      <c r="I1179" s="21" t="s">
        <v>11</v>
      </c>
      <c r="J1179" s="21" t="s">
        <v>518</v>
      </c>
      <c r="K1179" s="5814" t="s">
        <v>519</v>
      </c>
    </row>
    <row r="1180" spans="1:11">
      <c r="A1180" s="21" t="s">
        <v>2284</v>
      </c>
      <c r="B1180" s="21" t="s">
        <v>5356</v>
      </c>
      <c r="C1180" s="21" t="s">
        <v>8</v>
      </c>
      <c r="D1180" s="21" t="s">
        <v>416</v>
      </c>
      <c r="E1180" s="21" t="s">
        <v>46</v>
      </c>
      <c r="F1180" s="5812">
        <v>2</v>
      </c>
      <c r="G1180" s="5813">
        <v>0.16944444444444445</v>
      </c>
      <c r="H1180" s="21" t="s">
        <v>10</v>
      </c>
      <c r="I1180" s="21" t="s">
        <v>96</v>
      </c>
      <c r="J1180" s="21" t="s">
        <v>1117</v>
      </c>
      <c r="K1180" s="5814" t="s">
        <v>5357</v>
      </c>
    </row>
    <row r="1181" spans="1:11">
      <c r="A1181" s="21" t="s">
        <v>4423</v>
      </c>
      <c r="B1181" s="21" t="s">
        <v>5358</v>
      </c>
      <c r="C1181" s="21" t="s">
        <v>22</v>
      </c>
      <c r="D1181" s="21" t="s">
        <v>416</v>
      </c>
      <c r="E1181" s="21" t="s">
        <v>46</v>
      </c>
      <c r="F1181" s="5812">
        <v>2</v>
      </c>
      <c r="G1181" s="5813">
        <v>0.18611111111111112</v>
      </c>
      <c r="H1181" s="21" t="s">
        <v>10</v>
      </c>
      <c r="I1181" s="21" t="s">
        <v>23</v>
      </c>
      <c r="J1181" s="21" t="s">
        <v>406</v>
      </c>
      <c r="K1181" s="5814" t="s">
        <v>5359</v>
      </c>
    </row>
    <row r="1182" spans="1:11">
      <c r="A1182" s="21" t="s">
        <v>37</v>
      </c>
      <c r="B1182" s="21" t="s">
        <v>509</v>
      </c>
      <c r="C1182" s="21" t="s">
        <v>8</v>
      </c>
      <c r="D1182" s="21" t="s">
        <v>416</v>
      </c>
      <c r="E1182" s="21" t="s">
        <v>46</v>
      </c>
      <c r="F1182" s="5812">
        <v>2</v>
      </c>
      <c r="G1182" s="5813">
        <v>0.18819444444444444</v>
      </c>
      <c r="H1182" s="21" t="s">
        <v>10</v>
      </c>
      <c r="I1182" s="21" t="s">
        <v>39</v>
      </c>
      <c r="J1182" s="21" t="s">
        <v>417</v>
      </c>
      <c r="K1182" s="5814" t="s">
        <v>510</v>
      </c>
    </row>
    <row r="1183" spans="1:11">
      <c r="A1183" s="21" t="s">
        <v>2745</v>
      </c>
      <c r="B1183" s="21" t="s">
        <v>5360</v>
      </c>
      <c r="C1183" s="21" t="s">
        <v>8</v>
      </c>
      <c r="D1183" s="21" t="s">
        <v>416</v>
      </c>
      <c r="E1183" s="21" t="s">
        <v>46</v>
      </c>
      <c r="F1183" s="5812">
        <v>2</v>
      </c>
      <c r="G1183" s="5813">
        <v>0.19027777777777777</v>
      </c>
      <c r="H1183" s="21" t="s">
        <v>10</v>
      </c>
      <c r="I1183" s="21" t="s">
        <v>2176</v>
      </c>
      <c r="J1183" s="21" t="s">
        <v>97</v>
      </c>
      <c r="K1183" s="5814" t="s">
        <v>5361</v>
      </c>
    </row>
    <row r="1184" spans="1:11">
      <c r="A1184" s="21" t="s">
        <v>3006</v>
      </c>
      <c r="B1184" s="21" t="s">
        <v>5362</v>
      </c>
      <c r="C1184" s="21" t="s">
        <v>8</v>
      </c>
      <c r="D1184" s="21" t="s">
        <v>416</v>
      </c>
      <c r="E1184" s="21" t="s">
        <v>46</v>
      </c>
      <c r="F1184" s="5812">
        <v>2</v>
      </c>
      <c r="G1184" s="5813">
        <v>0.19513888888888889</v>
      </c>
      <c r="H1184" s="21" t="s">
        <v>10</v>
      </c>
      <c r="I1184" s="21" t="s">
        <v>55</v>
      </c>
      <c r="J1184" s="21" t="s">
        <v>907</v>
      </c>
      <c r="K1184" s="5814" t="s">
        <v>5363</v>
      </c>
    </row>
    <row r="1185" spans="1:11">
      <c r="A1185" s="21" t="s">
        <v>2555</v>
      </c>
      <c r="B1185" s="21" t="s">
        <v>5364</v>
      </c>
      <c r="C1185" s="21" t="s">
        <v>22</v>
      </c>
      <c r="D1185" s="21" t="s">
        <v>416</v>
      </c>
      <c r="E1185" s="21" t="s">
        <v>46</v>
      </c>
      <c r="F1185" s="5812">
        <v>2</v>
      </c>
      <c r="G1185" s="5813">
        <v>0.19583333333333333</v>
      </c>
      <c r="H1185" s="21" t="s">
        <v>10</v>
      </c>
      <c r="I1185" s="21" t="s">
        <v>5365</v>
      </c>
      <c r="J1185" s="21" t="s">
        <v>48</v>
      </c>
      <c r="K1185" s="5814" t="s">
        <v>5366</v>
      </c>
    </row>
    <row r="1186" spans="1:11">
      <c r="A1186" s="21" t="s">
        <v>2600</v>
      </c>
      <c r="B1186" s="21" t="s">
        <v>5367</v>
      </c>
      <c r="C1186" s="21" t="s">
        <v>22</v>
      </c>
      <c r="D1186" s="21" t="s">
        <v>416</v>
      </c>
      <c r="E1186" s="21" t="s">
        <v>46</v>
      </c>
      <c r="F1186" s="5812">
        <v>2</v>
      </c>
      <c r="G1186" s="5813">
        <v>0.19930555555555557</v>
      </c>
      <c r="H1186" s="21" t="s">
        <v>10</v>
      </c>
      <c r="I1186" s="21" t="s">
        <v>96</v>
      </c>
      <c r="J1186" s="21" t="s">
        <v>97</v>
      </c>
      <c r="K1186" s="5814" t="s">
        <v>5368</v>
      </c>
    </row>
    <row r="1187" spans="1:11">
      <c r="A1187" s="21" t="s">
        <v>2229</v>
      </c>
      <c r="B1187" s="21" t="s">
        <v>5369</v>
      </c>
      <c r="C1187" s="21" t="s">
        <v>22</v>
      </c>
      <c r="D1187" s="21" t="s">
        <v>416</v>
      </c>
      <c r="E1187" s="21" t="s">
        <v>46</v>
      </c>
      <c r="F1187" s="5812">
        <v>2</v>
      </c>
      <c r="G1187" s="5813">
        <v>0.20833333333333334</v>
      </c>
      <c r="H1187" s="21" t="s">
        <v>10</v>
      </c>
      <c r="I1187" s="21" t="s">
        <v>233</v>
      </c>
      <c r="J1187" s="21" t="s">
        <v>5370</v>
      </c>
      <c r="K1187" s="5814" t="s">
        <v>5371</v>
      </c>
    </row>
    <row r="1188" spans="1:11">
      <c r="A1188" s="21" t="s">
        <v>2362</v>
      </c>
      <c r="B1188" s="21" t="s">
        <v>5372</v>
      </c>
      <c r="C1188" s="21" t="s">
        <v>8</v>
      </c>
      <c r="D1188" s="21" t="s">
        <v>416</v>
      </c>
      <c r="E1188" s="21" t="s">
        <v>46</v>
      </c>
      <c r="F1188" s="5812">
        <v>3</v>
      </c>
      <c r="G1188" s="5813">
        <v>9.2361111111111116E-2</v>
      </c>
      <c r="H1188" s="21" t="s">
        <v>10</v>
      </c>
      <c r="I1188" s="21" t="s">
        <v>11</v>
      </c>
      <c r="J1188" s="21" t="s">
        <v>48</v>
      </c>
      <c r="K1188" s="5814" t="s">
        <v>5373</v>
      </c>
    </row>
    <row r="1189" spans="1:11">
      <c r="A1189" s="21" t="s">
        <v>3532</v>
      </c>
      <c r="B1189" s="21" t="s">
        <v>5374</v>
      </c>
      <c r="C1189" s="21" t="s">
        <v>8</v>
      </c>
      <c r="D1189" s="21" t="s">
        <v>416</v>
      </c>
      <c r="E1189" s="21" t="s">
        <v>46</v>
      </c>
      <c r="F1189" s="5812">
        <v>3</v>
      </c>
      <c r="G1189" s="5813">
        <v>0.10972222222222222</v>
      </c>
      <c r="H1189" s="21" t="s">
        <v>10</v>
      </c>
      <c r="I1189" s="21" t="s">
        <v>2269</v>
      </c>
      <c r="J1189" s="21" t="s">
        <v>722</v>
      </c>
      <c r="K1189" s="5814" t="s">
        <v>5375</v>
      </c>
    </row>
    <row r="1190" spans="1:11">
      <c r="A1190" s="21" t="s">
        <v>2276</v>
      </c>
      <c r="B1190" s="21" t="s">
        <v>5376</v>
      </c>
      <c r="C1190" s="21" t="s">
        <v>8</v>
      </c>
      <c r="D1190" s="21" t="s">
        <v>416</v>
      </c>
      <c r="E1190" s="21" t="s">
        <v>46</v>
      </c>
      <c r="F1190" s="5812">
        <v>3</v>
      </c>
      <c r="G1190" s="5813">
        <v>0.12361111111111112</v>
      </c>
      <c r="H1190" s="21" t="s">
        <v>10</v>
      </c>
      <c r="I1190" s="21" t="s">
        <v>2247</v>
      </c>
      <c r="J1190" s="21" t="s">
        <v>430</v>
      </c>
      <c r="K1190" s="5814" t="s">
        <v>5377</v>
      </c>
    </row>
    <row r="1191" spans="1:11">
      <c r="A1191" s="21" t="s">
        <v>2941</v>
      </c>
      <c r="B1191" s="21" t="s">
        <v>494</v>
      </c>
      <c r="C1191" s="21" t="s">
        <v>179</v>
      </c>
      <c r="D1191" s="21" t="s">
        <v>416</v>
      </c>
      <c r="E1191" s="21" t="s">
        <v>920</v>
      </c>
      <c r="F1191" s="5812">
        <v>1</v>
      </c>
      <c r="G1191" s="5813">
        <v>0.15763888888888888</v>
      </c>
      <c r="H1191" s="21" t="s">
        <v>10</v>
      </c>
      <c r="I1191" s="21" t="s">
        <v>23</v>
      </c>
      <c r="J1191" s="21" t="s">
        <v>5378</v>
      </c>
      <c r="K1191" s="5814" t="s">
        <v>5379</v>
      </c>
    </row>
    <row r="1192" spans="1:11">
      <c r="A1192" s="21" t="s">
        <v>4317</v>
      </c>
      <c r="B1192" s="21" t="s">
        <v>5380</v>
      </c>
      <c r="C1192" s="21" t="s">
        <v>22</v>
      </c>
      <c r="D1192" s="21" t="s">
        <v>416</v>
      </c>
      <c r="E1192" s="21" t="s">
        <v>61</v>
      </c>
      <c r="F1192" s="5812">
        <v>1</v>
      </c>
      <c r="G1192" s="5813">
        <v>3.4027777777777775E-2</v>
      </c>
      <c r="H1192" s="21" t="s">
        <v>10</v>
      </c>
      <c r="I1192" s="21" t="s">
        <v>47</v>
      </c>
      <c r="J1192" s="21" t="s">
        <v>67</v>
      </c>
      <c r="K1192" s="5814" t="s">
        <v>5381</v>
      </c>
    </row>
    <row r="1193" spans="1:11">
      <c r="A1193" s="21" t="s">
        <v>2438</v>
      </c>
      <c r="B1193" s="21" t="s">
        <v>5382</v>
      </c>
      <c r="C1193" s="21" t="s">
        <v>8</v>
      </c>
      <c r="D1193" s="21" t="s">
        <v>416</v>
      </c>
      <c r="E1193" s="21" t="s">
        <v>61</v>
      </c>
      <c r="F1193" s="5812">
        <v>1</v>
      </c>
      <c r="G1193" s="5813">
        <v>4.027777777777778E-2</v>
      </c>
      <c r="H1193" s="21" t="s">
        <v>10</v>
      </c>
      <c r="I1193" s="21" t="s">
        <v>2544</v>
      </c>
      <c r="J1193" s="21" t="s">
        <v>3313</v>
      </c>
      <c r="K1193" s="5814" t="s">
        <v>5383</v>
      </c>
    </row>
    <row r="1194" spans="1:11">
      <c r="A1194" s="21" t="s">
        <v>2893</v>
      </c>
      <c r="B1194" s="21" t="s">
        <v>5384</v>
      </c>
      <c r="C1194" s="21" t="s">
        <v>22</v>
      </c>
      <c r="D1194" s="21" t="s">
        <v>416</v>
      </c>
      <c r="E1194" s="21" t="s">
        <v>61</v>
      </c>
      <c r="F1194" s="5812">
        <v>1</v>
      </c>
      <c r="G1194" s="5813">
        <v>5.4166666666666669E-2</v>
      </c>
      <c r="H1194" s="21" t="s">
        <v>10</v>
      </c>
      <c r="I1194" s="21" t="s">
        <v>11</v>
      </c>
      <c r="J1194" s="21" t="s">
        <v>5385</v>
      </c>
      <c r="K1194" s="5814" t="s">
        <v>5386</v>
      </c>
    </row>
    <row r="1195" spans="1:11">
      <c r="A1195" s="21" t="s">
        <v>5387</v>
      </c>
      <c r="B1195" s="21" t="s">
        <v>5388</v>
      </c>
      <c r="C1195" s="21" t="s">
        <v>22</v>
      </c>
      <c r="D1195" s="21" t="s">
        <v>416</v>
      </c>
      <c r="E1195" s="21" t="s">
        <v>61</v>
      </c>
      <c r="F1195" s="5812">
        <v>1</v>
      </c>
      <c r="G1195" s="5813">
        <v>5.7638888888888892E-2</v>
      </c>
      <c r="H1195" s="21" t="s">
        <v>10</v>
      </c>
      <c r="I1195" s="21" t="s">
        <v>3441</v>
      </c>
      <c r="J1195" s="21" t="s">
        <v>3326</v>
      </c>
      <c r="K1195" s="5814" t="s">
        <v>5389</v>
      </c>
    </row>
    <row r="1196" spans="1:11">
      <c r="A1196" s="21" t="s">
        <v>5390</v>
      </c>
      <c r="B1196" s="21" t="s">
        <v>5391</v>
      </c>
      <c r="C1196" s="21" t="s">
        <v>8</v>
      </c>
      <c r="D1196" s="21" t="s">
        <v>416</v>
      </c>
      <c r="E1196" s="21" t="s">
        <v>61</v>
      </c>
      <c r="F1196" s="5812">
        <v>1</v>
      </c>
      <c r="G1196" s="5813">
        <v>6.3194444444444442E-2</v>
      </c>
      <c r="H1196" s="21" t="s">
        <v>10</v>
      </c>
      <c r="I1196" s="21" t="s">
        <v>73</v>
      </c>
      <c r="J1196" s="21" t="s">
        <v>5392</v>
      </c>
      <c r="K1196" s="5814" t="s">
        <v>5393</v>
      </c>
    </row>
    <row r="1197" spans="1:11">
      <c r="A1197" s="21" t="s">
        <v>2831</v>
      </c>
      <c r="B1197" s="21" t="s">
        <v>5394</v>
      </c>
      <c r="C1197" s="21" t="s">
        <v>8</v>
      </c>
      <c r="D1197" s="21" t="s">
        <v>416</v>
      </c>
      <c r="E1197" s="21" t="s">
        <v>61</v>
      </c>
      <c r="F1197" s="5812">
        <v>1</v>
      </c>
      <c r="G1197" s="5813">
        <v>7.5694444444444439E-2</v>
      </c>
      <c r="H1197" s="21" t="s">
        <v>10</v>
      </c>
      <c r="I1197" s="21" t="s">
        <v>226</v>
      </c>
      <c r="J1197" s="21" t="s">
        <v>67</v>
      </c>
      <c r="K1197" s="5814" t="s">
        <v>5395</v>
      </c>
    </row>
    <row r="1198" spans="1:11">
      <c r="A1198" s="21" t="s">
        <v>4257</v>
      </c>
      <c r="B1198" s="21" t="s">
        <v>5396</v>
      </c>
      <c r="C1198" s="21" t="s">
        <v>8</v>
      </c>
      <c r="D1198" s="21" t="s">
        <v>416</v>
      </c>
      <c r="E1198" s="21" t="s">
        <v>61</v>
      </c>
      <c r="F1198" s="5812">
        <v>1</v>
      </c>
      <c r="G1198" s="5813">
        <v>7.6388888888888895E-2</v>
      </c>
      <c r="H1198" s="21" t="s">
        <v>10</v>
      </c>
      <c r="I1198" s="21" t="s">
        <v>55</v>
      </c>
      <c r="J1198" s="21" t="s">
        <v>67</v>
      </c>
      <c r="K1198" s="5814" t="s">
        <v>5397</v>
      </c>
    </row>
    <row r="1199" spans="1:11">
      <c r="A1199" s="21" t="s">
        <v>3235</v>
      </c>
      <c r="B1199" s="21" t="s">
        <v>5398</v>
      </c>
      <c r="C1199" s="21" t="s">
        <v>8</v>
      </c>
      <c r="D1199" s="21" t="s">
        <v>416</v>
      </c>
      <c r="E1199" s="21" t="s">
        <v>61</v>
      </c>
      <c r="F1199" s="5812">
        <v>1</v>
      </c>
      <c r="G1199" s="5813">
        <v>8.4722222222222227E-2</v>
      </c>
      <c r="H1199" s="21" t="s">
        <v>10</v>
      </c>
      <c r="I1199" s="21" t="s">
        <v>23</v>
      </c>
      <c r="J1199" s="21" t="s">
        <v>324</v>
      </c>
      <c r="K1199" s="5814" t="s">
        <v>5399</v>
      </c>
    </row>
    <row r="1200" spans="1:11">
      <c r="A1200" s="21" t="s">
        <v>2376</v>
      </c>
      <c r="B1200" s="21" t="s">
        <v>5400</v>
      </c>
      <c r="C1200" s="21" t="s">
        <v>8</v>
      </c>
      <c r="D1200" s="21" t="s">
        <v>416</v>
      </c>
      <c r="E1200" s="21" t="s">
        <v>61</v>
      </c>
      <c r="F1200" s="5812">
        <v>1</v>
      </c>
      <c r="G1200" s="5813">
        <v>9.0972222222222218E-2</v>
      </c>
      <c r="H1200" s="21" t="s">
        <v>10</v>
      </c>
      <c r="I1200" s="21" t="s">
        <v>23</v>
      </c>
      <c r="J1200" s="21" t="s">
        <v>324</v>
      </c>
      <c r="K1200" s="5814" t="s">
        <v>5401</v>
      </c>
    </row>
    <row r="1201" spans="1:11">
      <c r="A1201" s="21" t="s">
        <v>2428</v>
      </c>
      <c r="B1201" s="21" t="s">
        <v>5402</v>
      </c>
      <c r="C1201" s="21" t="s">
        <v>8</v>
      </c>
      <c r="D1201" s="21" t="s">
        <v>416</v>
      </c>
      <c r="E1201" s="21" t="s">
        <v>61</v>
      </c>
      <c r="F1201" s="5812">
        <v>1</v>
      </c>
      <c r="G1201" s="5813">
        <v>9.3055555555555558E-2</v>
      </c>
      <c r="H1201" s="21" t="s">
        <v>10</v>
      </c>
      <c r="I1201" s="21" t="s">
        <v>2430</v>
      </c>
      <c r="J1201" s="21" t="s">
        <v>3350</v>
      </c>
      <c r="K1201" s="5814" t="s">
        <v>5403</v>
      </c>
    </row>
    <row r="1202" spans="1:11">
      <c r="A1202" s="21" t="s">
        <v>160</v>
      </c>
      <c r="B1202" s="21" t="s">
        <v>494</v>
      </c>
      <c r="C1202" s="21" t="s">
        <v>8</v>
      </c>
      <c r="D1202" s="21" t="s">
        <v>416</v>
      </c>
      <c r="E1202" s="21" t="s">
        <v>61</v>
      </c>
      <c r="F1202" s="5812">
        <v>1</v>
      </c>
      <c r="G1202" s="5813">
        <v>9.5138888888888884E-2</v>
      </c>
      <c r="H1202" s="21" t="s">
        <v>10</v>
      </c>
      <c r="I1202" s="21" t="s">
        <v>47</v>
      </c>
      <c r="J1202" s="21" t="s">
        <v>495</v>
      </c>
      <c r="K1202" s="5814" t="s">
        <v>496</v>
      </c>
    </row>
    <row r="1203" spans="1:11">
      <c r="A1203" s="21" t="s">
        <v>2901</v>
      </c>
      <c r="B1203" s="21" t="s">
        <v>5404</v>
      </c>
      <c r="C1203" s="21" t="s">
        <v>8</v>
      </c>
      <c r="D1203" s="21" t="s">
        <v>416</v>
      </c>
      <c r="E1203" s="21" t="s">
        <v>61</v>
      </c>
      <c r="F1203" s="5812">
        <v>1</v>
      </c>
      <c r="G1203" s="5813">
        <v>9.583333333333334E-2</v>
      </c>
      <c r="H1203" s="21" t="s">
        <v>10</v>
      </c>
      <c r="I1203" s="21" t="s">
        <v>11</v>
      </c>
      <c r="J1203" s="21" t="s">
        <v>67</v>
      </c>
      <c r="K1203" s="5814" t="s">
        <v>5405</v>
      </c>
    </row>
    <row r="1204" spans="1:11">
      <c r="A1204" s="21" t="s">
        <v>3364</v>
      </c>
      <c r="B1204" s="21" t="s">
        <v>5406</v>
      </c>
      <c r="C1204" s="21" t="s">
        <v>8</v>
      </c>
      <c r="D1204" s="21" t="s">
        <v>416</v>
      </c>
      <c r="E1204" s="21" t="s">
        <v>61</v>
      </c>
      <c r="F1204" s="5812">
        <v>1</v>
      </c>
      <c r="G1204" s="5813">
        <v>9.583333333333334E-2</v>
      </c>
      <c r="H1204" s="21" t="s">
        <v>10</v>
      </c>
      <c r="I1204" s="21" t="s">
        <v>55</v>
      </c>
      <c r="J1204" s="21" t="s">
        <v>67</v>
      </c>
      <c r="K1204" s="5814" t="s">
        <v>5407</v>
      </c>
    </row>
    <row r="1205" spans="1:11">
      <c r="A1205" s="21" t="s">
        <v>2295</v>
      </c>
      <c r="B1205" s="21" t="s">
        <v>5408</v>
      </c>
      <c r="C1205" s="21" t="s">
        <v>22</v>
      </c>
      <c r="D1205" s="21" t="s">
        <v>416</v>
      </c>
      <c r="E1205" s="21" t="s">
        <v>61</v>
      </c>
      <c r="F1205" s="5812">
        <v>1</v>
      </c>
      <c r="G1205" s="5813">
        <v>9.930555555555555E-2</v>
      </c>
      <c r="H1205" s="21" t="s">
        <v>10</v>
      </c>
      <c r="I1205" s="21" t="s">
        <v>226</v>
      </c>
      <c r="J1205" s="21" t="s">
        <v>110</v>
      </c>
      <c r="K1205" s="5814" t="s">
        <v>5409</v>
      </c>
    </row>
    <row r="1206" spans="1:11">
      <c r="A1206" s="21" t="s">
        <v>2560</v>
      </c>
      <c r="B1206" s="21" t="s">
        <v>5410</v>
      </c>
      <c r="C1206" s="21" t="s">
        <v>22</v>
      </c>
      <c r="D1206" s="21" t="s">
        <v>416</v>
      </c>
      <c r="E1206" s="21" t="s">
        <v>61</v>
      </c>
      <c r="F1206" s="5812">
        <v>1</v>
      </c>
      <c r="G1206" s="5813">
        <v>0.10625</v>
      </c>
      <c r="H1206" s="21" t="s">
        <v>10</v>
      </c>
      <c r="I1206" s="21" t="s">
        <v>226</v>
      </c>
      <c r="J1206" s="21" t="s">
        <v>505</v>
      </c>
      <c r="K1206" s="5814" t="s">
        <v>5411</v>
      </c>
    </row>
    <row r="1207" spans="1:11">
      <c r="A1207" s="21" t="s">
        <v>5235</v>
      </c>
      <c r="B1207" s="21" t="s">
        <v>5412</v>
      </c>
      <c r="C1207" s="21" t="s">
        <v>8</v>
      </c>
      <c r="D1207" s="21" t="s">
        <v>416</v>
      </c>
      <c r="E1207" s="21" t="s">
        <v>61</v>
      </c>
      <c r="F1207" s="5812">
        <v>1</v>
      </c>
      <c r="G1207" s="5813">
        <v>0.1076388888888889</v>
      </c>
      <c r="H1207" s="21" t="s">
        <v>10</v>
      </c>
      <c r="I1207" s="21" t="s">
        <v>2660</v>
      </c>
      <c r="J1207" s="21" t="s">
        <v>67</v>
      </c>
      <c r="K1207" s="5814" t="s">
        <v>5413</v>
      </c>
    </row>
    <row r="1208" spans="1:11">
      <c r="A1208" s="21" t="s">
        <v>3208</v>
      </c>
      <c r="B1208" s="21" t="s">
        <v>5414</v>
      </c>
      <c r="C1208" s="21" t="s">
        <v>8</v>
      </c>
      <c r="D1208" s="21" t="s">
        <v>416</v>
      </c>
      <c r="E1208" s="21" t="s">
        <v>61</v>
      </c>
      <c r="F1208" s="5812">
        <v>1</v>
      </c>
      <c r="G1208" s="5813">
        <v>0.13055555555555556</v>
      </c>
      <c r="H1208" s="21" t="s">
        <v>10</v>
      </c>
      <c r="I1208" s="21" t="s">
        <v>187</v>
      </c>
      <c r="J1208" s="21" t="s">
        <v>3350</v>
      </c>
      <c r="K1208" s="5814" t="s">
        <v>5415</v>
      </c>
    </row>
    <row r="1209" spans="1:11">
      <c r="A1209" s="21" t="s">
        <v>3882</v>
      </c>
      <c r="B1209" s="21" t="s">
        <v>5416</v>
      </c>
      <c r="C1209" s="21" t="s">
        <v>8</v>
      </c>
      <c r="D1209" s="21" t="s">
        <v>416</v>
      </c>
      <c r="E1209" s="21" t="s">
        <v>61</v>
      </c>
      <c r="F1209" s="5812">
        <v>1</v>
      </c>
      <c r="G1209" s="5813">
        <v>0.13402777777777777</v>
      </c>
      <c r="H1209" s="21" t="s">
        <v>10</v>
      </c>
      <c r="I1209" s="21" t="s">
        <v>23</v>
      </c>
      <c r="J1209" s="21" t="s">
        <v>67</v>
      </c>
      <c r="K1209" s="5814" t="s">
        <v>5417</v>
      </c>
    </row>
    <row r="1210" spans="1:11">
      <c r="A1210" s="21" t="s">
        <v>2358</v>
      </c>
      <c r="B1210" s="21" t="s">
        <v>5418</v>
      </c>
      <c r="C1210" s="21" t="s">
        <v>8</v>
      </c>
      <c r="D1210" s="21" t="s">
        <v>416</v>
      </c>
      <c r="E1210" s="21" t="s">
        <v>61</v>
      </c>
      <c r="F1210" s="5812">
        <v>1</v>
      </c>
      <c r="G1210" s="5813">
        <v>0.1361111111111111</v>
      </c>
      <c r="H1210" s="21" t="s">
        <v>10</v>
      </c>
      <c r="I1210" s="21" t="s">
        <v>96</v>
      </c>
      <c r="J1210" s="21" t="s">
        <v>67</v>
      </c>
      <c r="K1210" s="5814" t="s">
        <v>5419</v>
      </c>
    </row>
    <row r="1211" spans="1:11">
      <c r="A1211" s="21" t="s">
        <v>2509</v>
      </c>
      <c r="B1211" s="21" t="s">
        <v>5420</v>
      </c>
      <c r="C1211" s="21" t="s">
        <v>8</v>
      </c>
      <c r="D1211" s="21" t="s">
        <v>416</v>
      </c>
      <c r="E1211" s="21" t="s">
        <v>61</v>
      </c>
      <c r="F1211" s="5812">
        <v>1</v>
      </c>
      <c r="G1211" s="5813">
        <v>0.13750000000000001</v>
      </c>
      <c r="H1211" s="21" t="s">
        <v>10</v>
      </c>
      <c r="I1211" s="21" t="s">
        <v>400</v>
      </c>
      <c r="J1211" s="21" t="s">
        <v>5421</v>
      </c>
      <c r="K1211" s="5814" t="s">
        <v>5422</v>
      </c>
    </row>
    <row r="1212" spans="1:11">
      <c r="A1212" s="21" t="s">
        <v>2084</v>
      </c>
      <c r="B1212" s="21" t="s">
        <v>5423</v>
      </c>
      <c r="C1212" s="21" t="s">
        <v>8</v>
      </c>
      <c r="D1212" s="21" t="s">
        <v>416</v>
      </c>
      <c r="E1212" s="21" t="s">
        <v>61</v>
      </c>
      <c r="F1212" s="5812">
        <v>1</v>
      </c>
      <c r="G1212" s="5813">
        <v>0.14305555555555555</v>
      </c>
      <c r="H1212" s="21" t="s">
        <v>10</v>
      </c>
      <c r="I1212" s="21" t="s">
        <v>47</v>
      </c>
      <c r="J1212" s="21" t="s">
        <v>836</v>
      </c>
      <c r="K1212" s="5814" t="s">
        <v>5424</v>
      </c>
    </row>
    <row r="1213" spans="1:11">
      <c r="A1213" s="21" t="s">
        <v>2225</v>
      </c>
      <c r="B1213" s="21" t="s">
        <v>5425</v>
      </c>
      <c r="C1213" s="21" t="s">
        <v>8</v>
      </c>
      <c r="D1213" s="21" t="s">
        <v>416</v>
      </c>
      <c r="E1213" s="21" t="s">
        <v>61</v>
      </c>
      <c r="F1213" s="5812">
        <v>1</v>
      </c>
      <c r="G1213" s="5813">
        <v>0.16388888888888889</v>
      </c>
      <c r="H1213" s="21" t="s">
        <v>10</v>
      </c>
      <c r="I1213" s="21" t="s">
        <v>162</v>
      </c>
      <c r="J1213" s="21" t="s">
        <v>67</v>
      </c>
      <c r="K1213" s="5814" t="s">
        <v>5426</v>
      </c>
    </row>
    <row r="1214" spans="1:11">
      <c r="A1214" s="21" t="s">
        <v>2918</v>
      </c>
      <c r="B1214" s="21" t="s">
        <v>5427</v>
      </c>
      <c r="C1214" s="21" t="s">
        <v>8</v>
      </c>
      <c r="D1214" s="21" t="s">
        <v>416</v>
      </c>
      <c r="E1214" s="21" t="s">
        <v>61</v>
      </c>
      <c r="F1214" s="5812">
        <v>1</v>
      </c>
      <c r="G1214" s="5813">
        <v>0.18055555555555555</v>
      </c>
      <c r="H1214" s="21" t="s">
        <v>10</v>
      </c>
      <c r="I1214" s="21" t="s">
        <v>23</v>
      </c>
      <c r="J1214" s="21" t="s">
        <v>3383</v>
      </c>
      <c r="K1214" s="5814" t="s">
        <v>5428</v>
      </c>
    </row>
    <row r="1215" spans="1:11">
      <c r="A1215" s="21" t="s">
        <v>20</v>
      </c>
      <c r="B1215" s="21" t="s">
        <v>441</v>
      </c>
      <c r="C1215" s="21" t="s">
        <v>8</v>
      </c>
      <c r="D1215" s="21" t="s">
        <v>416</v>
      </c>
      <c r="E1215" s="21" t="s">
        <v>61</v>
      </c>
      <c r="F1215" s="5812">
        <v>1</v>
      </c>
      <c r="G1215" s="5813">
        <v>0.18541666666666667</v>
      </c>
      <c r="H1215" s="21" t="s">
        <v>10</v>
      </c>
      <c r="I1215" s="21" t="s">
        <v>55</v>
      </c>
      <c r="J1215" s="21" t="s">
        <v>67</v>
      </c>
      <c r="K1215" s="5814" t="s">
        <v>442</v>
      </c>
    </row>
    <row r="1216" spans="1:11">
      <c r="A1216" s="21" t="s">
        <v>4289</v>
      </c>
      <c r="B1216" s="21" t="s">
        <v>5429</v>
      </c>
      <c r="C1216" s="21" t="s">
        <v>8</v>
      </c>
      <c r="D1216" s="21" t="s">
        <v>416</v>
      </c>
      <c r="E1216" s="21" t="s">
        <v>61</v>
      </c>
      <c r="F1216" s="5812">
        <v>1</v>
      </c>
      <c r="G1216" s="5813">
        <v>0.1875</v>
      </c>
      <c r="H1216" s="21" t="s">
        <v>10</v>
      </c>
      <c r="I1216" s="21" t="s">
        <v>2713</v>
      </c>
      <c r="J1216" s="21" t="s">
        <v>67</v>
      </c>
      <c r="K1216" s="5814" t="s">
        <v>5430</v>
      </c>
    </row>
    <row r="1217" spans="1:11">
      <c r="A1217" s="21" t="s">
        <v>2395</v>
      </c>
      <c r="B1217" s="21" t="s">
        <v>5431</v>
      </c>
      <c r="C1217" s="21" t="s">
        <v>8</v>
      </c>
      <c r="D1217" s="21" t="s">
        <v>416</v>
      </c>
      <c r="E1217" s="21" t="s">
        <v>61</v>
      </c>
      <c r="F1217" s="5812">
        <v>1</v>
      </c>
      <c r="G1217" s="5813">
        <v>0.19027777777777777</v>
      </c>
      <c r="H1217" s="21" t="s">
        <v>10</v>
      </c>
      <c r="I1217" s="21" t="s">
        <v>4535</v>
      </c>
      <c r="J1217" s="21" t="s">
        <v>67</v>
      </c>
      <c r="K1217" s="5814" t="s">
        <v>5432</v>
      </c>
    </row>
    <row r="1218" spans="1:11">
      <c r="A1218" s="21" t="s">
        <v>3703</v>
      </c>
      <c r="B1218" s="21" t="s">
        <v>5433</v>
      </c>
      <c r="C1218" s="21" t="s">
        <v>22</v>
      </c>
      <c r="D1218" s="21" t="s">
        <v>416</v>
      </c>
      <c r="E1218" s="21" t="s">
        <v>61</v>
      </c>
      <c r="F1218" s="5812">
        <v>2</v>
      </c>
      <c r="G1218" s="5813">
        <v>3.3333333333333333E-2</v>
      </c>
      <c r="H1218" s="21" t="s">
        <v>10</v>
      </c>
      <c r="I1218" s="21" t="s">
        <v>2313</v>
      </c>
      <c r="J1218" s="21" t="s">
        <v>324</v>
      </c>
      <c r="K1218" s="5814" t="s">
        <v>5434</v>
      </c>
    </row>
    <row r="1219" spans="1:11">
      <c r="A1219" s="21" t="s">
        <v>185</v>
      </c>
      <c r="B1219" s="21" t="s">
        <v>504</v>
      </c>
      <c r="C1219" s="21" t="s">
        <v>22</v>
      </c>
      <c r="D1219" s="21" t="s">
        <v>416</v>
      </c>
      <c r="E1219" s="21" t="s">
        <v>61</v>
      </c>
      <c r="F1219" s="5812">
        <v>2</v>
      </c>
      <c r="G1219" s="5813">
        <v>5.347222222222222E-2</v>
      </c>
      <c r="H1219" s="21" t="s">
        <v>10</v>
      </c>
      <c r="I1219" s="21" t="s">
        <v>194</v>
      </c>
      <c r="J1219" s="21" t="s">
        <v>505</v>
      </c>
      <c r="K1219" s="5814" t="s">
        <v>506</v>
      </c>
    </row>
    <row r="1220" spans="1:11">
      <c r="A1220" s="21" t="s">
        <v>2088</v>
      </c>
      <c r="B1220" s="21" t="s">
        <v>5435</v>
      </c>
      <c r="C1220" s="21" t="s">
        <v>22</v>
      </c>
      <c r="D1220" s="21" t="s">
        <v>416</v>
      </c>
      <c r="E1220" s="21" t="s">
        <v>61</v>
      </c>
      <c r="F1220" s="5812">
        <v>2</v>
      </c>
      <c r="G1220" s="5813">
        <v>5.7638888888888892E-2</v>
      </c>
      <c r="H1220" s="21" t="s">
        <v>10</v>
      </c>
      <c r="I1220" s="21" t="s">
        <v>23</v>
      </c>
      <c r="J1220" s="21" t="s">
        <v>67</v>
      </c>
      <c r="K1220" s="5814" t="s">
        <v>5436</v>
      </c>
    </row>
    <row r="1221" spans="1:11">
      <c r="A1221" s="21" t="s">
        <v>2481</v>
      </c>
      <c r="B1221" s="21" t="s">
        <v>1101</v>
      </c>
      <c r="C1221" s="21" t="s">
        <v>8</v>
      </c>
      <c r="D1221" s="21" t="s">
        <v>416</v>
      </c>
      <c r="E1221" s="21" t="s">
        <v>61</v>
      </c>
      <c r="F1221" s="5812">
        <v>2</v>
      </c>
      <c r="G1221" s="5813">
        <v>7.3611111111111113E-2</v>
      </c>
      <c r="H1221" s="21" t="s">
        <v>10</v>
      </c>
      <c r="I1221" s="21" t="s">
        <v>39</v>
      </c>
      <c r="J1221" s="21" t="s">
        <v>67</v>
      </c>
      <c r="K1221" s="5814" t="s">
        <v>5437</v>
      </c>
    </row>
    <row r="1222" spans="1:11">
      <c r="A1222" s="21" t="s">
        <v>2702</v>
      </c>
      <c r="B1222" s="21" t="s">
        <v>5438</v>
      </c>
      <c r="C1222" s="21" t="s">
        <v>8</v>
      </c>
      <c r="D1222" s="21" t="s">
        <v>416</v>
      </c>
      <c r="E1222" s="21" t="s">
        <v>61</v>
      </c>
      <c r="F1222" s="5812">
        <v>2</v>
      </c>
      <c r="G1222" s="5813">
        <v>8.3333333333333329E-2</v>
      </c>
      <c r="H1222" s="21" t="s">
        <v>10</v>
      </c>
      <c r="I1222" s="21" t="s">
        <v>4960</v>
      </c>
      <c r="J1222" s="21" t="s">
        <v>67</v>
      </c>
      <c r="K1222" s="5814" t="s">
        <v>5439</v>
      </c>
    </row>
    <row r="1223" spans="1:11">
      <c r="A1223" s="21" t="s">
        <v>2376</v>
      </c>
      <c r="B1223" s="21" t="s">
        <v>5440</v>
      </c>
      <c r="C1223" s="21" t="s">
        <v>22</v>
      </c>
      <c r="D1223" s="21" t="s">
        <v>416</v>
      </c>
      <c r="E1223" s="21" t="s">
        <v>61</v>
      </c>
      <c r="F1223" s="5812">
        <v>2</v>
      </c>
      <c r="G1223" s="5813">
        <v>0.11041666666666666</v>
      </c>
      <c r="H1223" s="21" t="s">
        <v>10</v>
      </c>
      <c r="I1223" s="21" t="s">
        <v>96</v>
      </c>
      <c r="J1223" s="21" t="s">
        <v>3326</v>
      </c>
      <c r="K1223" s="5814" t="s">
        <v>5441</v>
      </c>
    </row>
    <row r="1224" spans="1:11">
      <c r="A1224" s="21" t="s">
        <v>2323</v>
      </c>
      <c r="B1224" s="21" t="s">
        <v>5442</v>
      </c>
      <c r="C1224" s="21" t="s">
        <v>22</v>
      </c>
      <c r="D1224" s="21" t="s">
        <v>416</v>
      </c>
      <c r="E1224" s="21" t="s">
        <v>61</v>
      </c>
      <c r="F1224" s="5812">
        <v>2</v>
      </c>
      <c r="G1224" s="5813">
        <v>0.13263888888888889</v>
      </c>
      <c r="H1224" s="21" t="s">
        <v>10</v>
      </c>
      <c r="I1224" s="21" t="s">
        <v>263</v>
      </c>
      <c r="J1224" s="21" t="s">
        <v>67</v>
      </c>
      <c r="K1224" s="5814" t="s">
        <v>5443</v>
      </c>
    </row>
    <row r="1225" spans="1:11">
      <c r="A1225" s="21" t="s">
        <v>3170</v>
      </c>
      <c r="B1225" s="21" t="s">
        <v>5444</v>
      </c>
      <c r="C1225" s="21" t="s">
        <v>22</v>
      </c>
      <c r="D1225" s="21" t="s">
        <v>416</v>
      </c>
      <c r="E1225" s="21" t="s">
        <v>61</v>
      </c>
      <c r="F1225" s="5812">
        <v>2</v>
      </c>
      <c r="G1225" s="5813">
        <v>0.13402777777777777</v>
      </c>
      <c r="H1225" s="21" t="s">
        <v>10</v>
      </c>
      <c r="I1225" s="21" t="s">
        <v>2660</v>
      </c>
      <c r="J1225" s="21" t="s">
        <v>67</v>
      </c>
      <c r="K1225" s="5814" t="s">
        <v>5445</v>
      </c>
    </row>
    <row r="1226" spans="1:11">
      <c r="A1226" s="21" t="s">
        <v>3315</v>
      </c>
      <c r="B1226" s="21" t="s">
        <v>5446</v>
      </c>
      <c r="C1226" s="21" t="s">
        <v>22</v>
      </c>
      <c r="D1226" s="21" t="s">
        <v>416</v>
      </c>
      <c r="E1226" s="21" t="s">
        <v>61</v>
      </c>
      <c r="F1226" s="5812">
        <v>2</v>
      </c>
      <c r="G1226" s="5813">
        <v>0.13750000000000001</v>
      </c>
      <c r="H1226" s="21" t="s">
        <v>10</v>
      </c>
      <c r="I1226" s="21" t="s">
        <v>39</v>
      </c>
      <c r="J1226" s="21" t="s">
        <v>62</v>
      </c>
      <c r="K1226" s="5814" t="s">
        <v>5447</v>
      </c>
    </row>
    <row r="1227" spans="1:11">
      <c r="A1227" s="21" t="s">
        <v>3053</v>
      </c>
      <c r="B1227" s="21" t="s">
        <v>5448</v>
      </c>
      <c r="C1227" s="21" t="s">
        <v>22</v>
      </c>
      <c r="D1227" s="21" t="s">
        <v>416</v>
      </c>
      <c r="E1227" s="21" t="s">
        <v>61</v>
      </c>
      <c r="F1227" s="5812">
        <v>2</v>
      </c>
      <c r="G1227" s="5813">
        <v>0.13819444444444445</v>
      </c>
      <c r="H1227" s="21" t="s">
        <v>10</v>
      </c>
      <c r="I1227" s="21" t="s">
        <v>47</v>
      </c>
      <c r="J1227" s="21" t="s">
        <v>67</v>
      </c>
      <c r="K1227" s="5814" t="s">
        <v>5449</v>
      </c>
    </row>
    <row r="1228" spans="1:11">
      <c r="A1228" s="21" t="s">
        <v>5220</v>
      </c>
      <c r="B1228" s="21" t="s">
        <v>5450</v>
      </c>
      <c r="C1228" s="21" t="s">
        <v>8</v>
      </c>
      <c r="D1228" s="21" t="s">
        <v>416</v>
      </c>
      <c r="E1228" s="21" t="s">
        <v>61</v>
      </c>
      <c r="F1228" s="5812">
        <v>2</v>
      </c>
      <c r="G1228" s="5813">
        <v>0.14583333333333334</v>
      </c>
      <c r="H1228" s="21" t="s">
        <v>10</v>
      </c>
      <c r="I1228" s="21" t="s">
        <v>2814</v>
      </c>
      <c r="J1228" s="21" t="s">
        <v>67</v>
      </c>
      <c r="K1228" s="5814" t="s">
        <v>5451</v>
      </c>
    </row>
    <row r="1229" spans="1:11">
      <c r="A1229" s="21" t="s">
        <v>3036</v>
      </c>
      <c r="B1229" s="21" t="s">
        <v>5452</v>
      </c>
      <c r="C1229" s="21" t="s">
        <v>22</v>
      </c>
      <c r="D1229" s="21" t="s">
        <v>416</v>
      </c>
      <c r="E1229" s="21" t="s">
        <v>61</v>
      </c>
      <c r="F1229" s="5812">
        <v>2</v>
      </c>
      <c r="G1229" s="5813">
        <v>0.16944444444444445</v>
      </c>
      <c r="H1229" s="21" t="s">
        <v>10</v>
      </c>
      <c r="I1229" s="21" t="s">
        <v>3534</v>
      </c>
      <c r="J1229" s="21" t="s">
        <v>67</v>
      </c>
      <c r="K1229" s="5814" t="s">
        <v>5453</v>
      </c>
    </row>
    <row r="1230" spans="1:11">
      <c r="A1230" s="21" t="s">
        <v>2780</v>
      </c>
      <c r="B1230" s="21" t="s">
        <v>5454</v>
      </c>
      <c r="C1230" s="21" t="s">
        <v>22</v>
      </c>
      <c r="D1230" s="21" t="s">
        <v>416</v>
      </c>
      <c r="E1230" s="21" t="s">
        <v>61</v>
      </c>
      <c r="F1230" s="5812">
        <v>2</v>
      </c>
      <c r="G1230" s="5813">
        <v>0.17083333333333334</v>
      </c>
      <c r="H1230" s="21" t="s">
        <v>10</v>
      </c>
      <c r="I1230" s="21" t="s">
        <v>226</v>
      </c>
      <c r="J1230" s="21" t="s">
        <v>67</v>
      </c>
      <c r="K1230" s="5814" t="s">
        <v>5455</v>
      </c>
    </row>
    <row r="1231" spans="1:11">
      <c r="A1231" s="21" t="s">
        <v>4430</v>
      </c>
      <c r="B1231" s="21" t="s">
        <v>5456</v>
      </c>
      <c r="C1231" s="21" t="s">
        <v>22</v>
      </c>
      <c r="D1231" s="21" t="s">
        <v>416</v>
      </c>
      <c r="E1231" s="21" t="s">
        <v>61</v>
      </c>
      <c r="F1231" s="5812">
        <v>2</v>
      </c>
      <c r="G1231" s="5813">
        <v>0.17291666666666666</v>
      </c>
      <c r="H1231" s="21" t="s">
        <v>10</v>
      </c>
      <c r="I1231" s="21" t="s">
        <v>47</v>
      </c>
      <c r="J1231" s="21" t="s">
        <v>67</v>
      </c>
      <c r="K1231" s="5814" t="s">
        <v>5457</v>
      </c>
    </row>
    <row r="1232" spans="1:11">
      <c r="A1232" s="21" t="s">
        <v>4430</v>
      </c>
      <c r="B1232" s="21" t="s">
        <v>5458</v>
      </c>
      <c r="C1232" s="21" t="s">
        <v>8</v>
      </c>
      <c r="D1232" s="21" t="s">
        <v>416</v>
      </c>
      <c r="E1232" s="21" t="s">
        <v>61</v>
      </c>
      <c r="F1232" s="5812">
        <v>2</v>
      </c>
      <c r="G1232" s="5813">
        <v>0.17499999999999999</v>
      </c>
      <c r="H1232" s="21" t="s">
        <v>10</v>
      </c>
      <c r="I1232" s="21" t="s">
        <v>2523</v>
      </c>
      <c r="J1232" s="21" t="s">
        <v>376</v>
      </c>
      <c r="K1232" s="5814" t="s">
        <v>5459</v>
      </c>
    </row>
    <row r="1233" spans="1:11">
      <c r="A1233" s="21" t="s">
        <v>2100</v>
      </c>
      <c r="B1233" s="21" t="s">
        <v>5460</v>
      </c>
      <c r="C1233" s="21" t="s">
        <v>8</v>
      </c>
      <c r="D1233" s="21" t="s">
        <v>416</v>
      </c>
      <c r="E1233" s="21" t="s">
        <v>61</v>
      </c>
      <c r="F1233" s="5812">
        <v>2</v>
      </c>
      <c r="G1233" s="5813">
        <v>0.17986111111111111</v>
      </c>
      <c r="H1233" s="21" t="s">
        <v>10</v>
      </c>
      <c r="I1233" s="21" t="s">
        <v>73</v>
      </c>
      <c r="J1233" s="21" t="s">
        <v>5461</v>
      </c>
      <c r="K1233" s="5814" t="s">
        <v>5462</v>
      </c>
    </row>
    <row r="1234" spans="1:11">
      <c r="A1234" s="21" t="s">
        <v>3409</v>
      </c>
      <c r="B1234" s="21" t="s">
        <v>5463</v>
      </c>
      <c r="C1234" s="21" t="s">
        <v>8</v>
      </c>
      <c r="D1234" s="21" t="s">
        <v>416</v>
      </c>
      <c r="E1234" s="21" t="s">
        <v>61</v>
      </c>
      <c r="F1234" s="5812">
        <v>2</v>
      </c>
      <c r="G1234" s="5813">
        <v>0.18333333333333332</v>
      </c>
      <c r="H1234" s="21" t="s">
        <v>10</v>
      </c>
      <c r="I1234" s="21" t="s">
        <v>654</v>
      </c>
      <c r="J1234" s="21" t="s">
        <v>495</v>
      </c>
      <c r="K1234" s="5814" t="s">
        <v>5464</v>
      </c>
    </row>
    <row r="1235" spans="1:11">
      <c r="A1235" s="21" t="s">
        <v>44</v>
      </c>
      <c r="B1235" s="21" t="s">
        <v>513</v>
      </c>
      <c r="C1235" s="21" t="s">
        <v>8</v>
      </c>
      <c r="D1235" s="21" t="s">
        <v>416</v>
      </c>
      <c r="E1235" s="21" t="s">
        <v>61</v>
      </c>
      <c r="F1235" s="5812">
        <v>2</v>
      </c>
      <c r="G1235" s="5813">
        <v>0.18402777777777779</v>
      </c>
      <c r="H1235" s="21" t="s">
        <v>10</v>
      </c>
      <c r="I1235" s="21" t="s">
        <v>23</v>
      </c>
      <c r="J1235" s="21" t="s">
        <v>67</v>
      </c>
      <c r="K1235" s="5814" t="s">
        <v>514</v>
      </c>
    </row>
    <row r="1236" spans="1:11">
      <c r="A1236" s="21" t="s">
        <v>160</v>
      </c>
      <c r="B1236" s="21" t="s">
        <v>454</v>
      </c>
      <c r="C1236" s="21" t="s">
        <v>8</v>
      </c>
      <c r="D1236" s="21" t="s">
        <v>416</v>
      </c>
      <c r="E1236" s="21" t="s">
        <v>61</v>
      </c>
      <c r="F1236" s="5812">
        <v>2</v>
      </c>
      <c r="G1236" s="5813">
        <v>0.2076388888888889</v>
      </c>
      <c r="H1236" s="21" t="s">
        <v>10</v>
      </c>
      <c r="I1236" s="21" t="s">
        <v>89</v>
      </c>
      <c r="J1236" s="21" t="s">
        <v>67</v>
      </c>
      <c r="K1236" s="5814" t="s">
        <v>455</v>
      </c>
    </row>
    <row r="1237" spans="1:11">
      <c r="A1237" s="21" t="s">
        <v>2741</v>
      </c>
      <c r="B1237" s="21" t="s">
        <v>5465</v>
      </c>
      <c r="C1237" s="21" t="s">
        <v>8</v>
      </c>
      <c r="D1237" s="21" t="s">
        <v>416</v>
      </c>
      <c r="E1237" s="21" t="s">
        <v>61</v>
      </c>
      <c r="F1237" s="5812">
        <v>3</v>
      </c>
      <c r="G1237" s="5813">
        <v>7.1527777777777773E-2</v>
      </c>
      <c r="H1237" s="21" t="s">
        <v>10</v>
      </c>
      <c r="I1237" s="21" t="s">
        <v>2149</v>
      </c>
      <c r="J1237" s="21" t="s">
        <v>5466</v>
      </c>
      <c r="K1237" s="5814" t="s">
        <v>5467</v>
      </c>
    </row>
    <row r="1238" spans="1:11">
      <c r="A1238" s="21" t="s">
        <v>2772</v>
      </c>
      <c r="B1238" s="21" t="s">
        <v>5468</v>
      </c>
      <c r="C1238" s="21" t="s">
        <v>8</v>
      </c>
      <c r="D1238" s="21" t="s">
        <v>416</v>
      </c>
      <c r="E1238" s="21" t="s">
        <v>61</v>
      </c>
      <c r="F1238" s="5812">
        <v>3</v>
      </c>
      <c r="G1238" s="5813">
        <v>0.10486111111111111</v>
      </c>
      <c r="H1238" s="21" t="s">
        <v>10</v>
      </c>
      <c r="I1238" s="21" t="s">
        <v>2731</v>
      </c>
      <c r="J1238" s="21" t="s">
        <v>67</v>
      </c>
      <c r="K1238" s="5814" t="s">
        <v>5469</v>
      </c>
    </row>
    <row r="1239" spans="1:11">
      <c r="A1239" s="21" t="s">
        <v>2918</v>
      </c>
      <c r="B1239" s="21" t="s">
        <v>5470</v>
      </c>
      <c r="C1239" s="21" t="s">
        <v>22</v>
      </c>
      <c r="D1239" s="21" t="s">
        <v>416</v>
      </c>
      <c r="E1239" s="21" t="s">
        <v>61</v>
      </c>
      <c r="F1239" s="5812">
        <v>3</v>
      </c>
      <c r="G1239" s="5813">
        <v>0.13263888888888889</v>
      </c>
      <c r="H1239" s="21" t="s">
        <v>2081</v>
      </c>
      <c r="I1239" s="21" t="s">
        <v>47</v>
      </c>
      <c r="J1239" s="21" t="s">
        <v>67</v>
      </c>
      <c r="K1239" s="5814" t="s">
        <v>5471</v>
      </c>
    </row>
    <row r="1240" spans="1:11">
      <c r="A1240" s="21" t="s">
        <v>2096</v>
      </c>
      <c r="B1240" s="21" t="s">
        <v>5472</v>
      </c>
      <c r="C1240" s="21" t="s">
        <v>8</v>
      </c>
      <c r="D1240" s="21" t="s">
        <v>416</v>
      </c>
      <c r="E1240" s="21" t="s">
        <v>61</v>
      </c>
      <c r="F1240" s="5812">
        <v>3</v>
      </c>
      <c r="G1240" s="5813">
        <v>0.18472222222222223</v>
      </c>
      <c r="H1240" s="21" t="s">
        <v>10</v>
      </c>
      <c r="I1240" s="21" t="s">
        <v>2544</v>
      </c>
      <c r="J1240" s="21" t="s">
        <v>5461</v>
      </c>
      <c r="K1240" s="5814" t="s">
        <v>5473</v>
      </c>
    </row>
    <row r="1241" spans="1:11">
      <c r="A1241" s="21" t="s">
        <v>3671</v>
      </c>
      <c r="B1241" s="21" t="s">
        <v>5474</v>
      </c>
      <c r="C1241" s="21" t="s">
        <v>8</v>
      </c>
      <c r="D1241" s="21" t="s">
        <v>416</v>
      </c>
      <c r="E1241" s="21" t="s">
        <v>61</v>
      </c>
      <c r="F1241" s="5812">
        <v>3</v>
      </c>
      <c r="G1241" s="5813">
        <v>0.18888888888888888</v>
      </c>
      <c r="H1241" s="21" t="s">
        <v>10</v>
      </c>
      <c r="I1241" s="21" t="s">
        <v>55</v>
      </c>
      <c r="J1241" s="21" t="s">
        <v>897</v>
      </c>
      <c r="K1241" s="5814" t="s">
        <v>5475</v>
      </c>
    </row>
    <row r="1242" spans="1:11">
      <c r="A1242" s="21" t="s">
        <v>2174</v>
      </c>
      <c r="B1242" s="21" t="s">
        <v>5476</v>
      </c>
      <c r="C1242" s="21" t="s">
        <v>8</v>
      </c>
      <c r="D1242" s="21" t="s">
        <v>416</v>
      </c>
      <c r="E1242" s="21" t="s">
        <v>244</v>
      </c>
      <c r="F1242" s="5812">
        <v>1</v>
      </c>
      <c r="G1242" s="5813">
        <v>0.12222222222222222</v>
      </c>
      <c r="H1242" s="21" t="s">
        <v>10</v>
      </c>
      <c r="I1242" s="21" t="s">
        <v>233</v>
      </c>
      <c r="J1242" s="21"/>
      <c r="K1242" s="5814" t="s">
        <v>5477</v>
      </c>
    </row>
    <row r="1243" spans="1:11">
      <c r="A1243" s="21" t="s">
        <v>3664</v>
      </c>
      <c r="B1243" s="21" t="s">
        <v>5478</v>
      </c>
      <c r="C1243" s="21" t="s">
        <v>179</v>
      </c>
      <c r="D1243" s="21" t="s">
        <v>538</v>
      </c>
      <c r="E1243" s="21" t="s">
        <v>180</v>
      </c>
      <c r="F1243" s="5812">
        <v>1</v>
      </c>
      <c r="G1243" s="5813">
        <v>2.013888888888889E-2</v>
      </c>
      <c r="H1243" s="21" t="s">
        <v>10</v>
      </c>
      <c r="I1243" s="21" t="s">
        <v>226</v>
      </c>
      <c r="J1243" s="21" t="s">
        <v>5479</v>
      </c>
      <c r="K1243" s="5814" t="s">
        <v>5480</v>
      </c>
    </row>
    <row r="1244" spans="1:11">
      <c r="A1244" s="21" t="s">
        <v>2165</v>
      </c>
      <c r="B1244" s="21" t="s">
        <v>5481</v>
      </c>
      <c r="C1244" s="21" t="s">
        <v>179</v>
      </c>
      <c r="D1244" s="21" t="s">
        <v>538</v>
      </c>
      <c r="E1244" s="21" t="s">
        <v>180</v>
      </c>
      <c r="F1244" s="5812">
        <v>1</v>
      </c>
      <c r="G1244" s="5813">
        <v>0.16875000000000001</v>
      </c>
      <c r="H1244" s="21" t="s">
        <v>10</v>
      </c>
      <c r="I1244" s="21" t="s">
        <v>5482</v>
      </c>
      <c r="J1244" s="21" t="s">
        <v>3628</v>
      </c>
      <c r="K1244" s="5814" t="s">
        <v>5483</v>
      </c>
    </row>
    <row r="1245" spans="1:11">
      <c r="A1245" s="21" t="s">
        <v>2258</v>
      </c>
      <c r="B1245" s="21" t="s">
        <v>5484</v>
      </c>
      <c r="C1245" s="21" t="s">
        <v>8</v>
      </c>
      <c r="D1245" s="21" t="s">
        <v>538</v>
      </c>
      <c r="E1245" s="21" t="s">
        <v>710</v>
      </c>
      <c r="F1245" s="5812">
        <v>3</v>
      </c>
      <c r="G1245" s="5813">
        <v>6.3194444444444442E-2</v>
      </c>
      <c r="H1245" s="21" t="s">
        <v>10</v>
      </c>
      <c r="I1245" s="21" t="s">
        <v>2713</v>
      </c>
      <c r="J1245" s="21" t="s">
        <v>5485</v>
      </c>
      <c r="K1245" s="5814" t="s">
        <v>5486</v>
      </c>
    </row>
    <row r="1246" spans="1:11">
      <c r="A1246" s="21" t="s">
        <v>2395</v>
      </c>
      <c r="B1246" s="21" t="s">
        <v>5487</v>
      </c>
      <c r="C1246" s="21" t="s">
        <v>8</v>
      </c>
      <c r="D1246" s="21" t="s">
        <v>538</v>
      </c>
      <c r="E1246" s="21" t="s">
        <v>710</v>
      </c>
      <c r="F1246" s="5812">
        <v>3</v>
      </c>
      <c r="G1246" s="5813">
        <v>0.20833333333333334</v>
      </c>
      <c r="H1246" s="21" t="s">
        <v>10</v>
      </c>
      <c r="I1246" s="21" t="s">
        <v>96</v>
      </c>
      <c r="J1246" s="21" t="s">
        <v>5488</v>
      </c>
      <c r="K1246" s="5814" t="s">
        <v>5489</v>
      </c>
    </row>
    <row r="1247" spans="1:11">
      <c r="A1247" s="21" t="s">
        <v>2542</v>
      </c>
      <c r="B1247" s="21" t="s">
        <v>5490</v>
      </c>
      <c r="C1247" s="21" t="s">
        <v>22</v>
      </c>
      <c r="D1247" s="21" t="s">
        <v>538</v>
      </c>
      <c r="E1247" s="21" t="s">
        <v>710</v>
      </c>
      <c r="F1247" s="5812">
        <v>3</v>
      </c>
      <c r="G1247" s="5813">
        <v>0.20833333333333334</v>
      </c>
      <c r="H1247" s="21" t="s">
        <v>10</v>
      </c>
      <c r="I1247" s="21" t="s">
        <v>2814</v>
      </c>
      <c r="J1247" s="21" t="s">
        <v>5491</v>
      </c>
      <c r="K1247" s="5814" t="s">
        <v>5492</v>
      </c>
    </row>
    <row r="1248" spans="1:11">
      <c r="A1248" s="21" t="s">
        <v>3430</v>
      </c>
      <c r="B1248" s="21" t="s">
        <v>5493</v>
      </c>
      <c r="C1248" s="21" t="s">
        <v>22</v>
      </c>
      <c r="D1248" s="21" t="s">
        <v>538</v>
      </c>
      <c r="E1248" s="21" t="s">
        <v>710</v>
      </c>
      <c r="F1248" s="5812">
        <v>3</v>
      </c>
      <c r="G1248" s="5813">
        <v>0.20833333333333334</v>
      </c>
      <c r="H1248" s="21" t="s">
        <v>10</v>
      </c>
      <c r="I1248" s="21" t="s">
        <v>55</v>
      </c>
      <c r="J1248" s="21" t="s">
        <v>5494</v>
      </c>
      <c r="K1248" s="5814" t="s">
        <v>5495</v>
      </c>
    </row>
    <row r="1249" spans="1:11">
      <c r="A1249" s="21" t="s">
        <v>2827</v>
      </c>
      <c r="B1249" s="21" t="s">
        <v>5496</v>
      </c>
      <c r="C1249" s="21" t="s">
        <v>709</v>
      </c>
      <c r="D1249" s="21" t="s">
        <v>538</v>
      </c>
      <c r="E1249" s="21" t="s">
        <v>710</v>
      </c>
      <c r="F1249" s="5812">
        <v>3</v>
      </c>
      <c r="G1249" s="5813">
        <v>0.20833333333333334</v>
      </c>
      <c r="H1249" s="21" t="s">
        <v>10</v>
      </c>
      <c r="I1249" s="21" t="s">
        <v>47</v>
      </c>
      <c r="J1249" s="21" t="s">
        <v>5497</v>
      </c>
      <c r="K1249" s="5814" t="s">
        <v>5498</v>
      </c>
    </row>
    <row r="1250" spans="1:11">
      <c r="A1250" s="21" t="s">
        <v>3006</v>
      </c>
      <c r="B1250" s="21" t="s">
        <v>5499</v>
      </c>
      <c r="C1250" s="21" t="s">
        <v>22</v>
      </c>
      <c r="D1250" s="21" t="s">
        <v>538</v>
      </c>
      <c r="E1250" s="21" t="s">
        <v>710</v>
      </c>
      <c r="F1250" s="5812">
        <v>3</v>
      </c>
      <c r="G1250" s="5813">
        <v>0.20833333333333334</v>
      </c>
      <c r="H1250" s="21" t="s">
        <v>10</v>
      </c>
      <c r="I1250" s="21" t="s">
        <v>187</v>
      </c>
      <c r="J1250" s="21" t="s">
        <v>5500</v>
      </c>
      <c r="K1250" s="5814" t="s">
        <v>5501</v>
      </c>
    </row>
    <row r="1251" spans="1:11">
      <c r="A1251" s="21" t="s">
        <v>3102</v>
      </c>
      <c r="B1251" s="21" t="s">
        <v>5502</v>
      </c>
      <c r="C1251" s="21" t="s">
        <v>8</v>
      </c>
      <c r="D1251" s="21" t="s">
        <v>538</v>
      </c>
      <c r="E1251" s="21" t="s">
        <v>193</v>
      </c>
      <c r="F1251" s="5812">
        <v>3</v>
      </c>
      <c r="G1251" s="5813">
        <v>4.5138888888888888E-2</v>
      </c>
      <c r="H1251" s="21" t="s">
        <v>10</v>
      </c>
      <c r="I1251" s="21" t="s">
        <v>39</v>
      </c>
      <c r="J1251" s="21" t="s">
        <v>5503</v>
      </c>
      <c r="K1251" s="5814" t="s">
        <v>5504</v>
      </c>
    </row>
    <row r="1252" spans="1:11">
      <c r="A1252" s="21" t="s">
        <v>3491</v>
      </c>
      <c r="B1252" s="21" t="s">
        <v>5505</v>
      </c>
      <c r="C1252" s="21" t="s">
        <v>22</v>
      </c>
      <c r="D1252" s="21" t="s">
        <v>538</v>
      </c>
      <c r="E1252" s="21" t="s">
        <v>193</v>
      </c>
      <c r="F1252" s="5812">
        <v>3</v>
      </c>
      <c r="G1252" s="5813">
        <v>0.20833333333333334</v>
      </c>
      <c r="H1252" s="21" t="s">
        <v>10</v>
      </c>
      <c r="I1252" s="21" t="s">
        <v>55</v>
      </c>
      <c r="J1252" s="21" t="s">
        <v>5506</v>
      </c>
      <c r="K1252" s="5814" t="s">
        <v>5507</v>
      </c>
    </row>
    <row r="1253" spans="1:11">
      <c r="A1253" s="21" t="s">
        <v>2387</v>
      </c>
      <c r="B1253" s="21" t="s">
        <v>5508</v>
      </c>
      <c r="C1253" s="21" t="s">
        <v>22</v>
      </c>
      <c r="D1253" s="21" t="s">
        <v>538</v>
      </c>
      <c r="E1253" s="21" t="s">
        <v>193</v>
      </c>
      <c r="F1253" s="5812">
        <v>3</v>
      </c>
      <c r="G1253" s="5813">
        <v>0.20833333333333334</v>
      </c>
      <c r="H1253" s="21" t="s">
        <v>10</v>
      </c>
      <c r="I1253" s="21" t="s">
        <v>39</v>
      </c>
      <c r="J1253" s="21" t="s">
        <v>5509</v>
      </c>
      <c r="K1253" s="5814" t="s">
        <v>5510</v>
      </c>
    </row>
    <row r="1254" spans="1:11">
      <c r="A1254" s="21" t="s">
        <v>2053</v>
      </c>
      <c r="B1254" s="21" t="s">
        <v>5511</v>
      </c>
      <c r="C1254" s="21" t="s">
        <v>8</v>
      </c>
      <c r="D1254" s="21" t="s">
        <v>538</v>
      </c>
      <c r="E1254" s="21" t="s">
        <v>193</v>
      </c>
      <c r="F1254" s="5812">
        <v>3</v>
      </c>
      <c r="G1254" s="5813">
        <v>0.20833333333333334</v>
      </c>
      <c r="H1254" s="21" t="s">
        <v>10</v>
      </c>
      <c r="I1254" s="21" t="s">
        <v>615</v>
      </c>
      <c r="J1254" s="21" t="s">
        <v>5512</v>
      </c>
      <c r="K1254" s="5814" t="s">
        <v>5513</v>
      </c>
    </row>
    <row r="1255" spans="1:11">
      <c r="A1255" s="21" t="s">
        <v>5390</v>
      </c>
      <c r="B1255" s="21" t="s">
        <v>5514</v>
      </c>
      <c r="C1255" s="21" t="s">
        <v>22</v>
      </c>
      <c r="D1255" s="21" t="s">
        <v>538</v>
      </c>
      <c r="E1255" s="21" t="s">
        <v>193</v>
      </c>
      <c r="F1255" s="5812">
        <v>3</v>
      </c>
      <c r="G1255" s="5813">
        <v>0.20833333333333334</v>
      </c>
      <c r="H1255" s="21" t="s">
        <v>10</v>
      </c>
      <c r="I1255" s="21" t="s">
        <v>73</v>
      </c>
      <c r="J1255" s="21" t="s">
        <v>5515</v>
      </c>
      <c r="K1255" s="5814" t="s">
        <v>5516</v>
      </c>
    </row>
    <row r="1256" spans="1:11">
      <c r="A1256" s="21" t="s">
        <v>2893</v>
      </c>
      <c r="B1256" s="21" t="s">
        <v>5517</v>
      </c>
      <c r="C1256" s="21" t="s">
        <v>8</v>
      </c>
      <c r="D1256" s="21" t="s">
        <v>538</v>
      </c>
      <c r="E1256" s="21" t="s">
        <v>193</v>
      </c>
      <c r="F1256" s="5812">
        <v>3</v>
      </c>
      <c r="G1256" s="5813">
        <v>0.20833333333333334</v>
      </c>
      <c r="H1256" s="21" t="s">
        <v>10</v>
      </c>
      <c r="I1256" s="21" t="s">
        <v>39</v>
      </c>
      <c r="J1256" s="21" t="s">
        <v>5518</v>
      </c>
      <c r="K1256" s="5814" t="s">
        <v>5519</v>
      </c>
    </row>
    <row r="1257" spans="1:11">
      <c r="A1257" s="21" t="s">
        <v>2450</v>
      </c>
      <c r="B1257" s="21" t="s">
        <v>5520</v>
      </c>
      <c r="C1257" s="21" t="s">
        <v>8</v>
      </c>
      <c r="D1257" s="21" t="s">
        <v>538</v>
      </c>
      <c r="E1257" s="21" t="s">
        <v>193</v>
      </c>
      <c r="F1257" s="5812">
        <v>3</v>
      </c>
      <c r="G1257" s="5813">
        <v>0.20833333333333334</v>
      </c>
      <c r="H1257" s="21" t="s">
        <v>10</v>
      </c>
      <c r="I1257" s="21" t="s">
        <v>89</v>
      </c>
      <c r="J1257" s="21" t="s">
        <v>5521</v>
      </c>
      <c r="K1257" s="5814" t="s">
        <v>5522</v>
      </c>
    </row>
    <row r="1258" spans="1:11">
      <c r="A1258" s="21" t="s">
        <v>2495</v>
      </c>
      <c r="B1258" s="21" t="s">
        <v>5523</v>
      </c>
      <c r="C1258" s="21" t="s">
        <v>8</v>
      </c>
      <c r="D1258" s="21" t="s">
        <v>538</v>
      </c>
      <c r="E1258" s="21" t="s">
        <v>193</v>
      </c>
      <c r="F1258" s="5812">
        <v>3</v>
      </c>
      <c r="G1258" s="5813">
        <v>0.20833333333333334</v>
      </c>
      <c r="H1258" s="21" t="s">
        <v>10</v>
      </c>
      <c r="I1258" s="21" t="s">
        <v>39</v>
      </c>
      <c r="J1258" s="21" t="s">
        <v>5524</v>
      </c>
      <c r="K1258" s="5814" t="s">
        <v>5525</v>
      </c>
    </row>
    <row r="1259" spans="1:11">
      <c r="A1259" s="21" t="s">
        <v>3984</v>
      </c>
      <c r="B1259" s="21" t="s">
        <v>5526</v>
      </c>
      <c r="C1259" s="21" t="s">
        <v>8</v>
      </c>
      <c r="D1259" s="21" t="s">
        <v>538</v>
      </c>
      <c r="E1259" s="21" t="s">
        <v>193</v>
      </c>
      <c r="F1259" s="5812">
        <v>3</v>
      </c>
      <c r="G1259" s="5813">
        <v>0.20833333333333334</v>
      </c>
      <c r="H1259" s="21" t="s">
        <v>10</v>
      </c>
      <c r="I1259" s="21" t="s">
        <v>2726</v>
      </c>
      <c r="J1259" s="21" t="s">
        <v>5527</v>
      </c>
      <c r="K1259" s="5814" t="s">
        <v>5528</v>
      </c>
    </row>
    <row r="1260" spans="1:11">
      <c r="A1260" s="21" t="s">
        <v>3690</v>
      </c>
      <c r="B1260" s="21" t="s">
        <v>5529</v>
      </c>
      <c r="C1260" s="21" t="s">
        <v>22</v>
      </c>
      <c r="D1260" s="21" t="s">
        <v>538</v>
      </c>
      <c r="E1260" s="21" t="s">
        <v>193</v>
      </c>
      <c r="F1260" s="5812">
        <v>3</v>
      </c>
      <c r="G1260" s="5813">
        <v>0.20833333333333334</v>
      </c>
      <c r="H1260" s="21" t="s">
        <v>10</v>
      </c>
      <c r="I1260" s="21" t="s">
        <v>55</v>
      </c>
      <c r="J1260" s="21" t="s">
        <v>5530</v>
      </c>
      <c r="K1260" s="5814" t="s">
        <v>5531</v>
      </c>
    </row>
    <row r="1261" spans="1:11">
      <c r="A1261" s="21" t="s">
        <v>4043</v>
      </c>
      <c r="B1261" s="21" t="s">
        <v>5532</v>
      </c>
      <c r="C1261" s="21" t="s">
        <v>8</v>
      </c>
      <c r="D1261" s="21" t="s">
        <v>538</v>
      </c>
      <c r="E1261" s="21" t="s">
        <v>193</v>
      </c>
      <c r="F1261" s="5812">
        <v>3</v>
      </c>
      <c r="G1261" s="5813">
        <v>0.20833333333333334</v>
      </c>
      <c r="H1261" s="21" t="s">
        <v>10</v>
      </c>
      <c r="I1261" s="21" t="s">
        <v>55</v>
      </c>
      <c r="J1261" s="21" t="s">
        <v>5533</v>
      </c>
      <c r="K1261" s="5814" t="s">
        <v>5534</v>
      </c>
    </row>
    <row r="1262" spans="1:11">
      <c r="A1262" s="21" t="s">
        <v>3315</v>
      </c>
      <c r="B1262" s="21" t="s">
        <v>5535</v>
      </c>
      <c r="C1262" s="21" t="s">
        <v>22</v>
      </c>
      <c r="D1262" s="21" t="s">
        <v>538</v>
      </c>
      <c r="E1262" s="21" t="s">
        <v>193</v>
      </c>
      <c r="F1262" s="5812">
        <v>3</v>
      </c>
      <c r="G1262" s="5813">
        <v>0.20833333333333334</v>
      </c>
      <c r="H1262" s="21" t="s">
        <v>10</v>
      </c>
      <c r="I1262" s="21" t="s">
        <v>5536</v>
      </c>
      <c r="J1262" s="21" t="s">
        <v>5537</v>
      </c>
      <c r="K1262" s="5814" t="s">
        <v>5538</v>
      </c>
    </row>
    <row r="1263" spans="1:11">
      <c r="A1263" s="21" t="s">
        <v>2139</v>
      </c>
      <c r="B1263" s="21" t="s">
        <v>5539</v>
      </c>
      <c r="C1263" s="21" t="s">
        <v>8</v>
      </c>
      <c r="D1263" s="21" t="s">
        <v>538</v>
      </c>
      <c r="E1263" s="21" t="s">
        <v>193</v>
      </c>
      <c r="F1263" s="5812">
        <v>3</v>
      </c>
      <c r="G1263" s="5813">
        <v>0.20833333333333334</v>
      </c>
      <c r="H1263" s="21" t="s">
        <v>10</v>
      </c>
      <c r="I1263" s="21" t="s">
        <v>226</v>
      </c>
      <c r="J1263" s="21" t="s">
        <v>5540</v>
      </c>
      <c r="K1263" s="5814" t="s">
        <v>5541</v>
      </c>
    </row>
    <row r="1264" spans="1:11">
      <c r="A1264" s="21" t="s">
        <v>4116</v>
      </c>
      <c r="B1264" s="21" t="s">
        <v>5542</v>
      </c>
      <c r="C1264" s="21" t="s">
        <v>8</v>
      </c>
      <c r="D1264" s="21" t="s">
        <v>538</v>
      </c>
      <c r="E1264" s="21" t="s">
        <v>193</v>
      </c>
      <c r="F1264" s="5812">
        <v>3</v>
      </c>
      <c r="G1264" s="5813">
        <v>0.20833333333333334</v>
      </c>
      <c r="H1264" s="21" t="s">
        <v>10</v>
      </c>
      <c r="I1264" s="21" t="s">
        <v>55</v>
      </c>
      <c r="J1264" s="21" t="s">
        <v>5543</v>
      </c>
      <c r="K1264" s="5814" t="s">
        <v>5544</v>
      </c>
    </row>
    <row r="1265" spans="1:11">
      <c r="A1265" s="21" t="s">
        <v>3720</v>
      </c>
      <c r="B1265" s="21" t="s">
        <v>5545</v>
      </c>
      <c r="C1265" s="21" t="s">
        <v>8</v>
      </c>
      <c r="D1265" s="21" t="s">
        <v>538</v>
      </c>
      <c r="E1265" s="21" t="s">
        <v>193</v>
      </c>
      <c r="F1265" s="5812">
        <v>3</v>
      </c>
      <c r="G1265" s="5813">
        <v>0.20833333333333334</v>
      </c>
      <c r="H1265" s="21" t="s">
        <v>10</v>
      </c>
      <c r="I1265" s="21" t="s">
        <v>194</v>
      </c>
      <c r="J1265" s="21" t="s">
        <v>5546</v>
      </c>
      <c r="K1265" s="5814" t="s">
        <v>5547</v>
      </c>
    </row>
    <row r="1266" spans="1:11">
      <c r="A1266" s="21" t="s">
        <v>2184</v>
      </c>
      <c r="B1266" s="21" t="s">
        <v>5548</v>
      </c>
      <c r="C1266" s="21" t="s">
        <v>22</v>
      </c>
      <c r="D1266" s="21" t="s">
        <v>538</v>
      </c>
      <c r="E1266" s="21" t="s">
        <v>193</v>
      </c>
      <c r="F1266" s="5812">
        <v>3</v>
      </c>
      <c r="G1266" s="5813">
        <v>0.20833333333333334</v>
      </c>
      <c r="H1266" s="21" t="s">
        <v>10</v>
      </c>
      <c r="I1266" s="21" t="s">
        <v>226</v>
      </c>
      <c r="J1266" s="21" t="s">
        <v>5549</v>
      </c>
      <c r="K1266" s="5814" t="s">
        <v>5550</v>
      </c>
    </row>
    <row r="1267" spans="1:11">
      <c r="A1267" s="21" t="s">
        <v>3323</v>
      </c>
      <c r="B1267" s="21" t="s">
        <v>5551</v>
      </c>
      <c r="C1267" s="21" t="s">
        <v>8</v>
      </c>
      <c r="D1267" s="21" t="s">
        <v>538</v>
      </c>
      <c r="E1267" s="21" t="s">
        <v>193</v>
      </c>
      <c r="F1267" s="5812">
        <v>3</v>
      </c>
      <c r="G1267" s="5813">
        <v>0.20833333333333334</v>
      </c>
      <c r="H1267" s="21" t="s">
        <v>10</v>
      </c>
      <c r="I1267" s="21" t="s">
        <v>660</v>
      </c>
      <c r="J1267" s="21" t="s">
        <v>5552</v>
      </c>
      <c r="K1267" s="5814" t="s">
        <v>5553</v>
      </c>
    </row>
    <row r="1268" spans="1:11">
      <c r="A1268" s="21" t="s">
        <v>5554</v>
      </c>
      <c r="B1268" s="21" t="s">
        <v>5555</v>
      </c>
      <c r="C1268" s="21" t="s">
        <v>8</v>
      </c>
      <c r="D1268" s="21" t="s">
        <v>538</v>
      </c>
      <c r="E1268" s="21" t="s">
        <v>193</v>
      </c>
      <c r="F1268" s="5812">
        <v>3</v>
      </c>
      <c r="G1268" s="5813">
        <v>0.20833333333333334</v>
      </c>
      <c r="H1268" s="21" t="s">
        <v>10</v>
      </c>
      <c r="I1268" s="21" t="s">
        <v>11</v>
      </c>
      <c r="J1268" s="21" t="s">
        <v>5556</v>
      </c>
      <c r="K1268" s="5814" t="s">
        <v>5557</v>
      </c>
    </row>
    <row r="1269" spans="1:11">
      <c r="A1269" s="21" t="s">
        <v>3584</v>
      </c>
      <c r="B1269" s="21" t="s">
        <v>5558</v>
      </c>
      <c r="C1269" s="21" t="s">
        <v>22</v>
      </c>
      <c r="D1269" s="21" t="s">
        <v>538</v>
      </c>
      <c r="E1269" s="21" t="s">
        <v>193</v>
      </c>
      <c r="F1269" s="5812">
        <v>3</v>
      </c>
      <c r="G1269" s="5813">
        <v>0.20833333333333334</v>
      </c>
      <c r="H1269" s="21" t="s">
        <v>10</v>
      </c>
      <c r="I1269" s="21" t="s">
        <v>47</v>
      </c>
      <c r="J1269" s="21" t="s">
        <v>5559</v>
      </c>
      <c r="K1269" s="5814" t="s">
        <v>5560</v>
      </c>
    </row>
    <row r="1270" spans="1:11">
      <c r="A1270" s="21" t="s">
        <v>2812</v>
      </c>
      <c r="B1270" s="21" t="s">
        <v>5561</v>
      </c>
      <c r="C1270" s="21" t="s">
        <v>22</v>
      </c>
      <c r="D1270" s="21" t="s">
        <v>538</v>
      </c>
      <c r="E1270" s="21" t="s">
        <v>193</v>
      </c>
      <c r="F1270" s="5812">
        <v>3</v>
      </c>
      <c r="G1270" s="5813">
        <v>0.20833333333333334</v>
      </c>
      <c r="H1270" s="21" t="s">
        <v>10</v>
      </c>
      <c r="I1270" s="21" t="s">
        <v>2731</v>
      </c>
      <c r="J1270" s="21" t="s">
        <v>5562</v>
      </c>
      <c r="K1270" s="5814" t="s">
        <v>5563</v>
      </c>
    </row>
    <row r="1271" spans="1:11">
      <c r="A1271" s="21" t="s">
        <v>2295</v>
      </c>
      <c r="B1271" s="21" t="s">
        <v>5564</v>
      </c>
      <c r="C1271" s="21" t="s">
        <v>8</v>
      </c>
      <c r="D1271" s="21" t="s">
        <v>538</v>
      </c>
      <c r="E1271" s="21" t="s">
        <v>193</v>
      </c>
      <c r="F1271" s="5812">
        <v>3</v>
      </c>
      <c r="G1271" s="5813">
        <v>0.20833333333333334</v>
      </c>
      <c r="H1271" s="21" t="s">
        <v>10</v>
      </c>
      <c r="I1271" s="21" t="s">
        <v>55</v>
      </c>
      <c r="J1271" s="21" t="s">
        <v>5565</v>
      </c>
      <c r="K1271" s="5814" t="s">
        <v>5566</v>
      </c>
    </row>
    <row r="1272" spans="1:11">
      <c r="A1272" s="21" t="s">
        <v>2250</v>
      </c>
      <c r="B1272" s="21" t="s">
        <v>5567</v>
      </c>
      <c r="C1272" s="21" t="s">
        <v>22</v>
      </c>
      <c r="D1272" s="21" t="s">
        <v>538</v>
      </c>
      <c r="E1272" s="21" t="s">
        <v>193</v>
      </c>
      <c r="F1272" s="5812">
        <v>3</v>
      </c>
      <c r="G1272" s="5813">
        <v>0.20833333333333334</v>
      </c>
      <c r="H1272" s="21" t="s">
        <v>10</v>
      </c>
      <c r="I1272" s="21" t="s">
        <v>2297</v>
      </c>
      <c r="J1272" s="21" t="s">
        <v>5568</v>
      </c>
      <c r="K1272" s="5814" t="s">
        <v>5569</v>
      </c>
    </row>
    <row r="1273" spans="1:11">
      <c r="A1273" s="21" t="s">
        <v>2929</v>
      </c>
      <c r="B1273" s="21" t="s">
        <v>5570</v>
      </c>
      <c r="C1273" s="21" t="s">
        <v>22</v>
      </c>
      <c r="D1273" s="21" t="s">
        <v>538</v>
      </c>
      <c r="E1273" s="21" t="s">
        <v>9</v>
      </c>
      <c r="F1273" s="5812">
        <v>3</v>
      </c>
      <c r="G1273" s="5813">
        <v>6.805555555555555E-2</v>
      </c>
      <c r="H1273" s="21" t="s">
        <v>10</v>
      </c>
      <c r="I1273" s="21" t="s">
        <v>226</v>
      </c>
      <c r="J1273" s="21" t="s">
        <v>5571</v>
      </c>
      <c r="K1273" s="5814" t="s">
        <v>5572</v>
      </c>
    </row>
    <row r="1274" spans="1:11">
      <c r="A1274" s="21" t="s">
        <v>339</v>
      </c>
      <c r="B1274" s="21" t="s">
        <v>571</v>
      </c>
      <c r="C1274" s="21" t="s">
        <v>8</v>
      </c>
      <c r="D1274" s="21" t="s">
        <v>538</v>
      </c>
      <c r="E1274" s="21" t="s">
        <v>9</v>
      </c>
      <c r="F1274" s="5812">
        <v>3</v>
      </c>
      <c r="G1274" s="5813">
        <v>0.20833333333333334</v>
      </c>
      <c r="H1274" s="21" t="s">
        <v>10</v>
      </c>
      <c r="I1274" s="21" t="s">
        <v>572</v>
      </c>
      <c r="J1274" s="21" t="s">
        <v>573</v>
      </c>
      <c r="K1274" s="5814" t="s">
        <v>574</v>
      </c>
    </row>
    <row r="1275" spans="1:11">
      <c r="A1275" s="21" t="s">
        <v>94</v>
      </c>
      <c r="B1275" s="21" t="s">
        <v>542</v>
      </c>
      <c r="C1275" s="21" t="s">
        <v>8</v>
      </c>
      <c r="D1275" s="21" t="s">
        <v>538</v>
      </c>
      <c r="E1275" s="21" t="s">
        <v>9</v>
      </c>
      <c r="F1275" s="5812">
        <v>3</v>
      </c>
      <c r="G1275" s="5813">
        <v>0.20833333333333334</v>
      </c>
      <c r="H1275" s="21" t="s">
        <v>10</v>
      </c>
      <c r="I1275" s="21" t="s">
        <v>39</v>
      </c>
      <c r="J1275" s="21" t="s">
        <v>543</v>
      </c>
      <c r="K1275" s="5814" t="s">
        <v>544</v>
      </c>
    </row>
    <row r="1276" spans="1:11">
      <c r="A1276" s="21" t="s">
        <v>79</v>
      </c>
      <c r="B1276" s="21" t="s">
        <v>582</v>
      </c>
      <c r="C1276" s="21" t="s">
        <v>22</v>
      </c>
      <c r="D1276" s="21" t="s">
        <v>538</v>
      </c>
      <c r="E1276" s="21" t="s">
        <v>9</v>
      </c>
      <c r="F1276" s="5812">
        <v>3</v>
      </c>
      <c r="G1276" s="5813">
        <v>0.20833333333333334</v>
      </c>
      <c r="H1276" s="21" t="s">
        <v>10</v>
      </c>
      <c r="I1276" s="21" t="s">
        <v>39</v>
      </c>
      <c r="J1276" s="21" t="s">
        <v>583</v>
      </c>
      <c r="K1276" s="5814" t="s">
        <v>584</v>
      </c>
    </row>
    <row r="1277" spans="1:11">
      <c r="A1277" s="21" t="s">
        <v>125</v>
      </c>
      <c r="B1277" s="21" t="s">
        <v>587</v>
      </c>
      <c r="C1277" s="21" t="s">
        <v>8</v>
      </c>
      <c r="D1277" s="21" t="s">
        <v>538</v>
      </c>
      <c r="E1277" s="21" t="s">
        <v>9</v>
      </c>
      <c r="F1277" s="5812">
        <v>3</v>
      </c>
      <c r="G1277" s="5813">
        <v>0.20833333333333334</v>
      </c>
      <c r="H1277" s="21" t="s">
        <v>10</v>
      </c>
      <c r="I1277" s="21" t="s">
        <v>55</v>
      </c>
      <c r="J1277" s="21" t="s">
        <v>588</v>
      </c>
      <c r="K1277" s="5814" t="s">
        <v>589</v>
      </c>
    </row>
    <row r="1278" spans="1:11">
      <c r="A1278" s="21" t="s">
        <v>125</v>
      </c>
      <c r="B1278" s="21" t="s">
        <v>591</v>
      </c>
      <c r="C1278" s="21" t="s">
        <v>22</v>
      </c>
      <c r="D1278" s="21" t="s">
        <v>538</v>
      </c>
      <c r="E1278" s="21" t="s">
        <v>9</v>
      </c>
      <c r="F1278" s="5812">
        <v>3</v>
      </c>
      <c r="G1278" s="5813">
        <v>0.20833333333333334</v>
      </c>
      <c r="H1278" s="21" t="s">
        <v>10</v>
      </c>
      <c r="I1278" s="21" t="s">
        <v>39</v>
      </c>
      <c r="J1278" s="21" t="s">
        <v>592</v>
      </c>
      <c r="K1278" s="5814" t="s">
        <v>593</v>
      </c>
    </row>
    <row r="1279" spans="1:11">
      <c r="A1279" s="21" t="s">
        <v>311</v>
      </c>
      <c r="B1279" s="21" t="s">
        <v>555</v>
      </c>
      <c r="C1279" s="21" t="s">
        <v>22</v>
      </c>
      <c r="D1279" s="21" t="s">
        <v>538</v>
      </c>
      <c r="E1279" s="21" t="s">
        <v>9</v>
      </c>
      <c r="F1279" s="5812">
        <v>3</v>
      </c>
      <c r="G1279" s="5813">
        <v>0.20833333333333334</v>
      </c>
      <c r="H1279" s="21" t="s">
        <v>10</v>
      </c>
      <c r="I1279" s="21" t="s">
        <v>499</v>
      </c>
      <c r="J1279" s="21" t="s">
        <v>556</v>
      </c>
      <c r="K1279" s="5814" t="s">
        <v>557</v>
      </c>
    </row>
    <row r="1280" spans="1:11">
      <c r="A1280" s="21" t="s">
        <v>37</v>
      </c>
      <c r="B1280" s="21" t="s">
        <v>560</v>
      </c>
      <c r="C1280" s="21" t="s">
        <v>22</v>
      </c>
      <c r="D1280" s="21" t="s">
        <v>538</v>
      </c>
      <c r="E1280" s="21" t="s">
        <v>9</v>
      </c>
      <c r="F1280" s="5812">
        <v>3</v>
      </c>
      <c r="G1280" s="5813">
        <v>0.20833333333333334</v>
      </c>
      <c r="H1280" s="21" t="s">
        <v>10</v>
      </c>
      <c r="I1280" s="21" t="s">
        <v>47</v>
      </c>
      <c r="J1280" s="21" t="s">
        <v>500</v>
      </c>
      <c r="K1280" s="5814" t="s">
        <v>561</v>
      </c>
    </row>
    <row r="1281" spans="1:11">
      <c r="A1281" s="21" t="s">
        <v>65</v>
      </c>
      <c r="B1281" s="21" t="s">
        <v>566</v>
      </c>
      <c r="C1281" s="21" t="s">
        <v>8</v>
      </c>
      <c r="D1281" s="21" t="s">
        <v>538</v>
      </c>
      <c r="E1281" s="21" t="s">
        <v>9</v>
      </c>
      <c r="F1281" s="5812">
        <v>3</v>
      </c>
      <c r="G1281" s="5813">
        <v>0.20833333333333334</v>
      </c>
      <c r="H1281" s="21" t="s">
        <v>10</v>
      </c>
      <c r="I1281" s="21" t="s">
        <v>39</v>
      </c>
      <c r="J1281" s="21" t="s">
        <v>567</v>
      </c>
      <c r="K1281" s="5814" t="s">
        <v>568</v>
      </c>
    </row>
    <row r="1282" spans="1:11">
      <c r="A1282" s="21" t="s">
        <v>231</v>
      </c>
      <c r="B1282" s="21" t="s">
        <v>620</v>
      </c>
      <c r="C1282" s="21" t="s">
        <v>8</v>
      </c>
      <c r="D1282" s="21" t="s">
        <v>538</v>
      </c>
      <c r="E1282" s="21" t="s">
        <v>9</v>
      </c>
      <c r="F1282" s="5812">
        <v>3</v>
      </c>
      <c r="G1282" s="5813">
        <v>0.20833333333333334</v>
      </c>
      <c r="H1282" s="21" t="s">
        <v>10</v>
      </c>
      <c r="I1282" s="21" t="s">
        <v>233</v>
      </c>
      <c r="J1282" s="21" t="s">
        <v>621</v>
      </c>
      <c r="K1282" s="5814" t="s">
        <v>5573</v>
      </c>
    </row>
    <row r="1283" spans="1:11">
      <c r="A1283" s="21" t="s">
        <v>2307</v>
      </c>
      <c r="B1283" s="21" t="s">
        <v>5574</v>
      </c>
      <c r="C1283" s="21" t="s">
        <v>8</v>
      </c>
      <c r="D1283" s="21" t="s">
        <v>538</v>
      </c>
      <c r="E1283" s="21" t="s">
        <v>9</v>
      </c>
      <c r="F1283" s="5812">
        <v>3</v>
      </c>
      <c r="G1283" s="5813">
        <v>0.20833333333333334</v>
      </c>
      <c r="H1283" s="21" t="s">
        <v>10</v>
      </c>
      <c r="I1283" s="21" t="s">
        <v>226</v>
      </c>
      <c r="J1283" s="21" t="s">
        <v>5575</v>
      </c>
      <c r="K1283" s="5814" t="s">
        <v>5576</v>
      </c>
    </row>
    <row r="1284" spans="1:11">
      <c r="A1284" s="21" t="s">
        <v>2084</v>
      </c>
      <c r="B1284" s="21" t="s">
        <v>5577</v>
      </c>
      <c r="C1284" s="21" t="s">
        <v>8</v>
      </c>
      <c r="D1284" s="21" t="s">
        <v>538</v>
      </c>
      <c r="E1284" s="21" t="s">
        <v>9</v>
      </c>
      <c r="F1284" s="5812">
        <v>3</v>
      </c>
      <c r="G1284" s="5813">
        <v>0.20833333333333334</v>
      </c>
      <c r="H1284" s="21" t="s">
        <v>10</v>
      </c>
      <c r="I1284" s="21" t="s">
        <v>3343</v>
      </c>
      <c r="J1284" s="21" t="s">
        <v>5578</v>
      </c>
      <c r="K1284" s="5814" t="s">
        <v>5579</v>
      </c>
    </row>
    <row r="1285" spans="1:11">
      <c r="A1285" s="21" t="s">
        <v>4552</v>
      </c>
      <c r="B1285" s="21" t="s">
        <v>5580</v>
      </c>
      <c r="C1285" s="21" t="s">
        <v>8</v>
      </c>
      <c r="D1285" s="21" t="s">
        <v>538</v>
      </c>
      <c r="E1285" s="21" t="s">
        <v>9</v>
      </c>
      <c r="F1285" s="5812">
        <v>3</v>
      </c>
      <c r="G1285" s="5813">
        <v>0.20833333333333334</v>
      </c>
      <c r="H1285" s="21" t="s">
        <v>10</v>
      </c>
      <c r="I1285" s="21" t="s">
        <v>73</v>
      </c>
      <c r="J1285" s="21" t="s">
        <v>5027</v>
      </c>
      <c r="K1285" s="5814" t="s">
        <v>5581</v>
      </c>
    </row>
    <row r="1286" spans="1:11">
      <c r="A1286" s="21" t="s">
        <v>3495</v>
      </c>
      <c r="B1286" s="21" t="s">
        <v>5582</v>
      </c>
      <c r="C1286" s="21" t="s">
        <v>8</v>
      </c>
      <c r="D1286" s="21" t="s">
        <v>538</v>
      </c>
      <c r="E1286" s="21" t="s">
        <v>9</v>
      </c>
      <c r="F1286" s="5812">
        <v>3</v>
      </c>
      <c r="G1286" s="5813">
        <v>0.20833333333333334</v>
      </c>
      <c r="H1286" s="21" t="s">
        <v>10</v>
      </c>
      <c r="I1286" s="21" t="s">
        <v>11</v>
      </c>
      <c r="J1286" s="21" t="s">
        <v>5583</v>
      </c>
      <c r="K1286" s="5814" t="s">
        <v>5584</v>
      </c>
    </row>
    <row r="1287" spans="1:11">
      <c r="A1287" s="21" t="s">
        <v>3243</v>
      </c>
      <c r="B1287" s="21" t="s">
        <v>5585</v>
      </c>
      <c r="C1287" s="21" t="s">
        <v>8</v>
      </c>
      <c r="D1287" s="21" t="s">
        <v>538</v>
      </c>
      <c r="E1287" s="21" t="s">
        <v>9</v>
      </c>
      <c r="F1287" s="5812">
        <v>3</v>
      </c>
      <c r="G1287" s="5813">
        <v>0.20833333333333334</v>
      </c>
      <c r="H1287" s="21" t="s">
        <v>10</v>
      </c>
      <c r="I1287" s="21" t="s">
        <v>55</v>
      </c>
      <c r="J1287" s="21" t="s">
        <v>5586</v>
      </c>
      <c r="K1287" s="5814" t="s">
        <v>5587</v>
      </c>
    </row>
    <row r="1288" spans="1:11">
      <c r="A1288" s="21" t="s">
        <v>3243</v>
      </c>
      <c r="B1288" s="21" t="s">
        <v>5588</v>
      </c>
      <c r="C1288" s="21" t="s">
        <v>8</v>
      </c>
      <c r="D1288" s="21" t="s">
        <v>538</v>
      </c>
      <c r="E1288" s="21" t="s">
        <v>9</v>
      </c>
      <c r="F1288" s="5812">
        <v>3</v>
      </c>
      <c r="G1288" s="5813">
        <v>0.20833333333333334</v>
      </c>
      <c r="H1288" s="21" t="s">
        <v>10</v>
      </c>
      <c r="I1288" s="21" t="s">
        <v>39</v>
      </c>
      <c r="J1288" s="21" t="s">
        <v>5589</v>
      </c>
      <c r="K1288" s="5814" t="s">
        <v>5590</v>
      </c>
    </row>
    <row r="1289" spans="1:11">
      <c r="A1289" s="21" t="s">
        <v>3039</v>
      </c>
      <c r="B1289" s="21" t="s">
        <v>5591</v>
      </c>
      <c r="C1289" s="21" t="s">
        <v>8</v>
      </c>
      <c r="D1289" s="21" t="s">
        <v>538</v>
      </c>
      <c r="E1289" s="21" t="s">
        <v>9</v>
      </c>
      <c r="F1289" s="5812">
        <v>3</v>
      </c>
      <c r="G1289" s="5813">
        <v>0.20833333333333334</v>
      </c>
      <c r="H1289" s="21" t="s">
        <v>10</v>
      </c>
      <c r="I1289" s="21" t="s">
        <v>39</v>
      </c>
      <c r="J1289" s="21" t="s">
        <v>5592</v>
      </c>
      <c r="K1289" s="5814" t="s">
        <v>5593</v>
      </c>
    </row>
    <row r="1290" spans="1:11">
      <c r="A1290" s="21" t="s">
        <v>2088</v>
      </c>
      <c r="B1290" s="21" t="s">
        <v>5594</v>
      </c>
      <c r="C1290" s="21" t="s">
        <v>8</v>
      </c>
      <c r="D1290" s="21" t="s">
        <v>538</v>
      </c>
      <c r="E1290" s="21" t="s">
        <v>9</v>
      </c>
      <c r="F1290" s="5812">
        <v>3</v>
      </c>
      <c r="G1290" s="5813">
        <v>0.20833333333333334</v>
      </c>
      <c r="H1290" s="21" t="s">
        <v>10</v>
      </c>
      <c r="I1290" s="21" t="s">
        <v>55</v>
      </c>
      <c r="J1290" s="21" t="s">
        <v>5595</v>
      </c>
      <c r="K1290" s="5814" t="s">
        <v>5596</v>
      </c>
    </row>
    <row r="1291" spans="1:11">
      <c r="A1291" s="21" t="s">
        <v>3474</v>
      </c>
      <c r="B1291" s="21" t="s">
        <v>5597</v>
      </c>
      <c r="C1291" s="21" t="s">
        <v>8</v>
      </c>
      <c r="D1291" s="21" t="s">
        <v>538</v>
      </c>
      <c r="E1291" s="21" t="s">
        <v>9</v>
      </c>
      <c r="F1291" s="5812">
        <v>3</v>
      </c>
      <c r="G1291" s="5813">
        <v>0.20833333333333334</v>
      </c>
      <c r="H1291" s="21" t="s">
        <v>10</v>
      </c>
      <c r="I1291" s="21" t="s">
        <v>73</v>
      </c>
      <c r="J1291" s="21" t="s">
        <v>5598</v>
      </c>
      <c r="K1291" s="5814" t="s">
        <v>5599</v>
      </c>
    </row>
    <row r="1292" spans="1:11">
      <c r="A1292" s="21" t="s">
        <v>3882</v>
      </c>
      <c r="B1292" s="21" t="s">
        <v>5600</v>
      </c>
      <c r="C1292" s="21" t="s">
        <v>22</v>
      </c>
      <c r="D1292" s="21" t="s">
        <v>538</v>
      </c>
      <c r="E1292" s="21" t="s">
        <v>9</v>
      </c>
      <c r="F1292" s="5812">
        <v>3</v>
      </c>
      <c r="G1292" s="5813">
        <v>0.20833333333333334</v>
      </c>
      <c r="H1292" s="21" t="s">
        <v>10</v>
      </c>
      <c r="I1292" s="21" t="s">
        <v>654</v>
      </c>
      <c r="J1292" s="21" t="s">
        <v>5601</v>
      </c>
      <c r="K1292" s="5814" t="s">
        <v>5602</v>
      </c>
    </row>
    <row r="1293" spans="1:11">
      <c r="A1293" s="21" t="s">
        <v>2918</v>
      </c>
      <c r="B1293" s="21" t="s">
        <v>5603</v>
      </c>
      <c r="C1293" s="21" t="s">
        <v>8</v>
      </c>
      <c r="D1293" s="21" t="s">
        <v>538</v>
      </c>
      <c r="E1293" s="21" t="s">
        <v>9</v>
      </c>
      <c r="F1293" s="5812">
        <v>3</v>
      </c>
      <c r="G1293" s="5813">
        <v>0.20833333333333334</v>
      </c>
      <c r="H1293" s="21" t="s">
        <v>10</v>
      </c>
      <c r="I1293" s="21" t="s">
        <v>39</v>
      </c>
      <c r="J1293" s="21" t="s">
        <v>5604</v>
      </c>
      <c r="K1293" s="5814" t="s">
        <v>5605</v>
      </c>
    </row>
    <row r="1294" spans="1:11">
      <c r="A1294" s="21" t="s">
        <v>2092</v>
      </c>
      <c r="B1294" s="21" t="s">
        <v>5606</v>
      </c>
      <c r="C1294" s="21" t="s">
        <v>22</v>
      </c>
      <c r="D1294" s="21" t="s">
        <v>538</v>
      </c>
      <c r="E1294" s="21" t="s">
        <v>9</v>
      </c>
      <c r="F1294" s="5812">
        <v>3</v>
      </c>
      <c r="G1294" s="5813">
        <v>0.20833333333333334</v>
      </c>
      <c r="H1294" s="21" t="s">
        <v>10</v>
      </c>
      <c r="I1294" s="21" t="s">
        <v>654</v>
      </c>
      <c r="J1294" s="21" t="s">
        <v>5607</v>
      </c>
      <c r="K1294" s="5814" t="s">
        <v>5608</v>
      </c>
    </row>
    <row r="1295" spans="1:11">
      <c r="A1295" s="21" t="s">
        <v>3338</v>
      </c>
      <c r="B1295" s="21" t="s">
        <v>5609</v>
      </c>
      <c r="C1295" s="21" t="s">
        <v>8</v>
      </c>
      <c r="D1295" s="21" t="s">
        <v>538</v>
      </c>
      <c r="E1295" s="21" t="s">
        <v>9</v>
      </c>
      <c r="F1295" s="5812">
        <v>3</v>
      </c>
      <c r="G1295" s="5813">
        <v>0.20833333333333334</v>
      </c>
      <c r="H1295" s="21" t="s">
        <v>10</v>
      </c>
      <c r="I1295" s="21" t="s">
        <v>39</v>
      </c>
      <c r="J1295" s="21" t="s">
        <v>5610</v>
      </c>
      <c r="K1295" s="5814" t="s">
        <v>5611</v>
      </c>
    </row>
    <row r="1296" spans="1:11">
      <c r="A1296" s="21" t="s">
        <v>2383</v>
      </c>
      <c r="B1296" s="21" t="s">
        <v>5612</v>
      </c>
      <c r="C1296" s="21" t="s">
        <v>8</v>
      </c>
      <c r="D1296" s="21" t="s">
        <v>538</v>
      </c>
      <c r="E1296" s="21" t="s">
        <v>9</v>
      </c>
      <c r="F1296" s="5812">
        <v>3</v>
      </c>
      <c r="G1296" s="5813">
        <v>0.20833333333333334</v>
      </c>
      <c r="H1296" s="21" t="s">
        <v>10</v>
      </c>
      <c r="I1296" s="21" t="s">
        <v>654</v>
      </c>
      <c r="J1296" s="21" t="s">
        <v>5613</v>
      </c>
      <c r="K1296" s="5814" t="s">
        <v>5614</v>
      </c>
    </row>
    <row r="1297" spans="1:11">
      <c r="A1297" s="21" t="s">
        <v>2428</v>
      </c>
      <c r="B1297" s="21" t="s">
        <v>5615</v>
      </c>
      <c r="C1297" s="21" t="s">
        <v>8</v>
      </c>
      <c r="D1297" s="21" t="s">
        <v>538</v>
      </c>
      <c r="E1297" s="21" t="s">
        <v>9</v>
      </c>
      <c r="F1297" s="5812">
        <v>3</v>
      </c>
      <c r="G1297" s="5813">
        <v>0.20833333333333334</v>
      </c>
      <c r="H1297" s="21" t="s">
        <v>10</v>
      </c>
      <c r="I1297" s="21" t="s">
        <v>47</v>
      </c>
      <c r="J1297" s="21" t="s">
        <v>5616</v>
      </c>
      <c r="K1297" s="5814" t="s">
        <v>5617</v>
      </c>
    </row>
    <row r="1298" spans="1:11">
      <c r="A1298" s="21" t="s">
        <v>2446</v>
      </c>
      <c r="B1298" s="21" t="s">
        <v>5618</v>
      </c>
      <c r="C1298" s="21" t="s">
        <v>8</v>
      </c>
      <c r="D1298" s="21" t="s">
        <v>538</v>
      </c>
      <c r="E1298" s="21" t="s">
        <v>9</v>
      </c>
      <c r="F1298" s="5812">
        <v>3</v>
      </c>
      <c r="G1298" s="5813">
        <v>0.20833333333333334</v>
      </c>
      <c r="H1298" s="21" t="s">
        <v>10</v>
      </c>
      <c r="I1298" s="21" t="s">
        <v>39</v>
      </c>
      <c r="J1298" s="21" t="s">
        <v>543</v>
      </c>
      <c r="K1298" s="5814" t="s">
        <v>5619</v>
      </c>
    </row>
    <row r="1299" spans="1:11">
      <c r="A1299" s="21" t="s">
        <v>2450</v>
      </c>
      <c r="B1299" s="21" t="s">
        <v>5620</v>
      </c>
      <c r="C1299" s="21" t="s">
        <v>22</v>
      </c>
      <c r="D1299" s="21" t="s">
        <v>538</v>
      </c>
      <c r="E1299" s="21" t="s">
        <v>9</v>
      </c>
      <c r="F1299" s="5812">
        <v>3</v>
      </c>
      <c r="G1299" s="5813">
        <v>0.20833333333333334</v>
      </c>
      <c r="H1299" s="21" t="s">
        <v>10</v>
      </c>
      <c r="I1299" s="21" t="s">
        <v>55</v>
      </c>
      <c r="J1299" s="21" t="s">
        <v>5621</v>
      </c>
      <c r="K1299" s="5814" t="s">
        <v>5622</v>
      </c>
    </row>
    <row r="1300" spans="1:11">
      <c r="A1300" s="21" t="s">
        <v>3974</v>
      </c>
      <c r="B1300" s="21" t="s">
        <v>5623</v>
      </c>
      <c r="C1300" s="21" t="s">
        <v>8</v>
      </c>
      <c r="D1300" s="21" t="s">
        <v>538</v>
      </c>
      <c r="E1300" s="21" t="s">
        <v>9</v>
      </c>
      <c r="F1300" s="5812">
        <v>3</v>
      </c>
      <c r="G1300" s="5813">
        <v>0.20833333333333334</v>
      </c>
      <c r="H1300" s="21" t="s">
        <v>10</v>
      </c>
      <c r="I1300" s="21" t="s">
        <v>47</v>
      </c>
      <c r="J1300" s="21" t="s">
        <v>5624</v>
      </c>
      <c r="K1300" s="5814" t="s">
        <v>5625</v>
      </c>
    </row>
    <row r="1301" spans="1:11">
      <c r="A1301" s="21" t="s">
        <v>2974</v>
      </c>
      <c r="B1301" s="21" t="s">
        <v>5626</v>
      </c>
      <c r="C1301" s="21" t="s">
        <v>8</v>
      </c>
      <c r="D1301" s="21" t="s">
        <v>538</v>
      </c>
      <c r="E1301" s="21" t="s">
        <v>9</v>
      </c>
      <c r="F1301" s="5812">
        <v>3</v>
      </c>
      <c r="G1301" s="5813">
        <v>0.20833333333333334</v>
      </c>
      <c r="H1301" s="21" t="s">
        <v>10</v>
      </c>
      <c r="I1301" s="21" t="s">
        <v>55</v>
      </c>
      <c r="J1301" s="21" t="s">
        <v>5627</v>
      </c>
      <c r="K1301" s="5814" t="s">
        <v>5628</v>
      </c>
    </row>
    <row r="1302" spans="1:11">
      <c r="A1302" s="21" t="s">
        <v>3152</v>
      </c>
      <c r="B1302" s="21" t="s">
        <v>5629</v>
      </c>
      <c r="C1302" s="21" t="s">
        <v>8</v>
      </c>
      <c r="D1302" s="21" t="s">
        <v>538</v>
      </c>
      <c r="E1302" s="21" t="s">
        <v>9</v>
      </c>
      <c r="F1302" s="5812">
        <v>3</v>
      </c>
      <c r="G1302" s="5813">
        <v>0.20833333333333334</v>
      </c>
      <c r="H1302" s="21" t="s">
        <v>10</v>
      </c>
      <c r="I1302" s="21" t="s">
        <v>39</v>
      </c>
      <c r="J1302" s="21" t="s">
        <v>5630</v>
      </c>
      <c r="K1302" s="5814" t="s">
        <v>5631</v>
      </c>
    </row>
    <row r="1303" spans="1:11">
      <c r="A1303" s="21" t="s">
        <v>2481</v>
      </c>
      <c r="B1303" s="21" t="s">
        <v>5632</v>
      </c>
      <c r="C1303" s="21" t="s">
        <v>8</v>
      </c>
      <c r="D1303" s="21" t="s">
        <v>538</v>
      </c>
      <c r="E1303" s="21" t="s">
        <v>9</v>
      </c>
      <c r="F1303" s="5812">
        <v>3</v>
      </c>
      <c r="G1303" s="5813">
        <v>0.20833333333333334</v>
      </c>
      <c r="H1303" s="21" t="s">
        <v>10</v>
      </c>
      <c r="I1303" s="21" t="s">
        <v>39</v>
      </c>
      <c r="J1303" s="21" t="s">
        <v>5633</v>
      </c>
      <c r="K1303" s="5814" t="s">
        <v>5634</v>
      </c>
    </row>
    <row r="1304" spans="1:11">
      <c r="A1304" s="21" t="s">
        <v>2495</v>
      </c>
      <c r="B1304" s="21" t="s">
        <v>5635</v>
      </c>
      <c r="C1304" s="21" t="s">
        <v>22</v>
      </c>
      <c r="D1304" s="21" t="s">
        <v>538</v>
      </c>
      <c r="E1304" s="21" t="s">
        <v>9</v>
      </c>
      <c r="F1304" s="5812">
        <v>3</v>
      </c>
      <c r="G1304" s="5813">
        <v>0.20833333333333334</v>
      </c>
      <c r="H1304" s="21" t="s">
        <v>10</v>
      </c>
      <c r="I1304" s="21" t="s">
        <v>39</v>
      </c>
      <c r="J1304" s="21" t="s">
        <v>5636</v>
      </c>
      <c r="K1304" s="5814" t="s">
        <v>5637</v>
      </c>
    </row>
    <row r="1305" spans="1:11">
      <c r="A1305" s="21" t="s">
        <v>2901</v>
      </c>
      <c r="B1305" s="21" t="s">
        <v>5638</v>
      </c>
      <c r="C1305" s="21" t="s">
        <v>22</v>
      </c>
      <c r="D1305" s="21" t="s">
        <v>538</v>
      </c>
      <c r="E1305" s="21" t="s">
        <v>9</v>
      </c>
      <c r="F1305" s="5812">
        <v>3</v>
      </c>
      <c r="G1305" s="5813">
        <v>0.20833333333333334</v>
      </c>
      <c r="H1305" s="21" t="s">
        <v>10</v>
      </c>
      <c r="I1305" s="21" t="s">
        <v>39</v>
      </c>
      <c r="J1305" s="21" t="s">
        <v>5639</v>
      </c>
      <c r="K1305" s="5814" t="s">
        <v>5640</v>
      </c>
    </row>
    <row r="1306" spans="1:11">
      <c r="A1306" s="21" t="s">
        <v>4003</v>
      </c>
      <c r="B1306" s="21" t="s">
        <v>5641</v>
      </c>
      <c r="C1306" s="21" t="s">
        <v>22</v>
      </c>
      <c r="D1306" s="21" t="s">
        <v>538</v>
      </c>
      <c r="E1306" s="21" t="s">
        <v>9</v>
      </c>
      <c r="F1306" s="5812">
        <v>3</v>
      </c>
      <c r="G1306" s="5813">
        <v>0.20833333333333334</v>
      </c>
      <c r="H1306" s="21" t="s">
        <v>10</v>
      </c>
      <c r="I1306" s="21" t="s">
        <v>55</v>
      </c>
      <c r="J1306" s="21" t="s">
        <v>5642</v>
      </c>
      <c r="K1306" s="5814" t="s">
        <v>5643</v>
      </c>
    </row>
    <row r="1307" spans="1:11">
      <c r="A1307" s="21" t="s">
        <v>3102</v>
      </c>
      <c r="B1307" s="21" t="s">
        <v>5644</v>
      </c>
      <c r="C1307" s="21" t="s">
        <v>8</v>
      </c>
      <c r="D1307" s="21" t="s">
        <v>538</v>
      </c>
      <c r="E1307" s="21" t="s">
        <v>9</v>
      </c>
      <c r="F1307" s="5812">
        <v>3</v>
      </c>
      <c r="G1307" s="5813">
        <v>0.20833333333333334</v>
      </c>
      <c r="H1307" s="21" t="s">
        <v>10</v>
      </c>
      <c r="I1307" s="21" t="s">
        <v>11</v>
      </c>
      <c r="J1307" s="21" t="s">
        <v>4075</v>
      </c>
      <c r="K1307" s="5814" t="s">
        <v>5645</v>
      </c>
    </row>
    <row r="1308" spans="1:11">
      <c r="A1308" s="21" t="s">
        <v>3119</v>
      </c>
      <c r="B1308" s="21" t="s">
        <v>5646</v>
      </c>
      <c r="C1308" s="21" t="s">
        <v>22</v>
      </c>
      <c r="D1308" s="21" t="s">
        <v>538</v>
      </c>
      <c r="E1308" s="21" t="s">
        <v>9</v>
      </c>
      <c r="F1308" s="5812">
        <v>3</v>
      </c>
      <c r="G1308" s="5813">
        <v>0.20833333333333334</v>
      </c>
      <c r="H1308" s="21" t="s">
        <v>10</v>
      </c>
      <c r="I1308" s="21" t="s">
        <v>23</v>
      </c>
      <c r="J1308" s="21" t="s">
        <v>5647</v>
      </c>
      <c r="K1308" s="5814" t="s">
        <v>5648</v>
      </c>
    </row>
    <row r="1309" spans="1:11">
      <c r="A1309" s="21" t="s">
        <v>3348</v>
      </c>
      <c r="B1309" s="21" t="s">
        <v>5649</v>
      </c>
      <c r="C1309" s="21" t="s">
        <v>22</v>
      </c>
      <c r="D1309" s="21" t="s">
        <v>538</v>
      </c>
      <c r="E1309" s="21" t="s">
        <v>9</v>
      </c>
      <c r="F1309" s="5812">
        <v>3</v>
      </c>
      <c r="G1309" s="5813">
        <v>0.20833333333333334</v>
      </c>
      <c r="H1309" s="21" t="s">
        <v>10</v>
      </c>
      <c r="I1309" s="21" t="s">
        <v>39</v>
      </c>
      <c r="J1309" s="21" t="s">
        <v>5650</v>
      </c>
      <c r="K1309" s="5814" t="s">
        <v>5651</v>
      </c>
    </row>
    <row r="1310" spans="1:11">
      <c r="A1310" s="21" t="s">
        <v>2127</v>
      </c>
      <c r="B1310" s="21" t="s">
        <v>5652</v>
      </c>
      <c r="C1310" s="21" t="s">
        <v>8</v>
      </c>
      <c r="D1310" s="21" t="s">
        <v>538</v>
      </c>
      <c r="E1310" s="21" t="s">
        <v>9</v>
      </c>
      <c r="F1310" s="5812">
        <v>3</v>
      </c>
      <c r="G1310" s="5813">
        <v>0.20833333333333334</v>
      </c>
      <c r="H1310" s="21" t="s">
        <v>10</v>
      </c>
      <c r="I1310" s="21" t="s">
        <v>23</v>
      </c>
      <c r="J1310" s="21" t="s">
        <v>5653</v>
      </c>
      <c r="K1310" s="5814" t="s">
        <v>5654</v>
      </c>
    </row>
    <row r="1311" spans="1:11">
      <c r="A1311" s="21" t="s">
        <v>2513</v>
      </c>
      <c r="B1311" s="21" t="s">
        <v>5655</v>
      </c>
      <c r="C1311" s="21" t="s">
        <v>8</v>
      </c>
      <c r="D1311" s="21" t="s">
        <v>538</v>
      </c>
      <c r="E1311" s="21" t="s">
        <v>9</v>
      </c>
      <c r="F1311" s="5812">
        <v>3</v>
      </c>
      <c r="G1311" s="5813">
        <v>0.20833333333333334</v>
      </c>
      <c r="H1311" s="21" t="s">
        <v>10</v>
      </c>
      <c r="I1311" s="21" t="s">
        <v>39</v>
      </c>
      <c r="J1311" s="21" t="s">
        <v>2504</v>
      </c>
      <c r="K1311" s="5814" t="s">
        <v>5656</v>
      </c>
    </row>
    <row r="1312" spans="1:11">
      <c r="A1312" s="21" t="s">
        <v>2517</v>
      </c>
      <c r="B1312" s="21" t="s">
        <v>5657</v>
      </c>
      <c r="C1312" s="21" t="s">
        <v>22</v>
      </c>
      <c r="D1312" s="21" t="s">
        <v>538</v>
      </c>
      <c r="E1312" s="21" t="s">
        <v>9</v>
      </c>
      <c r="F1312" s="5812">
        <v>3</v>
      </c>
      <c r="G1312" s="5813">
        <v>0.20833333333333334</v>
      </c>
      <c r="H1312" s="21" t="s">
        <v>10</v>
      </c>
      <c r="I1312" s="21" t="s">
        <v>47</v>
      </c>
      <c r="J1312" s="21" t="s">
        <v>5658</v>
      </c>
      <c r="K1312" s="5814" t="s">
        <v>5659</v>
      </c>
    </row>
    <row r="1313" spans="1:11">
      <c r="A1313" s="21" t="s">
        <v>2521</v>
      </c>
      <c r="B1313" s="21" t="s">
        <v>5660</v>
      </c>
      <c r="C1313" s="21" t="s">
        <v>22</v>
      </c>
      <c r="D1313" s="21" t="s">
        <v>538</v>
      </c>
      <c r="E1313" s="21" t="s">
        <v>9</v>
      </c>
      <c r="F1313" s="5812">
        <v>3</v>
      </c>
      <c r="G1313" s="5813">
        <v>0.20833333333333334</v>
      </c>
      <c r="H1313" s="21" t="s">
        <v>10</v>
      </c>
      <c r="I1313" s="21" t="s">
        <v>2523</v>
      </c>
      <c r="J1313" s="21" t="s">
        <v>5661</v>
      </c>
      <c r="K1313" s="5814" t="s">
        <v>5662</v>
      </c>
    </row>
    <row r="1314" spans="1:11">
      <c r="A1314" s="21" t="s">
        <v>3203</v>
      </c>
      <c r="B1314" s="21" t="s">
        <v>5663</v>
      </c>
      <c r="C1314" s="21" t="s">
        <v>8</v>
      </c>
      <c r="D1314" s="21" t="s">
        <v>538</v>
      </c>
      <c r="E1314" s="21" t="s">
        <v>9</v>
      </c>
      <c r="F1314" s="5812">
        <v>3</v>
      </c>
      <c r="G1314" s="5813">
        <v>0.20833333333333334</v>
      </c>
      <c r="H1314" s="21" t="s">
        <v>10</v>
      </c>
      <c r="I1314" s="21" t="s">
        <v>55</v>
      </c>
      <c r="J1314" s="21" t="s">
        <v>5664</v>
      </c>
      <c r="K1314" s="5814" t="s">
        <v>5665</v>
      </c>
    </row>
    <row r="1315" spans="1:11">
      <c r="A1315" s="21" t="s">
        <v>2139</v>
      </c>
      <c r="B1315" s="21" t="s">
        <v>5666</v>
      </c>
      <c r="C1315" s="21" t="s">
        <v>8</v>
      </c>
      <c r="D1315" s="21" t="s">
        <v>538</v>
      </c>
      <c r="E1315" s="21" t="s">
        <v>9</v>
      </c>
      <c r="F1315" s="5812">
        <v>3</v>
      </c>
      <c r="G1315" s="5813">
        <v>0.20833333333333334</v>
      </c>
      <c r="H1315" s="21" t="s">
        <v>10</v>
      </c>
      <c r="I1315" s="21" t="s">
        <v>55</v>
      </c>
      <c r="J1315" s="21" t="s">
        <v>5667</v>
      </c>
      <c r="K1315" s="5814" t="s">
        <v>5668</v>
      </c>
    </row>
    <row r="1316" spans="1:11">
      <c r="A1316" s="21" t="s">
        <v>4116</v>
      </c>
      <c r="B1316" s="21" t="s">
        <v>5669</v>
      </c>
      <c r="C1316" s="21" t="s">
        <v>8</v>
      </c>
      <c r="D1316" s="21" t="s">
        <v>538</v>
      </c>
      <c r="E1316" s="21" t="s">
        <v>9</v>
      </c>
      <c r="F1316" s="5812">
        <v>3</v>
      </c>
      <c r="G1316" s="5813">
        <v>0.20833333333333334</v>
      </c>
      <c r="H1316" s="21" t="s">
        <v>10</v>
      </c>
      <c r="I1316" s="21" t="s">
        <v>55</v>
      </c>
      <c r="J1316" s="21" t="s">
        <v>5670</v>
      </c>
      <c r="K1316" s="5814" t="s">
        <v>5671</v>
      </c>
    </row>
    <row r="1317" spans="1:11">
      <c r="A1317" s="21" t="s">
        <v>2551</v>
      </c>
      <c r="B1317" s="21" t="s">
        <v>5672</v>
      </c>
      <c r="C1317" s="21" t="s">
        <v>8</v>
      </c>
      <c r="D1317" s="21" t="s">
        <v>538</v>
      </c>
      <c r="E1317" s="21" t="s">
        <v>9</v>
      </c>
      <c r="F1317" s="5812">
        <v>3</v>
      </c>
      <c r="G1317" s="5813">
        <v>0.20833333333333334</v>
      </c>
      <c r="H1317" s="21" t="s">
        <v>10</v>
      </c>
      <c r="I1317" s="21" t="s">
        <v>2218</v>
      </c>
      <c r="J1317" s="21" t="s">
        <v>5673</v>
      </c>
      <c r="K1317" s="5814" t="s">
        <v>5674</v>
      </c>
    </row>
    <row r="1318" spans="1:11">
      <c r="A1318" s="21" t="s">
        <v>2143</v>
      </c>
      <c r="B1318" s="21" t="s">
        <v>5675</v>
      </c>
      <c r="C1318" s="21" t="s">
        <v>8</v>
      </c>
      <c r="D1318" s="21" t="s">
        <v>538</v>
      </c>
      <c r="E1318" s="21" t="s">
        <v>9</v>
      </c>
      <c r="F1318" s="5812">
        <v>3</v>
      </c>
      <c r="G1318" s="5813">
        <v>0.20833333333333334</v>
      </c>
      <c r="H1318" s="21" t="s">
        <v>10</v>
      </c>
      <c r="I1318" s="21" t="s">
        <v>226</v>
      </c>
      <c r="J1318" s="21" t="s">
        <v>5676</v>
      </c>
      <c r="K1318" s="5814" t="s">
        <v>5677</v>
      </c>
    </row>
    <row r="1319" spans="1:11">
      <c r="A1319" s="21" t="s">
        <v>2147</v>
      </c>
      <c r="B1319" s="21" t="s">
        <v>5678</v>
      </c>
      <c r="C1319" s="21" t="s">
        <v>8</v>
      </c>
      <c r="D1319" s="21" t="s">
        <v>538</v>
      </c>
      <c r="E1319" s="21" t="s">
        <v>9</v>
      </c>
      <c r="F1319" s="5812">
        <v>3</v>
      </c>
      <c r="G1319" s="5813">
        <v>0.20833333333333334</v>
      </c>
      <c r="H1319" s="21" t="s">
        <v>10</v>
      </c>
      <c r="I1319" s="21" t="s">
        <v>47</v>
      </c>
      <c r="J1319" s="21" t="s">
        <v>5679</v>
      </c>
      <c r="K1319" s="5814" t="s">
        <v>5680</v>
      </c>
    </row>
    <row r="1320" spans="1:11">
      <c r="A1320" s="21" t="s">
        <v>2160</v>
      </c>
      <c r="B1320" s="21" t="s">
        <v>5681</v>
      </c>
      <c r="C1320" s="21" t="s">
        <v>8</v>
      </c>
      <c r="D1320" s="21" t="s">
        <v>538</v>
      </c>
      <c r="E1320" s="21" t="s">
        <v>9</v>
      </c>
      <c r="F1320" s="5812">
        <v>3</v>
      </c>
      <c r="G1320" s="5813">
        <v>0.20833333333333334</v>
      </c>
      <c r="H1320" s="21" t="s">
        <v>10</v>
      </c>
      <c r="I1320" s="21" t="s">
        <v>2713</v>
      </c>
      <c r="J1320" s="21" t="s">
        <v>5682</v>
      </c>
      <c r="K1320" s="5814" t="s">
        <v>5683</v>
      </c>
    </row>
    <row r="1321" spans="1:11">
      <c r="A1321" s="21" t="s">
        <v>4139</v>
      </c>
      <c r="B1321" s="21" t="s">
        <v>5684</v>
      </c>
      <c r="C1321" s="21" t="s">
        <v>8</v>
      </c>
      <c r="D1321" s="21" t="s">
        <v>538</v>
      </c>
      <c r="E1321" s="21" t="s">
        <v>9</v>
      </c>
      <c r="F1321" s="5812">
        <v>3</v>
      </c>
      <c r="G1321" s="5813">
        <v>0.20833333333333334</v>
      </c>
      <c r="H1321" s="21" t="s">
        <v>10</v>
      </c>
      <c r="I1321" s="21" t="s">
        <v>2153</v>
      </c>
      <c r="J1321" s="21" t="s">
        <v>5685</v>
      </c>
      <c r="K1321" s="5814" t="s">
        <v>5686</v>
      </c>
    </row>
    <row r="1322" spans="1:11">
      <c r="A1322" s="21" t="s">
        <v>2992</v>
      </c>
      <c r="B1322" s="21" t="s">
        <v>5687</v>
      </c>
      <c r="C1322" s="21" t="s">
        <v>22</v>
      </c>
      <c r="D1322" s="21" t="s">
        <v>538</v>
      </c>
      <c r="E1322" s="21" t="s">
        <v>9</v>
      </c>
      <c r="F1322" s="5812">
        <v>3</v>
      </c>
      <c r="G1322" s="5813">
        <v>0.20833333333333334</v>
      </c>
      <c r="H1322" s="21" t="s">
        <v>10</v>
      </c>
      <c r="I1322" s="21" t="s">
        <v>4417</v>
      </c>
      <c r="J1322" s="21" t="s">
        <v>5688</v>
      </c>
      <c r="K1322" s="5814" t="s">
        <v>5689</v>
      </c>
    </row>
    <row r="1323" spans="1:11">
      <c r="A1323" s="21" t="s">
        <v>2179</v>
      </c>
      <c r="B1323" s="21" t="s">
        <v>5690</v>
      </c>
      <c r="C1323" s="21" t="s">
        <v>8</v>
      </c>
      <c r="D1323" s="21" t="s">
        <v>538</v>
      </c>
      <c r="E1323" s="21" t="s">
        <v>9</v>
      </c>
      <c r="F1323" s="5812">
        <v>3</v>
      </c>
      <c r="G1323" s="5813">
        <v>0.20833333333333334</v>
      </c>
      <c r="H1323" s="21" t="s">
        <v>10</v>
      </c>
      <c r="I1323" s="21" t="s">
        <v>73</v>
      </c>
      <c r="J1323" s="21" t="s">
        <v>5691</v>
      </c>
      <c r="K1323" s="5814" t="s">
        <v>5692</v>
      </c>
    </row>
    <row r="1324" spans="1:11">
      <c r="A1324" s="21" t="s">
        <v>2609</v>
      </c>
      <c r="B1324" s="21" t="s">
        <v>5693</v>
      </c>
      <c r="C1324" s="21" t="s">
        <v>22</v>
      </c>
      <c r="D1324" s="21" t="s">
        <v>538</v>
      </c>
      <c r="E1324" s="21" t="s">
        <v>9</v>
      </c>
      <c r="F1324" s="5812">
        <v>3</v>
      </c>
      <c r="G1324" s="5813">
        <v>0.20833333333333334</v>
      </c>
      <c r="H1324" s="21" t="s">
        <v>10</v>
      </c>
      <c r="I1324" s="21" t="s">
        <v>226</v>
      </c>
      <c r="J1324" s="21" t="s">
        <v>5694</v>
      </c>
      <c r="K1324" s="5814" t="s">
        <v>5695</v>
      </c>
    </row>
    <row r="1325" spans="1:11">
      <c r="A1325" s="21" t="s">
        <v>2616</v>
      </c>
      <c r="B1325" s="21" t="s">
        <v>5696</v>
      </c>
      <c r="C1325" s="21" t="s">
        <v>8</v>
      </c>
      <c r="D1325" s="21" t="s">
        <v>538</v>
      </c>
      <c r="E1325" s="21" t="s">
        <v>9</v>
      </c>
      <c r="F1325" s="5812">
        <v>3</v>
      </c>
      <c r="G1325" s="5813">
        <v>0.20833333333333334</v>
      </c>
      <c r="H1325" s="21" t="s">
        <v>10</v>
      </c>
      <c r="I1325" s="21" t="s">
        <v>2872</v>
      </c>
      <c r="J1325" s="21" t="s">
        <v>5697</v>
      </c>
      <c r="K1325" s="5814" t="s">
        <v>5698</v>
      </c>
    </row>
    <row r="1326" spans="1:11">
      <c r="A1326" s="21" t="s">
        <v>2638</v>
      </c>
      <c r="B1326" s="21" t="s">
        <v>5699</v>
      </c>
      <c r="C1326" s="21" t="s">
        <v>8</v>
      </c>
      <c r="D1326" s="21" t="s">
        <v>538</v>
      </c>
      <c r="E1326" s="21" t="s">
        <v>9</v>
      </c>
      <c r="F1326" s="5812">
        <v>3</v>
      </c>
      <c r="G1326" s="5813">
        <v>0.20833333333333334</v>
      </c>
      <c r="H1326" s="21" t="s">
        <v>10</v>
      </c>
      <c r="I1326" s="21" t="s">
        <v>11</v>
      </c>
      <c r="J1326" s="21" t="s">
        <v>5700</v>
      </c>
      <c r="K1326" s="5814" t="s">
        <v>5701</v>
      </c>
    </row>
    <row r="1327" spans="1:11">
      <c r="A1327" s="21" t="s">
        <v>3323</v>
      </c>
      <c r="B1327" s="21" t="s">
        <v>5702</v>
      </c>
      <c r="C1327" s="21" t="s">
        <v>8</v>
      </c>
      <c r="D1327" s="21" t="s">
        <v>538</v>
      </c>
      <c r="E1327" s="21" t="s">
        <v>9</v>
      </c>
      <c r="F1327" s="5812">
        <v>3</v>
      </c>
      <c r="G1327" s="5813">
        <v>0.20833333333333334</v>
      </c>
      <c r="H1327" s="21" t="s">
        <v>10</v>
      </c>
      <c r="I1327" s="21" t="s">
        <v>55</v>
      </c>
      <c r="J1327" s="21" t="s">
        <v>5703</v>
      </c>
      <c r="K1327" s="5814" t="s">
        <v>5704</v>
      </c>
    </row>
    <row r="1328" spans="1:11">
      <c r="A1328" s="21" t="s">
        <v>4527</v>
      </c>
      <c r="B1328" s="21" t="s">
        <v>5705</v>
      </c>
      <c r="C1328" s="21" t="s">
        <v>22</v>
      </c>
      <c r="D1328" s="21" t="s">
        <v>538</v>
      </c>
      <c r="E1328" s="21" t="s">
        <v>9</v>
      </c>
      <c r="F1328" s="5812">
        <v>3</v>
      </c>
      <c r="G1328" s="5813">
        <v>0.20833333333333334</v>
      </c>
      <c r="H1328" s="21" t="s">
        <v>10</v>
      </c>
      <c r="I1328" s="21" t="s">
        <v>55</v>
      </c>
      <c r="J1328" s="21" t="s">
        <v>5706</v>
      </c>
      <c r="K1328" s="5814" t="s">
        <v>5707</v>
      </c>
    </row>
    <row r="1329" spans="1:11">
      <c r="A1329" s="21" t="s">
        <v>3741</v>
      </c>
      <c r="B1329" s="21" t="s">
        <v>5708</v>
      </c>
      <c r="C1329" s="21" t="s">
        <v>22</v>
      </c>
      <c r="D1329" s="21" t="s">
        <v>538</v>
      </c>
      <c r="E1329" s="21" t="s">
        <v>9</v>
      </c>
      <c r="F1329" s="5812">
        <v>3</v>
      </c>
      <c r="G1329" s="5813">
        <v>0.20833333333333334</v>
      </c>
      <c r="H1329" s="21" t="s">
        <v>10</v>
      </c>
      <c r="I1329" s="21" t="s">
        <v>226</v>
      </c>
      <c r="J1329" s="21" t="s">
        <v>5709</v>
      </c>
      <c r="K1329" s="5814" t="s">
        <v>5710</v>
      </c>
    </row>
    <row r="1330" spans="1:11">
      <c r="A1330" s="21" t="s">
        <v>2675</v>
      </c>
      <c r="B1330" s="21" t="s">
        <v>5711</v>
      </c>
      <c r="C1330" s="21" t="s">
        <v>8</v>
      </c>
      <c r="D1330" s="21" t="s">
        <v>538</v>
      </c>
      <c r="E1330" s="21" t="s">
        <v>9</v>
      </c>
      <c r="F1330" s="5812">
        <v>3</v>
      </c>
      <c r="G1330" s="5813">
        <v>0.20833333333333334</v>
      </c>
      <c r="H1330" s="21" t="s">
        <v>10</v>
      </c>
      <c r="I1330" s="21" t="s">
        <v>5712</v>
      </c>
      <c r="J1330" s="21" t="s">
        <v>5713</v>
      </c>
      <c r="K1330" s="5814" t="s">
        <v>5714</v>
      </c>
    </row>
    <row r="1331" spans="1:11">
      <c r="A1331" s="21" t="s">
        <v>2679</v>
      </c>
      <c r="B1331" s="21" t="s">
        <v>5715</v>
      </c>
      <c r="C1331" s="21" t="s">
        <v>22</v>
      </c>
      <c r="D1331" s="21" t="s">
        <v>538</v>
      </c>
      <c r="E1331" s="21" t="s">
        <v>9</v>
      </c>
      <c r="F1331" s="5812">
        <v>3</v>
      </c>
      <c r="G1331" s="5813">
        <v>0.20833333333333334</v>
      </c>
      <c r="H1331" s="21" t="s">
        <v>10</v>
      </c>
      <c r="I1331" s="21" t="s">
        <v>2713</v>
      </c>
      <c r="J1331" s="21" t="s">
        <v>5716</v>
      </c>
      <c r="K1331" s="5814" t="s">
        <v>5717</v>
      </c>
    </row>
    <row r="1332" spans="1:11">
      <c r="A1332" s="21" t="s">
        <v>2698</v>
      </c>
      <c r="B1332" s="21" t="s">
        <v>5718</v>
      </c>
      <c r="C1332" s="21" t="s">
        <v>8</v>
      </c>
      <c r="D1332" s="21" t="s">
        <v>538</v>
      </c>
      <c r="E1332" s="21" t="s">
        <v>9</v>
      </c>
      <c r="F1332" s="5812">
        <v>3</v>
      </c>
      <c r="G1332" s="5813">
        <v>0.20833333333333334</v>
      </c>
      <c r="H1332" s="21" t="s">
        <v>10</v>
      </c>
      <c r="I1332" s="21" t="s">
        <v>47</v>
      </c>
      <c r="J1332" s="21" t="s">
        <v>5719</v>
      </c>
      <c r="K1332" s="5814" t="s">
        <v>5720</v>
      </c>
    </row>
    <row r="1333" spans="1:11">
      <c r="A1333" s="21" t="s">
        <v>2707</v>
      </c>
      <c r="B1333" s="21" t="s">
        <v>5721</v>
      </c>
      <c r="C1333" s="21" t="s">
        <v>22</v>
      </c>
      <c r="D1333" s="21" t="s">
        <v>538</v>
      </c>
      <c r="E1333" s="21" t="s">
        <v>9</v>
      </c>
      <c r="F1333" s="5812">
        <v>3</v>
      </c>
      <c r="G1333" s="5813">
        <v>0.20833333333333334</v>
      </c>
      <c r="H1333" s="21" t="s">
        <v>10</v>
      </c>
      <c r="I1333" s="21" t="s">
        <v>55</v>
      </c>
      <c r="J1333" s="21" t="s">
        <v>5722</v>
      </c>
      <c r="K1333" s="5814" t="s">
        <v>5723</v>
      </c>
    </row>
    <row r="1334" spans="1:11">
      <c r="A1334" s="21" t="s">
        <v>3757</v>
      </c>
      <c r="B1334" s="21" t="s">
        <v>5724</v>
      </c>
      <c r="C1334" s="21" t="s">
        <v>22</v>
      </c>
      <c r="D1334" s="21" t="s">
        <v>538</v>
      </c>
      <c r="E1334" s="21" t="s">
        <v>9</v>
      </c>
      <c r="F1334" s="5812">
        <v>3</v>
      </c>
      <c r="G1334" s="5813">
        <v>0.20833333333333334</v>
      </c>
      <c r="H1334" s="21" t="s">
        <v>10</v>
      </c>
      <c r="I1334" s="21" t="s">
        <v>2665</v>
      </c>
      <c r="J1334" s="21" t="s">
        <v>5725</v>
      </c>
      <c r="K1334" s="5814" t="s">
        <v>5726</v>
      </c>
    </row>
    <row r="1335" spans="1:11">
      <c r="A1335" s="21" t="s">
        <v>2719</v>
      </c>
      <c r="B1335" s="21" t="s">
        <v>5727</v>
      </c>
      <c r="C1335" s="21" t="s">
        <v>8</v>
      </c>
      <c r="D1335" s="21" t="s">
        <v>538</v>
      </c>
      <c r="E1335" s="21" t="s">
        <v>9</v>
      </c>
      <c r="F1335" s="5812">
        <v>3</v>
      </c>
      <c r="G1335" s="5813">
        <v>0.20833333333333334</v>
      </c>
      <c r="H1335" s="21" t="s">
        <v>10</v>
      </c>
      <c r="I1335" s="21" t="s">
        <v>47</v>
      </c>
      <c r="J1335" s="21" t="s">
        <v>5728</v>
      </c>
      <c r="K1335" s="5814" t="s">
        <v>5729</v>
      </c>
    </row>
    <row r="1336" spans="1:11">
      <c r="A1336" s="21" t="s">
        <v>2205</v>
      </c>
      <c r="B1336" s="21" t="s">
        <v>5730</v>
      </c>
      <c r="C1336" s="21" t="s">
        <v>22</v>
      </c>
      <c r="D1336" s="21" t="s">
        <v>538</v>
      </c>
      <c r="E1336" s="21" t="s">
        <v>9</v>
      </c>
      <c r="F1336" s="5812">
        <v>3</v>
      </c>
      <c r="G1336" s="5813">
        <v>0.20833333333333334</v>
      </c>
      <c r="H1336" s="21" t="s">
        <v>10</v>
      </c>
      <c r="I1336" s="21" t="s">
        <v>55</v>
      </c>
      <c r="J1336" s="21" t="s">
        <v>5731</v>
      </c>
      <c r="K1336" s="5814" t="s">
        <v>5732</v>
      </c>
    </row>
    <row r="1337" spans="1:11">
      <c r="A1337" s="21" t="s">
        <v>2741</v>
      </c>
      <c r="B1337" s="21" t="s">
        <v>5733</v>
      </c>
      <c r="C1337" s="21" t="s">
        <v>22</v>
      </c>
      <c r="D1337" s="21" t="s">
        <v>538</v>
      </c>
      <c r="E1337" s="21" t="s">
        <v>9</v>
      </c>
      <c r="F1337" s="5812">
        <v>3</v>
      </c>
      <c r="G1337" s="5813">
        <v>0.20833333333333334</v>
      </c>
      <c r="H1337" s="21" t="s">
        <v>10</v>
      </c>
      <c r="I1337" s="21" t="s">
        <v>3534</v>
      </c>
      <c r="J1337" s="21" t="s">
        <v>5734</v>
      </c>
      <c r="K1337" s="5814" t="s">
        <v>5735</v>
      </c>
    </row>
    <row r="1338" spans="1:11">
      <c r="A1338" s="21" t="s">
        <v>2745</v>
      </c>
      <c r="B1338" s="21" t="s">
        <v>5736</v>
      </c>
      <c r="C1338" s="21" t="s">
        <v>8</v>
      </c>
      <c r="D1338" s="21" t="s">
        <v>538</v>
      </c>
      <c r="E1338" s="21" t="s">
        <v>9</v>
      </c>
      <c r="F1338" s="5812">
        <v>3</v>
      </c>
      <c r="G1338" s="5813">
        <v>0.20833333333333334</v>
      </c>
      <c r="H1338" s="21" t="s">
        <v>10</v>
      </c>
      <c r="I1338" s="21" t="s">
        <v>233</v>
      </c>
      <c r="J1338" s="21" t="s">
        <v>5737</v>
      </c>
      <c r="K1338" s="5814" t="s">
        <v>5738</v>
      </c>
    </row>
    <row r="1339" spans="1:11">
      <c r="A1339" s="21" t="s">
        <v>3532</v>
      </c>
      <c r="B1339" s="21" t="s">
        <v>5739</v>
      </c>
      <c r="C1339" s="21" t="s">
        <v>22</v>
      </c>
      <c r="D1339" s="21" t="s">
        <v>538</v>
      </c>
      <c r="E1339" s="21" t="s">
        <v>9</v>
      </c>
      <c r="F1339" s="5812">
        <v>3</v>
      </c>
      <c r="G1339" s="5813">
        <v>0.20833333333333334</v>
      </c>
      <c r="H1339" s="21" t="s">
        <v>10</v>
      </c>
      <c r="I1339" s="21" t="s">
        <v>2713</v>
      </c>
      <c r="J1339" s="21" t="s">
        <v>5740</v>
      </c>
      <c r="K1339" s="5814" t="s">
        <v>5741</v>
      </c>
    </row>
    <row r="1340" spans="1:11">
      <c r="A1340" s="21" t="s">
        <v>2216</v>
      </c>
      <c r="B1340" s="21" t="s">
        <v>5742</v>
      </c>
      <c r="C1340" s="21" t="s">
        <v>22</v>
      </c>
      <c r="D1340" s="21" t="s">
        <v>538</v>
      </c>
      <c r="E1340" s="21" t="s">
        <v>9</v>
      </c>
      <c r="F1340" s="5812">
        <v>3</v>
      </c>
      <c r="G1340" s="5813">
        <v>0.20833333333333334</v>
      </c>
      <c r="H1340" s="21" t="s">
        <v>10</v>
      </c>
      <c r="I1340" s="21" t="s">
        <v>2218</v>
      </c>
      <c r="J1340" s="21" t="s">
        <v>5743</v>
      </c>
      <c r="K1340" s="5814" t="s">
        <v>5744</v>
      </c>
    </row>
    <row r="1341" spans="1:11">
      <c r="A1341" s="21" t="s">
        <v>4293</v>
      </c>
      <c r="B1341" s="21" t="s">
        <v>5745</v>
      </c>
      <c r="C1341" s="21" t="s">
        <v>22</v>
      </c>
      <c r="D1341" s="21" t="s">
        <v>538</v>
      </c>
      <c r="E1341" s="21" t="s">
        <v>9</v>
      </c>
      <c r="F1341" s="5812">
        <v>3</v>
      </c>
      <c r="G1341" s="5813">
        <v>0.20833333333333334</v>
      </c>
      <c r="H1341" s="21" t="s">
        <v>10</v>
      </c>
      <c r="I1341" s="21" t="s">
        <v>226</v>
      </c>
      <c r="J1341" s="21" t="s">
        <v>5746</v>
      </c>
      <c r="K1341" s="5814" t="s">
        <v>5747</v>
      </c>
    </row>
    <row r="1342" spans="1:11">
      <c r="A1342" s="21" t="s">
        <v>2768</v>
      </c>
      <c r="B1342" s="21" t="s">
        <v>5748</v>
      </c>
      <c r="C1342" s="21" t="s">
        <v>22</v>
      </c>
      <c r="D1342" s="21" t="s">
        <v>538</v>
      </c>
      <c r="E1342" s="21" t="s">
        <v>9</v>
      </c>
      <c r="F1342" s="5812">
        <v>3</v>
      </c>
      <c r="G1342" s="5813">
        <v>0.20833333333333334</v>
      </c>
      <c r="H1342" s="21" t="s">
        <v>10</v>
      </c>
      <c r="I1342" s="21" t="s">
        <v>226</v>
      </c>
      <c r="J1342" s="21" t="s">
        <v>5749</v>
      </c>
      <c r="K1342" s="5814" t="s">
        <v>5750</v>
      </c>
    </row>
    <row r="1343" spans="1:11">
      <c r="A1343" s="21" t="s">
        <v>2772</v>
      </c>
      <c r="B1343" s="21" t="s">
        <v>5751</v>
      </c>
      <c r="C1343" s="21" t="s">
        <v>22</v>
      </c>
      <c r="D1343" s="21" t="s">
        <v>538</v>
      </c>
      <c r="E1343" s="21" t="s">
        <v>9</v>
      </c>
      <c r="F1343" s="5812">
        <v>3</v>
      </c>
      <c r="G1343" s="5813">
        <v>0.20833333333333334</v>
      </c>
      <c r="H1343" s="21" t="s">
        <v>10</v>
      </c>
      <c r="I1343" s="21" t="s">
        <v>47</v>
      </c>
      <c r="J1343" s="21" t="s">
        <v>5752</v>
      </c>
      <c r="K1343" s="5814" t="s">
        <v>5753</v>
      </c>
    </row>
    <row r="1344" spans="1:11">
      <c r="A1344" s="21" t="s">
        <v>3430</v>
      </c>
      <c r="B1344" s="21" t="s">
        <v>5754</v>
      </c>
      <c r="C1344" s="21" t="s">
        <v>22</v>
      </c>
      <c r="D1344" s="21" t="s">
        <v>538</v>
      </c>
      <c r="E1344" s="21" t="s">
        <v>9</v>
      </c>
      <c r="F1344" s="5812">
        <v>3</v>
      </c>
      <c r="G1344" s="5813">
        <v>0.20833333333333334</v>
      </c>
      <c r="H1344" s="21" t="s">
        <v>10</v>
      </c>
      <c r="I1344" s="21" t="s">
        <v>47</v>
      </c>
      <c r="J1344" s="21" t="s">
        <v>5755</v>
      </c>
      <c r="K1344" s="5814" t="s">
        <v>5756</v>
      </c>
    </row>
    <row r="1345" spans="1:11">
      <c r="A1345" s="21" t="s">
        <v>3053</v>
      </c>
      <c r="B1345" s="21" t="s">
        <v>5757</v>
      </c>
      <c r="C1345" s="21" t="s">
        <v>22</v>
      </c>
      <c r="D1345" s="21" t="s">
        <v>538</v>
      </c>
      <c r="E1345" s="21" t="s">
        <v>9</v>
      </c>
      <c r="F1345" s="5812">
        <v>3</v>
      </c>
      <c r="G1345" s="5813">
        <v>0.20833333333333334</v>
      </c>
      <c r="H1345" s="21" t="s">
        <v>10</v>
      </c>
      <c r="I1345" s="21" t="s">
        <v>3534</v>
      </c>
      <c r="J1345" s="21" t="s">
        <v>5758</v>
      </c>
      <c r="K1345" s="5814" t="s">
        <v>5759</v>
      </c>
    </row>
    <row r="1346" spans="1:11">
      <c r="A1346" s="21" t="s">
        <v>2784</v>
      </c>
      <c r="B1346" s="21" t="s">
        <v>5760</v>
      </c>
      <c r="C1346" s="21" t="s">
        <v>8</v>
      </c>
      <c r="D1346" s="21" t="s">
        <v>538</v>
      </c>
      <c r="E1346" s="21" t="s">
        <v>9</v>
      </c>
      <c r="F1346" s="5812">
        <v>3</v>
      </c>
      <c r="G1346" s="5813">
        <v>0.20833333333333334</v>
      </c>
      <c r="H1346" s="21" t="s">
        <v>10</v>
      </c>
      <c r="I1346" s="21" t="s">
        <v>226</v>
      </c>
      <c r="J1346" s="21" t="s">
        <v>5761</v>
      </c>
      <c r="K1346" s="5814" t="s">
        <v>5762</v>
      </c>
    </row>
    <row r="1347" spans="1:11">
      <c r="A1347" s="21" t="s">
        <v>2233</v>
      </c>
      <c r="B1347" s="21" t="s">
        <v>5763</v>
      </c>
      <c r="C1347" s="21" t="s">
        <v>8</v>
      </c>
      <c r="D1347" s="21" t="s">
        <v>538</v>
      </c>
      <c r="E1347" s="21" t="s">
        <v>9</v>
      </c>
      <c r="F1347" s="5812">
        <v>3</v>
      </c>
      <c r="G1347" s="5813">
        <v>0.20833333333333334</v>
      </c>
      <c r="H1347" s="21" t="s">
        <v>10</v>
      </c>
      <c r="I1347" s="21" t="s">
        <v>23</v>
      </c>
      <c r="J1347" s="21" t="s">
        <v>5764</v>
      </c>
      <c r="K1347" s="5814" t="s">
        <v>5765</v>
      </c>
    </row>
    <row r="1348" spans="1:11">
      <c r="A1348" s="21" t="s">
        <v>2824</v>
      </c>
      <c r="B1348" s="21" t="s">
        <v>5766</v>
      </c>
      <c r="C1348" s="21" t="s">
        <v>8</v>
      </c>
      <c r="D1348" s="21" t="s">
        <v>538</v>
      </c>
      <c r="E1348" s="21" t="s">
        <v>9</v>
      </c>
      <c r="F1348" s="5812">
        <v>3</v>
      </c>
      <c r="G1348" s="5813">
        <v>0.20833333333333334</v>
      </c>
      <c r="H1348" s="21" t="s">
        <v>10</v>
      </c>
      <c r="I1348" s="21" t="s">
        <v>263</v>
      </c>
      <c r="J1348" s="21" t="s">
        <v>5767</v>
      </c>
      <c r="K1348" s="5814" t="s">
        <v>5768</v>
      </c>
    </row>
    <row r="1349" spans="1:11">
      <c r="A1349" s="21" t="s">
        <v>3828</v>
      </c>
      <c r="B1349" s="21" t="s">
        <v>5769</v>
      </c>
      <c r="C1349" s="21" t="s">
        <v>22</v>
      </c>
      <c r="D1349" s="21" t="s">
        <v>538</v>
      </c>
      <c r="E1349" s="21" t="s">
        <v>9</v>
      </c>
      <c r="F1349" s="5812">
        <v>3</v>
      </c>
      <c r="G1349" s="5813">
        <v>0.20833333333333334</v>
      </c>
      <c r="H1349" s="21" t="s">
        <v>10</v>
      </c>
      <c r="I1349" s="21" t="s">
        <v>4535</v>
      </c>
      <c r="J1349" s="21" t="s">
        <v>5770</v>
      </c>
      <c r="K1349" s="5814" t="s">
        <v>5771</v>
      </c>
    </row>
    <row r="1350" spans="1:11">
      <c r="A1350" s="21" t="s">
        <v>3049</v>
      </c>
      <c r="B1350" s="21" t="s">
        <v>5772</v>
      </c>
      <c r="C1350" s="21" t="s">
        <v>8</v>
      </c>
      <c r="D1350" s="21" t="s">
        <v>538</v>
      </c>
      <c r="E1350" s="21" t="s">
        <v>9</v>
      </c>
      <c r="F1350" s="5812">
        <v>3</v>
      </c>
      <c r="G1350" s="5813">
        <v>0.20833333333333334</v>
      </c>
      <c r="H1350" s="21" t="s">
        <v>10</v>
      </c>
      <c r="I1350" s="21" t="s">
        <v>2731</v>
      </c>
      <c r="J1350" s="21" t="s">
        <v>5773</v>
      </c>
      <c r="K1350" s="5814" t="s">
        <v>5774</v>
      </c>
    </row>
    <row r="1351" spans="1:11">
      <c r="A1351" s="21" t="s">
        <v>3565</v>
      </c>
      <c r="B1351" s="21" t="s">
        <v>5775</v>
      </c>
      <c r="C1351" s="21" t="s">
        <v>22</v>
      </c>
      <c r="D1351" s="21" t="s">
        <v>538</v>
      </c>
      <c r="E1351" s="21" t="s">
        <v>9</v>
      </c>
      <c r="F1351" s="5812">
        <v>3</v>
      </c>
      <c r="G1351" s="5813">
        <v>0.20833333333333334</v>
      </c>
      <c r="H1351" s="21" t="s">
        <v>10</v>
      </c>
      <c r="I1351" s="21" t="s">
        <v>5776</v>
      </c>
      <c r="J1351" s="21" t="s">
        <v>5777</v>
      </c>
      <c r="K1351" s="5814" t="s">
        <v>5778</v>
      </c>
    </row>
    <row r="1352" spans="1:11">
      <c r="A1352" s="21" t="s">
        <v>4409</v>
      </c>
      <c r="B1352" s="21" t="s">
        <v>5779</v>
      </c>
      <c r="C1352" s="21" t="s">
        <v>8</v>
      </c>
      <c r="D1352" s="21" t="s">
        <v>538</v>
      </c>
      <c r="E1352" s="21" t="s">
        <v>9</v>
      </c>
      <c r="F1352" s="5812">
        <v>3</v>
      </c>
      <c r="G1352" s="5813">
        <v>0.20833333333333334</v>
      </c>
      <c r="H1352" s="21" t="s">
        <v>10</v>
      </c>
      <c r="I1352" s="21" t="s">
        <v>55</v>
      </c>
      <c r="J1352" s="21" t="s">
        <v>5780</v>
      </c>
      <c r="K1352" s="5814" t="s">
        <v>5781</v>
      </c>
    </row>
    <row r="1353" spans="1:11">
      <c r="A1353" s="21" t="s">
        <v>4423</v>
      </c>
      <c r="B1353" s="21" t="s">
        <v>5782</v>
      </c>
      <c r="C1353" s="21" t="s">
        <v>8</v>
      </c>
      <c r="D1353" s="21" t="s">
        <v>538</v>
      </c>
      <c r="E1353" s="21" t="s">
        <v>9</v>
      </c>
      <c r="F1353" s="5812">
        <v>3</v>
      </c>
      <c r="G1353" s="5813">
        <v>0.20833333333333334</v>
      </c>
      <c r="H1353" s="21" t="s">
        <v>10</v>
      </c>
      <c r="I1353" s="21" t="s">
        <v>23</v>
      </c>
      <c r="J1353" s="21" t="s">
        <v>5783</v>
      </c>
      <c r="K1353" s="5814" t="s">
        <v>5784</v>
      </c>
    </row>
    <row r="1354" spans="1:11">
      <c r="A1354" s="21" t="s">
        <v>5235</v>
      </c>
      <c r="B1354" s="21" t="s">
        <v>5785</v>
      </c>
      <c r="C1354" s="21" t="s">
        <v>22</v>
      </c>
      <c r="D1354" s="21" t="s">
        <v>538</v>
      </c>
      <c r="E1354" s="21" t="s">
        <v>9</v>
      </c>
      <c r="F1354" s="5812">
        <v>3</v>
      </c>
      <c r="G1354" s="5813">
        <v>0.20833333333333334</v>
      </c>
      <c r="H1354" s="21" t="s">
        <v>10</v>
      </c>
      <c r="I1354" s="21" t="s">
        <v>55</v>
      </c>
      <c r="J1354" s="21" t="s">
        <v>5786</v>
      </c>
      <c r="K1354" s="5814" t="s">
        <v>5787</v>
      </c>
    </row>
    <row r="1355" spans="1:11">
      <c r="A1355" s="21" t="s">
        <v>4434</v>
      </c>
      <c r="B1355" s="21" t="s">
        <v>5788</v>
      </c>
      <c r="C1355" s="21" t="s">
        <v>22</v>
      </c>
      <c r="D1355" s="21" t="s">
        <v>538</v>
      </c>
      <c r="E1355" s="21" t="s">
        <v>9</v>
      </c>
      <c r="F1355" s="5812">
        <v>3</v>
      </c>
      <c r="G1355" s="5813">
        <v>0.20833333333333334</v>
      </c>
      <c r="H1355" s="21" t="s">
        <v>10</v>
      </c>
      <c r="I1355" s="21" t="s">
        <v>73</v>
      </c>
      <c r="J1355" s="21" t="s">
        <v>5789</v>
      </c>
      <c r="K1355" s="5814" t="s">
        <v>5790</v>
      </c>
    </row>
    <row r="1356" spans="1:11">
      <c r="A1356" s="21" t="s">
        <v>3293</v>
      </c>
      <c r="B1356" s="21" t="s">
        <v>5791</v>
      </c>
      <c r="C1356" s="21" t="s">
        <v>8</v>
      </c>
      <c r="D1356" s="21" t="s">
        <v>538</v>
      </c>
      <c r="E1356" s="21" t="s">
        <v>9</v>
      </c>
      <c r="F1356" s="5812">
        <v>3</v>
      </c>
      <c r="G1356" s="5813">
        <v>0.20833333333333334</v>
      </c>
      <c r="H1356" s="21" t="s">
        <v>10</v>
      </c>
      <c r="I1356" s="21" t="s">
        <v>2297</v>
      </c>
      <c r="J1356" s="21" t="s">
        <v>5792</v>
      </c>
      <c r="K1356" s="5814" t="s">
        <v>5793</v>
      </c>
    </row>
    <row r="1357" spans="1:11">
      <c r="A1357" s="21" t="s">
        <v>2276</v>
      </c>
      <c r="B1357" s="21" t="s">
        <v>5794</v>
      </c>
      <c r="C1357" s="21" t="s">
        <v>8</v>
      </c>
      <c r="D1357" s="21" t="s">
        <v>538</v>
      </c>
      <c r="E1357" s="21" t="s">
        <v>9</v>
      </c>
      <c r="F1357" s="5812">
        <v>3</v>
      </c>
      <c r="G1357" s="5813">
        <v>0.20833333333333334</v>
      </c>
      <c r="H1357" s="21" t="s">
        <v>10</v>
      </c>
      <c r="I1357" s="21" t="s">
        <v>55</v>
      </c>
      <c r="J1357" s="21" t="s">
        <v>5795</v>
      </c>
      <c r="K1357" s="5814" t="s">
        <v>5796</v>
      </c>
    </row>
    <row r="1358" spans="1:11">
      <c r="A1358" s="21" t="s">
        <v>2863</v>
      </c>
      <c r="B1358" s="21" t="s">
        <v>5797</v>
      </c>
      <c r="C1358" s="21" t="s">
        <v>8</v>
      </c>
      <c r="D1358" s="21" t="s">
        <v>538</v>
      </c>
      <c r="E1358" s="21" t="s">
        <v>9</v>
      </c>
      <c r="F1358" s="5812">
        <v>3</v>
      </c>
      <c r="G1358" s="5813">
        <v>0.20833333333333334</v>
      </c>
      <c r="H1358" s="21" t="s">
        <v>10</v>
      </c>
      <c r="I1358" s="21" t="s">
        <v>55</v>
      </c>
      <c r="J1358" s="21" t="s">
        <v>5798</v>
      </c>
      <c r="K1358" s="5814" t="s">
        <v>5799</v>
      </c>
    </row>
    <row r="1359" spans="1:11">
      <c r="A1359" s="21" t="s">
        <v>231</v>
      </c>
      <c r="B1359" s="21" t="s">
        <v>618</v>
      </c>
      <c r="C1359" s="21" t="s">
        <v>8</v>
      </c>
      <c r="D1359" s="21" t="s">
        <v>538</v>
      </c>
      <c r="E1359" s="21" t="s">
        <v>9</v>
      </c>
      <c r="F1359" s="5812">
        <v>5</v>
      </c>
      <c r="G1359" s="5813">
        <v>0.20833333333333334</v>
      </c>
      <c r="H1359" s="21" t="s">
        <v>54</v>
      </c>
      <c r="I1359" s="21" t="s">
        <v>47</v>
      </c>
      <c r="J1359" s="21" t="s">
        <v>619</v>
      </c>
      <c r="K1359" s="5814" t="s">
        <v>5800</v>
      </c>
    </row>
    <row r="1360" spans="1:11">
      <c r="A1360" s="21" t="s">
        <v>2061</v>
      </c>
      <c r="B1360" s="21" t="s">
        <v>5801</v>
      </c>
      <c r="C1360" s="21" t="s">
        <v>8</v>
      </c>
      <c r="D1360" s="21" t="s">
        <v>538</v>
      </c>
      <c r="E1360" s="21" t="s">
        <v>9</v>
      </c>
      <c r="F1360" s="5812">
        <v>5</v>
      </c>
      <c r="G1360" s="5813">
        <v>0.20833333333333334</v>
      </c>
      <c r="H1360" s="21" t="s">
        <v>54</v>
      </c>
      <c r="I1360" s="21" t="s">
        <v>55</v>
      </c>
      <c r="J1360" s="21" t="s">
        <v>5802</v>
      </c>
      <c r="K1360" s="5814" t="s">
        <v>5803</v>
      </c>
    </row>
    <row r="1361" spans="1:11">
      <c r="A1361" s="21" t="s">
        <v>2506</v>
      </c>
      <c r="B1361" s="21" t="s">
        <v>5804</v>
      </c>
      <c r="C1361" s="21" t="s">
        <v>22</v>
      </c>
      <c r="D1361" s="21" t="s">
        <v>538</v>
      </c>
      <c r="E1361" s="21" t="s">
        <v>9</v>
      </c>
      <c r="F1361" s="5812">
        <v>5</v>
      </c>
      <c r="G1361" s="5813">
        <v>0.20833333333333334</v>
      </c>
      <c r="H1361" s="21" t="s">
        <v>54</v>
      </c>
      <c r="I1361" s="21" t="s">
        <v>55</v>
      </c>
      <c r="J1361" s="21" t="s">
        <v>5805</v>
      </c>
      <c r="K1361" s="5814" t="s">
        <v>5806</v>
      </c>
    </row>
    <row r="1362" spans="1:11">
      <c r="A1362" s="21" t="s">
        <v>3597</v>
      </c>
      <c r="B1362" s="21" t="s">
        <v>5807</v>
      </c>
      <c r="C1362" s="21" t="s">
        <v>8</v>
      </c>
      <c r="D1362" s="21" t="s">
        <v>538</v>
      </c>
      <c r="E1362" s="21" t="s">
        <v>9</v>
      </c>
      <c r="F1362" s="5812">
        <v>5</v>
      </c>
      <c r="G1362" s="5813">
        <v>0.20833333333333334</v>
      </c>
      <c r="H1362" s="21" t="s">
        <v>54</v>
      </c>
      <c r="I1362" s="21"/>
      <c r="J1362" s="21" t="s">
        <v>5808</v>
      </c>
      <c r="K1362" s="5814" t="s">
        <v>5809</v>
      </c>
    </row>
    <row r="1363" spans="1:11">
      <c r="A1363" s="21" t="s">
        <v>2702</v>
      </c>
      <c r="B1363" s="21" t="s">
        <v>5810</v>
      </c>
      <c r="C1363" s="21" t="s">
        <v>8</v>
      </c>
      <c r="D1363" s="21" t="s">
        <v>538</v>
      </c>
      <c r="E1363" s="21" t="s">
        <v>9</v>
      </c>
      <c r="F1363" s="5812">
        <v>5</v>
      </c>
      <c r="G1363" s="5813">
        <v>0.20833333333333334</v>
      </c>
      <c r="H1363" s="21" t="s">
        <v>54</v>
      </c>
      <c r="I1363" s="21" t="s">
        <v>55</v>
      </c>
      <c r="J1363" s="21" t="s">
        <v>5811</v>
      </c>
      <c r="K1363" s="5814" t="s">
        <v>5812</v>
      </c>
    </row>
    <row r="1364" spans="1:11">
      <c r="A1364" s="21" t="s">
        <v>3532</v>
      </c>
      <c r="B1364" s="21" t="s">
        <v>5813</v>
      </c>
      <c r="C1364" s="21" t="s">
        <v>8</v>
      </c>
      <c r="D1364" s="21" t="s">
        <v>538</v>
      </c>
      <c r="E1364" s="21" t="s">
        <v>9</v>
      </c>
      <c r="F1364" s="5812">
        <v>5</v>
      </c>
      <c r="G1364" s="5813">
        <v>0.20833333333333334</v>
      </c>
      <c r="H1364" s="21" t="s">
        <v>54</v>
      </c>
      <c r="I1364" s="21" t="s">
        <v>2713</v>
      </c>
      <c r="J1364" s="21" t="s">
        <v>5814</v>
      </c>
      <c r="K1364" s="5814" t="s">
        <v>5815</v>
      </c>
    </row>
    <row r="1365" spans="1:11">
      <c r="A1365" s="21" t="s">
        <v>3049</v>
      </c>
      <c r="B1365" s="21" t="s">
        <v>5816</v>
      </c>
      <c r="C1365" s="21" t="s">
        <v>22</v>
      </c>
      <c r="D1365" s="21" t="s">
        <v>538</v>
      </c>
      <c r="E1365" s="21" t="s">
        <v>9</v>
      </c>
      <c r="F1365" s="5812">
        <v>5</v>
      </c>
      <c r="G1365" s="5813">
        <v>0.20833333333333334</v>
      </c>
      <c r="H1365" s="21" t="s">
        <v>54</v>
      </c>
      <c r="I1365" s="21" t="s">
        <v>2713</v>
      </c>
      <c r="J1365" s="21" t="s">
        <v>5817</v>
      </c>
      <c r="K1365" s="5814" t="s">
        <v>5818</v>
      </c>
    </row>
    <row r="1366" spans="1:11">
      <c r="A1366" s="21" t="s">
        <v>2858</v>
      </c>
      <c r="B1366" s="21" t="s">
        <v>5819</v>
      </c>
      <c r="C1366" s="21" t="s">
        <v>8</v>
      </c>
      <c r="D1366" s="21" t="s">
        <v>538</v>
      </c>
      <c r="E1366" s="21" t="s">
        <v>9</v>
      </c>
      <c r="F1366" s="5812">
        <v>5</v>
      </c>
      <c r="G1366" s="5813">
        <v>0.20833333333333334</v>
      </c>
      <c r="H1366" s="21" t="s">
        <v>54</v>
      </c>
      <c r="I1366" s="21" t="s">
        <v>2269</v>
      </c>
      <c r="J1366" s="21" t="s">
        <v>5820</v>
      </c>
      <c r="K1366" s="5814" t="s">
        <v>5821</v>
      </c>
    </row>
    <row r="1367" spans="1:11">
      <c r="A1367" s="21" t="s">
        <v>3195</v>
      </c>
      <c r="B1367" s="21" t="s">
        <v>5822</v>
      </c>
      <c r="C1367" s="21" t="s">
        <v>22</v>
      </c>
      <c r="D1367" s="21" t="s">
        <v>538</v>
      </c>
      <c r="E1367" s="21" t="s">
        <v>466</v>
      </c>
      <c r="F1367" s="5812">
        <v>1</v>
      </c>
      <c r="G1367" s="5813">
        <v>0.18680555555555556</v>
      </c>
      <c r="H1367" s="21" t="s">
        <v>10</v>
      </c>
      <c r="I1367" s="21" t="s">
        <v>2692</v>
      </c>
      <c r="J1367" s="21"/>
      <c r="K1367" s="5814" t="s">
        <v>5823</v>
      </c>
    </row>
    <row r="1368" spans="1:11">
      <c r="A1368" s="21" t="s">
        <v>3328</v>
      </c>
      <c r="B1368" s="21" t="s">
        <v>5824</v>
      </c>
      <c r="C1368" s="21" t="s">
        <v>22</v>
      </c>
      <c r="D1368" s="21" t="s">
        <v>538</v>
      </c>
      <c r="E1368" s="21" t="s">
        <v>466</v>
      </c>
      <c r="F1368" s="5812">
        <v>2</v>
      </c>
      <c r="G1368" s="5813">
        <v>0.10277777777777777</v>
      </c>
      <c r="H1368" s="21" t="s">
        <v>10</v>
      </c>
      <c r="I1368" s="21" t="s">
        <v>226</v>
      </c>
      <c r="J1368" s="21" t="s">
        <v>5825</v>
      </c>
      <c r="K1368" s="5814" t="s">
        <v>5826</v>
      </c>
    </row>
    <row r="1369" spans="1:11">
      <c r="A1369" s="21" t="s">
        <v>2605</v>
      </c>
      <c r="B1369" s="21" t="s">
        <v>5827</v>
      </c>
      <c r="C1369" s="21" t="s">
        <v>22</v>
      </c>
      <c r="D1369" s="21" t="s">
        <v>538</v>
      </c>
      <c r="E1369" s="21" t="s">
        <v>46</v>
      </c>
      <c r="F1369" s="5812">
        <v>1</v>
      </c>
      <c r="G1369" s="5813">
        <v>6.2500000000000003E-3</v>
      </c>
      <c r="H1369" s="21" t="s">
        <v>10</v>
      </c>
      <c r="I1369" s="21" t="s">
        <v>2692</v>
      </c>
      <c r="J1369" s="21" t="s">
        <v>127</v>
      </c>
      <c r="K1369" s="5814" t="s">
        <v>5828</v>
      </c>
    </row>
    <row r="1370" spans="1:11">
      <c r="A1370" s="21" t="s">
        <v>2179</v>
      </c>
      <c r="B1370" s="21" t="s">
        <v>5829</v>
      </c>
      <c r="C1370" s="21" t="s">
        <v>22</v>
      </c>
      <c r="D1370" s="21" t="s">
        <v>538</v>
      </c>
      <c r="E1370" s="21" t="s">
        <v>46</v>
      </c>
      <c r="F1370" s="5812">
        <v>1</v>
      </c>
      <c r="G1370" s="5813">
        <v>8.3333333333333332E-3</v>
      </c>
      <c r="H1370" s="21" t="s">
        <v>10</v>
      </c>
      <c r="I1370" s="21" t="s">
        <v>654</v>
      </c>
      <c r="J1370" s="21" t="s">
        <v>48</v>
      </c>
      <c r="K1370" s="5814" t="s">
        <v>5830</v>
      </c>
    </row>
    <row r="1371" spans="1:11">
      <c r="A1371" s="21" t="s">
        <v>2831</v>
      </c>
      <c r="B1371" s="21" t="s">
        <v>5831</v>
      </c>
      <c r="C1371" s="21" t="s">
        <v>8</v>
      </c>
      <c r="D1371" s="21" t="s">
        <v>538</v>
      </c>
      <c r="E1371" s="21" t="s">
        <v>46</v>
      </c>
      <c r="F1371" s="5812">
        <v>1</v>
      </c>
      <c r="G1371" s="5813">
        <v>9.7222222222222224E-3</v>
      </c>
      <c r="H1371" s="21" t="s">
        <v>10</v>
      </c>
      <c r="I1371" s="21" t="s">
        <v>2171</v>
      </c>
      <c r="J1371" s="21" t="s">
        <v>97</v>
      </c>
      <c r="K1371" s="5814" t="s">
        <v>5832</v>
      </c>
    </row>
    <row r="1372" spans="1:11">
      <c r="A1372" s="21" t="s">
        <v>3909</v>
      </c>
      <c r="B1372" s="21" t="s">
        <v>5833</v>
      </c>
      <c r="C1372" s="21" t="s">
        <v>8</v>
      </c>
      <c r="D1372" s="21" t="s">
        <v>538</v>
      </c>
      <c r="E1372" s="21" t="s">
        <v>46</v>
      </c>
      <c r="F1372" s="5812">
        <v>1</v>
      </c>
      <c r="G1372" s="5813">
        <v>1.0416666666666666E-2</v>
      </c>
      <c r="H1372" s="21" t="s">
        <v>54</v>
      </c>
      <c r="I1372" s="21" t="s">
        <v>55</v>
      </c>
      <c r="J1372" s="21" t="s">
        <v>5834</v>
      </c>
      <c r="K1372" s="5814" t="s">
        <v>5835</v>
      </c>
    </row>
    <row r="1373" spans="1:11">
      <c r="A1373" s="21" t="s">
        <v>5220</v>
      </c>
      <c r="B1373" s="21" t="s">
        <v>5836</v>
      </c>
      <c r="C1373" s="21" t="s">
        <v>22</v>
      </c>
      <c r="D1373" s="21" t="s">
        <v>538</v>
      </c>
      <c r="E1373" s="21" t="s">
        <v>46</v>
      </c>
      <c r="F1373" s="5812">
        <v>1</v>
      </c>
      <c r="G1373" s="5813">
        <v>1.1111111111111112E-2</v>
      </c>
      <c r="H1373" s="21" t="s">
        <v>10</v>
      </c>
      <c r="I1373" s="21" t="s">
        <v>2713</v>
      </c>
      <c r="J1373" s="21" t="s">
        <v>48</v>
      </c>
      <c r="K1373" s="5814" t="s">
        <v>5837</v>
      </c>
    </row>
    <row r="1374" spans="1:11">
      <c r="A1374" s="21" t="s">
        <v>135</v>
      </c>
      <c r="B1374" s="21" t="s">
        <v>608</v>
      </c>
      <c r="C1374" s="21" t="s">
        <v>8</v>
      </c>
      <c r="D1374" s="21" t="s">
        <v>538</v>
      </c>
      <c r="E1374" s="21" t="s">
        <v>46</v>
      </c>
      <c r="F1374" s="5812">
        <v>1</v>
      </c>
      <c r="G1374" s="5813">
        <v>1.2500000000000001E-2</v>
      </c>
      <c r="H1374" s="21" t="s">
        <v>10</v>
      </c>
      <c r="I1374" s="21" t="s">
        <v>609</v>
      </c>
      <c r="J1374" s="21" t="s">
        <v>48</v>
      </c>
      <c r="K1374" s="5814" t="s">
        <v>610</v>
      </c>
    </row>
    <row r="1375" spans="1:11">
      <c r="A1375" s="21" t="s">
        <v>4116</v>
      </c>
      <c r="B1375" s="21" t="s">
        <v>5838</v>
      </c>
      <c r="C1375" s="21" t="s">
        <v>8</v>
      </c>
      <c r="D1375" s="21" t="s">
        <v>538</v>
      </c>
      <c r="E1375" s="21" t="s">
        <v>46</v>
      </c>
      <c r="F1375" s="5812">
        <v>1</v>
      </c>
      <c r="G1375" s="5813">
        <v>1.3888888888888888E-2</v>
      </c>
      <c r="H1375" s="21" t="s">
        <v>10</v>
      </c>
      <c r="I1375" s="21" t="s">
        <v>226</v>
      </c>
      <c r="J1375" s="21" t="s">
        <v>48</v>
      </c>
      <c r="K1375" s="5814" t="s">
        <v>5839</v>
      </c>
    </row>
    <row r="1376" spans="1:11">
      <c r="A1376" s="21" t="s">
        <v>3230</v>
      </c>
      <c r="B1376" s="21" t="s">
        <v>5840</v>
      </c>
      <c r="C1376" s="21" t="s">
        <v>8</v>
      </c>
      <c r="D1376" s="21" t="s">
        <v>538</v>
      </c>
      <c r="E1376" s="21" t="s">
        <v>46</v>
      </c>
      <c r="F1376" s="5812">
        <v>1</v>
      </c>
      <c r="G1376" s="5813">
        <v>1.5972222222222221E-2</v>
      </c>
      <c r="H1376" s="21" t="s">
        <v>10</v>
      </c>
      <c r="I1376" s="21" t="s">
        <v>39</v>
      </c>
      <c r="J1376" s="21" t="s">
        <v>48</v>
      </c>
      <c r="K1376" s="5814" t="s">
        <v>5841</v>
      </c>
    </row>
    <row r="1377" spans="1:11">
      <c r="A1377" s="21" t="s">
        <v>5554</v>
      </c>
      <c r="B1377" s="21" t="s">
        <v>5842</v>
      </c>
      <c r="C1377" s="21" t="s">
        <v>22</v>
      </c>
      <c r="D1377" s="21" t="s">
        <v>538</v>
      </c>
      <c r="E1377" s="21" t="s">
        <v>46</v>
      </c>
      <c r="F1377" s="5812">
        <v>1</v>
      </c>
      <c r="G1377" s="5813">
        <v>1.6666666666666666E-2</v>
      </c>
      <c r="H1377" s="21" t="s">
        <v>10</v>
      </c>
      <c r="I1377" s="21" t="s">
        <v>226</v>
      </c>
      <c r="J1377" s="21" t="s">
        <v>127</v>
      </c>
      <c r="K1377" s="5814" t="s">
        <v>5843</v>
      </c>
    </row>
    <row r="1378" spans="1:11">
      <c r="A1378" s="21" t="s">
        <v>2651</v>
      </c>
      <c r="B1378" s="21" t="s">
        <v>5844</v>
      </c>
      <c r="C1378" s="21" t="s">
        <v>8</v>
      </c>
      <c r="D1378" s="21" t="s">
        <v>538</v>
      </c>
      <c r="E1378" s="21" t="s">
        <v>46</v>
      </c>
      <c r="F1378" s="5812">
        <v>1</v>
      </c>
      <c r="G1378" s="5813">
        <v>1.8055555555555554E-2</v>
      </c>
      <c r="H1378" s="21" t="s">
        <v>54</v>
      </c>
      <c r="I1378" s="21" t="s">
        <v>96</v>
      </c>
      <c r="J1378" s="21" t="s">
        <v>127</v>
      </c>
      <c r="K1378" s="5814" t="s">
        <v>5845</v>
      </c>
    </row>
    <row r="1379" spans="1:11">
      <c r="A1379" s="21" t="s">
        <v>3720</v>
      </c>
      <c r="B1379" s="21" t="s">
        <v>5846</v>
      </c>
      <c r="C1379" s="21" t="s">
        <v>22</v>
      </c>
      <c r="D1379" s="21" t="s">
        <v>538</v>
      </c>
      <c r="E1379" s="21" t="s">
        <v>46</v>
      </c>
      <c r="F1379" s="5812">
        <v>1</v>
      </c>
      <c r="G1379" s="5813">
        <v>2.013888888888889E-2</v>
      </c>
      <c r="H1379" s="21" t="s">
        <v>10</v>
      </c>
      <c r="I1379" s="21" t="s">
        <v>226</v>
      </c>
      <c r="J1379" s="21" t="s">
        <v>48</v>
      </c>
      <c r="K1379" s="5814" t="s">
        <v>5847</v>
      </c>
    </row>
    <row r="1380" spans="1:11">
      <c r="A1380" s="21" t="s">
        <v>3105</v>
      </c>
      <c r="B1380" s="21" t="s">
        <v>5848</v>
      </c>
      <c r="C1380" s="21" t="s">
        <v>22</v>
      </c>
      <c r="D1380" s="21" t="s">
        <v>538</v>
      </c>
      <c r="E1380" s="21" t="s">
        <v>46</v>
      </c>
      <c r="F1380" s="5812">
        <v>1</v>
      </c>
      <c r="G1380" s="5813">
        <v>2.2222222222222223E-2</v>
      </c>
      <c r="H1380" s="21" t="s">
        <v>10</v>
      </c>
      <c r="I1380" s="21" t="s">
        <v>55</v>
      </c>
      <c r="J1380" s="21" t="s">
        <v>97</v>
      </c>
      <c r="K1380" s="5814" t="s">
        <v>5849</v>
      </c>
    </row>
    <row r="1381" spans="1:11">
      <c r="A1381" s="21" t="s">
        <v>5015</v>
      </c>
      <c r="B1381" s="21" t="s">
        <v>5850</v>
      </c>
      <c r="C1381" s="21" t="s">
        <v>8</v>
      </c>
      <c r="D1381" s="21" t="s">
        <v>538</v>
      </c>
      <c r="E1381" s="21" t="s">
        <v>46</v>
      </c>
      <c r="F1381" s="5812">
        <v>1</v>
      </c>
      <c r="G1381" s="5813">
        <v>2.2916666666666665E-2</v>
      </c>
      <c r="H1381" s="21" t="s">
        <v>10</v>
      </c>
      <c r="I1381" s="21" t="s">
        <v>226</v>
      </c>
      <c r="J1381" s="21" t="s">
        <v>127</v>
      </c>
      <c r="K1381" s="5814" t="s">
        <v>5851</v>
      </c>
    </row>
    <row r="1382" spans="1:11">
      <c r="A1382" s="21" t="s">
        <v>2188</v>
      </c>
      <c r="B1382" s="21" t="s">
        <v>5852</v>
      </c>
      <c r="C1382" s="21" t="s">
        <v>22</v>
      </c>
      <c r="D1382" s="21" t="s">
        <v>538</v>
      </c>
      <c r="E1382" s="21" t="s">
        <v>46</v>
      </c>
      <c r="F1382" s="5812">
        <v>1</v>
      </c>
      <c r="G1382" s="5813">
        <v>3.125E-2</v>
      </c>
      <c r="H1382" s="21" t="s">
        <v>54</v>
      </c>
      <c r="I1382" s="21" t="s">
        <v>47</v>
      </c>
      <c r="J1382" s="21" t="s">
        <v>48</v>
      </c>
      <c r="K1382" s="5814" t="s">
        <v>5853</v>
      </c>
    </row>
    <row r="1383" spans="1:11">
      <c r="A1383" s="21" t="s">
        <v>2517</v>
      </c>
      <c r="B1383" s="21" t="s">
        <v>5854</v>
      </c>
      <c r="C1383" s="21" t="s">
        <v>8</v>
      </c>
      <c r="D1383" s="21" t="s">
        <v>538</v>
      </c>
      <c r="E1383" s="21" t="s">
        <v>46</v>
      </c>
      <c r="F1383" s="5812">
        <v>1</v>
      </c>
      <c r="G1383" s="5813">
        <v>3.125E-2</v>
      </c>
      <c r="H1383" s="21" t="s">
        <v>10</v>
      </c>
      <c r="I1383" s="21" t="s">
        <v>47</v>
      </c>
      <c r="J1383" s="21" t="s">
        <v>97</v>
      </c>
      <c r="K1383" s="5814" t="s">
        <v>5855</v>
      </c>
    </row>
    <row r="1384" spans="1:11">
      <c r="A1384" s="21" t="s">
        <v>2538</v>
      </c>
      <c r="B1384" s="21" t="s">
        <v>5856</v>
      </c>
      <c r="C1384" s="21" t="s">
        <v>8</v>
      </c>
      <c r="D1384" s="21" t="s">
        <v>538</v>
      </c>
      <c r="E1384" s="21" t="s">
        <v>46</v>
      </c>
      <c r="F1384" s="5812">
        <v>1</v>
      </c>
      <c r="G1384" s="5813">
        <v>3.125E-2</v>
      </c>
      <c r="H1384" s="21" t="s">
        <v>10</v>
      </c>
      <c r="I1384" s="21" t="s">
        <v>2544</v>
      </c>
      <c r="J1384" s="21" t="s">
        <v>97</v>
      </c>
      <c r="K1384" s="5814" t="s">
        <v>5857</v>
      </c>
    </row>
    <row r="1385" spans="1:11">
      <c r="A1385" s="21" t="s">
        <v>2179</v>
      </c>
      <c r="B1385" s="21" t="s">
        <v>5858</v>
      </c>
      <c r="C1385" s="21" t="s">
        <v>8</v>
      </c>
      <c r="D1385" s="21" t="s">
        <v>538</v>
      </c>
      <c r="E1385" s="21" t="s">
        <v>46</v>
      </c>
      <c r="F1385" s="5812">
        <v>1</v>
      </c>
      <c r="G1385" s="5813">
        <v>3.125E-2</v>
      </c>
      <c r="H1385" s="21" t="s">
        <v>10</v>
      </c>
      <c r="I1385" s="21" t="s">
        <v>226</v>
      </c>
      <c r="J1385" s="21" t="s">
        <v>127</v>
      </c>
      <c r="K1385" s="5814" t="s">
        <v>5859</v>
      </c>
    </row>
    <row r="1386" spans="1:11">
      <c r="A1386" s="21" t="s">
        <v>2961</v>
      </c>
      <c r="B1386" s="21" t="s">
        <v>5860</v>
      </c>
      <c r="C1386" s="21" t="s">
        <v>8</v>
      </c>
      <c r="D1386" s="21" t="s">
        <v>538</v>
      </c>
      <c r="E1386" s="21" t="s">
        <v>46</v>
      </c>
      <c r="F1386" s="5812">
        <v>1</v>
      </c>
      <c r="G1386" s="5813">
        <v>3.3333333333333333E-2</v>
      </c>
      <c r="H1386" s="21" t="s">
        <v>10</v>
      </c>
      <c r="I1386" s="21" t="s">
        <v>2731</v>
      </c>
      <c r="J1386" s="21" t="s">
        <v>48</v>
      </c>
      <c r="K1386" s="5814" t="s">
        <v>5861</v>
      </c>
    </row>
    <row r="1387" spans="1:11">
      <c r="A1387" s="21" t="s">
        <v>2969</v>
      </c>
      <c r="B1387" s="21" t="s">
        <v>5862</v>
      </c>
      <c r="C1387" s="21" t="s">
        <v>8</v>
      </c>
      <c r="D1387" s="21" t="s">
        <v>538</v>
      </c>
      <c r="E1387" s="21" t="s">
        <v>46</v>
      </c>
      <c r="F1387" s="5812">
        <v>1</v>
      </c>
      <c r="G1387" s="5813">
        <v>3.4027777777777775E-2</v>
      </c>
      <c r="H1387" s="21" t="s">
        <v>10</v>
      </c>
      <c r="I1387" s="21" t="s">
        <v>55</v>
      </c>
      <c r="J1387" s="21" t="s">
        <v>127</v>
      </c>
      <c r="K1387" s="5814" t="s">
        <v>5863</v>
      </c>
    </row>
    <row r="1388" spans="1:11">
      <c r="A1388" s="21" t="s">
        <v>2616</v>
      </c>
      <c r="B1388" s="21" t="s">
        <v>5864</v>
      </c>
      <c r="C1388" s="21" t="s">
        <v>8</v>
      </c>
      <c r="D1388" s="21" t="s">
        <v>538</v>
      </c>
      <c r="E1388" s="21" t="s">
        <v>46</v>
      </c>
      <c r="F1388" s="5812">
        <v>1</v>
      </c>
      <c r="G1388" s="5813">
        <v>3.4722222222222224E-2</v>
      </c>
      <c r="H1388" s="21" t="s">
        <v>10</v>
      </c>
      <c r="I1388" s="21" t="s">
        <v>400</v>
      </c>
      <c r="J1388" s="21" t="s">
        <v>1203</v>
      </c>
      <c r="K1388" s="5814" t="s">
        <v>5865</v>
      </c>
    </row>
    <row r="1389" spans="1:11">
      <c r="A1389" s="21" t="s">
        <v>3896</v>
      </c>
      <c r="B1389" s="21" t="s">
        <v>5866</v>
      </c>
      <c r="C1389" s="21" t="s">
        <v>22</v>
      </c>
      <c r="D1389" s="21" t="s">
        <v>538</v>
      </c>
      <c r="E1389" s="21" t="s">
        <v>46</v>
      </c>
      <c r="F1389" s="5812">
        <v>1</v>
      </c>
      <c r="G1389" s="5813">
        <v>3.7499999999999999E-2</v>
      </c>
      <c r="H1389" s="21" t="s">
        <v>10</v>
      </c>
      <c r="I1389" s="21" t="s">
        <v>226</v>
      </c>
      <c r="J1389" s="21" t="s">
        <v>97</v>
      </c>
      <c r="K1389" s="5814" t="s">
        <v>5867</v>
      </c>
    </row>
    <row r="1390" spans="1:11">
      <c r="A1390" s="21" t="s">
        <v>2263</v>
      </c>
      <c r="B1390" s="21" t="s">
        <v>5868</v>
      </c>
      <c r="C1390" s="21" t="s">
        <v>8</v>
      </c>
      <c r="D1390" s="21" t="s">
        <v>538</v>
      </c>
      <c r="E1390" s="21" t="s">
        <v>46</v>
      </c>
      <c r="F1390" s="5812">
        <v>1</v>
      </c>
      <c r="G1390" s="5813">
        <v>3.7499999999999999E-2</v>
      </c>
      <c r="H1390" s="21" t="s">
        <v>10</v>
      </c>
      <c r="I1390" s="21" t="s">
        <v>55</v>
      </c>
      <c r="J1390" s="21" t="s">
        <v>406</v>
      </c>
      <c r="K1390" s="5814" t="s">
        <v>5869</v>
      </c>
    </row>
    <row r="1391" spans="1:11">
      <c r="A1391" s="21" t="s">
        <v>5390</v>
      </c>
      <c r="B1391" s="21" t="s">
        <v>5870</v>
      </c>
      <c r="C1391" s="21" t="s">
        <v>22</v>
      </c>
      <c r="D1391" s="21" t="s">
        <v>538</v>
      </c>
      <c r="E1391" s="21" t="s">
        <v>46</v>
      </c>
      <c r="F1391" s="5812">
        <v>1</v>
      </c>
      <c r="G1391" s="5813">
        <v>3.8194444444444448E-2</v>
      </c>
      <c r="H1391" s="21" t="s">
        <v>10</v>
      </c>
      <c r="I1391" s="21" t="s">
        <v>226</v>
      </c>
      <c r="J1391" s="21" t="s">
        <v>97</v>
      </c>
      <c r="K1391" s="5814" t="s">
        <v>5871</v>
      </c>
    </row>
    <row r="1392" spans="1:11">
      <c r="A1392" s="21" t="s">
        <v>2165</v>
      </c>
      <c r="B1392" s="21" t="s">
        <v>5872</v>
      </c>
      <c r="C1392" s="21" t="s">
        <v>22</v>
      </c>
      <c r="D1392" s="21" t="s">
        <v>538</v>
      </c>
      <c r="E1392" s="21" t="s">
        <v>46</v>
      </c>
      <c r="F1392" s="5812">
        <v>1</v>
      </c>
      <c r="G1392" s="5813">
        <v>4.0972222222222222E-2</v>
      </c>
      <c r="H1392" s="21" t="s">
        <v>10</v>
      </c>
      <c r="I1392" s="21" t="s">
        <v>96</v>
      </c>
      <c r="J1392" s="21" t="s">
        <v>1076</v>
      </c>
      <c r="K1392" s="5814" t="s">
        <v>5873</v>
      </c>
    </row>
    <row r="1393" spans="1:11">
      <c r="A1393" s="21" t="s">
        <v>3886</v>
      </c>
      <c r="B1393" s="21" t="s">
        <v>5874</v>
      </c>
      <c r="C1393" s="21" t="s">
        <v>8</v>
      </c>
      <c r="D1393" s="21" t="s">
        <v>538</v>
      </c>
      <c r="E1393" s="21" t="s">
        <v>46</v>
      </c>
      <c r="F1393" s="5812">
        <v>1</v>
      </c>
      <c r="G1393" s="5813">
        <v>4.583333333333333E-2</v>
      </c>
      <c r="H1393" s="21" t="s">
        <v>10</v>
      </c>
      <c r="I1393" s="21" t="s">
        <v>96</v>
      </c>
      <c r="J1393" s="21" t="s">
        <v>48</v>
      </c>
      <c r="K1393" s="5814" t="s">
        <v>5875</v>
      </c>
    </row>
    <row r="1394" spans="1:11">
      <c r="A1394" s="21" t="s">
        <v>4177</v>
      </c>
      <c r="B1394" s="21" t="s">
        <v>5876</v>
      </c>
      <c r="C1394" s="21" t="s">
        <v>8</v>
      </c>
      <c r="D1394" s="21" t="s">
        <v>538</v>
      </c>
      <c r="E1394" s="21" t="s">
        <v>46</v>
      </c>
      <c r="F1394" s="5812">
        <v>1</v>
      </c>
      <c r="G1394" s="5813">
        <v>4.583333333333333E-2</v>
      </c>
      <c r="H1394" s="21" t="s">
        <v>10</v>
      </c>
      <c r="I1394" s="21" t="s">
        <v>2713</v>
      </c>
      <c r="J1394" s="21" t="s">
        <v>97</v>
      </c>
      <c r="K1394" s="5814" t="s">
        <v>5877</v>
      </c>
    </row>
    <row r="1395" spans="1:11">
      <c r="A1395" s="21" t="s">
        <v>3235</v>
      </c>
      <c r="B1395" s="21" t="s">
        <v>5878</v>
      </c>
      <c r="C1395" s="21" t="s">
        <v>8</v>
      </c>
      <c r="D1395" s="21" t="s">
        <v>538</v>
      </c>
      <c r="E1395" s="21" t="s">
        <v>46</v>
      </c>
      <c r="F1395" s="5812">
        <v>1</v>
      </c>
      <c r="G1395" s="5813">
        <v>4.6527777777777779E-2</v>
      </c>
      <c r="H1395" s="21" t="s">
        <v>10</v>
      </c>
      <c r="I1395" s="21" t="s">
        <v>39</v>
      </c>
      <c r="J1395" s="21" t="s">
        <v>48</v>
      </c>
      <c r="K1395" s="5814" t="s">
        <v>5879</v>
      </c>
    </row>
    <row r="1396" spans="1:11">
      <c r="A1396" s="21" t="s">
        <v>2600</v>
      </c>
      <c r="B1396" s="21" t="s">
        <v>5880</v>
      </c>
      <c r="C1396" s="21" t="s">
        <v>8</v>
      </c>
      <c r="D1396" s="21" t="s">
        <v>538</v>
      </c>
      <c r="E1396" s="21" t="s">
        <v>46</v>
      </c>
      <c r="F1396" s="5812">
        <v>1</v>
      </c>
      <c r="G1396" s="5813">
        <v>4.9305555555555554E-2</v>
      </c>
      <c r="H1396" s="21" t="s">
        <v>54</v>
      </c>
      <c r="I1396" s="21" t="s">
        <v>55</v>
      </c>
      <c r="J1396" s="21" t="s">
        <v>406</v>
      </c>
      <c r="K1396" s="5814" t="s">
        <v>5881</v>
      </c>
    </row>
    <row r="1397" spans="1:11">
      <c r="A1397" s="21" t="s">
        <v>2084</v>
      </c>
      <c r="B1397" s="21" t="s">
        <v>5882</v>
      </c>
      <c r="C1397" s="21" t="s">
        <v>8</v>
      </c>
      <c r="D1397" s="21" t="s">
        <v>538</v>
      </c>
      <c r="E1397" s="21" t="s">
        <v>46</v>
      </c>
      <c r="F1397" s="5812">
        <v>1</v>
      </c>
      <c r="G1397" s="5813">
        <v>5.0694444444444445E-2</v>
      </c>
      <c r="H1397" s="21" t="s">
        <v>54</v>
      </c>
      <c r="I1397" s="21" t="s">
        <v>47</v>
      </c>
      <c r="J1397" s="21" t="s">
        <v>48</v>
      </c>
      <c r="K1397" s="5814" t="s">
        <v>5883</v>
      </c>
    </row>
    <row r="1398" spans="1:11">
      <c r="A1398" s="21" t="s">
        <v>2280</v>
      </c>
      <c r="B1398" s="21" t="s">
        <v>5884</v>
      </c>
      <c r="C1398" s="21" t="s">
        <v>8</v>
      </c>
      <c r="D1398" s="21" t="s">
        <v>538</v>
      </c>
      <c r="E1398" s="21" t="s">
        <v>46</v>
      </c>
      <c r="F1398" s="5812">
        <v>1</v>
      </c>
      <c r="G1398" s="5813">
        <v>5.0694444444444445E-2</v>
      </c>
      <c r="H1398" s="21" t="s">
        <v>54</v>
      </c>
      <c r="I1398" s="21" t="s">
        <v>2297</v>
      </c>
      <c r="J1398" s="21" t="s">
        <v>406</v>
      </c>
      <c r="K1398" s="5814" t="s">
        <v>5885</v>
      </c>
    </row>
    <row r="1399" spans="1:11">
      <c r="A1399" s="21" t="s">
        <v>4654</v>
      </c>
      <c r="B1399" s="21" t="s">
        <v>5886</v>
      </c>
      <c r="C1399" s="21" t="s">
        <v>8</v>
      </c>
      <c r="D1399" s="21" t="s">
        <v>538</v>
      </c>
      <c r="E1399" s="21" t="s">
        <v>46</v>
      </c>
      <c r="F1399" s="5812">
        <v>1</v>
      </c>
      <c r="G1399" s="5813">
        <v>5.6944444444444443E-2</v>
      </c>
      <c r="H1399" s="21" t="s">
        <v>10</v>
      </c>
      <c r="I1399" s="21" t="s">
        <v>5887</v>
      </c>
      <c r="J1399" s="21" t="s">
        <v>48</v>
      </c>
      <c r="K1399" s="5814" t="s">
        <v>5888</v>
      </c>
    </row>
    <row r="1400" spans="1:11">
      <c r="A1400" s="21" t="s">
        <v>3769</v>
      </c>
      <c r="B1400" s="21" t="s">
        <v>5889</v>
      </c>
      <c r="C1400" s="21" t="s">
        <v>22</v>
      </c>
      <c r="D1400" s="21" t="s">
        <v>538</v>
      </c>
      <c r="E1400" s="21" t="s">
        <v>46</v>
      </c>
      <c r="F1400" s="5812">
        <v>1</v>
      </c>
      <c r="G1400" s="5813">
        <v>5.8333333333333334E-2</v>
      </c>
      <c r="H1400" s="21" t="s">
        <v>10</v>
      </c>
      <c r="I1400" s="21" t="s">
        <v>2269</v>
      </c>
      <c r="J1400" s="21" t="s">
        <v>97</v>
      </c>
      <c r="K1400" s="5814" t="s">
        <v>5890</v>
      </c>
    </row>
    <row r="1401" spans="1:11">
      <c r="A1401" s="21" t="s">
        <v>4565</v>
      </c>
      <c r="B1401" s="21" t="s">
        <v>5891</v>
      </c>
      <c r="C1401" s="21" t="s">
        <v>22</v>
      </c>
      <c r="D1401" s="21" t="s">
        <v>538</v>
      </c>
      <c r="E1401" s="21" t="s">
        <v>46</v>
      </c>
      <c r="F1401" s="5812">
        <v>1</v>
      </c>
      <c r="G1401" s="5813">
        <v>6.1111111111111109E-2</v>
      </c>
      <c r="H1401" s="21" t="s">
        <v>10</v>
      </c>
      <c r="I1401" s="21" t="s">
        <v>2860</v>
      </c>
      <c r="J1401" s="21" t="s">
        <v>48</v>
      </c>
      <c r="K1401" s="5814" t="s">
        <v>5892</v>
      </c>
    </row>
    <row r="1402" spans="1:11">
      <c r="A1402" s="21" t="s">
        <v>2237</v>
      </c>
      <c r="B1402" s="21" t="s">
        <v>5893</v>
      </c>
      <c r="C1402" s="21" t="s">
        <v>22</v>
      </c>
      <c r="D1402" s="21" t="s">
        <v>538</v>
      </c>
      <c r="E1402" s="21" t="s">
        <v>46</v>
      </c>
      <c r="F1402" s="5812">
        <v>1</v>
      </c>
      <c r="G1402" s="5813">
        <v>6.3888888888888884E-2</v>
      </c>
      <c r="H1402" s="21" t="s">
        <v>10</v>
      </c>
      <c r="I1402" s="21" t="s">
        <v>5894</v>
      </c>
      <c r="J1402" s="21" t="s">
        <v>48</v>
      </c>
      <c r="K1402" s="5814" t="s">
        <v>5895</v>
      </c>
    </row>
    <row r="1403" spans="1:11">
      <c r="A1403" s="21" t="s">
        <v>3192</v>
      </c>
      <c r="B1403" s="21" t="s">
        <v>5896</v>
      </c>
      <c r="C1403" s="21" t="s">
        <v>8</v>
      </c>
      <c r="D1403" s="21" t="s">
        <v>538</v>
      </c>
      <c r="E1403" s="21" t="s">
        <v>46</v>
      </c>
      <c r="F1403" s="5812">
        <v>1</v>
      </c>
      <c r="G1403" s="5813">
        <v>6.5277777777777782E-2</v>
      </c>
      <c r="H1403" s="21" t="s">
        <v>10</v>
      </c>
      <c r="I1403" s="21" t="s">
        <v>55</v>
      </c>
      <c r="J1403" s="21" t="s">
        <v>97</v>
      </c>
      <c r="K1403" s="5814" t="s">
        <v>5897</v>
      </c>
    </row>
    <row r="1404" spans="1:11">
      <c r="A1404" s="21" t="s">
        <v>2517</v>
      </c>
      <c r="B1404" s="21" t="s">
        <v>5898</v>
      </c>
      <c r="C1404" s="21" t="s">
        <v>8</v>
      </c>
      <c r="D1404" s="21" t="s">
        <v>538</v>
      </c>
      <c r="E1404" s="21" t="s">
        <v>46</v>
      </c>
      <c r="F1404" s="5812">
        <v>1</v>
      </c>
      <c r="G1404" s="5813">
        <v>6.5972222222222224E-2</v>
      </c>
      <c r="H1404" s="21" t="s">
        <v>10</v>
      </c>
      <c r="I1404" s="21" t="s">
        <v>2313</v>
      </c>
      <c r="J1404" s="21" t="s">
        <v>430</v>
      </c>
      <c r="K1404" s="5814" t="s">
        <v>5899</v>
      </c>
    </row>
    <row r="1405" spans="1:11">
      <c r="A1405" s="21" t="s">
        <v>5168</v>
      </c>
      <c r="B1405" s="21" t="s">
        <v>5900</v>
      </c>
      <c r="C1405" s="21" t="s">
        <v>22</v>
      </c>
      <c r="D1405" s="21" t="s">
        <v>538</v>
      </c>
      <c r="E1405" s="21" t="s">
        <v>46</v>
      </c>
      <c r="F1405" s="5812">
        <v>1</v>
      </c>
      <c r="G1405" s="5813">
        <v>7.0833333333333331E-2</v>
      </c>
      <c r="H1405" s="21" t="s">
        <v>10</v>
      </c>
      <c r="I1405" s="21" t="s">
        <v>226</v>
      </c>
      <c r="J1405" s="21" t="s">
        <v>48</v>
      </c>
      <c r="K1405" s="5814" t="s">
        <v>5901</v>
      </c>
    </row>
    <row r="1406" spans="1:11">
      <c r="A1406" s="21" t="s">
        <v>3053</v>
      </c>
      <c r="B1406" s="21" t="s">
        <v>5902</v>
      </c>
      <c r="C1406" s="21" t="s">
        <v>22</v>
      </c>
      <c r="D1406" s="21" t="s">
        <v>538</v>
      </c>
      <c r="E1406" s="21" t="s">
        <v>46</v>
      </c>
      <c r="F1406" s="5812">
        <v>1</v>
      </c>
      <c r="G1406" s="5813">
        <v>7.2222222222222215E-2</v>
      </c>
      <c r="H1406" s="21" t="s">
        <v>10</v>
      </c>
      <c r="I1406" s="21" t="s">
        <v>3534</v>
      </c>
      <c r="J1406" s="21" t="s">
        <v>3063</v>
      </c>
      <c r="K1406" s="5814" t="s">
        <v>5903</v>
      </c>
    </row>
    <row r="1407" spans="1:11">
      <c r="A1407" s="21" t="s">
        <v>3116</v>
      </c>
      <c r="B1407" s="21" t="s">
        <v>5904</v>
      </c>
      <c r="C1407" s="21" t="s">
        <v>8</v>
      </c>
      <c r="D1407" s="21" t="s">
        <v>538</v>
      </c>
      <c r="E1407" s="21" t="s">
        <v>46</v>
      </c>
      <c r="F1407" s="5812">
        <v>1</v>
      </c>
      <c r="G1407" s="5813">
        <v>7.8472222222222221E-2</v>
      </c>
      <c r="H1407" s="21" t="s">
        <v>10</v>
      </c>
      <c r="I1407" s="21" t="s">
        <v>55</v>
      </c>
      <c r="J1407" s="21" t="s">
        <v>722</v>
      </c>
      <c r="K1407" s="5814" t="s">
        <v>5905</v>
      </c>
    </row>
    <row r="1408" spans="1:11">
      <c r="A1408" s="21" t="s">
        <v>3026</v>
      </c>
      <c r="B1408" s="21" t="s">
        <v>5906</v>
      </c>
      <c r="C1408" s="21" t="s">
        <v>22</v>
      </c>
      <c r="D1408" s="21" t="s">
        <v>538</v>
      </c>
      <c r="E1408" s="21" t="s">
        <v>46</v>
      </c>
      <c r="F1408" s="5812">
        <v>1</v>
      </c>
      <c r="G1408" s="5813">
        <v>7.9861111111111105E-2</v>
      </c>
      <c r="H1408" s="21" t="s">
        <v>10</v>
      </c>
      <c r="I1408" s="21" t="s">
        <v>55</v>
      </c>
      <c r="J1408" s="21" t="s">
        <v>97</v>
      </c>
      <c r="K1408" s="5814" t="s">
        <v>5907</v>
      </c>
    </row>
    <row r="1409" spans="1:11">
      <c r="A1409" s="21" t="s">
        <v>2143</v>
      </c>
      <c r="B1409" s="21" t="s">
        <v>5908</v>
      </c>
      <c r="C1409" s="21" t="s">
        <v>22</v>
      </c>
      <c r="D1409" s="21" t="s">
        <v>538</v>
      </c>
      <c r="E1409" s="21" t="s">
        <v>46</v>
      </c>
      <c r="F1409" s="5812">
        <v>1</v>
      </c>
      <c r="G1409" s="5813">
        <v>8.2638888888888887E-2</v>
      </c>
      <c r="H1409" s="21" t="s">
        <v>10</v>
      </c>
      <c r="I1409" s="21" t="s">
        <v>209</v>
      </c>
      <c r="J1409" s="21" t="s">
        <v>406</v>
      </c>
      <c r="K1409" s="5814" t="s">
        <v>5909</v>
      </c>
    </row>
    <row r="1410" spans="1:11">
      <c r="A1410" s="21" t="s">
        <v>3872</v>
      </c>
      <c r="B1410" s="21" t="s">
        <v>5910</v>
      </c>
      <c r="C1410" s="21" t="s">
        <v>22</v>
      </c>
      <c r="D1410" s="21" t="s">
        <v>538</v>
      </c>
      <c r="E1410" s="21" t="s">
        <v>46</v>
      </c>
      <c r="F1410" s="5812">
        <v>1</v>
      </c>
      <c r="G1410" s="5813">
        <v>9.0277777777777776E-2</v>
      </c>
      <c r="H1410" s="21" t="s">
        <v>10</v>
      </c>
      <c r="I1410" s="21" t="s">
        <v>263</v>
      </c>
      <c r="J1410" s="21" t="s">
        <v>430</v>
      </c>
      <c r="K1410" s="5814" t="s">
        <v>5911</v>
      </c>
    </row>
    <row r="1411" spans="1:11">
      <c r="A1411" s="21" t="s">
        <v>3252</v>
      </c>
      <c r="B1411" s="21" t="s">
        <v>5912</v>
      </c>
      <c r="C1411" s="21" t="s">
        <v>22</v>
      </c>
      <c r="D1411" s="21" t="s">
        <v>538</v>
      </c>
      <c r="E1411" s="21" t="s">
        <v>46</v>
      </c>
      <c r="F1411" s="5812">
        <v>1</v>
      </c>
      <c r="G1411" s="5813">
        <v>9.0277777777777776E-2</v>
      </c>
      <c r="H1411" s="21" t="s">
        <v>10</v>
      </c>
      <c r="I1411" s="21" t="s">
        <v>5887</v>
      </c>
      <c r="J1411" s="21" t="s">
        <v>48</v>
      </c>
      <c r="K1411" s="5814" t="s">
        <v>5913</v>
      </c>
    </row>
    <row r="1412" spans="1:11">
      <c r="A1412" s="21" t="s">
        <v>4139</v>
      </c>
      <c r="B1412" s="21" t="s">
        <v>5914</v>
      </c>
      <c r="C1412" s="21" t="s">
        <v>22</v>
      </c>
      <c r="D1412" s="21" t="s">
        <v>538</v>
      </c>
      <c r="E1412" s="21" t="s">
        <v>46</v>
      </c>
      <c r="F1412" s="5812">
        <v>1</v>
      </c>
      <c r="G1412" s="5813">
        <v>9.0972222222222218E-2</v>
      </c>
      <c r="H1412" s="21" t="s">
        <v>10</v>
      </c>
      <c r="I1412" s="21" t="s">
        <v>55</v>
      </c>
      <c r="J1412" s="21" t="s">
        <v>97</v>
      </c>
      <c r="K1412" s="5814" t="s">
        <v>5915</v>
      </c>
    </row>
    <row r="1413" spans="1:11">
      <c r="A1413" s="21" t="s">
        <v>2955</v>
      </c>
      <c r="B1413" s="21" t="s">
        <v>5916</v>
      </c>
      <c r="C1413" s="21" t="s">
        <v>8</v>
      </c>
      <c r="D1413" s="21" t="s">
        <v>538</v>
      </c>
      <c r="E1413" s="21" t="s">
        <v>46</v>
      </c>
      <c r="F1413" s="5812">
        <v>1</v>
      </c>
      <c r="G1413" s="5813">
        <v>9.166666666666666E-2</v>
      </c>
      <c r="H1413" s="21" t="s">
        <v>54</v>
      </c>
      <c r="I1413" s="21" t="s">
        <v>55</v>
      </c>
      <c r="J1413" s="21" t="s">
        <v>97</v>
      </c>
      <c r="K1413" s="5814" t="s">
        <v>5917</v>
      </c>
    </row>
    <row r="1414" spans="1:11">
      <c r="A1414" s="21" t="s">
        <v>2184</v>
      </c>
      <c r="B1414" s="21" t="s">
        <v>5918</v>
      </c>
      <c r="C1414" s="21" t="s">
        <v>8</v>
      </c>
      <c r="D1414" s="21" t="s">
        <v>538</v>
      </c>
      <c r="E1414" s="21" t="s">
        <v>46</v>
      </c>
      <c r="F1414" s="5812">
        <v>1</v>
      </c>
      <c r="G1414" s="5813">
        <v>9.375E-2</v>
      </c>
      <c r="H1414" s="21" t="s">
        <v>10</v>
      </c>
      <c r="I1414" s="21" t="s">
        <v>11</v>
      </c>
      <c r="J1414" s="21" t="s">
        <v>127</v>
      </c>
      <c r="K1414" s="5814" t="s">
        <v>5919</v>
      </c>
    </row>
    <row r="1415" spans="1:11">
      <c r="A1415" s="21" t="s">
        <v>2088</v>
      </c>
      <c r="B1415" s="21" t="s">
        <v>5920</v>
      </c>
      <c r="C1415" s="21" t="s">
        <v>8</v>
      </c>
      <c r="D1415" s="21" t="s">
        <v>538</v>
      </c>
      <c r="E1415" s="21" t="s">
        <v>46</v>
      </c>
      <c r="F1415" s="5812">
        <v>1</v>
      </c>
      <c r="G1415" s="5813">
        <v>9.4444444444444442E-2</v>
      </c>
      <c r="H1415" s="21" t="s">
        <v>10</v>
      </c>
      <c r="I1415" s="21" t="s">
        <v>39</v>
      </c>
      <c r="J1415" s="21" t="s">
        <v>127</v>
      </c>
      <c r="K1415" s="5814" t="s">
        <v>5921</v>
      </c>
    </row>
    <row r="1416" spans="1:11">
      <c r="A1416" s="21" t="s">
        <v>3551</v>
      </c>
      <c r="B1416" s="21" t="s">
        <v>5922</v>
      </c>
      <c r="C1416" s="21" t="s">
        <v>8</v>
      </c>
      <c r="D1416" s="21" t="s">
        <v>538</v>
      </c>
      <c r="E1416" s="21" t="s">
        <v>46</v>
      </c>
      <c r="F1416" s="5812">
        <v>1</v>
      </c>
      <c r="G1416" s="5813">
        <v>9.4444444444444442E-2</v>
      </c>
      <c r="H1416" s="21" t="s">
        <v>10</v>
      </c>
      <c r="I1416" s="21" t="s">
        <v>47</v>
      </c>
      <c r="J1416" s="21" t="s">
        <v>430</v>
      </c>
      <c r="K1416" s="5814" t="s">
        <v>5923</v>
      </c>
    </row>
    <row r="1417" spans="1:11">
      <c r="A1417" s="21" t="s">
        <v>4409</v>
      </c>
      <c r="B1417" s="21" t="s">
        <v>5924</v>
      </c>
      <c r="C1417" s="21" t="s">
        <v>8</v>
      </c>
      <c r="D1417" s="21" t="s">
        <v>538</v>
      </c>
      <c r="E1417" s="21" t="s">
        <v>46</v>
      </c>
      <c r="F1417" s="5812">
        <v>1</v>
      </c>
      <c r="G1417" s="5813">
        <v>9.5138888888888884E-2</v>
      </c>
      <c r="H1417" s="21" t="s">
        <v>10</v>
      </c>
      <c r="I1417" s="21" t="s">
        <v>39</v>
      </c>
      <c r="J1417" s="21" t="s">
        <v>3226</v>
      </c>
      <c r="K1417" s="5814" t="s">
        <v>5925</v>
      </c>
    </row>
    <row r="1418" spans="1:11">
      <c r="A1418" s="21" t="s">
        <v>2741</v>
      </c>
      <c r="B1418" s="21" t="s">
        <v>5926</v>
      </c>
      <c r="C1418" s="21" t="s">
        <v>8</v>
      </c>
      <c r="D1418" s="21" t="s">
        <v>538</v>
      </c>
      <c r="E1418" s="21" t="s">
        <v>46</v>
      </c>
      <c r="F1418" s="5812">
        <v>1</v>
      </c>
      <c r="G1418" s="5813">
        <v>9.583333333333334E-2</v>
      </c>
      <c r="H1418" s="21" t="s">
        <v>10</v>
      </c>
      <c r="I1418" s="21" t="s">
        <v>2269</v>
      </c>
      <c r="J1418" s="21" t="s">
        <v>3168</v>
      </c>
      <c r="K1418" s="5814" t="s">
        <v>5927</v>
      </c>
    </row>
    <row r="1419" spans="1:11">
      <c r="A1419" s="21" t="s">
        <v>2478</v>
      </c>
      <c r="B1419" s="21" t="s">
        <v>5928</v>
      </c>
      <c r="C1419" s="21" t="s">
        <v>8</v>
      </c>
      <c r="D1419" s="21" t="s">
        <v>538</v>
      </c>
      <c r="E1419" s="21" t="s">
        <v>46</v>
      </c>
      <c r="F1419" s="5812">
        <v>1</v>
      </c>
      <c r="G1419" s="5813">
        <v>0.10416666666666667</v>
      </c>
      <c r="H1419" s="21" t="s">
        <v>10</v>
      </c>
      <c r="I1419" s="21" t="s">
        <v>39</v>
      </c>
      <c r="J1419" s="21" t="s">
        <v>3168</v>
      </c>
      <c r="K1419" s="5814" t="s">
        <v>5929</v>
      </c>
    </row>
    <row r="1420" spans="1:11">
      <c r="A1420" s="21" t="s">
        <v>5168</v>
      </c>
      <c r="B1420" s="21" t="s">
        <v>5930</v>
      </c>
      <c r="C1420" s="21" t="s">
        <v>8</v>
      </c>
      <c r="D1420" s="21" t="s">
        <v>538</v>
      </c>
      <c r="E1420" s="21" t="s">
        <v>46</v>
      </c>
      <c r="F1420" s="5812">
        <v>1</v>
      </c>
      <c r="G1420" s="5813">
        <v>0.10625</v>
      </c>
      <c r="H1420" s="21" t="s">
        <v>10</v>
      </c>
      <c r="I1420" s="21" t="s">
        <v>226</v>
      </c>
      <c r="J1420" s="21" t="s">
        <v>48</v>
      </c>
      <c r="K1420" s="5814" t="s">
        <v>5931</v>
      </c>
    </row>
    <row r="1421" spans="1:11">
      <c r="A1421" s="21" t="s">
        <v>3616</v>
      </c>
      <c r="B1421" s="21" t="s">
        <v>5932</v>
      </c>
      <c r="C1421" s="21" t="s">
        <v>22</v>
      </c>
      <c r="D1421" s="21" t="s">
        <v>538</v>
      </c>
      <c r="E1421" s="21" t="s">
        <v>46</v>
      </c>
      <c r="F1421" s="5812">
        <v>1</v>
      </c>
      <c r="G1421" s="5813">
        <v>0.11180555555555556</v>
      </c>
      <c r="H1421" s="21" t="s">
        <v>10</v>
      </c>
      <c r="I1421" s="21" t="s">
        <v>55</v>
      </c>
      <c r="J1421" s="21" t="s">
        <v>97</v>
      </c>
      <c r="K1421" s="5814" t="s">
        <v>5933</v>
      </c>
    </row>
    <row r="1422" spans="1:11">
      <c r="A1422" s="21" t="s">
        <v>2241</v>
      </c>
      <c r="B1422" s="21" t="s">
        <v>5934</v>
      </c>
      <c r="C1422" s="21" t="s">
        <v>22</v>
      </c>
      <c r="D1422" s="21" t="s">
        <v>538</v>
      </c>
      <c r="E1422" s="21" t="s">
        <v>46</v>
      </c>
      <c r="F1422" s="5812">
        <v>1</v>
      </c>
      <c r="G1422" s="5813">
        <v>0.11180555555555556</v>
      </c>
      <c r="H1422" s="21" t="s">
        <v>10</v>
      </c>
      <c r="I1422" s="21" t="s">
        <v>2726</v>
      </c>
      <c r="J1422" s="21" t="s">
        <v>430</v>
      </c>
      <c r="K1422" s="5814" t="s">
        <v>5935</v>
      </c>
    </row>
    <row r="1423" spans="1:11">
      <c r="A1423" s="21" t="s">
        <v>3049</v>
      </c>
      <c r="B1423" s="21" t="s">
        <v>5936</v>
      </c>
      <c r="C1423" s="21" t="s">
        <v>8</v>
      </c>
      <c r="D1423" s="21" t="s">
        <v>538</v>
      </c>
      <c r="E1423" s="21" t="s">
        <v>46</v>
      </c>
      <c r="F1423" s="5812">
        <v>1</v>
      </c>
      <c r="G1423" s="5813">
        <v>0.11388888888888889</v>
      </c>
      <c r="H1423" s="21" t="s">
        <v>10</v>
      </c>
      <c r="I1423" s="21" t="s">
        <v>2731</v>
      </c>
      <c r="J1423" s="21" t="s">
        <v>48</v>
      </c>
      <c r="K1423" s="5814" t="s">
        <v>5937</v>
      </c>
    </row>
    <row r="1424" spans="1:11">
      <c r="A1424" s="21" t="s">
        <v>2768</v>
      </c>
      <c r="B1424" s="21" t="s">
        <v>5938</v>
      </c>
      <c r="C1424" s="21" t="s">
        <v>22</v>
      </c>
      <c r="D1424" s="21" t="s">
        <v>538</v>
      </c>
      <c r="E1424" s="21" t="s">
        <v>46</v>
      </c>
      <c r="F1424" s="5812">
        <v>1</v>
      </c>
      <c r="G1424" s="5813">
        <v>0.11874999999999999</v>
      </c>
      <c r="H1424" s="21" t="s">
        <v>10</v>
      </c>
      <c r="I1424" s="21" t="s">
        <v>2297</v>
      </c>
      <c r="J1424" s="21" t="s">
        <v>406</v>
      </c>
      <c r="K1424" s="5814" t="s">
        <v>5939</v>
      </c>
    </row>
    <row r="1425" spans="1:11">
      <c r="A1425" s="21" t="s">
        <v>4768</v>
      </c>
      <c r="B1425" s="21" t="s">
        <v>5940</v>
      </c>
      <c r="C1425" s="21" t="s">
        <v>8</v>
      </c>
      <c r="D1425" s="21" t="s">
        <v>538</v>
      </c>
      <c r="E1425" s="21" t="s">
        <v>46</v>
      </c>
      <c r="F1425" s="5812">
        <v>1</v>
      </c>
      <c r="G1425" s="5813">
        <v>0.12569444444444444</v>
      </c>
      <c r="H1425" s="21" t="s">
        <v>54</v>
      </c>
      <c r="I1425" s="21" t="s">
        <v>47</v>
      </c>
      <c r="J1425" s="21" t="s">
        <v>48</v>
      </c>
      <c r="K1425" s="5814" t="s">
        <v>5941</v>
      </c>
    </row>
    <row r="1426" spans="1:11">
      <c r="A1426" s="21" t="s">
        <v>2119</v>
      </c>
      <c r="B1426" s="21" t="s">
        <v>5942</v>
      </c>
      <c r="C1426" s="21" t="s">
        <v>22</v>
      </c>
      <c r="D1426" s="21" t="s">
        <v>538</v>
      </c>
      <c r="E1426" s="21" t="s">
        <v>46</v>
      </c>
      <c r="F1426" s="5812">
        <v>1</v>
      </c>
      <c r="G1426" s="5813">
        <v>0.12638888888888888</v>
      </c>
      <c r="H1426" s="21" t="s">
        <v>10</v>
      </c>
      <c r="I1426" s="21" t="s">
        <v>89</v>
      </c>
      <c r="J1426" s="21" t="s">
        <v>48</v>
      </c>
      <c r="K1426" s="5814" t="s">
        <v>5943</v>
      </c>
    </row>
    <row r="1427" spans="1:11">
      <c r="A1427" s="21" t="s">
        <v>3039</v>
      </c>
      <c r="B1427" s="21" t="s">
        <v>5944</v>
      </c>
      <c r="C1427" s="21" t="s">
        <v>8</v>
      </c>
      <c r="D1427" s="21" t="s">
        <v>538</v>
      </c>
      <c r="E1427" s="21" t="s">
        <v>46</v>
      </c>
      <c r="F1427" s="5812">
        <v>1</v>
      </c>
      <c r="G1427" s="5813">
        <v>0.13055555555555556</v>
      </c>
      <c r="H1427" s="21" t="s">
        <v>54</v>
      </c>
      <c r="I1427" s="21" t="s">
        <v>47</v>
      </c>
      <c r="J1427" s="21" t="s">
        <v>97</v>
      </c>
      <c r="K1427" s="5814" t="s">
        <v>5945</v>
      </c>
    </row>
    <row r="1428" spans="1:11">
      <c r="A1428" s="21" t="s">
        <v>2796</v>
      </c>
      <c r="B1428" s="21" t="s">
        <v>5946</v>
      </c>
      <c r="C1428" s="21" t="s">
        <v>22</v>
      </c>
      <c r="D1428" s="21" t="s">
        <v>538</v>
      </c>
      <c r="E1428" s="21" t="s">
        <v>46</v>
      </c>
      <c r="F1428" s="5812">
        <v>1</v>
      </c>
      <c r="G1428" s="5813">
        <v>0.13194444444444445</v>
      </c>
      <c r="H1428" s="21" t="s">
        <v>10</v>
      </c>
      <c r="I1428" s="21" t="s">
        <v>55</v>
      </c>
      <c r="J1428" s="21" t="s">
        <v>48</v>
      </c>
      <c r="K1428" s="5814" t="s">
        <v>5947</v>
      </c>
    </row>
    <row r="1429" spans="1:11">
      <c r="A1429" s="21" t="s">
        <v>3116</v>
      </c>
      <c r="B1429" s="21" t="s">
        <v>5948</v>
      </c>
      <c r="C1429" s="21" t="s">
        <v>8</v>
      </c>
      <c r="D1429" s="21" t="s">
        <v>538</v>
      </c>
      <c r="E1429" s="21" t="s">
        <v>46</v>
      </c>
      <c r="F1429" s="5812">
        <v>1</v>
      </c>
      <c r="G1429" s="5813">
        <v>0.15</v>
      </c>
      <c r="H1429" s="21" t="s">
        <v>54</v>
      </c>
      <c r="I1429" s="21" t="s">
        <v>39</v>
      </c>
      <c r="J1429" s="21" t="s">
        <v>1076</v>
      </c>
      <c r="K1429" s="5814" t="s">
        <v>5949</v>
      </c>
    </row>
    <row r="1430" spans="1:11">
      <c r="A1430" s="21" t="s">
        <v>2600</v>
      </c>
      <c r="B1430" s="21" t="s">
        <v>5950</v>
      </c>
      <c r="C1430" s="21" t="s">
        <v>8</v>
      </c>
      <c r="D1430" s="21" t="s">
        <v>538</v>
      </c>
      <c r="E1430" s="21" t="s">
        <v>46</v>
      </c>
      <c r="F1430" s="5812">
        <v>1</v>
      </c>
      <c r="G1430" s="5813">
        <v>0.15138888888888888</v>
      </c>
      <c r="H1430" s="21" t="s">
        <v>10</v>
      </c>
      <c r="I1430" s="21" t="s">
        <v>96</v>
      </c>
      <c r="J1430" s="21" t="s">
        <v>48</v>
      </c>
      <c r="K1430" s="5814" t="s">
        <v>5951</v>
      </c>
    </row>
    <row r="1431" spans="1:11">
      <c r="A1431" s="21" t="s">
        <v>5235</v>
      </c>
      <c r="B1431" s="21" t="s">
        <v>5952</v>
      </c>
      <c r="C1431" s="21" t="s">
        <v>8</v>
      </c>
      <c r="D1431" s="21" t="s">
        <v>538</v>
      </c>
      <c r="E1431" s="21" t="s">
        <v>46</v>
      </c>
      <c r="F1431" s="5812">
        <v>1</v>
      </c>
      <c r="G1431" s="5813">
        <v>0.15347222222222223</v>
      </c>
      <c r="H1431" s="21" t="s">
        <v>10</v>
      </c>
      <c r="I1431" s="21" t="s">
        <v>3534</v>
      </c>
      <c r="J1431" s="21" t="s">
        <v>48</v>
      </c>
      <c r="K1431" s="5814" t="s">
        <v>5953</v>
      </c>
    </row>
    <row r="1432" spans="1:11">
      <c r="A1432" s="21" t="s">
        <v>2438</v>
      </c>
      <c r="B1432" s="21" t="s">
        <v>5954</v>
      </c>
      <c r="C1432" s="21" t="s">
        <v>22</v>
      </c>
      <c r="D1432" s="21" t="s">
        <v>538</v>
      </c>
      <c r="E1432" s="21" t="s">
        <v>46</v>
      </c>
      <c r="F1432" s="5812">
        <v>1</v>
      </c>
      <c r="G1432" s="5813">
        <v>0.16875000000000001</v>
      </c>
      <c r="H1432" s="21" t="s">
        <v>10</v>
      </c>
      <c r="I1432" s="21" t="s">
        <v>2544</v>
      </c>
      <c r="J1432" s="21" t="s">
        <v>127</v>
      </c>
      <c r="K1432" s="5814" t="s">
        <v>5955</v>
      </c>
    </row>
    <row r="1433" spans="1:11">
      <c r="A1433" s="21" t="s">
        <v>3690</v>
      </c>
      <c r="B1433" s="21" t="s">
        <v>5956</v>
      </c>
      <c r="C1433" s="21" t="s">
        <v>22</v>
      </c>
      <c r="D1433" s="21" t="s">
        <v>538</v>
      </c>
      <c r="E1433" s="21" t="s">
        <v>46</v>
      </c>
      <c r="F1433" s="5812">
        <v>1</v>
      </c>
      <c r="G1433" s="5813">
        <v>0.17083333333333334</v>
      </c>
      <c r="H1433" s="21" t="s">
        <v>10</v>
      </c>
      <c r="I1433" s="21" t="s">
        <v>39</v>
      </c>
      <c r="J1433" s="21" t="s">
        <v>258</v>
      </c>
      <c r="K1433" s="5814" t="s">
        <v>5957</v>
      </c>
    </row>
    <row r="1434" spans="1:11">
      <c r="A1434" s="21" t="s">
        <v>4645</v>
      </c>
      <c r="B1434" s="21" t="s">
        <v>5958</v>
      </c>
      <c r="C1434" s="21" t="s">
        <v>8</v>
      </c>
      <c r="D1434" s="21" t="s">
        <v>538</v>
      </c>
      <c r="E1434" s="21" t="s">
        <v>46</v>
      </c>
      <c r="F1434" s="5812">
        <v>1</v>
      </c>
      <c r="G1434" s="5813">
        <v>0.17916666666666667</v>
      </c>
      <c r="H1434" s="21" t="s">
        <v>10</v>
      </c>
      <c r="I1434" s="21" t="s">
        <v>39</v>
      </c>
      <c r="J1434" s="21" t="s">
        <v>127</v>
      </c>
      <c r="K1434" s="5814" t="s">
        <v>5959</v>
      </c>
    </row>
    <row r="1435" spans="1:11">
      <c r="A1435" s="21" t="s">
        <v>2188</v>
      </c>
      <c r="B1435" s="21" t="s">
        <v>5960</v>
      </c>
      <c r="C1435" s="21" t="s">
        <v>8</v>
      </c>
      <c r="D1435" s="21" t="s">
        <v>538</v>
      </c>
      <c r="E1435" s="21" t="s">
        <v>46</v>
      </c>
      <c r="F1435" s="5812">
        <v>1</v>
      </c>
      <c r="G1435" s="5813">
        <v>0.18124999999999999</v>
      </c>
      <c r="H1435" s="21" t="s">
        <v>10</v>
      </c>
      <c r="I1435" s="21" t="s">
        <v>3534</v>
      </c>
      <c r="J1435" s="21" t="s">
        <v>127</v>
      </c>
      <c r="K1435" s="5814" t="s">
        <v>5961</v>
      </c>
    </row>
    <row r="1436" spans="1:11">
      <c r="A1436" s="21" t="s">
        <v>2530</v>
      </c>
      <c r="B1436" s="21" t="s">
        <v>5962</v>
      </c>
      <c r="C1436" s="21" t="s">
        <v>8</v>
      </c>
      <c r="D1436" s="21" t="s">
        <v>538</v>
      </c>
      <c r="E1436" s="21" t="s">
        <v>46</v>
      </c>
      <c r="F1436" s="5812">
        <v>1</v>
      </c>
      <c r="G1436" s="5813">
        <v>0.18611111111111112</v>
      </c>
      <c r="H1436" s="21" t="s">
        <v>10</v>
      </c>
      <c r="I1436" s="21" t="s">
        <v>55</v>
      </c>
      <c r="J1436" s="21" t="s">
        <v>2953</v>
      </c>
      <c r="K1436" s="5814" t="s">
        <v>5963</v>
      </c>
    </row>
    <row r="1437" spans="1:11">
      <c r="A1437" s="21" t="s">
        <v>3532</v>
      </c>
      <c r="B1437" s="21" t="s">
        <v>5964</v>
      </c>
      <c r="C1437" s="21" t="s">
        <v>22</v>
      </c>
      <c r="D1437" s="21" t="s">
        <v>538</v>
      </c>
      <c r="E1437" s="21" t="s">
        <v>46</v>
      </c>
      <c r="F1437" s="5812">
        <v>1</v>
      </c>
      <c r="G1437" s="5813">
        <v>0.19097222222222221</v>
      </c>
      <c r="H1437" s="21" t="s">
        <v>10</v>
      </c>
      <c r="I1437" s="21" t="s">
        <v>3534</v>
      </c>
      <c r="J1437" s="21" t="s">
        <v>154</v>
      </c>
      <c r="K1437" s="5814" t="s">
        <v>5965</v>
      </c>
    </row>
    <row r="1438" spans="1:11">
      <c r="A1438" s="21" t="s">
        <v>5264</v>
      </c>
      <c r="B1438" s="21" t="s">
        <v>5966</v>
      </c>
      <c r="C1438" s="21" t="s">
        <v>22</v>
      </c>
      <c r="D1438" s="21" t="s">
        <v>538</v>
      </c>
      <c r="E1438" s="21" t="s">
        <v>46</v>
      </c>
      <c r="F1438" s="5812">
        <v>1</v>
      </c>
      <c r="G1438" s="5813">
        <v>0.19513888888888889</v>
      </c>
      <c r="H1438" s="21" t="s">
        <v>10</v>
      </c>
      <c r="I1438" s="21" t="s">
        <v>39</v>
      </c>
      <c r="J1438" s="21" t="s">
        <v>97</v>
      </c>
      <c r="K1438" s="5814" t="s">
        <v>5967</v>
      </c>
    </row>
    <row r="1439" spans="1:11">
      <c r="A1439" s="21" t="s">
        <v>4177</v>
      </c>
      <c r="B1439" s="21" t="s">
        <v>5968</v>
      </c>
      <c r="C1439" s="21" t="s">
        <v>8</v>
      </c>
      <c r="D1439" s="21" t="s">
        <v>538</v>
      </c>
      <c r="E1439" s="21" t="s">
        <v>46</v>
      </c>
      <c r="F1439" s="5812">
        <v>1</v>
      </c>
      <c r="G1439" s="5813">
        <v>0.19791666666666666</v>
      </c>
      <c r="H1439" s="21" t="s">
        <v>54</v>
      </c>
      <c r="I1439" s="21" t="s">
        <v>47</v>
      </c>
      <c r="J1439" s="21" t="s">
        <v>940</v>
      </c>
      <c r="K1439" s="5814" t="s">
        <v>5969</v>
      </c>
    </row>
    <row r="1440" spans="1:11">
      <c r="A1440" s="21" t="s">
        <v>3049</v>
      </c>
      <c r="B1440" s="21" t="s">
        <v>5970</v>
      </c>
      <c r="C1440" s="21" t="s">
        <v>8</v>
      </c>
      <c r="D1440" s="21" t="s">
        <v>538</v>
      </c>
      <c r="E1440" s="21" t="s">
        <v>46</v>
      </c>
      <c r="F1440" s="5812">
        <v>1</v>
      </c>
      <c r="G1440" s="5813">
        <v>0.2</v>
      </c>
      <c r="H1440" s="21" t="s">
        <v>10</v>
      </c>
      <c r="I1440" s="21" t="s">
        <v>47</v>
      </c>
      <c r="J1440" s="21" t="s">
        <v>97</v>
      </c>
      <c r="K1440" s="5814" t="s">
        <v>5971</v>
      </c>
    </row>
    <row r="1441" spans="1:11">
      <c r="A1441" s="21" t="s">
        <v>2835</v>
      </c>
      <c r="B1441" s="21" t="s">
        <v>5972</v>
      </c>
      <c r="C1441" s="21" t="s">
        <v>8</v>
      </c>
      <c r="D1441" s="21" t="s">
        <v>538</v>
      </c>
      <c r="E1441" s="21" t="s">
        <v>46</v>
      </c>
      <c r="F1441" s="5812">
        <v>1</v>
      </c>
      <c r="G1441" s="5813">
        <v>0.20624999999999999</v>
      </c>
      <c r="H1441" s="21" t="s">
        <v>10</v>
      </c>
      <c r="I1441" s="21" t="s">
        <v>2297</v>
      </c>
      <c r="J1441" s="21" t="s">
        <v>127</v>
      </c>
      <c r="K1441" s="5814" t="s">
        <v>5973</v>
      </c>
    </row>
    <row r="1442" spans="1:11">
      <c r="A1442" s="21" t="s">
        <v>3690</v>
      </c>
      <c r="B1442" s="21" t="s">
        <v>5974</v>
      </c>
      <c r="C1442" s="21" t="s">
        <v>8</v>
      </c>
      <c r="D1442" s="21" t="s">
        <v>538</v>
      </c>
      <c r="E1442" s="21" t="s">
        <v>46</v>
      </c>
      <c r="F1442" s="5812">
        <v>1</v>
      </c>
      <c r="G1442" s="5813">
        <v>0.2076388888888889</v>
      </c>
      <c r="H1442" s="21" t="s">
        <v>54</v>
      </c>
      <c r="I1442" s="21" t="s">
        <v>55</v>
      </c>
      <c r="J1442" s="21" t="s">
        <v>97</v>
      </c>
      <c r="K1442" s="5814" t="s">
        <v>5975</v>
      </c>
    </row>
    <row r="1443" spans="1:11">
      <c r="A1443" s="21" t="s">
        <v>3515</v>
      </c>
      <c r="B1443" s="21" t="s">
        <v>5976</v>
      </c>
      <c r="C1443" s="21" t="s">
        <v>22</v>
      </c>
      <c r="D1443" s="21" t="s">
        <v>538</v>
      </c>
      <c r="E1443" s="21" t="s">
        <v>46</v>
      </c>
      <c r="F1443" s="5812">
        <v>1</v>
      </c>
      <c r="G1443" s="5813">
        <v>0.2076388888888889</v>
      </c>
      <c r="H1443" s="21" t="s">
        <v>10</v>
      </c>
      <c r="I1443" s="21" t="s">
        <v>96</v>
      </c>
      <c r="J1443" s="21" t="s">
        <v>97</v>
      </c>
      <c r="K1443" s="5814" t="s">
        <v>5977</v>
      </c>
    </row>
    <row r="1444" spans="1:11">
      <c r="A1444" s="21" t="s">
        <v>3130</v>
      </c>
      <c r="B1444" s="21" t="s">
        <v>5978</v>
      </c>
      <c r="C1444" s="21" t="s">
        <v>8</v>
      </c>
      <c r="D1444" s="21" t="s">
        <v>538</v>
      </c>
      <c r="E1444" s="21" t="s">
        <v>46</v>
      </c>
      <c r="F1444" s="5812">
        <v>2</v>
      </c>
      <c r="G1444" s="5813">
        <v>1.1805555555555555E-2</v>
      </c>
      <c r="H1444" s="21" t="s">
        <v>54</v>
      </c>
      <c r="I1444" s="21" t="s">
        <v>55</v>
      </c>
      <c r="J1444" s="21" t="s">
        <v>48</v>
      </c>
      <c r="K1444" s="5814" t="s">
        <v>5979</v>
      </c>
    </row>
    <row r="1445" spans="1:11">
      <c r="A1445" s="21" t="s">
        <v>2135</v>
      </c>
      <c r="B1445" s="21" t="s">
        <v>5980</v>
      </c>
      <c r="C1445" s="21" t="s">
        <v>8</v>
      </c>
      <c r="D1445" s="21" t="s">
        <v>538</v>
      </c>
      <c r="E1445" s="21" t="s">
        <v>46</v>
      </c>
      <c r="F1445" s="5812">
        <v>2</v>
      </c>
      <c r="G1445" s="5813">
        <v>1.4583333333333334E-2</v>
      </c>
      <c r="H1445" s="21" t="s">
        <v>54</v>
      </c>
      <c r="I1445" s="21" t="s">
        <v>55</v>
      </c>
      <c r="J1445" s="21" t="s">
        <v>127</v>
      </c>
      <c r="K1445" s="5814" t="s">
        <v>5981</v>
      </c>
    </row>
    <row r="1446" spans="1:11">
      <c r="A1446" s="21" t="s">
        <v>2461</v>
      </c>
      <c r="B1446" s="21" t="s">
        <v>5982</v>
      </c>
      <c r="C1446" s="21" t="s">
        <v>22</v>
      </c>
      <c r="D1446" s="21" t="s">
        <v>538</v>
      </c>
      <c r="E1446" s="21" t="s">
        <v>46</v>
      </c>
      <c r="F1446" s="5812">
        <v>2</v>
      </c>
      <c r="G1446" s="5813">
        <v>1.8055555555555554E-2</v>
      </c>
      <c r="H1446" s="21" t="s">
        <v>10</v>
      </c>
      <c r="I1446" s="21" t="s">
        <v>39</v>
      </c>
      <c r="J1446" s="21" t="s">
        <v>97</v>
      </c>
      <c r="K1446" s="5814" t="s">
        <v>5983</v>
      </c>
    </row>
    <row r="1447" spans="1:11">
      <c r="A1447" s="21" t="s">
        <v>5984</v>
      </c>
      <c r="B1447" s="21" t="s">
        <v>5985</v>
      </c>
      <c r="C1447" s="21" t="s">
        <v>8</v>
      </c>
      <c r="D1447" s="21" t="s">
        <v>538</v>
      </c>
      <c r="E1447" s="21" t="s">
        <v>46</v>
      </c>
      <c r="F1447" s="5812">
        <v>2</v>
      </c>
      <c r="G1447" s="5813">
        <v>2.5000000000000001E-2</v>
      </c>
      <c r="H1447" s="21" t="s">
        <v>2081</v>
      </c>
      <c r="I1447" s="21" t="s">
        <v>39</v>
      </c>
      <c r="J1447" s="21" t="s">
        <v>48</v>
      </c>
      <c r="K1447" s="5814" t="s">
        <v>5986</v>
      </c>
    </row>
    <row r="1448" spans="1:11">
      <c r="A1448" s="21" t="s">
        <v>135</v>
      </c>
      <c r="B1448" s="21" t="s">
        <v>604</v>
      </c>
      <c r="C1448" s="21" t="s">
        <v>8</v>
      </c>
      <c r="D1448" s="21" t="s">
        <v>538</v>
      </c>
      <c r="E1448" s="21" t="s">
        <v>46</v>
      </c>
      <c r="F1448" s="5812">
        <v>2</v>
      </c>
      <c r="G1448" s="5813">
        <v>2.5000000000000001E-2</v>
      </c>
      <c r="H1448" s="21" t="s">
        <v>10</v>
      </c>
      <c r="I1448" s="21" t="s">
        <v>89</v>
      </c>
      <c r="J1448" s="21" t="s">
        <v>127</v>
      </c>
      <c r="K1448" s="5814" t="s">
        <v>605</v>
      </c>
    </row>
    <row r="1449" spans="1:11">
      <c r="A1449" s="21" t="s">
        <v>2863</v>
      </c>
      <c r="B1449" s="21" t="s">
        <v>5987</v>
      </c>
      <c r="C1449" s="21" t="s">
        <v>8</v>
      </c>
      <c r="D1449" s="21" t="s">
        <v>538</v>
      </c>
      <c r="E1449" s="21" t="s">
        <v>46</v>
      </c>
      <c r="F1449" s="5812">
        <v>2</v>
      </c>
      <c r="G1449" s="5813">
        <v>2.8472222222222222E-2</v>
      </c>
      <c r="H1449" s="21" t="s">
        <v>10</v>
      </c>
      <c r="I1449" s="21" t="s">
        <v>2297</v>
      </c>
      <c r="J1449" s="21" t="s">
        <v>97</v>
      </c>
      <c r="K1449" s="5814" t="s">
        <v>5988</v>
      </c>
    </row>
    <row r="1450" spans="1:11">
      <c r="A1450" s="21" t="s">
        <v>2905</v>
      </c>
      <c r="B1450" s="21" t="s">
        <v>5989</v>
      </c>
      <c r="C1450" s="21" t="s">
        <v>8</v>
      </c>
      <c r="D1450" s="21" t="s">
        <v>538</v>
      </c>
      <c r="E1450" s="21" t="s">
        <v>46</v>
      </c>
      <c r="F1450" s="5812">
        <v>2</v>
      </c>
      <c r="G1450" s="5813">
        <v>3.3333333333333333E-2</v>
      </c>
      <c r="H1450" s="21" t="s">
        <v>10</v>
      </c>
      <c r="I1450" s="21" t="s">
        <v>5990</v>
      </c>
      <c r="J1450" s="21" t="s">
        <v>5991</v>
      </c>
      <c r="K1450" s="5814" t="s">
        <v>5992</v>
      </c>
    </row>
    <row r="1451" spans="1:11">
      <c r="A1451" s="21" t="s">
        <v>2139</v>
      </c>
      <c r="B1451" s="21" t="s">
        <v>5993</v>
      </c>
      <c r="C1451" s="21" t="s">
        <v>8</v>
      </c>
      <c r="D1451" s="21" t="s">
        <v>538</v>
      </c>
      <c r="E1451" s="21" t="s">
        <v>46</v>
      </c>
      <c r="F1451" s="5812">
        <v>2</v>
      </c>
      <c r="G1451" s="5813">
        <v>3.4027777777777775E-2</v>
      </c>
      <c r="H1451" s="21" t="s">
        <v>10</v>
      </c>
      <c r="I1451" s="21" t="s">
        <v>5994</v>
      </c>
      <c r="J1451" s="21" t="s">
        <v>3168</v>
      </c>
      <c r="K1451" s="5814" t="s">
        <v>5995</v>
      </c>
    </row>
    <row r="1452" spans="1:11">
      <c r="A1452" s="21" t="s">
        <v>3828</v>
      </c>
      <c r="B1452" s="21" t="s">
        <v>5996</v>
      </c>
      <c r="C1452" s="21" t="s">
        <v>22</v>
      </c>
      <c r="D1452" s="21" t="s">
        <v>538</v>
      </c>
      <c r="E1452" s="21" t="s">
        <v>46</v>
      </c>
      <c r="F1452" s="5812">
        <v>2</v>
      </c>
      <c r="G1452" s="5813">
        <v>3.6805555555555557E-2</v>
      </c>
      <c r="H1452" s="21" t="s">
        <v>10</v>
      </c>
      <c r="I1452" s="21" t="s">
        <v>2297</v>
      </c>
      <c r="J1452" s="21" t="s">
        <v>722</v>
      </c>
      <c r="K1452" s="5814" t="s">
        <v>5997</v>
      </c>
    </row>
    <row r="1453" spans="1:11">
      <c r="A1453" s="21" t="s">
        <v>2998</v>
      </c>
      <c r="B1453" s="21" t="s">
        <v>5998</v>
      </c>
      <c r="C1453" s="21" t="s">
        <v>22</v>
      </c>
      <c r="D1453" s="21" t="s">
        <v>538</v>
      </c>
      <c r="E1453" s="21" t="s">
        <v>46</v>
      </c>
      <c r="F1453" s="5812">
        <v>2</v>
      </c>
      <c r="G1453" s="5813">
        <v>3.7499999999999999E-2</v>
      </c>
      <c r="H1453" s="21" t="s">
        <v>10</v>
      </c>
      <c r="I1453" s="21" t="s">
        <v>245</v>
      </c>
      <c r="J1453" s="21" t="s">
        <v>722</v>
      </c>
      <c r="K1453" s="5814" t="s">
        <v>5999</v>
      </c>
    </row>
    <row r="1454" spans="1:11">
      <c r="A1454" s="21" t="s">
        <v>44</v>
      </c>
      <c r="B1454" s="21" t="s">
        <v>563</v>
      </c>
      <c r="C1454" s="21" t="s">
        <v>22</v>
      </c>
      <c r="D1454" s="21" t="s">
        <v>538</v>
      </c>
      <c r="E1454" s="21" t="s">
        <v>46</v>
      </c>
      <c r="F1454" s="5812">
        <v>2</v>
      </c>
      <c r="G1454" s="5813">
        <v>3.888888888888889E-2</v>
      </c>
      <c r="H1454" s="21" t="s">
        <v>10</v>
      </c>
      <c r="I1454" s="21" t="s">
        <v>39</v>
      </c>
      <c r="J1454" s="21" t="s">
        <v>97</v>
      </c>
      <c r="K1454" s="5814" t="s">
        <v>564</v>
      </c>
    </row>
    <row r="1455" spans="1:11">
      <c r="A1455" s="21" t="s">
        <v>2560</v>
      </c>
      <c r="B1455" s="21" t="s">
        <v>6000</v>
      </c>
      <c r="C1455" s="21" t="s">
        <v>8</v>
      </c>
      <c r="D1455" s="21" t="s">
        <v>538</v>
      </c>
      <c r="E1455" s="21" t="s">
        <v>46</v>
      </c>
      <c r="F1455" s="5812">
        <v>2</v>
      </c>
      <c r="G1455" s="5813">
        <v>4.583333333333333E-2</v>
      </c>
      <c r="H1455" s="21" t="s">
        <v>54</v>
      </c>
      <c r="I1455" s="21" t="s">
        <v>226</v>
      </c>
      <c r="J1455" s="21" t="s">
        <v>97</v>
      </c>
      <c r="K1455" s="5814" t="s">
        <v>6001</v>
      </c>
    </row>
    <row r="1456" spans="1:11">
      <c r="A1456" s="21" t="s">
        <v>5220</v>
      </c>
      <c r="B1456" s="21" t="s">
        <v>6002</v>
      </c>
      <c r="C1456" s="21" t="s">
        <v>8</v>
      </c>
      <c r="D1456" s="21" t="s">
        <v>538</v>
      </c>
      <c r="E1456" s="21" t="s">
        <v>46</v>
      </c>
      <c r="F1456" s="5812">
        <v>2</v>
      </c>
      <c r="G1456" s="5813">
        <v>0.05</v>
      </c>
      <c r="H1456" s="21" t="s">
        <v>54</v>
      </c>
      <c r="I1456" s="21" t="s">
        <v>47</v>
      </c>
      <c r="J1456" s="21" t="s">
        <v>48</v>
      </c>
      <c r="K1456" s="5814" t="s">
        <v>6003</v>
      </c>
    </row>
    <row r="1457" spans="1:11">
      <c r="A1457" s="21" t="s">
        <v>3009</v>
      </c>
      <c r="B1457" s="21" t="s">
        <v>6004</v>
      </c>
      <c r="C1457" s="21" t="s">
        <v>22</v>
      </c>
      <c r="D1457" s="21" t="s">
        <v>538</v>
      </c>
      <c r="E1457" s="21" t="s">
        <v>46</v>
      </c>
      <c r="F1457" s="5812">
        <v>2</v>
      </c>
      <c r="G1457" s="5813">
        <v>0.05</v>
      </c>
      <c r="H1457" s="21" t="s">
        <v>10</v>
      </c>
      <c r="I1457" s="21" t="s">
        <v>55</v>
      </c>
      <c r="J1457" s="21" t="s">
        <v>127</v>
      </c>
      <c r="K1457" s="5814" t="s">
        <v>6005</v>
      </c>
    </row>
    <row r="1458" spans="1:11">
      <c r="A1458" s="21" t="s">
        <v>166</v>
      </c>
      <c r="B1458" s="21" t="s">
        <v>614</v>
      </c>
      <c r="C1458" s="21" t="s">
        <v>8</v>
      </c>
      <c r="D1458" s="21" t="s">
        <v>538</v>
      </c>
      <c r="E1458" s="21" t="s">
        <v>46</v>
      </c>
      <c r="F1458" s="5812">
        <v>2</v>
      </c>
      <c r="G1458" s="5813">
        <v>5.1388888888888887E-2</v>
      </c>
      <c r="H1458" s="21" t="s">
        <v>10</v>
      </c>
      <c r="I1458" s="21" t="s">
        <v>615</v>
      </c>
      <c r="J1458" s="21" t="s">
        <v>616</v>
      </c>
      <c r="K1458" s="5814" t="s">
        <v>617</v>
      </c>
    </row>
    <row r="1459" spans="1:11">
      <c r="A1459" s="21" t="s">
        <v>3515</v>
      </c>
      <c r="B1459" s="21" t="s">
        <v>6006</v>
      </c>
      <c r="C1459" s="21" t="s">
        <v>8</v>
      </c>
      <c r="D1459" s="21" t="s">
        <v>538</v>
      </c>
      <c r="E1459" s="21" t="s">
        <v>46</v>
      </c>
      <c r="F1459" s="5812">
        <v>2</v>
      </c>
      <c r="G1459" s="5813">
        <v>5.2083333333333336E-2</v>
      </c>
      <c r="H1459" s="21" t="s">
        <v>10</v>
      </c>
      <c r="I1459" s="21" t="s">
        <v>2313</v>
      </c>
      <c r="J1459" s="21" t="s">
        <v>861</v>
      </c>
      <c r="K1459" s="5814" t="s">
        <v>6007</v>
      </c>
    </row>
    <row r="1460" spans="1:11">
      <c r="A1460" s="21" t="s">
        <v>3152</v>
      </c>
      <c r="B1460" s="21" t="s">
        <v>6008</v>
      </c>
      <c r="C1460" s="21" t="s">
        <v>22</v>
      </c>
      <c r="D1460" s="21" t="s">
        <v>538</v>
      </c>
      <c r="E1460" s="21" t="s">
        <v>46</v>
      </c>
      <c r="F1460" s="5812">
        <v>2</v>
      </c>
      <c r="G1460" s="5813">
        <v>5.7638888888888892E-2</v>
      </c>
      <c r="H1460" s="21" t="s">
        <v>10</v>
      </c>
      <c r="I1460" s="21" t="s">
        <v>39</v>
      </c>
      <c r="J1460" s="21" t="s">
        <v>48</v>
      </c>
      <c r="K1460" s="5814" t="s">
        <v>6009</v>
      </c>
    </row>
    <row r="1461" spans="1:11">
      <c r="A1461" s="21" t="s">
        <v>3026</v>
      </c>
      <c r="B1461" s="21" t="s">
        <v>6010</v>
      </c>
      <c r="C1461" s="21" t="s">
        <v>22</v>
      </c>
      <c r="D1461" s="21" t="s">
        <v>538</v>
      </c>
      <c r="E1461" s="21" t="s">
        <v>46</v>
      </c>
      <c r="F1461" s="5812">
        <v>2</v>
      </c>
      <c r="G1461" s="5813">
        <v>5.9722222222222225E-2</v>
      </c>
      <c r="H1461" s="21" t="s">
        <v>54</v>
      </c>
      <c r="I1461" s="21" t="s">
        <v>55</v>
      </c>
      <c r="J1461" s="21" t="s">
        <v>48</v>
      </c>
      <c r="K1461" s="5814" t="s">
        <v>6011</v>
      </c>
    </row>
    <row r="1462" spans="1:11">
      <c r="A1462" s="21" t="s">
        <v>2491</v>
      </c>
      <c r="B1462" s="21" t="s">
        <v>6012</v>
      </c>
      <c r="C1462" s="21" t="s">
        <v>22</v>
      </c>
      <c r="D1462" s="21" t="s">
        <v>538</v>
      </c>
      <c r="E1462" s="21" t="s">
        <v>46</v>
      </c>
      <c r="F1462" s="5812">
        <v>2</v>
      </c>
      <c r="G1462" s="5813">
        <v>6.1805555555555558E-2</v>
      </c>
      <c r="H1462" s="21" t="s">
        <v>10</v>
      </c>
      <c r="I1462" s="21" t="s">
        <v>23</v>
      </c>
      <c r="J1462" s="21" t="s">
        <v>1076</v>
      </c>
      <c r="K1462" s="5814" t="s">
        <v>6013</v>
      </c>
    </row>
    <row r="1463" spans="1:11">
      <c r="A1463" s="21" t="s">
        <v>2450</v>
      </c>
      <c r="B1463" s="21" t="s">
        <v>6014</v>
      </c>
      <c r="C1463" s="21" t="s">
        <v>22</v>
      </c>
      <c r="D1463" s="21" t="s">
        <v>538</v>
      </c>
      <c r="E1463" s="21" t="s">
        <v>46</v>
      </c>
      <c r="F1463" s="5812">
        <v>2</v>
      </c>
      <c r="G1463" s="5813">
        <v>6.9444444444444448E-2</v>
      </c>
      <c r="H1463" s="21" t="s">
        <v>10</v>
      </c>
      <c r="I1463" s="21" t="s">
        <v>226</v>
      </c>
      <c r="J1463" s="21" t="s">
        <v>3168</v>
      </c>
      <c r="K1463" s="5814" t="s">
        <v>6015</v>
      </c>
    </row>
    <row r="1464" spans="1:11">
      <c r="A1464" s="21" t="s">
        <v>3323</v>
      </c>
      <c r="B1464" s="21" t="s">
        <v>6016</v>
      </c>
      <c r="C1464" s="21" t="s">
        <v>22</v>
      </c>
      <c r="D1464" s="21" t="s">
        <v>538</v>
      </c>
      <c r="E1464" s="21" t="s">
        <v>46</v>
      </c>
      <c r="F1464" s="5812">
        <v>2</v>
      </c>
      <c r="G1464" s="5813">
        <v>8.1944444444444445E-2</v>
      </c>
      <c r="H1464" s="21" t="s">
        <v>54</v>
      </c>
      <c r="I1464" s="21" t="s">
        <v>55</v>
      </c>
      <c r="J1464" s="21" t="s">
        <v>97</v>
      </c>
      <c r="K1464" s="5814" t="s">
        <v>6017</v>
      </c>
    </row>
    <row r="1465" spans="1:11">
      <c r="A1465" s="21" t="s">
        <v>2295</v>
      </c>
      <c r="B1465" s="21" t="s">
        <v>6018</v>
      </c>
      <c r="C1465" s="21" t="s">
        <v>22</v>
      </c>
      <c r="D1465" s="21" t="s">
        <v>538</v>
      </c>
      <c r="E1465" s="21" t="s">
        <v>46</v>
      </c>
      <c r="F1465" s="5812">
        <v>2</v>
      </c>
      <c r="G1465" s="5813">
        <v>8.4722222222222227E-2</v>
      </c>
      <c r="H1465" s="21" t="s">
        <v>10</v>
      </c>
      <c r="I1465" s="21" t="s">
        <v>6019</v>
      </c>
      <c r="J1465" s="21" t="s">
        <v>1117</v>
      </c>
      <c r="K1465" s="5814" t="s">
        <v>6020</v>
      </c>
    </row>
    <row r="1466" spans="1:11">
      <c r="A1466" s="21" t="s">
        <v>2910</v>
      </c>
      <c r="B1466" s="21" t="s">
        <v>6021</v>
      </c>
      <c r="C1466" s="21" t="s">
        <v>22</v>
      </c>
      <c r="D1466" s="21" t="s">
        <v>538</v>
      </c>
      <c r="E1466" s="21" t="s">
        <v>46</v>
      </c>
      <c r="F1466" s="5812">
        <v>2</v>
      </c>
      <c r="G1466" s="5813">
        <v>8.7499999999999994E-2</v>
      </c>
      <c r="H1466" s="21" t="s">
        <v>54</v>
      </c>
      <c r="I1466" s="21" t="s">
        <v>96</v>
      </c>
      <c r="J1466" s="21" t="s">
        <v>48</v>
      </c>
      <c r="K1466" s="5814" t="s">
        <v>6022</v>
      </c>
    </row>
    <row r="1467" spans="1:11">
      <c r="A1467" s="21" t="s">
        <v>94</v>
      </c>
      <c r="B1467" s="21" t="s">
        <v>577</v>
      </c>
      <c r="C1467" s="21" t="s">
        <v>22</v>
      </c>
      <c r="D1467" s="21" t="s">
        <v>538</v>
      </c>
      <c r="E1467" s="21" t="s">
        <v>46</v>
      </c>
      <c r="F1467" s="5812">
        <v>2</v>
      </c>
      <c r="G1467" s="5813">
        <v>9.166666666666666E-2</v>
      </c>
      <c r="H1467" s="21" t="s">
        <v>10</v>
      </c>
      <c r="I1467" s="21" t="s">
        <v>39</v>
      </c>
      <c r="J1467" s="21" t="s">
        <v>48</v>
      </c>
      <c r="K1467" s="5814" t="s">
        <v>578</v>
      </c>
    </row>
    <row r="1468" spans="1:11">
      <c r="A1468" s="21" t="s">
        <v>3728</v>
      </c>
      <c r="B1468" s="21" t="s">
        <v>6023</v>
      </c>
      <c r="C1468" s="21" t="s">
        <v>8</v>
      </c>
      <c r="D1468" s="21" t="s">
        <v>538</v>
      </c>
      <c r="E1468" s="21" t="s">
        <v>46</v>
      </c>
      <c r="F1468" s="5812">
        <v>2</v>
      </c>
      <c r="G1468" s="5813">
        <v>9.8611111111111108E-2</v>
      </c>
      <c r="H1468" s="21" t="s">
        <v>10</v>
      </c>
      <c r="I1468" s="21" t="s">
        <v>47</v>
      </c>
      <c r="J1468" s="21" t="s">
        <v>6024</v>
      </c>
      <c r="K1468" s="5814" t="s">
        <v>6025</v>
      </c>
    </row>
    <row r="1469" spans="1:11">
      <c r="A1469" s="21" t="s">
        <v>3220</v>
      </c>
      <c r="B1469" s="21" t="s">
        <v>6026</v>
      </c>
      <c r="C1469" s="21" t="s">
        <v>22</v>
      </c>
      <c r="D1469" s="21" t="s">
        <v>538</v>
      </c>
      <c r="E1469" s="21" t="s">
        <v>46</v>
      </c>
      <c r="F1469" s="5812">
        <v>2</v>
      </c>
      <c r="G1469" s="5813">
        <v>9.930555555555555E-2</v>
      </c>
      <c r="H1469" s="21" t="s">
        <v>10</v>
      </c>
      <c r="I1469" s="21" t="s">
        <v>226</v>
      </c>
      <c r="J1469" s="21" t="s">
        <v>3094</v>
      </c>
      <c r="K1469" s="5814" t="s">
        <v>6027</v>
      </c>
    </row>
    <row r="1470" spans="1:11">
      <c r="A1470" s="21" t="s">
        <v>2391</v>
      </c>
      <c r="B1470" s="21" t="s">
        <v>6028</v>
      </c>
      <c r="C1470" s="21" t="s">
        <v>22</v>
      </c>
      <c r="D1470" s="21" t="s">
        <v>538</v>
      </c>
      <c r="E1470" s="21" t="s">
        <v>46</v>
      </c>
      <c r="F1470" s="5812">
        <v>2</v>
      </c>
      <c r="G1470" s="5813">
        <v>0.1</v>
      </c>
      <c r="H1470" s="21" t="s">
        <v>10</v>
      </c>
      <c r="I1470" s="21" t="s">
        <v>39</v>
      </c>
      <c r="J1470" s="21" t="s">
        <v>430</v>
      </c>
      <c r="K1470" s="5814" t="s">
        <v>6029</v>
      </c>
    </row>
    <row r="1471" spans="1:11">
      <c r="A1471" s="21" t="s">
        <v>4527</v>
      </c>
      <c r="B1471" s="21" t="s">
        <v>6030</v>
      </c>
      <c r="C1471" s="21" t="s">
        <v>8</v>
      </c>
      <c r="D1471" s="21" t="s">
        <v>538</v>
      </c>
      <c r="E1471" s="21" t="s">
        <v>46</v>
      </c>
      <c r="F1471" s="5812">
        <v>2</v>
      </c>
      <c r="G1471" s="5813">
        <v>0.10416666666666667</v>
      </c>
      <c r="H1471" s="21" t="s">
        <v>54</v>
      </c>
      <c r="I1471" s="21" t="s">
        <v>55</v>
      </c>
      <c r="J1471" s="21" t="s">
        <v>430</v>
      </c>
      <c r="K1471" s="5814" t="s">
        <v>6031</v>
      </c>
    </row>
    <row r="1472" spans="1:11">
      <c r="A1472" s="21" t="s">
        <v>2061</v>
      </c>
      <c r="B1472" s="21" t="s">
        <v>6032</v>
      </c>
      <c r="C1472" s="21" t="s">
        <v>8</v>
      </c>
      <c r="D1472" s="21" t="s">
        <v>538</v>
      </c>
      <c r="E1472" s="21" t="s">
        <v>46</v>
      </c>
      <c r="F1472" s="5812">
        <v>2</v>
      </c>
      <c r="G1472" s="5813">
        <v>0.10486111111111111</v>
      </c>
      <c r="H1472" s="21" t="s">
        <v>10</v>
      </c>
      <c r="I1472" s="21" t="s">
        <v>96</v>
      </c>
      <c r="J1472" s="21" t="s">
        <v>48</v>
      </c>
      <c r="K1472" s="5814" t="s">
        <v>6033</v>
      </c>
    </row>
    <row r="1473" spans="1:11">
      <c r="A1473" s="21" t="s">
        <v>4047</v>
      </c>
      <c r="B1473" s="21" t="s">
        <v>6034</v>
      </c>
      <c r="C1473" s="21" t="s">
        <v>22</v>
      </c>
      <c r="D1473" s="21" t="s">
        <v>538</v>
      </c>
      <c r="E1473" s="21" t="s">
        <v>46</v>
      </c>
      <c r="F1473" s="5812">
        <v>2</v>
      </c>
      <c r="G1473" s="5813">
        <v>0.10694444444444444</v>
      </c>
      <c r="H1473" s="21" t="s">
        <v>10</v>
      </c>
      <c r="I1473" s="21" t="s">
        <v>400</v>
      </c>
      <c r="J1473" s="21" t="s">
        <v>3168</v>
      </c>
      <c r="K1473" s="5814" t="s">
        <v>6035</v>
      </c>
    </row>
    <row r="1474" spans="1:11">
      <c r="A1474" s="21" t="s">
        <v>2538</v>
      </c>
      <c r="B1474" s="21" t="s">
        <v>6036</v>
      </c>
      <c r="C1474" s="21" t="s">
        <v>8</v>
      </c>
      <c r="D1474" s="21" t="s">
        <v>538</v>
      </c>
      <c r="E1474" s="21" t="s">
        <v>46</v>
      </c>
      <c r="F1474" s="5812">
        <v>2</v>
      </c>
      <c r="G1474" s="5813">
        <v>0.10833333333333334</v>
      </c>
      <c r="H1474" s="21" t="s">
        <v>10</v>
      </c>
      <c r="I1474" s="21" t="s">
        <v>55</v>
      </c>
      <c r="J1474" s="21" t="s">
        <v>48</v>
      </c>
      <c r="K1474" s="5814" t="s">
        <v>6037</v>
      </c>
    </row>
    <row r="1475" spans="1:11">
      <c r="A1475" s="21" t="s">
        <v>2241</v>
      </c>
      <c r="B1475" s="21" t="s">
        <v>6038</v>
      </c>
      <c r="C1475" s="21" t="s">
        <v>8</v>
      </c>
      <c r="D1475" s="21" t="s">
        <v>538</v>
      </c>
      <c r="E1475" s="21" t="s">
        <v>46</v>
      </c>
      <c r="F1475" s="5812">
        <v>2</v>
      </c>
      <c r="G1475" s="5813">
        <v>0.11180555555555556</v>
      </c>
      <c r="H1475" s="21" t="s">
        <v>10</v>
      </c>
      <c r="I1475" s="21" t="s">
        <v>2726</v>
      </c>
      <c r="J1475" s="21" t="s">
        <v>940</v>
      </c>
      <c r="K1475" s="5814" t="s">
        <v>6039</v>
      </c>
    </row>
    <row r="1476" spans="1:11">
      <c r="A1476" s="21" t="s">
        <v>3630</v>
      </c>
      <c r="B1476" s="21" t="s">
        <v>6040</v>
      </c>
      <c r="C1476" s="21" t="s">
        <v>8</v>
      </c>
      <c r="D1476" s="21" t="s">
        <v>538</v>
      </c>
      <c r="E1476" s="21" t="s">
        <v>46</v>
      </c>
      <c r="F1476" s="5812">
        <v>2</v>
      </c>
      <c r="G1476" s="5813">
        <v>0.12013888888888889</v>
      </c>
      <c r="H1476" s="21" t="s">
        <v>10</v>
      </c>
      <c r="I1476" s="21" t="s">
        <v>4791</v>
      </c>
      <c r="J1476" s="21" t="s">
        <v>48</v>
      </c>
      <c r="K1476" s="5814" t="s">
        <v>6041</v>
      </c>
    </row>
    <row r="1477" spans="1:11">
      <c r="A1477" s="21" t="s">
        <v>2354</v>
      </c>
      <c r="B1477" s="21" t="s">
        <v>6042</v>
      </c>
      <c r="C1477" s="21" t="s">
        <v>22</v>
      </c>
      <c r="D1477" s="21" t="s">
        <v>538</v>
      </c>
      <c r="E1477" s="21" t="s">
        <v>46</v>
      </c>
      <c r="F1477" s="5812">
        <v>2</v>
      </c>
      <c r="G1477" s="5813">
        <v>0.12222222222222222</v>
      </c>
      <c r="H1477" s="21" t="s">
        <v>10</v>
      </c>
      <c r="I1477" s="21" t="s">
        <v>788</v>
      </c>
      <c r="J1477" s="21" t="s">
        <v>258</v>
      </c>
      <c r="K1477" s="5814" t="s">
        <v>6043</v>
      </c>
    </row>
    <row r="1478" spans="1:11">
      <c r="A1478" s="21" t="s">
        <v>3710</v>
      </c>
      <c r="B1478" s="21" t="s">
        <v>6044</v>
      </c>
      <c r="C1478" s="21" t="s">
        <v>8</v>
      </c>
      <c r="D1478" s="21" t="s">
        <v>538</v>
      </c>
      <c r="E1478" s="21" t="s">
        <v>46</v>
      </c>
      <c r="F1478" s="5812">
        <v>2</v>
      </c>
      <c r="G1478" s="5813">
        <v>0.125</v>
      </c>
      <c r="H1478" s="21" t="s">
        <v>54</v>
      </c>
      <c r="I1478" s="21" t="s">
        <v>226</v>
      </c>
      <c r="J1478" s="21" t="s">
        <v>258</v>
      </c>
      <c r="K1478" s="5814" t="s">
        <v>6045</v>
      </c>
    </row>
    <row r="1479" spans="1:11">
      <c r="A1479" s="21" t="s">
        <v>2413</v>
      </c>
      <c r="B1479" s="21" t="s">
        <v>6046</v>
      </c>
      <c r="C1479" s="21" t="s">
        <v>8</v>
      </c>
      <c r="D1479" s="21" t="s">
        <v>538</v>
      </c>
      <c r="E1479" s="21" t="s">
        <v>46</v>
      </c>
      <c r="F1479" s="5812">
        <v>2</v>
      </c>
      <c r="G1479" s="5813">
        <v>0.12777777777777777</v>
      </c>
      <c r="H1479" s="21" t="s">
        <v>10</v>
      </c>
      <c r="I1479" s="21" t="s">
        <v>39</v>
      </c>
      <c r="J1479" s="21" t="s">
        <v>258</v>
      </c>
      <c r="K1479" s="5814" t="s">
        <v>6047</v>
      </c>
    </row>
    <row r="1480" spans="1:11">
      <c r="A1480" s="21" t="s">
        <v>2792</v>
      </c>
      <c r="B1480" s="21" t="s">
        <v>6048</v>
      </c>
      <c r="C1480" s="21" t="s">
        <v>8</v>
      </c>
      <c r="D1480" s="21" t="s">
        <v>538</v>
      </c>
      <c r="E1480" s="21" t="s">
        <v>46</v>
      </c>
      <c r="F1480" s="5812">
        <v>2</v>
      </c>
      <c r="G1480" s="5813">
        <v>0.13333333333333333</v>
      </c>
      <c r="H1480" s="21" t="s">
        <v>54</v>
      </c>
      <c r="I1480" s="21" t="s">
        <v>2247</v>
      </c>
      <c r="J1480" s="21" t="s">
        <v>48</v>
      </c>
      <c r="K1480" s="5814" t="s">
        <v>6049</v>
      </c>
    </row>
    <row r="1481" spans="1:11">
      <c r="A1481" s="21" t="s">
        <v>4177</v>
      </c>
      <c r="B1481" s="21" t="s">
        <v>6050</v>
      </c>
      <c r="C1481" s="21" t="s">
        <v>22</v>
      </c>
      <c r="D1481" s="21" t="s">
        <v>538</v>
      </c>
      <c r="E1481" s="21" t="s">
        <v>46</v>
      </c>
      <c r="F1481" s="5812">
        <v>2</v>
      </c>
      <c r="G1481" s="5813">
        <v>0.13541666666666666</v>
      </c>
      <c r="H1481" s="21" t="s">
        <v>10</v>
      </c>
      <c r="I1481" s="21" t="s">
        <v>55</v>
      </c>
      <c r="J1481" s="21" t="s">
        <v>97</v>
      </c>
      <c r="K1481" s="5814" t="s">
        <v>6051</v>
      </c>
    </row>
    <row r="1482" spans="1:11">
      <c r="A1482" s="21" t="s">
        <v>2327</v>
      </c>
      <c r="B1482" s="21" t="s">
        <v>6052</v>
      </c>
      <c r="C1482" s="21" t="s">
        <v>22</v>
      </c>
      <c r="D1482" s="21" t="s">
        <v>538</v>
      </c>
      <c r="E1482" s="21" t="s">
        <v>46</v>
      </c>
      <c r="F1482" s="5812">
        <v>2</v>
      </c>
      <c r="G1482" s="5813">
        <v>0.13680555555555557</v>
      </c>
      <c r="H1482" s="21" t="s">
        <v>10</v>
      </c>
      <c r="I1482" s="21" t="s">
        <v>39</v>
      </c>
      <c r="J1482" s="21" t="s">
        <v>48</v>
      </c>
      <c r="K1482" s="5814" t="s">
        <v>6053</v>
      </c>
    </row>
    <row r="1483" spans="1:11">
      <c r="A1483" s="21" t="s">
        <v>4321</v>
      </c>
      <c r="B1483" s="21" t="s">
        <v>6054</v>
      </c>
      <c r="C1483" s="21" t="s">
        <v>8</v>
      </c>
      <c r="D1483" s="21" t="s">
        <v>538</v>
      </c>
      <c r="E1483" s="21" t="s">
        <v>46</v>
      </c>
      <c r="F1483" s="5812">
        <v>2</v>
      </c>
      <c r="G1483" s="5813">
        <v>0.15</v>
      </c>
      <c r="H1483" s="21" t="s">
        <v>10</v>
      </c>
      <c r="I1483" s="21" t="s">
        <v>654</v>
      </c>
      <c r="J1483" s="21" t="s">
        <v>3168</v>
      </c>
      <c r="K1483" s="5814" t="s">
        <v>6055</v>
      </c>
    </row>
    <row r="1484" spans="1:11">
      <c r="A1484" s="21" t="s">
        <v>5984</v>
      </c>
      <c r="B1484" s="21" t="s">
        <v>6056</v>
      </c>
      <c r="C1484" s="21" t="s">
        <v>22</v>
      </c>
      <c r="D1484" s="21" t="s">
        <v>538</v>
      </c>
      <c r="E1484" s="21" t="s">
        <v>46</v>
      </c>
      <c r="F1484" s="5812">
        <v>2</v>
      </c>
      <c r="G1484" s="5813">
        <v>0.15416666666666667</v>
      </c>
      <c r="H1484" s="21" t="s">
        <v>10</v>
      </c>
      <c r="I1484" s="21" t="s">
        <v>39</v>
      </c>
      <c r="J1484" s="21" t="s">
        <v>258</v>
      </c>
      <c r="K1484" s="5814" t="s">
        <v>6057</v>
      </c>
    </row>
    <row r="1485" spans="1:11">
      <c r="A1485" s="21" t="s">
        <v>2311</v>
      </c>
      <c r="B1485" s="21" t="s">
        <v>6058</v>
      </c>
      <c r="C1485" s="21" t="s">
        <v>8</v>
      </c>
      <c r="D1485" s="21" t="s">
        <v>538</v>
      </c>
      <c r="E1485" s="21" t="s">
        <v>46</v>
      </c>
      <c r="F1485" s="5812">
        <v>2</v>
      </c>
      <c r="G1485" s="5813">
        <v>0.15555555555555556</v>
      </c>
      <c r="H1485" s="21" t="s">
        <v>54</v>
      </c>
      <c r="I1485" s="21" t="s">
        <v>47</v>
      </c>
      <c r="J1485" s="21" t="s">
        <v>97</v>
      </c>
      <c r="K1485" s="5814" t="s">
        <v>6059</v>
      </c>
    </row>
    <row r="1486" spans="1:11">
      <c r="A1486" s="21" t="s">
        <v>2530</v>
      </c>
      <c r="B1486" s="21" t="s">
        <v>6060</v>
      </c>
      <c r="C1486" s="21" t="s">
        <v>22</v>
      </c>
      <c r="D1486" s="21" t="s">
        <v>538</v>
      </c>
      <c r="E1486" s="21" t="s">
        <v>46</v>
      </c>
      <c r="F1486" s="5812">
        <v>2</v>
      </c>
      <c r="G1486" s="5813">
        <v>0.15763888888888888</v>
      </c>
      <c r="H1486" s="21" t="s">
        <v>10</v>
      </c>
      <c r="I1486" s="21" t="s">
        <v>226</v>
      </c>
      <c r="J1486" s="21" t="s">
        <v>48</v>
      </c>
      <c r="K1486" s="5814" t="s">
        <v>6061</v>
      </c>
    </row>
    <row r="1487" spans="1:11">
      <c r="A1487" s="21" t="s">
        <v>3757</v>
      </c>
      <c r="B1487" s="21" t="s">
        <v>6062</v>
      </c>
      <c r="C1487" s="21" t="s">
        <v>22</v>
      </c>
      <c r="D1487" s="21" t="s">
        <v>538</v>
      </c>
      <c r="E1487" s="21" t="s">
        <v>46</v>
      </c>
      <c r="F1487" s="5812">
        <v>2</v>
      </c>
      <c r="G1487" s="5813">
        <v>0.16180555555555556</v>
      </c>
      <c r="H1487" s="21" t="s">
        <v>10</v>
      </c>
      <c r="I1487" s="21" t="s">
        <v>187</v>
      </c>
      <c r="J1487" s="21" t="s">
        <v>430</v>
      </c>
      <c r="K1487" s="5814" t="s">
        <v>6063</v>
      </c>
    </row>
    <row r="1488" spans="1:11">
      <c r="A1488" s="21" t="s">
        <v>2254</v>
      </c>
      <c r="B1488" s="21" t="s">
        <v>6064</v>
      </c>
      <c r="C1488" s="21" t="s">
        <v>22</v>
      </c>
      <c r="D1488" s="21" t="s">
        <v>538</v>
      </c>
      <c r="E1488" s="21" t="s">
        <v>46</v>
      </c>
      <c r="F1488" s="5812">
        <v>2</v>
      </c>
      <c r="G1488" s="5813">
        <v>0.1673611111111111</v>
      </c>
      <c r="H1488" s="21" t="s">
        <v>10</v>
      </c>
      <c r="I1488" s="21" t="s">
        <v>23</v>
      </c>
      <c r="J1488" s="21" t="s">
        <v>97</v>
      </c>
      <c r="K1488" s="5814" t="s">
        <v>6065</v>
      </c>
    </row>
    <row r="1489" spans="1:11">
      <c r="A1489" s="21" t="s">
        <v>2817</v>
      </c>
      <c r="B1489" s="21" t="s">
        <v>6066</v>
      </c>
      <c r="C1489" s="21" t="s">
        <v>8</v>
      </c>
      <c r="D1489" s="21" t="s">
        <v>538</v>
      </c>
      <c r="E1489" s="21" t="s">
        <v>46</v>
      </c>
      <c r="F1489" s="5812">
        <v>2</v>
      </c>
      <c r="G1489" s="5813">
        <v>0.1736111111111111</v>
      </c>
      <c r="H1489" s="21" t="s">
        <v>10</v>
      </c>
      <c r="I1489" s="21" t="s">
        <v>2297</v>
      </c>
      <c r="J1489" s="21" t="s">
        <v>48</v>
      </c>
      <c r="K1489" s="5814" t="s">
        <v>6067</v>
      </c>
    </row>
    <row r="1490" spans="1:11">
      <c r="A1490" s="21" t="s">
        <v>2509</v>
      </c>
      <c r="B1490" s="21" t="s">
        <v>6068</v>
      </c>
      <c r="C1490" s="21" t="s">
        <v>8</v>
      </c>
      <c r="D1490" s="21" t="s">
        <v>538</v>
      </c>
      <c r="E1490" s="21" t="s">
        <v>46</v>
      </c>
      <c r="F1490" s="5812">
        <v>2</v>
      </c>
      <c r="G1490" s="5813">
        <v>0.18819444444444444</v>
      </c>
      <c r="H1490" s="21" t="s">
        <v>10</v>
      </c>
      <c r="I1490" s="21" t="s">
        <v>226</v>
      </c>
      <c r="J1490" s="21" t="s">
        <v>4586</v>
      </c>
      <c r="K1490" s="5814" t="s">
        <v>6069</v>
      </c>
    </row>
    <row r="1491" spans="1:11">
      <c r="A1491" s="21" t="s">
        <v>3026</v>
      </c>
      <c r="B1491" s="21" t="s">
        <v>6070</v>
      </c>
      <c r="C1491" s="21" t="s">
        <v>8</v>
      </c>
      <c r="D1491" s="21" t="s">
        <v>538</v>
      </c>
      <c r="E1491" s="21" t="s">
        <v>46</v>
      </c>
      <c r="F1491" s="5812">
        <v>2</v>
      </c>
      <c r="G1491" s="5813">
        <v>0.18888888888888888</v>
      </c>
      <c r="H1491" s="21" t="s">
        <v>10</v>
      </c>
      <c r="I1491" s="21" t="s">
        <v>23</v>
      </c>
      <c r="J1491" s="21" t="s">
        <v>430</v>
      </c>
      <c r="K1491" s="5814" t="s">
        <v>6071</v>
      </c>
    </row>
    <row r="1492" spans="1:11">
      <c r="A1492" s="21" t="s">
        <v>2108</v>
      </c>
      <c r="B1492" s="21" t="s">
        <v>6072</v>
      </c>
      <c r="C1492" s="21" t="s">
        <v>8</v>
      </c>
      <c r="D1492" s="21" t="s">
        <v>538</v>
      </c>
      <c r="E1492" s="21" t="s">
        <v>46</v>
      </c>
      <c r="F1492" s="5812">
        <v>2</v>
      </c>
      <c r="G1492" s="5813">
        <v>0.19652777777777777</v>
      </c>
      <c r="H1492" s="21" t="s">
        <v>10</v>
      </c>
      <c r="I1492" s="21" t="s">
        <v>39</v>
      </c>
      <c r="J1492" s="21" t="s">
        <v>430</v>
      </c>
      <c r="K1492" s="5814" t="s">
        <v>6073</v>
      </c>
    </row>
    <row r="1493" spans="1:11">
      <c r="A1493" s="21" t="s">
        <v>3630</v>
      </c>
      <c r="B1493" s="21" t="s">
        <v>6074</v>
      </c>
      <c r="C1493" s="21" t="s">
        <v>22</v>
      </c>
      <c r="D1493" s="21" t="s">
        <v>538</v>
      </c>
      <c r="E1493" s="21" t="s">
        <v>46</v>
      </c>
      <c r="F1493" s="5812">
        <v>2</v>
      </c>
      <c r="G1493" s="5813">
        <v>0.19652777777777777</v>
      </c>
      <c r="H1493" s="21" t="s">
        <v>10</v>
      </c>
      <c r="I1493" s="21" t="s">
        <v>226</v>
      </c>
      <c r="J1493" s="21" t="s">
        <v>97</v>
      </c>
      <c r="K1493" s="5814" t="s">
        <v>6075</v>
      </c>
    </row>
    <row r="1494" spans="1:11">
      <c r="A1494" s="21" t="s">
        <v>2070</v>
      </c>
      <c r="B1494" s="21" t="s">
        <v>6076</v>
      </c>
      <c r="C1494" s="21" t="s">
        <v>22</v>
      </c>
      <c r="D1494" s="21" t="s">
        <v>538</v>
      </c>
      <c r="E1494" s="21" t="s">
        <v>46</v>
      </c>
      <c r="F1494" s="5812">
        <v>2</v>
      </c>
      <c r="G1494" s="5813">
        <v>0.20624999999999999</v>
      </c>
      <c r="H1494" s="21" t="s">
        <v>10</v>
      </c>
      <c r="I1494" s="21" t="s">
        <v>226</v>
      </c>
      <c r="J1494" s="21" t="s">
        <v>1076</v>
      </c>
      <c r="K1494" s="5814" t="s">
        <v>6077</v>
      </c>
    </row>
    <row r="1495" spans="1:11">
      <c r="A1495" s="21" t="s">
        <v>2915</v>
      </c>
      <c r="B1495" s="21" t="s">
        <v>6078</v>
      </c>
      <c r="C1495" s="21" t="s">
        <v>8</v>
      </c>
      <c r="D1495" s="21" t="s">
        <v>538</v>
      </c>
      <c r="E1495" s="21" t="s">
        <v>46</v>
      </c>
      <c r="F1495" s="5812">
        <v>2</v>
      </c>
      <c r="G1495" s="5813">
        <v>0.2076388888888889</v>
      </c>
      <c r="H1495" s="21" t="s">
        <v>10</v>
      </c>
      <c r="I1495" s="21" t="s">
        <v>187</v>
      </c>
      <c r="J1495" s="21" t="s">
        <v>97</v>
      </c>
      <c r="K1495" s="5814" t="s">
        <v>6079</v>
      </c>
    </row>
    <row r="1496" spans="1:11">
      <c r="A1496" s="21" t="s">
        <v>339</v>
      </c>
      <c r="B1496" s="21" t="s">
        <v>537</v>
      </c>
      <c r="C1496" s="21" t="s">
        <v>8</v>
      </c>
      <c r="D1496" s="21" t="s">
        <v>538</v>
      </c>
      <c r="E1496" s="21" t="s">
        <v>46</v>
      </c>
      <c r="F1496" s="5812">
        <v>3</v>
      </c>
      <c r="G1496" s="5813">
        <v>3.4027777777777775E-2</v>
      </c>
      <c r="H1496" s="21" t="s">
        <v>54</v>
      </c>
      <c r="I1496" s="21" t="s">
        <v>96</v>
      </c>
      <c r="J1496" s="21" t="s">
        <v>48</v>
      </c>
      <c r="K1496" s="5814" t="s">
        <v>539</v>
      </c>
    </row>
    <row r="1497" spans="1:11">
      <c r="A1497" s="21" t="s">
        <v>2663</v>
      </c>
      <c r="B1497" s="21" t="s">
        <v>6080</v>
      </c>
      <c r="C1497" s="21" t="s">
        <v>22</v>
      </c>
      <c r="D1497" s="21" t="s">
        <v>538</v>
      </c>
      <c r="E1497" s="21" t="s">
        <v>46</v>
      </c>
      <c r="F1497" s="5812">
        <v>3</v>
      </c>
      <c r="G1497" s="5813">
        <v>4.027777777777778E-2</v>
      </c>
      <c r="H1497" s="21" t="s">
        <v>10</v>
      </c>
      <c r="I1497" s="21" t="s">
        <v>4212</v>
      </c>
      <c r="J1497" s="21" t="s">
        <v>1321</v>
      </c>
      <c r="K1497" s="5814" t="s">
        <v>6081</v>
      </c>
    </row>
    <row r="1498" spans="1:11">
      <c r="A1498" s="21" t="s">
        <v>4434</v>
      </c>
      <c r="B1498" s="21" t="s">
        <v>6082</v>
      </c>
      <c r="C1498" s="21" t="s">
        <v>8</v>
      </c>
      <c r="D1498" s="21" t="s">
        <v>538</v>
      </c>
      <c r="E1498" s="21" t="s">
        <v>46</v>
      </c>
      <c r="F1498" s="5812">
        <v>3</v>
      </c>
      <c r="G1498" s="5813">
        <v>5.2083333333333336E-2</v>
      </c>
      <c r="H1498" s="21" t="s">
        <v>10</v>
      </c>
      <c r="I1498" s="21" t="s">
        <v>73</v>
      </c>
      <c r="J1498" s="21" t="s">
        <v>430</v>
      </c>
      <c r="K1498" s="5814" t="s">
        <v>6083</v>
      </c>
    </row>
    <row r="1499" spans="1:11">
      <c r="A1499" s="21" t="s">
        <v>2233</v>
      </c>
      <c r="B1499" s="21" t="s">
        <v>6084</v>
      </c>
      <c r="C1499" s="21" t="s">
        <v>8</v>
      </c>
      <c r="D1499" s="21" t="s">
        <v>538</v>
      </c>
      <c r="E1499" s="21" t="s">
        <v>46</v>
      </c>
      <c r="F1499" s="5812">
        <v>3</v>
      </c>
      <c r="G1499" s="5813">
        <v>7.2222222222222215E-2</v>
      </c>
      <c r="H1499" s="21" t="s">
        <v>10</v>
      </c>
      <c r="I1499" s="21" t="s">
        <v>47</v>
      </c>
      <c r="J1499" s="21" t="s">
        <v>1203</v>
      </c>
      <c r="K1499" s="5814" t="s">
        <v>6085</v>
      </c>
    </row>
    <row r="1500" spans="1:11">
      <c r="A1500" s="21" t="s">
        <v>4257</v>
      </c>
      <c r="B1500" s="21" t="s">
        <v>6086</v>
      </c>
      <c r="C1500" s="21" t="s">
        <v>8</v>
      </c>
      <c r="D1500" s="21" t="s">
        <v>538</v>
      </c>
      <c r="E1500" s="21" t="s">
        <v>46</v>
      </c>
      <c r="F1500" s="5812">
        <v>3</v>
      </c>
      <c r="G1500" s="5813">
        <v>0.11666666666666667</v>
      </c>
      <c r="H1500" s="21" t="s">
        <v>10</v>
      </c>
      <c r="I1500" s="21" t="s">
        <v>226</v>
      </c>
      <c r="J1500" s="21" t="s">
        <v>406</v>
      </c>
      <c r="K1500" s="5814" t="s">
        <v>6087</v>
      </c>
    </row>
    <row r="1501" spans="1:11">
      <c r="A1501" s="21" t="s">
        <v>3757</v>
      </c>
      <c r="B1501" s="21" t="s">
        <v>6088</v>
      </c>
      <c r="C1501" s="21" t="s">
        <v>22</v>
      </c>
      <c r="D1501" s="21" t="s">
        <v>538</v>
      </c>
      <c r="E1501" s="21" t="s">
        <v>46</v>
      </c>
      <c r="F1501" s="5812">
        <v>3</v>
      </c>
      <c r="G1501" s="5813">
        <v>0.12222222222222222</v>
      </c>
      <c r="H1501" s="21" t="s">
        <v>10</v>
      </c>
      <c r="I1501" s="21" t="s">
        <v>226</v>
      </c>
      <c r="J1501" s="21" t="s">
        <v>3063</v>
      </c>
      <c r="K1501" s="5814" t="s">
        <v>6089</v>
      </c>
    </row>
    <row r="1502" spans="1:11">
      <c r="A1502" s="21" t="s">
        <v>2403</v>
      </c>
      <c r="B1502" s="21" t="s">
        <v>6090</v>
      </c>
      <c r="C1502" s="21" t="s">
        <v>22</v>
      </c>
      <c r="D1502" s="21" t="s">
        <v>538</v>
      </c>
      <c r="E1502" s="21" t="s">
        <v>46</v>
      </c>
      <c r="F1502" s="5812">
        <v>3</v>
      </c>
      <c r="G1502" s="5813">
        <v>0.13194444444444445</v>
      </c>
      <c r="H1502" s="21" t="s">
        <v>10</v>
      </c>
      <c r="I1502" s="21" t="s">
        <v>39</v>
      </c>
      <c r="J1502" s="21" t="s">
        <v>97</v>
      </c>
      <c r="K1502" s="5814" t="s">
        <v>6091</v>
      </c>
    </row>
    <row r="1503" spans="1:11">
      <c r="A1503" s="21" t="s">
        <v>2929</v>
      </c>
      <c r="B1503" s="21" t="s">
        <v>6092</v>
      </c>
      <c r="C1503" s="21" t="s">
        <v>8</v>
      </c>
      <c r="D1503" s="21" t="s">
        <v>538</v>
      </c>
      <c r="E1503" s="21" t="s">
        <v>46</v>
      </c>
      <c r="F1503" s="5812">
        <v>3</v>
      </c>
      <c r="G1503" s="5813">
        <v>0.13958333333333334</v>
      </c>
      <c r="H1503" s="21" t="s">
        <v>10</v>
      </c>
      <c r="I1503" s="21" t="s">
        <v>226</v>
      </c>
      <c r="J1503" s="21" t="s">
        <v>1076</v>
      </c>
      <c r="K1503" s="5814" t="s">
        <v>6093</v>
      </c>
    </row>
    <row r="1504" spans="1:11">
      <c r="A1504" s="21" t="s">
        <v>3116</v>
      </c>
      <c r="B1504" s="21" t="s">
        <v>6094</v>
      </c>
      <c r="C1504" s="21" t="s">
        <v>8</v>
      </c>
      <c r="D1504" s="21" t="s">
        <v>538</v>
      </c>
      <c r="E1504" s="21" t="s">
        <v>46</v>
      </c>
      <c r="F1504" s="5812">
        <v>3</v>
      </c>
      <c r="G1504" s="5813">
        <v>0.14305555555555555</v>
      </c>
      <c r="H1504" s="21" t="s">
        <v>10</v>
      </c>
      <c r="I1504" s="21" t="s">
        <v>55</v>
      </c>
      <c r="J1504" s="21" t="s">
        <v>4687</v>
      </c>
      <c r="K1504" s="5814" t="s">
        <v>6095</v>
      </c>
    </row>
    <row r="1505" spans="1:11">
      <c r="A1505" s="21" t="s">
        <v>4863</v>
      </c>
      <c r="B1505" s="21" t="s">
        <v>6096</v>
      </c>
      <c r="C1505" s="21" t="s">
        <v>8</v>
      </c>
      <c r="D1505" s="21" t="s">
        <v>538</v>
      </c>
      <c r="E1505" s="21" t="s">
        <v>46</v>
      </c>
      <c r="F1505" s="5812">
        <v>3</v>
      </c>
      <c r="G1505" s="5813">
        <v>0.14583333333333334</v>
      </c>
      <c r="H1505" s="21" t="s">
        <v>54</v>
      </c>
      <c r="I1505" s="21" t="s">
        <v>47</v>
      </c>
      <c r="J1505" s="21" t="s">
        <v>406</v>
      </c>
      <c r="K1505" s="5814" t="s">
        <v>6097</v>
      </c>
    </row>
    <row r="1506" spans="1:11">
      <c r="A1506" s="21" t="s">
        <v>2233</v>
      </c>
      <c r="B1506" s="21" t="s">
        <v>6098</v>
      </c>
      <c r="C1506" s="21" t="s">
        <v>8</v>
      </c>
      <c r="D1506" s="21" t="s">
        <v>538</v>
      </c>
      <c r="E1506" s="21" t="s">
        <v>46</v>
      </c>
      <c r="F1506" s="5812">
        <v>3</v>
      </c>
      <c r="G1506" s="5813">
        <v>0.15694444444444444</v>
      </c>
      <c r="H1506" s="21" t="s">
        <v>10</v>
      </c>
      <c r="I1506" s="21" t="s">
        <v>55</v>
      </c>
      <c r="J1506" s="21" t="s">
        <v>430</v>
      </c>
      <c r="K1506" s="5814" t="s">
        <v>6099</v>
      </c>
    </row>
    <row r="1507" spans="1:11">
      <c r="A1507" s="21" t="s">
        <v>2197</v>
      </c>
      <c r="B1507" s="21" t="s">
        <v>6100</v>
      </c>
      <c r="C1507" s="21" t="s">
        <v>8</v>
      </c>
      <c r="D1507" s="21" t="s">
        <v>538</v>
      </c>
      <c r="E1507" s="21" t="s">
        <v>46</v>
      </c>
      <c r="F1507" s="5812">
        <v>3</v>
      </c>
      <c r="G1507" s="5813">
        <v>0.16875000000000001</v>
      </c>
      <c r="H1507" s="21" t="s">
        <v>10</v>
      </c>
      <c r="I1507" s="21" t="s">
        <v>47</v>
      </c>
      <c r="J1507" s="21" t="s">
        <v>1425</v>
      </c>
      <c r="K1507" s="5814" t="s">
        <v>6101</v>
      </c>
    </row>
    <row r="1508" spans="1:11">
      <c r="A1508" s="21" t="s">
        <v>3144</v>
      </c>
      <c r="B1508" s="21" t="s">
        <v>6102</v>
      </c>
      <c r="C1508" s="21" t="s">
        <v>8</v>
      </c>
      <c r="D1508" s="21" t="s">
        <v>538</v>
      </c>
      <c r="E1508" s="21" t="s">
        <v>46</v>
      </c>
      <c r="F1508" s="5812">
        <v>3</v>
      </c>
      <c r="G1508" s="5813">
        <v>0.17291666666666666</v>
      </c>
      <c r="H1508" s="21" t="s">
        <v>10</v>
      </c>
      <c r="I1508" s="21" t="s">
        <v>4417</v>
      </c>
      <c r="J1508" s="21" t="s">
        <v>430</v>
      </c>
      <c r="K1508" s="5814" t="s">
        <v>6103</v>
      </c>
    </row>
    <row r="1509" spans="1:11">
      <c r="A1509" s="21" t="s">
        <v>3033</v>
      </c>
      <c r="B1509" s="21" t="s">
        <v>6104</v>
      </c>
      <c r="C1509" s="21" t="s">
        <v>8</v>
      </c>
      <c r="D1509" s="21" t="s">
        <v>538</v>
      </c>
      <c r="E1509" s="21" t="s">
        <v>46</v>
      </c>
      <c r="F1509" s="5812">
        <v>3</v>
      </c>
      <c r="G1509" s="5813">
        <v>0.18263888888888888</v>
      </c>
      <c r="H1509" s="21" t="s">
        <v>54</v>
      </c>
      <c r="I1509" s="21" t="s">
        <v>47</v>
      </c>
      <c r="J1509" s="21" t="s">
        <v>97</v>
      </c>
      <c r="K1509" s="5814" t="s">
        <v>6105</v>
      </c>
    </row>
    <row r="1510" spans="1:11">
      <c r="A1510" s="21" t="s">
        <v>5148</v>
      </c>
      <c r="B1510" s="21" t="s">
        <v>6106</v>
      </c>
      <c r="C1510" s="21" t="s">
        <v>8</v>
      </c>
      <c r="D1510" s="21" t="s">
        <v>538</v>
      </c>
      <c r="E1510" s="21" t="s">
        <v>46</v>
      </c>
      <c r="F1510" s="5812">
        <v>3</v>
      </c>
      <c r="G1510" s="5813">
        <v>0.20069444444444445</v>
      </c>
      <c r="H1510" s="21" t="s">
        <v>10</v>
      </c>
      <c r="I1510" s="21" t="s">
        <v>55</v>
      </c>
      <c r="J1510" s="21" t="s">
        <v>97</v>
      </c>
      <c r="K1510" s="5814" t="s">
        <v>6107</v>
      </c>
    </row>
    <row r="1511" spans="1:11">
      <c r="A1511" s="21" t="s">
        <v>2729</v>
      </c>
      <c r="B1511" s="21" t="s">
        <v>6108</v>
      </c>
      <c r="C1511" s="21" t="s">
        <v>22</v>
      </c>
      <c r="D1511" s="21" t="s">
        <v>538</v>
      </c>
      <c r="E1511" s="21" t="s">
        <v>46</v>
      </c>
      <c r="F1511" s="5812">
        <v>4</v>
      </c>
      <c r="G1511" s="5813">
        <v>6.805555555555555E-2</v>
      </c>
      <c r="H1511" s="21" t="s">
        <v>54</v>
      </c>
      <c r="I1511" s="21" t="s">
        <v>47</v>
      </c>
      <c r="J1511" s="21" t="s">
        <v>406</v>
      </c>
      <c r="K1511" s="5814" t="s">
        <v>6109</v>
      </c>
    </row>
    <row r="1512" spans="1:11">
      <c r="A1512" s="21" t="s">
        <v>4338</v>
      </c>
      <c r="B1512" s="21" t="s">
        <v>6110</v>
      </c>
      <c r="C1512" s="21" t="s">
        <v>8</v>
      </c>
      <c r="D1512" s="21" t="s">
        <v>538</v>
      </c>
      <c r="E1512" s="21" t="s">
        <v>46</v>
      </c>
      <c r="F1512" s="5812">
        <v>4</v>
      </c>
      <c r="G1512" s="5813">
        <v>0.15416666666666667</v>
      </c>
      <c r="H1512" s="21" t="s">
        <v>54</v>
      </c>
      <c r="I1512" s="21" t="s">
        <v>226</v>
      </c>
      <c r="J1512" s="21" t="s">
        <v>430</v>
      </c>
      <c r="K1512" s="5814" t="s">
        <v>6111</v>
      </c>
    </row>
    <row r="1513" spans="1:11">
      <c r="A1513" s="21" t="s">
        <v>4317</v>
      </c>
      <c r="B1513" s="21" t="s">
        <v>6112</v>
      </c>
      <c r="C1513" s="21" t="s">
        <v>22</v>
      </c>
      <c r="D1513" s="21" t="s">
        <v>538</v>
      </c>
      <c r="E1513" s="21" t="s">
        <v>46</v>
      </c>
      <c r="F1513" s="5812">
        <v>4</v>
      </c>
      <c r="G1513" s="5813">
        <v>0.16041666666666668</v>
      </c>
      <c r="H1513" s="21" t="s">
        <v>54</v>
      </c>
      <c r="I1513" s="21" t="s">
        <v>47</v>
      </c>
      <c r="J1513" s="21" t="s">
        <v>1076</v>
      </c>
      <c r="K1513" s="5814" t="s">
        <v>6113</v>
      </c>
    </row>
    <row r="1514" spans="1:11">
      <c r="A1514" s="21" t="s">
        <v>31</v>
      </c>
      <c r="B1514" s="21" t="s">
        <v>550</v>
      </c>
      <c r="C1514" s="21" t="s">
        <v>8</v>
      </c>
      <c r="D1514" s="21" t="s">
        <v>538</v>
      </c>
      <c r="E1514" s="21" t="s">
        <v>46</v>
      </c>
      <c r="F1514" s="5812">
        <v>4</v>
      </c>
      <c r="G1514" s="5813">
        <v>0.20833333333333334</v>
      </c>
      <c r="H1514" s="21" t="s">
        <v>54</v>
      </c>
      <c r="I1514" s="21" t="s">
        <v>47</v>
      </c>
      <c r="J1514" s="21" t="s">
        <v>551</v>
      </c>
      <c r="K1514" s="5814" t="s">
        <v>552</v>
      </c>
    </row>
    <row r="1515" spans="1:11">
      <c r="A1515" s="21" t="s">
        <v>2526</v>
      </c>
      <c r="B1515" s="21" t="s">
        <v>6114</v>
      </c>
      <c r="C1515" s="21" t="s">
        <v>8</v>
      </c>
      <c r="D1515" s="21" t="s">
        <v>538</v>
      </c>
      <c r="E1515" s="21" t="s">
        <v>46</v>
      </c>
      <c r="F1515" s="5812">
        <v>5</v>
      </c>
      <c r="G1515" s="5813">
        <v>1.8055555555555554E-2</v>
      </c>
      <c r="H1515" s="21" t="s">
        <v>54</v>
      </c>
      <c r="I1515" s="21" t="s">
        <v>55</v>
      </c>
      <c r="J1515" s="21" t="s">
        <v>1117</v>
      </c>
      <c r="K1515" s="5814" t="s">
        <v>6115</v>
      </c>
    </row>
    <row r="1516" spans="1:11">
      <c r="A1516" s="21" t="s">
        <v>4671</v>
      </c>
      <c r="B1516" s="21" t="s">
        <v>6116</v>
      </c>
      <c r="C1516" s="21" t="s">
        <v>8</v>
      </c>
      <c r="D1516" s="21" t="s">
        <v>538</v>
      </c>
      <c r="E1516" s="21" t="s">
        <v>46</v>
      </c>
      <c r="F1516" s="5812">
        <v>5</v>
      </c>
      <c r="G1516" s="5813">
        <v>0.11597222222222223</v>
      </c>
      <c r="H1516" s="21" t="s">
        <v>54</v>
      </c>
      <c r="I1516" s="21" t="s">
        <v>3534</v>
      </c>
      <c r="J1516" s="21" t="s">
        <v>127</v>
      </c>
      <c r="K1516" s="5814" t="s">
        <v>6117</v>
      </c>
    </row>
    <row r="1517" spans="1:11">
      <c r="A1517" s="21" t="s">
        <v>2070</v>
      </c>
      <c r="B1517" s="21" t="s">
        <v>6118</v>
      </c>
      <c r="C1517" s="21" t="s">
        <v>22</v>
      </c>
      <c r="D1517" s="21" t="s">
        <v>538</v>
      </c>
      <c r="E1517" s="21" t="s">
        <v>46</v>
      </c>
      <c r="F1517" s="5812">
        <v>5</v>
      </c>
      <c r="G1517" s="5813">
        <v>0.20555555555555555</v>
      </c>
      <c r="H1517" s="21" t="s">
        <v>54</v>
      </c>
      <c r="I1517" s="21" t="s">
        <v>226</v>
      </c>
      <c r="J1517" s="21" t="s">
        <v>48</v>
      </c>
      <c r="K1517" s="5814" t="s">
        <v>6119</v>
      </c>
    </row>
    <row r="1518" spans="1:11">
      <c r="A1518" s="21" t="s">
        <v>2796</v>
      </c>
      <c r="B1518" s="21" t="s">
        <v>6120</v>
      </c>
      <c r="C1518" s="21" t="s">
        <v>179</v>
      </c>
      <c r="D1518" s="21" t="s">
        <v>538</v>
      </c>
      <c r="E1518" s="21" t="s">
        <v>920</v>
      </c>
      <c r="F1518" s="5812">
        <v>2</v>
      </c>
      <c r="G1518" s="5813">
        <v>4.0972222222222222E-2</v>
      </c>
      <c r="H1518" s="21" t="s">
        <v>10</v>
      </c>
      <c r="I1518" s="21" t="s">
        <v>73</v>
      </c>
      <c r="J1518" s="21" t="s">
        <v>6121</v>
      </c>
      <c r="K1518" s="5814" t="s">
        <v>6122</v>
      </c>
    </row>
    <row r="1519" spans="1:11">
      <c r="A1519" s="21" t="s">
        <v>2992</v>
      </c>
      <c r="B1519" s="21" t="s">
        <v>6123</v>
      </c>
      <c r="C1519" s="21" t="s">
        <v>179</v>
      </c>
      <c r="D1519" s="21" t="s">
        <v>538</v>
      </c>
      <c r="E1519" s="21" t="s">
        <v>920</v>
      </c>
      <c r="F1519" s="5812">
        <v>3</v>
      </c>
      <c r="G1519" s="5813">
        <v>0.20833333333333334</v>
      </c>
      <c r="H1519" s="21" t="s">
        <v>10</v>
      </c>
      <c r="I1519" s="21" t="s">
        <v>2317</v>
      </c>
      <c r="J1519" s="21" t="s">
        <v>6124</v>
      </c>
      <c r="K1519" s="5814" t="s">
        <v>6125</v>
      </c>
    </row>
    <row r="1520" spans="1:11">
      <c r="A1520" s="21" t="s">
        <v>3173</v>
      </c>
      <c r="B1520" s="21" t="s">
        <v>6126</v>
      </c>
      <c r="C1520" s="21" t="s">
        <v>179</v>
      </c>
      <c r="D1520" s="21" t="s">
        <v>538</v>
      </c>
      <c r="E1520" s="21" t="s">
        <v>920</v>
      </c>
      <c r="F1520" s="5812">
        <v>3</v>
      </c>
      <c r="G1520" s="5813">
        <v>0.20833333333333334</v>
      </c>
      <c r="H1520" s="21" t="s">
        <v>10</v>
      </c>
      <c r="I1520" s="21" t="s">
        <v>89</v>
      </c>
      <c r="J1520" s="21" t="s">
        <v>6127</v>
      </c>
      <c r="K1520" s="5814" t="s">
        <v>6128</v>
      </c>
    </row>
    <row r="1521" spans="1:11">
      <c r="A1521" s="21" t="s">
        <v>2835</v>
      </c>
      <c r="B1521" s="21" t="s">
        <v>6129</v>
      </c>
      <c r="C1521" s="21" t="s">
        <v>179</v>
      </c>
      <c r="D1521" s="21" t="s">
        <v>538</v>
      </c>
      <c r="E1521" s="21" t="s">
        <v>920</v>
      </c>
      <c r="F1521" s="5812">
        <v>3</v>
      </c>
      <c r="G1521" s="5813">
        <v>0.20833333333333334</v>
      </c>
      <c r="H1521" s="21" t="s">
        <v>10</v>
      </c>
      <c r="I1521" s="21" t="s">
        <v>226</v>
      </c>
      <c r="J1521" s="21" t="s">
        <v>6130</v>
      </c>
      <c r="K1521" s="5814" t="s">
        <v>6131</v>
      </c>
    </row>
    <row r="1522" spans="1:11">
      <c r="A1522" s="21" t="s">
        <v>2221</v>
      </c>
      <c r="B1522" s="21" t="s">
        <v>6132</v>
      </c>
      <c r="C1522" s="21" t="s">
        <v>8</v>
      </c>
      <c r="D1522" s="21" t="s">
        <v>538</v>
      </c>
      <c r="E1522" s="21" t="s">
        <v>61</v>
      </c>
      <c r="F1522" s="5812">
        <v>1</v>
      </c>
      <c r="G1522" s="5813">
        <v>4.5138888888888888E-2</v>
      </c>
      <c r="H1522" s="21" t="s">
        <v>10</v>
      </c>
      <c r="I1522" s="21" t="s">
        <v>55</v>
      </c>
      <c r="J1522" s="21" t="s">
        <v>5461</v>
      </c>
      <c r="K1522" s="5814" t="s">
        <v>6133</v>
      </c>
    </row>
    <row r="1523" spans="1:11">
      <c r="A1523" s="21" t="s">
        <v>3217</v>
      </c>
      <c r="B1523" s="21" t="s">
        <v>6134</v>
      </c>
      <c r="C1523" s="21" t="s">
        <v>8</v>
      </c>
      <c r="D1523" s="21" t="s">
        <v>538</v>
      </c>
      <c r="E1523" s="21" t="s">
        <v>61</v>
      </c>
      <c r="F1523" s="5812">
        <v>1</v>
      </c>
      <c r="G1523" s="5813">
        <v>7.2916666666666671E-2</v>
      </c>
      <c r="H1523" s="21" t="s">
        <v>10</v>
      </c>
      <c r="I1523" s="21" t="s">
        <v>2713</v>
      </c>
      <c r="J1523" s="21" t="s">
        <v>6135</v>
      </c>
      <c r="K1523" s="5814" t="s">
        <v>6136</v>
      </c>
    </row>
    <row r="1524" spans="1:11">
      <c r="A1524" s="21" t="s">
        <v>3338</v>
      </c>
      <c r="B1524" s="21" t="s">
        <v>6137</v>
      </c>
      <c r="C1524" s="21" t="s">
        <v>22</v>
      </c>
      <c r="D1524" s="21" t="s">
        <v>538</v>
      </c>
      <c r="E1524" s="21" t="s">
        <v>61</v>
      </c>
      <c r="F1524" s="5812">
        <v>1</v>
      </c>
      <c r="G1524" s="5813">
        <v>7.6388888888888895E-2</v>
      </c>
      <c r="H1524" s="21" t="s">
        <v>10</v>
      </c>
      <c r="I1524" s="21" t="s">
        <v>39</v>
      </c>
      <c r="J1524" s="21" t="s">
        <v>67</v>
      </c>
      <c r="K1524" s="5814" t="s">
        <v>6138</v>
      </c>
    </row>
    <row r="1525" spans="1:11">
      <c r="A1525" s="21" t="s">
        <v>2905</v>
      </c>
      <c r="B1525" s="21" t="s">
        <v>6139</v>
      </c>
      <c r="C1525" s="21" t="s">
        <v>8</v>
      </c>
      <c r="D1525" s="21" t="s">
        <v>538</v>
      </c>
      <c r="E1525" s="21" t="s">
        <v>61</v>
      </c>
      <c r="F1525" s="5812">
        <v>1</v>
      </c>
      <c r="G1525" s="5813">
        <v>7.9166666666666663E-2</v>
      </c>
      <c r="H1525" s="21" t="s">
        <v>10</v>
      </c>
      <c r="I1525" s="21" t="s">
        <v>226</v>
      </c>
      <c r="J1525" s="21" t="s">
        <v>3313</v>
      </c>
      <c r="K1525" s="5814" t="s">
        <v>6140</v>
      </c>
    </row>
    <row r="1526" spans="1:11">
      <c r="A1526" s="21" t="s">
        <v>4338</v>
      </c>
      <c r="B1526" s="21" t="s">
        <v>6141</v>
      </c>
      <c r="C1526" s="21" t="s">
        <v>8</v>
      </c>
      <c r="D1526" s="21" t="s">
        <v>538</v>
      </c>
      <c r="E1526" s="21" t="s">
        <v>61</v>
      </c>
      <c r="F1526" s="5812">
        <v>1</v>
      </c>
      <c r="G1526" s="5813">
        <v>8.1250000000000003E-2</v>
      </c>
      <c r="H1526" s="21" t="s">
        <v>10</v>
      </c>
      <c r="I1526" s="21" t="s">
        <v>2297</v>
      </c>
      <c r="J1526" s="21" t="s">
        <v>6142</v>
      </c>
      <c r="K1526" s="5814" t="s">
        <v>6143</v>
      </c>
    </row>
    <row r="1527" spans="1:11">
      <c r="A1527" s="21" t="s">
        <v>2761</v>
      </c>
      <c r="B1527" s="21" t="s">
        <v>6144</v>
      </c>
      <c r="C1527" s="21" t="s">
        <v>8</v>
      </c>
      <c r="D1527" s="21" t="s">
        <v>538</v>
      </c>
      <c r="E1527" s="21" t="s">
        <v>61</v>
      </c>
      <c r="F1527" s="5812">
        <v>1</v>
      </c>
      <c r="G1527" s="5813">
        <v>8.8888888888888892E-2</v>
      </c>
      <c r="H1527" s="21" t="s">
        <v>10</v>
      </c>
      <c r="I1527" s="21" t="s">
        <v>788</v>
      </c>
      <c r="J1527" s="21" t="s">
        <v>67</v>
      </c>
      <c r="K1527" s="5814" t="s">
        <v>6145</v>
      </c>
    </row>
    <row r="1528" spans="1:11">
      <c r="A1528" s="21" t="s">
        <v>2893</v>
      </c>
      <c r="B1528" s="21" t="s">
        <v>6146</v>
      </c>
      <c r="C1528" s="21" t="s">
        <v>8</v>
      </c>
      <c r="D1528" s="21" t="s">
        <v>538</v>
      </c>
      <c r="E1528" s="21" t="s">
        <v>61</v>
      </c>
      <c r="F1528" s="5812">
        <v>1</v>
      </c>
      <c r="G1528" s="5813">
        <v>9.0972222222222218E-2</v>
      </c>
      <c r="H1528" s="21" t="s">
        <v>10</v>
      </c>
      <c r="I1528" s="21" t="s">
        <v>39</v>
      </c>
      <c r="J1528" s="21" t="s">
        <v>6147</v>
      </c>
      <c r="K1528" s="5814" t="s">
        <v>6148</v>
      </c>
    </row>
    <row r="1529" spans="1:11">
      <c r="A1529" s="21" t="s">
        <v>3002</v>
      </c>
      <c r="B1529" s="21" t="s">
        <v>6149</v>
      </c>
      <c r="C1529" s="21" t="s">
        <v>8</v>
      </c>
      <c r="D1529" s="21" t="s">
        <v>538</v>
      </c>
      <c r="E1529" s="21" t="s">
        <v>61</v>
      </c>
      <c r="F1529" s="5812">
        <v>1</v>
      </c>
      <c r="G1529" s="5813">
        <v>9.3055555555555558E-2</v>
      </c>
      <c r="H1529" s="21" t="s">
        <v>10</v>
      </c>
      <c r="I1529" s="21" t="s">
        <v>39</v>
      </c>
      <c r="J1529" s="21" t="s">
        <v>3357</v>
      </c>
      <c r="K1529" s="5814" t="s">
        <v>6150</v>
      </c>
    </row>
    <row r="1530" spans="1:11">
      <c r="A1530" s="21" t="s">
        <v>2812</v>
      </c>
      <c r="B1530" s="21" t="s">
        <v>6151</v>
      </c>
      <c r="C1530" s="21" t="s">
        <v>8</v>
      </c>
      <c r="D1530" s="21" t="s">
        <v>538</v>
      </c>
      <c r="E1530" s="21" t="s">
        <v>61</v>
      </c>
      <c r="F1530" s="5812">
        <v>1</v>
      </c>
      <c r="G1530" s="5813">
        <v>9.4444444444444442E-2</v>
      </c>
      <c r="H1530" s="21" t="s">
        <v>10</v>
      </c>
      <c r="I1530" s="21" t="s">
        <v>47</v>
      </c>
      <c r="J1530" s="21" t="s">
        <v>67</v>
      </c>
      <c r="K1530" s="5814" t="s">
        <v>6152</v>
      </c>
    </row>
    <row r="1531" spans="1:11">
      <c r="A1531" s="21" t="s">
        <v>3946</v>
      </c>
      <c r="B1531" s="21" t="s">
        <v>6153</v>
      </c>
      <c r="C1531" s="21" t="s">
        <v>8</v>
      </c>
      <c r="D1531" s="21" t="s">
        <v>538</v>
      </c>
      <c r="E1531" s="21" t="s">
        <v>61</v>
      </c>
      <c r="F1531" s="5812">
        <v>1</v>
      </c>
      <c r="G1531" s="5813">
        <v>0.10138888888888889</v>
      </c>
      <c r="H1531" s="21" t="s">
        <v>10</v>
      </c>
      <c r="I1531" s="21" t="s">
        <v>55</v>
      </c>
      <c r="J1531" s="21" t="s">
        <v>67</v>
      </c>
      <c r="K1531" s="5814" t="s">
        <v>6154</v>
      </c>
    </row>
    <row r="1532" spans="1:11">
      <c r="A1532" s="21" t="s">
        <v>2538</v>
      </c>
      <c r="B1532" s="21" t="s">
        <v>6155</v>
      </c>
      <c r="C1532" s="21" t="s">
        <v>8</v>
      </c>
      <c r="D1532" s="21" t="s">
        <v>538</v>
      </c>
      <c r="E1532" s="21" t="s">
        <v>61</v>
      </c>
      <c r="F1532" s="5812">
        <v>1</v>
      </c>
      <c r="G1532" s="5813">
        <v>0.10416666666666667</v>
      </c>
      <c r="H1532" s="21" t="s">
        <v>10</v>
      </c>
      <c r="I1532" s="21"/>
      <c r="J1532" s="21" t="s">
        <v>1379</v>
      </c>
      <c r="K1532" s="5814" t="s">
        <v>6156</v>
      </c>
    </row>
    <row r="1533" spans="1:11">
      <c r="A1533" s="21" t="s">
        <v>2241</v>
      </c>
      <c r="B1533" s="21" t="s">
        <v>6157</v>
      </c>
      <c r="C1533" s="21" t="s">
        <v>8</v>
      </c>
      <c r="D1533" s="21" t="s">
        <v>538</v>
      </c>
      <c r="E1533" s="21" t="s">
        <v>61</v>
      </c>
      <c r="F1533" s="5812">
        <v>1</v>
      </c>
      <c r="G1533" s="5813">
        <v>0.12291666666666666</v>
      </c>
      <c r="H1533" s="21" t="s">
        <v>10</v>
      </c>
      <c r="I1533" s="21" t="s">
        <v>3138</v>
      </c>
      <c r="J1533" s="21" t="s">
        <v>6158</v>
      </c>
      <c r="K1533" s="5814" t="s">
        <v>6159</v>
      </c>
    </row>
    <row r="1534" spans="1:11">
      <c r="A1534" s="21" t="s">
        <v>2918</v>
      </c>
      <c r="B1534" s="21" t="s">
        <v>6160</v>
      </c>
      <c r="C1534" s="21" t="s">
        <v>22</v>
      </c>
      <c r="D1534" s="21" t="s">
        <v>538</v>
      </c>
      <c r="E1534" s="21" t="s">
        <v>61</v>
      </c>
      <c r="F1534" s="5812">
        <v>1</v>
      </c>
      <c r="G1534" s="5813">
        <v>0.12847222222222221</v>
      </c>
      <c r="H1534" s="21" t="s">
        <v>54</v>
      </c>
      <c r="I1534" s="21" t="s">
        <v>47</v>
      </c>
      <c r="J1534" s="21" t="s">
        <v>6161</v>
      </c>
      <c r="K1534" s="5814" t="s">
        <v>6162</v>
      </c>
    </row>
    <row r="1535" spans="1:11">
      <c r="A1535" s="21" t="s">
        <v>2433</v>
      </c>
      <c r="B1535" s="21" t="s">
        <v>6163</v>
      </c>
      <c r="C1535" s="21" t="s">
        <v>8</v>
      </c>
      <c r="D1535" s="21" t="s">
        <v>538</v>
      </c>
      <c r="E1535" s="21" t="s">
        <v>61</v>
      </c>
      <c r="F1535" s="5812">
        <v>1</v>
      </c>
      <c r="G1535" s="5813">
        <v>0.15208333333333332</v>
      </c>
      <c r="H1535" s="21" t="s">
        <v>10</v>
      </c>
      <c r="I1535" s="21" t="s">
        <v>89</v>
      </c>
      <c r="J1535" s="21" t="s">
        <v>6164</v>
      </c>
      <c r="K1535" s="5814" t="s">
        <v>6165</v>
      </c>
    </row>
    <row r="1536" spans="1:11">
      <c r="A1536" s="21" t="s">
        <v>3495</v>
      </c>
      <c r="B1536" s="21" t="s">
        <v>6166</v>
      </c>
      <c r="C1536" s="21" t="s">
        <v>22</v>
      </c>
      <c r="D1536" s="21" t="s">
        <v>538</v>
      </c>
      <c r="E1536" s="21" t="s">
        <v>61</v>
      </c>
      <c r="F1536" s="5812">
        <v>1</v>
      </c>
      <c r="G1536" s="5813">
        <v>0.15486111111111112</v>
      </c>
      <c r="H1536" s="21" t="s">
        <v>54</v>
      </c>
      <c r="I1536" s="21" t="s">
        <v>226</v>
      </c>
      <c r="J1536" s="21" t="s">
        <v>67</v>
      </c>
      <c r="K1536" s="5814" t="s">
        <v>6167</v>
      </c>
    </row>
    <row r="1537" spans="1:11">
      <c r="A1537" s="21" t="s">
        <v>2438</v>
      </c>
      <c r="B1537" s="21" t="s">
        <v>6168</v>
      </c>
      <c r="C1537" s="21" t="s">
        <v>22</v>
      </c>
      <c r="D1537" s="21" t="s">
        <v>538</v>
      </c>
      <c r="E1537" s="21" t="s">
        <v>61</v>
      </c>
      <c r="F1537" s="5812">
        <v>1</v>
      </c>
      <c r="G1537" s="5813">
        <v>0.15625</v>
      </c>
      <c r="H1537" s="21" t="s">
        <v>54</v>
      </c>
      <c r="I1537" s="21" t="s">
        <v>47</v>
      </c>
      <c r="J1537" s="21" t="s">
        <v>6169</v>
      </c>
      <c r="K1537" s="5814" t="s">
        <v>6170</v>
      </c>
    </row>
    <row r="1538" spans="1:11">
      <c r="A1538" s="21" t="s">
        <v>3703</v>
      </c>
      <c r="B1538" s="21" t="s">
        <v>6171</v>
      </c>
      <c r="C1538" s="21" t="s">
        <v>8</v>
      </c>
      <c r="D1538" s="21" t="s">
        <v>538</v>
      </c>
      <c r="E1538" s="21" t="s">
        <v>61</v>
      </c>
      <c r="F1538" s="5812">
        <v>1</v>
      </c>
      <c r="G1538" s="5813">
        <v>0.15833333333333333</v>
      </c>
      <c r="H1538" s="21" t="s">
        <v>10</v>
      </c>
      <c r="I1538" s="21" t="s">
        <v>2523</v>
      </c>
      <c r="J1538" s="21" t="s">
        <v>6164</v>
      </c>
      <c r="K1538" s="5814" t="s">
        <v>6172</v>
      </c>
    </row>
    <row r="1539" spans="1:11">
      <c r="A1539" s="21" t="s">
        <v>20</v>
      </c>
      <c r="B1539" s="21" t="s">
        <v>598</v>
      </c>
      <c r="C1539" s="21" t="s">
        <v>22</v>
      </c>
      <c r="D1539" s="21" t="s">
        <v>538</v>
      </c>
      <c r="E1539" s="21" t="s">
        <v>61</v>
      </c>
      <c r="F1539" s="5812">
        <v>1</v>
      </c>
      <c r="G1539" s="5813">
        <v>0.17222222222222222</v>
      </c>
      <c r="H1539" s="21" t="s">
        <v>54</v>
      </c>
      <c r="I1539" s="21" t="s">
        <v>55</v>
      </c>
      <c r="J1539" s="21" t="s">
        <v>67</v>
      </c>
      <c r="K1539" s="5814" t="s">
        <v>599</v>
      </c>
    </row>
    <row r="1540" spans="1:11">
      <c r="A1540" s="21" t="s">
        <v>2995</v>
      </c>
      <c r="B1540" s="21" t="s">
        <v>6173</v>
      </c>
      <c r="C1540" s="21" t="s">
        <v>22</v>
      </c>
      <c r="D1540" s="21" t="s">
        <v>538</v>
      </c>
      <c r="E1540" s="21" t="s">
        <v>61</v>
      </c>
      <c r="F1540" s="5812">
        <v>1</v>
      </c>
      <c r="G1540" s="5813">
        <v>0.17430555555555555</v>
      </c>
      <c r="H1540" s="21" t="s">
        <v>10</v>
      </c>
      <c r="I1540" s="21" t="s">
        <v>55</v>
      </c>
      <c r="J1540" s="21" t="s">
        <v>1194</v>
      </c>
      <c r="K1540" s="5814" t="s">
        <v>6174</v>
      </c>
    </row>
    <row r="1541" spans="1:11">
      <c r="A1541" s="21" t="s">
        <v>2174</v>
      </c>
      <c r="B1541" s="21" t="s">
        <v>6175</v>
      </c>
      <c r="C1541" s="21" t="s">
        <v>8</v>
      </c>
      <c r="D1541" s="21" t="s">
        <v>538</v>
      </c>
      <c r="E1541" s="21" t="s">
        <v>61</v>
      </c>
      <c r="F1541" s="5812">
        <v>1</v>
      </c>
      <c r="G1541" s="5813">
        <v>0.17499999999999999</v>
      </c>
      <c r="H1541" s="21" t="s">
        <v>10</v>
      </c>
      <c r="I1541" s="21" t="s">
        <v>2176</v>
      </c>
      <c r="J1541" s="21" t="s">
        <v>62</v>
      </c>
      <c r="K1541" s="5814" t="s">
        <v>6176</v>
      </c>
    </row>
    <row r="1542" spans="1:11">
      <c r="A1542" s="21" t="s">
        <v>2679</v>
      </c>
      <c r="B1542" s="21" t="s">
        <v>6177</v>
      </c>
      <c r="C1542" s="21" t="s">
        <v>22</v>
      </c>
      <c r="D1542" s="21" t="s">
        <v>538</v>
      </c>
      <c r="E1542" s="21" t="s">
        <v>61</v>
      </c>
      <c r="F1542" s="5812">
        <v>1</v>
      </c>
      <c r="G1542" s="5813">
        <v>0.18472222222222223</v>
      </c>
      <c r="H1542" s="21" t="s">
        <v>54</v>
      </c>
      <c r="I1542" s="21" t="s">
        <v>55</v>
      </c>
      <c r="J1542" s="21" t="s">
        <v>67</v>
      </c>
      <c r="K1542" s="5814" t="s">
        <v>6178</v>
      </c>
    </row>
    <row r="1543" spans="1:11">
      <c r="A1543" s="21" t="s">
        <v>2424</v>
      </c>
      <c r="B1543" s="21" t="s">
        <v>6179</v>
      </c>
      <c r="C1543" s="21" t="s">
        <v>8</v>
      </c>
      <c r="D1543" s="21" t="s">
        <v>538</v>
      </c>
      <c r="E1543" s="21" t="s">
        <v>61</v>
      </c>
      <c r="F1543" s="5812">
        <v>1</v>
      </c>
      <c r="G1543" s="5813">
        <v>0.19097222222222221</v>
      </c>
      <c r="H1543" s="21" t="s">
        <v>10</v>
      </c>
      <c r="I1543" s="21" t="s">
        <v>39</v>
      </c>
      <c r="J1543" s="21" t="s">
        <v>67</v>
      </c>
      <c r="K1543" s="5814" t="s">
        <v>6180</v>
      </c>
    </row>
    <row r="1544" spans="1:11">
      <c r="A1544" s="21" t="s">
        <v>2513</v>
      </c>
      <c r="B1544" s="21" t="s">
        <v>6181</v>
      </c>
      <c r="C1544" s="21" t="s">
        <v>8</v>
      </c>
      <c r="D1544" s="21" t="s">
        <v>538</v>
      </c>
      <c r="E1544" s="21" t="s">
        <v>61</v>
      </c>
      <c r="F1544" s="5812">
        <v>1</v>
      </c>
      <c r="G1544" s="5813">
        <v>0.2</v>
      </c>
      <c r="H1544" s="21" t="s">
        <v>10</v>
      </c>
      <c r="I1544" s="21" t="s">
        <v>55</v>
      </c>
      <c r="J1544" s="21" t="s">
        <v>6182</v>
      </c>
      <c r="K1544" s="5814" t="s">
        <v>6183</v>
      </c>
    </row>
    <row r="1545" spans="1:11">
      <c r="A1545" s="21" t="s">
        <v>3026</v>
      </c>
      <c r="B1545" s="21" t="s">
        <v>6184</v>
      </c>
      <c r="C1545" s="21" t="s">
        <v>22</v>
      </c>
      <c r="D1545" s="21" t="s">
        <v>538</v>
      </c>
      <c r="E1545" s="21" t="s">
        <v>61</v>
      </c>
      <c r="F1545" s="5812">
        <v>2</v>
      </c>
      <c r="G1545" s="5813">
        <v>4.791666666666667E-2</v>
      </c>
      <c r="H1545" s="21" t="s">
        <v>10</v>
      </c>
      <c r="I1545" s="21" t="s">
        <v>39</v>
      </c>
      <c r="J1545" s="21" t="s">
        <v>67</v>
      </c>
      <c r="K1545" s="5814" t="s">
        <v>6185</v>
      </c>
    </row>
    <row r="1546" spans="1:11">
      <c r="A1546" s="21" t="s">
        <v>3286</v>
      </c>
      <c r="B1546" s="21" t="s">
        <v>6186</v>
      </c>
      <c r="C1546" s="21" t="s">
        <v>8</v>
      </c>
      <c r="D1546" s="21" t="s">
        <v>538</v>
      </c>
      <c r="E1546" s="21" t="s">
        <v>61</v>
      </c>
      <c r="F1546" s="5812">
        <v>2</v>
      </c>
      <c r="G1546" s="5813">
        <v>7.013888888888889E-2</v>
      </c>
      <c r="H1546" s="21" t="s">
        <v>10</v>
      </c>
      <c r="I1546" s="21" t="s">
        <v>2523</v>
      </c>
      <c r="J1546" s="21" t="s">
        <v>782</v>
      </c>
      <c r="K1546" s="5814" t="s">
        <v>6187</v>
      </c>
    </row>
    <row r="1547" spans="1:11">
      <c r="A1547" s="21" t="s">
        <v>2724</v>
      </c>
      <c r="B1547" s="21" t="s">
        <v>6188</v>
      </c>
      <c r="C1547" s="21" t="s">
        <v>22</v>
      </c>
      <c r="D1547" s="21" t="s">
        <v>538</v>
      </c>
      <c r="E1547" s="21" t="s">
        <v>61</v>
      </c>
      <c r="F1547" s="5812">
        <v>2</v>
      </c>
      <c r="G1547" s="5813">
        <v>8.2638888888888887E-2</v>
      </c>
      <c r="H1547" s="21" t="s">
        <v>10</v>
      </c>
      <c r="I1547" s="21" t="s">
        <v>2726</v>
      </c>
      <c r="J1547" s="21" t="s">
        <v>6189</v>
      </c>
      <c r="K1547" s="5814" t="s">
        <v>6190</v>
      </c>
    </row>
    <row r="1548" spans="1:11">
      <c r="A1548" s="21" t="s">
        <v>3710</v>
      </c>
      <c r="B1548" s="21" t="s">
        <v>620</v>
      </c>
      <c r="C1548" s="21" t="s">
        <v>8</v>
      </c>
      <c r="D1548" s="21" t="s">
        <v>538</v>
      </c>
      <c r="E1548" s="21" t="s">
        <v>61</v>
      </c>
      <c r="F1548" s="5812">
        <v>2</v>
      </c>
      <c r="G1548" s="5813">
        <v>8.6805555555555552E-2</v>
      </c>
      <c r="H1548" s="21" t="s">
        <v>10</v>
      </c>
      <c r="I1548" s="21" t="s">
        <v>226</v>
      </c>
      <c r="J1548" s="21" t="s">
        <v>67</v>
      </c>
      <c r="K1548" s="5814" t="s">
        <v>6191</v>
      </c>
    </row>
    <row r="1549" spans="1:11">
      <c r="A1549" s="21" t="s">
        <v>2901</v>
      </c>
      <c r="B1549" s="21" t="s">
        <v>6192</v>
      </c>
      <c r="C1549" s="21" t="s">
        <v>8</v>
      </c>
      <c r="D1549" s="21" t="s">
        <v>538</v>
      </c>
      <c r="E1549" s="21" t="s">
        <v>61</v>
      </c>
      <c r="F1549" s="5812">
        <v>2</v>
      </c>
      <c r="G1549" s="5813">
        <v>8.819444444444445E-2</v>
      </c>
      <c r="H1549" s="21" t="s">
        <v>10</v>
      </c>
      <c r="I1549" s="21" t="s">
        <v>39</v>
      </c>
      <c r="J1549" s="21" t="s">
        <v>6193</v>
      </c>
      <c r="K1549" s="5814" t="s">
        <v>6194</v>
      </c>
    </row>
    <row r="1550" spans="1:11">
      <c r="A1550" s="21" t="s">
        <v>2647</v>
      </c>
      <c r="B1550" s="21" t="s">
        <v>6195</v>
      </c>
      <c r="C1550" s="21" t="s">
        <v>8</v>
      </c>
      <c r="D1550" s="21" t="s">
        <v>538</v>
      </c>
      <c r="E1550" s="21" t="s">
        <v>61</v>
      </c>
      <c r="F1550" s="5812">
        <v>2</v>
      </c>
      <c r="G1550" s="5813">
        <v>9.7916666666666666E-2</v>
      </c>
      <c r="H1550" s="21" t="s">
        <v>10</v>
      </c>
      <c r="I1550" s="21" t="s">
        <v>2713</v>
      </c>
      <c r="J1550" s="21" t="s">
        <v>836</v>
      </c>
      <c r="K1550" s="5814" t="s">
        <v>6196</v>
      </c>
    </row>
    <row r="1551" spans="1:11">
      <c r="A1551" s="21" t="s">
        <v>3769</v>
      </c>
      <c r="B1551" s="21" t="s">
        <v>6197</v>
      </c>
      <c r="C1551" s="21" t="s">
        <v>8</v>
      </c>
      <c r="D1551" s="21" t="s">
        <v>538</v>
      </c>
      <c r="E1551" s="21" t="s">
        <v>61</v>
      </c>
      <c r="F1551" s="5812">
        <v>2</v>
      </c>
      <c r="G1551" s="5813">
        <v>0.10625</v>
      </c>
      <c r="H1551" s="21" t="s">
        <v>10</v>
      </c>
      <c r="I1551" s="21" t="s">
        <v>2153</v>
      </c>
      <c r="J1551" s="21" t="s">
        <v>67</v>
      </c>
      <c r="K1551" s="5814" t="s">
        <v>6198</v>
      </c>
    </row>
    <row r="1552" spans="1:11">
      <c r="A1552" s="21" t="s">
        <v>3252</v>
      </c>
      <c r="B1552" s="21" t="s">
        <v>6199</v>
      </c>
      <c r="C1552" s="21" t="s">
        <v>22</v>
      </c>
      <c r="D1552" s="21" t="s">
        <v>538</v>
      </c>
      <c r="E1552" s="21" t="s">
        <v>61</v>
      </c>
      <c r="F1552" s="5812">
        <v>2</v>
      </c>
      <c r="G1552" s="5813">
        <v>0.13472222222222222</v>
      </c>
      <c r="H1552" s="21" t="s">
        <v>10</v>
      </c>
      <c r="I1552" s="21" t="s">
        <v>2269</v>
      </c>
      <c r="J1552" s="21" t="s">
        <v>62</v>
      </c>
      <c r="K1552" s="5814" t="s">
        <v>6200</v>
      </c>
    </row>
    <row r="1553" spans="1:11">
      <c r="A1553" s="21" t="s">
        <v>3430</v>
      </c>
      <c r="B1553" s="21" t="s">
        <v>6201</v>
      </c>
      <c r="C1553" s="21" t="s">
        <v>22</v>
      </c>
      <c r="D1553" s="21" t="s">
        <v>538</v>
      </c>
      <c r="E1553" s="21" t="s">
        <v>61</v>
      </c>
      <c r="F1553" s="5812">
        <v>2</v>
      </c>
      <c r="G1553" s="5813">
        <v>0.15555555555555556</v>
      </c>
      <c r="H1553" s="21" t="s">
        <v>10</v>
      </c>
      <c r="I1553" s="21" t="s">
        <v>2297</v>
      </c>
      <c r="J1553" s="21" t="s">
        <v>67</v>
      </c>
      <c r="K1553" s="5814" t="s">
        <v>6202</v>
      </c>
    </row>
    <row r="1554" spans="1:11">
      <c r="A1554" s="21" t="s">
        <v>2846</v>
      </c>
      <c r="B1554" s="21" t="s">
        <v>6203</v>
      </c>
      <c r="C1554" s="21" t="s">
        <v>22</v>
      </c>
      <c r="D1554" s="21" t="s">
        <v>538</v>
      </c>
      <c r="E1554" s="21" t="s">
        <v>61</v>
      </c>
      <c r="F1554" s="5812">
        <v>2</v>
      </c>
      <c r="G1554" s="5813">
        <v>0.15833333333333333</v>
      </c>
      <c r="H1554" s="21" t="s">
        <v>10</v>
      </c>
      <c r="I1554" s="21" t="s">
        <v>263</v>
      </c>
      <c r="J1554" s="21" t="s">
        <v>4808</v>
      </c>
      <c r="K1554" s="5814" t="s">
        <v>6204</v>
      </c>
    </row>
    <row r="1555" spans="1:11">
      <c r="A1555" s="21" t="s">
        <v>3192</v>
      </c>
      <c r="B1555" s="21" t="s">
        <v>6205</v>
      </c>
      <c r="C1555" s="21" t="s">
        <v>8</v>
      </c>
      <c r="D1555" s="21" t="s">
        <v>538</v>
      </c>
      <c r="E1555" s="21" t="s">
        <v>61</v>
      </c>
      <c r="F1555" s="5812">
        <v>2</v>
      </c>
      <c r="G1555" s="5813">
        <v>0.16527777777777777</v>
      </c>
      <c r="H1555" s="21" t="s">
        <v>10</v>
      </c>
      <c r="I1555" s="21" t="s">
        <v>2665</v>
      </c>
      <c r="J1555" s="21" t="s">
        <v>67</v>
      </c>
      <c r="K1555" s="5814" t="s">
        <v>6206</v>
      </c>
    </row>
    <row r="1556" spans="1:11">
      <c r="A1556" s="21" t="s">
        <v>3613</v>
      </c>
      <c r="B1556" s="21" t="s">
        <v>6207</v>
      </c>
      <c r="C1556" s="21" t="s">
        <v>8</v>
      </c>
      <c r="D1556" s="21" t="s">
        <v>538</v>
      </c>
      <c r="E1556" s="21" t="s">
        <v>61</v>
      </c>
      <c r="F1556" s="5812">
        <v>2</v>
      </c>
      <c r="G1556" s="5813">
        <v>0.18194444444444444</v>
      </c>
      <c r="H1556" s="21" t="s">
        <v>10</v>
      </c>
      <c r="I1556" s="21" t="s">
        <v>39</v>
      </c>
      <c r="J1556" s="21" t="s">
        <v>836</v>
      </c>
      <c r="K1556" s="5814" t="s">
        <v>6208</v>
      </c>
    </row>
    <row r="1557" spans="1:11">
      <c r="A1557" s="21" t="s">
        <v>2729</v>
      </c>
      <c r="B1557" s="21" t="s">
        <v>6209</v>
      </c>
      <c r="C1557" s="21" t="s">
        <v>22</v>
      </c>
      <c r="D1557" s="21" t="s">
        <v>538</v>
      </c>
      <c r="E1557" s="21" t="s">
        <v>61</v>
      </c>
      <c r="F1557" s="5812">
        <v>2</v>
      </c>
      <c r="G1557" s="5813">
        <v>0.18680555555555556</v>
      </c>
      <c r="H1557" s="21" t="s">
        <v>10</v>
      </c>
      <c r="I1557" s="21" t="s">
        <v>2731</v>
      </c>
      <c r="J1557" s="21" t="s">
        <v>67</v>
      </c>
      <c r="K1557" s="5814" t="s">
        <v>6210</v>
      </c>
    </row>
    <row r="1558" spans="1:11">
      <c r="A1558" s="21" t="s">
        <v>4654</v>
      </c>
      <c r="B1558" s="21" t="s">
        <v>6211</v>
      </c>
      <c r="C1558" s="21" t="s">
        <v>22</v>
      </c>
      <c r="D1558" s="21" t="s">
        <v>538</v>
      </c>
      <c r="E1558" s="21" t="s">
        <v>61</v>
      </c>
      <c r="F1558" s="5812">
        <v>2</v>
      </c>
      <c r="G1558" s="5813">
        <v>0.19236111111111112</v>
      </c>
      <c r="H1558" s="21" t="s">
        <v>10</v>
      </c>
      <c r="I1558" s="21" t="s">
        <v>55</v>
      </c>
      <c r="J1558" s="21" t="s">
        <v>6212</v>
      </c>
      <c r="K1558" s="5814" t="s">
        <v>6213</v>
      </c>
    </row>
    <row r="1559" spans="1:11">
      <c r="A1559" s="21" t="s">
        <v>3311</v>
      </c>
      <c r="B1559" s="21" t="s">
        <v>6214</v>
      </c>
      <c r="C1559" s="21" t="s">
        <v>8</v>
      </c>
      <c r="D1559" s="21" t="s">
        <v>538</v>
      </c>
      <c r="E1559" s="21" t="s">
        <v>61</v>
      </c>
      <c r="F1559" s="5812">
        <v>2</v>
      </c>
      <c r="G1559" s="5813">
        <v>0.19305555555555556</v>
      </c>
      <c r="H1559" s="21" t="s">
        <v>10</v>
      </c>
      <c r="I1559" s="21" t="s">
        <v>11</v>
      </c>
      <c r="J1559" s="21" t="s">
        <v>1444</v>
      </c>
      <c r="K1559" s="5814" t="s">
        <v>6215</v>
      </c>
    </row>
    <row r="1560" spans="1:11">
      <c r="A1560" s="21" t="s">
        <v>3082</v>
      </c>
      <c r="B1560" s="21" t="s">
        <v>6216</v>
      </c>
      <c r="C1560" s="21" t="s">
        <v>8</v>
      </c>
      <c r="D1560" s="21" t="s">
        <v>538</v>
      </c>
      <c r="E1560" s="21" t="s">
        <v>61</v>
      </c>
      <c r="F1560" s="5812">
        <v>3</v>
      </c>
      <c r="G1560" s="5813">
        <v>9.166666666666666E-2</v>
      </c>
      <c r="H1560" s="21" t="s">
        <v>10</v>
      </c>
      <c r="I1560" s="21" t="s">
        <v>788</v>
      </c>
      <c r="J1560" s="21" t="s">
        <v>3313</v>
      </c>
      <c r="K1560" s="5814" t="s">
        <v>6217</v>
      </c>
    </row>
    <row r="1561" spans="1:11">
      <c r="A1561" s="21" t="s">
        <v>2827</v>
      </c>
      <c r="B1561" s="21" t="s">
        <v>6218</v>
      </c>
      <c r="C1561" s="21" t="s">
        <v>22</v>
      </c>
      <c r="D1561" s="21" t="s">
        <v>538</v>
      </c>
      <c r="E1561" s="21" t="s">
        <v>61</v>
      </c>
      <c r="F1561" s="5812">
        <v>3</v>
      </c>
      <c r="G1561" s="5813">
        <v>0.12013888888888889</v>
      </c>
      <c r="H1561" s="21" t="s">
        <v>54</v>
      </c>
      <c r="I1561" s="21" t="s">
        <v>2713</v>
      </c>
      <c r="J1561" s="21" t="s">
        <v>67</v>
      </c>
      <c r="K1561" s="5814" t="s">
        <v>6219</v>
      </c>
    </row>
    <row r="1562" spans="1:11">
      <c r="A1562" s="21" t="s">
        <v>3616</v>
      </c>
      <c r="B1562" s="21" t="s">
        <v>6220</v>
      </c>
      <c r="C1562" s="21" t="s">
        <v>22</v>
      </c>
      <c r="D1562" s="21" t="s">
        <v>538</v>
      </c>
      <c r="E1562" s="21" t="s">
        <v>61</v>
      </c>
      <c r="F1562" s="5812">
        <v>3</v>
      </c>
      <c r="G1562" s="5813">
        <v>0.15555555555555556</v>
      </c>
      <c r="H1562" s="21" t="s">
        <v>10</v>
      </c>
      <c r="I1562" s="21" t="s">
        <v>39</v>
      </c>
      <c r="J1562" s="21" t="s">
        <v>6221</v>
      </c>
      <c r="K1562" s="5814" t="s">
        <v>6222</v>
      </c>
    </row>
    <row r="1563" spans="1:11">
      <c r="A1563" s="21" t="s">
        <v>4139</v>
      </c>
      <c r="B1563" s="21" t="s">
        <v>6223</v>
      </c>
      <c r="C1563" s="21" t="s">
        <v>8</v>
      </c>
      <c r="D1563" s="21" t="s">
        <v>538</v>
      </c>
      <c r="E1563" s="21" t="s">
        <v>61</v>
      </c>
      <c r="F1563" s="5812">
        <v>3</v>
      </c>
      <c r="G1563" s="5813">
        <v>0.1986111111111111</v>
      </c>
      <c r="H1563" s="21" t="s">
        <v>10</v>
      </c>
      <c r="I1563" s="21" t="s">
        <v>55</v>
      </c>
      <c r="J1563" s="21" t="s">
        <v>6224</v>
      </c>
      <c r="K1563" s="5814" t="s">
        <v>6225</v>
      </c>
    </row>
    <row r="1564" spans="1:11">
      <c r="A1564" s="21" t="s">
        <v>3195</v>
      </c>
      <c r="B1564" s="21" t="s">
        <v>6226</v>
      </c>
      <c r="C1564" s="21" t="s">
        <v>22</v>
      </c>
      <c r="D1564" s="21" t="s">
        <v>538</v>
      </c>
      <c r="E1564" s="21" t="s">
        <v>244</v>
      </c>
      <c r="F1564" s="5812">
        <v>2</v>
      </c>
      <c r="G1564" s="5813">
        <v>6.8750000000000006E-2</v>
      </c>
      <c r="H1564" s="21" t="s">
        <v>10</v>
      </c>
      <c r="I1564" s="21" t="s">
        <v>2692</v>
      </c>
      <c r="J1564" s="21"/>
      <c r="K1564" s="5814" t="s">
        <v>6227</v>
      </c>
    </row>
    <row r="1565" spans="1:11">
      <c r="A1565" s="21" t="s">
        <v>3049</v>
      </c>
      <c r="B1565" s="21" t="s">
        <v>6228</v>
      </c>
      <c r="C1565" s="21" t="s">
        <v>8</v>
      </c>
      <c r="D1565" s="21" t="s">
        <v>538</v>
      </c>
      <c r="E1565" s="21" t="s">
        <v>244</v>
      </c>
      <c r="F1565" s="5812">
        <v>2</v>
      </c>
      <c r="G1565" s="5813">
        <v>0.20833333333333334</v>
      </c>
      <c r="H1565" s="21" t="s">
        <v>10</v>
      </c>
      <c r="I1565" s="21" t="s">
        <v>2523</v>
      </c>
      <c r="J1565" s="21" t="s">
        <v>3622</v>
      </c>
      <c r="K1565" s="5814" t="s">
        <v>6229</v>
      </c>
    </row>
    <row r="1566" spans="1:11">
      <c r="A1566" s="21" t="s">
        <v>3886</v>
      </c>
      <c r="B1566" s="21" t="s">
        <v>6230</v>
      </c>
      <c r="C1566" s="21" t="s">
        <v>709</v>
      </c>
      <c r="D1566" s="21" t="s">
        <v>627</v>
      </c>
      <c r="E1566" s="21" t="s">
        <v>710</v>
      </c>
      <c r="F1566" s="5812">
        <v>3</v>
      </c>
      <c r="G1566" s="5813">
        <v>0.20833333333333334</v>
      </c>
      <c r="H1566" s="21" t="s">
        <v>10</v>
      </c>
      <c r="I1566" s="21" t="s">
        <v>47</v>
      </c>
      <c r="J1566" s="21" t="s">
        <v>6231</v>
      </c>
      <c r="K1566" s="5814" t="s">
        <v>6232</v>
      </c>
    </row>
    <row r="1567" spans="1:11">
      <c r="A1567" s="21" t="s">
        <v>4379</v>
      </c>
      <c r="B1567" s="21" t="s">
        <v>6233</v>
      </c>
      <c r="C1567" s="21" t="s">
        <v>22</v>
      </c>
      <c r="D1567" s="21" t="s">
        <v>627</v>
      </c>
      <c r="E1567" s="21" t="s">
        <v>710</v>
      </c>
      <c r="F1567" s="5812">
        <v>3</v>
      </c>
      <c r="G1567" s="5813">
        <v>0.20833333333333334</v>
      </c>
      <c r="H1567" s="21" t="s">
        <v>10</v>
      </c>
      <c r="I1567" s="21" t="s">
        <v>226</v>
      </c>
      <c r="J1567" s="21" t="s">
        <v>6234</v>
      </c>
      <c r="K1567" s="5814" t="s">
        <v>6235</v>
      </c>
    </row>
    <row r="1568" spans="1:11">
      <c r="A1568" s="21" t="s">
        <v>20</v>
      </c>
      <c r="B1568" s="21" t="s">
        <v>636</v>
      </c>
      <c r="C1568" s="21" t="s">
        <v>8</v>
      </c>
      <c r="D1568" s="21" t="s">
        <v>627</v>
      </c>
      <c r="E1568" s="21" t="s">
        <v>193</v>
      </c>
      <c r="F1568" s="5812">
        <v>3</v>
      </c>
      <c r="G1568" s="5813">
        <v>0.20833333333333334</v>
      </c>
      <c r="H1568" s="21" t="s">
        <v>10</v>
      </c>
      <c r="I1568" s="21" t="s">
        <v>39</v>
      </c>
      <c r="J1568" s="21" t="s">
        <v>637</v>
      </c>
      <c r="K1568" s="5814" t="s">
        <v>638</v>
      </c>
    </row>
    <row r="1569" spans="1:11">
      <c r="A1569" s="21" t="s">
        <v>5015</v>
      </c>
      <c r="B1569" s="21" t="s">
        <v>6236</v>
      </c>
      <c r="C1569" s="21" t="s">
        <v>22</v>
      </c>
      <c r="D1569" s="21" t="s">
        <v>627</v>
      </c>
      <c r="E1569" s="21" t="s">
        <v>193</v>
      </c>
      <c r="F1569" s="5812">
        <v>3</v>
      </c>
      <c r="G1569" s="5813">
        <v>0.20833333333333334</v>
      </c>
      <c r="H1569" s="21" t="s">
        <v>10</v>
      </c>
      <c r="I1569" s="21" t="s">
        <v>47</v>
      </c>
      <c r="J1569" s="21" t="s">
        <v>6237</v>
      </c>
      <c r="K1569" s="5814" t="s">
        <v>6238</v>
      </c>
    </row>
    <row r="1570" spans="1:11">
      <c r="A1570" s="21" t="s">
        <v>3338</v>
      </c>
      <c r="B1570" s="21" t="s">
        <v>6239</v>
      </c>
      <c r="C1570" s="21" t="s">
        <v>22</v>
      </c>
      <c r="D1570" s="21" t="s">
        <v>627</v>
      </c>
      <c r="E1570" s="21" t="s">
        <v>193</v>
      </c>
      <c r="F1570" s="5812">
        <v>3</v>
      </c>
      <c r="G1570" s="5813">
        <v>0.20833333333333334</v>
      </c>
      <c r="H1570" s="21" t="s">
        <v>10</v>
      </c>
      <c r="I1570" s="21" t="s">
        <v>55</v>
      </c>
      <c r="J1570" s="21" t="s">
        <v>6240</v>
      </c>
      <c r="K1570" s="5814" t="s">
        <v>6241</v>
      </c>
    </row>
    <row r="1571" spans="1:11">
      <c r="A1571" s="21" t="s">
        <v>2428</v>
      </c>
      <c r="B1571" s="21" t="s">
        <v>6242</v>
      </c>
      <c r="C1571" s="21" t="s">
        <v>22</v>
      </c>
      <c r="D1571" s="21" t="s">
        <v>627</v>
      </c>
      <c r="E1571" s="21" t="s">
        <v>193</v>
      </c>
      <c r="F1571" s="5812">
        <v>3</v>
      </c>
      <c r="G1571" s="5813">
        <v>0.20833333333333334</v>
      </c>
      <c r="H1571" s="21" t="s">
        <v>10</v>
      </c>
      <c r="I1571" s="21" t="s">
        <v>47</v>
      </c>
      <c r="J1571" s="21" t="s">
        <v>6243</v>
      </c>
      <c r="K1571" s="5814" t="s">
        <v>6244</v>
      </c>
    </row>
    <row r="1572" spans="1:11">
      <c r="A1572" s="21" t="s">
        <v>3551</v>
      </c>
      <c r="B1572" s="21" t="s">
        <v>6245</v>
      </c>
      <c r="C1572" s="21" t="s">
        <v>8</v>
      </c>
      <c r="D1572" s="21" t="s">
        <v>627</v>
      </c>
      <c r="E1572" s="21" t="s">
        <v>193</v>
      </c>
      <c r="F1572" s="5812">
        <v>3</v>
      </c>
      <c r="G1572" s="5813">
        <v>0.20833333333333334</v>
      </c>
      <c r="H1572" s="21" t="s">
        <v>10</v>
      </c>
      <c r="I1572" s="21" t="s">
        <v>39</v>
      </c>
      <c r="J1572" s="21" t="s">
        <v>6246</v>
      </c>
      <c r="K1572" s="5814" t="s">
        <v>6247</v>
      </c>
    </row>
    <row r="1573" spans="1:11">
      <c r="A1573" s="21" t="s">
        <v>2495</v>
      </c>
      <c r="B1573" s="21" t="s">
        <v>6248</v>
      </c>
      <c r="C1573" s="21" t="s">
        <v>22</v>
      </c>
      <c r="D1573" s="21" t="s">
        <v>627</v>
      </c>
      <c r="E1573" s="21" t="s">
        <v>193</v>
      </c>
      <c r="F1573" s="5812">
        <v>3</v>
      </c>
      <c r="G1573" s="5813">
        <v>0.20833333333333334</v>
      </c>
      <c r="H1573" s="21" t="s">
        <v>10</v>
      </c>
      <c r="I1573" s="21" t="s">
        <v>89</v>
      </c>
      <c r="J1573" s="21" t="s">
        <v>6249</v>
      </c>
      <c r="K1573" s="5814" t="s">
        <v>6250</v>
      </c>
    </row>
    <row r="1574" spans="1:11">
      <c r="A1574" s="21" t="s">
        <v>2499</v>
      </c>
      <c r="B1574" s="21" t="s">
        <v>6251</v>
      </c>
      <c r="C1574" s="21" t="s">
        <v>709</v>
      </c>
      <c r="D1574" s="21" t="s">
        <v>627</v>
      </c>
      <c r="E1574" s="21" t="s">
        <v>193</v>
      </c>
      <c r="F1574" s="5812">
        <v>3</v>
      </c>
      <c r="G1574" s="5813">
        <v>0.20833333333333334</v>
      </c>
      <c r="H1574" s="21" t="s">
        <v>10</v>
      </c>
      <c r="I1574" s="21" t="s">
        <v>39</v>
      </c>
      <c r="J1574" s="21" t="s">
        <v>6252</v>
      </c>
      <c r="K1574" s="5814" t="s">
        <v>6253</v>
      </c>
    </row>
    <row r="1575" spans="1:11">
      <c r="A1575" s="21" t="s">
        <v>3224</v>
      </c>
      <c r="B1575" s="21" t="s">
        <v>6254</v>
      </c>
      <c r="C1575" s="21" t="s">
        <v>22</v>
      </c>
      <c r="D1575" s="21" t="s">
        <v>627</v>
      </c>
      <c r="E1575" s="21" t="s">
        <v>193</v>
      </c>
      <c r="F1575" s="5812">
        <v>3</v>
      </c>
      <c r="G1575" s="5813">
        <v>0.20833333333333334</v>
      </c>
      <c r="H1575" s="21" t="s">
        <v>10</v>
      </c>
      <c r="I1575" s="21" t="s">
        <v>96</v>
      </c>
      <c r="J1575" s="21" t="s">
        <v>6255</v>
      </c>
      <c r="K1575" s="5814" t="s">
        <v>6256</v>
      </c>
    </row>
    <row r="1576" spans="1:11">
      <c r="A1576" s="21" t="s">
        <v>3119</v>
      </c>
      <c r="B1576" s="21" t="s">
        <v>6257</v>
      </c>
      <c r="C1576" s="21" t="s">
        <v>8</v>
      </c>
      <c r="D1576" s="21" t="s">
        <v>627</v>
      </c>
      <c r="E1576" s="21" t="s">
        <v>193</v>
      </c>
      <c r="F1576" s="5812">
        <v>3</v>
      </c>
      <c r="G1576" s="5813">
        <v>0.20833333333333334</v>
      </c>
      <c r="H1576" s="21" t="s">
        <v>10</v>
      </c>
      <c r="I1576" s="21" t="s">
        <v>55</v>
      </c>
      <c r="J1576" s="21" t="s">
        <v>6258</v>
      </c>
      <c r="K1576" s="5814" t="s">
        <v>6259</v>
      </c>
    </row>
    <row r="1577" spans="1:11">
      <c r="A1577" s="21" t="s">
        <v>3515</v>
      </c>
      <c r="B1577" s="21" t="s">
        <v>6260</v>
      </c>
      <c r="C1577" s="21" t="s">
        <v>709</v>
      </c>
      <c r="D1577" s="21" t="s">
        <v>627</v>
      </c>
      <c r="E1577" s="21" t="s">
        <v>193</v>
      </c>
      <c r="F1577" s="5812">
        <v>3</v>
      </c>
      <c r="G1577" s="5813">
        <v>0.20833333333333334</v>
      </c>
      <c r="H1577" s="21" t="s">
        <v>10</v>
      </c>
      <c r="I1577" s="21" t="s">
        <v>3517</v>
      </c>
      <c r="J1577" s="21" t="s">
        <v>6261</v>
      </c>
      <c r="K1577" s="5814" t="s">
        <v>6262</v>
      </c>
    </row>
    <row r="1578" spans="1:11">
      <c r="A1578" s="21" t="s">
        <v>2538</v>
      </c>
      <c r="B1578" s="21" t="s">
        <v>6263</v>
      </c>
      <c r="C1578" s="21" t="s">
        <v>8</v>
      </c>
      <c r="D1578" s="21" t="s">
        <v>627</v>
      </c>
      <c r="E1578" s="21" t="s">
        <v>193</v>
      </c>
      <c r="F1578" s="5812">
        <v>3</v>
      </c>
      <c r="G1578" s="5813">
        <v>0.20833333333333334</v>
      </c>
      <c r="H1578" s="21" t="s">
        <v>10</v>
      </c>
      <c r="I1578" s="21" t="s">
        <v>47</v>
      </c>
      <c r="J1578" s="21" t="s">
        <v>6264</v>
      </c>
      <c r="K1578" s="5814" t="s">
        <v>6265</v>
      </c>
    </row>
    <row r="1579" spans="1:11">
      <c r="A1579" s="21" t="s">
        <v>4116</v>
      </c>
      <c r="B1579" s="21" t="s">
        <v>6266</v>
      </c>
      <c r="C1579" s="21" t="s">
        <v>8</v>
      </c>
      <c r="D1579" s="21" t="s">
        <v>627</v>
      </c>
      <c r="E1579" s="21" t="s">
        <v>193</v>
      </c>
      <c r="F1579" s="5812">
        <v>3</v>
      </c>
      <c r="G1579" s="5813">
        <v>0.20833333333333334</v>
      </c>
      <c r="H1579" s="21" t="s">
        <v>10</v>
      </c>
      <c r="I1579" s="21" t="s">
        <v>226</v>
      </c>
      <c r="J1579" s="21" t="s">
        <v>6267</v>
      </c>
      <c r="K1579" s="5814" t="s">
        <v>6268</v>
      </c>
    </row>
    <row r="1580" spans="1:11">
      <c r="A1580" s="21" t="s">
        <v>2147</v>
      </c>
      <c r="B1580" s="21" t="s">
        <v>6269</v>
      </c>
      <c r="C1580" s="21" t="s">
        <v>8</v>
      </c>
      <c r="D1580" s="21" t="s">
        <v>627</v>
      </c>
      <c r="E1580" s="21" t="s">
        <v>193</v>
      </c>
      <c r="F1580" s="5812">
        <v>3</v>
      </c>
      <c r="G1580" s="5813">
        <v>0.20833333333333334</v>
      </c>
      <c r="H1580" s="21" t="s">
        <v>10</v>
      </c>
      <c r="I1580" s="21" t="s">
        <v>2660</v>
      </c>
      <c r="J1580" s="21" t="s">
        <v>6270</v>
      </c>
      <c r="K1580" s="5814" t="s">
        <v>6271</v>
      </c>
    </row>
    <row r="1581" spans="1:11">
      <c r="A1581" s="21" t="s">
        <v>4132</v>
      </c>
      <c r="B1581" s="21" t="s">
        <v>6272</v>
      </c>
      <c r="C1581" s="21" t="s">
        <v>709</v>
      </c>
      <c r="D1581" s="21" t="s">
        <v>627</v>
      </c>
      <c r="E1581" s="21" t="s">
        <v>193</v>
      </c>
      <c r="F1581" s="5812">
        <v>3</v>
      </c>
      <c r="G1581" s="5813">
        <v>0.20833333333333334</v>
      </c>
      <c r="H1581" s="21" t="s">
        <v>10</v>
      </c>
      <c r="I1581" s="21" t="s">
        <v>400</v>
      </c>
      <c r="J1581" s="21" t="s">
        <v>6273</v>
      </c>
      <c r="K1581" s="5814" t="s">
        <v>6274</v>
      </c>
    </row>
    <row r="1582" spans="1:11">
      <c r="A1582" s="21" t="s">
        <v>2160</v>
      </c>
      <c r="B1582" s="21" t="s">
        <v>6275</v>
      </c>
      <c r="C1582" s="21" t="s">
        <v>8</v>
      </c>
      <c r="D1582" s="21" t="s">
        <v>627</v>
      </c>
      <c r="E1582" s="21" t="s">
        <v>193</v>
      </c>
      <c r="F1582" s="5812">
        <v>3</v>
      </c>
      <c r="G1582" s="5813">
        <v>0.20833333333333334</v>
      </c>
      <c r="H1582" s="21" t="s">
        <v>10</v>
      </c>
      <c r="I1582" s="21" t="s">
        <v>2713</v>
      </c>
      <c r="J1582" s="21" t="s">
        <v>6276</v>
      </c>
      <c r="K1582" s="5814" t="s">
        <v>6277</v>
      </c>
    </row>
    <row r="1583" spans="1:11">
      <c r="A1583" s="21" t="s">
        <v>2165</v>
      </c>
      <c r="B1583" s="21" t="s">
        <v>6278</v>
      </c>
      <c r="C1583" s="21" t="s">
        <v>8</v>
      </c>
      <c r="D1583" s="21" t="s">
        <v>627</v>
      </c>
      <c r="E1583" s="21" t="s">
        <v>193</v>
      </c>
      <c r="F1583" s="5812">
        <v>3</v>
      </c>
      <c r="G1583" s="5813">
        <v>0.20833333333333334</v>
      </c>
      <c r="H1583" s="21" t="s">
        <v>10</v>
      </c>
      <c r="I1583" s="21" t="s">
        <v>2872</v>
      </c>
      <c r="J1583" s="21" t="s">
        <v>6279</v>
      </c>
      <c r="K1583" s="5814" t="s">
        <v>6280</v>
      </c>
    </row>
    <row r="1584" spans="1:11">
      <c r="A1584" s="21" t="s">
        <v>3395</v>
      </c>
      <c r="B1584" s="21" t="s">
        <v>6281</v>
      </c>
      <c r="C1584" s="21" t="s">
        <v>22</v>
      </c>
      <c r="D1584" s="21" t="s">
        <v>627</v>
      </c>
      <c r="E1584" s="21" t="s">
        <v>193</v>
      </c>
      <c r="F1584" s="5812">
        <v>3</v>
      </c>
      <c r="G1584" s="5813">
        <v>0.20833333333333334</v>
      </c>
      <c r="H1584" s="21" t="s">
        <v>10</v>
      </c>
      <c r="I1584" s="21" t="s">
        <v>2713</v>
      </c>
      <c r="J1584" s="21" t="s">
        <v>6282</v>
      </c>
      <c r="K1584" s="5814" t="s">
        <v>6283</v>
      </c>
    </row>
    <row r="1585" spans="1:11">
      <c r="A1585" s="21" t="s">
        <v>2675</v>
      </c>
      <c r="B1585" s="21" t="s">
        <v>6284</v>
      </c>
      <c r="C1585" s="21" t="s">
        <v>8</v>
      </c>
      <c r="D1585" s="21" t="s">
        <v>627</v>
      </c>
      <c r="E1585" s="21" t="s">
        <v>193</v>
      </c>
      <c r="F1585" s="5812">
        <v>3</v>
      </c>
      <c r="G1585" s="5813">
        <v>0.20833333333333334</v>
      </c>
      <c r="H1585" s="21" t="s">
        <v>10</v>
      </c>
      <c r="I1585" s="21" t="s">
        <v>2872</v>
      </c>
      <c r="J1585" s="21" t="s">
        <v>6285</v>
      </c>
      <c r="K1585" s="5814" t="s">
        <v>6286</v>
      </c>
    </row>
    <row r="1586" spans="1:11">
      <c r="A1586" s="21" t="s">
        <v>2915</v>
      </c>
      <c r="B1586" s="21" t="s">
        <v>6287</v>
      </c>
      <c r="C1586" s="21" t="s">
        <v>22</v>
      </c>
      <c r="D1586" s="21" t="s">
        <v>627</v>
      </c>
      <c r="E1586" s="21" t="s">
        <v>193</v>
      </c>
      <c r="F1586" s="5812">
        <v>3</v>
      </c>
      <c r="G1586" s="5813">
        <v>0.20833333333333334</v>
      </c>
      <c r="H1586" s="21" t="s">
        <v>10</v>
      </c>
      <c r="I1586" s="21" t="s">
        <v>187</v>
      </c>
      <c r="J1586" s="21" t="s">
        <v>6288</v>
      </c>
      <c r="K1586" s="5814" t="s">
        <v>6289</v>
      </c>
    </row>
    <row r="1587" spans="1:11">
      <c r="A1587" s="21" t="s">
        <v>2205</v>
      </c>
      <c r="B1587" s="21" t="s">
        <v>6290</v>
      </c>
      <c r="C1587" s="21" t="s">
        <v>8</v>
      </c>
      <c r="D1587" s="21" t="s">
        <v>627</v>
      </c>
      <c r="E1587" s="21" t="s">
        <v>193</v>
      </c>
      <c r="F1587" s="5812">
        <v>3</v>
      </c>
      <c r="G1587" s="5813">
        <v>0.20833333333333334</v>
      </c>
      <c r="H1587" s="21" t="s">
        <v>10</v>
      </c>
      <c r="I1587" s="21" t="s">
        <v>39</v>
      </c>
      <c r="J1587" s="21" t="s">
        <v>6291</v>
      </c>
      <c r="K1587" s="5814" t="s">
        <v>6292</v>
      </c>
    </row>
    <row r="1588" spans="1:11">
      <c r="A1588" s="21" t="s">
        <v>3125</v>
      </c>
      <c r="B1588" s="21" t="s">
        <v>6293</v>
      </c>
      <c r="C1588" s="21" t="s">
        <v>8</v>
      </c>
      <c r="D1588" s="21" t="s">
        <v>627</v>
      </c>
      <c r="E1588" s="21" t="s">
        <v>193</v>
      </c>
      <c r="F1588" s="5812">
        <v>3</v>
      </c>
      <c r="G1588" s="5813">
        <v>0.20833333333333334</v>
      </c>
      <c r="H1588" s="21" t="s">
        <v>10</v>
      </c>
      <c r="I1588" s="21" t="s">
        <v>4146</v>
      </c>
      <c r="J1588" s="21" t="s">
        <v>6294</v>
      </c>
      <c r="K1588" s="5814" t="s">
        <v>6295</v>
      </c>
    </row>
    <row r="1589" spans="1:11">
      <c r="A1589" s="21" t="s">
        <v>2768</v>
      </c>
      <c r="B1589" s="21" t="s">
        <v>6296</v>
      </c>
      <c r="C1589" s="21" t="s">
        <v>8</v>
      </c>
      <c r="D1589" s="21" t="s">
        <v>627</v>
      </c>
      <c r="E1589" s="21" t="s">
        <v>193</v>
      </c>
      <c r="F1589" s="5812">
        <v>3</v>
      </c>
      <c r="G1589" s="5813">
        <v>0.20833333333333334</v>
      </c>
      <c r="H1589" s="21" t="s">
        <v>10</v>
      </c>
      <c r="I1589" s="21" t="s">
        <v>2297</v>
      </c>
      <c r="J1589" s="21" t="s">
        <v>6297</v>
      </c>
      <c r="K1589" s="5814" t="s">
        <v>6298</v>
      </c>
    </row>
    <row r="1590" spans="1:11">
      <c r="A1590" s="21" t="s">
        <v>2796</v>
      </c>
      <c r="B1590" s="21" t="s">
        <v>6299</v>
      </c>
      <c r="C1590" s="21" t="s">
        <v>22</v>
      </c>
      <c r="D1590" s="21" t="s">
        <v>627</v>
      </c>
      <c r="E1590" s="21" t="s">
        <v>193</v>
      </c>
      <c r="F1590" s="5812">
        <v>3</v>
      </c>
      <c r="G1590" s="5813">
        <v>0.20833333333333334</v>
      </c>
      <c r="H1590" s="21" t="s">
        <v>10</v>
      </c>
      <c r="I1590" s="21" t="s">
        <v>4828</v>
      </c>
      <c r="J1590" s="21" t="s">
        <v>6300</v>
      </c>
      <c r="K1590" s="5814" t="s">
        <v>6301</v>
      </c>
    </row>
    <row r="1591" spans="1:11">
      <c r="A1591" s="21" t="s">
        <v>2839</v>
      </c>
      <c r="B1591" s="21" t="s">
        <v>6302</v>
      </c>
      <c r="C1591" s="21" t="s">
        <v>8</v>
      </c>
      <c r="D1591" s="21" t="s">
        <v>627</v>
      </c>
      <c r="E1591" s="21" t="s">
        <v>193</v>
      </c>
      <c r="F1591" s="5812">
        <v>3</v>
      </c>
      <c r="G1591" s="5813">
        <v>0.20833333333333334</v>
      </c>
      <c r="H1591" s="21" t="s">
        <v>10</v>
      </c>
      <c r="I1591" s="21" t="s">
        <v>2247</v>
      </c>
      <c r="J1591" s="21" t="s">
        <v>6303</v>
      </c>
      <c r="K1591" s="5814" t="s">
        <v>6304</v>
      </c>
    </row>
    <row r="1592" spans="1:11">
      <c r="A1592" s="21" t="s">
        <v>4132</v>
      </c>
      <c r="B1592" s="21" t="s">
        <v>6305</v>
      </c>
      <c r="C1592" s="21" t="s">
        <v>8</v>
      </c>
      <c r="D1592" s="21" t="s">
        <v>627</v>
      </c>
      <c r="E1592" s="21" t="s">
        <v>193</v>
      </c>
      <c r="F1592" s="5812">
        <v>5</v>
      </c>
      <c r="G1592" s="5813">
        <v>0.20833333333333334</v>
      </c>
      <c r="H1592" s="21" t="s">
        <v>54</v>
      </c>
      <c r="I1592" s="21" t="s">
        <v>187</v>
      </c>
      <c r="J1592" s="21" t="s">
        <v>6306</v>
      </c>
      <c r="K1592" s="5814" t="s">
        <v>6307</v>
      </c>
    </row>
    <row r="1593" spans="1:11">
      <c r="A1593" s="21" t="s">
        <v>135</v>
      </c>
      <c r="B1593" s="21" t="s">
        <v>642</v>
      </c>
      <c r="C1593" s="21" t="s">
        <v>22</v>
      </c>
      <c r="D1593" s="21" t="s">
        <v>627</v>
      </c>
      <c r="E1593" s="21" t="s">
        <v>9</v>
      </c>
      <c r="F1593" s="5812">
        <v>3</v>
      </c>
      <c r="G1593" s="5813">
        <v>0.20833333333333334</v>
      </c>
      <c r="H1593" s="21" t="s">
        <v>10</v>
      </c>
      <c r="I1593" s="21" t="s">
        <v>89</v>
      </c>
      <c r="J1593" s="21" t="s">
        <v>643</v>
      </c>
      <c r="K1593" s="5814" t="s">
        <v>644</v>
      </c>
    </row>
    <row r="1594" spans="1:11">
      <c r="A1594" s="21" t="s">
        <v>31</v>
      </c>
      <c r="B1594" s="21" t="s">
        <v>674</v>
      </c>
      <c r="C1594" s="21" t="s">
        <v>8</v>
      </c>
      <c r="D1594" s="21" t="s">
        <v>627</v>
      </c>
      <c r="E1594" s="21" t="s">
        <v>9</v>
      </c>
      <c r="F1594" s="5812">
        <v>3</v>
      </c>
      <c r="G1594" s="5813">
        <v>0.20833333333333334</v>
      </c>
      <c r="H1594" s="21" t="s">
        <v>10</v>
      </c>
      <c r="I1594" s="21" t="s">
        <v>39</v>
      </c>
      <c r="J1594" s="21" t="s">
        <v>675</v>
      </c>
      <c r="K1594" s="5814" t="s">
        <v>676</v>
      </c>
    </row>
    <row r="1595" spans="1:11">
      <c r="A1595" s="21" t="s">
        <v>177</v>
      </c>
      <c r="B1595" s="21" t="s">
        <v>684</v>
      </c>
      <c r="C1595" s="21" t="s">
        <v>22</v>
      </c>
      <c r="D1595" s="21" t="s">
        <v>627</v>
      </c>
      <c r="E1595" s="21" t="s">
        <v>9</v>
      </c>
      <c r="F1595" s="5812">
        <v>3</v>
      </c>
      <c r="G1595" s="5813">
        <v>0.20833333333333334</v>
      </c>
      <c r="H1595" s="21" t="s">
        <v>10</v>
      </c>
      <c r="I1595" s="21" t="s">
        <v>39</v>
      </c>
      <c r="J1595" s="21" t="s">
        <v>685</v>
      </c>
      <c r="K1595" s="5814" t="s">
        <v>686</v>
      </c>
    </row>
    <row r="1596" spans="1:11">
      <c r="A1596" s="21" t="s">
        <v>44</v>
      </c>
      <c r="B1596" s="21" t="s">
        <v>693</v>
      </c>
      <c r="C1596" s="21" t="s">
        <v>8</v>
      </c>
      <c r="D1596" s="21" t="s">
        <v>627</v>
      </c>
      <c r="E1596" s="21" t="s">
        <v>9</v>
      </c>
      <c r="F1596" s="5812">
        <v>3</v>
      </c>
      <c r="G1596" s="5813">
        <v>0.20833333333333334</v>
      </c>
      <c r="H1596" s="21" t="s">
        <v>10</v>
      </c>
      <c r="I1596" s="21" t="s">
        <v>23</v>
      </c>
      <c r="J1596" s="21" t="s">
        <v>694</v>
      </c>
      <c r="K1596" s="5814" t="s">
        <v>695</v>
      </c>
    </row>
    <row r="1597" spans="1:11">
      <c r="A1597" s="21" t="s">
        <v>2323</v>
      </c>
      <c r="B1597" s="21" t="s">
        <v>6308</v>
      </c>
      <c r="C1597" s="21" t="s">
        <v>8</v>
      </c>
      <c r="D1597" s="21" t="s">
        <v>627</v>
      </c>
      <c r="E1597" s="21" t="s">
        <v>9</v>
      </c>
      <c r="F1597" s="5812">
        <v>3</v>
      </c>
      <c r="G1597" s="5813">
        <v>0.20833333333333334</v>
      </c>
      <c r="H1597" s="21" t="s">
        <v>10</v>
      </c>
      <c r="I1597" s="21" t="s">
        <v>3846</v>
      </c>
      <c r="J1597" s="21" t="s">
        <v>6309</v>
      </c>
      <c r="K1597" s="5814" t="s">
        <v>6310</v>
      </c>
    </row>
    <row r="1598" spans="1:11">
      <c r="A1598" s="21" t="s">
        <v>3249</v>
      </c>
      <c r="B1598" s="21" t="s">
        <v>6311</v>
      </c>
      <c r="C1598" s="21" t="s">
        <v>22</v>
      </c>
      <c r="D1598" s="21" t="s">
        <v>627</v>
      </c>
      <c r="E1598" s="21" t="s">
        <v>9</v>
      </c>
      <c r="F1598" s="5812">
        <v>3</v>
      </c>
      <c r="G1598" s="5813">
        <v>0.20833333333333334</v>
      </c>
      <c r="H1598" s="21" t="s">
        <v>10</v>
      </c>
      <c r="I1598" s="21" t="s">
        <v>39</v>
      </c>
      <c r="J1598" s="21" t="s">
        <v>6312</v>
      </c>
      <c r="K1598" s="5814" t="s">
        <v>6313</v>
      </c>
    </row>
    <row r="1599" spans="1:11">
      <c r="A1599" s="21" t="s">
        <v>2327</v>
      </c>
      <c r="B1599" s="21" t="s">
        <v>6314</v>
      </c>
      <c r="C1599" s="21" t="s">
        <v>8</v>
      </c>
      <c r="D1599" s="21" t="s">
        <v>627</v>
      </c>
      <c r="E1599" s="21" t="s">
        <v>9</v>
      </c>
      <c r="F1599" s="5812">
        <v>3</v>
      </c>
      <c r="G1599" s="5813">
        <v>0.20833333333333334</v>
      </c>
      <c r="H1599" s="21" t="s">
        <v>10</v>
      </c>
      <c r="I1599" s="21" t="s">
        <v>226</v>
      </c>
      <c r="J1599" s="21" t="s">
        <v>6315</v>
      </c>
      <c r="K1599" s="5814" t="s">
        <v>6316</v>
      </c>
    </row>
    <row r="1600" spans="1:11">
      <c r="A1600" s="21" t="s">
        <v>3495</v>
      </c>
      <c r="B1600" s="21" t="s">
        <v>6317</v>
      </c>
      <c r="C1600" s="21" t="s">
        <v>22</v>
      </c>
      <c r="D1600" s="21" t="s">
        <v>627</v>
      </c>
      <c r="E1600" s="21" t="s">
        <v>9</v>
      </c>
      <c r="F1600" s="5812">
        <v>3</v>
      </c>
      <c r="G1600" s="5813">
        <v>0.20833333333333334</v>
      </c>
      <c r="H1600" s="21" t="s">
        <v>10</v>
      </c>
      <c r="I1600" s="21" t="s">
        <v>11</v>
      </c>
      <c r="J1600" s="21" t="s">
        <v>6318</v>
      </c>
      <c r="K1600" s="5814" t="s">
        <v>6319</v>
      </c>
    </row>
    <row r="1601" spans="1:11">
      <c r="A1601" s="21" t="s">
        <v>2334</v>
      </c>
      <c r="B1601" s="21" t="s">
        <v>6320</v>
      </c>
      <c r="C1601" s="21" t="s">
        <v>22</v>
      </c>
      <c r="D1601" s="21" t="s">
        <v>627</v>
      </c>
      <c r="E1601" s="21" t="s">
        <v>9</v>
      </c>
      <c r="F1601" s="5812">
        <v>3</v>
      </c>
      <c r="G1601" s="5813">
        <v>0.20833333333333334</v>
      </c>
      <c r="H1601" s="21" t="s">
        <v>10</v>
      </c>
      <c r="I1601" s="21" t="s">
        <v>660</v>
      </c>
      <c r="J1601" s="21" t="s">
        <v>6321</v>
      </c>
      <c r="K1601" s="5814" t="s">
        <v>6322</v>
      </c>
    </row>
    <row r="1602" spans="1:11">
      <c r="A1602" s="21" t="s">
        <v>2088</v>
      </c>
      <c r="B1602" s="21" t="s">
        <v>6323</v>
      </c>
      <c r="C1602" s="21" t="s">
        <v>8</v>
      </c>
      <c r="D1602" s="21" t="s">
        <v>627</v>
      </c>
      <c r="E1602" s="21" t="s">
        <v>9</v>
      </c>
      <c r="F1602" s="5812">
        <v>3</v>
      </c>
      <c r="G1602" s="5813">
        <v>0.20833333333333334</v>
      </c>
      <c r="H1602" s="21" t="s">
        <v>10</v>
      </c>
      <c r="I1602" s="21" t="s">
        <v>39</v>
      </c>
      <c r="J1602" s="21" t="s">
        <v>6324</v>
      </c>
      <c r="K1602" s="5814" t="s">
        <v>6325</v>
      </c>
    </row>
    <row r="1603" spans="1:11">
      <c r="A1603" s="21" t="s">
        <v>3882</v>
      </c>
      <c r="B1603" s="21" t="s">
        <v>6326</v>
      </c>
      <c r="C1603" s="21" t="s">
        <v>22</v>
      </c>
      <c r="D1603" s="21" t="s">
        <v>627</v>
      </c>
      <c r="E1603" s="21" t="s">
        <v>9</v>
      </c>
      <c r="F1603" s="5812">
        <v>3</v>
      </c>
      <c r="G1603" s="5813">
        <v>0.20833333333333334</v>
      </c>
      <c r="H1603" s="21" t="s">
        <v>10</v>
      </c>
      <c r="I1603" s="21" t="s">
        <v>39</v>
      </c>
      <c r="J1603" s="21" t="s">
        <v>6327</v>
      </c>
      <c r="K1603" s="5814" t="s">
        <v>6328</v>
      </c>
    </row>
    <row r="1604" spans="1:11">
      <c r="A1604" s="21" t="s">
        <v>3882</v>
      </c>
      <c r="B1604" s="21" t="s">
        <v>6329</v>
      </c>
      <c r="C1604" s="21" t="s">
        <v>22</v>
      </c>
      <c r="D1604" s="21" t="s">
        <v>627</v>
      </c>
      <c r="E1604" s="21" t="s">
        <v>9</v>
      </c>
      <c r="F1604" s="5812">
        <v>3</v>
      </c>
      <c r="G1604" s="5813">
        <v>0.20833333333333334</v>
      </c>
      <c r="H1604" s="21" t="s">
        <v>10</v>
      </c>
      <c r="I1604" s="21" t="s">
        <v>23</v>
      </c>
      <c r="J1604" s="21" t="s">
        <v>5027</v>
      </c>
      <c r="K1604" s="5814" t="s">
        <v>6330</v>
      </c>
    </row>
    <row r="1605" spans="1:11">
      <c r="A1605" s="21" t="s">
        <v>3886</v>
      </c>
      <c r="B1605" s="21" t="s">
        <v>6331</v>
      </c>
      <c r="C1605" s="21" t="s">
        <v>22</v>
      </c>
      <c r="D1605" s="21" t="s">
        <v>627</v>
      </c>
      <c r="E1605" s="21" t="s">
        <v>9</v>
      </c>
      <c r="F1605" s="5812">
        <v>3</v>
      </c>
      <c r="G1605" s="5813">
        <v>0.20833333333333334</v>
      </c>
      <c r="H1605" s="21" t="s">
        <v>10</v>
      </c>
      <c r="I1605" s="21" t="s">
        <v>2269</v>
      </c>
      <c r="J1605" s="21" t="s">
        <v>6332</v>
      </c>
      <c r="K1605" s="5814" t="s">
        <v>6333</v>
      </c>
    </row>
    <row r="1606" spans="1:11">
      <c r="A1606" s="21" t="s">
        <v>2918</v>
      </c>
      <c r="B1606" s="21" t="s">
        <v>6334</v>
      </c>
      <c r="C1606" s="21" t="s">
        <v>22</v>
      </c>
      <c r="D1606" s="21" t="s">
        <v>627</v>
      </c>
      <c r="E1606" s="21" t="s">
        <v>9</v>
      </c>
      <c r="F1606" s="5812">
        <v>3</v>
      </c>
      <c r="G1606" s="5813">
        <v>0.20833333333333334</v>
      </c>
      <c r="H1606" s="21" t="s">
        <v>10</v>
      </c>
      <c r="I1606" s="21" t="s">
        <v>11</v>
      </c>
      <c r="J1606" s="21" t="s">
        <v>6335</v>
      </c>
      <c r="K1606" s="5814" t="s">
        <v>6336</v>
      </c>
    </row>
    <row r="1607" spans="1:11">
      <c r="A1607" s="21" t="s">
        <v>2096</v>
      </c>
      <c r="B1607" s="21" t="s">
        <v>6337</v>
      </c>
      <c r="C1607" s="21" t="s">
        <v>22</v>
      </c>
      <c r="D1607" s="21" t="s">
        <v>627</v>
      </c>
      <c r="E1607" s="21" t="s">
        <v>9</v>
      </c>
      <c r="F1607" s="5812">
        <v>3</v>
      </c>
      <c r="G1607" s="5813">
        <v>0.20833333333333334</v>
      </c>
      <c r="H1607" s="21" t="s">
        <v>10</v>
      </c>
      <c r="I1607" s="21" t="s">
        <v>47</v>
      </c>
      <c r="J1607" s="21" t="s">
        <v>6338</v>
      </c>
      <c r="K1607" s="5814" t="s">
        <v>6339</v>
      </c>
    </row>
    <row r="1608" spans="1:11">
      <c r="A1608" s="21" t="s">
        <v>3909</v>
      </c>
      <c r="B1608" s="21" t="s">
        <v>6340</v>
      </c>
      <c r="C1608" s="21" t="s">
        <v>22</v>
      </c>
      <c r="D1608" s="21" t="s">
        <v>627</v>
      </c>
      <c r="E1608" s="21" t="s">
        <v>9</v>
      </c>
      <c r="F1608" s="5812">
        <v>3</v>
      </c>
      <c r="G1608" s="5813">
        <v>0.20833333333333334</v>
      </c>
      <c r="H1608" s="21" t="s">
        <v>10</v>
      </c>
      <c r="I1608" s="21" t="s">
        <v>2313</v>
      </c>
      <c r="J1608" s="21" t="s">
        <v>6341</v>
      </c>
      <c r="K1608" s="5814" t="s">
        <v>6342</v>
      </c>
    </row>
    <row r="1609" spans="1:11">
      <c r="A1609" s="21" t="s">
        <v>3012</v>
      </c>
      <c r="B1609" s="21" t="s">
        <v>6343</v>
      </c>
      <c r="C1609" s="21" t="s">
        <v>22</v>
      </c>
      <c r="D1609" s="21" t="s">
        <v>627</v>
      </c>
      <c r="E1609" s="21" t="s">
        <v>9</v>
      </c>
      <c r="F1609" s="5812">
        <v>3</v>
      </c>
      <c r="G1609" s="5813">
        <v>0.20833333333333334</v>
      </c>
      <c r="H1609" s="21" t="s">
        <v>10</v>
      </c>
      <c r="I1609" s="21" t="s">
        <v>39</v>
      </c>
      <c r="J1609" s="21" t="s">
        <v>6344</v>
      </c>
      <c r="K1609" s="5814" t="s">
        <v>6345</v>
      </c>
    </row>
    <row r="1610" spans="1:11">
      <c r="A1610" s="21" t="s">
        <v>3551</v>
      </c>
      <c r="B1610" s="21" t="s">
        <v>6346</v>
      </c>
      <c r="C1610" s="21" t="s">
        <v>8</v>
      </c>
      <c r="D1610" s="21" t="s">
        <v>627</v>
      </c>
      <c r="E1610" s="21" t="s">
        <v>9</v>
      </c>
      <c r="F1610" s="5812">
        <v>3</v>
      </c>
      <c r="G1610" s="5813">
        <v>0.20833333333333334</v>
      </c>
      <c r="H1610" s="21" t="s">
        <v>10</v>
      </c>
      <c r="I1610" s="21" t="s">
        <v>39</v>
      </c>
      <c r="J1610" s="21" t="s">
        <v>6347</v>
      </c>
      <c r="K1610" s="5814" t="s">
        <v>6348</v>
      </c>
    </row>
    <row r="1611" spans="1:11">
      <c r="A1611" s="21" t="s">
        <v>2450</v>
      </c>
      <c r="B1611" s="21" t="s">
        <v>6349</v>
      </c>
      <c r="C1611" s="21" t="s">
        <v>8</v>
      </c>
      <c r="D1611" s="21" t="s">
        <v>627</v>
      </c>
      <c r="E1611" s="21" t="s">
        <v>9</v>
      </c>
      <c r="F1611" s="5812">
        <v>3</v>
      </c>
      <c r="G1611" s="5813">
        <v>0.20833333333333334</v>
      </c>
      <c r="H1611" s="21" t="s">
        <v>10</v>
      </c>
      <c r="I1611" s="21" t="s">
        <v>226</v>
      </c>
      <c r="J1611" s="21" t="s">
        <v>6350</v>
      </c>
      <c r="K1611" s="5814" t="s">
        <v>6351</v>
      </c>
    </row>
    <row r="1612" spans="1:11">
      <c r="A1612" s="21" t="s">
        <v>2897</v>
      </c>
      <c r="B1612" s="21" t="s">
        <v>6352</v>
      </c>
      <c r="C1612" s="21" t="s">
        <v>22</v>
      </c>
      <c r="D1612" s="21" t="s">
        <v>627</v>
      </c>
      <c r="E1612" s="21" t="s">
        <v>9</v>
      </c>
      <c r="F1612" s="5812">
        <v>3</v>
      </c>
      <c r="G1612" s="5813">
        <v>0.20833333333333334</v>
      </c>
      <c r="H1612" s="21" t="s">
        <v>10</v>
      </c>
      <c r="I1612" s="21" t="s">
        <v>55</v>
      </c>
      <c r="J1612" s="21" t="s">
        <v>6353</v>
      </c>
      <c r="K1612" s="5814" t="s">
        <v>6354</v>
      </c>
    </row>
    <row r="1613" spans="1:11">
      <c r="A1613" s="21" t="s">
        <v>3220</v>
      </c>
      <c r="B1613" s="21" t="s">
        <v>6355</v>
      </c>
      <c r="C1613" s="21" t="s">
        <v>8</v>
      </c>
      <c r="D1613" s="21" t="s">
        <v>627</v>
      </c>
      <c r="E1613" s="21" t="s">
        <v>9</v>
      </c>
      <c r="F1613" s="5812">
        <v>3</v>
      </c>
      <c r="G1613" s="5813">
        <v>0.20833333333333334</v>
      </c>
      <c r="H1613" s="21" t="s">
        <v>10</v>
      </c>
      <c r="I1613" s="21" t="s">
        <v>47</v>
      </c>
      <c r="J1613" s="21" t="s">
        <v>6356</v>
      </c>
      <c r="K1613" s="5814" t="s">
        <v>6357</v>
      </c>
    </row>
    <row r="1614" spans="1:11">
      <c r="A1614" s="21" t="s">
        <v>3974</v>
      </c>
      <c r="B1614" s="21" t="s">
        <v>6358</v>
      </c>
      <c r="C1614" s="21" t="s">
        <v>8</v>
      </c>
      <c r="D1614" s="21" t="s">
        <v>627</v>
      </c>
      <c r="E1614" s="21" t="s">
        <v>9</v>
      </c>
      <c r="F1614" s="5812">
        <v>3</v>
      </c>
      <c r="G1614" s="5813">
        <v>0.20833333333333334</v>
      </c>
      <c r="H1614" s="21" t="s">
        <v>10</v>
      </c>
      <c r="I1614" s="21" t="s">
        <v>47</v>
      </c>
      <c r="J1614" s="21" t="s">
        <v>6359</v>
      </c>
      <c r="K1614" s="5814" t="s">
        <v>6360</v>
      </c>
    </row>
    <row r="1615" spans="1:11">
      <c r="A1615" s="21" t="s">
        <v>2471</v>
      </c>
      <c r="B1615" s="21" t="s">
        <v>6361</v>
      </c>
      <c r="C1615" s="21" t="s">
        <v>8</v>
      </c>
      <c r="D1615" s="21" t="s">
        <v>627</v>
      </c>
      <c r="E1615" s="21" t="s">
        <v>9</v>
      </c>
      <c r="F1615" s="5812">
        <v>3</v>
      </c>
      <c r="G1615" s="5813">
        <v>0.20833333333333334</v>
      </c>
      <c r="H1615" s="21" t="s">
        <v>10</v>
      </c>
      <c r="I1615" s="21" t="s">
        <v>11</v>
      </c>
      <c r="J1615" s="21" t="s">
        <v>6362</v>
      </c>
      <c r="K1615" s="5814" t="s">
        <v>6363</v>
      </c>
    </row>
    <row r="1616" spans="1:11">
      <c r="A1616" s="21" t="s">
        <v>2471</v>
      </c>
      <c r="B1616" s="21" t="s">
        <v>6364</v>
      </c>
      <c r="C1616" s="21" t="s">
        <v>22</v>
      </c>
      <c r="D1616" s="21" t="s">
        <v>627</v>
      </c>
      <c r="E1616" s="21" t="s">
        <v>9</v>
      </c>
      <c r="F1616" s="5812">
        <v>3</v>
      </c>
      <c r="G1616" s="5813">
        <v>0.20833333333333334</v>
      </c>
      <c r="H1616" s="21" t="s">
        <v>10</v>
      </c>
      <c r="I1616" s="21" t="s">
        <v>55</v>
      </c>
      <c r="J1616" s="21" t="s">
        <v>6365</v>
      </c>
      <c r="K1616" s="5814" t="s">
        <v>6366</v>
      </c>
    </row>
    <row r="1617" spans="1:11">
      <c r="A1617" s="21" t="s">
        <v>2115</v>
      </c>
      <c r="B1617" s="21" t="s">
        <v>6367</v>
      </c>
      <c r="C1617" s="21" t="s">
        <v>8</v>
      </c>
      <c r="D1617" s="21" t="s">
        <v>627</v>
      </c>
      <c r="E1617" s="21" t="s">
        <v>9</v>
      </c>
      <c r="F1617" s="5812">
        <v>3</v>
      </c>
      <c r="G1617" s="5813">
        <v>0.20833333333333334</v>
      </c>
      <c r="H1617" s="21" t="s">
        <v>10</v>
      </c>
      <c r="I1617" s="21" t="s">
        <v>73</v>
      </c>
      <c r="J1617" s="21" t="s">
        <v>6368</v>
      </c>
      <c r="K1617" s="5814" t="s">
        <v>6369</v>
      </c>
    </row>
    <row r="1618" spans="1:11">
      <c r="A1618" s="21" t="s">
        <v>3984</v>
      </c>
      <c r="B1618" s="21" t="s">
        <v>6370</v>
      </c>
      <c r="C1618" s="21" t="s">
        <v>8</v>
      </c>
      <c r="D1618" s="21" t="s">
        <v>627</v>
      </c>
      <c r="E1618" s="21" t="s">
        <v>9</v>
      </c>
      <c r="F1618" s="5812">
        <v>3</v>
      </c>
      <c r="G1618" s="5813">
        <v>0.20833333333333334</v>
      </c>
      <c r="H1618" s="21" t="s">
        <v>10</v>
      </c>
      <c r="I1618" s="21" t="s">
        <v>96</v>
      </c>
      <c r="J1618" s="21" t="s">
        <v>6371</v>
      </c>
      <c r="K1618" s="5814" t="s">
        <v>6372</v>
      </c>
    </row>
    <row r="1619" spans="1:11">
      <c r="A1619" s="21" t="s">
        <v>2119</v>
      </c>
      <c r="B1619" s="21" t="s">
        <v>6373</v>
      </c>
      <c r="C1619" s="21" t="s">
        <v>8</v>
      </c>
      <c r="D1619" s="21" t="s">
        <v>627</v>
      </c>
      <c r="E1619" s="21" t="s">
        <v>9</v>
      </c>
      <c r="F1619" s="5812">
        <v>3</v>
      </c>
      <c r="G1619" s="5813">
        <v>0.20833333333333334</v>
      </c>
      <c r="H1619" s="21" t="s">
        <v>10</v>
      </c>
      <c r="I1619" s="21" t="s">
        <v>39</v>
      </c>
      <c r="J1619" s="21" t="s">
        <v>6374</v>
      </c>
      <c r="K1619" s="5814" t="s">
        <v>6375</v>
      </c>
    </row>
    <row r="1620" spans="1:11">
      <c r="A1620" s="21" t="s">
        <v>2123</v>
      </c>
      <c r="B1620" s="21" t="s">
        <v>6376</v>
      </c>
      <c r="C1620" s="21" t="s">
        <v>22</v>
      </c>
      <c r="D1620" s="21" t="s">
        <v>627</v>
      </c>
      <c r="E1620" s="21" t="s">
        <v>9</v>
      </c>
      <c r="F1620" s="5812">
        <v>3</v>
      </c>
      <c r="G1620" s="5813">
        <v>0.20833333333333334</v>
      </c>
      <c r="H1620" s="21" t="s">
        <v>10</v>
      </c>
      <c r="I1620" s="21" t="s">
        <v>55</v>
      </c>
      <c r="J1620" s="21" t="s">
        <v>6377</v>
      </c>
      <c r="K1620" s="5814" t="s">
        <v>6378</v>
      </c>
    </row>
    <row r="1621" spans="1:11">
      <c r="A1621" s="21" t="s">
        <v>2506</v>
      </c>
      <c r="B1621" s="21" t="s">
        <v>6379</v>
      </c>
      <c r="C1621" s="21" t="s">
        <v>22</v>
      </c>
      <c r="D1621" s="21" t="s">
        <v>627</v>
      </c>
      <c r="E1621" s="21" t="s">
        <v>9</v>
      </c>
      <c r="F1621" s="5812">
        <v>3</v>
      </c>
      <c r="G1621" s="5813">
        <v>0.20833333333333334</v>
      </c>
      <c r="H1621" s="21" t="s">
        <v>10</v>
      </c>
      <c r="I1621" s="21" t="s">
        <v>39</v>
      </c>
      <c r="J1621" s="21" t="s">
        <v>6380</v>
      </c>
      <c r="K1621" s="5814" t="s">
        <v>6381</v>
      </c>
    </row>
    <row r="1622" spans="1:11">
      <c r="A1622" s="21" t="s">
        <v>2506</v>
      </c>
      <c r="B1622" s="21" t="s">
        <v>6382</v>
      </c>
      <c r="C1622" s="21" t="s">
        <v>8</v>
      </c>
      <c r="D1622" s="21" t="s">
        <v>627</v>
      </c>
      <c r="E1622" s="21" t="s">
        <v>9</v>
      </c>
      <c r="F1622" s="5812">
        <v>3</v>
      </c>
      <c r="G1622" s="5813">
        <v>0.20833333333333334</v>
      </c>
      <c r="H1622" s="21" t="s">
        <v>10</v>
      </c>
      <c r="I1622" s="21" t="s">
        <v>23</v>
      </c>
      <c r="J1622" s="21" t="s">
        <v>6383</v>
      </c>
      <c r="K1622" s="5814" t="s">
        <v>6384</v>
      </c>
    </row>
    <row r="1623" spans="1:11">
      <c r="A1623" s="21" t="s">
        <v>3481</v>
      </c>
      <c r="B1623" s="21" t="s">
        <v>6385</v>
      </c>
      <c r="C1623" s="21" t="s">
        <v>22</v>
      </c>
      <c r="D1623" s="21" t="s">
        <v>627</v>
      </c>
      <c r="E1623" s="21" t="s">
        <v>9</v>
      </c>
      <c r="F1623" s="5812">
        <v>3</v>
      </c>
      <c r="G1623" s="5813">
        <v>0.20833333333333334</v>
      </c>
      <c r="H1623" s="21" t="s">
        <v>10</v>
      </c>
      <c r="I1623" s="21" t="s">
        <v>55</v>
      </c>
      <c r="J1623" s="21" t="s">
        <v>6386</v>
      </c>
      <c r="K1623" s="5814" t="s">
        <v>6387</v>
      </c>
    </row>
    <row r="1624" spans="1:11">
      <c r="A1624" s="21" t="s">
        <v>3703</v>
      </c>
      <c r="B1624" s="21" t="s">
        <v>6388</v>
      </c>
      <c r="C1624" s="21" t="s">
        <v>8</v>
      </c>
      <c r="D1624" s="21" t="s">
        <v>627</v>
      </c>
      <c r="E1624" s="21" t="s">
        <v>9</v>
      </c>
      <c r="F1624" s="5812">
        <v>3</v>
      </c>
      <c r="G1624" s="5813">
        <v>0.20833333333333334</v>
      </c>
      <c r="H1624" s="21" t="s">
        <v>10</v>
      </c>
      <c r="I1624" s="21" t="s">
        <v>2313</v>
      </c>
      <c r="J1624" s="21" t="s">
        <v>6389</v>
      </c>
      <c r="K1624" s="5814" t="s">
        <v>6390</v>
      </c>
    </row>
    <row r="1625" spans="1:11">
      <c r="A1625" s="21" t="s">
        <v>3703</v>
      </c>
      <c r="B1625" s="21" t="s">
        <v>6391</v>
      </c>
      <c r="C1625" s="21" t="s">
        <v>22</v>
      </c>
      <c r="D1625" s="21" t="s">
        <v>627</v>
      </c>
      <c r="E1625" s="21" t="s">
        <v>9</v>
      </c>
      <c r="F1625" s="5812">
        <v>3</v>
      </c>
      <c r="G1625" s="5813">
        <v>0.20833333333333334</v>
      </c>
      <c r="H1625" s="21" t="s">
        <v>10</v>
      </c>
      <c r="I1625" s="21" t="s">
        <v>96</v>
      </c>
      <c r="J1625" s="21" t="s">
        <v>6392</v>
      </c>
      <c r="K1625" s="5814" t="s">
        <v>6393</v>
      </c>
    </row>
    <row r="1626" spans="1:11">
      <c r="A1626" s="21" t="s">
        <v>4068</v>
      </c>
      <c r="B1626" s="21" t="s">
        <v>6394</v>
      </c>
      <c r="C1626" s="21" t="s">
        <v>22</v>
      </c>
      <c r="D1626" s="21" t="s">
        <v>627</v>
      </c>
      <c r="E1626" s="21" t="s">
        <v>9</v>
      </c>
      <c r="F1626" s="5812">
        <v>3</v>
      </c>
      <c r="G1626" s="5813">
        <v>0.20833333333333334</v>
      </c>
      <c r="H1626" s="21" t="s">
        <v>10</v>
      </c>
      <c r="I1626" s="21" t="s">
        <v>55</v>
      </c>
      <c r="J1626" s="21" t="s">
        <v>6395</v>
      </c>
      <c r="K1626" s="5814" t="s">
        <v>6396</v>
      </c>
    </row>
    <row r="1627" spans="1:11">
      <c r="A1627" s="21" t="s">
        <v>2966</v>
      </c>
      <c r="B1627" s="21" t="s">
        <v>6397</v>
      </c>
      <c r="C1627" s="21" t="s">
        <v>22</v>
      </c>
      <c r="D1627" s="21" t="s">
        <v>627</v>
      </c>
      <c r="E1627" s="21" t="s">
        <v>9</v>
      </c>
      <c r="F1627" s="5812">
        <v>3</v>
      </c>
      <c r="G1627" s="5813">
        <v>0.20833333333333334</v>
      </c>
      <c r="H1627" s="21" t="s">
        <v>10</v>
      </c>
      <c r="I1627" s="21" t="s">
        <v>39</v>
      </c>
      <c r="J1627" s="21" t="s">
        <v>6398</v>
      </c>
      <c r="K1627" s="5814" t="s">
        <v>6399</v>
      </c>
    </row>
    <row r="1628" spans="1:11">
      <c r="A1628" s="21" t="s">
        <v>2065</v>
      </c>
      <c r="B1628" s="21" t="s">
        <v>6400</v>
      </c>
      <c r="C1628" s="21" t="s">
        <v>22</v>
      </c>
      <c r="D1628" s="21" t="s">
        <v>627</v>
      </c>
      <c r="E1628" s="21" t="s">
        <v>9</v>
      </c>
      <c r="F1628" s="5812">
        <v>3</v>
      </c>
      <c r="G1628" s="5813">
        <v>0.20833333333333334</v>
      </c>
      <c r="H1628" s="21" t="s">
        <v>10</v>
      </c>
      <c r="I1628" s="21" t="s">
        <v>89</v>
      </c>
      <c r="J1628" s="21" t="s">
        <v>6401</v>
      </c>
      <c r="K1628" s="5814" t="s">
        <v>6402</v>
      </c>
    </row>
    <row r="1629" spans="1:11">
      <c r="A1629" s="21" t="s">
        <v>2555</v>
      </c>
      <c r="B1629" s="21" t="s">
        <v>6403</v>
      </c>
      <c r="C1629" s="21" t="s">
        <v>8</v>
      </c>
      <c r="D1629" s="21" t="s">
        <v>627</v>
      </c>
      <c r="E1629" s="21" t="s">
        <v>9</v>
      </c>
      <c r="F1629" s="5812">
        <v>3</v>
      </c>
      <c r="G1629" s="5813">
        <v>0.20833333333333334</v>
      </c>
      <c r="H1629" s="21" t="s">
        <v>10</v>
      </c>
      <c r="I1629" s="21" t="s">
        <v>96</v>
      </c>
      <c r="J1629" s="21" t="s">
        <v>6404</v>
      </c>
      <c r="K1629" s="5814" t="s">
        <v>6405</v>
      </c>
    </row>
    <row r="1630" spans="1:11">
      <c r="A1630" s="21" t="s">
        <v>2560</v>
      </c>
      <c r="B1630" s="21" t="s">
        <v>6406</v>
      </c>
      <c r="C1630" s="21" t="s">
        <v>8</v>
      </c>
      <c r="D1630" s="21" t="s">
        <v>627</v>
      </c>
      <c r="E1630" s="21" t="s">
        <v>9</v>
      </c>
      <c r="F1630" s="5812">
        <v>3</v>
      </c>
      <c r="G1630" s="5813">
        <v>0.20833333333333334</v>
      </c>
      <c r="H1630" s="21" t="s">
        <v>10</v>
      </c>
      <c r="I1630" s="21" t="s">
        <v>226</v>
      </c>
      <c r="J1630" s="21" t="s">
        <v>6407</v>
      </c>
      <c r="K1630" s="5814" t="s">
        <v>6408</v>
      </c>
    </row>
    <row r="1631" spans="1:11">
      <c r="A1631" s="21" t="s">
        <v>3311</v>
      </c>
      <c r="B1631" s="21" t="s">
        <v>6409</v>
      </c>
      <c r="C1631" s="21" t="s">
        <v>8</v>
      </c>
      <c r="D1631" s="21" t="s">
        <v>627</v>
      </c>
      <c r="E1631" s="21" t="s">
        <v>9</v>
      </c>
      <c r="F1631" s="5812">
        <v>3</v>
      </c>
      <c r="G1631" s="5813">
        <v>0.20833333333333334</v>
      </c>
      <c r="H1631" s="21" t="s">
        <v>10</v>
      </c>
      <c r="I1631" s="21" t="s">
        <v>55</v>
      </c>
      <c r="J1631" s="21" t="s">
        <v>6410</v>
      </c>
      <c r="K1631" s="5814" t="s">
        <v>6411</v>
      </c>
    </row>
    <row r="1632" spans="1:11">
      <c r="A1632" s="21" t="s">
        <v>2160</v>
      </c>
      <c r="B1632" s="21" t="s">
        <v>6412</v>
      </c>
      <c r="C1632" s="21" t="s">
        <v>22</v>
      </c>
      <c r="D1632" s="21" t="s">
        <v>627</v>
      </c>
      <c r="E1632" s="21" t="s">
        <v>9</v>
      </c>
      <c r="F1632" s="5812">
        <v>3</v>
      </c>
      <c r="G1632" s="5813">
        <v>0.20833333333333334</v>
      </c>
      <c r="H1632" s="21" t="s">
        <v>10</v>
      </c>
      <c r="I1632" s="21" t="s">
        <v>2162</v>
      </c>
      <c r="J1632" s="21" t="s">
        <v>6413</v>
      </c>
      <c r="K1632" s="5814" t="s">
        <v>6414</v>
      </c>
    </row>
    <row r="1633" spans="1:11">
      <c r="A1633" s="21" t="s">
        <v>5387</v>
      </c>
      <c r="B1633" s="21" t="s">
        <v>6415</v>
      </c>
      <c r="C1633" s="21" t="s">
        <v>22</v>
      </c>
      <c r="D1633" s="21" t="s">
        <v>627</v>
      </c>
      <c r="E1633" s="21" t="s">
        <v>9</v>
      </c>
      <c r="F1633" s="5812">
        <v>3</v>
      </c>
      <c r="G1633" s="5813">
        <v>0.20833333333333334</v>
      </c>
      <c r="H1633" s="21" t="s">
        <v>10</v>
      </c>
      <c r="I1633" s="21" t="s">
        <v>263</v>
      </c>
      <c r="J1633" s="21" t="s">
        <v>6416</v>
      </c>
      <c r="K1633" s="5814" t="s">
        <v>6417</v>
      </c>
    </row>
    <row r="1634" spans="1:11">
      <c r="A1634" s="21" t="s">
        <v>2179</v>
      </c>
      <c r="B1634" s="21" t="s">
        <v>6418</v>
      </c>
      <c r="C1634" s="21" t="s">
        <v>22</v>
      </c>
      <c r="D1634" s="21" t="s">
        <v>627</v>
      </c>
      <c r="E1634" s="21" t="s">
        <v>9</v>
      </c>
      <c r="F1634" s="5812">
        <v>3</v>
      </c>
      <c r="G1634" s="5813">
        <v>0.20833333333333334</v>
      </c>
      <c r="H1634" s="21" t="s">
        <v>10</v>
      </c>
      <c r="I1634" s="21" t="s">
        <v>654</v>
      </c>
      <c r="J1634" s="21" t="s">
        <v>6419</v>
      </c>
      <c r="K1634" s="5814" t="s">
        <v>6420</v>
      </c>
    </row>
    <row r="1635" spans="1:11">
      <c r="A1635" s="21" t="s">
        <v>4170</v>
      </c>
      <c r="B1635" s="21" t="s">
        <v>6421</v>
      </c>
      <c r="C1635" s="21" t="s">
        <v>22</v>
      </c>
      <c r="D1635" s="21" t="s">
        <v>627</v>
      </c>
      <c r="E1635" s="21" t="s">
        <v>9</v>
      </c>
      <c r="F1635" s="5812">
        <v>3</v>
      </c>
      <c r="G1635" s="5813">
        <v>0.20833333333333334</v>
      </c>
      <c r="H1635" s="21" t="s">
        <v>10</v>
      </c>
      <c r="I1635" s="21" t="s">
        <v>2523</v>
      </c>
      <c r="J1635" s="21" t="s">
        <v>6422</v>
      </c>
      <c r="K1635" s="5814" t="s">
        <v>6423</v>
      </c>
    </row>
    <row r="1636" spans="1:11">
      <c r="A1636" s="21" t="s">
        <v>2626</v>
      </c>
      <c r="B1636" s="21" t="s">
        <v>6424</v>
      </c>
      <c r="C1636" s="21" t="s">
        <v>22</v>
      </c>
      <c r="D1636" s="21" t="s">
        <v>627</v>
      </c>
      <c r="E1636" s="21" t="s">
        <v>9</v>
      </c>
      <c r="F1636" s="5812">
        <v>3</v>
      </c>
      <c r="G1636" s="5813">
        <v>0.20833333333333334</v>
      </c>
      <c r="H1636" s="21" t="s">
        <v>10</v>
      </c>
      <c r="I1636" s="21" t="s">
        <v>96</v>
      </c>
      <c r="J1636" s="21" t="s">
        <v>6425</v>
      </c>
      <c r="K1636" s="5814" t="s">
        <v>6426</v>
      </c>
    </row>
    <row r="1637" spans="1:11">
      <c r="A1637" s="21" t="s">
        <v>3395</v>
      </c>
      <c r="B1637" s="21" t="s">
        <v>6427</v>
      </c>
      <c r="C1637" s="21" t="s">
        <v>22</v>
      </c>
      <c r="D1637" s="21" t="s">
        <v>627</v>
      </c>
      <c r="E1637" s="21" t="s">
        <v>9</v>
      </c>
      <c r="F1637" s="5812">
        <v>3</v>
      </c>
      <c r="G1637" s="5813">
        <v>0.20833333333333334</v>
      </c>
      <c r="H1637" s="21" t="s">
        <v>10</v>
      </c>
      <c r="I1637" s="21" t="s">
        <v>2713</v>
      </c>
      <c r="J1637" s="21" t="s">
        <v>6428</v>
      </c>
      <c r="K1637" s="5814" t="s">
        <v>6429</v>
      </c>
    </row>
    <row r="1638" spans="1:11">
      <c r="A1638" s="21" t="s">
        <v>2647</v>
      </c>
      <c r="B1638" s="21" t="s">
        <v>6430</v>
      </c>
      <c r="C1638" s="21" t="s">
        <v>8</v>
      </c>
      <c r="D1638" s="21" t="s">
        <v>627</v>
      </c>
      <c r="E1638" s="21" t="s">
        <v>9</v>
      </c>
      <c r="F1638" s="5812">
        <v>3</v>
      </c>
      <c r="G1638" s="5813">
        <v>0.20833333333333334</v>
      </c>
      <c r="H1638" s="21" t="s">
        <v>10</v>
      </c>
      <c r="I1638" s="21" t="s">
        <v>2713</v>
      </c>
      <c r="J1638" s="21" t="s">
        <v>6431</v>
      </c>
      <c r="K1638" s="5814" t="s">
        <v>6432</v>
      </c>
    </row>
    <row r="1639" spans="1:11">
      <c r="A1639" s="21" t="s">
        <v>3173</v>
      </c>
      <c r="B1639" s="21" t="s">
        <v>6433</v>
      </c>
      <c r="C1639" s="21" t="s">
        <v>22</v>
      </c>
      <c r="D1639" s="21" t="s">
        <v>627</v>
      </c>
      <c r="E1639" s="21" t="s">
        <v>9</v>
      </c>
      <c r="F1639" s="5812">
        <v>3</v>
      </c>
      <c r="G1639" s="5813">
        <v>0.20833333333333334</v>
      </c>
      <c r="H1639" s="21" t="s">
        <v>10</v>
      </c>
      <c r="I1639" s="21" t="s">
        <v>47</v>
      </c>
      <c r="J1639" s="21" t="s">
        <v>6434</v>
      </c>
      <c r="K1639" s="5814" t="s">
        <v>6435</v>
      </c>
    </row>
    <row r="1640" spans="1:11">
      <c r="A1640" s="21" t="s">
        <v>2188</v>
      </c>
      <c r="B1640" s="21" t="s">
        <v>6436</v>
      </c>
      <c r="C1640" s="21" t="s">
        <v>22</v>
      </c>
      <c r="D1640" s="21" t="s">
        <v>627</v>
      </c>
      <c r="E1640" s="21" t="s">
        <v>9</v>
      </c>
      <c r="F1640" s="5812">
        <v>3</v>
      </c>
      <c r="G1640" s="5813">
        <v>0.20833333333333334</v>
      </c>
      <c r="H1640" s="21" t="s">
        <v>10</v>
      </c>
      <c r="I1640" s="21" t="s">
        <v>2153</v>
      </c>
      <c r="J1640" s="21" t="s">
        <v>6437</v>
      </c>
      <c r="K1640" s="5814" t="s">
        <v>6438</v>
      </c>
    </row>
    <row r="1641" spans="1:11">
      <c r="A1641" s="21" t="s">
        <v>5148</v>
      </c>
      <c r="B1641" s="21" t="s">
        <v>6439</v>
      </c>
      <c r="C1641" s="21" t="s">
        <v>22</v>
      </c>
      <c r="D1641" s="21" t="s">
        <v>627</v>
      </c>
      <c r="E1641" s="21" t="s">
        <v>9</v>
      </c>
      <c r="F1641" s="5812">
        <v>3</v>
      </c>
      <c r="G1641" s="5813">
        <v>0.20833333333333334</v>
      </c>
      <c r="H1641" s="21" t="s">
        <v>10</v>
      </c>
      <c r="I1641" s="21" t="s">
        <v>226</v>
      </c>
      <c r="J1641" s="21" t="s">
        <v>6440</v>
      </c>
      <c r="K1641" s="5814" t="s">
        <v>6441</v>
      </c>
    </row>
    <row r="1642" spans="1:11">
      <c r="A1642" s="21" t="s">
        <v>2197</v>
      </c>
      <c r="B1642" s="21" t="s">
        <v>6442</v>
      </c>
      <c r="C1642" s="21" t="s">
        <v>22</v>
      </c>
      <c r="D1642" s="21" t="s">
        <v>627</v>
      </c>
      <c r="E1642" s="21" t="s">
        <v>9</v>
      </c>
      <c r="F1642" s="5812">
        <v>3</v>
      </c>
      <c r="G1642" s="5813">
        <v>0.20833333333333334</v>
      </c>
      <c r="H1642" s="21" t="s">
        <v>10</v>
      </c>
      <c r="I1642" s="21" t="s">
        <v>788</v>
      </c>
      <c r="J1642" s="21" t="s">
        <v>6443</v>
      </c>
      <c r="K1642" s="5814" t="s">
        <v>6444</v>
      </c>
    </row>
    <row r="1643" spans="1:11">
      <c r="A1643" s="21" t="s">
        <v>2698</v>
      </c>
      <c r="B1643" s="21" t="s">
        <v>6445</v>
      </c>
      <c r="C1643" s="21" t="s">
        <v>22</v>
      </c>
      <c r="D1643" s="21" t="s">
        <v>627</v>
      </c>
      <c r="E1643" s="21" t="s">
        <v>9</v>
      </c>
      <c r="F1643" s="5812">
        <v>3</v>
      </c>
      <c r="G1643" s="5813">
        <v>0.20833333333333334</v>
      </c>
      <c r="H1643" s="21" t="s">
        <v>10</v>
      </c>
      <c r="I1643" s="21" t="s">
        <v>2713</v>
      </c>
      <c r="J1643" s="21" t="s">
        <v>6446</v>
      </c>
      <c r="K1643" s="5814" t="s">
        <v>6447</v>
      </c>
    </row>
    <row r="1644" spans="1:11">
      <c r="A1644" s="21" t="s">
        <v>2698</v>
      </c>
      <c r="B1644" s="21" t="s">
        <v>6448</v>
      </c>
      <c r="C1644" s="21" t="s">
        <v>22</v>
      </c>
      <c r="D1644" s="21" t="s">
        <v>627</v>
      </c>
      <c r="E1644" s="21" t="s">
        <v>9</v>
      </c>
      <c r="F1644" s="5812">
        <v>3</v>
      </c>
      <c r="G1644" s="5813">
        <v>0.20833333333333334</v>
      </c>
      <c r="H1644" s="21" t="s">
        <v>10</v>
      </c>
      <c r="I1644" s="21" t="s">
        <v>2713</v>
      </c>
      <c r="J1644" s="21" t="s">
        <v>6449</v>
      </c>
      <c r="K1644" s="5814" t="s">
        <v>6450</v>
      </c>
    </row>
    <row r="1645" spans="1:11">
      <c r="A1645" s="21" t="s">
        <v>2719</v>
      </c>
      <c r="B1645" s="21" t="s">
        <v>6451</v>
      </c>
      <c r="C1645" s="21" t="s">
        <v>8</v>
      </c>
      <c r="D1645" s="21" t="s">
        <v>627</v>
      </c>
      <c r="E1645" s="21" t="s">
        <v>9</v>
      </c>
      <c r="F1645" s="5812">
        <v>3</v>
      </c>
      <c r="G1645" s="5813">
        <v>0.20833333333333334</v>
      </c>
      <c r="H1645" s="21" t="s">
        <v>10</v>
      </c>
      <c r="I1645" s="21" t="s">
        <v>47</v>
      </c>
      <c r="J1645" s="21" t="s">
        <v>6452</v>
      </c>
      <c r="K1645" s="5814" t="s">
        <v>6453</v>
      </c>
    </row>
    <row r="1646" spans="1:11">
      <c r="A1646" s="21" t="s">
        <v>4249</v>
      </c>
      <c r="B1646" s="21" t="s">
        <v>6454</v>
      </c>
      <c r="C1646" s="21" t="s">
        <v>8</v>
      </c>
      <c r="D1646" s="21" t="s">
        <v>627</v>
      </c>
      <c r="E1646" s="21" t="s">
        <v>9</v>
      </c>
      <c r="F1646" s="5812">
        <v>3</v>
      </c>
      <c r="G1646" s="5813">
        <v>0.20833333333333334</v>
      </c>
      <c r="H1646" s="21" t="s">
        <v>10</v>
      </c>
      <c r="I1646" s="21" t="s">
        <v>226</v>
      </c>
      <c r="J1646" s="21" t="s">
        <v>6455</v>
      </c>
      <c r="K1646" s="5814" t="s">
        <v>6456</v>
      </c>
    </row>
    <row r="1647" spans="1:11">
      <c r="A1647" s="21" t="s">
        <v>2729</v>
      </c>
      <c r="B1647" s="21" t="s">
        <v>6457</v>
      </c>
      <c r="C1647" s="21" t="s">
        <v>22</v>
      </c>
      <c r="D1647" s="21" t="s">
        <v>627</v>
      </c>
      <c r="E1647" s="21" t="s">
        <v>9</v>
      </c>
      <c r="F1647" s="5812">
        <v>3</v>
      </c>
      <c r="G1647" s="5813">
        <v>0.20833333333333334</v>
      </c>
      <c r="H1647" s="21" t="s">
        <v>10</v>
      </c>
      <c r="I1647" s="21" t="s">
        <v>2713</v>
      </c>
      <c r="J1647" s="21" t="s">
        <v>6458</v>
      </c>
      <c r="K1647" s="5814" t="s">
        <v>6459</v>
      </c>
    </row>
    <row r="1648" spans="1:11">
      <c r="A1648" s="21" t="s">
        <v>4597</v>
      </c>
      <c r="B1648" s="21" t="s">
        <v>6460</v>
      </c>
      <c r="C1648" s="21" t="s">
        <v>22</v>
      </c>
      <c r="D1648" s="21" t="s">
        <v>627</v>
      </c>
      <c r="E1648" s="21" t="s">
        <v>9</v>
      </c>
      <c r="F1648" s="5812">
        <v>3</v>
      </c>
      <c r="G1648" s="5813">
        <v>0.20833333333333334</v>
      </c>
      <c r="H1648" s="21" t="s">
        <v>10</v>
      </c>
      <c r="I1648" s="21" t="s">
        <v>55</v>
      </c>
      <c r="J1648" s="21" t="s">
        <v>6461</v>
      </c>
      <c r="K1648" s="5814" t="s">
        <v>6462</v>
      </c>
    </row>
    <row r="1649" spans="1:11">
      <c r="A1649" s="21" t="s">
        <v>2216</v>
      </c>
      <c r="B1649" s="21" t="s">
        <v>6463</v>
      </c>
      <c r="C1649" s="21" t="s">
        <v>8</v>
      </c>
      <c r="D1649" s="21" t="s">
        <v>627</v>
      </c>
      <c r="E1649" s="21" t="s">
        <v>9</v>
      </c>
      <c r="F1649" s="5812">
        <v>3</v>
      </c>
      <c r="G1649" s="5813">
        <v>0.20833333333333334</v>
      </c>
      <c r="H1649" s="21" t="s">
        <v>10</v>
      </c>
      <c r="I1649" s="21" t="s">
        <v>2218</v>
      </c>
      <c r="J1649" s="21" t="s">
        <v>6464</v>
      </c>
      <c r="K1649" s="5814" t="s">
        <v>6465</v>
      </c>
    </row>
    <row r="1650" spans="1:11">
      <c r="A1650" s="21" t="s">
        <v>4293</v>
      </c>
      <c r="B1650" s="21" t="s">
        <v>6466</v>
      </c>
      <c r="C1650" s="21" t="s">
        <v>8</v>
      </c>
      <c r="D1650" s="21" t="s">
        <v>627</v>
      </c>
      <c r="E1650" s="21" t="s">
        <v>9</v>
      </c>
      <c r="F1650" s="5812">
        <v>3</v>
      </c>
      <c r="G1650" s="5813">
        <v>0.20833333333333334</v>
      </c>
      <c r="H1650" s="21" t="s">
        <v>10</v>
      </c>
      <c r="I1650" s="21" t="s">
        <v>226</v>
      </c>
      <c r="J1650" s="21" t="s">
        <v>6467</v>
      </c>
      <c r="K1650" s="5814" t="s">
        <v>6468</v>
      </c>
    </row>
    <row r="1651" spans="1:11">
      <c r="A1651" s="21" t="s">
        <v>4863</v>
      </c>
      <c r="B1651" s="21" t="s">
        <v>6469</v>
      </c>
      <c r="C1651" s="21" t="s">
        <v>22</v>
      </c>
      <c r="D1651" s="21" t="s">
        <v>627</v>
      </c>
      <c r="E1651" s="21" t="s">
        <v>9</v>
      </c>
      <c r="F1651" s="5812">
        <v>3</v>
      </c>
      <c r="G1651" s="5813">
        <v>0.20833333333333334</v>
      </c>
      <c r="H1651" s="21" t="s">
        <v>10</v>
      </c>
      <c r="I1651" s="21" t="s">
        <v>47</v>
      </c>
      <c r="J1651" s="21" t="s">
        <v>6470</v>
      </c>
      <c r="K1651" s="5814" t="s">
        <v>6471</v>
      </c>
    </row>
    <row r="1652" spans="1:11">
      <c r="A1652" s="21" t="s">
        <v>4313</v>
      </c>
      <c r="B1652" s="21" t="s">
        <v>6472</v>
      </c>
      <c r="C1652" s="21" t="s">
        <v>8</v>
      </c>
      <c r="D1652" s="21" t="s">
        <v>627</v>
      </c>
      <c r="E1652" s="21" t="s">
        <v>9</v>
      </c>
      <c r="F1652" s="5812">
        <v>3</v>
      </c>
      <c r="G1652" s="5813">
        <v>0.20833333333333334</v>
      </c>
      <c r="H1652" s="21" t="s">
        <v>10</v>
      </c>
      <c r="I1652" s="21" t="s">
        <v>2297</v>
      </c>
      <c r="J1652" s="21" t="s">
        <v>6473</v>
      </c>
      <c r="K1652" s="5814" t="s">
        <v>6474</v>
      </c>
    </row>
    <row r="1653" spans="1:11">
      <c r="A1653" s="21" t="s">
        <v>4313</v>
      </c>
      <c r="B1653" s="21" t="s">
        <v>6475</v>
      </c>
      <c r="C1653" s="21" t="s">
        <v>22</v>
      </c>
      <c r="D1653" s="21" t="s">
        <v>627</v>
      </c>
      <c r="E1653" s="21" t="s">
        <v>9</v>
      </c>
      <c r="F1653" s="5812">
        <v>3</v>
      </c>
      <c r="G1653" s="5813">
        <v>0.20833333333333334</v>
      </c>
      <c r="H1653" s="21" t="s">
        <v>10</v>
      </c>
      <c r="I1653" s="21" t="s">
        <v>47</v>
      </c>
      <c r="J1653" s="21" t="s">
        <v>6476</v>
      </c>
      <c r="K1653" s="5814" t="s">
        <v>6477</v>
      </c>
    </row>
    <row r="1654" spans="1:11">
      <c r="A1654" s="21" t="s">
        <v>2784</v>
      </c>
      <c r="B1654" s="21" t="s">
        <v>6478</v>
      </c>
      <c r="C1654" s="21" t="s">
        <v>8</v>
      </c>
      <c r="D1654" s="21" t="s">
        <v>627</v>
      </c>
      <c r="E1654" s="21" t="s">
        <v>9</v>
      </c>
      <c r="F1654" s="5812">
        <v>3</v>
      </c>
      <c r="G1654" s="5813">
        <v>0.20833333333333334</v>
      </c>
      <c r="H1654" s="21" t="s">
        <v>10</v>
      </c>
      <c r="I1654" s="21" t="s">
        <v>226</v>
      </c>
      <c r="J1654" s="21" t="s">
        <v>6479</v>
      </c>
      <c r="K1654" s="5814" t="s">
        <v>6480</v>
      </c>
    </row>
    <row r="1655" spans="1:11">
      <c r="A1655" s="21" t="s">
        <v>4568</v>
      </c>
      <c r="B1655" s="21" t="s">
        <v>6481</v>
      </c>
      <c r="C1655" s="21" t="s">
        <v>8</v>
      </c>
      <c r="D1655" s="21" t="s">
        <v>627</v>
      </c>
      <c r="E1655" s="21" t="s">
        <v>9</v>
      </c>
      <c r="F1655" s="5812">
        <v>3</v>
      </c>
      <c r="G1655" s="5813">
        <v>0.20833333333333334</v>
      </c>
      <c r="H1655" s="21" t="s">
        <v>10</v>
      </c>
      <c r="I1655" s="21" t="s">
        <v>2297</v>
      </c>
      <c r="J1655" s="21" t="s">
        <v>6482</v>
      </c>
      <c r="K1655" s="5814" t="s">
        <v>6483</v>
      </c>
    </row>
    <row r="1656" spans="1:11">
      <c r="A1656" s="21" t="s">
        <v>3584</v>
      </c>
      <c r="B1656" s="21" t="s">
        <v>6484</v>
      </c>
      <c r="C1656" s="21" t="s">
        <v>22</v>
      </c>
      <c r="D1656" s="21" t="s">
        <v>627</v>
      </c>
      <c r="E1656" s="21" t="s">
        <v>9</v>
      </c>
      <c r="F1656" s="5812">
        <v>3</v>
      </c>
      <c r="G1656" s="5813">
        <v>0.20833333333333334</v>
      </c>
      <c r="H1656" s="21" t="s">
        <v>10</v>
      </c>
      <c r="I1656" s="21" t="s">
        <v>2713</v>
      </c>
      <c r="J1656" s="21" t="s">
        <v>6485</v>
      </c>
      <c r="K1656" s="5814" t="s">
        <v>6486</v>
      </c>
    </row>
    <row r="1657" spans="1:11">
      <c r="A1657" s="21" t="s">
        <v>3783</v>
      </c>
      <c r="B1657" s="21" t="s">
        <v>6487</v>
      </c>
      <c r="C1657" s="21" t="s">
        <v>8</v>
      </c>
      <c r="D1657" s="21" t="s">
        <v>627</v>
      </c>
      <c r="E1657" s="21" t="s">
        <v>9</v>
      </c>
      <c r="F1657" s="5812">
        <v>3</v>
      </c>
      <c r="G1657" s="5813">
        <v>0.20833333333333334</v>
      </c>
      <c r="H1657" s="21" t="s">
        <v>10</v>
      </c>
      <c r="I1657" s="21" t="s">
        <v>187</v>
      </c>
      <c r="J1657" s="21" t="s">
        <v>6488</v>
      </c>
      <c r="K1657" s="5814" t="s">
        <v>6489</v>
      </c>
    </row>
    <row r="1658" spans="1:11">
      <c r="A1658" s="21" t="s">
        <v>2237</v>
      </c>
      <c r="B1658" s="21" t="s">
        <v>6490</v>
      </c>
      <c r="C1658" s="21" t="s">
        <v>22</v>
      </c>
      <c r="D1658" s="21" t="s">
        <v>627</v>
      </c>
      <c r="E1658" s="21" t="s">
        <v>9</v>
      </c>
      <c r="F1658" s="5812">
        <v>3</v>
      </c>
      <c r="G1658" s="5813">
        <v>0.20833333333333334</v>
      </c>
      <c r="H1658" s="21" t="s">
        <v>10</v>
      </c>
      <c r="I1658" s="21" t="s">
        <v>4861</v>
      </c>
      <c r="J1658" s="21" t="s">
        <v>6491</v>
      </c>
      <c r="K1658" s="5814" t="s">
        <v>6492</v>
      </c>
    </row>
    <row r="1659" spans="1:11">
      <c r="A1659" s="21" t="s">
        <v>3044</v>
      </c>
      <c r="B1659" s="21" t="s">
        <v>6493</v>
      </c>
      <c r="C1659" s="21" t="s">
        <v>22</v>
      </c>
      <c r="D1659" s="21" t="s">
        <v>627</v>
      </c>
      <c r="E1659" s="21" t="s">
        <v>9</v>
      </c>
      <c r="F1659" s="5812">
        <v>3</v>
      </c>
      <c r="G1659" s="5813">
        <v>0.20833333333333334</v>
      </c>
      <c r="H1659" s="21" t="s">
        <v>10</v>
      </c>
      <c r="I1659" s="21" t="s">
        <v>2872</v>
      </c>
      <c r="J1659" s="21" t="s">
        <v>6494</v>
      </c>
      <c r="K1659" s="5814" t="s">
        <v>6495</v>
      </c>
    </row>
    <row r="1660" spans="1:11">
      <c r="A1660" s="21" t="s">
        <v>3044</v>
      </c>
      <c r="B1660" s="21" t="s">
        <v>6496</v>
      </c>
      <c r="C1660" s="21" t="s">
        <v>22</v>
      </c>
      <c r="D1660" s="21" t="s">
        <v>627</v>
      </c>
      <c r="E1660" s="21" t="s">
        <v>9</v>
      </c>
      <c r="F1660" s="5812">
        <v>3</v>
      </c>
      <c r="G1660" s="5813">
        <v>0.20833333333333334</v>
      </c>
      <c r="H1660" s="21" t="s">
        <v>10</v>
      </c>
      <c r="I1660" s="21" t="s">
        <v>23</v>
      </c>
      <c r="J1660" s="21" t="s">
        <v>6497</v>
      </c>
      <c r="K1660" s="5814" t="s">
        <v>6498</v>
      </c>
    </row>
    <row r="1661" spans="1:11">
      <c r="A1661" s="21" t="s">
        <v>2295</v>
      </c>
      <c r="B1661" s="21" t="s">
        <v>6499</v>
      </c>
      <c r="C1661" s="21" t="s">
        <v>22</v>
      </c>
      <c r="D1661" s="21" t="s">
        <v>627</v>
      </c>
      <c r="E1661" s="21" t="s">
        <v>9</v>
      </c>
      <c r="F1661" s="5812">
        <v>3</v>
      </c>
      <c r="G1661" s="5813">
        <v>0.20833333333333334</v>
      </c>
      <c r="H1661" s="21" t="s">
        <v>10</v>
      </c>
      <c r="I1661" s="21" t="s">
        <v>55</v>
      </c>
      <c r="J1661" s="21" t="s">
        <v>6500</v>
      </c>
      <c r="K1661" s="5814" t="s">
        <v>6501</v>
      </c>
    </row>
    <row r="1662" spans="1:11">
      <c r="A1662" s="21" t="s">
        <v>2827</v>
      </c>
      <c r="B1662" s="21" t="s">
        <v>6502</v>
      </c>
      <c r="C1662" s="21" t="s">
        <v>8</v>
      </c>
      <c r="D1662" s="21" t="s">
        <v>627</v>
      </c>
      <c r="E1662" s="21" t="s">
        <v>9</v>
      </c>
      <c r="F1662" s="5812">
        <v>3</v>
      </c>
      <c r="G1662" s="5813">
        <v>0.20833333333333334</v>
      </c>
      <c r="H1662" s="21" t="s">
        <v>10</v>
      </c>
      <c r="I1662" s="21" t="s">
        <v>47</v>
      </c>
      <c r="J1662" s="21" t="s">
        <v>6503</v>
      </c>
      <c r="K1662" s="5814" t="s">
        <v>6504</v>
      </c>
    </row>
    <row r="1663" spans="1:11">
      <c r="A1663" s="21" t="s">
        <v>2835</v>
      </c>
      <c r="B1663" s="21" t="s">
        <v>6505</v>
      </c>
      <c r="C1663" s="21" t="s">
        <v>8</v>
      </c>
      <c r="D1663" s="21" t="s">
        <v>627</v>
      </c>
      <c r="E1663" s="21" t="s">
        <v>9</v>
      </c>
      <c r="F1663" s="5812">
        <v>3</v>
      </c>
      <c r="G1663" s="5813">
        <v>0.20833333333333334</v>
      </c>
      <c r="H1663" s="21" t="s">
        <v>10</v>
      </c>
      <c r="I1663" s="21" t="s">
        <v>2297</v>
      </c>
      <c r="J1663" s="21" t="s">
        <v>6506</v>
      </c>
      <c r="K1663" s="5814" t="s">
        <v>6507</v>
      </c>
    </row>
    <row r="1664" spans="1:11">
      <c r="A1664" s="21" t="s">
        <v>3458</v>
      </c>
      <c r="B1664" s="21" t="s">
        <v>6508</v>
      </c>
      <c r="C1664" s="21" t="s">
        <v>8</v>
      </c>
      <c r="D1664" s="21" t="s">
        <v>627</v>
      </c>
      <c r="E1664" s="21" t="s">
        <v>9</v>
      </c>
      <c r="F1664" s="5812">
        <v>3</v>
      </c>
      <c r="G1664" s="5813">
        <v>0.20833333333333334</v>
      </c>
      <c r="H1664" s="21" t="s">
        <v>10</v>
      </c>
      <c r="I1664" s="21" t="s">
        <v>55</v>
      </c>
      <c r="J1664" s="21" t="s">
        <v>6509</v>
      </c>
      <c r="K1664" s="5814" t="s">
        <v>6510</v>
      </c>
    </row>
    <row r="1665" spans="1:11">
      <c r="A1665" s="21" t="s">
        <v>3049</v>
      </c>
      <c r="B1665" s="21" t="s">
        <v>6511</v>
      </c>
      <c r="C1665" s="21" t="s">
        <v>22</v>
      </c>
      <c r="D1665" s="21" t="s">
        <v>627</v>
      </c>
      <c r="E1665" s="21" t="s">
        <v>9</v>
      </c>
      <c r="F1665" s="5812">
        <v>3</v>
      </c>
      <c r="G1665" s="5813">
        <v>0.20833333333333334</v>
      </c>
      <c r="H1665" s="21" t="s">
        <v>10</v>
      </c>
      <c r="I1665" s="21" t="s">
        <v>2713</v>
      </c>
      <c r="J1665" s="21" t="s">
        <v>6512</v>
      </c>
      <c r="K1665" s="5814" t="s">
        <v>6513</v>
      </c>
    </row>
    <row r="1666" spans="1:11">
      <c r="A1666" s="21" t="s">
        <v>4396</v>
      </c>
      <c r="B1666" s="21" t="s">
        <v>6514</v>
      </c>
      <c r="C1666" s="21" t="s">
        <v>22</v>
      </c>
      <c r="D1666" s="21" t="s">
        <v>627</v>
      </c>
      <c r="E1666" s="21" t="s">
        <v>9</v>
      </c>
      <c r="F1666" s="5812">
        <v>3</v>
      </c>
      <c r="G1666" s="5813">
        <v>0.20833333333333334</v>
      </c>
      <c r="H1666" s="21" t="s">
        <v>10</v>
      </c>
      <c r="I1666" s="21" t="s">
        <v>2872</v>
      </c>
      <c r="J1666" s="21" t="s">
        <v>6515</v>
      </c>
      <c r="K1666" s="5814" t="s">
        <v>6516</v>
      </c>
    </row>
    <row r="1667" spans="1:11">
      <c r="A1667" s="21" t="s">
        <v>4396</v>
      </c>
      <c r="B1667" s="21" t="s">
        <v>6517</v>
      </c>
      <c r="C1667" s="21" t="s">
        <v>8</v>
      </c>
      <c r="D1667" s="21" t="s">
        <v>627</v>
      </c>
      <c r="E1667" s="21" t="s">
        <v>9</v>
      </c>
      <c r="F1667" s="5812">
        <v>3</v>
      </c>
      <c r="G1667" s="5813">
        <v>0.20833333333333334</v>
      </c>
      <c r="H1667" s="21" t="s">
        <v>10</v>
      </c>
      <c r="I1667" s="21" t="s">
        <v>2297</v>
      </c>
      <c r="J1667" s="21" t="s">
        <v>6518</v>
      </c>
      <c r="K1667" s="5814" t="s">
        <v>6519</v>
      </c>
    </row>
    <row r="1668" spans="1:11">
      <c r="A1668" s="21" t="s">
        <v>4409</v>
      </c>
      <c r="B1668" s="21" t="s">
        <v>6520</v>
      </c>
      <c r="C1668" s="21" t="s">
        <v>8</v>
      </c>
      <c r="D1668" s="21" t="s">
        <v>627</v>
      </c>
      <c r="E1668" s="21" t="s">
        <v>9</v>
      </c>
      <c r="F1668" s="5812">
        <v>3</v>
      </c>
      <c r="G1668" s="5813">
        <v>0.20833333333333334</v>
      </c>
      <c r="H1668" s="21" t="s">
        <v>10</v>
      </c>
      <c r="I1668" s="21" t="s">
        <v>2872</v>
      </c>
      <c r="J1668" s="21" t="s">
        <v>6521</v>
      </c>
      <c r="K1668" s="5814" t="s">
        <v>6522</v>
      </c>
    </row>
    <row r="1669" spans="1:11">
      <c r="A1669" s="21" t="s">
        <v>3144</v>
      </c>
      <c r="B1669" s="21" t="s">
        <v>6523</v>
      </c>
      <c r="C1669" s="21" t="s">
        <v>8</v>
      </c>
      <c r="D1669" s="21" t="s">
        <v>627</v>
      </c>
      <c r="E1669" s="21" t="s">
        <v>9</v>
      </c>
      <c r="F1669" s="5812">
        <v>3</v>
      </c>
      <c r="G1669" s="5813">
        <v>0.20833333333333334</v>
      </c>
      <c r="H1669" s="21" t="s">
        <v>10</v>
      </c>
      <c r="I1669" s="21" t="s">
        <v>4146</v>
      </c>
      <c r="J1669" s="21" t="s">
        <v>6524</v>
      </c>
      <c r="K1669" s="5814" t="s">
        <v>6525</v>
      </c>
    </row>
    <row r="1670" spans="1:11">
      <c r="A1670" s="21" t="s">
        <v>2272</v>
      </c>
      <c r="B1670" s="21" t="s">
        <v>6526</v>
      </c>
      <c r="C1670" s="21" t="s">
        <v>22</v>
      </c>
      <c r="D1670" s="21" t="s">
        <v>627</v>
      </c>
      <c r="E1670" s="21" t="s">
        <v>9</v>
      </c>
      <c r="F1670" s="5812">
        <v>3</v>
      </c>
      <c r="G1670" s="5813">
        <v>0.20833333333333334</v>
      </c>
      <c r="H1670" s="21" t="s">
        <v>10</v>
      </c>
      <c r="I1670" s="21" t="s">
        <v>55</v>
      </c>
      <c r="J1670" s="21" t="s">
        <v>6527</v>
      </c>
      <c r="K1670" s="5814" t="s">
        <v>6528</v>
      </c>
    </row>
    <row r="1671" spans="1:11">
      <c r="A1671" s="21" t="s">
        <v>4434</v>
      </c>
      <c r="B1671" s="21" t="s">
        <v>6529</v>
      </c>
      <c r="C1671" s="21" t="s">
        <v>8</v>
      </c>
      <c r="D1671" s="21" t="s">
        <v>627</v>
      </c>
      <c r="E1671" s="21" t="s">
        <v>9</v>
      </c>
      <c r="F1671" s="5812">
        <v>3</v>
      </c>
      <c r="G1671" s="5813">
        <v>0.20833333333333334</v>
      </c>
      <c r="H1671" s="21" t="s">
        <v>10</v>
      </c>
      <c r="I1671" s="21" t="s">
        <v>55</v>
      </c>
      <c r="J1671" s="21" t="s">
        <v>6530</v>
      </c>
      <c r="K1671" s="5814" t="s">
        <v>6531</v>
      </c>
    </row>
    <row r="1672" spans="1:11">
      <c r="A1672" s="21" t="s">
        <v>3293</v>
      </c>
      <c r="B1672" s="21" t="s">
        <v>6532</v>
      </c>
      <c r="C1672" s="21" t="s">
        <v>22</v>
      </c>
      <c r="D1672" s="21" t="s">
        <v>627</v>
      </c>
      <c r="E1672" s="21" t="s">
        <v>9</v>
      </c>
      <c r="F1672" s="5812">
        <v>3</v>
      </c>
      <c r="G1672" s="5813">
        <v>0.20833333333333334</v>
      </c>
      <c r="H1672" s="21" t="s">
        <v>10</v>
      </c>
      <c r="I1672" s="21" t="s">
        <v>55</v>
      </c>
      <c r="J1672" s="21" t="s">
        <v>6533</v>
      </c>
      <c r="K1672" s="5814" t="s">
        <v>6534</v>
      </c>
    </row>
    <row r="1673" spans="1:11">
      <c r="A1673" s="21" t="s">
        <v>2863</v>
      </c>
      <c r="B1673" s="21" t="s">
        <v>6263</v>
      </c>
      <c r="C1673" s="21" t="s">
        <v>8</v>
      </c>
      <c r="D1673" s="21" t="s">
        <v>627</v>
      </c>
      <c r="E1673" s="21" t="s">
        <v>9</v>
      </c>
      <c r="F1673" s="5812">
        <v>3</v>
      </c>
      <c r="G1673" s="5813">
        <v>0.20833333333333334</v>
      </c>
      <c r="H1673" s="21" t="s">
        <v>10</v>
      </c>
      <c r="I1673" s="21" t="s">
        <v>2247</v>
      </c>
      <c r="J1673" s="21" t="s">
        <v>6535</v>
      </c>
      <c r="K1673" s="5814" t="s">
        <v>6536</v>
      </c>
    </row>
    <row r="1674" spans="1:11">
      <c r="A1674" s="21" t="s">
        <v>4621</v>
      </c>
      <c r="B1674" s="21" t="s">
        <v>6537</v>
      </c>
      <c r="C1674" s="21" t="s">
        <v>8</v>
      </c>
      <c r="D1674" s="21" t="s">
        <v>627</v>
      </c>
      <c r="E1674" s="21" t="s">
        <v>9</v>
      </c>
      <c r="F1674" s="5812">
        <v>3</v>
      </c>
      <c r="G1674" s="5813">
        <v>0.20833333333333334</v>
      </c>
      <c r="H1674" s="21" t="s">
        <v>10</v>
      </c>
      <c r="I1674" s="21" t="s">
        <v>187</v>
      </c>
      <c r="J1674" s="21" t="s">
        <v>6538</v>
      </c>
      <c r="K1674" s="5814" t="s">
        <v>6539</v>
      </c>
    </row>
    <row r="1675" spans="1:11">
      <c r="A1675" s="21" t="s">
        <v>2358</v>
      </c>
      <c r="B1675" s="21" t="s">
        <v>6540</v>
      </c>
      <c r="C1675" s="21" t="s">
        <v>8</v>
      </c>
      <c r="D1675" s="21" t="s">
        <v>627</v>
      </c>
      <c r="E1675" s="21" t="s">
        <v>9</v>
      </c>
      <c r="F1675" s="5812">
        <v>5</v>
      </c>
      <c r="G1675" s="5813">
        <v>0.20833333333333334</v>
      </c>
      <c r="H1675" s="21" t="s">
        <v>54</v>
      </c>
      <c r="I1675" s="21" t="s">
        <v>39</v>
      </c>
      <c r="J1675" s="21" t="s">
        <v>6541</v>
      </c>
      <c r="K1675" s="5814" t="s">
        <v>6542</v>
      </c>
    </row>
    <row r="1676" spans="1:11">
      <c r="A1676" s="21" t="s">
        <v>2442</v>
      </c>
      <c r="B1676" s="21" t="s">
        <v>6543</v>
      </c>
      <c r="C1676" s="21" t="s">
        <v>22</v>
      </c>
      <c r="D1676" s="21" t="s">
        <v>627</v>
      </c>
      <c r="E1676" s="21" t="s">
        <v>9</v>
      </c>
      <c r="F1676" s="5812">
        <v>5</v>
      </c>
      <c r="G1676" s="5813">
        <v>0.20833333333333334</v>
      </c>
      <c r="H1676" s="21" t="s">
        <v>54</v>
      </c>
      <c r="I1676" s="21" t="s">
        <v>39</v>
      </c>
      <c r="J1676" s="21" t="s">
        <v>6541</v>
      </c>
      <c r="K1676" s="5814" t="s">
        <v>6544</v>
      </c>
    </row>
    <row r="1677" spans="1:11">
      <c r="A1677" s="21" t="s">
        <v>2467</v>
      </c>
      <c r="B1677" s="21" t="s">
        <v>6545</v>
      </c>
      <c r="C1677" s="21" t="s">
        <v>22</v>
      </c>
      <c r="D1677" s="21" t="s">
        <v>627</v>
      </c>
      <c r="E1677" s="21" t="s">
        <v>9</v>
      </c>
      <c r="F1677" s="5812">
        <v>5</v>
      </c>
      <c r="G1677" s="5813">
        <v>0.20833333333333334</v>
      </c>
      <c r="H1677" s="21" t="s">
        <v>54</v>
      </c>
      <c r="I1677" s="21" t="s">
        <v>96</v>
      </c>
      <c r="J1677" s="21" t="s">
        <v>6546</v>
      </c>
      <c r="K1677" s="5814" t="s">
        <v>6547</v>
      </c>
    </row>
    <row r="1678" spans="1:11">
      <c r="A1678" s="21" t="s">
        <v>2982</v>
      </c>
      <c r="B1678" s="21" t="s">
        <v>6548</v>
      </c>
      <c r="C1678" s="21" t="s">
        <v>8</v>
      </c>
      <c r="D1678" s="21" t="s">
        <v>627</v>
      </c>
      <c r="E1678" s="21" t="s">
        <v>9</v>
      </c>
      <c r="F1678" s="5812">
        <v>5</v>
      </c>
      <c r="G1678" s="5813">
        <v>0.20833333333333334</v>
      </c>
      <c r="H1678" s="21" t="s">
        <v>54</v>
      </c>
      <c r="I1678" s="21" t="s">
        <v>55</v>
      </c>
      <c r="J1678" s="21" t="s">
        <v>6549</v>
      </c>
      <c r="K1678" s="5814" t="s">
        <v>6550</v>
      </c>
    </row>
    <row r="1679" spans="1:11">
      <c r="A1679" s="21" t="s">
        <v>339</v>
      </c>
      <c r="B1679" s="21" t="s">
        <v>659</v>
      </c>
      <c r="C1679" s="21" t="s">
        <v>22</v>
      </c>
      <c r="D1679" s="21" t="s">
        <v>627</v>
      </c>
      <c r="E1679" s="21" t="s">
        <v>46</v>
      </c>
      <c r="F1679" s="5812">
        <v>1</v>
      </c>
      <c r="G1679" s="5813">
        <v>8.3333333333333332E-3</v>
      </c>
      <c r="H1679" s="21" t="s">
        <v>10</v>
      </c>
      <c r="I1679" s="21" t="s">
        <v>660</v>
      </c>
      <c r="J1679" s="21" t="s">
        <v>97</v>
      </c>
      <c r="K1679" s="5814" t="s">
        <v>661</v>
      </c>
    </row>
    <row r="1680" spans="1:11">
      <c r="A1680" s="21" t="s">
        <v>2932</v>
      </c>
      <c r="B1680" s="21" t="s">
        <v>6551</v>
      </c>
      <c r="C1680" s="21" t="s">
        <v>8</v>
      </c>
      <c r="D1680" s="21" t="s">
        <v>627</v>
      </c>
      <c r="E1680" s="21" t="s">
        <v>46</v>
      </c>
      <c r="F1680" s="5812">
        <v>1</v>
      </c>
      <c r="G1680" s="5813">
        <v>9.0277777777777769E-3</v>
      </c>
      <c r="H1680" s="21" t="s">
        <v>10</v>
      </c>
      <c r="I1680" s="21" t="s">
        <v>226</v>
      </c>
      <c r="J1680" s="21" t="s">
        <v>48</v>
      </c>
      <c r="K1680" s="5814" t="s">
        <v>6552</v>
      </c>
    </row>
    <row r="1681" spans="1:11">
      <c r="A1681" s="21" t="s">
        <v>2998</v>
      </c>
      <c r="B1681" s="21" t="s">
        <v>6553</v>
      </c>
      <c r="C1681" s="21" t="s">
        <v>8</v>
      </c>
      <c r="D1681" s="21" t="s">
        <v>627</v>
      </c>
      <c r="E1681" s="21" t="s">
        <v>46</v>
      </c>
      <c r="F1681" s="5812">
        <v>1</v>
      </c>
      <c r="G1681" s="5813">
        <v>1.0416666666666666E-2</v>
      </c>
      <c r="H1681" s="21" t="s">
        <v>10</v>
      </c>
      <c r="I1681" s="21" t="s">
        <v>2176</v>
      </c>
      <c r="J1681" s="21" t="s">
        <v>3132</v>
      </c>
      <c r="K1681" s="5814" t="s">
        <v>6554</v>
      </c>
    </row>
    <row r="1682" spans="1:11">
      <c r="A1682" s="21" t="s">
        <v>4317</v>
      </c>
      <c r="B1682" s="21" t="s">
        <v>6555</v>
      </c>
      <c r="C1682" s="21" t="s">
        <v>8</v>
      </c>
      <c r="D1682" s="21" t="s">
        <v>627</v>
      </c>
      <c r="E1682" s="21" t="s">
        <v>46</v>
      </c>
      <c r="F1682" s="5812">
        <v>1</v>
      </c>
      <c r="G1682" s="5813">
        <v>1.5277777777777777E-2</v>
      </c>
      <c r="H1682" s="21" t="s">
        <v>10</v>
      </c>
      <c r="I1682" s="21" t="s">
        <v>6556</v>
      </c>
      <c r="J1682" s="21" t="s">
        <v>406</v>
      </c>
      <c r="K1682" s="5814" t="s">
        <v>6557</v>
      </c>
    </row>
    <row r="1683" spans="1:11">
      <c r="A1683" s="21" t="s">
        <v>2776</v>
      </c>
      <c r="B1683" s="21" t="s">
        <v>6558</v>
      </c>
      <c r="C1683" s="21" t="s">
        <v>8</v>
      </c>
      <c r="D1683" s="21" t="s">
        <v>627</v>
      </c>
      <c r="E1683" s="21" t="s">
        <v>46</v>
      </c>
      <c r="F1683" s="5812">
        <v>1</v>
      </c>
      <c r="G1683" s="5813">
        <v>1.9444444444444445E-2</v>
      </c>
      <c r="H1683" s="21" t="s">
        <v>10</v>
      </c>
      <c r="I1683" s="21" t="s">
        <v>2523</v>
      </c>
      <c r="J1683" s="21" t="s">
        <v>406</v>
      </c>
      <c r="K1683" s="5814" t="s">
        <v>6559</v>
      </c>
    </row>
    <row r="1684" spans="1:11">
      <c r="A1684" s="21" t="s">
        <v>3651</v>
      </c>
      <c r="B1684" s="21" t="s">
        <v>6560</v>
      </c>
      <c r="C1684" s="21" t="s">
        <v>22</v>
      </c>
      <c r="D1684" s="21" t="s">
        <v>627</v>
      </c>
      <c r="E1684" s="21" t="s">
        <v>46</v>
      </c>
      <c r="F1684" s="5812">
        <v>1</v>
      </c>
      <c r="G1684" s="5813">
        <v>2.013888888888889E-2</v>
      </c>
      <c r="H1684" s="21" t="s">
        <v>10</v>
      </c>
      <c r="I1684" s="21" t="s">
        <v>6561</v>
      </c>
      <c r="J1684" s="21" t="s">
        <v>97</v>
      </c>
      <c r="K1684" s="5814" t="s">
        <v>6562</v>
      </c>
    </row>
    <row r="1685" spans="1:11">
      <c r="A1685" s="21" t="s">
        <v>3144</v>
      </c>
      <c r="B1685" s="21" t="s">
        <v>6563</v>
      </c>
      <c r="C1685" s="21" t="s">
        <v>8</v>
      </c>
      <c r="D1685" s="21" t="s">
        <v>627</v>
      </c>
      <c r="E1685" s="21" t="s">
        <v>46</v>
      </c>
      <c r="F1685" s="5812">
        <v>1</v>
      </c>
      <c r="G1685" s="5813">
        <v>2.0833333333333332E-2</v>
      </c>
      <c r="H1685" s="21" t="s">
        <v>10</v>
      </c>
      <c r="I1685" s="21" t="s">
        <v>187</v>
      </c>
      <c r="J1685" s="21" t="s">
        <v>48</v>
      </c>
      <c r="K1685" s="5814" t="s">
        <v>6564</v>
      </c>
    </row>
    <row r="1686" spans="1:11">
      <c r="A1686" s="21" t="s">
        <v>2643</v>
      </c>
      <c r="B1686" s="21" t="s">
        <v>6565</v>
      </c>
      <c r="C1686" s="21" t="s">
        <v>22</v>
      </c>
      <c r="D1686" s="21" t="s">
        <v>627</v>
      </c>
      <c r="E1686" s="21" t="s">
        <v>46</v>
      </c>
      <c r="F1686" s="5812">
        <v>1</v>
      </c>
      <c r="G1686" s="5813">
        <v>2.5000000000000001E-2</v>
      </c>
      <c r="H1686" s="21" t="s">
        <v>10</v>
      </c>
      <c r="I1686" s="21" t="s">
        <v>55</v>
      </c>
      <c r="J1686" s="21" t="s">
        <v>154</v>
      </c>
      <c r="K1686" s="5814" t="s">
        <v>6566</v>
      </c>
    </row>
    <row r="1687" spans="1:11">
      <c r="A1687" s="21" t="s">
        <v>2551</v>
      </c>
      <c r="B1687" s="21" t="s">
        <v>6567</v>
      </c>
      <c r="C1687" s="21" t="s">
        <v>22</v>
      </c>
      <c r="D1687" s="21" t="s">
        <v>627</v>
      </c>
      <c r="E1687" s="21" t="s">
        <v>46</v>
      </c>
      <c r="F1687" s="5812">
        <v>1</v>
      </c>
      <c r="G1687" s="5813">
        <v>2.6388888888888889E-2</v>
      </c>
      <c r="H1687" s="21" t="s">
        <v>10</v>
      </c>
      <c r="I1687" s="21" t="s">
        <v>187</v>
      </c>
      <c r="J1687" s="21" t="s">
        <v>97</v>
      </c>
      <c r="K1687" s="5814" t="s">
        <v>6568</v>
      </c>
    </row>
    <row r="1688" spans="1:11">
      <c r="A1688" s="21" t="s">
        <v>3537</v>
      </c>
      <c r="B1688" s="21" t="s">
        <v>6569</v>
      </c>
      <c r="C1688" s="21" t="s">
        <v>22</v>
      </c>
      <c r="D1688" s="21" t="s">
        <v>627</v>
      </c>
      <c r="E1688" s="21" t="s">
        <v>46</v>
      </c>
      <c r="F1688" s="5812">
        <v>1</v>
      </c>
      <c r="G1688" s="5813">
        <v>2.9166666666666667E-2</v>
      </c>
      <c r="H1688" s="21" t="s">
        <v>10</v>
      </c>
      <c r="I1688" s="21" t="s">
        <v>96</v>
      </c>
      <c r="J1688" s="21" t="s">
        <v>97</v>
      </c>
      <c r="K1688" s="5814" t="s">
        <v>6570</v>
      </c>
    </row>
    <row r="1689" spans="1:11">
      <c r="A1689" s="21" t="s">
        <v>4177</v>
      </c>
      <c r="B1689" s="21" t="s">
        <v>6571</v>
      </c>
      <c r="C1689" s="21" t="s">
        <v>22</v>
      </c>
      <c r="D1689" s="21" t="s">
        <v>627</v>
      </c>
      <c r="E1689" s="21" t="s">
        <v>46</v>
      </c>
      <c r="F1689" s="5812">
        <v>1</v>
      </c>
      <c r="G1689" s="5813">
        <v>3.0555555555555555E-2</v>
      </c>
      <c r="H1689" s="21" t="s">
        <v>10</v>
      </c>
      <c r="I1689" s="21" t="s">
        <v>2713</v>
      </c>
      <c r="J1689" s="21" t="s">
        <v>48</v>
      </c>
      <c r="K1689" s="5814" t="s">
        <v>6572</v>
      </c>
    </row>
    <row r="1690" spans="1:11">
      <c r="A1690" s="21" t="s">
        <v>4170</v>
      </c>
      <c r="B1690" s="21" t="s">
        <v>6573</v>
      </c>
      <c r="C1690" s="21" t="s">
        <v>22</v>
      </c>
      <c r="D1690" s="21" t="s">
        <v>627</v>
      </c>
      <c r="E1690" s="21" t="s">
        <v>46</v>
      </c>
      <c r="F1690" s="5812">
        <v>1</v>
      </c>
      <c r="G1690" s="5813">
        <v>3.2638888888888891E-2</v>
      </c>
      <c r="H1690" s="21" t="s">
        <v>10</v>
      </c>
      <c r="I1690" s="21" t="s">
        <v>2523</v>
      </c>
      <c r="J1690" s="21" t="s">
        <v>722</v>
      </c>
      <c r="K1690" s="5814" t="s">
        <v>6574</v>
      </c>
    </row>
    <row r="1691" spans="1:11">
      <c r="A1691" s="21" t="s">
        <v>2897</v>
      </c>
      <c r="B1691" s="21" t="s">
        <v>6575</v>
      </c>
      <c r="C1691" s="21" t="s">
        <v>22</v>
      </c>
      <c r="D1691" s="21" t="s">
        <v>627</v>
      </c>
      <c r="E1691" s="21" t="s">
        <v>46</v>
      </c>
      <c r="F1691" s="5812">
        <v>1</v>
      </c>
      <c r="G1691" s="5813">
        <v>3.3333333333333333E-2</v>
      </c>
      <c r="H1691" s="21" t="s">
        <v>10</v>
      </c>
      <c r="I1691" s="21" t="s">
        <v>39</v>
      </c>
      <c r="J1691" s="21" t="s">
        <v>48</v>
      </c>
      <c r="K1691" s="5814" t="s">
        <v>6576</v>
      </c>
    </row>
    <row r="1692" spans="1:11">
      <c r="A1692" s="21" t="s">
        <v>3882</v>
      </c>
      <c r="B1692" s="21" t="s">
        <v>6577</v>
      </c>
      <c r="C1692" s="21" t="s">
        <v>22</v>
      </c>
      <c r="D1692" s="21" t="s">
        <v>627</v>
      </c>
      <c r="E1692" s="21" t="s">
        <v>46</v>
      </c>
      <c r="F1692" s="5812">
        <v>1</v>
      </c>
      <c r="G1692" s="5813">
        <v>3.4027777777777775E-2</v>
      </c>
      <c r="H1692" s="21" t="s">
        <v>10</v>
      </c>
      <c r="I1692" s="21" t="s">
        <v>39</v>
      </c>
      <c r="J1692" s="21" t="s">
        <v>48</v>
      </c>
      <c r="K1692" s="5814" t="s">
        <v>6578</v>
      </c>
    </row>
    <row r="1693" spans="1:11">
      <c r="A1693" s="21" t="s">
        <v>2276</v>
      </c>
      <c r="B1693" s="21" t="s">
        <v>6579</v>
      </c>
      <c r="C1693" s="21" t="s">
        <v>22</v>
      </c>
      <c r="D1693" s="21" t="s">
        <v>627</v>
      </c>
      <c r="E1693" s="21" t="s">
        <v>46</v>
      </c>
      <c r="F1693" s="5812">
        <v>1</v>
      </c>
      <c r="G1693" s="5813">
        <v>3.4722222222222224E-2</v>
      </c>
      <c r="H1693" s="21" t="s">
        <v>10</v>
      </c>
      <c r="I1693" s="21" t="s">
        <v>2297</v>
      </c>
      <c r="J1693" s="21" t="s">
        <v>48</v>
      </c>
      <c r="K1693" s="5814" t="s">
        <v>6580</v>
      </c>
    </row>
    <row r="1694" spans="1:11">
      <c r="A1694" s="21" t="s">
        <v>2796</v>
      </c>
      <c r="B1694" s="21" t="s">
        <v>6581</v>
      </c>
      <c r="C1694" s="21" t="s">
        <v>22</v>
      </c>
      <c r="D1694" s="21" t="s">
        <v>627</v>
      </c>
      <c r="E1694" s="21" t="s">
        <v>46</v>
      </c>
      <c r="F1694" s="5812">
        <v>1</v>
      </c>
      <c r="G1694" s="5813">
        <v>3.6111111111111108E-2</v>
      </c>
      <c r="H1694" s="21" t="s">
        <v>10</v>
      </c>
      <c r="I1694" s="21" t="s">
        <v>4828</v>
      </c>
      <c r="J1694" s="21" t="s">
        <v>1203</v>
      </c>
      <c r="K1694" s="5814" t="s">
        <v>6582</v>
      </c>
    </row>
    <row r="1695" spans="1:11">
      <c r="A1695" s="21" t="s">
        <v>4768</v>
      </c>
      <c r="B1695" s="21" t="s">
        <v>6583</v>
      </c>
      <c r="C1695" s="21" t="s">
        <v>22</v>
      </c>
      <c r="D1695" s="21" t="s">
        <v>627</v>
      </c>
      <c r="E1695" s="21" t="s">
        <v>46</v>
      </c>
      <c r="F1695" s="5812">
        <v>1</v>
      </c>
      <c r="G1695" s="5813">
        <v>3.6111111111111108E-2</v>
      </c>
      <c r="H1695" s="21" t="s">
        <v>10</v>
      </c>
      <c r="I1695" s="21" t="s">
        <v>47</v>
      </c>
      <c r="J1695" s="21" t="s">
        <v>406</v>
      </c>
      <c r="K1695" s="5814" t="s">
        <v>6584</v>
      </c>
    </row>
    <row r="1696" spans="1:11">
      <c r="A1696" s="21" t="s">
        <v>3757</v>
      </c>
      <c r="B1696" s="21" t="s">
        <v>6585</v>
      </c>
      <c r="C1696" s="21" t="s">
        <v>22</v>
      </c>
      <c r="D1696" s="21" t="s">
        <v>627</v>
      </c>
      <c r="E1696" s="21" t="s">
        <v>46</v>
      </c>
      <c r="F1696" s="5812">
        <v>1</v>
      </c>
      <c r="G1696" s="5813">
        <v>3.6805555555555557E-2</v>
      </c>
      <c r="H1696" s="21" t="s">
        <v>10</v>
      </c>
      <c r="I1696" s="21" t="s">
        <v>226</v>
      </c>
      <c r="J1696" s="21" t="s">
        <v>940</v>
      </c>
      <c r="K1696" s="5814" t="s">
        <v>6586</v>
      </c>
    </row>
    <row r="1697" spans="1:11">
      <c r="A1697" s="21" t="s">
        <v>2961</v>
      </c>
      <c r="B1697" s="21" t="s">
        <v>6587</v>
      </c>
      <c r="C1697" s="21" t="s">
        <v>8</v>
      </c>
      <c r="D1697" s="21" t="s">
        <v>627</v>
      </c>
      <c r="E1697" s="21" t="s">
        <v>46</v>
      </c>
      <c r="F1697" s="5812">
        <v>1</v>
      </c>
      <c r="G1697" s="5813">
        <v>3.888888888888889E-2</v>
      </c>
      <c r="H1697" s="21" t="s">
        <v>10</v>
      </c>
      <c r="I1697" s="21" t="s">
        <v>2731</v>
      </c>
      <c r="J1697" s="21" t="s">
        <v>48</v>
      </c>
      <c r="K1697" s="5814" t="s">
        <v>6588</v>
      </c>
    </row>
    <row r="1698" spans="1:11">
      <c r="A1698" s="21" t="s">
        <v>4671</v>
      </c>
      <c r="B1698" s="21" t="s">
        <v>6589</v>
      </c>
      <c r="C1698" s="21" t="s">
        <v>22</v>
      </c>
      <c r="D1698" s="21" t="s">
        <v>627</v>
      </c>
      <c r="E1698" s="21" t="s">
        <v>46</v>
      </c>
      <c r="F1698" s="5812">
        <v>1</v>
      </c>
      <c r="G1698" s="5813">
        <v>3.888888888888889E-2</v>
      </c>
      <c r="H1698" s="21" t="s">
        <v>10</v>
      </c>
      <c r="I1698" s="21" t="s">
        <v>2660</v>
      </c>
      <c r="J1698" s="21" t="s">
        <v>1076</v>
      </c>
      <c r="K1698" s="5814" t="s">
        <v>6590</v>
      </c>
    </row>
    <row r="1699" spans="1:11">
      <c r="A1699" s="21" t="s">
        <v>2147</v>
      </c>
      <c r="B1699" s="21" t="s">
        <v>6591</v>
      </c>
      <c r="C1699" s="21" t="s">
        <v>8</v>
      </c>
      <c r="D1699" s="21" t="s">
        <v>627</v>
      </c>
      <c r="E1699" s="21" t="s">
        <v>46</v>
      </c>
      <c r="F1699" s="5812">
        <v>1</v>
      </c>
      <c r="G1699" s="5813">
        <v>4.4444444444444446E-2</v>
      </c>
      <c r="H1699" s="21" t="s">
        <v>10</v>
      </c>
      <c r="I1699" s="21" t="s">
        <v>47</v>
      </c>
      <c r="J1699" s="21" t="s">
        <v>48</v>
      </c>
      <c r="K1699" s="5814" t="s">
        <v>6592</v>
      </c>
    </row>
    <row r="1700" spans="1:11">
      <c r="A1700" s="21" t="s">
        <v>2395</v>
      </c>
      <c r="B1700" s="21" t="s">
        <v>6593</v>
      </c>
      <c r="C1700" s="21" t="s">
        <v>8</v>
      </c>
      <c r="D1700" s="21" t="s">
        <v>627</v>
      </c>
      <c r="E1700" s="21" t="s">
        <v>46</v>
      </c>
      <c r="F1700" s="5812">
        <v>1</v>
      </c>
      <c r="G1700" s="5813">
        <v>4.5138888888888888E-2</v>
      </c>
      <c r="H1700" s="21" t="s">
        <v>10</v>
      </c>
      <c r="I1700" s="21" t="s">
        <v>89</v>
      </c>
      <c r="J1700" s="21" t="s">
        <v>3004</v>
      </c>
      <c r="K1700" s="5814" t="s">
        <v>6594</v>
      </c>
    </row>
    <row r="1701" spans="1:11">
      <c r="A1701" s="21" t="s">
        <v>3909</v>
      </c>
      <c r="B1701" s="21" t="s">
        <v>6595</v>
      </c>
      <c r="C1701" s="21" t="s">
        <v>8</v>
      </c>
      <c r="D1701" s="21" t="s">
        <v>627</v>
      </c>
      <c r="E1701" s="21" t="s">
        <v>46</v>
      </c>
      <c r="F1701" s="5812">
        <v>1</v>
      </c>
      <c r="G1701" s="5813">
        <v>4.6527777777777779E-2</v>
      </c>
      <c r="H1701" s="21" t="s">
        <v>10</v>
      </c>
      <c r="I1701" s="21" t="s">
        <v>47</v>
      </c>
      <c r="J1701" s="21" t="s">
        <v>406</v>
      </c>
      <c r="K1701" s="5814" t="s">
        <v>6596</v>
      </c>
    </row>
    <row r="1702" spans="1:11">
      <c r="A1702" s="21" t="s">
        <v>3134</v>
      </c>
      <c r="B1702" s="21" t="s">
        <v>6597</v>
      </c>
      <c r="C1702" s="21" t="s">
        <v>22</v>
      </c>
      <c r="D1702" s="21" t="s">
        <v>627</v>
      </c>
      <c r="E1702" s="21" t="s">
        <v>46</v>
      </c>
      <c r="F1702" s="5812">
        <v>1</v>
      </c>
      <c r="G1702" s="5813">
        <v>4.9305555555555554E-2</v>
      </c>
      <c r="H1702" s="21" t="s">
        <v>10</v>
      </c>
      <c r="I1702" s="21" t="s">
        <v>39</v>
      </c>
      <c r="J1702" s="21" t="s">
        <v>127</v>
      </c>
      <c r="K1702" s="5814" t="s">
        <v>6598</v>
      </c>
    </row>
    <row r="1703" spans="1:11">
      <c r="A1703" s="21" t="s">
        <v>2413</v>
      </c>
      <c r="B1703" s="21" t="s">
        <v>6599</v>
      </c>
      <c r="C1703" s="21" t="s">
        <v>8</v>
      </c>
      <c r="D1703" s="21" t="s">
        <v>627</v>
      </c>
      <c r="E1703" s="21" t="s">
        <v>46</v>
      </c>
      <c r="F1703" s="5812">
        <v>1</v>
      </c>
      <c r="G1703" s="5813">
        <v>5.2083333333333336E-2</v>
      </c>
      <c r="H1703" s="21" t="s">
        <v>10</v>
      </c>
      <c r="I1703" s="21" t="s">
        <v>55</v>
      </c>
      <c r="J1703" s="21" t="s">
        <v>97</v>
      </c>
      <c r="K1703" s="5814" t="s">
        <v>6600</v>
      </c>
    </row>
    <row r="1704" spans="1:11">
      <c r="A1704" s="21" t="s">
        <v>2467</v>
      </c>
      <c r="B1704" s="21" t="s">
        <v>6601</v>
      </c>
      <c r="C1704" s="21" t="s">
        <v>8</v>
      </c>
      <c r="D1704" s="21" t="s">
        <v>627</v>
      </c>
      <c r="E1704" s="21" t="s">
        <v>46</v>
      </c>
      <c r="F1704" s="5812">
        <v>1</v>
      </c>
      <c r="G1704" s="5813">
        <v>5.4166666666666669E-2</v>
      </c>
      <c r="H1704" s="21" t="s">
        <v>10</v>
      </c>
      <c r="I1704" s="21" t="s">
        <v>89</v>
      </c>
      <c r="J1704" s="21" t="s">
        <v>127</v>
      </c>
      <c r="K1704" s="5814" t="s">
        <v>6602</v>
      </c>
    </row>
    <row r="1705" spans="1:11">
      <c r="A1705" s="21" t="s">
        <v>2600</v>
      </c>
      <c r="B1705" s="21" t="s">
        <v>6603</v>
      </c>
      <c r="C1705" s="21" t="s">
        <v>8</v>
      </c>
      <c r="D1705" s="21" t="s">
        <v>627</v>
      </c>
      <c r="E1705" s="21" t="s">
        <v>46</v>
      </c>
      <c r="F1705" s="5812">
        <v>1</v>
      </c>
      <c r="G1705" s="5813">
        <v>5.4166666666666669E-2</v>
      </c>
      <c r="H1705" s="21" t="s">
        <v>10</v>
      </c>
      <c r="I1705" s="21" t="s">
        <v>6604</v>
      </c>
      <c r="J1705" s="21" t="s">
        <v>48</v>
      </c>
      <c r="K1705" s="5814" t="s">
        <v>6605</v>
      </c>
    </row>
    <row r="1706" spans="1:11">
      <c r="A1706" s="21" t="s">
        <v>2372</v>
      </c>
      <c r="B1706" s="21" t="s">
        <v>6606</v>
      </c>
      <c r="C1706" s="21" t="s">
        <v>22</v>
      </c>
      <c r="D1706" s="21" t="s">
        <v>627</v>
      </c>
      <c r="E1706" s="21" t="s">
        <v>46</v>
      </c>
      <c r="F1706" s="5812">
        <v>1</v>
      </c>
      <c r="G1706" s="5813">
        <v>5.5555555555555552E-2</v>
      </c>
      <c r="H1706" s="21" t="s">
        <v>10</v>
      </c>
      <c r="I1706" s="21" t="s">
        <v>47</v>
      </c>
      <c r="J1706" s="21" t="s">
        <v>48</v>
      </c>
      <c r="K1706" s="5814" t="s">
        <v>6607</v>
      </c>
    </row>
    <row r="1707" spans="1:11">
      <c r="A1707" s="21" t="s">
        <v>3651</v>
      </c>
      <c r="B1707" s="21" t="s">
        <v>6608</v>
      </c>
      <c r="C1707" s="21" t="s">
        <v>22</v>
      </c>
      <c r="D1707" s="21" t="s">
        <v>627</v>
      </c>
      <c r="E1707" s="21" t="s">
        <v>46</v>
      </c>
      <c r="F1707" s="5812">
        <v>1</v>
      </c>
      <c r="G1707" s="5813">
        <v>5.6250000000000001E-2</v>
      </c>
      <c r="H1707" s="21" t="s">
        <v>10</v>
      </c>
      <c r="I1707" s="21" t="s">
        <v>2247</v>
      </c>
      <c r="J1707" s="21" t="s">
        <v>97</v>
      </c>
      <c r="K1707" s="5814" t="s">
        <v>6609</v>
      </c>
    </row>
    <row r="1708" spans="1:11">
      <c r="A1708" s="21" t="s">
        <v>2323</v>
      </c>
      <c r="B1708" s="21" t="s">
        <v>6610</v>
      </c>
      <c r="C1708" s="21" t="s">
        <v>8</v>
      </c>
      <c r="D1708" s="21" t="s">
        <v>627</v>
      </c>
      <c r="E1708" s="21" t="s">
        <v>46</v>
      </c>
      <c r="F1708" s="5812">
        <v>1</v>
      </c>
      <c r="G1708" s="5813">
        <v>5.6944444444444443E-2</v>
      </c>
      <c r="H1708" s="21" t="s">
        <v>10</v>
      </c>
      <c r="I1708" s="21" t="s">
        <v>263</v>
      </c>
      <c r="J1708" s="21" t="s">
        <v>48</v>
      </c>
      <c r="K1708" s="5814" t="s">
        <v>6611</v>
      </c>
    </row>
    <row r="1709" spans="1:11">
      <c r="A1709" s="21" t="s">
        <v>2846</v>
      </c>
      <c r="B1709" s="21" t="s">
        <v>6612</v>
      </c>
      <c r="C1709" s="21" t="s">
        <v>8</v>
      </c>
      <c r="D1709" s="21" t="s">
        <v>627</v>
      </c>
      <c r="E1709" s="21" t="s">
        <v>46</v>
      </c>
      <c r="F1709" s="5812">
        <v>1</v>
      </c>
      <c r="G1709" s="5813">
        <v>5.9722222222222225E-2</v>
      </c>
      <c r="H1709" s="21" t="s">
        <v>54</v>
      </c>
      <c r="I1709" s="21" t="s">
        <v>11</v>
      </c>
      <c r="J1709" s="21" t="s">
        <v>258</v>
      </c>
      <c r="K1709" s="5814" t="s">
        <v>6613</v>
      </c>
    </row>
    <row r="1710" spans="1:11">
      <c r="A1710" s="21" t="s">
        <v>2100</v>
      </c>
      <c r="B1710" s="21" t="s">
        <v>6614</v>
      </c>
      <c r="C1710" s="21" t="s">
        <v>22</v>
      </c>
      <c r="D1710" s="21" t="s">
        <v>627</v>
      </c>
      <c r="E1710" s="21" t="s">
        <v>46</v>
      </c>
      <c r="F1710" s="5812">
        <v>1</v>
      </c>
      <c r="G1710" s="5813">
        <v>6.1111111111111109E-2</v>
      </c>
      <c r="H1710" s="21" t="s">
        <v>10</v>
      </c>
      <c r="I1710" s="21" t="s">
        <v>39</v>
      </c>
      <c r="J1710" s="21" t="s">
        <v>48</v>
      </c>
      <c r="K1710" s="5814" t="s">
        <v>6615</v>
      </c>
    </row>
    <row r="1711" spans="1:11">
      <c r="A1711" s="21" t="s">
        <v>2698</v>
      </c>
      <c r="B1711" s="21" t="s">
        <v>6616</v>
      </c>
      <c r="C1711" s="21" t="s">
        <v>22</v>
      </c>
      <c r="D1711" s="21" t="s">
        <v>627</v>
      </c>
      <c r="E1711" s="21" t="s">
        <v>46</v>
      </c>
      <c r="F1711" s="5812">
        <v>1</v>
      </c>
      <c r="G1711" s="5813">
        <v>6.1805555555555558E-2</v>
      </c>
      <c r="H1711" s="21" t="s">
        <v>54</v>
      </c>
      <c r="I1711" s="21" t="s">
        <v>47</v>
      </c>
      <c r="J1711" s="21" t="s">
        <v>97</v>
      </c>
      <c r="K1711" s="5814" t="s">
        <v>6617</v>
      </c>
    </row>
    <row r="1712" spans="1:11">
      <c r="A1712" s="21" t="s">
        <v>2647</v>
      </c>
      <c r="B1712" s="21" t="s">
        <v>6618</v>
      </c>
      <c r="C1712" s="21" t="s">
        <v>22</v>
      </c>
      <c r="D1712" s="21" t="s">
        <v>627</v>
      </c>
      <c r="E1712" s="21" t="s">
        <v>46</v>
      </c>
      <c r="F1712" s="5812">
        <v>1</v>
      </c>
      <c r="G1712" s="5813">
        <v>6.5277777777777782E-2</v>
      </c>
      <c r="H1712" s="21" t="s">
        <v>10</v>
      </c>
      <c r="I1712" s="21" t="s">
        <v>47</v>
      </c>
      <c r="J1712" s="21" t="s">
        <v>518</v>
      </c>
      <c r="K1712" s="5814" t="s">
        <v>6619</v>
      </c>
    </row>
    <row r="1713" spans="1:11">
      <c r="A1713" s="21" t="s">
        <v>2707</v>
      </c>
      <c r="B1713" s="21" t="s">
        <v>6620</v>
      </c>
      <c r="C1713" s="21" t="s">
        <v>22</v>
      </c>
      <c r="D1713" s="21" t="s">
        <v>627</v>
      </c>
      <c r="E1713" s="21" t="s">
        <v>46</v>
      </c>
      <c r="F1713" s="5812">
        <v>1</v>
      </c>
      <c r="G1713" s="5813">
        <v>6.6666666666666666E-2</v>
      </c>
      <c r="H1713" s="21" t="s">
        <v>10</v>
      </c>
      <c r="I1713" s="21" t="s">
        <v>96</v>
      </c>
      <c r="J1713" s="21" t="s">
        <v>97</v>
      </c>
      <c r="K1713" s="5814" t="s">
        <v>6621</v>
      </c>
    </row>
    <row r="1714" spans="1:11">
      <c r="A1714" s="21" t="s">
        <v>166</v>
      </c>
      <c r="B1714" s="21" t="s">
        <v>680</v>
      </c>
      <c r="C1714" s="21" t="s">
        <v>8</v>
      </c>
      <c r="D1714" s="21" t="s">
        <v>627</v>
      </c>
      <c r="E1714" s="21" t="s">
        <v>46</v>
      </c>
      <c r="F1714" s="5812">
        <v>1</v>
      </c>
      <c r="G1714" s="5813">
        <v>7.013888888888889E-2</v>
      </c>
      <c r="H1714" s="21" t="s">
        <v>10</v>
      </c>
      <c r="I1714" s="21" t="s">
        <v>89</v>
      </c>
      <c r="J1714" s="21" t="s">
        <v>48</v>
      </c>
      <c r="K1714" s="5814" t="s">
        <v>681</v>
      </c>
    </row>
    <row r="1715" spans="1:11">
      <c r="A1715" s="21" t="s">
        <v>2992</v>
      </c>
      <c r="B1715" s="21" t="s">
        <v>6622</v>
      </c>
      <c r="C1715" s="21" t="s">
        <v>8</v>
      </c>
      <c r="D1715" s="21" t="s">
        <v>627</v>
      </c>
      <c r="E1715" s="21" t="s">
        <v>46</v>
      </c>
      <c r="F1715" s="5812">
        <v>1</v>
      </c>
      <c r="G1715" s="5813">
        <v>7.1527777777777773E-2</v>
      </c>
      <c r="H1715" s="21" t="s">
        <v>54</v>
      </c>
      <c r="I1715" s="21" t="s">
        <v>55</v>
      </c>
      <c r="J1715" s="21" t="s">
        <v>127</v>
      </c>
      <c r="K1715" s="5814" t="s">
        <v>6623</v>
      </c>
    </row>
    <row r="1716" spans="1:11">
      <c r="A1716" s="21" t="s">
        <v>2921</v>
      </c>
      <c r="B1716" s="21" t="s">
        <v>6624</v>
      </c>
      <c r="C1716" s="21" t="s">
        <v>8</v>
      </c>
      <c r="D1716" s="21" t="s">
        <v>627</v>
      </c>
      <c r="E1716" s="21" t="s">
        <v>46</v>
      </c>
      <c r="F1716" s="5812">
        <v>1</v>
      </c>
      <c r="G1716" s="5813">
        <v>7.4999999999999997E-2</v>
      </c>
      <c r="H1716" s="21" t="s">
        <v>54</v>
      </c>
      <c r="I1716" s="21" t="s">
        <v>55</v>
      </c>
      <c r="J1716" s="21" t="s">
        <v>406</v>
      </c>
      <c r="K1716" s="5814" t="s">
        <v>6625</v>
      </c>
    </row>
    <row r="1717" spans="1:11">
      <c r="A1717" s="21" t="s">
        <v>3364</v>
      </c>
      <c r="B1717" s="21" t="s">
        <v>6626</v>
      </c>
      <c r="C1717" s="21" t="s">
        <v>22</v>
      </c>
      <c r="D1717" s="21" t="s">
        <v>627</v>
      </c>
      <c r="E1717" s="21" t="s">
        <v>46</v>
      </c>
      <c r="F1717" s="5812">
        <v>1</v>
      </c>
      <c r="G1717" s="5813">
        <v>8.1250000000000003E-2</v>
      </c>
      <c r="H1717" s="21" t="s">
        <v>10</v>
      </c>
      <c r="I1717" s="21" t="s">
        <v>788</v>
      </c>
      <c r="J1717" s="21" t="s">
        <v>3168</v>
      </c>
      <c r="K1717" s="5814" t="s">
        <v>6627</v>
      </c>
    </row>
    <row r="1718" spans="1:11">
      <c r="A1718" s="21" t="s">
        <v>3984</v>
      </c>
      <c r="B1718" s="21" t="s">
        <v>6628</v>
      </c>
      <c r="C1718" s="21" t="s">
        <v>8</v>
      </c>
      <c r="D1718" s="21" t="s">
        <v>627</v>
      </c>
      <c r="E1718" s="21" t="s">
        <v>46</v>
      </c>
      <c r="F1718" s="5812">
        <v>1</v>
      </c>
      <c r="G1718" s="5813">
        <v>8.2638888888888887E-2</v>
      </c>
      <c r="H1718" s="21" t="s">
        <v>10</v>
      </c>
      <c r="I1718" s="21" t="s">
        <v>2726</v>
      </c>
      <c r="J1718" s="21" t="s">
        <v>6629</v>
      </c>
      <c r="K1718" s="5814" t="s">
        <v>6630</v>
      </c>
    </row>
    <row r="1719" spans="1:11">
      <c r="A1719" s="21" t="s">
        <v>2938</v>
      </c>
      <c r="B1719" s="21" t="s">
        <v>6631</v>
      </c>
      <c r="C1719" s="21" t="s">
        <v>8</v>
      </c>
      <c r="D1719" s="21" t="s">
        <v>627</v>
      </c>
      <c r="E1719" s="21" t="s">
        <v>46</v>
      </c>
      <c r="F1719" s="5812">
        <v>1</v>
      </c>
      <c r="G1719" s="5813">
        <v>8.4027777777777785E-2</v>
      </c>
      <c r="H1719" s="21" t="s">
        <v>10</v>
      </c>
      <c r="I1719" s="21" t="s">
        <v>3517</v>
      </c>
      <c r="J1719" s="21" t="s">
        <v>97</v>
      </c>
      <c r="K1719" s="5814" t="s">
        <v>6632</v>
      </c>
    </row>
    <row r="1720" spans="1:11">
      <c r="A1720" s="21" t="s">
        <v>2334</v>
      </c>
      <c r="B1720" s="21" t="s">
        <v>6633</v>
      </c>
      <c r="C1720" s="21" t="s">
        <v>22</v>
      </c>
      <c r="D1720" s="21" t="s">
        <v>627</v>
      </c>
      <c r="E1720" s="21" t="s">
        <v>46</v>
      </c>
      <c r="F1720" s="5812">
        <v>1</v>
      </c>
      <c r="G1720" s="5813">
        <v>8.6805555555555552E-2</v>
      </c>
      <c r="H1720" s="21" t="s">
        <v>10</v>
      </c>
      <c r="I1720" s="21" t="s">
        <v>11</v>
      </c>
      <c r="J1720" s="21" t="s">
        <v>127</v>
      </c>
      <c r="K1720" s="5814" t="s">
        <v>6634</v>
      </c>
    </row>
    <row r="1721" spans="1:11">
      <c r="A1721" s="21" t="s">
        <v>3720</v>
      </c>
      <c r="B1721" s="21" t="s">
        <v>6635</v>
      </c>
      <c r="C1721" s="21" t="s">
        <v>8</v>
      </c>
      <c r="D1721" s="21" t="s">
        <v>627</v>
      </c>
      <c r="E1721" s="21" t="s">
        <v>46</v>
      </c>
      <c r="F1721" s="5812">
        <v>1</v>
      </c>
      <c r="G1721" s="5813">
        <v>8.819444444444445E-2</v>
      </c>
      <c r="H1721" s="21" t="s">
        <v>10</v>
      </c>
      <c r="I1721" s="21" t="s">
        <v>187</v>
      </c>
      <c r="J1721" s="21" t="s">
        <v>97</v>
      </c>
      <c r="K1721" s="5814" t="s">
        <v>6636</v>
      </c>
    </row>
    <row r="1722" spans="1:11">
      <c r="A1722" s="21" t="s">
        <v>3160</v>
      </c>
      <c r="B1722" s="21" t="s">
        <v>6637</v>
      </c>
      <c r="C1722" s="21" t="s">
        <v>22</v>
      </c>
      <c r="D1722" s="21" t="s">
        <v>627</v>
      </c>
      <c r="E1722" s="21" t="s">
        <v>46</v>
      </c>
      <c r="F1722" s="5812">
        <v>1</v>
      </c>
      <c r="G1722" s="5813">
        <v>8.819444444444445E-2</v>
      </c>
      <c r="H1722" s="21" t="s">
        <v>10</v>
      </c>
      <c r="I1722" s="21" t="s">
        <v>55</v>
      </c>
      <c r="J1722" s="21" t="s">
        <v>48</v>
      </c>
      <c r="K1722" s="5814" t="s">
        <v>6638</v>
      </c>
    </row>
    <row r="1723" spans="1:11">
      <c r="A1723" s="21" t="s">
        <v>3495</v>
      </c>
      <c r="B1723" s="21" t="s">
        <v>6639</v>
      </c>
      <c r="C1723" s="21" t="s">
        <v>8</v>
      </c>
      <c r="D1723" s="21" t="s">
        <v>627</v>
      </c>
      <c r="E1723" s="21" t="s">
        <v>46</v>
      </c>
      <c r="F1723" s="5812">
        <v>1</v>
      </c>
      <c r="G1723" s="5813">
        <v>8.9583333333333334E-2</v>
      </c>
      <c r="H1723" s="21" t="s">
        <v>10</v>
      </c>
      <c r="I1723" s="21" t="s">
        <v>11</v>
      </c>
      <c r="J1723" s="21" t="s">
        <v>127</v>
      </c>
      <c r="K1723" s="5814" t="s">
        <v>6640</v>
      </c>
    </row>
    <row r="1724" spans="1:11">
      <c r="A1724" s="21" t="s">
        <v>4654</v>
      </c>
      <c r="B1724" s="21" t="s">
        <v>6641</v>
      </c>
      <c r="C1724" s="21" t="s">
        <v>8</v>
      </c>
      <c r="D1724" s="21" t="s">
        <v>627</v>
      </c>
      <c r="E1724" s="21" t="s">
        <v>46</v>
      </c>
      <c r="F1724" s="5812">
        <v>1</v>
      </c>
      <c r="G1724" s="5813">
        <v>9.166666666666666E-2</v>
      </c>
      <c r="H1724" s="21" t="s">
        <v>10</v>
      </c>
      <c r="I1724" s="21" t="s">
        <v>47</v>
      </c>
      <c r="J1724" s="21" t="s">
        <v>48</v>
      </c>
      <c r="K1724" s="5814" t="s">
        <v>6642</v>
      </c>
    </row>
    <row r="1725" spans="1:11">
      <c r="A1725" s="21" t="s">
        <v>2354</v>
      </c>
      <c r="B1725" s="21" t="s">
        <v>6643</v>
      </c>
      <c r="C1725" s="21" t="s">
        <v>22</v>
      </c>
      <c r="D1725" s="21" t="s">
        <v>627</v>
      </c>
      <c r="E1725" s="21" t="s">
        <v>46</v>
      </c>
      <c r="F1725" s="5812">
        <v>1</v>
      </c>
      <c r="G1725" s="5813">
        <v>9.4444444444444442E-2</v>
      </c>
      <c r="H1725" s="21" t="s">
        <v>10</v>
      </c>
      <c r="I1725" s="21" t="s">
        <v>55</v>
      </c>
      <c r="J1725" s="21" t="s">
        <v>1076</v>
      </c>
      <c r="K1725" s="5814" t="s">
        <v>6644</v>
      </c>
    </row>
    <row r="1726" spans="1:11">
      <c r="A1726" s="21" t="s">
        <v>2291</v>
      </c>
      <c r="B1726" s="21" t="s">
        <v>6645</v>
      </c>
      <c r="C1726" s="21" t="s">
        <v>22</v>
      </c>
      <c r="D1726" s="21" t="s">
        <v>627</v>
      </c>
      <c r="E1726" s="21" t="s">
        <v>46</v>
      </c>
      <c r="F1726" s="5812">
        <v>1</v>
      </c>
      <c r="G1726" s="5813">
        <v>9.5138888888888884E-2</v>
      </c>
      <c r="H1726" s="21" t="s">
        <v>10</v>
      </c>
      <c r="I1726" s="21" t="s">
        <v>96</v>
      </c>
      <c r="J1726" s="21" t="s">
        <v>3168</v>
      </c>
      <c r="K1726" s="5814" t="s">
        <v>6646</v>
      </c>
    </row>
    <row r="1727" spans="1:11">
      <c r="A1727" s="21" t="s">
        <v>2237</v>
      </c>
      <c r="B1727" s="21" t="s">
        <v>6647</v>
      </c>
      <c r="C1727" s="21" t="s">
        <v>8</v>
      </c>
      <c r="D1727" s="21" t="s">
        <v>627</v>
      </c>
      <c r="E1727" s="21" t="s">
        <v>46</v>
      </c>
      <c r="F1727" s="5812">
        <v>1</v>
      </c>
      <c r="G1727" s="5813">
        <v>0.10208333333333333</v>
      </c>
      <c r="H1727" s="21" t="s">
        <v>10</v>
      </c>
      <c r="I1727" s="21" t="s">
        <v>5894</v>
      </c>
      <c r="J1727" s="21" t="s">
        <v>127</v>
      </c>
      <c r="K1727" s="5814" t="s">
        <v>6648</v>
      </c>
    </row>
    <row r="1728" spans="1:11">
      <c r="A1728" s="21" t="s">
        <v>3446</v>
      </c>
      <c r="B1728" s="21" t="s">
        <v>6649</v>
      </c>
      <c r="C1728" s="21" t="s">
        <v>8</v>
      </c>
      <c r="D1728" s="21" t="s">
        <v>627</v>
      </c>
      <c r="E1728" s="21" t="s">
        <v>46</v>
      </c>
      <c r="F1728" s="5812">
        <v>1</v>
      </c>
      <c r="G1728" s="5813">
        <v>0.1076388888888889</v>
      </c>
      <c r="H1728" s="21" t="s">
        <v>10</v>
      </c>
      <c r="I1728" s="21" t="s">
        <v>47</v>
      </c>
      <c r="J1728" s="21" t="s">
        <v>1117</v>
      </c>
      <c r="K1728" s="5814" t="s">
        <v>6650</v>
      </c>
    </row>
    <row r="1729" spans="1:11">
      <c r="A1729" s="21" t="s">
        <v>3009</v>
      </c>
      <c r="B1729" s="21" t="s">
        <v>6651</v>
      </c>
      <c r="C1729" s="21" t="s">
        <v>8</v>
      </c>
      <c r="D1729" s="21" t="s">
        <v>627</v>
      </c>
      <c r="E1729" s="21" t="s">
        <v>46</v>
      </c>
      <c r="F1729" s="5812">
        <v>1</v>
      </c>
      <c r="G1729" s="5813">
        <v>0.10972222222222222</v>
      </c>
      <c r="H1729" s="21" t="s">
        <v>10</v>
      </c>
      <c r="I1729" s="21" t="s">
        <v>23</v>
      </c>
      <c r="J1729" s="21" t="s">
        <v>48</v>
      </c>
      <c r="K1729" s="5814" t="s">
        <v>6652</v>
      </c>
    </row>
    <row r="1730" spans="1:11">
      <c r="A1730" s="21" t="s">
        <v>2995</v>
      </c>
      <c r="B1730" s="21" t="s">
        <v>6653</v>
      </c>
      <c r="C1730" s="21" t="s">
        <v>8</v>
      </c>
      <c r="D1730" s="21" t="s">
        <v>627</v>
      </c>
      <c r="E1730" s="21" t="s">
        <v>46</v>
      </c>
      <c r="F1730" s="5812">
        <v>1</v>
      </c>
      <c r="G1730" s="5813">
        <v>0.1111111111111111</v>
      </c>
      <c r="H1730" s="21" t="s">
        <v>10</v>
      </c>
      <c r="I1730" s="21" t="s">
        <v>55</v>
      </c>
      <c r="J1730" s="21" t="s">
        <v>48</v>
      </c>
      <c r="K1730" s="5814" t="s">
        <v>6654</v>
      </c>
    </row>
    <row r="1731" spans="1:11">
      <c r="A1731" s="21" t="s">
        <v>2131</v>
      </c>
      <c r="B1731" s="21" t="s">
        <v>6655</v>
      </c>
      <c r="C1731" s="21" t="s">
        <v>8</v>
      </c>
      <c r="D1731" s="21" t="s">
        <v>627</v>
      </c>
      <c r="E1731" s="21" t="s">
        <v>46</v>
      </c>
      <c r="F1731" s="5812">
        <v>1</v>
      </c>
      <c r="G1731" s="5813">
        <v>0.11319444444444444</v>
      </c>
      <c r="H1731" s="21" t="s">
        <v>10</v>
      </c>
      <c r="I1731" s="21" t="s">
        <v>226</v>
      </c>
      <c r="J1731" s="21" t="s">
        <v>127</v>
      </c>
      <c r="K1731" s="5814" t="s">
        <v>6656</v>
      </c>
    </row>
    <row r="1732" spans="1:11">
      <c r="A1732" s="21" t="s">
        <v>4597</v>
      </c>
      <c r="B1732" s="21" t="s">
        <v>6657</v>
      </c>
      <c r="C1732" s="21" t="s">
        <v>8</v>
      </c>
      <c r="D1732" s="21" t="s">
        <v>627</v>
      </c>
      <c r="E1732" s="21" t="s">
        <v>46</v>
      </c>
      <c r="F1732" s="5812">
        <v>1</v>
      </c>
      <c r="G1732" s="5813">
        <v>0.11458333333333333</v>
      </c>
      <c r="H1732" s="21" t="s">
        <v>10</v>
      </c>
      <c r="I1732" s="21" t="s">
        <v>226</v>
      </c>
      <c r="J1732" s="21" t="s">
        <v>258</v>
      </c>
      <c r="K1732" s="5814" t="s">
        <v>6658</v>
      </c>
    </row>
    <row r="1733" spans="1:11">
      <c r="A1733" s="21" t="s">
        <v>2655</v>
      </c>
      <c r="B1733" s="21" t="s">
        <v>6659</v>
      </c>
      <c r="C1733" s="21" t="s">
        <v>8</v>
      </c>
      <c r="D1733" s="21" t="s">
        <v>627</v>
      </c>
      <c r="E1733" s="21" t="s">
        <v>46</v>
      </c>
      <c r="F1733" s="5812">
        <v>1</v>
      </c>
      <c r="G1733" s="5813">
        <v>0.11736111111111111</v>
      </c>
      <c r="H1733" s="21" t="s">
        <v>10</v>
      </c>
      <c r="I1733" s="21" t="s">
        <v>47</v>
      </c>
      <c r="J1733" s="21" t="s">
        <v>127</v>
      </c>
      <c r="K1733" s="5814" t="s">
        <v>6660</v>
      </c>
    </row>
    <row r="1734" spans="1:11">
      <c r="A1734" s="21" t="s">
        <v>2446</v>
      </c>
      <c r="B1734" s="21" t="s">
        <v>6661</v>
      </c>
      <c r="C1734" s="21" t="s">
        <v>22</v>
      </c>
      <c r="D1734" s="21" t="s">
        <v>627</v>
      </c>
      <c r="E1734" s="21" t="s">
        <v>46</v>
      </c>
      <c r="F1734" s="5812">
        <v>1</v>
      </c>
      <c r="G1734" s="5813">
        <v>0.12152777777777778</v>
      </c>
      <c r="H1734" s="21" t="s">
        <v>54</v>
      </c>
      <c r="I1734" s="21" t="s">
        <v>96</v>
      </c>
      <c r="J1734" s="21" t="s">
        <v>48</v>
      </c>
      <c r="K1734" s="5814" t="s">
        <v>6662</v>
      </c>
    </row>
    <row r="1735" spans="1:11">
      <c r="A1735" s="21" t="s">
        <v>2711</v>
      </c>
      <c r="B1735" s="21" t="s">
        <v>6663</v>
      </c>
      <c r="C1735" s="21" t="s">
        <v>22</v>
      </c>
      <c r="D1735" s="21" t="s">
        <v>627</v>
      </c>
      <c r="E1735" s="21" t="s">
        <v>46</v>
      </c>
      <c r="F1735" s="5812">
        <v>1</v>
      </c>
      <c r="G1735" s="5813">
        <v>0.12152777777777778</v>
      </c>
      <c r="H1735" s="21" t="s">
        <v>10</v>
      </c>
      <c r="I1735" s="21" t="s">
        <v>47</v>
      </c>
      <c r="J1735" s="21" t="s">
        <v>406</v>
      </c>
      <c r="K1735" s="5814" t="s">
        <v>6664</v>
      </c>
    </row>
    <row r="1736" spans="1:11">
      <c r="A1736" s="21" t="s">
        <v>5235</v>
      </c>
      <c r="B1736" s="21" t="s">
        <v>6665</v>
      </c>
      <c r="C1736" s="21" t="s">
        <v>22</v>
      </c>
      <c r="D1736" s="21" t="s">
        <v>627</v>
      </c>
      <c r="E1736" s="21" t="s">
        <v>46</v>
      </c>
      <c r="F1736" s="5812">
        <v>1</v>
      </c>
      <c r="G1736" s="5813">
        <v>0.12222222222222222</v>
      </c>
      <c r="H1736" s="21" t="s">
        <v>10</v>
      </c>
      <c r="I1736" s="21" t="s">
        <v>2660</v>
      </c>
      <c r="J1736" s="21" t="s">
        <v>48</v>
      </c>
      <c r="K1736" s="5814" t="s">
        <v>6666</v>
      </c>
    </row>
    <row r="1737" spans="1:11">
      <c r="A1737" s="21" t="s">
        <v>3434</v>
      </c>
      <c r="B1737" s="21" t="s">
        <v>6667</v>
      </c>
      <c r="C1737" s="21" t="s">
        <v>8</v>
      </c>
      <c r="D1737" s="21" t="s">
        <v>627</v>
      </c>
      <c r="E1737" s="21" t="s">
        <v>46</v>
      </c>
      <c r="F1737" s="5812">
        <v>1</v>
      </c>
      <c r="G1737" s="5813">
        <v>0.12291666666666666</v>
      </c>
      <c r="H1737" s="21" t="s">
        <v>10</v>
      </c>
      <c r="I1737" s="21" t="s">
        <v>89</v>
      </c>
      <c r="J1737" s="21" t="s">
        <v>430</v>
      </c>
      <c r="K1737" s="5814" t="s">
        <v>6668</v>
      </c>
    </row>
    <row r="1738" spans="1:11">
      <c r="A1738" s="21" t="s">
        <v>2663</v>
      </c>
      <c r="B1738" s="21" t="s">
        <v>6669</v>
      </c>
      <c r="C1738" s="21" t="s">
        <v>22</v>
      </c>
      <c r="D1738" s="21" t="s">
        <v>627</v>
      </c>
      <c r="E1738" s="21" t="s">
        <v>46</v>
      </c>
      <c r="F1738" s="5812">
        <v>1</v>
      </c>
      <c r="G1738" s="5813">
        <v>0.12430555555555556</v>
      </c>
      <c r="H1738" s="21" t="s">
        <v>10</v>
      </c>
      <c r="I1738" s="21" t="s">
        <v>4254</v>
      </c>
      <c r="J1738" s="21" t="s">
        <v>6670</v>
      </c>
      <c r="K1738" s="5814" t="s">
        <v>6671</v>
      </c>
    </row>
    <row r="1739" spans="1:11">
      <c r="A1739" s="21" t="s">
        <v>3105</v>
      </c>
      <c r="B1739" s="21" t="s">
        <v>6672</v>
      </c>
      <c r="C1739" s="21" t="s">
        <v>22</v>
      </c>
      <c r="D1739" s="21" t="s">
        <v>627</v>
      </c>
      <c r="E1739" s="21" t="s">
        <v>46</v>
      </c>
      <c r="F1739" s="5812">
        <v>1</v>
      </c>
      <c r="G1739" s="5813">
        <v>0.12777777777777777</v>
      </c>
      <c r="H1739" s="21" t="s">
        <v>10</v>
      </c>
      <c r="I1739" s="21" t="s">
        <v>23</v>
      </c>
      <c r="J1739" s="21" t="s">
        <v>997</v>
      </c>
      <c r="K1739" s="5814" t="s">
        <v>6673</v>
      </c>
    </row>
    <row r="1740" spans="1:11">
      <c r="A1740" s="21" t="s">
        <v>2079</v>
      </c>
      <c r="B1740" s="21" t="s">
        <v>6674</v>
      </c>
      <c r="C1740" s="21" t="s">
        <v>8</v>
      </c>
      <c r="D1740" s="21" t="s">
        <v>627</v>
      </c>
      <c r="E1740" s="21" t="s">
        <v>46</v>
      </c>
      <c r="F1740" s="5812">
        <v>1</v>
      </c>
      <c r="G1740" s="5813">
        <v>0.12777777777777777</v>
      </c>
      <c r="H1740" s="21" t="s">
        <v>10</v>
      </c>
      <c r="I1740" s="21" t="s">
        <v>96</v>
      </c>
      <c r="J1740" s="21" t="s">
        <v>97</v>
      </c>
      <c r="K1740" s="5814" t="s">
        <v>6675</v>
      </c>
    </row>
    <row r="1741" spans="1:11">
      <c r="A1741" s="21" t="s">
        <v>3584</v>
      </c>
      <c r="B1741" s="21" t="s">
        <v>6676</v>
      </c>
      <c r="C1741" s="21" t="s">
        <v>8</v>
      </c>
      <c r="D1741" s="21" t="s">
        <v>627</v>
      </c>
      <c r="E1741" s="21" t="s">
        <v>46</v>
      </c>
      <c r="F1741" s="5812">
        <v>1</v>
      </c>
      <c r="G1741" s="5813">
        <v>0.12847222222222221</v>
      </c>
      <c r="H1741" s="21" t="s">
        <v>10</v>
      </c>
      <c r="I1741" s="21" t="s">
        <v>2713</v>
      </c>
      <c r="J1741" s="21" t="s">
        <v>48</v>
      </c>
      <c r="K1741" s="5814" t="s">
        <v>6677</v>
      </c>
    </row>
    <row r="1742" spans="1:11">
      <c r="A1742" s="21" t="s">
        <v>2555</v>
      </c>
      <c r="B1742" s="21" t="s">
        <v>6678</v>
      </c>
      <c r="C1742" s="21" t="s">
        <v>22</v>
      </c>
      <c r="D1742" s="21" t="s">
        <v>627</v>
      </c>
      <c r="E1742" s="21" t="s">
        <v>46</v>
      </c>
      <c r="F1742" s="5812">
        <v>1</v>
      </c>
      <c r="G1742" s="5813">
        <v>0.13055555555555556</v>
      </c>
      <c r="H1742" s="21" t="s">
        <v>54</v>
      </c>
      <c r="I1742" s="21" t="s">
        <v>55</v>
      </c>
      <c r="J1742" s="21" t="s">
        <v>48</v>
      </c>
      <c r="K1742" s="5814" t="s">
        <v>6679</v>
      </c>
    </row>
    <row r="1743" spans="1:11">
      <c r="A1743" s="21" t="s">
        <v>2679</v>
      </c>
      <c r="B1743" s="21" t="s">
        <v>6680</v>
      </c>
      <c r="C1743" s="21" t="s">
        <v>8</v>
      </c>
      <c r="D1743" s="21" t="s">
        <v>627</v>
      </c>
      <c r="E1743" s="21" t="s">
        <v>46</v>
      </c>
      <c r="F1743" s="5812">
        <v>1</v>
      </c>
      <c r="G1743" s="5813">
        <v>0.13125000000000001</v>
      </c>
      <c r="H1743" s="21" t="s">
        <v>10</v>
      </c>
      <c r="I1743" s="21" t="s">
        <v>55</v>
      </c>
      <c r="J1743" s="21" t="s">
        <v>722</v>
      </c>
      <c r="K1743" s="5814" t="s">
        <v>6681</v>
      </c>
    </row>
    <row r="1744" spans="1:11">
      <c r="A1744" s="21" t="s">
        <v>3409</v>
      </c>
      <c r="B1744" s="21" t="s">
        <v>6682</v>
      </c>
      <c r="C1744" s="21" t="s">
        <v>8</v>
      </c>
      <c r="D1744" s="21" t="s">
        <v>627</v>
      </c>
      <c r="E1744" s="21" t="s">
        <v>46</v>
      </c>
      <c r="F1744" s="5812">
        <v>1</v>
      </c>
      <c r="G1744" s="5813">
        <v>0.13402777777777777</v>
      </c>
      <c r="H1744" s="21" t="s">
        <v>10</v>
      </c>
      <c r="I1744" s="21" t="s">
        <v>187</v>
      </c>
      <c r="J1744" s="21" t="s">
        <v>48</v>
      </c>
      <c r="K1744" s="5814" t="s">
        <v>6683</v>
      </c>
    </row>
    <row r="1745" spans="1:11">
      <c r="A1745" s="21" t="s">
        <v>2698</v>
      </c>
      <c r="B1745" s="21" t="s">
        <v>6684</v>
      </c>
      <c r="C1745" s="21" t="s">
        <v>22</v>
      </c>
      <c r="D1745" s="21" t="s">
        <v>627</v>
      </c>
      <c r="E1745" s="21" t="s">
        <v>46</v>
      </c>
      <c r="F1745" s="5812">
        <v>1</v>
      </c>
      <c r="G1745" s="5813">
        <v>0.13402777777777777</v>
      </c>
      <c r="H1745" s="21" t="s">
        <v>10</v>
      </c>
      <c r="I1745" s="21" t="s">
        <v>2814</v>
      </c>
      <c r="J1745" s="21" t="s">
        <v>1117</v>
      </c>
      <c r="K1745" s="5814" t="s">
        <v>6685</v>
      </c>
    </row>
    <row r="1746" spans="1:11">
      <c r="A1746" s="21" t="s">
        <v>2600</v>
      </c>
      <c r="B1746" s="21" t="s">
        <v>6686</v>
      </c>
      <c r="C1746" s="21" t="s">
        <v>8</v>
      </c>
      <c r="D1746" s="21" t="s">
        <v>627</v>
      </c>
      <c r="E1746" s="21" t="s">
        <v>46</v>
      </c>
      <c r="F1746" s="5812">
        <v>1</v>
      </c>
      <c r="G1746" s="5813">
        <v>0.13819444444444445</v>
      </c>
      <c r="H1746" s="21" t="s">
        <v>10</v>
      </c>
      <c r="I1746" s="21" t="s">
        <v>55</v>
      </c>
      <c r="J1746" s="21" t="s">
        <v>3226</v>
      </c>
      <c r="K1746" s="5814" t="s">
        <v>6687</v>
      </c>
    </row>
    <row r="1747" spans="1:11">
      <c r="A1747" s="21" t="s">
        <v>3974</v>
      </c>
      <c r="B1747" s="21" t="s">
        <v>6688</v>
      </c>
      <c r="C1747" s="21" t="s">
        <v>22</v>
      </c>
      <c r="D1747" s="21" t="s">
        <v>627</v>
      </c>
      <c r="E1747" s="21" t="s">
        <v>46</v>
      </c>
      <c r="F1747" s="5812">
        <v>1</v>
      </c>
      <c r="G1747" s="5813">
        <v>0.14652777777777778</v>
      </c>
      <c r="H1747" s="21" t="s">
        <v>10</v>
      </c>
      <c r="I1747" s="21" t="s">
        <v>2544</v>
      </c>
      <c r="J1747" s="21" t="s">
        <v>48</v>
      </c>
      <c r="K1747" s="5814" t="s">
        <v>6689</v>
      </c>
    </row>
    <row r="1748" spans="1:11">
      <c r="A1748" s="21" t="s">
        <v>177</v>
      </c>
      <c r="B1748" s="21" t="s">
        <v>646</v>
      </c>
      <c r="C1748" s="21" t="s">
        <v>22</v>
      </c>
      <c r="D1748" s="21" t="s">
        <v>627</v>
      </c>
      <c r="E1748" s="21" t="s">
        <v>46</v>
      </c>
      <c r="F1748" s="5812">
        <v>1</v>
      </c>
      <c r="G1748" s="5813">
        <v>0.15138888888888888</v>
      </c>
      <c r="H1748" s="21" t="s">
        <v>10</v>
      </c>
      <c r="I1748" s="21" t="s">
        <v>89</v>
      </c>
      <c r="J1748" s="21" t="s">
        <v>97</v>
      </c>
      <c r="K1748" s="5814" t="s">
        <v>647</v>
      </c>
    </row>
    <row r="1749" spans="1:11">
      <c r="A1749" s="21" t="s">
        <v>4711</v>
      </c>
      <c r="B1749" s="21" t="s">
        <v>6690</v>
      </c>
      <c r="C1749" s="21" t="s">
        <v>22</v>
      </c>
      <c r="D1749" s="21" t="s">
        <v>627</v>
      </c>
      <c r="E1749" s="21" t="s">
        <v>46</v>
      </c>
      <c r="F1749" s="5812">
        <v>1</v>
      </c>
      <c r="G1749" s="5813">
        <v>0.15208333333333332</v>
      </c>
      <c r="H1749" s="21" t="s">
        <v>10</v>
      </c>
      <c r="I1749" s="21" t="s">
        <v>226</v>
      </c>
      <c r="J1749" s="21" t="s">
        <v>940</v>
      </c>
      <c r="K1749" s="5814" t="s">
        <v>6691</v>
      </c>
    </row>
    <row r="1750" spans="1:11">
      <c r="A1750" s="21" t="s">
        <v>2372</v>
      </c>
      <c r="B1750" s="21" t="s">
        <v>6692</v>
      </c>
      <c r="C1750" s="21" t="s">
        <v>8</v>
      </c>
      <c r="D1750" s="21" t="s">
        <v>627</v>
      </c>
      <c r="E1750" s="21" t="s">
        <v>46</v>
      </c>
      <c r="F1750" s="5812">
        <v>1</v>
      </c>
      <c r="G1750" s="5813">
        <v>0.15555555555555556</v>
      </c>
      <c r="H1750" s="21" t="s">
        <v>10</v>
      </c>
      <c r="I1750" s="21" t="s">
        <v>187</v>
      </c>
      <c r="J1750" s="21" t="s">
        <v>48</v>
      </c>
      <c r="K1750" s="5814" t="s">
        <v>6693</v>
      </c>
    </row>
    <row r="1751" spans="1:11">
      <c r="A1751" s="21" t="s">
        <v>3328</v>
      </c>
      <c r="B1751" s="21" t="s">
        <v>6694</v>
      </c>
      <c r="C1751" s="21" t="s">
        <v>8</v>
      </c>
      <c r="D1751" s="21" t="s">
        <v>627</v>
      </c>
      <c r="E1751" s="21" t="s">
        <v>46</v>
      </c>
      <c r="F1751" s="5812">
        <v>1</v>
      </c>
      <c r="G1751" s="5813">
        <v>0.16388888888888889</v>
      </c>
      <c r="H1751" s="21" t="s">
        <v>10</v>
      </c>
      <c r="I1751" s="21" t="s">
        <v>226</v>
      </c>
      <c r="J1751" s="21" t="s">
        <v>48</v>
      </c>
      <c r="K1751" s="5814" t="s">
        <v>6695</v>
      </c>
    </row>
    <row r="1752" spans="1:11">
      <c r="A1752" s="21" t="s">
        <v>2481</v>
      </c>
      <c r="B1752" s="21" t="s">
        <v>6696</v>
      </c>
      <c r="C1752" s="21" t="s">
        <v>8</v>
      </c>
      <c r="D1752" s="21" t="s">
        <v>627</v>
      </c>
      <c r="E1752" s="21" t="s">
        <v>46</v>
      </c>
      <c r="F1752" s="5812">
        <v>1</v>
      </c>
      <c r="G1752" s="5813">
        <v>0.16527777777777777</v>
      </c>
      <c r="H1752" s="21" t="s">
        <v>10</v>
      </c>
      <c r="I1752" s="21" t="s">
        <v>23</v>
      </c>
      <c r="J1752" s="21" t="s">
        <v>48</v>
      </c>
      <c r="K1752" s="5814" t="s">
        <v>6697</v>
      </c>
    </row>
    <row r="1753" spans="1:11">
      <c r="A1753" s="21" t="s">
        <v>2354</v>
      </c>
      <c r="B1753" s="21" t="s">
        <v>6698</v>
      </c>
      <c r="C1753" s="21" t="s">
        <v>22</v>
      </c>
      <c r="D1753" s="21" t="s">
        <v>627</v>
      </c>
      <c r="E1753" s="21" t="s">
        <v>46</v>
      </c>
      <c r="F1753" s="5812">
        <v>1</v>
      </c>
      <c r="G1753" s="5813">
        <v>0.1701388888888889</v>
      </c>
      <c r="H1753" s="21" t="s">
        <v>10</v>
      </c>
      <c r="I1753" s="21" t="s">
        <v>55</v>
      </c>
      <c r="J1753" s="21" t="s">
        <v>97</v>
      </c>
      <c r="K1753" s="5814" t="s">
        <v>6699</v>
      </c>
    </row>
    <row r="1754" spans="1:11">
      <c r="A1754" s="21" t="s">
        <v>2668</v>
      </c>
      <c r="B1754" s="21" t="s">
        <v>6700</v>
      </c>
      <c r="C1754" s="21" t="s">
        <v>22</v>
      </c>
      <c r="D1754" s="21" t="s">
        <v>627</v>
      </c>
      <c r="E1754" s="21" t="s">
        <v>46</v>
      </c>
      <c r="F1754" s="5812">
        <v>1</v>
      </c>
      <c r="G1754" s="5813">
        <v>0.1701388888888889</v>
      </c>
      <c r="H1754" s="21" t="s">
        <v>10</v>
      </c>
      <c r="I1754" s="21" t="s">
        <v>1184</v>
      </c>
      <c r="J1754" s="21" t="s">
        <v>3132</v>
      </c>
      <c r="K1754" s="5814" t="s">
        <v>6701</v>
      </c>
    </row>
    <row r="1755" spans="1:11">
      <c r="A1755" s="21" t="s">
        <v>2233</v>
      </c>
      <c r="B1755" s="21" t="s">
        <v>6702</v>
      </c>
      <c r="C1755" s="21" t="s">
        <v>8</v>
      </c>
      <c r="D1755" s="21" t="s">
        <v>627</v>
      </c>
      <c r="E1755" s="21" t="s">
        <v>46</v>
      </c>
      <c r="F1755" s="5812">
        <v>1</v>
      </c>
      <c r="G1755" s="5813">
        <v>0.1736111111111111</v>
      </c>
      <c r="H1755" s="21" t="s">
        <v>10</v>
      </c>
      <c r="I1755" s="21" t="s">
        <v>47</v>
      </c>
      <c r="J1755" s="21" t="s">
        <v>4687</v>
      </c>
      <c r="K1755" s="5814" t="s">
        <v>6703</v>
      </c>
    </row>
    <row r="1756" spans="1:11">
      <c r="A1756" s="21" t="s">
        <v>2542</v>
      </c>
      <c r="B1756" s="21" t="s">
        <v>6704</v>
      </c>
      <c r="C1756" s="21" t="s">
        <v>8</v>
      </c>
      <c r="D1756" s="21" t="s">
        <v>627</v>
      </c>
      <c r="E1756" s="21" t="s">
        <v>46</v>
      </c>
      <c r="F1756" s="5812">
        <v>1</v>
      </c>
      <c r="G1756" s="5813">
        <v>0.17708333333333334</v>
      </c>
      <c r="H1756" s="21" t="s">
        <v>10</v>
      </c>
      <c r="I1756" s="21" t="s">
        <v>55</v>
      </c>
      <c r="J1756" s="21" t="s">
        <v>2953</v>
      </c>
      <c r="K1756" s="5814" t="s">
        <v>6705</v>
      </c>
    </row>
    <row r="1757" spans="1:11">
      <c r="A1757" s="21" t="s">
        <v>3515</v>
      </c>
      <c r="B1757" s="21" t="s">
        <v>6706</v>
      </c>
      <c r="C1757" s="21" t="s">
        <v>8</v>
      </c>
      <c r="D1757" s="21" t="s">
        <v>627</v>
      </c>
      <c r="E1757" s="21" t="s">
        <v>46</v>
      </c>
      <c r="F1757" s="5812">
        <v>1</v>
      </c>
      <c r="G1757" s="5813">
        <v>0.17986111111111111</v>
      </c>
      <c r="H1757" s="21" t="s">
        <v>10</v>
      </c>
      <c r="I1757" s="21" t="s">
        <v>3517</v>
      </c>
      <c r="J1757" s="21" t="s">
        <v>48</v>
      </c>
      <c r="K1757" s="5814" t="s">
        <v>6707</v>
      </c>
    </row>
    <row r="1758" spans="1:11">
      <c r="A1758" s="21" t="s">
        <v>2737</v>
      </c>
      <c r="B1758" s="21" t="s">
        <v>6708</v>
      </c>
      <c r="C1758" s="21" t="s">
        <v>8</v>
      </c>
      <c r="D1758" s="21" t="s">
        <v>627</v>
      </c>
      <c r="E1758" s="21" t="s">
        <v>46</v>
      </c>
      <c r="F1758" s="5812">
        <v>1</v>
      </c>
      <c r="G1758" s="5813">
        <v>0.18263888888888888</v>
      </c>
      <c r="H1758" s="21" t="s">
        <v>10</v>
      </c>
      <c r="I1758" s="21" t="s">
        <v>226</v>
      </c>
      <c r="J1758" s="21" t="s">
        <v>48</v>
      </c>
      <c r="K1758" s="5814" t="s">
        <v>6709</v>
      </c>
    </row>
    <row r="1759" spans="1:11">
      <c r="A1759" s="21" t="s">
        <v>4233</v>
      </c>
      <c r="B1759" s="21" t="s">
        <v>6710</v>
      </c>
      <c r="C1759" s="21" t="s">
        <v>22</v>
      </c>
      <c r="D1759" s="21" t="s">
        <v>627</v>
      </c>
      <c r="E1759" s="21" t="s">
        <v>46</v>
      </c>
      <c r="F1759" s="5812">
        <v>1</v>
      </c>
      <c r="G1759" s="5813">
        <v>0.18402777777777779</v>
      </c>
      <c r="H1759" s="21" t="s">
        <v>10</v>
      </c>
      <c r="I1759" s="21" t="s">
        <v>47</v>
      </c>
      <c r="J1759" s="21" t="s">
        <v>997</v>
      </c>
      <c r="K1759" s="5814" t="s">
        <v>6711</v>
      </c>
    </row>
    <row r="1760" spans="1:11">
      <c r="A1760" s="21" t="s">
        <v>2955</v>
      </c>
      <c r="B1760" s="21" t="s">
        <v>6712</v>
      </c>
      <c r="C1760" s="21" t="s">
        <v>8</v>
      </c>
      <c r="D1760" s="21" t="s">
        <v>627</v>
      </c>
      <c r="E1760" s="21" t="s">
        <v>46</v>
      </c>
      <c r="F1760" s="5812">
        <v>1</v>
      </c>
      <c r="G1760" s="5813">
        <v>0.19444444444444445</v>
      </c>
      <c r="H1760" s="21" t="s">
        <v>10</v>
      </c>
      <c r="I1760" s="21" t="s">
        <v>55</v>
      </c>
      <c r="J1760" s="21" t="s">
        <v>4687</v>
      </c>
      <c r="K1760" s="5814" t="s">
        <v>6713</v>
      </c>
    </row>
    <row r="1761" spans="1:11">
      <c r="A1761" s="21" t="s">
        <v>4289</v>
      </c>
      <c r="B1761" s="21" t="s">
        <v>6714</v>
      </c>
      <c r="C1761" s="21" t="s">
        <v>8</v>
      </c>
      <c r="D1761" s="21" t="s">
        <v>627</v>
      </c>
      <c r="E1761" s="21" t="s">
        <v>46</v>
      </c>
      <c r="F1761" s="5812">
        <v>1</v>
      </c>
      <c r="G1761" s="5813">
        <v>0.19791666666666666</v>
      </c>
      <c r="H1761" s="21" t="s">
        <v>10</v>
      </c>
      <c r="I1761" s="21" t="s">
        <v>2660</v>
      </c>
      <c r="J1761" s="21" t="s">
        <v>48</v>
      </c>
      <c r="K1761" s="5814" t="s">
        <v>6715</v>
      </c>
    </row>
    <row r="1762" spans="1:11">
      <c r="A1762" s="21" t="s">
        <v>3345</v>
      </c>
      <c r="B1762" s="21" t="s">
        <v>6716</v>
      </c>
      <c r="C1762" s="21" t="s">
        <v>8</v>
      </c>
      <c r="D1762" s="21" t="s">
        <v>627</v>
      </c>
      <c r="E1762" s="21" t="s">
        <v>46</v>
      </c>
      <c r="F1762" s="5812">
        <v>1</v>
      </c>
      <c r="G1762" s="5813">
        <v>0.19791666666666666</v>
      </c>
      <c r="H1762" s="21" t="s">
        <v>10</v>
      </c>
      <c r="I1762" s="21" t="s">
        <v>400</v>
      </c>
      <c r="J1762" s="21" t="s">
        <v>258</v>
      </c>
      <c r="K1762" s="5814" t="s">
        <v>6717</v>
      </c>
    </row>
    <row r="1763" spans="1:11">
      <c r="A1763" s="21" t="s">
        <v>2839</v>
      </c>
      <c r="B1763" s="21" t="s">
        <v>6718</v>
      </c>
      <c r="C1763" s="21" t="s">
        <v>8</v>
      </c>
      <c r="D1763" s="21" t="s">
        <v>627</v>
      </c>
      <c r="E1763" s="21" t="s">
        <v>46</v>
      </c>
      <c r="F1763" s="5812">
        <v>1</v>
      </c>
      <c r="G1763" s="5813">
        <v>0.20277777777777778</v>
      </c>
      <c r="H1763" s="21" t="s">
        <v>10</v>
      </c>
      <c r="I1763" s="21" t="s">
        <v>2713</v>
      </c>
      <c r="J1763" s="21" t="s">
        <v>1076</v>
      </c>
      <c r="K1763" s="5814" t="s">
        <v>6719</v>
      </c>
    </row>
    <row r="1764" spans="1:11">
      <c r="A1764" s="21" t="s">
        <v>3439</v>
      </c>
      <c r="B1764" s="21" t="s">
        <v>6720</v>
      </c>
      <c r="C1764" s="21" t="s">
        <v>8</v>
      </c>
      <c r="D1764" s="21" t="s">
        <v>627</v>
      </c>
      <c r="E1764" s="21" t="s">
        <v>46</v>
      </c>
      <c r="F1764" s="5812">
        <v>1</v>
      </c>
      <c r="G1764" s="5813">
        <v>0.20416666666666666</v>
      </c>
      <c r="H1764" s="21" t="s">
        <v>10</v>
      </c>
      <c r="I1764" s="21" t="s">
        <v>226</v>
      </c>
      <c r="J1764" s="21" t="s">
        <v>6721</v>
      </c>
      <c r="K1764" s="5814" t="s">
        <v>6722</v>
      </c>
    </row>
    <row r="1765" spans="1:11">
      <c r="A1765" s="21" t="s">
        <v>3012</v>
      </c>
      <c r="B1765" s="21" t="s">
        <v>6723</v>
      </c>
      <c r="C1765" s="21" t="s">
        <v>8</v>
      </c>
      <c r="D1765" s="21" t="s">
        <v>627</v>
      </c>
      <c r="E1765" s="21" t="s">
        <v>46</v>
      </c>
      <c r="F1765" s="5812">
        <v>1</v>
      </c>
      <c r="G1765" s="5813">
        <v>0.2048611111111111</v>
      </c>
      <c r="H1765" s="21" t="s">
        <v>10</v>
      </c>
      <c r="I1765" s="21" t="s">
        <v>39</v>
      </c>
      <c r="J1765" s="21" t="s">
        <v>127</v>
      </c>
      <c r="K1765" s="5814" t="s">
        <v>6724</v>
      </c>
    </row>
    <row r="1766" spans="1:11">
      <c r="A1766" s="21" t="s">
        <v>2772</v>
      </c>
      <c r="B1766" s="21" t="s">
        <v>6725</v>
      </c>
      <c r="C1766" s="21" t="s">
        <v>8</v>
      </c>
      <c r="D1766" s="21" t="s">
        <v>627</v>
      </c>
      <c r="E1766" s="21" t="s">
        <v>46</v>
      </c>
      <c r="F1766" s="5812">
        <v>1</v>
      </c>
      <c r="G1766" s="5813">
        <v>0.20555555555555555</v>
      </c>
      <c r="H1766" s="21" t="s">
        <v>10</v>
      </c>
      <c r="I1766" s="21" t="s">
        <v>2713</v>
      </c>
      <c r="J1766" s="21" t="s">
        <v>48</v>
      </c>
      <c r="K1766" s="5814" t="s">
        <v>6726</v>
      </c>
    </row>
    <row r="1767" spans="1:11">
      <c r="A1767" s="21" t="s">
        <v>3387</v>
      </c>
      <c r="B1767" s="21" t="s">
        <v>6727</v>
      </c>
      <c r="C1767" s="21" t="s">
        <v>8</v>
      </c>
      <c r="D1767" s="21" t="s">
        <v>627</v>
      </c>
      <c r="E1767" s="21" t="s">
        <v>46</v>
      </c>
      <c r="F1767" s="5812">
        <v>1</v>
      </c>
      <c r="G1767" s="5813">
        <v>0.20833333333333334</v>
      </c>
      <c r="H1767" s="21" t="s">
        <v>10</v>
      </c>
      <c r="I1767" s="21" t="s">
        <v>2544</v>
      </c>
      <c r="J1767" s="21" t="s">
        <v>6728</v>
      </c>
      <c r="K1767" s="5814" t="s">
        <v>6729</v>
      </c>
    </row>
    <row r="1768" spans="1:11">
      <c r="A1768" s="21" t="s">
        <v>2442</v>
      </c>
      <c r="B1768" s="21" t="s">
        <v>6730</v>
      </c>
      <c r="C1768" s="21" t="s">
        <v>8</v>
      </c>
      <c r="D1768" s="21" t="s">
        <v>627</v>
      </c>
      <c r="E1768" s="21" t="s">
        <v>46</v>
      </c>
      <c r="F1768" s="5812">
        <v>2</v>
      </c>
      <c r="G1768" s="5813">
        <v>1.7361111111111112E-2</v>
      </c>
      <c r="H1768" s="21" t="s">
        <v>10</v>
      </c>
      <c r="I1768" s="21" t="s">
        <v>55</v>
      </c>
      <c r="J1768" s="21" t="s">
        <v>48</v>
      </c>
      <c r="K1768" s="5814" t="s">
        <v>6731</v>
      </c>
    </row>
    <row r="1769" spans="1:11">
      <c r="A1769" s="21" t="s">
        <v>2870</v>
      </c>
      <c r="B1769" s="21" t="s">
        <v>6732</v>
      </c>
      <c r="C1769" s="21" t="s">
        <v>22</v>
      </c>
      <c r="D1769" s="21" t="s">
        <v>627</v>
      </c>
      <c r="E1769" s="21" t="s">
        <v>46</v>
      </c>
      <c r="F1769" s="5812">
        <v>2</v>
      </c>
      <c r="G1769" s="5813">
        <v>1.8749999999999999E-2</v>
      </c>
      <c r="H1769" s="21" t="s">
        <v>10</v>
      </c>
      <c r="I1769" s="21" t="s">
        <v>2665</v>
      </c>
      <c r="J1769" s="21" t="s">
        <v>48</v>
      </c>
      <c r="K1769" s="5814" t="s">
        <v>6733</v>
      </c>
    </row>
    <row r="1770" spans="1:11">
      <c r="A1770" s="21" t="s">
        <v>3293</v>
      </c>
      <c r="B1770" s="21" t="s">
        <v>6734</v>
      </c>
      <c r="C1770" s="21" t="s">
        <v>8</v>
      </c>
      <c r="D1770" s="21" t="s">
        <v>627</v>
      </c>
      <c r="E1770" s="21" t="s">
        <v>46</v>
      </c>
      <c r="F1770" s="5812">
        <v>2</v>
      </c>
      <c r="G1770" s="5813">
        <v>1.9444444444444445E-2</v>
      </c>
      <c r="H1770" s="21" t="s">
        <v>10</v>
      </c>
      <c r="I1770" s="21" t="s">
        <v>96</v>
      </c>
      <c r="J1770" s="21" t="s">
        <v>48</v>
      </c>
      <c r="K1770" s="5814" t="s">
        <v>6735</v>
      </c>
    </row>
    <row r="1771" spans="1:11">
      <c r="A1771" s="21" t="s">
        <v>3412</v>
      </c>
      <c r="B1771" s="21" t="s">
        <v>6736</v>
      </c>
      <c r="C1771" s="21" t="s">
        <v>8</v>
      </c>
      <c r="D1771" s="21" t="s">
        <v>627</v>
      </c>
      <c r="E1771" s="21" t="s">
        <v>46</v>
      </c>
      <c r="F1771" s="5812">
        <v>2</v>
      </c>
      <c r="G1771" s="5813">
        <v>2.7083333333333334E-2</v>
      </c>
      <c r="H1771" s="21" t="s">
        <v>10</v>
      </c>
      <c r="I1771" s="21" t="s">
        <v>96</v>
      </c>
      <c r="J1771" s="21" t="s">
        <v>48</v>
      </c>
      <c r="K1771" s="5814" t="s">
        <v>6737</v>
      </c>
    </row>
    <row r="1772" spans="1:11">
      <c r="A1772" s="21" t="s">
        <v>2831</v>
      </c>
      <c r="B1772" s="21" t="s">
        <v>6738</v>
      </c>
      <c r="C1772" s="21" t="s">
        <v>8</v>
      </c>
      <c r="D1772" s="21" t="s">
        <v>627</v>
      </c>
      <c r="E1772" s="21" t="s">
        <v>46</v>
      </c>
      <c r="F1772" s="5812">
        <v>2</v>
      </c>
      <c r="G1772" s="5813">
        <v>2.7777777777777776E-2</v>
      </c>
      <c r="H1772" s="21" t="s">
        <v>10</v>
      </c>
      <c r="I1772" s="21" t="s">
        <v>47</v>
      </c>
      <c r="J1772" s="21" t="s">
        <v>722</v>
      </c>
      <c r="K1772" s="5814" t="s">
        <v>6739</v>
      </c>
    </row>
    <row r="1773" spans="1:11">
      <c r="A1773" s="21" t="s">
        <v>2668</v>
      </c>
      <c r="B1773" s="21" t="s">
        <v>6740</v>
      </c>
      <c r="C1773" s="21" t="s">
        <v>22</v>
      </c>
      <c r="D1773" s="21" t="s">
        <v>627</v>
      </c>
      <c r="E1773" s="21" t="s">
        <v>46</v>
      </c>
      <c r="F1773" s="5812">
        <v>2</v>
      </c>
      <c r="G1773" s="5813">
        <v>2.8472222222222222E-2</v>
      </c>
      <c r="H1773" s="21" t="s">
        <v>10</v>
      </c>
      <c r="I1773" s="21" t="s">
        <v>194</v>
      </c>
      <c r="J1773" s="21" t="s">
        <v>406</v>
      </c>
      <c r="K1773" s="5814" t="s">
        <v>6741</v>
      </c>
    </row>
    <row r="1774" spans="1:11">
      <c r="A1774" s="21" t="s">
        <v>3203</v>
      </c>
      <c r="B1774" s="21" t="s">
        <v>6742</v>
      </c>
      <c r="C1774" s="21" t="s">
        <v>22</v>
      </c>
      <c r="D1774" s="21" t="s">
        <v>627</v>
      </c>
      <c r="E1774" s="21" t="s">
        <v>46</v>
      </c>
      <c r="F1774" s="5812">
        <v>2</v>
      </c>
      <c r="G1774" s="5813">
        <v>3.4027777777777775E-2</v>
      </c>
      <c r="H1774" s="21" t="s">
        <v>10</v>
      </c>
      <c r="I1774" s="21" t="s">
        <v>47</v>
      </c>
      <c r="J1774" s="21" t="s">
        <v>48</v>
      </c>
      <c r="K1774" s="5814" t="s">
        <v>6743</v>
      </c>
    </row>
    <row r="1775" spans="1:11">
      <c r="A1775" s="21" t="s">
        <v>2061</v>
      </c>
      <c r="B1775" s="21" t="s">
        <v>6744</v>
      </c>
      <c r="C1775" s="21" t="s">
        <v>8</v>
      </c>
      <c r="D1775" s="21" t="s">
        <v>627</v>
      </c>
      <c r="E1775" s="21" t="s">
        <v>46</v>
      </c>
      <c r="F1775" s="5812">
        <v>2</v>
      </c>
      <c r="G1775" s="5813">
        <v>3.888888888888889E-2</v>
      </c>
      <c r="H1775" s="21" t="s">
        <v>10</v>
      </c>
      <c r="I1775" s="21" t="s">
        <v>55</v>
      </c>
      <c r="J1775" s="21" t="s">
        <v>3004</v>
      </c>
      <c r="K1775" s="5814" t="s">
        <v>6745</v>
      </c>
    </row>
    <row r="1776" spans="1:11">
      <c r="A1776" s="21" t="s">
        <v>2197</v>
      </c>
      <c r="B1776" s="21" t="s">
        <v>6746</v>
      </c>
      <c r="C1776" s="21" t="s">
        <v>22</v>
      </c>
      <c r="D1776" s="21" t="s">
        <v>627</v>
      </c>
      <c r="E1776" s="21" t="s">
        <v>46</v>
      </c>
      <c r="F1776" s="5812">
        <v>2</v>
      </c>
      <c r="G1776" s="5813">
        <v>4.1666666666666664E-2</v>
      </c>
      <c r="H1776" s="21" t="s">
        <v>10</v>
      </c>
      <c r="I1776" s="21" t="s">
        <v>47</v>
      </c>
      <c r="J1776" s="21" t="s">
        <v>406</v>
      </c>
      <c r="K1776" s="5814" t="s">
        <v>6747</v>
      </c>
    </row>
    <row r="1777" spans="1:11">
      <c r="A1777" s="21" t="s">
        <v>2092</v>
      </c>
      <c r="B1777" s="21" t="s">
        <v>6748</v>
      </c>
      <c r="C1777" s="21" t="s">
        <v>8</v>
      </c>
      <c r="D1777" s="21" t="s">
        <v>627</v>
      </c>
      <c r="E1777" s="21" t="s">
        <v>46</v>
      </c>
      <c r="F1777" s="5812">
        <v>2</v>
      </c>
      <c r="G1777" s="5813">
        <v>4.3055555555555555E-2</v>
      </c>
      <c r="H1777" s="21" t="s">
        <v>10</v>
      </c>
      <c r="I1777" s="21" t="s">
        <v>11</v>
      </c>
      <c r="J1777" s="21" t="s">
        <v>2953</v>
      </c>
      <c r="K1777" s="5814" t="s">
        <v>6749</v>
      </c>
    </row>
    <row r="1778" spans="1:11">
      <c r="A1778" s="21" t="s">
        <v>231</v>
      </c>
      <c r="B1778" s="21" t="s">
        <v>697</v>
      </c>
      <c r="C1778" s="21" t="s">
        <v>8</v>
      </c>
      <c r="D1778" s="21" t="s">
        <v>627</v>
      </c>
      <c r="E1778" s="21" t="s">
        <v>46</v>
      </c>
      <c r="F1778" s="5812">
        <v>2</v>
      </c>
      <c r="G1778" s="5813">
        <v>4.3749999999999997E-2</v>
      </c>
      <c r="H1778" s="21" t="s">
        <v>10</v>
      </c>
      <c r="I1778" s="21" t="s">
        <v>47</v>
      </c>
      <c r="J1778" s="21" t="s">
        <v>48</v>
      </c>
      <c r="K1778" s="5814" t="s">
        <v>6750</v>
      </c>
    </row>
    <row r="1779" spans="1:11">
      <c r="A1779" s="21" t="s">
        <v>2272</v>
      </c>
      <c r="B1779" s="21" t="s">
        <v>6751</v>
      </c>
      <c r="C1779" s="21" t="s">
        <v>8</v>
      </c>
      <c r="D1779" s="21" t="s">
        <v>627</v>
      </c>
      <c r="E1779" s="21" t="s">
        <v>46</v>
      </c>
      <c r="F1779" s="5812">
        <v>2</v>
      </c>
      <c r="G1779" s="5813">
        <v>0.05</v>
      </c>
      <c r="H1779" s="21" t="s">
        <v>10</v>
      </c>
      <c r="I1779" s="21" t="s">
        <v>55</v>
      </c>
      <c r="J1779" s="21" t="s">
        <v>97</v>
      </c>
      <c r="K1779" s="5814" t="s">
        <v>6752</v>
      </c>
    </row>
    <row r="1780" spans="1:11">
      <c r="A1780" s="21" t="s">
        <v>2985</v>
      </c>
      <c r="B1780" s="21" t="s">
        <v>6753</v>
      </c>
      <c r="C1780" s="21" t="s">
        <v>8</v>
      </c>
      <c r="D1780" s="21" t="s">
        <v>627</v>
      </c>
      <c r="E1780" s="21" t="s">
        <v>46</v>
      </c>
      <c r="F1780" s="5812">
        <v>2</v>
      </c>
      <c r="G1780" s="5813">
        <v>6.8750000000000006E-2</v>
      </c>
      <c r="H1780" s="21" t="s">
        <v>10</v>
      </c>
      <c r="I1780" s="21" t="s">
        <v>55</v>
      </c>
      <c r="J1780" s="21" t="s">
        <v>48</v>
      </c>
      <c r="K1780" s="5814" t="s">
        <v>6754</v>
      </c>
    </row>
    <row r="1781" spans="1:11">
      <c r="A1781" s="21" t="s">
        <v>3144</v>
      </c>
      <c r="B1781" s="21" t="s">
        <v>6755</v>
      </c>
      <c r="C1781" s="21" t="s">
        <v>22</v>
      </c>
      <c r="D1781" s="21" t="s">
        <v>627</v>
      </c>
      <c r="E1781" s="21" t="s">
        <v>46</v>
      </c>
      <c r="F1781" s="5812">
        <v>2</v>
      </c>
      <c r="G1781" s="5813">
        <v>6.8750000000000006E-2</v>
      </c>
      <c r="H1781" s="21" t="s">
        <v>10</v>
      </c>
      <c r="I1781" s="21" t="s">
        <v>187</v>
      </c>
      <c r="J1781" s="21" t="s">
        <v>940</v>
      </c>
      <c r="K1781" s="5814" t="s">
        <v>6756</v>
      </c>
    </row>
    <row r="1782" spans="1:11">
      <c r="A1782" s="21" t="s">
        <v>2827</v>
      </c>
      <c r="B1782" s="21" t="s">
        <v>6757</v>
      </c>
      <c r="C1782" s="21" t="s">
        <v>8</v>
      </c>
      <c r="D1782" s="21" t="s">
        <v>627</v>
      </c>
      <c r="E1782" s="21" t="s">
        <v>46</v>
      </c>
      <c r="F1782" s="5812">
        <v>2</v>
      </c>
      <c r="G1782" s="5813">
        <v>8.7499999999999994E-2</v>
      </c>
      <c r="H1782" s="21" t="s">
        <v>10</v>
      </c>
      <c r="I1782" s="21" t="s">
        <v>2260</v>
      </c>
      <c r="J1782" s="21" t="s">
        <v>2953</v>
      </c>
      <c r="K1782" s="5814" t="s">
        <v>6758</v>
      </c>
    </row>
    <row r="1783" spans="1:11">
      <c r="A1783" s="21" t="s">
        <v>2478</v>
      </c>
      <c r="B1783" s="21" t="s">
        <v>6759</v>
      </c>
      <c r="C1783" s="21" t="s">
        <v>22</v>
      </c>
      <c r="D1783" s="21" t="s">
        <v>627</v>
      </c>
      <c r="E1783" s="21" t="s">
        <v>46</v>
      </c>
      <c r="F1783" s="5812">
        <v>2</v>
      </c>
      <c r="G1783" s="5813">
        <v>0.10416666666666667</v>
      </c>
      <c r="H1783" s="21" t="s">
        <v>10</v>
      </c>
      <c r="I1783" s="21" t="s">
        <v>55</v>
      </c>
      <c r="J1783" s="21" t="s">
        <v>6760</v>
      </c>
      <c r="K1783" s="5814" t="s">
        <v>6761</v>
      </c>
    </row>
    <row r="1784" spans="1:11">
      <c r="A1784" s="21" t="s">
        <v>4863</v>
      </c>
      <c r="B1784" s="21" t="s">
        <v>6762</v>
      </c>
      <c r="C1784" s="21" t="s">
        <v>22</v>
      </c>
      <c r="D1784" s="21" t="s">
        <v>627</v>
      </c>
      <c r="E1784" s="21" t="s">
        <v>46</v>
      </c>
      <c r="F1784" s="5812">
        <v>2</v>
      </c>
      <c r="G1784" s="5813">
        <v>0.10555555555555556</v>
      </c>
      <c r="H1784" s="21" t="s">
        <v>10</v>
      </c>
      <c r="I1784" s="21" t="s">
        <v>2523</v>
      </c>
      <c r="J1784" s="21" t="s">
        <v>417</v>
      </c>
      <c r="K1784" s="5814" t="s">
        <v>6763</v>
      </c>
    </row>
    <row r="1785" spans="1:11">
      <c r="A1785" s="21" t="s">
        <v>4338</v>
      </c>
      <c r="B1785" s="21" t="s">
        <v>6764</v>
      </c>
      <c r="C1785" s="21" t="s">
        <v>8</v>
      </c>
      <c r="D1785" s="21" t="s">
        <v>627</v>
      </c>
      <c r="E1785" s="21" t="s">
        <v>46</v>
      </c>
      <c r="F1785" s="5812">
        <v>2</v>
      </c>
      <c r="G1785" s="5813">
        <v>0.10833333333333334</v>
      </c>
      <c r="H1785" s="21" t="s">
        <v>10</v>
      </c>
      <c r="I1785" s="21" t="s">
        <v>194</v>
      </c>
      <c r="J1785" s="21" t="s">
        <v>430</v>
      </c>
      <c r="K1785" s="5814" t="s">
        <v>6765</v>
      </c>
    </row>
    <row r="1786" spans="1:11">
      <c r="A1786" s="21" t="s">
        <v>3286</v>
      </c>
      <c r="B1786" s="21" t="s">
        <v>6766</v>
      </c>
      <c r="C1786" s="21" t="s">
        <v>22</v>
      </c>
      <c r="D1786" s="21" t="s">
        <v>627</v>
      </c>
      <c r="E1786" s="21" t="s">
        <v>46</v>
      </c>
      <c r="F1786" s="5812">
        <v>2</v>
      </c>
      <c r="G1786" s="5813">
        <v>0.10972222222222222</v>
      </c>
      <c r="H1786" s="21" t="s">
        <v>10</v>
      </c>
      <c r="I1786" s="21" t="s">
        <v>2713</v>
      </c>
      <c r="J1786" s="21" t="s">
        <v>406</v>
      </c>
      <c r="K1786" s="5814" t="s">
        <v>6767</v>
      </c>
    </row>
    <row r="1787" spans="1:11">
      <c r="A1787" s="21" t="s">
        <v>37</v>
      </c>
      <c r="B1787" s="21" t="s">
        <v>689</v>
      </c>
      <c r="C1787" s="21" t="s">
        <v>8</v>
      </c>
      <c r="D1787" s="21" t="s">
        <v>627</v>
      </c>
      <c r="E1787" s="21" t="s">
        <v>46</v>
      </c>
      <c r="F1787" s="5812">
        <v>2</v>
      </c>
      <c r="G1787" s="5813">
        <v>0.1125</v>
      </c>
      <c r="H1787" s="21" t="s">
        <v>54</v>
      </c>
      <c r="I1787" s="21" t="s">
        <v>47</v>
      </c>
      <c r="J1787" s="21" t="s">
        <v>48</v>
      </c>
      <c r="K1787" s="5814" t="s">
        <v>690</v>
      </c>
    </row>
    <row r="1788" spans="1:11">
      <c r="A1788" s="21" t="s">
        <v>3430</v>
      </c>
      <c r="B1788" s="21" t="s">
        <v>6768</v>
      </c>
      <c r="C1788" s="21" t="s">
        <v>8</v>
      </c>
      <c r="D1788" s="21" t="s">
        <v>627</v>
      </c>
      <c r="E1788" s="21" t="s">
        <v>46</v>
      </c>
      <c r="F1788" s="5812">
        <v>2</v>
      </c>
      <c r="G1788" s="5813">
        <v>0.12083333333333333</v>
      </c>
      <c r="H1788" s="21" t="s">
        <v>10</v>
      </c>
      <c r="I1788" s="21" t="s">
        <v>39</v>
      </c>
      <c r="J1788" s="21" t="s">
        <v>6769</v>
      </c>
      <c r="K1788" s="5814" t="s">
        <v>6770</v>
      </c>
    </row>
    <row r="1789" spans="1:11">
      <c r="A1789" s="21" t="s">
        <v>4338</v>
      </c>
      <c r="B1789" s="21" t="s">
        <v>6771</v>
      </c>
      <c r="C1789" s="21" t="s">
        <v>8</v>
      </c>
      <c r="D1789" s="21" t="s">
        <v>627</v>
      </c>
      <c r="E1789" s="21" t="s">
        <v>46</v>
      </c>
      <c r="F1789" s="5812">
        <v>2</v>
      </c>
      <c r="G1789" s="5813">
        <v>0.12083333333333333</v>
      </c>
      <c r="H1789" s="21" t="s">
        <v>10</v>
      </c>
      <c r="I1789" s="21" t="s">
        <v>11</v>
      </c>
      <c r="J1789" s="21" t="s">
        <v>97</v>
      </c>
      <c r="K1789" s="5814" t="s">
        <v>6772</v>
      </c>
    </row>
    <row r="1790" spans="1:11">
      <c r="A1790" s="21" t="s">
        <v>5390</v>
      </c>
      <c r="B1790" s="21" t="s">
        <v>6773</v>
      </c>
      <c r="C1790" s="21" t="s">
        <v>8</v>
      </c>
      <c r="D1790" s="21" t="s">
        <v>627</v>
      </c>
      <c r="E1790" s="21" t="s">
        <v>46</v>
      </c>
      <c r="F1790" s="5812">
        <v>2</v>
      </c>
      <c r="G1790" s="5813">
        <v>0.13125000000000001</v>
      </c>
      <c r="H1790" s="21" t="s">
        <v>10</v>
      </c>
      <c r="I1790" s="21" t="s">
        <v>654</v>
      </c>
      <c r="J1790" s="21" t="s">
        <v>127</v>
      </c>
      <c r="K1790" s="5814" t="s">
        <v>6774</v>
      </c>
    </row>
    <row r="1791" spans="1:11">
      <c r="A1791" s="21" t="s">
        <v>94</v>
      </c>
      <c r="B1791" s="21" t="s">
        <v>631</v>
      </c>
      <c r="C1791" s="21" t="s">
        <v>22</v>
      </c>
      <c r="D1791" s="21" t="s">
        <v>627</v>
      </c>
      <c r="E1791" s="21" t="s">
        <v>46</v>
      </c>
      <c r="F1791" s="5812">
        <v>2</v>
      </c>
      <c r="G1791" s="5813">
        <v>0.1361111111111111</v>
      </c>
      <c r="H1791" s="21" t="s">
        <v>10</v>
      </c>
      <c r="I1791" s="21" t="s">
        <v>55</v>
      </c>
      <c r="J1791" s="21" t="s">
        <v>417</v>
      </c>
      <c r="K1791" s="5814" t="s">
        <v>632</v>
      </c>
    </row>
    <row r="1792" spans="1:11">
      <c r="A1792" s="21" t="s">
        <v>103</v>
      </c>
      <c r="B1792" s="21" t="s">
        <v>666</v>
      </c>
      <c r="C1792" s="21" t="s">
        <v>8</v>
      </c>
      <c r="D1792" s="21" t="s">
        <v>627</v>
      </c>
      <c r="E1792" s="21" t="s">
        <v>46</v>
      </c>
      <c r="F1792" s="5812">
        <v>2</v>
      </c>
      <c r="G1792" s="5813">
        <v>0.13680555555555557</v>
      </c>
      <c r="H1792" s="21" t="s">
        <v>10</v>
      </c>
      <c r="I1792" s="21" t="s">
        <v>55</v>
      </c>
      <c r="J1792" s="21" t="s">
        <v>127</v>
      </c>
      <c r="K1792" s="5814" t="s">
        <v>667</v>
      </c>
    </row>
    <row r="1793" spans="1:11">
      <c r="A1793" s="21" t="s">
        <v>2123</v>
      </c>
      <c r="B1793" s="21" t="s">
        <v>6775</v>
      </c>
      <c r="C1793" s="21" t="s">
        <v>8</v>
      </c>
      <c r="D1793" s="21" t="s">
        <v>627</v>
      </c>
      <c r="E1793" s="21" t="s">
        <v>46</v>
      </c>
      <c r="F1793" s="5812">
        <v>2</v>
      </c>
      <c r="G1793" s="5813">
        <v>0.13819444444444445</v>
      </c>
      <c r="H1793" s="21" t="s">
        <v>10</v>
      </c>
      <c r="I1793" s="21" t="s">
        <v>55</v>
      </c>
      <c r="J1793" s="21" t="s">
        <v>48</v>
      </c>
      <c r="K1793" s="5814" t="s">
        <v>6776</v>
      </c>
    </row>
    <row r="1794" spans="1:11">
      <c r="A1794" s="21" t="s">
        <v>5390</v>
      </c>
      <c r="B1794" s="21" t="s">
        <v>6777</v>
      </c>
      <c r="C1794" s="21" t="s">
        <v>8</v>
      </c>
      <c r="D1794" s="21" t="s">
        <v>627</v>
      </c>
      <c r="E1794" s="21" t="s">
        <v>46</v>
      </c>
      <c r="F1794" s="5812">
        <v>2</v>
      </c>
      <c r="G1794" s="5813">
        <v>0.14791666666666667</v>
      </c>
      <c r="H1794" s="21" t="s">
        <v>10</v>
      </c>
      <c r="I1794" s="21" t="s">
        <v>73</v>
      </c>
      <c r="J1794" s="21" t="s">
        <v>1203</v>
      </c>
      <c r="K1794" s="5814" t="s">
        <v>6778</v>
      </c>
    </row>
    <row r="1795" spans="1:11">
      <c r="A1795" s="21" t="s">
        <v>5335</v>
      </c>
      <c r="B1795" s="21" t="s">
        <v>6272</v>
      </c>
      <c r="C1795" s="21" t="s">
        <v>22</v>
      </c>
      <c r="D1795" s="21" t="s">
        <v>627</v>
      </c>
      <c r="E1795" s="21" t="s">
        <v>46</v>
      </c>
      <c r="F1795" s="5812">
        <v>2</v>
      </c>
      <c r="G1795" s="5813">
        <v>0.15</v>
      </c>
      <c r="H1795" s="21" t="s">
        <v>10</v>
      </c>
      <c r="I1795" s="21" t="s">
        <v>55</v>
      </c>
      <c r="J1795" s="21" t="s">
        <v>258</v>
      </c>
      <c r="K1795" s="5814" t="s">
        <v>6779</v>
      </c>
    </row>
    <row r="1796" spans="1:11">
      <c r="A1796" s="21" t="s">
        <v>3119</v>
      </c>
      <c r="B1796" s="21" t="s">
        <v>6780</v>
      </c>
      <c r="C1796" s="21" t="s">
        <v>22</v>
      </c>
      <c r="D1796" s="21" t="s">
        <v>627</v>
      </c>
      <c r="E1796" s="21" t="s">
        <v>46</v>
      </c>
      <c r="F1796" s="5812">
        <v>2</v>
      </c>
      <c r="G1796" s="5813">
        <v>0.15069444444444444</v>
      </c>
      <c r="H1796" s="21" t="s">
        <v>10</v>
      </c>
      <c r="I1796" s="21" t="s">
        <v>96</v>
      </c>
      <c r="J1796" s="21" t="s">
        <v>97</v>
      </c>
      <c r="K1796" s="5814" t="s">
        <v>6781</v>
      </c>
    </row>
    <row r="1797" spans="1:11">
      <c r="A1797" s="21" t="s">
        <v>2526</v>
      </c>
      <c r="B1797" s="21" t="s">
        <v>6782</v>
      </c>
      <c r="C1797" s="21" t="s">
        <v>8</v>
      </c>
      <c r="D1797" s="21" t="s">
        <v>627</v>
      </c>
      <c r="E1797" s="21" t="s">
        <v>46</v>
      </c>
      <c r="F1797" s="5812">
        <v>2</v>
      </c>
      <c r="G1797" s="5813">
        <v>0.17152777777777778</v>
      </c>
      <c r="H1797" s="21" t="s">
        <v>10</v>
      </c>
      <c r="I1797" s="21" t="s">
        <v>96</v>
      </c>
      <c r="J1797" s="21" t="s">
        <v>48</v>
      </c>
      <c r="K1797" s="5814" t="s">
        <v>6783</v>
      </c>
    </row>
    <row r="1798" spans="1:11">
      <c r="A1798" s="21" t="s">
        <v>4383</v>
      </c>
      <c r="B1798" s="21" t="s">
        <v>6784</v>
      </c>
      <c r="C1798" s="21" t="s">
        <v>22</v>
      </c>
      <c r="D1798" s="21" t="s">
        <v>627</v>
      </c>
      <c r="E1798" s="21" t="s">
        <v>46</v>
      </c>
      <c r="F1798" s="5812">
        <v>2</v>
      </c>
      <c r="G1798" s="5813">
        <v>0.17430555555555555</v>
      </c>
      <c r="H1798" s="21" t="s">
        <v>10</v>
      </c>
      <c r="I1798" s="21" t="s">
        <v>89</v>
      </c>
      <c r="J1798" s="21" t="s">
        <v>430</v>
      </c>
      <c r="K1798" s="5814" t="s">
        <v>6785</v>
      </c>
    </row>
    <row r="1799" spans="1:11">
      <c r="A1799" s="21" t="s">
        <v>207</v>
      </c>
      <c r="B1799" s="21" t="s">
        <v>653</v>
      </c>
      <c r="C1799" s="21" t="s">
        <v>8</v>
      </c>
      <c r="D1799" s="21" t="s">
        <v>627</v>
      </c>
      <c r="E1799" s="21" t="s">
        <v>46</v>
      </c>
      <c r="F1799" s="5812">
        <v>2</v>
      </c>
      <c r="G1799" s="5813">
        <v>0.17847222222222223</v>
      </c>
      <c r="H1799" s="21" t="s">
        <v>10</v>
      </c>
      <c r="I1799" s="21" t="s">
        <v>654</v>
      </c>
      <c r="J1799" s="21" t="s">
        <v>430</v>
      </c>
      <c r="K1799" s="5814" t="s">
        <v>655</v>
      </c>
    </row>
    <row r="1800" spans="1:11">
      <c r="A1800" s="21" t="s">
        <v>2499</v>
      </c>
      <c r="B1800" s="21" t="s">
        <v>6786</v>
      </c>
      <c r="C1800" s="21" t="s">
        <v>22</v>
      </c>
      <c r="D1800" s="21" t="s">
        <v>627</v>
      </c>
      <c r="E1800" s="21" t="s">
        <v>46</v>
      </c>
      <c r="F1800" s="5812">
        <v>2</v>
      </c>
      <c r="G1800" s="5813">
        <v>0.18680555555555556</v>
      </c>
      <c r="H1800" s="21" t="s">
        <v>54</v>
      </c>
      <c r="I1800" s="21" t="s">
        <v>55</v>
      </c>
      <c r="J1800" s="21" t="s">
        <v>3197</v>
      </c>
      <c r="K1800" s="5814" t="s">
        <v>6787</v>
      </c>
    </row>
    <row r="1801" spans="1:11">
      <c r="A1801" s="21" t="s">
        <v>2174</v>
      </c>
      <c r="B1801" s="21" t="s">
        <v>6788</v>
      </c>
      <c r="C1801" s="21" t="s">
        <v>8</v>
      </c>
      <c r="D1801" s="21" t="s">
        <v>627</v>
      </c>
      <c r="E1801" s="21" t="s">
        <v>46</v>
      </c>
      <c r="F1801" s="5812">
        <v>2</v>
      </c>
      <c r="G1801" s="5813">
        <v>0.18819444444444444</v>
      </c>
      <c r="H1801" s="21" t="s">
        <v>10</v>
      </c>
      <c r="I1801" s="21" t="s">
        <v>11</v>
      </c>
      <c r="J1801" s="21" t="s">
        <v>48</v>
      </c>
      <c r="K1801" s="5814" t="s">
        <v>6789</v>
      </c>
    </row>
    <row r="1802" spans="1:11">
      <c r="A1802" s="21" t="s">
        <v>2938</v>
      </c>
      <c r="B1802" s="21" t="s">
        <v>6790</v>
      </c>
      <c r="C1802" s="21" t="s">
        <v>22</v>
      </c>
      <c r="D1802" s="21" t="s">
        <v>627</v>
      </c>
      <c r="E1802" s="21" t="s">
        <v>46</v>
      </c>
      <c r="F1802" s="5812">
        <v>2</v>
      </c>
      <c r="G1802" s="5813">
        <v>0.20694444444444443</v>
      </c>
      <c r="H1802" s="21" t="s">
        <v>10</v>
      </c>
      <c r="I1802" s="21" t="s">
        <v>3517</v>
      </c>
      <c r="J1802" s="21" t="s">
        <v>97</v>
      </c>
      <c r="K1802" s="5814" t="s">
        <v>6791</v>
      </c>
    </row>
    <row r="1803" spans="1:11">
      <c r="A1803" s="21" t="s">
        <v>2061</v>
      </c>
      <c r="B1803" s="21" t="s">
        <v>6792</v>
      </c>
      <c r="C1803" s="21" t="s">
        <v>8</v>
      </c>
      <c r="D1803" s="21" t="s">
        <v>627</v>
      </c>
      <c r="E1803" s="21" t="s">
        <v>46</v>
      </c>
      <c r="F1803" s="5812">
        <v>3</v>
      </c>
      <c r="G1803" s="5813">
        <v>1.3888888888888888E-2</v>
      </c>
      <c r="H1803" s="21" t="s">
        <v>10</v>
      </c>
      <c r="I1803" s="21" t="s">
        <v>96</v>
      </c>
      <c r="J1803" s="21" t="s">
        <v>97</v>
      </c>
      <c r="K1803" s="5814" t="s">
        <v>6793</v>
      </c>
    </row>
    <row r="1804" spans="1:11">
      <c r="A1804" s="21" t="s">
        <v>2160</v>
      </c>
      <c r="B1804" s="21" t="s">
        <v>6794</v>
      </c>
      <c r="C1804" s="21" t="s">
        <v>8</v>
      </c>
      <c r="D1804" s="21" t="s">
        <v>627</v>
      </c>
      <c r="E1804" s="21" t="s">
        <v>46</v>
      </c>
      <c r="F1804" s="5812">
        <v>3</v>
      </c>
      <c r="G1804" s="5813">
        <v>2.013888888888889E-2</v>
      </c>
      <c r="H1804" s="21" t="s">
        <v>10</v>
      </c>
      <c r="I1804" s="21" t="s">
        <v>47</v>
      </c>
      <c r="J1804" s="21" t="s">
        <v>3222</v>
      </c>
      <c r="K1804" s="5814" t="s">
        <v>6795</v>
      </c>
    </row>
    <row r="1805" spans="1:11">
      <c r="A1805" s="21" t="s">
        <v>2647</v>
      </c>
      <c r="B1805" s="21" t="s">
        <v>6796</v>
      </c>
      <c r="C1805" s="21" t="s">
        <v>22</v>
      </c>
      <c r="D1805" s="21" t="s">
        <v>627</v>
      </c>
      <c r="E1805" s="21" t="s">
        <v>46</v>
      </c>
      <c r="F1805" s="5812">
        <v>3</v>
      </c>
      <c r="G1805" s="5813">
        <v>2.7083333333333334E-2</v>
      </c>
      <c r="H1805" s="21" t="s">
        <v>54</v>
      </c>
      <c r="I1805" s="21" t="s">
        <v>55</v>
      </c>
      <c r="J1805" s="21" t="s">
        <v>48</v>
      </c>
      <c r="K1805" s="5814" t="s">
        <v>6797</v>
      </c>
    </row>
    <row r="1806" spans="1:11">
      <c r="A1806" s="21" t="s">
        <v>2600</v>
      </c>
      <c r="B1806" s="21" t="s">
        <v>6798</v>
      </c>
      <c r="C1806" s="21" t="s">
        <v>8</v>
      </c>
      <c r="D1806" s="21" t="s">
        <v>627</v>
      </c>
      <c r="E1806" s="21" t="s">
        <v>46</v>
      </c>
      <c r="F1806" s="5812">
        <v>3</v>
      </c>
      <c r="G1806" s="5813">
        <v>2.9166666666666667E-2</v>
      </c>
      <c r="H1806" s="21" t="s">
        <v>10</v>
      </c>
      <c r="I1806" s="21" t="s">
        <v>2602</v>
      </c>
      <c r="J1806" s="21" t="s">
        <v>48</v>
      </c>
      <c r="K1806" s="5814" t="s">
        <v>6799</v>
      </c>
    </row>
    <row r="1807" spans="1:11">
      <c r="A1807" s="21" t="s">
        <v>4527</v>
      </c>
      <c r="B1807" s="21" t="s">
        <v>6800</v>
      </c>
      <c r="C1807" s="21" t="s">
        <v>8</v>
      </c>
      <c r="D1807" s="21" t="s">
        <v>627</v>
      </c>
      <c r="E1807" s="21" t="s">
        <v>46</v>
      </c>
      <c r="F1807" s="5812">
        <v>3</v>
      </c>
      <c r="G1807" s="5813">
        <v>2.9861111111111113E-2</v>
      </c>
      <c r="H1807" s="21" t="s">
        <v>10</v>
      </c>
      <c r="I1807" s="21" t="s">
        <v>2269</v>
      </c>
      <c r="J1807" s="21" t="s">
        <v>97</v>
      </c>
      <c r="K1807" s="5814" t="s">
        <v>6801</v>
      </c>
    </row>
    <row r="1808" spans="1:11">
      <c r="A1808" s="21" t="s">
        <v>2442</v>
      </c>
      <c r="B1808" s="21" t="s">
        <v>6802</v>
      </c>
      <c r="C1808" s="21" t="s">
        <v>22</v>
      </c>
      <c r="D1808" s="21" t="s">
        <v>627</v>
      </c>
      <c r="E1808" s="21" t="s">
        <v>46</v>
      </c>
      <c r="F1808" s="5812">
        <v>3</v>
      </c>
      <c r="G1808" s="5813">
        <v>3.0555555555555555E-2</v>
      </c>
      <c r="H1808" s="21" t="s">
        <v>10</v>
      </c>
      <c r="I1808" s="21" t="s">
        <v>55</v>
      </c>
      <c r="J1808" s="21" t="s">
        <v>2953</v>
      </c>
      <c r="K1808" s="5814" t="s">
        <v>6803</v>
      </c>
    </row>
    <row r="1809" spans="1:11">
      <c r="A1809" s="21" t="s">
        <v>2863</v>
      </c>
      <c r="B1809" s="21" t="s">
        <v>6804</v>
      </c>
      <c r="C1809" s="21" t="s">
        <v>22</v>
      </c>
      <c r="D1809" s="21" t="s">
        <v>627</v>
      </c>
      <c r="E1809" s="21" t="s">
        <v>46</v>
      </c>
      <c r="F1809" s="5812">
        <v>3</v>
      </c>
      <c r="G1809" s="5813">
        <v>3.125E-2</v>
      </c>
      <c r="H1809" s="21" t="s">
        <v>10</v>
      </c>
      <c r="I1809" s="21" t="s">
        <v>2247</v>
      </c>
      <c r="J1809" s="21" t="s">
        <v>3063</v>
      </c>
      <c r="K1809" s="5814" t="s">
        <v>6805</v>
      </c>
    </row>
    <row r="1810" spans="1:11">
      <c r="A1810" s="21" t="s">
        <v>52</v>
      </c>
      <c r="B1810" s="21" t="s">
        <v>649</v>
      </c>
      <c r="C1810" s="21" t="s">
        <v>22</v>
      </c>
      <c r="D1810" s="21" t="s">
        <v>627</v>
      </c>
      <c r="E1810" s="21" t="s">
        <v>46</v>
      </c>
      <c r="F1810" s="5812">
        <v>3</v>
      </c>
      <c r="G1810" s="5813">
        <v>3.888888888888889E-2</v>
      </c>
      <c r="H1810" s="21" t="s">
        <v>10</v>
      </c>
      <c r="I1810" s="21" t="s">
        <v>39</v>
      </c>
      <c r="J1810" s="21" t="s">
        <v>48</v>
      </c>
      <c r="K1810" s="5814" t="s">
        <v>650</v>
      </c>
    </row>
    <row r="1811" spans="1:11">
      <c r="A1811" s="21" t="s">
        <v>2788</v>
      </c>
      <c r="B1811" s="21" t="s">
        <v>6806</v>
      </c>
      <c r="C1811" s="21" t="s">
        <v>8</v>
      </c>
      <c r="D1811" s="21" t="s">
        <v>627</v>
      </c>
      <c r="E1811" s="21" t="s">
        <v>46</v>
      </c>
      <c r="F1811" s="5812">
        <v>3</v>
      </c>
      <c r="G1811" s="5813">
        <v>4.0972222222222222E-2</v>
      </c>
      <c r="H1811" s="21" t="s">
        <v>10</v>
      </c>
      <c r="I1811" s="21" t="s">
        <v>2247</v>
      </c>
      <c r="J1811" s="21" t="s">
        <v>406</v>
      </c>
      <c r="K1811" s="5814" t="s">
        <v>6807</v>
      </c>
    </row>
    <row r="1812" spans="1:11">
      <c r="A1812" s="21" t="s">
        <v>3183</v>
      </c>
      <c r="B1812" s="21" t="s">
        <v>6808</v>
      </c>
      <c r="C1812" s="21" t="s">
        <v>8</v>
      </c>
      <c r="D1812" s="21" t="s">
        <v>627</v>
      </c>
      <c r="E1812" s="21" t="s">
        <v>46</v>
      </c>
      <c r="F1812" s="5812">
        <v>3</v>
      </c>
      <c r="G1812" s="5813">
        <v>4.9305555555555554E-2</v>
      </c>
      <c r="H1812" s="21" t="s">
        <v>54</v>
      </c>
      <c r="I1812" s="21" t="s">
        <v>39</v>
      </c>
      <c r="J1812" s="21" t="s">
        <v>6809</v>
      </c>
      <c r="K1812" s="5814" t="s">
        <v>6810</v>
      </c>
    </row>
    <row r="1813" spans="1:11">
      <c r="A1813" s="21" t="s">
        <v>2053</v>
      </c>
      <c r="B1813" s="21" t="s">
        <v>6811</v>
      </c>
      <c r="C1813" s="21" t="s">
        <v>22</v>
      </c>
      <c r="D1813" s="21" t="s">
        <v>627</v>
      </c>
      <c r="E1813" s="21" t="s">
        <v>46</v>
      </c>
      <c r="F1813" s="5812">
        <v>3</v>
      </c>
      <c r="G1813" s="5813">
        <v>5.4166666666666669E-2</v>
      </c>
      <c r="H1813" s="21" t="s">
        <v>10</v>
      </c>
      <c r="I1813" s="21" t="s">
        <v>615</v>
      </c>
      <c r="J1813" s="21" t="s">
        <v>518</v>
      </c>
      <c r="K1813" s="5814" t="s">
        <v>6812</v>
      </c>
    </row>
    <row r="1814" spans="1:11">
      <c r="A1814" s="21" t="s">
        <v>3195</v>
      </c>
      <c r="B1814" s="21" t="s">
        <v>6813</v>
      </c>
      <c r="C1814" s="21" t="s">
        <v>8</v>
      </c>
      <c r="D1814" s="21" t="s">
        <v>627</v>
      </c>
      <c r="E1814" s="21" t="s">
        <v>46</v>
      </c>
      <c r="F1814" s="5812">
        <v>3</v>
      </c>
      <c r="G1814" s="5813">
        <v>5.9027777777777776E-2</v>
      </c>
      <c r="H1814" s="21" t="s">
        <v>10</v>
      </c>
      <c r="I1814" s="21" t="s">
        <v>226</v>
      </c>
      <c r="J1814" s="21" t="s">
        <v>722</v>
      </c>
      <c r="K1814" s="5814" t="s">
        <v>6814</v>
      </c>
    </row>
    <row r="1815" spans="1:11">
      <c r="A1815" s="21" t="s">
        <v>115</v>
      </c>
      <c r="B1815" s="21" t="s">
        <v>671</v>
      </c>
      <c r="C1815" s="21" t="s">
        <v>8</v>
      </c>
      <c r="D1815" s="21" t="s">
        <v>627</v>
      </c>
      <c r="E1815" s="21" t="s">
        <v>46</v>
      </c>
      <c r="F1815" s="5812">
        <v>3</v>
      </c>
      <c r="G1815" s="5813">
        <v>6.3888888888888884E-2</v>
      </c>
      <c r="H1815" s="21" t="s">
        <v>10</v>
      </c>
      <c r="I1815" s="21" t="s">
        <v>263</v>
      </c>
      <c r="J1815" s="21" t="s">
        <v>48</v>
      </c>
      <c r="K1815" s="5814" t="s">
        <v>672</v>
      </c>
    </row>
    <row r="1816" spans="1:11">
      <c r="A1816" s="21" t="s">
        <v>2241</v>
      </c>
      <c r="B1816" s="21" t="s">
        <v>6815</v>
      </c>
      <c r="C1816" s="21" t="s">
        <v>22</v>
      </c>
      <c r="D1816" s="21" t="s">
        <v>627</v>
      </c>
      <c r="E1816" s="21" t="s">
        <v>46</v>
      </c>
      <c r="F1816" s="5812">
        <v>3</v>
      </c>
      <c r="G1816" s="5813">
        <v>8.6805555555555552E-2</v>
      </c>
      <c r="H1816" s="21" t="s">
        <v>10</v>
      </c>
      <c r="I1816" s="21" t="s">
        <v>3138</v>
      </c>
      <c r="J1816" s="21" t="s">
        <v>97</v>
      </c>
      <c r="K1816" s="5814" t="s">
        <v>6816</v>
      </c>
    </row>
    <row r="1817" spans="1:11">
      <c r="A1817" s="21" t="s">
        <v>4313</v>
      </c>
      <c r="B1817" s="21" t="s">
        <v>6817</v>
      </c>
      <c r="C1817" s="21" t="s">
        <v>8</v>
      </c>
      <c r="D1817" s="21" t="s">
        <v>627</v>
      </c>
      <c r="E1817" s="21" t="s">
        <v>46</v>
      </c>
      <c r="F1817" s="5812">
        <v>3</v>
      </c>
      <c r="G1817" s="5813">
        <v>8.8888888888888892E-2</v>
      </c>
      <c r="H1817" s="21" t="s">
        <v>10</v>
      </c>
      <c r="I1817" s="21" t="s">
        <v>2297</v>
      </c>
      <c r="J1817" s="21" t="s">
        <v>3148</v>
      </c>
      <c r="K1817" s="5814" t="s">
        <v>6818</v>
      </c>
    </row>
    <row r="1818" spans="1:11">
      <c r="A1818" s="21" t="s">
        <v>2403</v>
      </c>
      <c r="B1818" s="21" t="s">
        <v>6819</v>
      </c>
      <c r="C1818" s="21" t="s">
        <v>8</v>
      </c>
      <c r="D1818" s="21" t="s">
        <v>627</v>
      </c>
      <c r="E1818" s="21" t="s">
        <v>46</v>
      </c>
      <c r="F1818" s="5812">
        <v>3</v>
      </c>
      <c r="G1818" s="5813">
        <v>9.6527777777777782E-2</v>
      </c>
      <c r="H1818" s="21" t="s">
        <v>10</v>
      </c>
      <c r="I1818" s="21" t="s">
        <v>39</v>
      </c>
      <c r="J1818" s="21" t="s">
        <v>3080</v>
      </c>
      <c r="K1818" s="5814" t="s">
        <v>6820</v>
      </c>
    </row>
    <row r="1819" spans="1:11">
      <c r="A1819" s="21" t="s">
        <v>3082</v>
      </c>
      <c r="B1819" s="21" t="s">
        <v>6821</v>
      </c>
      <c r="C1819" s="21" t="s">
        <v>8</v>
      </c>
      <c r="D1819" s="21" t="s">
        <v>627</v>
      </c>
      <c r="E1819" s="21" t="s">
        <v>46</v>
      </c>
      <c r="F1819" s="5812">
        <v>3</v>
      </c>
      <c r="G1819" s="5813">
        <v>0.16041666666666668</v>
      </c>
      <c r="H1819" s="21" t="s">
        <v>54</v>
      </c>
      <c r="I1819" s="21" t="s">
        <v>2247</v>
      </c>
      <c r="J1819" s="21" t="s">
        <v>4586</v>
      </c>
      <c r="K1819" s="5814" t="s">
        <v>6822</v>
      </c>
    </row>
    <row r="1820" spans="1:11">
      <c r="A1820" s="21" t="s">
        <v>2334</v>
      </c>
      <c r="B1820" s="21" t="s">
        <v>6823</v>
      </c>
      <c r="C1820" s="21" t="s">
        <v>8</v>
      </c>
      <c r="D1820" s="21" t="s">
        <v>627</v>
      </c>
      <c r="E1820" s="21" t="s">
        <v>46</v>
      </c>
      <c r="F1820" s="5812">
        <v>3</v>
      </c>
      <c r="G1820" s="5813">
        <v>0.17569444444444443</v>
      </c>
      <c r="H1820" s="21" t="s">
        <v>10</v>
      </c>
      <c r="I1820" s="21" t="s">
        <v>6824</v>
      </c>
      <c r="J1820" s="21" t="s">
        <v>97</v>
      </c>
      <c r="K1820" s="5814" t="s">
        <v>6825</v>
      </c>
    </row>
    <row r="1821" spans="1:11">
      <c r="A1821" s="21" t="s">
        <v>3439</v>
      </c>
      <c r="B1821" s="21" t="s">
        <v>6826</v>
      </c>
      <c r="C1821" s="21" t="s">
        <v>22</v>
      </c>
      <c r="D1821" s="21" t="s">
        <v>627</v>
      </c>
      <c r="E1821" s="21" t="s">
        <v>46</v>
      </c>
      <c r="F1821" s="5812">
        <v>3</v>
      </c>
      <c r="G1821" s="5813">
        <v>0.17916666666666667</v>
      </c>
      <c r="H1821" s="21" t="s">
        <v>10</v>
      </c>
      <c r="I1821" s="21" t="s">
        <v>2721</v>
      </c>
      <c r="J1821" s="21" t="s">
        <v>6721</v>
      </c>
      <c r="K1821" s="5814" t="s">
        <v>6827</v>
      </c>
    </row>
    <row r="1822" spans="1:11">
      <c r="A1822" s="21" t="s">
        <v>2197</v>
      </c>
      <c r="B1822" s="21" t="s">
        <v>6828</v>
      </c>
      <c r="C1822" s="21" t="s">
        <v>8</v>
      </c>
      <c r="D1822" s="21" t="s">
        <v>627</v>
      </c>
      <c r="E1822" s="21" t="s">
        <v>46</v>
      </c>
      <c r="F1822" s="5812">
        <v>3</v>
      </c>
      <c r="G1822" s="5813">
        <v>0.20833333333333334</v>
      </c>
      <c r="H1822" s="21" t="s">
        <v>54</v>
      </c>
      <c r="I1822" s="21" t="s">
        <v>47</v>
      </c>
      <c r="J1822" s="21" t="s">
        <v>6829</v>
      </c>
      <c r="K1822" s="5814" t="s">
        <v>6830</v>
      </c>
    </row>
    <row r="1823" spans="1:11">
      <c r="A1823" s="21" t="s">
        <v>5984</v>
      </c>
      <c r="B1823" s="21" t="s">
        <v>6831</v>
      </c>
      <c r="C1823" s="21" t="s">
        <v>22</v>
      </c>
      <c r="D1823" s="21" t="s">
        <v>627</v>
      </c>
      <c r="E1823" s="21" t="s">
        <v>46</v>
      </c>
      <c r="F1823" s="5812">
        <v>4</v>
      </c>
      <c r="G1823" s="5813">
        <v>0.10486111111111111</v>
      </c>
      <c r="H1823" s="21" t="s">
        <v>54</v>
      </c>
      <c r="I1823" s="21" t="s">
        <v>55</v>
      </c>
      <c r="J1823" s="21" t="s">
        <v>1117</v>
      </c>
      <c r="K1823" s="5814" t="s">
        <v>6832</v>
      </c>
    </row>
    <row r="1824" spans="1:11">
      <c r="A1824" s="21" t="s">
        <v>2139</v>
      </c>
      <c r="B1824" s="21" t="s">
        <v>6833</v>
      </c>
      <c r="C1824" s="21" t="s">
        <v>22</v>
      </c>
      <c r="D1824" s="21" t="s">
        <v>627</v>
      </c>
      <c r="E1824" s="21" t="s">
        <v>46</v>
      </c>
      <c r="F1824" s="5812">
        <v>5</v>
      </c>
      <c r="G1824" s="5813">
        <v>4.4444444444444446E-2</v>
      </c>
      <c r="H1824" s="21" t="s">
        <v>54</v>
      </c>
      <c r="I1824" s="21" t="s">
        <v>96</v>
      </c>
      <c r="J1824" s="21" t="s">
        <v>430</v>
      </c>
      <c r="K1824" s="5814" t="s">
        <v>6834</v>
      </c>
    </row>
    <row r="1825" spans="1:11">
      <c r="A1825" s="21" t="s">
        <v>2776</v>
      </c>
      <c r="B1825" s="21" t="s">
        <v>6835</v>
      </c>
      <c r="C1825" s="21" t="s">
        <v>8</v>
      </c>
      <c r="D1825" s="21" t="s">
        <v>627</v>
      </c>
      <c r="E1825" s="21" t="s">
        <v>46</v>
      </c>
      <c r="F1825" s="5812">
        <v>5</v>
      </c>
      <c r="G1825" s="5813">
        <v>4.6527777777777779E-2</v>
      </c>
      <c r="H1825" s="21" t="s">
        <v>54</v>
      </c>
      <c r="I1825" s="21" t="s">
        <v>47</v>
      </c>
      <c r="J1825" s="21" t="s">
        <v>97</v>
      </c>
      <c r="K1825" s="5814" t="s">
        <v>6836</v>
      </c>
    </row>
    <row r="1826" spans="1:11">
      <c r="A1826" s="21" t="s">
        <v>3082</v>
      </c>
      <c r="B1826" s="21" t="s">
        <v>6837</v>
      </c>
      <c r="C1826" s="21" t="s">
        <v>179</v>
      </c>
      <c r="D1826" s="21" t="s">
        <v>627</v>
      </c>
      <c r="E1826" s="21" t="s">
        <v>920</v>
      </c>
      <c r="F1826" s="5812">
        <v>1</v>
      </c>
      <c r="G1826" s="5813">
        <v>6.5277777777777782E-2</v>
      </c>
      <c r="H1826" s="21" t="s">
        <v>10</v>
      </c>
      <c r="I1826" s="21" t="s">
        <v>2176</v>
      </c>
      <c r="J1826" s="21" t="s">
        <v>6838</v>
      </c>
      <c r="K1826" s="5814" t="s">
        <v>6839</v>
      </c>
    </row>
    <row r="1827" spans="1:11">
      <c r="A1827" s="21" t="s">
        <v>3315</v>
      </c>
      <c r="B1827" s="21" t="s">
        <v>6840</v>
      </c>
      <c r="C1827" s="21" t="s">
        <v>179</v>
      </c>
      <c r="D1827" s="21" t="s">
        <v>627</v>
      </c>
      <c r="E1827" s="21" t="s">
        <v>920</v>
      </c>
      <c r="F1827" s="5812">
        <v>1</v>
      </c>
      <c r="G1827" s="5813">
        <v>7.7083333333333337E-2</v>
      </c>
      <c r="H1827" s="21" t="s">
        <v>10</v>
      </c>
      <c r="I1827" s="21" t="s">
        <v>55</v>
      </c>
      <c r="J1827" s="21" t="s">
        <v>6841</v>
      </c>
      <c r="K1827" s="5814" t="s">
        <v>6842</v>
      </c>
    </row>
    <row r="1828" spans="1:11">
      <c r="A1828" s="21" t="s">
        <v>2595</v>
      </c>
      <c r="B1828" s="21" t="s">
        <v>6843</v>
      </c>
      <c r="C1828" s="21" t="s">
        <v>179</v>
      </c>
      <c r="D1828" s="21" t="s">
        <v>627</v>
      </c>
      <c r="E1828" s="21" t="s">
        <v>920</v>
      </c>
      <c r="F1828" s="5812">
        <v>3</v>
      </c>
      <c r="G1828" s="5813">
        <v>0.20833333333333334</v>
      </c>
      <c r="H1828" s="21" t="s">
        <v>10</v>
      </c>
      <c r="I1828" s="21" t="s">
        <v>89</v>
      </c>
      <c r="J1828" s="21" t="s">
        <v>6844</v>
      </c>
      <c r="K1828" s="5814" t="s">
        <v>6845</v>
      </c>
    </row>
    <row r="1829" spans="1:11">
      <c r="A1829" s="21" t="s">
        <v>3369</v>
      </c>
      <c r="B1829" s="21" t="s">
        <v>6846</v>
      </c>
      <c r="C1829" s="21" t="s">
        <v>179</v>
      </c>
      <c r="D1829" s="21" t="s">
        <v>627</v>
      </c>
      <c r="E1829" s="21" t="s">
        <v>920</v>
      </c>
      <c r="F1829" s="5812">
        <v>3</v>
      </c>
      <c r="G1829" s="5813">
        <v>0.20833333333333334</v>
      </c>
      <c r="H1829" s="21" t="s">
        <v>10</v>
      </c>
      <c r="I1829" s="21" t="s">
        <v>55</v>
      </c>
      <c r="J1829" s="21" t="s">
        <v>6847</v>
      </c>
      <c r="K1829" s="5814" t="s">
        <v>6848</v>
      </c>
    </row>
    <row r="1830" spans="1:11">
      <c r="A1830" s="21" t="s">
        <v>3082</v>
      </c>
      <c r="B1830" s="21" t="s">
        <v>6849</v>
      </c>
      <c r="C1830" s="21" t="s">
        <v>22</v>
      </c>
      <c r="D1830" s="21" t="s">
        <v>627</v>
      </c>
      <c r="E1830" s="21" t="s">
        <v>61</v>
      </c>
      <c r="F1830" s="5812">
        <v>1</v>
      </c>
      <c r="G1830" s="5813">
        <v>4.6527777777777779E-2</v>
      </c>
      <c r="H1830" s="21" t="s">
        <v>10</v>
      </c>
      <c r="I1830" s="21" t="s">
        <v>117</v>
      </c>
      <c r="J1830" s="21" t="s">
        <v>3313</v>
      </c>
      <c r="K1830" s="5814" t="s">
        <v>6850</v>
      </c>
    </row>
    <row r="1831" spans="1:11">
      <c r="A1831" s="21" t="s">
        <v>3224</v>
      </c>
      <c r="B1831" s="21" t="s">
        <v>6851</v>
      </c>
      <c r="C1831" s="21" t="s">
        <v>8</v>
      </c>
      <c r="D1831" s="21" t="s">
        <v>627</v>
      </c>
      <c r="E1831" s="21" t="s">
        <v>61</v>
      </c>
      <c r="F1831" s="5812">
        <v>1</v>
      </c>
      <c r="G1831" s="5813">
        <v>4.9305555555555554E-2</v>
      </c>
      <c r="H1831" s="21" t="s">
        <v>10</v>
      </c>
      <c r="I1831" s="21" t="s">
        <v>55</v>
      </c>
      <c r="J1831" s="21" t="s">
        <v>6852</v>
      </c>
      <c r="K1831" s="5814" t="s">
        <v>6853</v>
      </c>
    </row>
    <row r="1832" spans="1:11">
      <c r="A1832" s="21" t="s">
        <v>4289</v>
      </c>
      <c r="B1832" s="21" t="s">
        <v>6854</v>
      </c>
      <c r="C1832" s="21" t="s">
        <v>8</v>
      </c>
      <c r="D1832" s="21" t="s">
        <v>627</v>
      </c>
      <c r="E1832" s="21" t="s">
        <v>61</v>
      </c>
      <c r="F1832" s="5812">
        <v>1</v>
      </c>
      <c r="G1832" s="5813">
        <v>7.6388888888888895E-2</v>
      </c>
      <c r="H1832" s="21" t="s">
        <v>54</v>
      </c>
      <c r="I1832" s="21" t="s">
        <v>2713</v>
      </c>
      <c r="J1832" s="21" t="s">
        <v>6855</v>
      </c>
      <c r="K1832" s="5814" t="s">
        <v>6856</v>
      </c>
    </row>
    <row r="1833" spans="1:11">
      <c r="A1833" s="21" t="s">
        <v>87</v>
      </c>
      <c r="B1833" s="21" t="s">
        <v>626</v>
      </c>
      <c r="C1833" s="21" t="s">
        <v>8</v>
      </c>
      <c r="D1833" s="21" t="s">
        <v>627</v>
      </c>
      <c r="E1833" s="21" t="s">
        <v>61</v>
      </c>
      <c r="F1833" s="5812">
        <v>1</v>
      </c>
      <c r="G1833" s="5813">
        <v>8.3333333333333329E-2</v>
      </c>
      <c r="H1833" s="21" t="s">
        <v>10</v>
      </c>
      <c r="I1833" s="21" t="s">
        <v>233</v>
      </c>
      <c r="J1833" s="21" t="s">
        <v>324</v>
      </c>
      <c r="K1833" s="5814" t="s">
        <v>628</v>
      </c>
    </row>
    <row r="1834" spans="1:11">
      <c r="A1834" s="21" t="s">
        <v>2538</v>
      </c>
      <c r="B1834" s="21" t="s">
        <v>6857</v>
      </c>
      <c r="C1834" s="21" t="s">
        <v>8</v>
      </c>
      <c r="D1834" s="21" t="s">
        <v>627</v>
      </c>
      <c r="E1834" s="21" t="s">
        <v>61</v>
      </c>
      <c r="F1834" s="5812">
        <v>1</v>
      </c>
      <c r="G1834" s="5813">
        <v>8.7499999999999994E-2</v>
      </c>
      <c r="H1834" s="21" t="s">
        <v>10</v>
      </c>
      <c r="I1834" s="21" t="s">
        <v>47</v>
      </c>
      <c r="J1834" s="21" t="s">
        <v>3326</v>
      </c>
      <c r="K1834" s="5814" t="s">
        <v>6858</v>
      </c>
    </row>
    <row r="1835" spans="1:11">
      <c r="A1835" s="21" t="s">
        <v>4321</v>
      </c>
      <c r="B1835" s="21" t="s">
        <v>6859</v>
      </c>
      <c r="C1835" s="21" t="s">
        <v>22</v>
      </c>
      <c r="D1835" s="21" t="s">
        <v>627</v>
      </c>
      <c r="E1835" s="21" t="s">
        <v>61</v>
      </c>
      <c r="F1835" s="5812">
        <v>1</v>
      </c>
      <c r="G1835" s="5813">
        <v>9.7916666666666666E-2</v>
      </c>
      <c r="H1835" s="21" t="s">
        <v>10</v>
      </c>
      <c r="I1835" s="21" t="s">
        <v>6860</v>
      </c>
      <c r="J1835" s="21" t="s">
        <v>67</v>
      </c>
      <c r="K1835" s="5814" t="s">
        <v>6861</v>
      </c>
    </row>
    <row r="1836" spans="1:11">
      <c r="A1836" s="21" t="s">
        <v>3183</v>
      </c>
      <c r="B1836" s="21" t="s">
        <v>6862</v>
      </c>
      <c r="C1836" s="21" t="s">
        <v>8</v>
      </c>
      <c r="D1836" s="21" t="s">
        <v>627</v>
      </c>
      <c r="E1836" s="21" t="s">
        <v>61</v>
      </c>
      <c r="F1836" s="5812">
        <v>1</v>
      </c>
      <c r="G1836" s="5813">
        <v>9.8611111111111108E-2</v>
      </c>
      <c r="H1836" s="21" t="s">
        <v>10</v>
      </c>
      <c r="I1836" s="21" t="s">
        <v>55</v>
      </c>
      <c r="J1836" s="21" t="s">
        <v>974</v>
      </c>
      <c r="K1836" s="5814" t="s">
        <v>6863</v>
      </c>
    </row>
    <row r="1837" spans="1:11">
      <c r="A1837" s="21" t="s">
        <v>3345</v>
      </c>
      <c r="B1837" s="21" t="s">
        <v>6864</v>
      </c>
      <c r="C1837" s="21" t="s">
        <v>22</v>
      </c>
      <c r="D1837" s="21" t="s">
        <v>627</v>
      </c>
      <c r="E1837" s="21" t="s">
        <v>61</v>
      </c>
      <c r="F1837" s="5812">
        <v>1</v>
      </c>
      <c r="G1837" s="5813">
        <v>0.10347222222222222</v>
      </c>
      <c r="H1837" s="21" t="s">
        <v>10</v>
      </c>
      <c r="I1837" s="21" t="s">
        <v>55</v>
      </c>
      <c r="J1837" s="21" t="s">
        <v>67</v>
      </c>
      <c r="K1837" s="5814" t="s">
        <v>6865</v>
      </c>
    </row>
    <row r="1838" spans="1:11">
      <c r="A1838" s="21" t="s">
        <v>3348</v>
      </c>
      <c r="B1838" s="21" t="s">
        <v>6866</v>
      </c>
      <c r="C1838" s="21" t="s">
        <v>8</v>
      </c>
      <c r="D1838" s="21" t="s">
        <v>627</v>
      </c>
      <c r="E1838" s="21" t="s">
        <v>61</v>
      </c>
      <c r="F1838" s="5812">
        <v>1</v>
      </c>
      <c r="G1838" s="5813">
        <v>0.10694444444444444</v>
      </c>
      <c r="H1838" s="21" t="s">
        <v>54</v>
      </c>
      <c r="I1838" s="21" t="s">
        <v>55</v>
      </c>
      <c r="J1838" s="21" t="s">
        <v>3326</v>
      </c>
      <c r="K1838" s="5814" t="s">
        <v>6867</v>
      </c>
    </row>
    <row r="1839" spans="1:11">
      <c r="A1839" s="21" t="s">
        <v>2675</v>
      </c>
      <c r="B1839" s="21" t="s">
        <v>6868</v>
      </c>
      <c r="C1839" s="21" t="s">
        <v>8</v>
      </c>
      <c r="D1839" s="21" t="s">
        <v>627</v>
      </c>
      <c r="E1839" s="21" t="s">
        <v>61</v>
      </c>
      <c r="F1839" s="5812">
        <v>1</v>
      </c>
      <c r="G1839" s="5813">
        <v>0.1111111111111111</v>
      </c>
      <c r="H1839" s="21" t="s">
        <v>10</v>
      </c>
      <c r="I1839" s="21" t="s">
        <v>2872</v>
      </c>
      <c r="J1839" s="21" t="s">
        <v>62</v>
      </c>
      <c r="K1839" s="5814" t="s">
        <v>6869</v>
      </c>
    </row>
    <row r="1840" spans="1:11">
      <c r="A1840" s="21" t="s">
        <v>3036</v>
      </c>
      <c r="B1840" s="21" t="s">
        <v>6870</v>
      </c>
      <c r="C1840" s="21" t="s">
        <v>8</v>
      </c>
      <c r="D1840" s="21" t="s">
        <v>627</v>
      </c>
      <c r="E1840" s="21" t="s">
        <v>61</v>
      </c>
      <c r="F1840" s="5812">
        <v>1</v>
      </c>
      <c r="G1840" s="5813">
        <v>0.12083333333333333</v>
      </c>
      <c r="H1840" s="21" t="s">
        <v>10</v>
      </c>
      <c r="I1840" s="21" t="s">
        <v>3534</v>
      </c>
      <c r="J1840" s="21" t="s">
        <v>6871</v>
      </c>
      <c r="K1840" s="5814" t="s">
        <v>6872</v>
      </c>
    </row>
    <row r="1841" spans="1:11">
      <c r="A1841" s="21" t="s">
        <v>2571</v>
      </c>
      <c r="B1841" s="21" t="s">
        <v>6873</v>
      </c>
      <c r="C1841" s="21" t="s">
        <v>22</v>
      </c>
      <c r="D1841" s="21" t="s">
        <v>627</v>
      </c>
      <c r="E1841" s="21" t="s">
        <v>61</v>
      </c>
      <c r="F1841" s="5812">
        <v>1</v>
      </c>
      <c r="G1841" s="5813">
        <v>0.13819444444444445</v>
      </c>
      <c r="H1841" s="21" t="s">
        <v>10</v>
      </c>
      <c r="I1841" s="21" t="s">
        <v>226</v>
      </c>
      <c r="J1841" s="21" t="s">
        <v>67</v>
      </c>
      <c r="K1841" s="5814" t="s">
        <v>6874</v>
      </c>
    </row>
    <row r="1842" spans="1:11">
      <c r="A1842" s="21" t="s">
        <v>3328</v>
      </c>
      <c r="B1842" s="21" t="s">
        <v>6875</v>
      </c>
      <c r="C1842" s="21" t="s">
        <v>8</v>
      </c>
      <c r="D1842" s="21" t="s">
        <v>627</v>
      </c>
      <c r="E1842" s="21" t="s">
        <v>61</v>
      </c>
      <c r="F1842" s="5812">
        <v>1</v>
      </c>
      <c r="G1842" s="5813">
        <v>0.13958333333333334</v>
      </c>
      <c r="H1842" s="21" t="s">
        <v>10</v>
      </c>
      <c r="I1842" s="21" t="s">
        <v>226</v>
      </c>
      <c r="J1842" s="21" t="s">
        <v>62</v>
      </c>
      <c r="K1842" s="5814" t="s">
        <v>6876</v>
      </c>
    </row>
    <row r="1843" spans="1:11">
      <c r="A1843" s="21" t="s">
        <v>4565</v>
      </c>
      <c r="B1843" s="21" t="s">
        <v>6877</v>
      </c>
      <c r="C1843" s="21" t="s">
        <v>8</v>
      </c>
      <c r="D1843" s="21" t="s">
        <v>627</v>
      </c>
      <c r="E1843" s="21" t="s">
        <v>61</v>
      </c>
      <c r="F1843" s="5812">
        <v>1</v>
      </c>
      <c r="G1843" s="5813">
        <v>0.1451388888888889</v>
      </c>
      <c r="H1843" s="21" t="s">
        <v>10</v>
      </c>
      <c r="I1843" s="21" t="s">
        <v>3534</v>
      </c>
      <c r="J1843" s="21" t="s">
        <v>1194</v>
      </c>
      <c r="K1843" s="5814" t="s">
        <v>6878</v>
      </c>
    </row>
    <row r="1844" spans="1:11">
      <c r="A1844" s="21" t="s">
        <v>2165</v>
      </c>
      <c r="B1844" s="21" t="s">
        <v>6879</v>
      </c>
      <c r="C1844" s="21" t="s">
        <v>8</v>
      </c>
      <c r="D1844" s="21" t="s">
        <v>627</v>
      </c>
      <c r="E1844" s="21" t="s">
        <v>61</v>
      </c>
      <c r="F1844" s="5812">
        <v>1</v>
      </c>
      <c r="G1844" s="5813">
        <v>0.15138888888888888</v>
      </c>
      <c r="H1844" s="21" t="s">
        <v>10</v>
      </c>
      <c r="I1844" s="21" t="s">
        <v>2872</v>
      </c>
      <c r="J1844" s="21" t="s">
        <v>6880</v>
      </c>
      <c r="K1844" s="5814" t="s">
        <v>6881</v>
      </c>
    </row>
    <row r="1845" spans="1:11">
      <c r="A1845" s="21" t="s">
        <v>5168</v>
      </c>
      <c r="B1845" s="21" t="s">
        <v>6882</v>
      </c>
      <c r="C1845" s="21" t="s">
        <v>22</v>
      </c>
      <c r="D1845" s="21" t="s">
        <v>627</v>
      </c>
      <c r="E1845" s="21" t="s">
        <v>61</v>
      </c>
      <c r="F1845" s="5812">
        <v>1</v>
      </c>
      <c r="G1845" s="5813">
        <v>0.15208333333333332</v>
      </c>
      <c r="H1845" s="21" t="s">
        <v>10</v>
      </c>
      <c r="I1845" s="21" t="s">
        <v>3464</v>
      </c>
      <c r="J1845" s="21" t="s">
        <v>67</v>
      </c>
      <c r="K1845" s="5814" t="s">
        <v>6883</v>
      </c>
    </row>
    <row r="1846" spans="1:11">
      <c r="A1846" s="21" t="s">
        <v>2311</v>
      </c>
      <c r="B1846" s="21" t="s">
        <v>6884</v>
      </c>
      <c r="C1846" s="21" t="s">
        <v>8</v>
      </c>
      <c r="D1846" s="21" t="s">
        <v>627</v>
      </c>
      <c r="E1846" s="21" t="s">
        <v>61</v>
      </c>
      <c r="F1846" s="5812">
        <v>1</v>
      </c>
      <c r="G1846" s="5813">
        <v>0.15694444444444444</v>
      </c>
      <c r="H1846" s="21" t="s">
        <v>10</v>
      </c>
      <c r="I1846" s="21" t="s">
        <v>47</v>
      </c>
      <c r="J1846" s="21" t="s">
        <v>67</v>
      </c>
      <c r="K1846" s="5814" t="s">
        <v>6885</v>
      </c>
    </row>
    <row r="1847" spans="1:11">
      <c r="A1847" s="21" t="s">
        <v>2471</v>
      </c>
      <c r="B1847" s="21" t="s">
        <v>6886</v>
      </c>
      <c r="C1847" s="21" t="s">
        <v>8</v>
      </c>
      <c r="D1847" s="21" t="s">
        <v>627</v>
      </c>
      <c r="E1847" s="21" t="s">
        <v>61</v>
      </c>
      <c r="F1847" s="5812">
        <v>1</v>
      </c>
      <c r="G1847" s="5813">
        <v>0.15763888888888888</v>
      </c>
      <c r="H1847" s="21" t="s">
        <v>54</v>
      </c>
      <c r="I1847" s="21" t="s">
        <v>55</v>
      </c>
      <c r="J1847" s="21" t="s">
        <v>67</v>
      </c>
      <c r="K1847" s="5814" t="s">
        <v>6887</v>
      </c>
    </row>
    <row r="1848" spans="1:11">
      <c r="A1848" s="21" t="s">
        <v>2737</v>
      </c>
      <c r="B1848" s="21" t="s">
        <v>6888</v>
      </c>
      <c r="C1848" s="21" t="s">
        <v>22</v>
      </c>
      <c r="D1848" s="21" t="s">
        <v>627</v>
      </c>
      <c r="E1848" s="21" t="s">
        <v>61</v>
      </c>
      <c r="F1848" s="5812">
        <v>1</v>
      </c>
      <c r="G1848" s="5813">
        <v>0.15833333333333333</v>
      </c>
      <c r="H1848" s="21" t="s">
        <v>10</v>
      </c>
      <c r="I1848" s="21" t="s">
        <v>5159</v>
      </c>
      <c r="J1848" s="21" t="s">
        <v>974</v>
      </c>
      <c r="K1848" s="5814" t="s">
        <v>6889</v>
      </c>
    </row>
    <row r="1849" spans="1:11">
      <c r="A1849" s="21" t="s">
        <v>2741</v>
      </c>
      <c r="B1849" s="21" t="s">
        <v>6890</v>
      </c>
      <c r="C1849" s="21" t="s">
        <v>8</v>
      </c>
      <c r="D1849" s="21" t="s">
        <v>627</v>
      </c>
      <c r="E1849" s="21" t="s">
        <v>61</v>
      </c>
      <c r="F1849" s="5812">
        <v>1</v>
      </c>
      <c r="G1849" s="5813">
        <v>0.16250000000000001</v>
      </c>
      <c r="H1849" s="21" t="s">
        <v>10</v>
      </c>
      <c r="I1849" s="21" t="s">
        <v>2149</v>
      </c>
      <c r="J1849" s="21" t="s">
        <v>6891</v>
      </c>
      <c r="K1849" s="5814" t="s">
        <v>6892</v>
      </c>
    </row>
    <row r="1850" spans="1:11">
      <c r="A1850" s="21" t="s">
        <v>2438</v>
      </c>
      <c r="B1850" s="21" t="s">
        <v>6893</v>
      </c>
      <c r="C1850" s="21" t="s">
        <v>22</v>
      </c>
      <c r="D1850" s="21" t="s">
        <v>627</v>
      </c>
      <c r="E1850" s="21" t="s">
        <v>61</v>
      </c>
      <c r="F1850" s="5812">
        <v>1</v>
      </c>
      <c r="G1850" s="5813">
        <v>0.16458333333333333</v>
      </c>
      <c r="H1850" s="21" t="s">
        <v>10</v>
      </c>
      <c r="I1850" s="21" t="s">
        <v>2313</v>
      </c>
      <c r="J1850" s="21" t="s">
        <v>3326</v>
      </c>
      <c r="K1850" s="5814" t="s">
        <v>6894</v>
      </c>
    </row>
    <row r="1851" spans="1:11">
      <c r="A1851" s="21" t="s">
        <v>4345</v>
      </c>
      <c r="B1851" s="21" t="s">
        <v>6895</v>
      </c>
      <c r="C1851" s="21" t="s">
        <v>22</v>
      </c>
      <c r="D1851" s="21" t="s">
        <v>627</v>
      </c>
      <c r="E1851" s="21" t="s">
        <v>61</v>
      </c>
      <c r="F1851" s="5812">
        <v>1</v>
      </c>
      <c r="G1851" s="5813">
        <v>0.17152777777777778</v>
      </c>
      <c r="H1851" s="21" t="s">
        <v>10</v>
      </c>
      <c r="I1851" s="21" t="s">
        <v>55</v>
      </c>
      <c r="J1851" s="21" t="s">
        <v>67</v>
      </c>
      <c r="K1851" s="5814" t="s">
        <v>6896</v>
      </c>
    </row>
    <row r="1852" spans="1:11">
      <c r="A1852" s="21" t="s">
        <v>4645</v>
      </c>
      <c r="B1852" s="21" t="s">
        <v>6897</v>
      </c>
      <c r="C1852" s="21" t="s">
        <v>8</v>
      </c>
      <c r="D1852" s="21" t="s">
        <v>627</v>
      </c>
      <c r="E1852" s="21" t="s">
        <v>61</v>
      </c>
      <c r="F1852" s="5812">
        <v>1</v>
      </c>
      <c r="G1852" s="5813">
        <v>0.19097222222222221</v>
      </c>
      <c r="H1852" s="21" t="s">
        <v>10</v>
      </c>
      <c r="I1852" s="21" t="s">
        <v>226</v>
      </c>
      <c r="J1852" s="21" t="s">
        <v>505</v>
      </c>
      <c r="K1852" s="5814" t="s">
        <v>6898</v>
      </c>
    </row>
    <row r="1853" spans="1:11">
      <c r="A1853" s="21" t="s">
        <v>2391</v>
      </c>
      <c r="B1853" s="21" t="s">
        <v>6899</v>
      </c>
      <c r="C1853" s="21" t="s">
        <v>8</v>
      </c>
      <c r="D1853" s="21" t="s">
        <v>627</v>
      </c>
      <c r="E1853" s="21" t="s">
        <v>61</v>
      </c>
      <c r="F1853" s="5812">
        <v>1</v>
      </c>
      <c r="G1853" s="5813">
        <v>0.19236111111111112</v>
      </c>
      <c r="H1853" s="21" t="s">
        <v>10</v>
      </c>
      <c r="I1853" s="21" t="s">
        <v>89</v>
      </c>
      <c r="J1853" s="21" t="s">
        <v>67</v>
      </c>
      <c r="K1853" s="5814" t="s">
        <v>6900</v>
      </c>
    </row>
    <row r="1854" spans="1:11">
      <c r="A1854" s="21" t="s">
        <v>2808</v>
      </c>
      <c r="B1854" s="21" t="s">
        <v>6901</v>
      </c>
      <c r="C1854" s="21" t="s">
        <v>22</v>
      </c>
      <c r="D1854" s="21" t="s">
        <v>627</v>
      </c>
      <c r="E1854" s="21" t="s">
        <v>61</v>
      </c>
      <c r="F1854" s="5812">
        <v>1</v>
      </c>
      <c r="G1854" s="5813">
        <v>0.19305555555555556</v>
      </c>
      <c r="H1854" s="21" t="s">
        <v>10</v>
      </c>
      <c r="I1854" s="21" t="s">
        <v>2297</v>
      </c>
      <c r="J1854" s="21" t="s">
        <v>3313</v>
      </c>
      <c r="K1854" s="5814" t="s">
        <v>6902</v>
      </c>
    </row>
    <row r="1855" spans="1:11">
      <c r="A1855" s="21" t="s">
        <v>4409</v>
      </c>
      <c r="B1855" s="21" t="s">
        <v>6903</v>
      </c>
      <c r="C1855" s="21" t="s">
        <v>8</v>
      </c>
      <c r="D1855" s="21" t="s">
        <v>627</v>
      </c>
      <c r="E1855" s="21" t="s">
        <v>61</v>
      </c>
      <c r="F1855" s="5812">
        <v>2</v>
      </c>
      <c r="G1855" s="5813">
        <v>6.1111111111111109E-2</v>
      </c>
      <c r="H1855" s="21" t="s">
        <v>10</v>
      </c>
      <c r="I1855" s="21" t="s">
        <v>55</v>
      </c>
      <c r="J1855" s="21" t="s">
        <v>897</v>
      </c>
      <c r="K1855" s="5814" t="s">
        <v>6904</v>
      </c>
    </row>
    <row r="1856" spans="1:11">
      <c r="A1856" s="21" t="s">
        <v>3029</v>
      </c>
      <c r="B1856" s="21" t="s">
        <v>6230</v>
      </c>
      <c r="C1856" s="21" t="s">
        <v>22</v>
      </c>
      <c r="D1856" s="21" t="s">
        <v>627</v>
      </c>
      <c r="E1856" s="21" t="s">
        <v>61</v>
      </c>
      <c r="F1856" s="5812">
        <v>2</v>
      </c>
      <c r="G1856" s="5813">
        <v>7.9861111111111105E-2</v>
      </c>
      <c r="H1856" s="21" t="s">
        <v>10</v>
      </c>
      <c r="I1856" s="21" t="s">
        <v>39</v>
      </c>
      <c r="J1856" s="21" t="s">
        <v>324</v>
      </c>
      <c r="K1856" s="5814" t="s">
        <v>6905</v>
      </c>
    </row>
    <row r="1857" spans="1:11">
      <c r="A1857" s="21" t="s">
        <v>2804</v>
      </c>
      <c r="B1857" s="21" t="s">
        <v>6906</v>
      </c>
      <c r="C1857" s="21" t="s">
        <v>22</v>
      </c>
      <c r="D1857" s="21" t="s">
        <v>627</v>
      </c>
      <c r="E1857" s="21" t="s">
        <v>61</v>
      </c>
      <c r="F1857" s="5812">
        <v>2</v>
      </c>
      <c r="G1857" s="5813">
        <v>8.2638888888888887E-2</v>
      </c>
      <c r="H1857" s="21" t="s">
        <v>10</v>
      </c>
      <c r="I1857" s="21" t="s">
        <v>89</v>
      </c>
      <c r="J1857" s="21" t="s">
        <v>928</v>
      </c>
      <c r="K1857" s="5814" t="s">
        <v>6907</v>
      </c>
    </row>
    <row r="1858" spans="1:11">
      <c r="A1858" s="21" t="s">
        <v>3208</v>
      </c>
      <c r="B1858" s="21" t="s">
        <v>6908</v>
      </c>
      <c r="C1858" s="21" t="s">
        <v>8</v>
      </c>
      <c r="D1858" s="21" t="s">
        <v>627</v>
      </c>
      <c r="E1858" s="21" t="s">
        <v>61</v>
      </c>
      <c r="F1858" s="5812">
        <v>2</v>
      </c>
      <c r="G1858" s="5813">
        <v>8.4027777777777785E-2</v>
      </c>
      <c r="H1858" s="21" t="s">
        <v>10</v>
      </c>
      <c r="I1858" s="21" t="s">
        <v>5994</v>
      </c>
      <c r="J1858" s="21" t="s">
        <v>974</v>
      </c>
      <c r="K1858" s="5814" t="s">
        <v>6909</v>
      </c>
    </row>
    <row r="1859" spans="1:11">
      <c r="A1859" s="21" t="s">
        <v>3434</v>
      </c>
      <c r="B1859" s="21" t="s">
        <v>6910</v>
      </c>
      <c r="C1859" s="21" t="s">
        <v>22</v>
      </c>
      <c r="D1859" s="21" t="s">
        <v>627</v>
      </c>
      <c r="E1859" s="21" t="s">
        <v>61</v>
      </c>
      <c r="F1859" s="5812">
        <v>2</v>
      </c>
      <c r="G1859" s="5813">
        <v>9.0277777777777776E-2</v>
      </c>
      <c r="H1859" s="21" t="s">
        <v>10</v>
      </c>
      <c r="I1859" s="21" t="s">
        <v>23</v>
      </c>
      <c r="J1859" s="21" t="s">
        <v>67</v>
      </c>
      <c r="K1859" s="5814" t="s">
        <v>6911</v>
      </c>
    </row>
    <row r="1860" spans="1:11">
      <c r="A1860" s="21" t="s">
        <v>2780</v>
      </c>
      <c r="B1860" s="21" t="s">
        <v>6912</v>
      </c>
      <c r="C1860" s="21" t="s">
        <v>8</v>
      </c>
      <c r="D1860" s="21" t="s">
        <v>627</v>
      </c>
      <c r="E1860" s="21" t="s">
        <v>61</v>
      </c>
      <c r="F1860" s="5812">
        <v>2</v>
      </c>
      <c r="G1860" s="5813">
        <v>9.0972222222222218E-2</v>
      </c>
      <c r="H1860" s="21" t="s">
        <v>10</v>
      </c>
      <c r="I1860" s="21" t="s">
        <v>226</v>
      </c>
      <c r="J1860" s="21" t="s">
        <v>6913</v>
      </c>
      <c r="K1860" s="5814" t="s">
        <v>6914</v>
      </c>
    </row>
    <row r="1861" spans="1:11">
      <c r="A1861" s="21" t="s">
        <v>3872</v>
      </c>
      <c r="B1861" s="21" t="s">
        <v>6915</v>
      </c>
      <c r="C1861" s="21" t="s">
        <v>8</v>
      </c>
      <c r="D1861" s="21" t="s">
        <v>627</v>
      </c>
      <c r="E1861" s="21" t="s">
        <v>61</v>
      </c>
      <c r="F1861" s="5812">
        <v>2</v>
      </c>
      <c r="G1861" s="5813">
        <v>0.10277777777777777</v>
      </c>
      <c r="H1861" s="21" t="s">
        <v>10</v>
      </c>
      <c r="I1861" s="21" t="s">
        <v>3441</v>
      </c>
      <c r="J1861" s="21" t="s">
        <v>974</v>
      </c>
      <c r="K1861" s="5814" t="s">
        <v>6916</v>
      </c>
    </row>
    <row r="1862" spans="1:11">
      <c r="A1862" s="21" t="s">
        <v>2626</v>
      </c>
      <c r="B1862" s="21" t="s">
        <v>6917</v>
      </c>
      <c r="C1862" s="21" t="s">
        <v>22</v>
      </c>
      <c r="D1862" s="21" t="s">
        <v>627</v>
      </c>
      <c r="E1862" s="21" t="s">
        <v>61</v>
      </c>
      <c r="F1862" s="5812">
        <v>2</v>
      </c>
      <c r="G1862" s="5813">
        <v>0.10416666666666667</v>
      </c>
      <c r="H1862" s="21" t="s">
        <v>10</v>
      </c>
      <c r="I1862" s="21" t="s">
        <v>2692</v>
      </c>
      <c r="J1862" s="21" t="s">
        <v>67</v>
      </c>
      <c r="K1862" s="5814" t="s">
        <v>6918</v>
      </c>
    </row>
    <row r="1863" spans="1:11">
      <c r="A1863" s="21" t="s">
        <v>2679</v>
      </c>
      <c r="B1863" s="21" t="s">
        <v>6919</v>
      </c>
      <c r="C1863" s="21" t="s">
        <v>8</v>
      </c>
      <c r="D1863" s="21" t="s">
        <v>627</v>
      </c>
      <c r="E1863" s="21" t="s">
        <v>61</v>
      </c>
      <c r="F1863" s="5812">
        <v>2</v>
      </c>
      <c r="G1863" s="5813">
        <v>0.11180555555555556</v>
      </c>
      <c r="H1863" s="21" t="s">
        <v>10</v>
      </c>
      <c r="I1863" s="21" t="s">
        <v>47</v>
      </c>
      <c r="J1863" s="21" t="s">
        <v>6920</v>
      </c>
      <c r="K1863" s="5814" t="s">
        <v>6921</v>
      </c>
    </row>
    <row r="1864" spans="1:11">
      <c r="A1864" s="21" t="s">
        <v>3446</v>
      </c>
      <c r="B1864" s="21" t="s">
        <v>6922</v>
      </c>
      <c r="C1864" s="21" t="s">
        <v>22</v>
      </c>
      <c r="D1864" s="21" t="s">
        <v>627</v>
      </c>
      <c r="E1864" s="21" t="s">
        <v>61</v>
      </c>
      <c r="F1864" s="5812">
        <v>2</v>
      </c>
      <c r="G1864" s="5813">
        <v>0.11527777777777778</v>
      </c>
      <c r="H1864" s="21" t="s">
        <v>10</v>
      </c>
      <c r="I1864" s="21" t="s">
        <v>2713</v>
      </c>
      <c r="J1864" s="21" t="s">
        <v>6852</v>
      </c>
      <c r="K1864" s="5814" t="s">
        <v>6923</v>
      </c>
    </row>
    <row r="1865" spans="1:11">
      <c r="A1865" s="21" t="s">
        <v>3213</v>
      </c>
      <c r="B1865" s="21" t="s">
        <v>6924</v>
      </c>
      <c r="C1865" s="21" t="s">
        <v>8</v>
      </c>
      <c r="D1865" s="21" t="s">
        <v>627</v>
      </c>
      <c r="E1865" s="21" t="s">
        <v>61</v>
      </c>
      <c r="F1865" s="5812">
        <v>2</v>
      </c>
      <c r="G1865" s="5813">
        <v>0.12638888888888888</v>
      </c>
      <c r="H1865" s="21" t="s">
        <v>10</v>
      </c>
      <c r="I1865" s="21" t="s">
        <v>47</v>
      </c>
      <c r="J1865" s="21" t="s">
        <v>67</v>
      </c>
      <c r="K1865" s="5814" t="s">
        <v>6925</v>
      </c>
    </row>
    <row r="1866" spans="1:11">
      <c r="A1866" s="21" t="s">
        <v>5220</v>
      </c>
      <c r="B1866" s="21" t="s">
        <v>6926</v>
      </c>
      <c r="C1866" s="21" t="s">
        <v>8</v>
      </c>
      <c r="D1866" s="21" t="s">
        <v>627</v>
      </c>
      <c r="E1866" s="21" t="s">
        <v>61</v>
      </c>
      <c r="F1866" s="5812">
        <v>2</v>
      </c>
      <c r="G1866" s="5813">
        <v>0.13263888888888889</v>
      </c>
      <c r="H1866" s="21" t="s">
        <v>10</v>
      </c>
      <c r="I1866" s="21" t="s">
        <v>2313</v>
      </c>
      <c r="J1866" s="21" t="s">
        <v>67</v>
      </c>
      <c r="K1866" s="5814" t="s">
        <v>6927</v>
      </c>
    </row>
    <row r="1867" spans="1:11">
      <c r="A1867" s="21" t="s">
        <v>2184</v>
      </c>
      <c r="B1867" s="21" t="s">
        <v>6928</v>
      </c>
      <c r="C1867" s="21" t="s">
        <v>8</v>
      </c>
      <c r="D1867" s="21" t="s">
        <v>627</v>
      </c>
      <c r="E1867" s="21" t="s">
        <v>61</v>
      </c>
      <c r="F1867" s="5812">
        <v>2</v>
      </c>
      <c r="G1867" s="5813">
        <v>0.15069444444444444</v>
      </c>
      <c r="H1867" s="21" t="s">
        <v>10</v>
      </c>
      <c r="I1867" s="21" t="s">
        <v>6929</v>
      </c>
      <c r="J1867" s="21" t="s">
        <v>67</v>
      </c>
      <c r="K1867" s="5814" t="s">
        <v>6930</v>
      </c>
    </row>
    <row r="1868" spans="1:11">
      <c r="A1868" s="21" t="s">
        <v>2295</v>
      </c>
      <c r="B1868" s="21" t="s">
        <v>6931</v>
      </c>
      <c r="C1868" s="21" t="s">
        <v>8</v>
      </c>
      <c r="D1868" s="21" t="s">
        <v>627</v>
      </c>
      <c r="E1868" s="21" t="s">
        <v>61</v>
      </c>
      <c r="F1868" s="5812">
        <v>2</v>
      </c>
      <c r="G1868" s="5813">
        <v>0.19652777777777777</v>
      </c>
      <c r="H1868" s="21" t="s">
        <v>10</v>
      </c>
      <c r="I1868" s="21" t="s">
        <v>2297</v>
      </c>
      <c r="J1868" s="21" t="s">
        <v>5461</v>
      </c>
      <c r="K1868" s="5814" t="s">
        <v>6932</v>
      </c>
    </row>
    <row r="1869" spans="1:11">
      <c r="A1869" s="21" t="s">
        <v>2910</v>
      </c>
      <c r="B1869" s="21" t="s">
        <v>6933</v>
      </c>
      <c r="C1869" s="21" t="s">
        <v>22</v>
      </c>
      <c r="D1869" s="21" t="s">
        <v>627</v>
      </c>
      <c r="E1869" s="21" t="s">
        <v>61</v>
      </c>
      <c r="F1869" s="5812">
        <v>2</v>
      </c>
      <c r="G1869" s="5813">
        <v>0.20277777777777778</v>
      </c>
      <c r="H1869" s="21" t="s">
        <v>10</v>
      </c>
      <c r="I1869" s="21" t="s">
        <v>96</v>
      </c>
      <c r="J1869" s="21" t="s">
        <v>67</v>
      </c>
      <c r="K1869" s="5814" t="s">
        <v>6934</v>
      </c>
    </row>
    <row r="1870" spans="1:11">
      <c r="A1870" s="21" t="s">
        <v>3458</v>
      </c>
      <c r="B1870" s="21" t="s">
        <v>6935</v>
      </c>
      <c r="C1870" s="21" t="s">
        <v>8</v>
      </c>
      <c r="D1870" s="21" t="s">
        <v>627</v>
      </c>
      <c r="E1870" s="21" t="s">
        <v>61</v>
      </c>
      <c r="F1870" s="5812">
        <v>3</v>
      </c>
      <c r="G1870" s="5813">
        <v>5.6944444444444443E-2</v>
      </c>
      <c r="H1870" s="21" t="s">
        <v>10</v>
      </c>
      <c r="I1870" s="21" t="s">
        <v>55</v>
      </c>
      <c r="J1870" s="21" t="s">
        <v>62</v>
      </c>
      <c r="K1870" s="5814" t="s">
        <v>6936</v>
      </c>
    </row>
    <row r="1871" spans="1:11">
      <c r="A1871" s="21" t="s">
        <v>2513</v>
      </c>
      <c r="B1871" s="21" t="s">
        <v>6937</v>
      </c>
      <c r="C1871" s="21" t="s">
        <v>22</v>
      </c>
      <c r="D1871" s="21" t="s">
        <v>627</v>
      </c>
      <c r="E1871" s="21" t="s">
        <v>61</v>
      </c>
      <c r="F1871" s="5812">
        <v>3</v>
      </c>
      <c r="G1871" s="5813">
        <v>7.5694444444444439E-2</v>
      </c>
      <c r="H1871" s="21" t="s">
        <v>54</v>
      </c>
      <c r="I1871" s="21" t="s">
        <v>55</v>
      </c>
      <c r="J1871" s="21" t="s">
        <v>67</v>
      </c>
      <c r="K1871" s="5814" t="s">
        <v>6938</v>
      </c>
    </row>
    <row r="1872" spans="1:11">
      <c r="A1872" s="21" t="s">
        <v>2579</v>
      </c>
      <c r="B1872" s="21" t="s">
        <v>6939</v>
      </c>
      <c r="C1872" s="21" t="s">
        <v>8</v>
      </c>
      <c r="D1872" s="21" t="s">
        <v>627</v>
      </c>
      <c r="E1872" s="21" t="s">
        <v>61</v>
      </c>
      <c r="F1872" s="5812">
        <v>3</v>
      </c>
      <c r="G1872" s="5813">
        <v>8.2638888888888887E-2</v>
      </c>
      <c r="H1872" s="21" t="s">
        <v>10</v>
      </c>
      <c r="I1872" s="21" t="s">
        <v>2713</v>
      </c>
      <c r="J1872" s="21" t="s">
        <v>974</v>
      </c>
      <c r="K1872" s="5814" t="s">
        <v>6940</v>
      </c>
    </row>
    <row r="1873" spans="1:11">
      <c r="A1873" s="21" t="s">
        <v>3613</v>
      </c>
      <c r="B1873" s="21" t="s">
        <v>6941</v>
      </c>
      <c r="C1873" s="21" t="s">
        <v>8</v>
      </c>
      <c r="D1873" s="21" t="s">
        <v>627</v>
      </c>
      <c r="E1873" s="21" t="s">
        <v>61</v>
      </c>
      <c r="F1873" s="5812">
        <v>3</v>
      </c>
      <c r="G1873" s="5813">
        <v>0.11180555555555556</v>
      </c>
      <c r="H1873" s="21" t="s">
        <v>10</v>
      </c>
      <c r="I1873" s="21" t="s">
        <v>23</v>
      </c>
      <c r="J1873" s="21" t="s">
        <v>6942</v>
      </c>
      <c r="K1873" s="5814" t="s">
        <v>6943</v>
      </c>
    </row>
    <row r="1874" spans="1:11">
      <c r="A1874" s="21" t="s">
        <v>2276</v>
      </c>
      <c r="B1874" s="21" t="s">
        <v>6944</v>
      </c>
      <c r="C1874" s="21" t="s">
        <v>8</v>
      </c>
      <c r="D1874" s="21" t="s">
        <v>627</v>
      </c>
      <c r="E1874" s="21" t="s">
        <v>61</v>
      </c>
      <c r="F1874" s="5812">
        <v>3</v>
      </c>
      <c r="G1874" s="5813">
        <v>0.13194444444444445</v>
      </c>
      <c r="H1874" s="21" t="s">
        <v>54</v>
      </c>
      <c r="I1874" s="21" t="s">
        <v>2297</v>
      </c>
      <c r="J1874" s="21" t="s">
        <v>5466</v>
      </c>
      <c r="K1874" s="5814" t="s">
        <v>6945</v>
      </c>
    </row>
    <row r="1875" spans="1:11">
      <c r="A1875" s="21" t="s">
        <v>3029</v>
      </c>
      <c r="B1875" s="21" t="s">
        <v>6946</v>
      </c>
      <c r="C1875" s="21" t="s">
        <v>8</v>
      </c>
      <c r="D1875" s="21" t="s">
        <v>627</v>
      </c>
      <c r="E1875" s="21" t="s">
        <v>61</v>
      </c>
      <c r="F1875" s="5812">
        <v>3</v>
      </c>
      <c r="G1875" s="5813">
        <v>0.15416666666666667</v>
      </c>
      <c r="H1875" s="21" t="s">
        <v>10</v>
      </c>
      <c r="I1875" s="21" t="s">
        <v>47</v>
      </c>
      <c r="J1875" s="21" t="s">
        <v>505</v>
      </c>
      <c r="K1875" s="5814" t="s">
        <v>6947</v>
      </c>
    </row>
    <row r="1876" spans="1:11">
      <c r="A1876" s="21" t="s">
        <v>2630</v>
      </c>
      <c r="B1876" s="21" t="s">
        <v>6948</v>
      </c>
      <c r="C1876" s="21" t="s">
        <v>22</v>
      </c>
      <c r="D1876" s="21" t="s">
        <v>627</v>
      </c>
      <c r="E1876" s="21" t="s">
        <v>61</v>
      </c>
      <c r="F1876" s="5812">
        <v>3</v>
      </c>
      <c r="G1876" s="5813">
        <v>0.18055555555555555</v>
      </c>
      <c r="H1876" s="21" t="s">
        <v>10</v>
      </c>
      <c r="I1876" s="21" t="s">
        <v>11</v>
      </c>
      <c r="J1876" s="21" t="s">
        <v>3326</v>
      </c>
      <c r="K1876" s="5814" t="s">
        <v>6949</v>
      </c>
    </row>
    <row r="1877" spans="1:11">
      <c r="A1877" s="21" t="s">
        <v>2675</v>
      </c>
      <c r="B1877" s="21" t="s">
        <v>6950</v>
      </c>
      <c r="C1877" s="21" t="s">
        <v>22</v>
      </c>
      <c r="D1877" s="21" t="s">
        <v>627</v>
      </c>
      <c r="E1877" s="21" t="s">
        <v>61</v>
      </c>
      <c r="F1877" s="5812">
        <v>3</v>
      </c>
      <c r="G1877" s="5813">
        <v>0.18472222222222223</v>
      </c>
      <c r="H1877" s="21" t="s">
        <v>54</v>
      </c>
      <c r="I1877" s="21" t="s">
        <v>2872</v>
      </c>
      <c r="J1877" s="21" t="s">
        <v>67</v>
      </c>
      <c r="K1877" s="5814" t="s">
        <v>6951</v>
      </c>
    </row>
    <row r="1878" spans="1:11">
      <c r="A1878" s="21" t="s">
        <v>4654</v>
      </c>
      <c r="B1878" s="21" t="s">
        <v>6952</v>
      </c>
      <c r="C1878" s="21" t="s">
        <v>8</v>
      </c>
      <c r="D1878" s="21" t="s">
        <v>627</v>
      </c>
      <c r="E1878" s="21" t="s">
        <v>61</v>
      </c>
      <c r="F1878" s="5812">
        <v>3</v>
      </c>
      <c r="G1878" s="5813">
        <v>0.20069444444444445</v>
      </c>
      <c r="H1878" s="21" t="s">
        <v>10</v>
      </c>
      <c r="I1878" s="21" t="s">
        <v>55</v>
      </c>
      <c r="J1878" s="21" t="s">
        <v>67</v>
      </c>
      <c r="K1878" s="5814" t="s">
        <v>6953</v>
      </c>
    </row>
    <row r="1879" spans="1:11">
      <c r="A1879" s="21" t="s">
        <v>4527</v>
      </c>
      <c r="B1879" s="21" t="s">
        <v>6954</v>
      </c>
      <c r="C1879" s="21" t="s">
        <v>8</v>
      </c>
      <c r="D1879" s="21" t="s">
        <v>627</v>
      </c>
      <c r="E1879" s="21" t="s">
        <v>61</v>
      </c>
      <c r="F1879" s="5812">
        <v>3</v>
      </c>
      <c r="G1879" s="5813">
        <v>0.20208333333333334</v>
      </c>
      <c r="H1879" s="21" t="s">
        <v>10</v>
      </c>
      <c r="I1879" s="21" t="s">
        <v>2269</v>
      </c>
      <c r="J1879" s="21" t="s">
        <v>6955</v>
      </c>
      <c r="K1879" s="5814" t="s">
        <v>6956</v>
      </c>
    </row>
    <row r="1880" spans="1:11">
      <c r="A1880" s="21" t="s">
        <v>2729</v>
      </c>
      <c r="B1880" s="21" t="s">
        <v>6957</v>
      </c>
      <c r="C1880" s="21" t="s">
        <v>8</v>
      </c>
      <c r="D1880" s="21" t="s">
        <v>627</v>
      </c>
      <c r="E1880" s="21" t="s">
        <v>61</v>
      </c>
      <c r="F1880" s="5812">
        <v>3</v>
      </c>
      <c r="G1880" s="5813">
        <v>0.2076388888888889</v>
      </c>
      <c r="H1880" s="21" t="s">
        <v>10</v>
      </c>
      <c r="I1880" s="21" t="s">
        <v>47</v>
      </c>
      <c r="J1880" s="21" t="s">
        <v>3326</v>
      </c>
      <c r="K1880" s="5814" t="s">
        <v>6958</v>
      </c>
    </row>
    <row r="1881" spans="1:11">
      <c r="A1881" s="21" t="s">
        <v>4170</v>
      </c>
      <c r="B1881" s="21" t="s">
        <v>6959</v>
      </c>
      <c r="C1881" s="21" t="s">
        <v>22</v>
      </c>
      <c r="D1881" s="21" t="s">
        <v>627</v>
      </c>
      <c r="E1881" s="21" t="s">
        <v>61</v>
      </c>
      <c r="F1881" s="5812">
        <v>4</v>
      </c>
      <c r="G1881" s="5813">
        <v>0.10972222222222222</v>
      </c>
      <c r="H1881" s="21" t="s">
        <v>54</v>
      </c>
      <c r="I1881" s="21" t="s">
        <v>47</v>
      </c>
      <c r="J1881" s="21" t="s">
        <v>67</v>
      </c>
      <c r="K1881" s="5814" t="s">
        <v>6960</v>
      </c>
    </row>
    <row r="1882" spans="1:11">
      <c r="A1882" s="21" t="s">
        <v>2291</v>
      </c>
      <c r="B1882" s="21" t="s">
        <v>6961</v>
      </c>
      <c r="C1882" s="21" t="s">
        <v>22</v>
      </c>
      <c r="D1882" s="21" t="s">
        <v>627</v>
      </c>
      <c r="E1882" s="21" t="s">
        <v>244</v>
      </c>
      <c r="F1882" s="5812">
        <v>1</v>
      </c>
      <c r="G1882" s="5813">
        <v>6.3194444444444442E-2</v>
      </c>
      <c r="H1882" s="21" t="s">
        <v>10</v>
      </c>
      <c r="I1882" s="21" t="s">
        <v>96</v>
      </c>
      <c r="J1882" s="21"/>
      <c r="K1882" s="5814" t="s">
        <v>6962</v>
      </c>
    </row>
    <row r="1883" spans="1:11">
      <c r="A1883" s="21" t="s">
        <v>2935</v>
      </c>
      <c r="B1883" s="21" t="s">
        <v>6963</v>
      </c>
      <c r="C1883" s="21" t="s">
        <v>8</v>
      </c>
      <c r="D1883" s="21" t="s">
        <v>627</v>
      </c>
      <c r="E1883" s="21" t="s">
        <v>244</v>
      </c>
      <c r="F1883" s="5812">
        <v>1</v>
      </c>
      <c r="G1883" s="5813">
        <v>0.20833333333333334</v>
      </c>
      <c r="H1883" s="21" t="s">
        <v>10</v>
      </c>
      <c r="I1883" s="21" t="s">
        <v>11</v>
      </c>
      <c r="J1883" s="21" t="s">
        <v>6964</v>
      </c>
      <c r="K1883" s="5814" t="s">
        <v>6965</v>
      </c>
    </row>
    <row r="1884" spans="1:11">
      <c r="A1884" s="21" t="s">
        <v>3039</v>
      </c>
      <c r="B1884" s="21" t="s">
        <v>6966</v>
      </c>
      <c r="C1884" s="21" t="s">
        <v>179</v>
      </c>
      <c r="D1884" s="21" t="s">
        <v>701</v>
      </c>
      <c r="E1884" s="21" t="s">
        <v>180</v>
      </c>
      <c r="F1884" s="5812">
        <v>1</v>
      </c>
      <c r="G1884" s="5813">
        <v>0.19097222222222221</v>
      </c>
      <c r="H1884" s="21" t="s">
        <v>10</v>
      </c>
      <c r="I1884" s="21" t="s">
        <v>11</v>
      </c>
      <c r="J1884" s="21" t="s">
        <v>6967</v>
      </c>
      <c r="K1884" s="5814" t="s">
        <v>6968</v>
      </c>
    </row>
    <row r="1885" spans="1:11">
      <c r="A1885" s="21" t="s">
        <v>3690</v>
      </c>
      <c r="B1885" s="21" t="s">
        <v>6969</v>
      </c>
      <c r="C1885" s="21" t="s">
        <v>179</v>
      </c>
      <c r="D1885" s="21" t="s">
        <v>701</v>
      </c>
      <c r="E1885" s="21" t="s">
        <v>180</v>
      </c>
      <c r="F1885" s="5812">
        <v>2</v>
      </c>
      <c r="G1885" s="5813">
        <v>9.3055555555555558E-2</v>
      </c>
      <c r="H1885" s="21" t="s">
        <v>10</v>
      </c>
      <c r="I1885" s="21" t="s">
        <v>23</v>
      </c>
      <c r="J1885" s="21" t="s">
        <v>6970</v>
      </c>
      <c r="K1885" s="5814" t="s">
        <v>6971</v>
      </c>
    </row>
    <row r="1886" spans="1:11">
      <c r="A1886" s="21" t="s">
        <v>4321</v>
      </c>
      <c r="B1886" s="21" t="s">
        <v>6972</v>
      </c>
      <c r="C1886" s="21" t="s">
        <v>179</v>
      </c>
      <c r="D1886" s="21" t="s">
        <v>701</v>
      </c>
      <c r="E1886" s="21" t="s">
        <v>180</v>
      </c>
      <c r="F1886" s="5812">
        <v>2</v>
      </c>
      <c r="G1886" s="5813">
        <v>0.16805555555555557</v>
      </c>
      <c r="H1886" s="21" t="s">
        <v>10</v>
      </c>
      <c r="I1886" s="21" t="s">
        <v>55</v>
      </c>
      <c r="J1886" s="21" t="s">
        <v>6973</v>
      </c>
      <c r="K1886" s="5814" t="s">
        <v>6974</v>
      </c>
    </row>
    <row r="1887" spans="1:11">
      <c r="A1887" s="21" t="s">
        <v>223</v>
      </c>
      <c r="B1887" s="21" t="s">
        <v>708</v>
      </c>
      <c r="C1887" s="21" t="s">
        <v>709</v>
      </c>
      <c r="D1887" s="21" t="s">
        <v>701</v>
      </c>
      <c r="E1887" s="21" t="s">
        <v>710</v>
      </c>
      <c r="F1887" s="5812">
        <v>3</v>
      </c>
      <c r="G1887" s="5813">
        <v>0.20833333333333334</v>
      </c>
      <c r="H1887" s="21" t="s">
        <v>10</v>
      </c>
      <c r="I1887" s="21" t="s">
        <v>11</v>
      </c>
      <c r="J1887" s="21" t="s">
        <v>711</v>
      </c>
      <c r="K1887" s="5814" t="s">
        <v>712</v>
      </c>
    </row>
    <row r="1888" spans="1:11">
      <c r="A1888" s="21" t="s">
        <v>3671</v>
      </c>
      <c r="B1888" s="21" t="s">
        <v>6975</v>
      </c>
      <c r="C1888" s="21" t="s">
        <v>8</v>
      </c>
      <c r="D1888" s="21" t="s">
        <v>701</v>
      </c>
      <c r="E1888" s="21" t="s">
        <v>710</v>
      </c>
      <c r="F1888" s="5812">
        <v>3</v>
      </c>
      <c r="G1888" s="5813">
        <v>0.20833333333333334</v>
      </c>
      <c r="H1888" s="21" t="s">
        <v>10</v>
      </c>
      <c r="I1888" s="21" t="s">
        <v>47</v>
      </c>
      <c r="J1888" s="21" t="s">
        <v>6976</v>
      </c>
      <c r="K1888" s="5814" t="s">
        <v>6977</v>
      </c>
    </row>
    <row r="1889" spans="1:11">
      <c r="A1889" s="21" t="s">
        <v>3671</v>
      </c>
      <c r="B1889" s="21" t="s">
        <v>6978</v>
      </c>
      <c r="C1889" s="21" t="s">
        <v>709</v>
      </c>
      <c r="D1889" s="21" t="s">
        <v>701</v>
      </c>
      <c r="E1889" s="21" t="s">
        <v>710</v>
      </c>
      <c r="F1889" s="5812">
        <v>3</v>
      </c>
      <c r="G1889" s="5813">
        <v>0.20833333333333334</v>
      </c>
      <c r="H1889" s="21" t="s">
        <v>10</v>
      </c>
      <c r="I1889" s="21" t="s">
        <v>2814</v>
      </c>
      <c r="J1889" s="21" t="s">
        <v>6979</v>
      </c>
      <c r="K1889" s="5814" t="s">
        <v>6980</v>
      </c>
    </row>
    <row r="1890" spans="1:11">
      <c r="A1890" s="21" t="s">
        <v>3474</v>
      </c>
      <c r="B1890" s="21" t="s">
        <v>6981</v>
      </c>
      <c r="C1890" s="21" t="s">
        <v>22</v>
      </c>
      <c r="D1890" s="21" t="s">
        <v>701</v>
      </c>
      <c r="E1890" s="21" t="s">
        <v>710</v>
      </c>
      <c r="F1890" s="5812">
        <v>3</v>
      </c>
      <c r="G1890" s="5813">
        <v>0.20833333333333334</v>
      </c>
      <c r="H1890" s="21" t="s">
        <v>10</v>
      </c>
      <c r="I1890" s="21" t="s">
        <v>39</v>
      </c>
      <c r="J1890" s="21" t="s">
        <v>6982</v>
      </c>
      <c r="K1890" s="5814" t="s">
        <v>6983</v>
      </c>
    </row>
    <row r="1891" spans="1:11">
      <c r="A1891" s="21" t="s">
        <v>2955</v>
      </c>
      <c r="B1891" s="21" t="s">
        <v>6984</v>
      </c>
      <c r="C1891" s="21" t="s">
        <v>8</v>
      </c>
      <c r="D1891" s="21" t="s">
        <v>701</v>
      </c>
      <c r="E1891" s="21" t="s">
        <v>710</v>
      </c>
      <c r="F1891" s="5812">
        <v>3</v>
      </c>
      <c r="G1891" s="5813">
        <v>0.20833333333333334</v>
      </c>
      <c r="H1891" s="21" t="s">
        <v>10</v>
      </c>
      <c r="I1891" s="21" t="s">
        <v>23</v>
      </c>
      <c r="J1891" s="21" t="s">
        <v>6985</v>
      </c>
      <c r="K1891" s="5814" t="s">
        <v>6986</v>
      </c>
    </row>
    <row r="1892" spans="1:11">
      <c r="A1892" s="21" t="s">
        <v>2467</v>
      </c>
      <c r="B1892" s="21" t="s">
        <v>6987</v>
      </c>
      <c r="C1892" s="21" t="s">
        <v>709</v>
      </c>
      <c r="D1892" s="21" t="s">
        <v>701</v>
      </c>
      <c r="E1892" s="21" t="s">
        <v>710</v>
      </c>
      <c r="F1892" s="5812">
        <v>3</v>
      </c>
      <c r="G1892" s="5813">
        <v>0.20833333333333334</v>
      </c>
      <c r="H1892" s="21" t="s">
        <v>10</v>
      </c>
      <c r="I1892" s="21" t="s">
        <v>89</v>
      </c>
      <c r="J1892" s="21" t="s">
        <v>6988</v>
      </c>
      <c r="K1892" s="5814" t="s">
        <v>6989</v>
      </c>
    </row>
    <row r="1893" spans="1:11">
      <c r="A1893" s="21" t="s">
        <v>3984</v>
      </c>
      <c r="B1893" s="21" t="s">
        <v>6990</v>
      </c>
      <c r="C1893" s="21" t="s">
        <v>8</v>
      </c>
      <c r="D1893" s="21" t="s">
        <v>701</v>
      </c>
      <c r="E1893" s="21" t="s">
        <v>710</v>
      </c>
      <c r="F1893" s="5812">
        <v>3</v>
      </c>
      <c r="G1893" s="5813">
        <v>0.20833333333333334</v>
      </c>
      <c r="H1893" s="21" t="s">
        <v>10</v>
      </c>
      <c r="I1893" s="21" t="s">
        <v>89</v>
      </c>
      <c r="J1893" s="21" t="s">
        <v>6991</v>
      </c>
      <c r="K1893" s="5814" t="s">
        <v>6992</v>
      </c>
    </row>
    <row r="1894" spans="1:11">
      <c r="A1894" s="21" t="s">
        <v>4139</v>
      </c>
      <c r="B1894" s="21" t="s">
        <v>6993</v>
      </c>
      <c r="C1894" s="21" t="s">
        <v>22</v>
      </c>
      <c r="D1894" s="21" t="s">
        <v>701</v>
      </c>
      <c r="E1894" s="21" t="s">
        <v>710</v>
      </c>
      <c r="F1894" s="5812">
        <v>3</v>
      </c>
      <c r="G1894" s="5813">
        <v>0.20833333333333334</v>
      </c>
      <c r="H1894" s="21" t="s">
        <v>10</v>
      </c>
      <c r="I1894" s="21" t="s">
        <v>2713</v>
      </c>
      <c r="J1894" s="21" t="s">
        <v>6994</v>
      </c>
      <c r="K1894" s="5814" t="s">
        <v>6995</v>
      </c>
    </row>
    <row r="1895" spans="1:11">
      <c r="A1895" s="21" t="s">
        <v>3741</v>
      </c>
      <c r="B1895" s="21" t="s">
        <v>6996</v>
      </c>
      <c r="C1895" s="21" t="s">
        <v>709</v>
      </c>
      <c r="D1895" s="21" t="s">
        <v>701</v>
      </c>
      <c r="E1895" s="21" t="s">
        <v>710</v>
      </c>
      <c r="F1895" s="5812">
        <v>3</v>
      </c>
      <c r="G1895" s="5813">
        <v>0.20833333333333334</v>
      </c>
      <c r="H1895" s="21" t="s">
        <v>10</v>
      </c>
      <c r="I1895" s="21" t="s">
        <v>226</v>
      </c>
      <c r="J1895" s="21" t="s">
        <v>6997</v>
      </c>
      <c r="K1895" s="5814" t="s">
        <v>6998</v>
      </c>
    </row>
    <row r="1896" spans="1:11">
      <c r="A1896" s="21" t="s">
        <v>3647</v>
      </c>
      <c r="B1896" s="21" t="s">
        <v>6999</v>
      </c>
      <c r="C1896" s="21" t="s">
        <v>8</v>
      </c>
      <c r="D1896" s="21" t="s">
        <v>701</v>
      </c>
      <c r="E1896" s="21" t="s">
        <v>710</v>
      </c>
      <c r="F1896" s="5812">
        <v>3</v>
      </c>
      <c r="G1896" s="5813">
        <v>0.20833333333333334</v>
      </c>
      <c r="H1896" s="21" t="s">
        <v>10</v>
      </c>
      <c r="I1896" s="21" t="s">
        <v>23</v>
      </c>
      <c r="J1896" s="21" t="s">
        <v>7000</v>
      </c>
      <c r="K1896" s="5814" t="s">
        <v>7001</v>
      </c>
    </row>
    <row r="1897" spans="1:11">
      <c r="A1897" s="21" t="s">
        <v>2221</v>
      </c>
      <c r="B1897" s="21" t="s">
        <v>7002</v>
      </c>
      <c r="C1897" s="21" t="s">
        <v>709</v>
      </c>
      <c r="D1897" s="21" t="s">
        <v>701</v>
      </c>
      <c r="E1897" s="21" t="s">
        <v>710</v>
      </c>
      <c r="F1897" s="5812">
        <v>3</v>
      </c>
      <c r="G1897" s="5813">
        <v>0.20833333333333334</v>
      </c>
      <c r="H1897" s="21" t="s">
        <v>10</v>
      </c>
      <c r="I1897" s="21" t="s">
        <v>226</v>
      </c>
      <c r="J1897" s="21" t="s">
        <v>7003</v>
      </c>
      <c r="K1897" s="5814" t="s">
        <v>7004</v>
      </c>
    </row>
    <row r="1898" spans="1:11">
      <c r="A1898" s="21" t="s">
        <v>2780</v>
      </c>
      <c r="B1898" s="21" t="s">
        <v>7005</v>
      </c>
      <c r="C1898" s="21" t="s">
        <v>22</v>
      </c>
      <c r="D1898" s="21" t="s">
        <v>701</v>
      </c>
      <c r="E1898" s="21" t="s">
        <v>710</v>
      </c>
      <c r="F1898" s="5812">
        <v>3</v>
      </c>
      <c r="G1898" s="5813">
        <v>0.20833333333333334</v>
      </c>
      <c r="H1898" s="21" t="s">
        <v>10</v>
      </c>
      <c r="I1898" s="21" t="s">
        <v>226</v>
      </c>
      <c r="J1898" s="21" t="s">
        <v>7006</v>
      </c>
      <c r="K1898" s="5814" t="s">
        <v>7007</v>
      </c>
    </row>
    <row r="1899" spans="1:11">
      <c r="A1899" s="21" t="s">
        <v>3783</v>
      </c>
      <c r="B1899" s="21" t="s">
        <v>7008</v>
      </c>
      <c r="C1899" s="21" t="s">
        <v>8</v>
      </c>
      <c r="D1899" s="21" t="s">
        <v>701</v>
      </c>
      <c r="E1899" s="21" t="s">
        <v>710</v>
      </c>
      <c r="F1899" s="5812">
        <v>3</v>
      </c>
      <c r="G1899" s="5813">
        <v>0.20833333333333334</v>
      </c>
      <c r="H1899" s="21" t="s">
        <v>10</v>
      </c>
      <c r="I1899" s="21" t="s">
        <v>194</v>
      </c>
      <c r="J1899" s="21" t="s">
        <v>7009</v>
      </c>
      <c r="K1899" s="5814" t="s">
        <v>7010</v>
      </c>
    </row>
    <row r="1900" spans="1:11">
      <c r="A1900" s="21" t="s">
        <v>94</v>
      </c>
      <c r="B1900" s="21" t="s">
        <v>730</v>
      </c>
      <c r="C1900" s="21" t="s">
        <v>22</v>
      </c>
      <c r="D1900" s="21" t="s">
        <v>701</v>
      </c>
      <c r="E1900" s="21" t="s">
        <v>193</v>
      </c>
      <c r="F1900" s="5812">
        <v>3</v>
      </c>
      <c r="G1900" s="5813">
        <v>0.20833333333333334</v>
      </c>
      <c r="H1900" s="21" t="s">
        <v>10</v>
      </c>
      <c r="I1900" s="21" t="s">
        <v>96</v>
      </c>
      <c r="J1900" s="21" t="s">
        <v>731</v>
      </c>
      <c r="K1900" s="5814" t="s">
        <v>732</v>
      </c>
    </row>
    <row r="1901" spans="1:11">
      <c r="A1901" s="21" t="s">
        <v>103</v>
      </c>
      <c r="B1901" s="21" t="s">
        <v>737</v>
      </c>
      <c r="C1901" s="21" t="s">
        <v>22</v>
      </c>
      <c r="D1901" s="21" t="s">
        <v>701</v>
      </c>
      <c r="E1901" s="21" t="s">
        <v>193</v>
      </c>
      <c r="F1901" s="5812">
        <v>3</v>
      </c>
      <c r="G1901" s="5813">
        <v>0.20833333333333334</v>
      </c>
      <c r="H1901" s="21" t="s">
        <v>10</v>
      </c>
      <c r="I1901" s="21" t="s">
        <v>39</v>
      </c>
      <c r="J1901" s="21" t="s">
        <v>738</v>
      </c>
      <c r="K1901" s="5814" t="s">
        <v>739</v>
      </c>
    </row>
    <row r="1902" spans="1:11">
      <c r="A1902" s="21" t="s">
        <v>160</v>
      </c>
      <c r="B1902" s="21" t="s">
        <v>875</v>
      </c>
      <c r="C1902" s="21" t="s">
        <v>22</v>
      </c>
      <c r="D1902" s="21" t="s">
        <v>701</v>
      </c>
      <c r="E1902" s="21" t="s">
        <v>193</v>
      </c>
      <c r="F1902" s="5812">
        <v>3</v>
      </c>
      <c r="G1902" s="5813">
        <v>0.20833333333333334</v>
      </c>
      <c r="H1902" s="21" t="s">
        <v>10</v>
      </c>
      <c r="I1902" s="21" t="s">
        <v>55</v>
      </c>
      <c r="J1902" s="21" t="s">
        <v>876</v>
      </c>
      <c r="K1902" s="5814" t="s">
        <v>877</v>
      </c>
    </row>
    <row r="1903" spans="1:11">
      <c r="A1903" s="21" t="s">
        <v>177</v>
      </c>
      <c r="B1903" s="21" t="s">
        <v>885</v>
      </c>
      <c r="C1903" s="21" t="s">
        <v>8</v>
      </c>
      <c r="D1903" s="21" t="s">
        <v>701</v>
      </c>
      <c r="E1903" s="21" t="s">
        <v>193</v>
      </c>
      <c r="F1903" s="5812">
        <v>3</v>
      </c>
      <c r="G1903" s="5813">
        <v>0.20833333333333334</v>
      </c>
      <c r="H1903" s="21" t="s">
        <v>10</v>
      </c>
      <c r="I1903" s="21" t="s">
        <v>23</v>
      </c>
      <c r="J1903" s="21" t="s">
        <v>886</v>
      </c>
      <c r="K1903" s="5814" t="s">
        <v>887</v>
      </c>
    </row>
    <row r="1904" spans="1:11">
      <c r="A1904" s="21" t="s">
        <v>231</v>
      </c>
      <c r="B1904" s="21" t="s">
        <v>936</v>
      </c>
      <c r="C1904" s="21" t="s">
        <v>22</v>
      </c>
      <c r="D1904" s="21" t="s">
        <v>701</v>
      </c>
      <c r="E1904" s="21" t="s">
        <v>193</v>
      </c>
      <c r="F1904" s="5812">
        <v>3</v>
      </c>
      <c r="G1904" s="5813">
        <v>0.20833333333333334</v>
      </c>
      <c r="H1904" s="21" t="s">
        <v>10</v>
      </c>
      <c r="I1904" s="21" t="s">
        <v>96</v>
      </c>
      <c r="J1904" s="21" t="s">
        <v>937</v>
      </c>
      <c r="K1904" s="5814" t="s">
        <v>7011</v>
      </c>
    </row>
    <row r="1905" spans="1:11">
      <c r="A1905" s="21" t="s">
        <v>3029</v>
      </c>
      <c r="B1905" s="21" t="s">
        <v>7012</v>
      </c>
      <c r="C1905" s="21" t="s">
        <v>22</v>
      </c>
      <c r="D1905" s="21" t="s">
        <v>701</v>
      </c>
      <c r="E1905" s="21" t="s">
        <v>193</v>
      </c>
      <c r="F1905" s="5812">
        <v>3</v>
      </c>
      <c r="G1905" s="5813">
        <v>0.20833333333333334</v>
      </c>
      <c r="H1905" s="21" t="s">
        <v>10</v>
      </c>
      <c r="I1905" s="21" t="s">
        <v>39</v>
      </c>
      <c r="J1905" s="21" t="s">
        <v>7013</v>
      </c>
      <c r="K1905" s="5814" t="s">
        <v>7014</v>
      </c>
    </row>
    <row r="1906" spans="1:11">
      <c r="A1906" s="21" t="s">
        <v>3671</v>
      </c>
      <c r="B1906" s="21" t="s">
        <v>7015</v>
      </c>
      <c r="C1906" s="21" t="s">
        <v>8</v>
      </c>
      <c r="D1906" s="21" t="s">
        <v>701</v>
      </c>
      <c r="E1906" s="21" t="s">
        <v>193</v>
      </c>
      <c r="F1906" s="5812">
        <v>3</v>
      </c>
      <c r="G1906" s="5813">
        <v>0.20833333333333334</v>
      </c>
      <c r="H1906" s="21" t="s">
        <v>10</v>
      </c>
      <c r="I1906" s="21" t="s">
        <v>2313</v>
      </c>
      <c r="J1906" s="21" t="s">
        <v>7016</v>
      </c>
      <c r="K1906" s="5814" t="s">
        <v>7017</v>
      </c>
    </row>
    <row r="1907" spans="1:11">
      <c r="A1907" s="21" t="s">
        <v>2049</v>
      </c>
      <c r="B1907" s="21" t="s">
        <v>7018</v>
      </c>
      <c r="C1907" s="21" t="s">
        <v>8</v>
      </c>
      <c r="D1907" s="21" t="s">
        <v>701</v>
      </c>
      <c r="E1907" s="21" t="s">
        <v>193</v>
      </c>
      <c r="F1907" s="5812">
        <v>3</v>
      </c>
      <c r="G1907" s="5813">
        <v>0.20833333333333334</v>
      </c>
      <c r="H1907" s="21" t="s">
        <v>10</v>
      </c>
      <c r="I1907" s="21" t="s">
        <v>39</v>
      </c>
      <c r="J1907" s="21" t="s">
        <v>7019</v>
      </c>
      <c r="K1907" s="5814" t="s">
        <v>7020</v>
      </c>
    </row>
    <row r="1908" spans="1:11">
      <c r="A1908" s="21" t="s">
        <v>3886</v>
      </c>
      <c r="B1908" s="21" t="s">
        <v>7021</v>
      </c>
      <c r="C1908" s="21" t="s">
        <v>22</v>
      </c>
      <c r="D1908" s="21" t="s">
        <v>701</v>
      </c>
      <c r="E1908" s="21" t="s">
        <v>193</v>
      </c>
      <c r="F1908" s="5812">
        <v>3</v>
      </c>
      <c r="G1908" s="5813">
        <v>0.20833333333333334</v>
      </c>
      <c r="H1908" s="21" t="s">
        <v>10</v>
      </c>
      <c r="I1908" s="21" t="s">
        <v>5286</v>
      </c>
      <c r="J1908" s="21" t="s">
        <v>7022</v>
      </c>
      <c r="K1908" s="5814" t="s">
        <v>7023</v>
      </c>
    </row>
    <row r="1909" spans="1:11">
      <c r="A1909" s="21" t="s">
        <v>3896</v>
      </c>
      <c r="B1909" s="21" t="s">
        <v>7024</v>
      </c>
      <c r="C1909" s="21" t="s">
        <v>8</v>
      </c>
      <c r="D1909" s="21" t="s">
        <v>701</v>
      </c>
      <c r="E1909" s="21" t="s">
        <v>193</v>
      </c>
      <c r="F1909" s="5812">
        <v>3</v>
      </c>
      <c r="G1909" s="5813">
        <v>0.20833333333333334</v>
      </c>
      <c r="H1909" s="21" t="s">
        <v>10</v>
      </c>
      <c r="I1909" s="21" t="s">
        <v>2435</v>
      </c>
      <c r="J1909" s="21" t="s">
        <v>7025</v>
      </c>
      <c r="K1909" s="5814" t="s">
        <v>7026</v>
      </c>
    </row>
    <row r="1910" spans="1:11">
      <c r="A1910" s="21" t="s">
        <v>2403</v>
      </c>
      <c r="B1910" s="21" t="s">
        <v>7027</v>
      </c>
      <c r="C1910" s="21" t="s">
        <v>22</v>
      </c>
      <c r="D1910" s="21" t="s">
        <v>701</v>
      </c>
      <c r="E1910" s="21" t="s">
        <v>193</v>
      </c>
      <c r="F1910" s="5812">
        <v>3</v>
      </c>
      <c r="G1910" s="5813">
        <v>0.20833333333333334</v>
      </c>
      <c r="H1910" s="21" t="s">
        <v>10</v>
      </c>
      <c r="I1910" s="21" t="s">
        <v>55</v>
      </c>
      <c r="J1910" s="21" t="s">
        <v>7028</v>
      </c>
      <c r="K1910" s="5814" t="s">
        <v>7029</v>
      </c>
    </row>
    <row r="1911" spans="1:11">
      <c r="A1911" s="21" t="s">
        <v>2944</v>
      </c>
      <c r="B1911" s="21" t="s">
        <v>7030</v>
      </c>
      <c r="C1911" s="21" t="s">
        <v>8</v>
      </c>
      <c r="D1911" s="21" t="s">
        <v>701</v>
      </c>
      <c r="E1911" s="21" t="s">
        <v>193</v>
      </c>
      <c r="F1911" s="5812">
        <v>3</v>
      </c>
      <c r="G1911" s="5813">
        <v>0.20833333333333334</v>
      </c>
      <c r="H1911" s="21" t="s">
        <v>10</v>
      </c>
      <c r="I1911" s="21" t="s">
        <v>55</v>
      </c>
      <c r="J1911" s="21" t="s">
        <v>7031</v>
      </c>
      <c r="K1911" s="5814" t="s">
        <v>7032</v>
      </c>
    </row>
    <row r="1912" spans="1:11">
      <c r="A1912" s="21" t="s">
        <v>2929</v>
      </c>
      <c r="B1912" s="21" t="s">
        <v>7033</v>
      </c>
      <c r="C1912" s="21" t="s">
        <v>8</v>
      </c>
      <c r="D1912" s="21" t="s">
        <v>701</v>
      </c>
      <c r="E1912" s="21" t="s">
        <v>193</v>
      </c>
      <c r="F1912" s="5812">
        <v>3</v>
      </c>
      <c r="G1912" s="5813">
        <v>0.20833333333333334</v>
      </c>
      <c r="H1912" s="21" t="s">
        <v>10</v>
      </c>
      <c r="I1912" s="21" t="s">
        <v>23</v>
      </c>
      <c r="J1912" s="21" t="s">
        <v>7034</v>
      </c>
      <c r="K1912" s="5814" t="s">
        <v>7035</v>
      </c>
    </row>
    <row r="1913" spans="1:11">
      <c r="A1913" s="21" t="s">
        <v>3551</v>
      </c>
      <c r="B1913" s="21" t="s">
        <v>7036</v>
      </c>
      <c r="C1913" s="21" t="s">
        <v>22</v>
      </c>
      <c r="D1913" s="21" t="s">
        <v>701</v>
      </c>
      <c r="E1913" s="21" t="s">
        <v>193</v>
      </c>
      <c r="F1913" s="5812">
        <v>3</v>
      </c>
      <c r="G1913" s="5813">
        <v>0.20833333333333334</v>
      </c>
      <c r="H1913" s="21" t="s">
        <v>10</v>
      </c>
      <c r="I1913" s="21" t="s">
        <v>47</v>
      </c>
      <c r="J1913" s="21" t="s">
        <v>7037</v>
      </c>
      <c r="K1913" s="5814" t="s">
        <v>7038</v>
      </c>
    </row>
    <row r="1914" spans="1:11">
      <c r="A1914" s="21" t="s">
        <v>2982</v>
      </c>
      <c r="B1914" s="21" t="s">
        <v>7039</v>
      </c>
      <c r="C1914" s="21" t="s">
        <v>22</v>
      </c>
      <c r="D1914" s="21" t="s">
        <v>701</v>
      </c>
      <c r="E1914" s="21" t="s">
        <v>193</v>
      </c>
      <c r="F1914" s="5812">
        <v>3</v>
      </c>
      <c r="G1914" s="5813">
        <v>0.20833333333333334</v>
      </c>
      <c r="H1914" s="21" t="s">
        <v>10</v>
      </c>
      <c r="I1914" s="21" t="s">
        <v>226</v>
      </c>
      <c r="J1914" s="21" t="s">
        <v>7040</v>
      </c>
      <c r="K1914" s="5814" t="s">
        <v>7041</v>
      </c>
    </row>
    <row r="1915" spans="1:11">
      <c r="A1915" s="21" t="s">
        <v>2481</v>
      </c>
      <c r="B1915" s="21" t="s">
        <v>7042</v>
      </c>
      <c r="C1915" s="21" t="s">
        <v>22</v>
      </c>
      <c r="D1915" s="21" t="s">
        <v>701</v>
      </c>
      <c r="E1915" s="21" t="s">
        <v>193</v>
      </c>
      <c r="F1915" s="5812">
        <v>3</v>
      </c>
      <c r="G1915" s="5813">
        <v>0.20833333333333334</v>
      </c>
      <c r="H1915" s="21" t="s">
        <v>10</v>
      </c>
      <c r="I1915" s="21" t="s">
        <v>11</v>
      </c>
      <c r="J1915" s="21" t="s">
        <v>7043</v>
      </c>
      <c r="K1915" s="5814" t="s">
        <v>7044</v>
      </c>
    </row>
    <row r="1916" spans="1:11">
      <c r="A1916" s="21" t="s">
        <v>3102</v>
      </c>
      <c r="B1916" s="21" t="s">
        <v>7045</v>
      </c>
      <c r="C1916" s="21" t="s">
        <v>8</v>
      </c>
      <c r="D1916" s="21" t="s">
        <v>701</v>
      </c>
      <c r="E1916" s="21" t="s">
        <v>193</v>
      </c>
      <c r="F1916" s="5812">
        <v>3</v>
      </c>
      <c r="G1916" s="5813">
        <v>0.20833333333333334</v>
      </c>
      <c r="H1916" s="21" t="s">
        <v>10</v>
      </c>
      <c r="I1916" s="21" t="s">
        <v>55</v>
      </c>
      <c r="J1916" s="21" t="s">
        <v>7046</v>
      </c>
      <c r="K1916" s="5814" t="s">
        <v>7047</v>
      </c>
    </row>
    <row r="1917" spans="1:11">
      <c r="A1917" s="21" t="s">
        <v>2119</v>
      </c>
      <c r="B1917" s="21" t="s">
        <v>7048</v>
      </c>
      <c r="C1917" s="21" t="s">
        <v>8</v>
      </c>
      <c r="D1917" s="21" t="s">
        <v>701</v>
      </c>
      <c r="E1917" s="21" t="s">
        <v>193</v>
      </c>
      <c r="F1917" s="5812">
        <v>3</v>
      </c>
      <c r="G1917" s="5813">
        <v>0.20833333333333334</v>
      </c>
      <c r="H1917" s="21" t="s">
        <v>10</v>
      </c>
      <c r="I1917" s="21" t="s">
        <v>23</v>
      </c>
      <c r="J1917" s="21" t="s">
        <v>7049</v>
      </c>
      <c r="K1917" s="5814" t="s">
        <v>7050</v>
      </c>
    </row>
    <row r="1918" spans="1:11">
      <c r="A1918" s="21" t="s">
        <v>2910</v>
      </c>
      <c r="B1918" s="21" t="s">
        <v>7051</v>
      </c>
      <c r="C1918" s="21" t="s">
        <v>22</v>
      </c>
      <c r="D1918" s="21" t="s">
        <v>701</v>
      </c>
      <c r="E1918" s="21" t="s">
        <v>193</v>
      </c>
      <c r="F1918" s="5812">
        <v>3</v>
      </c>
      <c r="G1918" s="5813">
        <v>0.20833333333333334</v>
      </c>
      <c r="H1918" s="21" t="s">
        <v>10</v>
      </c>
      <c r="I1918" s="21" t="s">
        <v>23</v>
      </c>
      <c r="J1918" s="21" t="s">
        <v>7052</v>
      </c>
      <c r="K1918" s="5814" t="s">
        <v>7053</v>
      </c>
    </row>
    <row r="1919" spans="1:11">
      <c r="A1919" s="21" t="s">
        <v>2938</v>
      </c>
      <c r="B1919" s="21" t="s">
        <v>7054</v>
      </c>
      <c r="C1919" s="21" t="s">
        <v>22</v>
      </c>
      <c r="D1919" s="21" t="s">
        <v>701</v>
      </c>
      <c r="E1919" s="21" t="s">
        <v>193</v>
      </c>
      <c r="F1919" s="5812">
        <v>3</v>
      </c>
      <c r="G1919" s="5813">
        <v>0.20833333333333334</v>
      </c>
      <c r="H1919" s="21" t="s">
        <v>10</v>
      </c>
      <c r="I1919" s="21" t="s">
        <v>2313</v>
      </c>
      <c r="J1919" s="21" t="s">
        <v>7055</v>
      </c>
      <c r="K1919" s="5814" t="s">
        <v>7056</v>
      </c>
    </row>
    <row r="1920" spans="1:11">
      <c r="A1920" s="21" t="s">
        <v>2547</v>
      </c>
      <c r="B1920" s="21" t="s">
        <v>7057</v>
      </c>
      <c r="C1920" s="21" t="s">
        <v>8</v>
      </c>
      <c r="D1920" s="21" t="s">
        <v>701</v>
      </c>
      <c r="E1920" s="21" t="s">
        <v>193</v>
      </c>
      <c r="F1920" s="5812">
        <v>3</v>
      </c>
      <c r="G1920" s="5813">
        <v>0.20833333333333334</v>
      </c>
      <c r="H1920" s="21" t="s">
        <v>10</v>
      </c>
      <c r="I1920" s="21" t="s">
        <v>39</v>
      </c>
      <c r="J1920" s="21" t="s">
        <v>7058</v>
      </c>
      <c r="K1920" s="5814" t="s">
        <v>7059</v>
      </c>
    </row>
    <row r="1921" spans="1:11">
      <c r="A1921" s="21" t="s">
        <v>4565</v>
      </c>
      <c r="B1921" s="21" t="s">
        <v>7060</v>
      </c>
      <c r="C1921" s="21" t="s">
        <v>8</v>
      </c>
      <c r="D1921" s="21" t="s">
        <v>701</v>
      </c>
      <c r="E1921" s="21" t="s">
        <v>193</v>
      </c>
      <c r="F1921" s="5812">
        <v>3</v>
      </c>
      <c r="G1921" s="5813">
        <v>0.20833333333333334</v>
      </c>
      <c r="H1921" s="21" t="s">
        <v>10</v>
      </c>
      <c r="I1921" s="21" t="s">
        <v>3534</v>
      </c>
      <c r="J1921" s="21" t="s">
        <v>7061</v>
      </c>
      <c r="K1921" s="5814" t="s">
        <v>7062</v>
      </c>
    </row>
    <row r="1922" spans="1:11">
      <c r="A1922" s="21" t="s">
        <v>3208</v>
      </c>
      <c r="B1922" s="21" t="s">
        <v>7063</v>
      </c>
      <c r="C1922" s="21" t="s">
        <v>8</v>
      </c>
      <c r="D1922" s="21" t="s">
        <v>701</v>
      </c>
      <c r="E1922" s="21" t="s">
        <v>193</v>
      </c>
      <c r="F1922" s="5812">
        <v>3</v>
      </c>
      <c r="G1922" s="5813">
        <v>0.20833333333333334</v>
      </c>
      <c r="H1922" s="21" t="s">
        <v>10</v>
      </c>
      <c r="I1922" s="21" t="s">
        <v>55</v>
      </c>
      <c r="J1922" s="21" t="s">
        <v>7064</v>
      </c>
      <c r="K1922" s="5814" t="s">
        <v>7065</v>
      </c>
    </row>
    <row r="1923" spans="1:11">
      <c r="A1923" s="21" t="s">
        <v>3728</v>
      </c>
      <c r="B1923" s="21" t="s">
        <v>7066</v>
      </c>
      <c r="C1923" s="21" t="s">
        <v>22</v>
      </c>
      <c r="D1923" s="21" t="s">
        <v>701</v>
      </c>
      <c r="E1923" s="21" t="s">
        <v>193</v>
      </c>
      <c r="F1923" s="5812">
        <v>3</v>
      </c>
      <c r="G1923" s="5813">
        <v>0.20833333333333334</v>
      </c>
      <c r="H1923" s="21" t="s">
        <v>10</v>
      </c>
      <c r="I1923" s="21" t="s">
        <v>55</v>
      </c>
      <c r="J1923" s="21" t="s">
        <v>7067</v>
      </c>
      <c r="K1923" s="5814" t="s">
        <v>7068</v>
      </c>
    </row>
    <row r="1924" spans="1:11">
      <c r="A1924" s="21" t="s">
        <v>2192</v>
      </c>
      <c r="B1924" s="21" t="s">
        <v>7069</v>
      </c>
      <c r="C1924" s="21" t="s">
        <v>8</v>
      </c>
      <c r="D1924" s="21" t="s">
        <v>701</v>
      </c>
      <c r="E1924" s="21" t="s">
        <v>193</v>
      </c>
      <c r="F1924" s="5812">
        <v>3</v>
      </c>
      <c r="G1924" s="5813">
        <v>0.20833333333333334</v>
      </c>
      <c r="H1924" s="21" t="s">
        <v>10</v>
      </c>
      <c r="I1924" s="21" t="s">
        <v>11</v>
      </c>
      <c r="J1924" s="21" t="s">
        <v>7070</v>
      </c>
      <c r="K1924" s="5814" t="s">
        <v>7071</v>
      </c>
    </row>
    <row r="1925" spans="1:11">
      <c r="A1925" s="21" t="s">
        <v>2679</v>
      </c>
      <c r="B1925" s="21" t="s">
        <v>7072</v>
      </c>
      <c r="C1925" s="21" t="s">
        <v>8</v>
      </c>
      <c r="D1925" s="21" t="s">
        <v>701</v>
      </c>
      <c r="E1925" s="21" t="s">
        <v>193</v>
      </c>
      <c r="F1925" s="5812">
        <v>3</v>
      </c>
      <c r="G1925" s="5813">
        <v>0.20833333333333334</v>
      </c>
      <c r="H1925" s="21" t="s">
        <v>10</v>
      </c>
      <c r="I1925" s="21" t="s">
        <v>2713</v>
      </c>
      <c r="J1925" s="21" t="s">
        <v>7073</v>
      </c>
      <c r="K1925" s="5814" t="s">
        <v>7074</v>
      </c>
    </row>
    <row r="1926" spans="1:11">
      <c r="A1926" s="21" t="s">
        <v>2698</v>
      </c>
      <c r="B1926" s="21" t="s">
        <v>7075</v>
      </c>
      <c r="C1926" s="21" t="s">
        <v>22</v>
      </c>
      <c r="D1926" s="21" t="s">
        <v>701</v>
      </c>
      <c r="E1926" s="21" t="s">
        <v>193</v>
      </c>
      <c r="F1926" s="5812">
        <v>3</v>
      </c>
      <c r="G1926" s="5813">
        <v>0.20833333333333334</v>
      </c>
      <c r="H1926" s="21" t="s">
        <v>10</v>
      </c>
      <c r="I1926" s="21" t="s">
        <v>2814</v>
      </c>
      <c r="J1926" s="21" t="s">
        <v>7076</v>
      </c>
      <c r="K1926" s="5814" t="s">
        <v>7077</v>
      </c>
    </row>
    <row r="1927" spans="1:11">
      <c r="A1927" s="21" t="s">
        <v>2729</v>
      </c>
      <c r="B1927" s="21" t="s">
        <v>7078</v>
      </c>
      <c r="C1927" s="21" t="s">
        <v>22</v>
      </c>
      <c r="D1927" s="21" t="s">
        <v>701</v>
      </c>
      <c r="E1927" s="21" t="s">
        <v>193</v>
      </c>
      <c r="F1927" s="5812">
        <v>3</v>
      </c>
      <c r="G1927" s="5813">
        <v>0.20833333333333334</v>
      </c>
      <c r="H1927" s="21" t="s">
        <v>10</v>
      </c>
      <c r="I1927" s="21" t="s">
        <v>2713</v>
      </c>
      <c r="J1927" s="21" t="s">
        <v>7079</v>
      </c>
      <c r="K1927" s="5814" t="s">
        <v>7080</v>
      </c>
    </row>
    <row r="1928" spans="1:11">
      <c r="A1928" s="21" t="s">
        <v>2741</v>
      </c>
      <c r="B1928" s="21" t="s">
        <v>7081</v>
      </c>
      <c r="C1928" s="21" t="s">
        <v>22</v>
      </c>
      <c r="D1928" s="21" t="s">
        <v>701</v>
      </c>
      <c r="E1928" s="21" t="s">
        <v>193</v>
      </c>
      <c r="F1928" s="5812">
        <v>3</v>
      </c>
      <c r="G1928" s="5813">
        <v>0.20833333333333334</v>
      </c>
      <c r="H1928" s="21" t="s">
        <v>10</v>
      </c>
      <c r="I1928" s="21" t="s">
        <v>3534</v>
      </c>
      <c r="J1928" s="21" t="s">
        <v>7082</v>
      </c>
      <c r="K1928" s="5814" t="s">
        <v>7083</v>
      </c>
    </row>
    <row r="1929" spans="1:11">
      <c r="A1929" s="21" t="s">
        <v>3532</v>
      </c>
      <c r="B1929" s="21" t="s">
        <v>7084</v>
      </c>
      <c r="C1929" s="21" t="s">
        <v>22</v>
      </c>
      <c r="D1929" s="21" t="s">
        <v>701</v>
      </c>
      <c r="E1929" s="21" t="s">
        <v>193</v>
      </c>
      <c r="F1929" s="5812">
        <v>3</v>
      </c>
      <c r="G1929" s="5813">
        <v>0.20833333333333334</v>
      </c>
      <c r="H1929" s="21" t="s">
        <v>10</v>
      </c>
      <c r="I1929" s="21" t="s">
        <v>3534</v>
      </c>
      <c r="J1929" s="21" t="s">
        <v>7085</v>
      </c>
      <c r="K1929" s="5814" t="s">
        <v>7086</v>
      </c>
    </row>
    <row r="1930" spans="1:11">
      <c r="A1930" s="21" t="s">
        <v>2221</v>
      </c>
      <c r="B1930" s="21" t="s">
        <v>7087</v>
      </c>
      <c r="C1930" s="21" t="s">
        <v>709</v>
      </c>
      <c r="D1930" s="21" t="s">
        <v>701</v>
      </c>
      <c r="E1930" s="21" t="s">
        <v>193</v>
      </c>
      <c r="F1930" s="5812">
        <v>3</v>
      </c>
      <c r="G1930" s="5813">
        <v>0.20833333333333334</v>
      </c>
      <c r="H1930" s="21" t="s">
        <v>10</v>
      </c>
      <c r="I1930" s="21" t="s">
        <v>55</v>
      </c>
      <c r="J1930" s="21" t="s">
        <v>7088</v>
      </c>
      <c r="K1930" s="5814" t="s">
        <v>7089</v>
      </c>
    </row>
    <row r="1931" spans="1:11">
      <c r="A1931" s="21" t="s">
        <v>5554</v>
      </c>
      <c r="B1931" s="21" t="s">
        <v>7090</v>
      </c>
      <c r="C1931" s="21" t="s">
        <v>22</v>
      </c>
      <c r="D1931" s="21" t="s">
        <v>701</v>
      </c>
      <c r="E1931" s="21" t="s">
        <v>193</v>
      </c>
      <c r="F1931" s="5812">
        <v>3</v>
      </c>
      <c r="G1931" s="5813">
        <v>0.20833333333333334</v>
      </c>
      <c r="H1931" s="21" t="s">
        <v>10</v>
      </c>
      <c r="I1931" s="21" t="s">
        <v>4254</v>
      </c>
      <c r="J1931" s="21" t="s">
        <v>7091</v>
      </c>
      <c r="K1931" s="5814" t="s">
        <v>7092</v>
      </c>
    </row>
    <row r="1932" spans="1:11">
      <c r="A1932" s="21" t="s">
        <v>4313</v>
      </c>
      <c r="B1932" s="21" t="s">
        <v>7093</v>
      </c>
      <c r="C1932" s="21" t="s">
        <v>22</v>
      </c>
      <c r="D1932" s="21" t="s">
        <v>701</v>
      </c>
      <c r="E1932" s="21" t="s">
        <v>193</v>
      </c>
      <c r="F1932" s="5812">
        <v>3</v>
      </c>
      <c r="G1932" s="5813">
        <v>0.20833333333333334</v>
      </c>
      <c r="H1932" s="21" t="s">
        <v>10</v>
      </c>
      <c r="I1932" s="21" t="s">
        <v>47</v>
      </c>
      <c r="J1932" s="21" t="s">
        <v>7094</v>
      </c>
      <c r="K1932" s="5814" t="s">
        <v>7095</v>
      </c>
    </row>
    <row r="1933" spans="1:11">
      <c r="A1933" s="21" t="s">
        <v>3651</v>
      </c>
      <c r="B1933" s="21" t="s">
        <v>7096</v>
      </c>
      <c r="C1933" s="21" t="s">
        <v>22</v>
      </c>
      <c r="D1933" s="21" t="s">
        <v>701</v>
      </c>
      <c r="E1933" s="21" t="s">
        <v>193</v>
      </c>
      <c r="F1933" s="5812">
        <v>3</v>
      </c>
      <c r="G1933" s="5813">
        <v>0.20833333333333334</v>
      </c>
      <c r="H1933" s="21" t="s">
        <v>10</v>
      </c>
      <c r="I1933" s="21" t="s">
        <v>187</v>
      </c>
      <c r="J1933" s="21" t="s">
        <v>7097</v>
      </c>
      <c r="K1933" s="5814" t="s">
        <v>7098</v>
      </c>
    </row>
    <row r="1934" spans="1:11">
      <c r="A1934" s="21" t="s">
        <v>2776</v>
      </c>
      <c r="B1934" s="21" t="s">
        <v>7099</v>
      </c>
      <c r="C1934" s="21" t="s">
        <v>22</v>
      </c>
      <c r="D1934" s="21" t="s">
        <v>701</v>
      </c>
      <c r="E1934" s="21" t="s">
        <v>193</v>
      </c>
      <c r="F1934" s="5812">
        <v>3</v>
      </c>
      <c r="G1934" s="5813">
        <v>0.20833333333333334</v>
      </c>
      <c r="H1934" s="21" t="s">
        <v>10</v>
      </c>
      <c r="I1934" s="21" t="s">
        <v>47</v>
      </c>
      <c r="J1934" s="21" t="s">
        <v>7100</v>
      </c>
      <c r="K1934" s="5814" t="s">
        <v>7101</v>
      </c>
    </row>
    <row r="1935" spans="1:11">
      <c r="A1935" s="21" t="s">
        <v>2784</v>
      </c>
      <c r="B1935" s="21" t="s">
        <v>7102</v>
      </c>
      <c r="C1935" s="21" t="s">
        <v>22</v>
      </c>
      <c r="D1935" s="21" t="s">
        <v>701</v>
      </c>
      <c r="E1935" s="21" t="s">
        <v>193</v>
      </c>
      <c r="F1935" s="5812">
        <v>3</v>
      </c>
      <c r="G1935" s="5813">
        <v>0.20833333333333334</v>
      </c>
      <c r="H1935" s="21" t="s">
        <v>10</v>
      </c>
      <c r="I1935" s="21" t="s">
        <v>2247</v>
      </c>
      <c r="J1935" s="21" t="s">
        <v>7103</v>
      </c>
      <c r="K1935" s="5814" t="s">
        <v>7104</v>
      </c>
    </row>
    <row r="1936" spans="1:11">
      <c r="A1936" s="21" t="s">
        <v>4568</v>
      </c>
      <c r="B1936" s="21" t="s">
        <v>7105</v>
      </c>
      <c r="C1936" s="21" t="s">
        <v>22</v>
      </c>
      <c r="D1936" s="21" t="s">
        <v>701</v>
      </c>
      <c r="E1936" s="21" t="s">
        <v>193</v>
      </c>
      <c r="F1936" s="5812">
        <v>3</v>
      </c>
      <c r="G1936" s="5813">
        <v>0.20833333333333334</v>
      </c>
      <c r="H1936" s="21" t="s">
        <v>10</v>
      </c>
      <c r="I1936" s="21" t="s">
        <v>11</v>
      </c>
      <c r="J1936" s="21" t="s">
        <v>7106</v>
      </c>
      <c r="K1936" s="5814" t="s">
        <v>7107</v>
      </c>
    </row>
    <row r="1937" spans="1:11">
      <c r="A1937" s="21" t="s">
        <v>2241</v>
      </c>
      <c r="B1937" s="21" t="s">
        <v>7108</v>
      </c>
      <c r="C1937" s="21" t="s">
        <v>8</v>
      </c>
      <c r="D1937" s="21" t="s">
        <v>701</v>
      </c>
      <c r="E1937" s="21" t="s">
        <v>193</v>
      </c>
      <c r="F1937" s="5812">
        <v>3</v>
      </c>
      <c r="G1937" s="5813">
        <v>0.20833333333333334</v>
      </c>
      <c r="H1937" s="21" t="s">
        <v>10</v>
      </c>
      <c r="I1937" s="21" t="s">
        <v>55</v>
      </c>
      <c r="J1937" s="21" t="s">
        <v>7109</v>
      </c>
      <c r="K1937" s="5814" t="s">
        <v>7110</v>
      </c>
    </row>
    <row r="1938" spans="1:11">
      <c r="A1938" s="21" t="s">
        <v>4345</v>
      </c>
      <c r="B1938" s="21" t="s">
        <v>7111</v>
      </c>
      <c r="C1938" s="21" t="s">
        <v>22</v>
      </c>
      <c r="D1938" s="21" t="s">
        <v>701</v>
      </c>
      <c r="E1938" s="21" t="s">
        <v>193</v>
      </c>
      <c r="F1938" s="5812">
        <v>3</v>
      </c>
      <c r="G1938" s="5813">
        <v>0.20833333333333334</v>
      </c>
      <c r="H1938" s="21" t="s">
        <v>10</v>
      </c>
      <c r="I1938" s="21" t="s">
        <v>3534</v>
      </c>
      <c r="J1938" s="21" t="s">
        <v>7112</v>
      </c>
      <c r="K1938" s="5814" t="s">
        <v>7113</v>
      </c>
    </row>
    <row r="1939" spans="1:11">
      <c r="A1939" s="21" t="s">
        <v>4345</v>
      </c>
      <c r="B1939" s="21" t="s">
        <v>7114</v>
      </c>
      <c r="C1939" s="21" t="s">
        <v>8</v>
      </c>
      <c r="D1939" s="21" t="s">
        <v>701</v>
      </c>
      <c r="E1939" s="21" t="s">
        <v>193</v>
      </c>
      <c r="F1939" s="5812">
        <v>3</v>
      </c>
      <c r="G1939" s="5813">
        <v>0.20833333333333334</v>
      </c>
      <c r="H1939" s="21" t="s">
        <v>10</v>
      </c>
      <c r="I1939" s="21" t="s">
        <v>2660</v>
      </c>
      <c r="J1939" s="21" t="s">
        <v>7115</v>
      </c>
      <c r="K1939" s="5814" t="s">
        <v>7116</v>
      </c>
    </row>
    <row r="1940" spans="1:11">
      <c r="A1940" s="21" t="s">
        <v>2812</v>
      </c>
      <c r="B1940" s="21" t="s">
        <v>7117</v>
      </c>
      <c r="C1940" s="21" t="s">
        <v>22</v>
      </c>
      <c r="D1940" s="21" t="s">
        <v>701</v>
      </c>
      <c r="E1940" s="21" t="s">
        <v>193</v>
      </c>
      <c r="F1940" s="5812">
        <v>3</v>
      </c>
      <c r="G1940" s="5813">
        <v>0.20833333333333334</v>
      </c>
      <c r="H1940" s="21" t="s">
        <v>10</v>
      </c>
      <c r="I1940" s="21" t="s">
        <v>2713</v>
      </c>
      <c r="J1940" s="21" t="s">
        <v>7118</v>
      </c>
      <c r="K1940" s="5814" t="s">
        <v>7119</v>
      </c>
    </row>
    <row r="1941" spans="1:11">
      <c r="A1941" s="21" t="s">
        <v>2245</v>
      </c>
      <c r="B1941" s="21" t="s">
        <v>7120</v>
      </c>
      <c r="C1941" s="21" t="s">
        <v>8</v>
      </c>
      <c r="D1941" s="21" t="s">
        <v>701</v>
      </c>
      <c r="E1941" s="21" t="s">
        <v>193</v>
      </c>
      <c r="F1941" s="5812">
        <v>3</v>
      </c>
      <c r="G1941" s="5813">
        <v>0.20833333333333334</v>
      </c>
      <c r="H1941" s="21" t="s">
        <v>10</v>
      </c>
      <c r="I1941" s="21" t="s">
        <v>2247</v>
      </c>
      <c r="J1941" s="21" t="s">
        <v>7121</v>
      </c>
      <c r="K1941" s="5814" t="s">
        <v>7122</v>
      </c>
    </row>
    <row r="1942" spans="1:11">
      <c r="A1942" s="21" t="s">
        <v>3286</v>
      </c>
      <c r="B1942" s="21" t="s">
        <v>7123</v>
      </c>
      <c r="C1942" s="21" t="s">
        <v>8</v>
      </c>
      <c r="D1942" s="21" t="s">
        <v>701</v>
      </c>
      <c r="E1942" s="21" t="s">
        <v>193</v>
      </c>
      <c r="F1942" s="5812">
        <v>3</v>
      </c>
      <c r="G1942" s="5813">
        <v>0.20833333333333334</v>
      </c>
      <c r="H1942" s="21" t="s">
        <v>10</v>
      </c>
      <c r="I1942" s="21" t="s">
        <v>2523</v>
      </c>
      <c r="J1942" s="21" t="s">
        <v>7124</v>
      </c>
      <c r="K1942" s="5814" t="s">
        <v>7125</v>
      </c>
    </row>
    <row r="1943" spans="1:11">
      <c r="A1943" s="21" t="s">
        <v>3787</v>
      </c>
      <c r="B1943" s="21" t="s">
        <v>7126</v>
      </c>
      <c r="C1943" s="21" t="s">
        <v>22</v>
      </c>
      <c r="D1943" s="21" t="s">
        <v>701</v>
      </c>
      <c r="E1943" s="21" t="s">
        <v>193</v>
      </c>
      <c r="F1943" s="5812">
        <v>3</v>
      </c>
      <c r="G1943" s="5813">
        <v>0.20833333333333334</v>
      </c>
      <c r="H1943" s="21" t="s">
        <v>10</v>
      </c>
      <c r="I1943" s="21" t="s">
        <v>2297</v>
      </c>
      <c r="J1943" s="21" t="s">
        <v>7127</v>
      </c>
      <c r="K1943" s="5814" t="s">
        <v>7128</v>
      </c>
    </row>
    <row r="1944" spans="1:11">
      <c r="A1944" s="21" t="s">
        <v>2250</v>
      </c>
      <c r="B1944" s="21" t="s">
        <v>7129</v>
      </c>
      <c r="C1944" s="21" t="s">
        <v>8</v>
      </c>
      <c r="D1944" s="21" t="s">
        <v>701</v>
      </c>
      <c r="E1944" s="21" t="s">
        <v>193</v>
      </c>
      <c r="F1944" s="5812">
        <v>3</v>
      </c>
      <c r="G1944" s="5813">
        <v>0.20833333333333334</v>
      </c>
      <c r="H1944" s="21" t="s">
        <v>10</v>
      </c>
      <c r="I1944" s="21" t="s">
        <v>39</v>
      </c>
      <c r="J1944" s="21" t="s">
        <v>7130</v>
      </c>
      <c r="K1944" s="5814" t="s">
        <v>7131</v>
      </c>
    </row>
    <row r="1945" spans="1:11">
      <c r="A1945" s="21" t="s">
        <v>3458</v>
      </c>
      <c r="B1945" s="21" t="s">
        <v>7132</v>
      </c>
      <c r="C1945" s="21" t="s">
        <v>8</v>
      </c>
      <c r="D1945" s="21" t="s">
        <v>701</v>
      </c>
      <c r="E1945" s="21" t="s">
        <v>193</v>
      </c>
      <c r="F1945" s="5812">
        <v>3</v>
      </c>
      <c r="G1945" s="5813">
        <v>0.20833333333333334</v>
      </c>
      <c r="H1945" s="21" t="s">
        <v>10</v>
      </c>
      <c r="I1945" s="21" t="s">
        <v>2297</v>
      </c>
      <c r="J1945" s="21" t="s">
        <v>7133</v>
      </c>
      <c r="K1945" s="5814" t="s">
        <v>7134</v>
      </c>
    </row>
    <row r="1946" spans="1:11">
      <c r="A1946" s="21" t="s">
        <v>5220</v>
      </c>
      <c r="B1946" s="21" t="s">
        <v>7135</v>
      </c>
      <c r="C1946" s="21" t="s">
        <v>22</v>
      </c>
      <c r="D1946" s="21" t="s">
        <v>701</v>
      </c>
      <c r="E1946" s="21" t="s">
        <v>193</v>
      </c>
      <c r="F1946" s="5812">
        <v>3</v>
      </c>
      <c r="G1946" s="5813">
        <v>0.20833333333333334</v>
      </c>
      <c r="H1946" s="21" t="s">
        <v>10</v>
      </c>
      <c r="I1946" s="21" t="s">
        <v>2814</v>
      </c>
      <c r="J1946" s="21" t="s">
        <v>7136</v>
      </c>
      <c r="K1946" s="5814" t="s">
        <v>7137</v>
      </c>
    </row>
    <row r="1947" spans="1:11">
      <c r="A1947" s="21" t="s">
        <v>4768</v>
      </c>
      <c r="B1947" s="21" t="s">
        <v>7138</v>
      </c>
      <c r="C1947" s="21" t="s">
        <v>8</v>
      </c>
      <c r="D1947" s="21" t="s">
        <v>701</v>
      </c>
      <c r="E1947" s="21" t="s">
        <v>193</v>
      </c>
      <c r="F1947" s="5812">
        <v>3</v>
      </c>
      <c r="G1947" s="5813">
        <v>0.20833333333333334</v>
      </c>
      <c r="H1947" s="21" t="s">
        <v>10</v>
      </c>
      <c r="I1947" s="21" t="s">
        <v>2269</v>
      </c>
      <c r="J1947" s="21" t="s">
        <v>7139</v>
      </c>
      <c r="K1947" s="5814" t="s">
        <v>7140</v>
      </c>
    </row>
    <row r="1948" spans="1:11">
      <c r="A1948" s="21" t="s">
        <v>3144</v>
      </c>
      <c r="B1948" s="21" t="s">
        <v>7141</v>
      </c>
      <c r="C1948" s="21" t="s">
        <v>22</v>
      </c>
      <c r="D1948" s="21" t="s">
        <v>701</v>
      </c>
      <c r="E1948" s="21" t="s">
        <v>193</v>
      </c>
      <c r="F1948" s="5812">
        <v>3</v>
      </c>
      <c r="G1948" s="5813">
        <v>0.20833333333333334</v>
      </c>
      <c r="H1948" s="21" t="s">
        <v>10</v>
      </c>
      <c r="I1948" s="21"/>
      <c r="J1948" s="21" t="s">
        <v>7142</v>
      </c>
      <c r="K1948" s="5814" t="s">
        <v>7143</v>
      </c>
    </row>
    <row r="1949" spans="1:11">
      <c r="A1949" s="21" t="s">
        <v>3630</v>
      </c>
      <c r="B1949" s="21" t="s">
        <v>7144</v>
      </c>
      <c r="C1949" s="21" t="s">
        <v>8</v>
      </c>
      <c r="D1949" s="21" t="s">
        <v>701</v>
      </c>
      <c r="E1949" s="21" t="s">
        <v>193</v>
      </c>
      <c r="F1949" s="5812">
        <v>3</v>
      </c>
      <c r="G1949" s="5813">
        <v>0.20833333333333334</v>
      </c>
      <c r="H1949" s="21" t="s">
        <v>10</v>
      </c>
      <c r="I1949" s="21" t="s">
        <v>4791</v>
      </c>
      <c r="J1949" s="21" t="s">
        <v>7145</v>
      </c>
      <c r="K1949" s="5814" t="s">
        <v>7146</v>
      </c>
    </row>
    <row r="1950" spans="1:11">
      <c r="A1950" s="21" t="s">
        <v>2850</v>
      </c>
      <c r="B1950" s="21" t="s">
        <v>7147</v>
      </c>
      <c r="C1950" s="21" t="s">
        <v>22</v>
      </c>
      <c r="D1950" s="21" t="s">
        <v>701</v>
      </c>
      <c r="E1950" s="21" t="s">
        <v>193</v>
      </c>
      <c r="F1950" s="5812">
        <v>3</v>
      </c>
      <c r="G1950" s="5813">
        <v>0.20833333333333334</v>
      </c>
      <c r="H1950" s="21" t="s">
        <v>10</v>
      </c>
      <c r="I1950" s="21" t="s">
        <v>47</v>
      </c>
      <c r="J1950" s="21" t="s">
        <v>7148</v>
      </c>
      <c r="K1950" s="5814" t="s">
        <v>7149</v>
      </c>
    </row>
    <row r="1951" spans="1:11">
      <c r="A1951" s="21" t="s">
        <v>4423</v>
      </c>
      <c r="B1951" s="21" t="s">
        <v>7150</v>
      </c>
      <c r="C1951" s="21" t="s">
        <v>8</v>
      </c>
      <c r="D1951" s="21" t="s">
        <v>701</v>
      </c>
      <c r="E1951" s="21" t="s">
        <v>193</v>
      </c>
      <c r="F1951" s="5812">
        <v>3</v>
      </c>
      <c r="G1951" s="5813">
        <v>0.20833333333333334</v>
      </c>
      <c r="H1951" s="21" t="s">
        <v>10</v>
      </c>
      <c r="I1951" s="21" t="s">
        <v>96</v>
      </c>
      <c r="J1951" s="21" t="s">
        <v>7040</v>
      </c>
      <c r="K1951" s="5814" t="s">
        <v>7151</v>
      </c>
    </row>
    <row r="1952" spans="1:11">
      <c r="A1952" s="21" t="s">
        <v>2267</v>
      </c>
      <c r="B1952" s="21" t="s">
        <v>7152</v>
      </c>
      <c r="C1952" s="21" t="s">
        <v>8</v>
      </c>
      <c r="D1952" s="21" t="s">
        <v>701</v>
      </c>
      <c r="E1952" s="21" t="s">
        <v>193</v>
      </c>
      <c r="F1952" s="5812">
        <v>3</v>
      </c>
      <c r="G1952" s="5813">
        <v>0.20833333333333334</v>
      </c>
      <c r="H1952" s="21" t="s">
        <v>10</v>
      </c>
      <c r="I1952" s="21" t="s">
        <v>2269</v>
      </c>
      <c r="J1952" s="21" t="s">
        <v>7153</v>
      </c>
      <c r="K1952" s="5814" t="s">
        <v>7154</v>
      </c>
    </row>
    <row r="1953" spans="1:11">
      <c r="A1953" s="21" t="s">
        <v>2854</v>
      </c>
      <c r="B1953" s="21" t="s">
        <v>7155</v>
      </c>
      <c r="C1953" s="21" t="s">
        <v>22</v>
      </c>
      <c r="D1953" s="21" t="s">
        <v>701</v>
      </c>
      <c r="E1953" s="21" t="s">
        <v>193</v>
      </c>
      <c r="F1953" s="5812">
        <v>3</v>
      </c>
      <c r="G1953" s="5813">
        <v>0.20833333333333334</v>
      </c>
      <c r="H1953" s="21" t="s">
        <v>10</v>
      </c>
      <c r="I1953" s="21" t="s">
        <v>263</v>
      </c>
      <c r="J1953" s="21" t="s">
        <v>7156</v>
      </c>
      <c r="K1953" s="5814" t="s">
        <v>7157</v>
      </c>
    </row>
    <row r="1954" spans="1:11">
      <c r="A1954" s="21" t="s">
        <v>3293</v>
      </c>
      <c r="B1954" s="21" t="s">
        <v>7158</v>
      </c>
      <c r="C1954" s="21" t="s">
        <v>8</v>
      </c>
      <c r="D1954" s="21" t="s">
        <v>701</v>
      </c>
      <c r="E1954" s="21" t="s">
        <v>193</v>
      </c>
      <c r="F1954" s="5812">
        <v>3</v>
      </c>
      <c r="G1954" s="5813">
        <v>0.20833333333333334</v>
      </c>
      <c r="H1954" s="21" t="s">
        <v>10</v>
      </c>
      <c r="I1954" s="21" t="s">
        <v>96</v>
      </c>
      <c r="J1954" s="21" t="s">
        <v>7159</v>
      </c>
      <c r="K1954" s="5814" t="s">
        <v>7160</v>
      </c>
    </row>
    <row r="1955" spans="1:11">
      <c r="A1955" s="21" t="s">
        <v>3293</v>
      </c>
      <c r="B1955" s="21" t="s">
        <v>7161</v>
      </c>
      <c r="C1955" s="21" t="s">
        <v>8</v>
      </c>
      <c r="D1955" s="21" t="s">
        <v>701</v>
      </c>
      <c r="E1955" s="21" t="s">
        <v>193</v>
      </c>
      <c r="F1955" s="5812">
        <v>3</v>
      </c>
      <c r="G1955" s="5813">
        <v>0.20833333333333334</v>
      </c>
      <c r="H1955" s="21" t="s">
        <v>10</v>
      </c>
      <c r="I1955" s="21" t="s">
        <v>23</v>
      </c>
      <c r="J1955" s="21" t="s">
        <v>7162</v>
      </c>
      <c r="K1955" s="5814" t="s">
        <v>7163</v>
      </c>
    </row>
    <row r="1956" spans="1:11">
      <c r="A1956" s="21" t="s">
        <v>2276</v>
      </c>
      <c r="B1956" s="21" t="s">
        <v>7164</v>
      </c>
      <c r="C1956" s="21" t="s">
        <v>22</v>
      </c>
      <c r="D1956" s="21" t="s">
        <v>701</v>
      </c>
      <c r="E1956" s="21" t="s">
        <v>193</v>
      </c>
      <c r="F1956" s="5812">
        <v>3</v>
      </c>
      <c r="G1956" s="5813">
        <v>0.20833333333333334</v>
      </c>
      <c r="H1956" s="21" t="s">
        <v>10</v>
      </c>
      <c r="I1956" s="21" t="s">
        <v>55</v>
      </c>
      <c r="J1956" s="21" t="s">
        <v>7165</v>
      </c>
      <c r="K1956" s="5814" t="s">
        <v>7166</v>
      </c>
    </row>
    <row r="1957" spans="1:11">
      <c r="A1957" s="21" t="s">
        <v>2870</v>
      </c>
      <c r="B1957" s="21" t="s">
        <v>7167</v>
      </c>
      <c r="C1957" s="21" t="s">
        <v>8</v>
      </c>
      <c r="D1957" s="21" t="s">
        <v>701</v>
      </c>
      <c r="E1957" s="21" t="s">
        <v>193</v>
      </c>
      <c r="F1957" s="5812">
        <v>3</v>
      </c>
      <c r="G1957" s="5813">
        <v>0.20833333333333334</v>
      </c>
      <c r="H1957" s="21" t="s">
        <v>10</v>
      </c>
      <c r="I1957" s="21" t="s">
        <v>55</v>
      </c>
      <c r="J1957" s="21" t="s">
        <v>7168</v>
      </c>
      <c r="K1957" s="5814" t="s">
        <v>7169</v>
      </c>
    </row>
    <row r="1958" spans="1:11">
      <c r="A1958" s="21" t="s">
        <v>2870</v>
      </c>
      <c r="B1958" s="21" t="s">
        <v>7170</v>
      </c>
      <c r="C1958" s="21" t="s">
        <v>22</v>
      </c>
      <c r="D1958" s="21" t="s">
        <v>701</v>
      </c>
      <c r="E1958" s="21" t="s">
        <v>193</v>
      </c>
      <c r="F1958" s="5812">
        <v>3</v>
      </c>
      <c r="G1958" s="5813">
        <v>0.20833333333333334</v>
      </c>
      <c r="H1958" s="21" t="s">
        <v>10</v>
      </c>
      <c r="I1958" s="21" t="s">
        <v>2872</v>
      </c>
      <c r="J1958" s="21" t="s">
        <v>7171</v>
      </c>
      <c r="K1958" s="5814" t="s">
        <v>7172</v>
      </c>
    </row>
    <row r="1959" spans="1:11">
      <c r="A1959" s="21" t="s">
        <v>3260</v>
      </c>
      <c r="B1959" s="21" t="s">
        <v>7173</v>
      </c>
      <c r="C1959" s="21" t="s">
        <v>22</v>
      </c>
      <c r="D1959" s="21" t="s">
        <v>701</v>
      </c>
      <c r="E1959" s="21" t="s">
        <v>193</v>
      </c>
      <c r="F1959" s="5812">
        <v>3</v>
      </c>
      <c r="G1959" s="5813">
        <v>0.20833333333333334</v>
      </c>
      <c r="H1959" s="21" t="s">
        <v>10</v>
      </c>
      <c r="I1959" s="21" t="s">
        <v>2297</v>
      </c>
      <c r="J1959" s="21" t="s">
        <v>7174</v>
      </c>
      <c r="K1959" s="5814" t="s">
        <v>7175</v>
      </c>
    </row>
    <row r="1960" spans="1:11">
      <c r="A1960" s="21" t="s">
        <v>2127</v>
      </c>
      <c r="B1960" s="21" t="s">
        <v>7176</v>
      </c>
      <c r="C1960" s="21" t="s">
        <v>22</v>
      </c>
      <c r="D1960" s="21" t="s">
        <v>701</v>
      </c>
      <c r="E1960" s="21" t="s">
        <v>193</v>
      </c>
      <c r="F1960" s="5812">
        <v>5</v>
      </c>
      <c r="G1960" s="5813">
        <v>0.20833333333333334</v>
      </c>
      <c r="H1960" s="21" t="s">
        <v>54</v>
      </c>
      <c r="I1960" s="21" t="s">
        <v>55</v>
      </c>
      <c r="J1960" s="21" t="s">
        <v>7177</v>
      </c>
      <c r="K1960" s="5814" t="s">
        <v>7178</v>
      </c>
    </row>
    <row r="1961" spans="1:11">
      <c r="A1961" s="21" t="s">
        <v>4565</v>
      </c>
      <c r="B1961" s="21" t="s">
        <v>7179</v>
      </c>
      <c r="C1961" s="21" t="s">
        <v>22</v>
      </c>
      <c r="D1961" s="21" t="s">
        <v>701</v>
      </c>
      <c r="E1961" s="21" t="s">
        <v>193</v>
      </c>
      <c r="F1961" s="5812">
        <v>5</v>
      </c>
      <c r="G1961" s="5813">
        <v>0.20833333333333334</v>
      </c>
      <c r="H1961" s="21" t="s">
        <v>54</v>
      </c>
      <c r="I1961" s="21" t="s">
        <v>47</v>
      </c>
      <c r="J1961" s="21" t="s">
        <v>7180</v>
      </c>
      <c r="K1961" s="5814" t="s">
        <v>7181</v>
      </c>
    </row>
    <row r="1962" spans="1:11">
      <c r="A1962" s="21" t="s">
        <v>87</v>
      </c>
      <c r="B1962" s="21" t="s">
        <v>787</v>
      </c>
      <c r="C1962" s="21" t="s">
        <v>22</v>
      </c>
      <c r="D1962" s="21" t="s">
        <v>701</v>
      </c>
      <c r="E1962" s="21" t="s">
        <v>9</v>
      </c>
      <c r="F1962" s="5812">
        <v>3</v>
      </c>
      <c r="G1962" s="5813">
        <v>0.20833333333333334</v>
      </c>
      <c r="H1962" s="21" t="s">
        <v>10</v>
      </c>
      <c r="I1962" s="21" t="s">
        <v>788</v>
      </c>
      <c r="J1962" s="21" t="s">
        <v>789</v>
      </c>
      <c r="K1962" s="5814" t="s">
        <v>790</v>
      </c>
    </row>
    <row r="1963" spans="1:11">
      <c r="A1963" s="21" t="s">
        <v>87</v>
      </c>
      <c r="B1963" s="21" t="s">
        <v>794</v>
      </c>
      <c r="C1963" s="21" t="s">
        <v>22</v>
      </c>
      <c r="D1963" s="21" t="s">
        <v>701</v>
      </c>
      <c r="E1963" s="21" t="s">
        <v>9</v>
      </c>
      <c r="F1963" s="5812">
        <v>3</v>
      </c>
      <c r="G1963" s="5813">
        <v>0.20833333333333334</v>
      </c>
      <c r="H1963" s="21" t="s">
        <v>10</v>
      </c>
      <c r="I1963" s="21" t="s">
        <v>47</v>
      </c>
      <c r="J1963" s="21" t="s">
        <v>795</v>
      </c>
      <c r="K1963" s="5814" t="s">
        <v>796</v>
      </c>
    </row>
    <row r="1964" spans="1:11">
      <c r="A1964" s="21" t="s">
        <v>87</v>
      </c>
      <c r="B1964" s="21" t="s">
        <v>806</v>
      </c>
      <c r="C1964" s="21" t="s">
        <v>8</v>
      </c>
      <c r="D1964" s="21" t="s">
        <v>701</v>
      </c>
      <c r="E1964" s="21" t="s">
        <v>9</v>
      </c>
      <c r="F1964" s="5812">
        <v>3</v>
      </c>
      <c r="G1964" s="5813">
        <v>0.20833333333333334</v>
      </c>
      <c r="H1964" s="21" t="s">
        <v>10</v>
      </c>
      <c r="I1964" s="21" t="s">
        <v>89</v>
      </c>
      <c r="J1964" s="21" t="s">
        <v>90</v>
      </c>
      <c r="K1964" s="5814" t="s">
        <v>807</v>
      </c>
    </row>
    <row r="1965" spans="1:11">
      <c r="A1965" s="21" t="s">
        <v>94</v>
      </c>
      <c r="B1965" s="21" t="s">
        <v>810</v>
      </c>
      <c r="C1965" s="21" t="s">
        <v>8</v>
      </c>
      <c r="D1965" s="21" t="s">
        <v>701</v>
      </c>
      <c r="E1965" s="21" t="s">
        <v>9</v>
      </c>
      <c r="F1965" s="5812">
        <v>3</v>
      </c>
      <c r="G1965" s="5813">
        <v>0.20833333333333334</v>
      </c>
      <c r="H1965" s="21" t="s">
        <v>10</v>
      </c>
      <c r="I1965" s="21" t="s">
        <v>23</v>
      </c>
      <c r="J1965" s="21" t="s">
        <v>811</v>
      </c>
      <c r="K1965" s="5814" t="s">
        <v>812</v>
      </c>
    </row>
    <row r="1966" spans="1:11">
      <c r="A1966" s="21" t="s">
        <v>103</v>
      </c>
      <c r="B1966" s="21" t="s">
        <v>822</v>
      </c>
      <c r="C1966" s="21" t="s">
        <v>8</v>
      </c>
      <c r="D1966" s="21" t="s">
        <v>701</v>
      </c>
      <c r="E1966" s="21" t="s">
        <v>9</v>
      </c>
      <c r="F1966" s="5812">
        <v>3</v>
      </c>
      <c r="G1966" s="5813">
        <v>0.20833333333333334</v>
      </c>
      <c r="H1966" s="21" t="s">
        <v>10</v>
      </c>
      <c r="I1966" s="21" t="s">
        <v>47</v>
      </c>
      <c r="J1966" s="21" t="s">
        <v>823</v>
      </c>
      <c r="K1966" s="5814" t="s">
        <v>824</v>
      </c>
    </row>
    <row r="1967" spans="1:11">
      <c r="A1967" s="21" t="s">
        <v>79</v>
      </c>
      <c r="B1967" s="21" t="s">
        <v>749</v>
      </c>
      <c r="C1967" s="21" t="s">
        <v>22</v>
      </c>
      <c r="D1967" s="21" t="s">
        <v>701</v>
      </c>
      <c r="E1967" s="21" t="s">
        <v>9</v>
      </c>
      <c r="F1967" s="5812">
        <v>3</v>
      </c>
      <c r="G1967" s="5813">
        <v>0.20833333333333334</v>
      </c>
      <c r="H1967" s="21" t="s">
        <v>10</v>
      </c>
      <c r="I1967" s="21" t="s">
        <v>11</v>
      </c>
      <c r="J1967" s="21" t="s">
        <v>750</v>
      </c>
      <c r="K1967" s="5814" t="s">
        <v>751</v>
      </c>
    </row>
    <row r="1968" spans="1:11">
      <c r="A1968" s="21" t="s">
        <v>125</v>
      </c>
      <c r="B1968" s="21" t="s">
        <v>755</v>
      </c>
      <c r="C1968" s="21" t="s">
        <v>22</v>
      </c>
      <c r="D1968" s="21" t="s">
        <v>701</v>
      </c>
      <c r="E1968" s="21" t="s">
        <v>9</v>
      </c>
      <c r="F1968" s="5812">
        <v>3</v>
      </c>
      <c r="G1968" s="5813">
        <v>0.20833333333333334</v>
      </c>
      <c r="H1968" s="21" t="s">
        <v>10</v>
      </c>
      <c r="I1968" s="21" t="s">
        <v>39</v>
      </c>
      <c r="J1968" s="21" t="s">
        <v>756</v>
      </c>
      <c r="K1968" s="5814" t="s">
        <v>757</v>
      </c>
    </row>
    <row r="1969" spans="1:11">
      <c r="A1969" s="21" t="s">
        <v>135</v>
      </c>
      <c r="B1969" s="21" t="s">
        <v>853</v>
      </c>
      <c r="C1969" s="21" t="s">
        <v>8</v>
      </c>
      <c r="D1969" s="21" t="s">
        <v>701</v>
      </c>
      <c r="E1969" s="21" t="s">
        <v>9</v>
      </c>
      <c r="F1969" s="5812">
        <v>3</v>
      </c>
      <c r="G1969" s="5813">
        <v>0.20833333333333334</v>
      </c>
      <c r="H1969" s="21" t="s">
        <v>10</v>
      </c>
      <c r="I1969" s="21" t="s">
        <v>226</v>
      </c>
      <c r="J1969" s="21" t="s">
        <v>854</v>
      </c>
      <c r="K1969" s="5814" t="s">
        <v>855</v>
      </c>
    </row>
    <row r="1970" spans="1:11">
      <c r="A1970" s="21" t="s">
        <v>160</v>
      </c>
      <c r="B1970" s="21" t="s">
        <v>865</v>
      </c>
      <c r="C1970" s="21" t="s">
        <v>8</v>
      </c>
      <c r="D1970" s="21" t="s">
        <v>701</v>
      </c>
      <c r="E1970" s="21" t="s">
        <v>9</v>
      </c>
      <c r="F1970" s="5812">
        <v>3</v>
      </c>
      <c r="G1970" s="5813">
        <v>0.20833333333333334</v>
      </c>
      <c r="H1970" s="21" t="s">
        <v>10</v>
      </c>
      <c r="I1970" s="21" t="s">
        <v>89</v>
      </c>
      <c r="J1970" s="21" t="s">
        <v>866</v>
      </c>
      <c r="K1970" s="5814" t="s">
        <v>867</v>
      </c>
    </row>
    <row r="1971" spans="1:11">
      <c r="A1971" s="21" t="s">
        <v>177</v>
      </c>
      <c r="B1971" s="21" t="s">
        <v>880</v>
      </c>
      <c r="C1971" s="21" t="s">
        <v>8</v>
      </c>
      <c r="D1971" s="21" t="s">
        <v>701</v>
      </c>
      <c r="E1971" s="21" t="s">
        <v>9</v>
      </c>
      <c r="F1971" s="5812">
        <v>3</v>
      </c>
      <c r="G1971" s="5813">
        <v>0.20833333333333334</v>
      </c>
      <c r="H1971" s="21" t="s">
        <v>10</v>
      </c>
      <c r="I1971" s="21" t="s">
        <v>23</v>
      </c>
      <c r="J1971" s="21" t="s">
        <v>881</v>
      </c>
      <c r="K1971" s="5814" t="s">
        <v>882</v>
      </c>
    </row>
    <row r="1972" spans="1:11">
      <c r="A1972" s="21" t="s">
        <v>311</v>
      </c>
      <c r="B1972" s="21" t="s">
        <v>888</v>
      </c>
      <c r="C1972" s="21" t="s">
        <v>8</v>
      </c>
      <c r="D1972" s="21" t="s">
        <v>701</v>
      </c>
      <c r="E1972" s="21" t="s">
        <v>9</v>
      </c>
      <c r="F1972" s="5812">
        <v>3</v>
      </c>
      <c r="G1972" s="5813">
        <v>0.20833333333333334</v>
      </c>
      <c r="H1972" s="21" t="s">
        <v>10</v>
      </c>
      <c r="I1972" s="21" t="s">
        <v>39</v>
      </c>
      <c r="J1972" s="21" t="s">
        <v>889</v>
      </c>
      <c r="K1972" s="5814" t="s">
        <v>890</v>
      </c>
    </row>
    <row r="1973" spans="1:11">
      <c r="A1973" s="21" t="s">
        <v>311</v>
      </c>
      <c r="B1973" s="21" t="s">
        <v>893</v>
      </c>
      <c r="C1973" s="21" t="s">
        <v>22</v>
      </c>
      <c r="D1973" s="21" t="s">
        <v>701</v>
      </c>
      <c r="E1973" s="21" t="s">
        <v>9</v>
      </c>
      <c r="F1973" s="5812">
        <v>3</v>
      </c>
      <c r="G1973" s="5813">
        <v>0.20833333333333334</v>
      </c>
      <c r="H1973" s="21" t="s">
        <v>10</v>
      </c>
      <c r="I1973" s="21" t="s">
        <v>73</v>
      </c>
      <c r="J1973" s="21" t="s">
        <v>894</v>
      </c>
      <c r="K1973" s="5814" t="s">
        <v>895</v>
      </c>
    </row>
    <row r="1974" spans="1:11">
      <c r="A1974" s="21" t="s">
        <v>44</v>
      </c>
      <c r="B1974" s="21" t="s">
        <v>901</v>
      </c>
      <c r="C1974" s="21" t="s">
        <v>22</v>
      </c>
      <c r="D1974" s="21" t="s">
        <v>701</v>
      </c>
      <c r="E1974" s="21" t="s">
        <v>9</v>
      </c>
      <c r="F1974" s="5812">
        <v>3</v>
      </c>
      <c r="G1974" s="5813">
        <v>0.20833333333333334</v>
      </c>
      <c r="H1974" s="21" t="s">
        <v>10</v>
      </c>
      <c r="I1974" s="21" t="s">
        <v>39</v>
      </c>
      <c r="J1974" s="21" t="s">
        <v>902</v>
      </c>
      <c r="K1974" s="5814" t="s">
        <v>903</v>
      </c>
    </row>
    <row r="1975" spans="1:11">
      <c r="A1975" s="21" t="s">
        <v>207</v>
      </c>
      <c r="B1975" s="21" t="s">
        <v>916</v>
      </c>
      <c r="C1975" s="21" t="s">
        <v>22</v>
      </c>
      <c r="D1975" s="21" t="s">
        <v>701</v>
      </c>
      <c r="E1975" s="21" t="s">
        <v>9</v>
      </c>
      <c r="F1975" s="5812">
        <v>3</v>
      </c>
      <c r="G1975" s="5813">
        <v>0.20833333333333334</v>
      </c>
      <c r="H1975" s="21" t="s">
        <v>10</v>
      </c>
      <c r="I1975" s="21" t="s">
        <v>39</v>
      </c>
      <c r="J1975" s="21" t="s">
        <v>917</v>
      </c>
      <c r="K1975" s="5814" t="s">
        <v>918</v>
      </c>
    </row>
    <row r="1976" spans="1:11">
      <c r="A1976" s="21" t="s">
        <v>4654</v>
      </c>
      <c r="B1976" s="21" t="s">
        <v>7182</v>
      </c>
      <c r="C1976" s="21" t="s">
        <v>8</v>
      </c>
      <c r="D1976" s="21" t="s">
        <v>701</v>
      </c>
      <c r="E1976" s="21" t="s">
        <v>9</v>
      </c>
      <c r="F1976" s="5812">
        <v>3</v>
      </c>
      <c r="G1976" s="5813">
        <v>0.20833333333333334</v>
      </c>
      <c r="H1976" s="21" t="s">
        <v>10</v>
      </c>
      <c r="I1976" s="21" t="s">
        <v>5887</v>
      </c>
      <c r="J1976" s="21" t="s">
        <v>7183</v>
      </c>
      <c r="K1976" s="5814" t="s">
        <v>7184</v>
      </c>
    </row>
    <row r="1977" spans="1:11">
      <c r="A1977" s="21" t="s">
        <v>4654</v>
      </c>
      <c r="B1977" s="21" t="s">
        <v>7185</v>
      </c>
      <c r="C1977" s="21" t="s">
        <v>8</v>
      </c>
      <c r="D1977" s="21" t="s">
        <v>701</v>
      </c>
      <c r="E1977" s="21" t="s">
        <v>9</v>
      </c>
      <c r="F1977" s="5812">
        <v>3</v>
      </c>
      <c r="G1977" s="5813">
        <v>0.20833333333333334</v>
      </c>
      <c r="H1977" s="21" t="s">
        <v>10</v>
      </c>
      <c r="I1977" s="21" t="s">
        <v>47</v>
      </c>
      <c r="J1977" s="21" t="s">
        <v>7186</v>
      </c>
      <c r="K1977" s="5814" t="s">
        <v>7187</v>
      </c>
    </row>
    <row r="1978" spans="1:11">
      <c r="A1978" s="21" t="s">
        <v>2323</v>
      </c>
      <c r="B1978" s="21" t="s">
        <v>7188</v>
      </c>
      <c r="C1978" s="21" t="s">
        <v>22</v>
      </c>
      <c r="D1978" s="21" t="s">
        <v>701</v>
      </c>
      <c r="E1978" s="21" t="s">
        <v>9</v>
      </c>
      <c r="F1978" s="5812">
        <v>3</v>
      </c>
      <c r="G1978" s="5813">
        <v>0.20833333333333334</v>
      </c>
      <c r="H1978" s="21" t="s">
        <v>10</v>
      </c>
      <c r="I1978" s="21" t="s">
        <v>96</v>
      </c>
      <c r="J1978" s="21" t="s">
        <v>7189</v>
      </c>
      <c r="K1978" s="5814" t="s">
        <v>7190</v>
      </c>
    </row>
    <row r="1979" spans="1:11">
      <c r="A1979" s="21" t="s">
        <v>2084</v>
      </c>
      <c r="B1979" s="21" t="s">
        <v>7191</v>
      </c>
      <c r="C1979" s="21" t="s">
        <v>22</v>
      </c>
      <c r="D1979" s="21" t="s">
        <v>701</v>
      </c>
      <c r="E1979" s="21" t="s">
        <v>9</v>
      </c>
      <c r="F1979" s="5812">
        <v>3</v>
      </c>
      <c r="G1979" s="5813">
        <v>0.20833333333333334</v>
      </c>
      <c r="H1979" s="21" t="s">
        <v>10</v>
      </c>
      <c r="I1979" s="21" t="s">
        <v>96</v>
      </c>
      <c r="J1979" s="21" t="s">
        <v>7192</v>
      </c>
      <c r="K1979" s="5814" t="s">
        <v>7193</v>
      </c>
    </row>
    <row r="1980" spans="1:11">
      <c r="A1980" s="21" t="s">
        <v>2084</v>
      </c>
      <c r="B1980" s="21" t="s">
        <v>7194</v>
      </c>
      <c r="C1980" s="21" t="s">
        <v>8</v>
      </c>
      <c r="D1980" s="21" t="s">
        <v>701</v>
      </c>
      <c r="E1980" s="21" t="s">
        <v>9</v>
      </c>
      <c r="F1980" s="5812">
        <v>3</v>
      </c>
      <c r="G1980" s="5813">
        <v>0.20833333333333334</v>
      </c>
      <c r="H1980" s="21" t="s">
        <v>10</v>
      </c>
      <c r="I1980" s="21" t="s">
        <v>3343</v>
      </c>
      <c r="J1980" s="21" t="s">
        <v>7195</v>
      </c>
      <c r="K1980" s="5814" t="s">
        <v>7196</v>
      </c>
    </row>
    <row r="1981" spans="1:11">
      <c r="A1981" s="21" t="s">
        <v>3855</v>
      </c>
      <c r="B1981" s="21" t="s">
        <v>7197</v>
      </c>
      <c r="C1981" s="21" t="s">
        <v>8</v>
      </c>
      <c r="D1981" s="21" t="s">
        <v>701</v>
      </c>
      <c r="E1981" s="21" t="s">
        <v>9</v>
      </c>
      <c r="F1981" s="5812">
        <v>3</v>
      </c>
      <c r="G1981" s="5813">
        <v>0.20833333333333334</v>
      </c>
      <c r="H1981" s="21" t="s">
        <v>10</v>
      </c>
      <c r="I1981" s="21" t="s">
        <v>39</v>
      </c>
      <c r="J1981" s="21" t="s">
        <v>7198</v>
      </c>
      <c r="K1981" s="5814" t="s">
        <v>7199</v>
      </c>
    </row>
    <row r="1982" spans="1:11">
      <c r="A1982" s="21" t="s">
        <v>3855</v>
      </c>
      <c r="B1982" s="21" t="s">
        <v>7200</v>
      </c>
      <c r="C1982" s="21" t="s">
        <v>8</v>
      </c>
      <c r="D1982" s="21" t="s">
        <v>701</v>
      </c>
      <c r="E1982" s="21" t="s">
        <v>9</v>
      </c>
      <c r="F1982" s="5812">
        <v>3</v>
      </c>
      <c r="G1982" s="5813">
        <v>0.20833333333333334</v>
      </c>
      <c r="H1982" s="21" t="s">
        <v>10</v>
      </c>
      <c r="I1982" s="21" t="s">
        <v>654</v>
      </c>
      <c r="J1982" s="21" t="s">
        <v>7201</v>
      </c>
      <c r="K1982" s="5814" t="s">
        <v>7202</v>
      </c>
    </row>
    <row r="1983" spans="1:11">
      <c r="A1983" s="21" t="s">
        <v>3029</v>
      </c>
      <c r="B1983" s="21" t="s">
        <v>7203</v>
      </c>
      <c r="C1983" s="21" t="s">
        <v>22</v>
      </c>
      <c r="D1983" s="21" t="s">
        <v>701</v>
      </c>
      <c r="E1983" s="21" t="s">
        <v>9</v>
      </c>
      <c r="F1983" s="5812">
        <v>3</v>
      </c>
      <c r="G1983" s="5813">
        <v>0.20833333333333334</v>
      </c>
      <c r="H1983" s="21" t="s">
        <v>10</v>
      </c>
      <c r="I1983" s="21" t="s">
        <v>23</v>
      </c>
      <c r="J1983" s="21" t="s">
        <v>7204</v>
      </c>
      <c r="K1983" s="5814" t="s">
        <v>7205</v>
      </c>
    </row>
    <row r="1984" spans="1:11">
      <c r="A1984" s="21" t="s">
        <v>4552</v>
      </c>
      <c r="B1984" s="21" t="s">
        <v>7206</v>
      </c>
      <c r="C1984" s="21" t="s">
        <v>22</v>
      </c>
      <c r="D1984" s="21" t="s">
        <v>701</v>
      </c>
      <c r="E1984" s="21" t="s">
        <v>9</v>
      </c>
      <c r="F1984" s="5812">
        <v>3</v>
      </c>
      <c r="G1984" s="5813">
        <v>0.20833333333333334</v>
      </c>
      <c r="H1984" s="21" t="s">
        <v>10</v>
      </c>
      <c r="I1984" s="21" t="s">
        <v>55</v>
      </c>
      <c r="J1984" s="21" t="s">
        <v>7207</v>
      </c>
      <c r="K1984" s="5814" t="s">
        <v>7208</v>
      </c>
    </row>
    <row r="1985" spans="1:11">
      <c r="A1985" s="21" t="s">
        <v>3664</v>
      </c>
      <c r="B1985" s="21" t="s">
        <v>7209</v>
      </c>
      <c r="C1985" s="21" t="s">
        <v>22</v>
      </c>
      <c r="D1985" s="21" t="s">
        <v>701</v>
      </c>
      <c r="E1985" s="21" t="s">
        <v>9</v>
      </c>
      <c r="F1985" s="5812">
        <v>3</v>
      </c>
      <c r="G1985" s="5813">
        <v>0.20833333333333334</v>
      </c>
      <c r="H1985" s="21" t="s">
        <v>10</v>
      </c>
      <c r="I1985" s="21" t="s">
        <v>2435</v>
      </c>
      <c r="J1985" s="21" t="s">
        <v>7210</v>
      </c>
      <c r="K1985" s="5814" t="s">
        <v>7211</v>
      </c>
    </row>
    <row r="1986" spans="1:11">
      <c r="A1986" s="21" t="s">
        <v>3491</v>
      </c>
      <c r="B1986" s="21" t="s">
        <v>7212</v>
      </c>
      <c r="C1986" s="21" t="s">
        <v>8</v>
      </c>
      <c r="D1986" s="21" t="s">
        <v>701</v>
      </c>
      <c r="E1986" s="21" t="s">
        <v>9</v>
      </c>
      <c r="F1986" s="5812">
        <v>3</v>
      </c>
      <c r="G1986" s="5813">
        <v>0.20833333333333334</v>
      </c>
      <c r="H1986" s="21" t="s">
        <v>10</v>
      </c>
      <c r="I1986" s="21" t="s">
        <v>96</v>
      </c>
      <c r="J1986" s="21" t="s">
        <v>7213</v>
      </c>
      <c r="K1986" s="5814" t="s">
        <v>7214</v>
      </c>
    </row>
    <row r="1987" spans="1:11">
      <c r="A1987" s="21" t="s">
        <v>2334</v>
      </c>
      <c r="B1987" s="21" t="s">
        <v>7215</v>
      </c>
      <c r="C1987" s="21" t="s">
        <v>22</v>
      </c>
      <c r="D1987" s="21" t="s">
        <v>701</v>
      </c>
      <c r="E1987" s="21" t="s">
        <v>9</v>
      </c>
      <c r="F1987" s="5812">
        <v>3</v>
      </c>
      <c r="G1987" s="5813">
        <v>0.20833333333333334</v>
      </c>
      <c r="H1987" s="21" t="s">
        <v>10</v>
      </c>
      <c r="I1987" s="21" t="s">
        <v>6824</v>
      </c>
      <c r="J1987" s="21" t="s">
        <v>7216</v>
      </c>
      <c r="K1987" s="5814" t="s">
        <v>7217</v>
      </c>
    </row>
    <row r="1988" spans="1:11">
      <c r="A1988" s="21" t="s">
        <v>2334</v>
      </c>
      <c r="B1988" s="21" t="s">
        <v>7218</v>
      </c>
      <c r="C1988" s="21" t="s">
        <v>22</v>
      </c>
      <c r="D1988" s="21" t="s">
        <v>701</v>
      </c>
      <c r="E1988" s="21" t="s">
        <v>9</v>
      </c>
      <c r="F1988" s="5812">
        <v>3</v>
      </c>
      <c r="G1988" s="5813">
        <v>0.20833333333333334</v>
      </c>
      <c r="H1988" s="21" t="s">
        <v>10</v>
      </c>
      <c r="I1988" s="21" t="s">
        <v>96</v>
      </c>
      <c r="J1988" s="21" t="s">
        <v>7219</v>
      </c>
      <c r="K1988" s="5814" t="s">
        <v>7220</v>
      </c>
    </row>
    <row r="1989" spans="1:11">
      <c r="A1989" s="21" t="s">
        <v>2049</v>
      </c>
      <c r="B1989" s="21" t="s">
        <v>7221</v>
      </c>
      <c r="C1989" s="21" t="s">
        <v>22</v>
      </c>
      <c r="D1989" s="21" t="s">
        <v>701</v>
      </c>
      <c r="E1989" s="21" t="s">
        <v>9</v>
      </c>
      <c r="F1989" s="5812">
        <v>3</v>
      </c>
      <c r="G1989" s="5813">
        <v>0.20833333333333334</v>
      </c>
      <c r="H1989" s="21" t="s">
        <v>10</v>
      </c>
      <c r="I1989" s="21" t="s">
        <v>39</v>
      </c>
      <c r="J1989" s="21" t="s">
        <v>7222</v>
      </c>
      <c r="K1989" s="5814" t="s">
        <v>7223</v>
      </c>
    </row>
    <row r="1990" spans="1:11">
      <c r="A1990" s="21" t="s">
        <v>3882</v>
      </c>
      <c r="B1990" s="21" t="s">
        <v>7224</v>
      </c>
      <c r="C1990" s="21" t="s">
        <v>22</v>
      </c>
      <c r="D1990" s="21" t="s">
        <v>701</v>
      </c>
      <c r="E1990" s="21" t="s">
        <v>9</v>
      </c>
      <c r="F1990" s="5812">
        <v>3</v>
      </c>
      <c r="G1990" s="5813">
        <v>0.20833333333333334</v>
      </c>
      <c r="H1990" s="21" t="s">
        <v>10</v>
      </c>
      <c r="I1990" s="21" t="s">
        <v>55</v>
      </c>
      <c r="J1990" s="21" t="s">
        <v>7225</v>
      </c>
      <c r="K1990" s="5814" t="s">
        <v>7226</v>
      </c>
    </row>
    <row r="1991" spans="1:11">
      <c r="A1991" s="21" t="s">
        <v>3886</v>
      </c>
      <c r="B1991" s="21" t="s">
        <v>7227</v>
      </c>
      <c r="C1991" s="21" t="s">
        <v>8</v>
      </c>
      <c r="D1991" s="21" t="s">
        <v>701</v>
      </c>
      <c r="E1991" s="21" t="s">
        <v>9</v>
      </c>
      <c r="F1991" s="5812">
        <v>3</v>
      </c>
      <c r="G1991" s="5813">
        <v>0.20833333333333334</v>
      </c>
      <c r="H1991" s="21" t="s">
        <v>10</v>
      </c>
      <c r="I1991" s="21" t="s">
        <v>47</v>
      </c>
      <c r="J1991" s="21" t="s">
        <v>7228</v>
      </c>
      <c r="K1991" s="5814" t="s">
        <v>7229</v>
      </c>
    </row>
    <row r="1992" spans="1:11">
      <c r="A1992" s="21" t="s">
        <v>2358</v>
      </c>
      <c r="B1992" s="21" t="s">
        <v>7230</v>
      </c>
      <c r="C1992" s="21" t="s">
        <v>8</v>
      </c>
      <c r="D1992" s="21" t="s">
        <v>701</v>
      </c>
      <c r="E1992" s="21" t="s">
        <v>9</v>
      </c>
      <c r="F1992" s="5812">
        <v>3</v>
      </c>
      <c r="G1992" s="5813">
        <v>0.20833333333333334</v>
      </c>
      <c r="H1992" s="21" t="s">
        <v>10</v>
      </c>
      <c r="I1992" s="21" t="s">
        <v>73</v>
      </c>
      <c r="J1992" s="21" t="s">
        <v>2411</v>
      </c>
      <c r="K1992" s="5814" t="s">
        <v>7231</v>
      </c>
    </row>
    <row r="1993" spans="1:11">
      <c r="A1993" s="21" t="s">
        <v>2362</v>
      </c>
      <c r="B1993" s="21" t="s">
        <v>7232</v>
      </c>
      <c r="C1993" s="21" t="s">
        <v>8</v>
      </c>
      <c r="D1993" s="21" t="s">
        <v>701</v>
      </c>
      <c r="E1993" s="21" t="s">
        <v>9</v>
      </c>
      <c r="F1993" s="5812">
        <v>3</v>
      </c>
      <c r="G1993" s="5813">
        <v>0.20833333333333334</v>
      </c>
      <c r="H1993" s="21" t="s">
        <v>10</v>
      </c>
      <c r="I1993" s="21" t="s">
        <v>39</v>
      </c>
      <c r="J1993" s="21" t="s">
        <v>4165</v>
      </c>
      <c r="K1993" s="5814" t="s">
        <v>7233</v>
      </c>
    </row>
    <row r="1994" spans="1:11">
      <c r="A1994" s="21" t="s">
        <v>2362</v>
      </c>
      <c r="B1994" s="21" t="s">
        <v>7234</v>
      </c>
      <c r="C1994" s="21" t="s">
        <v>8</v>
      </c>
      <c r="D1994" s="21" t="s">
        <v>701</v>
      </c>
      <c r="E1994" s="21" t="s">
        <v>9</v>
      </c>
      <c r="F1994" s="5812">
        <v>3</v>
      </c>
      <c r="G1994" s="5813">
        <v>0.20833333333333334</v>
      </c>
      <c r="H1994" s="21" t="s">
        <v>10</v>
      </c>
      <c r="I1994" s="21" t="s">
        <v>39</v>
      </c>
      <c r="J1994" s="21" t="s">
        <v>7235</v>
      </c>
      <c r="K1994" s="5814" t="s">
        <v>7236</v>
      </c>
    </row>
    <row r="1995" spans="1:11">
      <c r="A1995" s="21" t="s">
        <v>3230</v>
      </c>
      <c r="B1995" s="21" t="s">
        <v>7237</v>
      </c>
      <c r="C1995" s="21" t="s">
        <v>8</v>
      </c>
      <c r="D1995" s="21" t="s">
        <v>701</v>
      </c>
      <c r="E1995" s="21" t="s">
        <v>9</v>
      </c>
      <c r="F1995" s="5812">
        <v>3</v>
      </c>
      <c r="G1995" s="5813">
        <v>0.20833333333333334</v>
      </c>
      <c r="H1995" s="21" t="s">
        <v>10</v>
      </c>
      <c r="I1995" s="21" t="s">
        <v>55</v>
      </c>
      <c r="J1995" s="21" t="s">
        <v>7238</v>
      </c>
      <c r="K1995" s="5814" t="s">
        <v>7239</v>
      </c>
    </row>
    <row r="1996" spans="1:11">
      <c r="A1996" s="21" t="s">
        <v>3896</v>
      </c>
      <c r="B1996" s="21" t="s">
        <v>7240</v>
      </c>
      <c r="C1996" s="21" t="s">
        <v>8</v>
      </c>
      <c r="D1996" s="21" t="s">
        <v>701</v>
      </c>
      <c r="E1996" s="21" t="s">
        <v>9</v>
      </c>
      <c r="F1996" s="5812">
        <v>3</v>
      </c>
      <c r="G1996" s="5813">
        <v>0.20833333333333334</v>
      </c>
      <c r="H1996" s="21" t="s">
        <v>10</v>
      </c>
      <c r="I1996" s="21" t="s">
        <v>11</v>
      </c>
      <c r="J1996" s="21" t="s">
        <v>7241</v>
      </c>
      <c r="K1996" s="5814" t="s">
        <v>7242</v>
      </c>
    </row>
    <row r="1997" spans="1:11">
      <c r="A1997" s="21" t="s">
        <v>3896</v>
      </c>
      <c r="B1997" s="21" t="s">
        <v>7243</v>
      </c>
      <c r="C1997" s="21" t="s">
        <v>8</v>
      </c>
      <c r="D1997" s="21" t="s">
        <v>701</v>
      </c>
      <c r="E1997" s="21" t="s">
        <v>9</v>
      </c>
      <c r="F1997" s="5812">
        <v>3</v>
      </c>
      <c r="G1997" s="5813">
        <v>0.20833333333333334</v>
      </c>
      <c r="H1997" s="21" t="s">
        <v>10</v>
      </c>
      <c r="I1997" s="21" t="s">
        <v>609</v>
      </c>
      <c r="J1997" s="21" t="s">
        <v>7244</v>
      </c>
      <c r="K1997" s="5814" t="s">
        <v>7245</v>
      </c>
    </row>
    <row r="1998" spans="1:11">
      <c r="A1998" s="21" t="s">
        <v>2096</v>
      </c>
      <c r="B1998" s="21" t="s">
        <v>7246</v>
      </c>
      <c r="C1998" s="21" t="s">
        <v>8</v>
      </c>
      <c r="D1998" s="21" t="s">
        <v>701</v>
      </c>
      <c r="E1998" s="21" t="s">
        <v>9</v>
      </c>
      <c r="F1998" s="5812">
        <v>3</v>
      </c>
      <c r="G1998" s="5813">
        <v>0.20833333333333334</v>
      </c>
      <c r="H1998" s="21" t="s">
        <v>10</v>
      </c>
      <c r="I1998" s="21" t="s">
        <v>2544</v>
      </c>
      <c r="J1998" s="21" t="s">
        <v>7247</v>
      </c>
      <c r="K1998" s="5814" t="s">
        <v>7248</v>
      </c>
    </row>
    <row r="1999" spans="1:11">
      <c r="A1999" s="21" t="s">
        <v>2383</v>
      </c>
      <c r="B1999" s="21" t="s">
        <v>7249</v>
      </c>
      <c r="C1999" s="21" t="s">
        <v>8</v>
      </c>
      <c r="D1999" s="21" t="s">
        <v>701</v>
      </c>
      <c r="E1999" s="21" t="s">
        <v>9</v>
      </c>
      <c r="F1999" s="5812">
        <v>3</v>
      </c>
      <c r="G1999" s="5813">
        <v>0.20833333333333334</v>
      </c>
      <c r="H1999" s="21" t="s">
        <v>10</v>
      </c>
      <c r="I1999" s="21" t="s">
        <v>73</v>
      </c>
      <c r="J1999" s="21" t="s">
        <v>7250</v>
      </c>
      <c r="K1999" s="5814" t="s">
        <v>7251</v>
      </c>
    </row>
    <row r="2000" spans="1:11">
      <c r="A2000" s="21" t="s">
        <v>2387</v>
      </c>
      <c r="B2000" s="21" t="s">
        <v>7252</v>
      </c>
      <c r="C2000" s="21" t="s">
        <v>8</v>
      </c>
      <c r="D2000" s="21" t="s">
        <v>701</v>
      </c>
      <c r="E2000" s="21" t="s">
        <v>9</v>
      </c>
      <c r="F2000" s="5812">
        <v>3</v>
      </c>
      <c r="G2000" s="5813">
        <v>0.20833333333333334</v>
      </c>
      <c r="H2000" s="21" t="s">
        <v>10</v>
      </c>
      <c r="I2000" s="21" t="s">
        <v>55</v>
      </c>
      <c r="J2000" s="21" t="s">
        <v>7253</v>
      </c>
      <c r="K2000" s="5814" t="s">
        <v>7254</v>
      </c>
    </row>
    <row r="2001" spans="1:11">
      <c r="A2001" s="21" t="s">
        <v>3033</v>
      </c>
      <c r="B2001" s="21" t="s">
        <v>7255</v>
      </c>
      <c r="C2001" s="21" t="s">
        <v>22</v>
      </c>
      <c r="D2001" s="21" t="s">
        <v>701</v>
      </c>
      <c r="E2001" s="21" t="s">
        <v>9</v>
      </c>
      <c r="F2001" s="5812">
        <v>3</v>
      </c>
      <c r="G2001" s="5813">
        <v>0.20833333333333334</v>
      </c>
      <c r="H2001" s="21" t="s">
        <v>10</v>
      </c>
      <c r="I2001" s="21" t="s">
        <v>47</v>
      </c>
      <c r="J2001" s="21" t="s">
        <v>7256</v>
      </c>
      <c r="K2001" s="5814" t="s">
        <v>7257</v>
      </c>
    </row>
    <row r="2002" spans="1:11">
      <c r="A2002" s="21" t="s">
        <v>3033</v>
      </c>
      <c r="B2002" s="21" t="s">
        <v>7258</v>
      </c>
      <c r="C2002" s="21" t="s">
        <v>8</v>
      </c>
      <c r="D2002" s="21" t="s">
        <v>701</v>
      </c>
      <c r="E2002" s="21" t="s">
        <v>9</v>
      </c>
      <c r="F2002" s="5812">
        <v>3</v>
      </c>
      <c r="G2002" s="5813">
        <v>0.20833333333333334</v>
      </c>
      <c r="H2002" s="21" t="s">
        <v>10</v>
      </c>
      <c r="I2002" s="21" t="s">
        <v>2814</v>
      </c>
      <c r="J2002" s="21" t="s">
        <v>7259</v>
      </c>
      <c r="K2002" s="5814" t="s">
        <v>7260</v>
      </c>
    </row>
    <row r="2003" spans="1:11">
      <c r="A2003" s="21" t="s">
        <v>2395</v>
      </c>
      <c r="B2003" s="21" t="s">
        <v>7261</v>
      </c>
      <c r="C2003" s="21" t="s">
        <v>22</v>
      </c>
      <c r="D2003" s="21" t="s">
        <v>701</v>
      </c>
      <c r="E2003" s="21" t="s">
        <v>9</v>
      </c>
      <c r="F2003" s="5812">
        <v>3</v>
      </c>
      <c r="G2003" s="5813">
        <v>0.20833333333333334</v>
      </c>
      <c r="H2003" s="21" t="s">
        <v>10</v>
      </c>
      <c r="I2003" s="21" t="s">
        <v>55</v>
      </c>
      <c r="J2003" s="21" t="s">
        <v>7262</v>
      </c>
      <c r="K2003" s="5814" t="s">
        <v>7263</v>
      </c>
    </row>
    <row r="2004" spans="1:11">
      <c r="A2004" s="21" t="s">
        <v>5390</v>
      </c>
      <c r="B2004" s="21" t="s">
        <v>7264</v>
      </c>
      <c r="C2004" s="21" t="s">
        <v>8</v>
      </c>
      <c r="D2004" s="21" t="s">
        <v>701</v>
      </c>
      <c r="E2004" s="21" t="s">
        <v>9</v>
      </c>
      <c r="F2004" s="5812">
        <v>3</v>
      </c>
      <c r="G2004" s="5813">
        <v>0.20833333333333334</v>
      </c>
      <c r="H2004" s="21" t="s">
        <v>10</v>
      </c>
      <c r="I2004" s="21" t="s">
        <v>654</v>
      </c>
      <c r="J2004" s="21" t="s">
        <v>7265</v>
      </c>
      <c r="K2004" s="5814" t="s">
        <v>7266</v>
      </c>
    </row>
    <row r="2005" spans="1:11">
      <c r="A2005" s="21" t="s">
        <v>3909</v>
      </c>
      <c r="B2005" s="21" t="s">
        <v>7267</v>
      </c>
      <c r="C2005" s="21" t="s">
        <v>22</v>
      </c>
      <c r="D2005" s="21" t="s">
        <v>701</v>
      </c>
      <c r="E2005" s="21" t="s">
        <v>9</v>
      </c>
      <c r="F2005" s="5812">
        <v>3</v>
      </c>
      <c r="G2005" s="5813">
        <v>0.20833333333333334</v>
      </c>
      <c r="H2005" s="21" t="s">
        <v>10</v>
      </c>
      <c r="I2005" s="21" t="s">
        <v>47</v>
      </c>
      <c r="J2005" s="21" t="s">
        <v>7268</v>
      </c>
      <c r="K2005" s="5814" t="s">
        <v>7269</v>
      </c>
    </row>
    <row r="2006" spans="1:11">
      <c r="A2006" s="21" t="s">
        <v>3909</v>
      </c>
      <c r="B2006" s="21" t="s">
        <v>7270</v>
      </c>
      <c r="C2006" s="21" t="s">
        <v>8</v>
      </c>
      <c r="D2006" s="21" t="s">
        <v>701</v>
      </c>
      <c r="E2006" s="21" t="s">
        <v>9</v>
      </c>
      <c r="F2006" s="5812">
        <v>3</v>
      </c>
      <c r="G2006" s="5813">
        <v>0.20833333333333334</v>
      </c>
      <c r="H2006" s="21" t="s">
        <v>10</v>
      </c>
      <c r="I2006" s="21" t="s">
        <v>55</v>
      </c>
      <c r="J2006" s="21" t="s">
        <v>7271</v>
      </c>
      <c r="K2006" s="5814" t="s">
        <v>7272</v>
      </c>
    </row>
    <row r="2007" spans="1:11">
      <c r="A2007" s="21" t="s">
        <v>3909</v>
      </c>
      <c r="B2007" s="21" t="s">
        <v>7273</v>
      </c>
      <c r="C2007" s="21" t="s">
        <v>8</v>
      </c>
      <c r="D2007" s="21" t="s">
        <v>701</v>
      </c>
      <c r="E2007" s="21" t="s">
        <v>9</v>
      </c>
      <c r="F2007" s="5812">
        <v>3</v>
      </c>
      <c r="G2007" s="5813">
        <v>0.20833333333333334</v>
      </c>
      <c r="H2007" s="21" t="s">
        <v>10</v>
      </c>
      <c r="I2007" s="21" t="s">
        <v>55</v>
      </c>
      <c r="J2007" s="21" t="s">
        <v>7274</v>
      </c>
      <c r="K2007" s="5814" t="s">
        <v>7275</v>
      </c>
    </row>
    <row r="2008" spans="1:11">
      <c r="A2008" s="21" t="s">
        <v>2893</v>
      </c>
      <c r="B2008" s="21" t="s">
        <v>7276</v>
      </c>
      <c r="C2008" s="21" t="s">
        <v>8</v>
      </c>
      <c r="D2008" s="21" t="s">
        <v>701</v>
      </c>
      <c r="E2008" s="21" t="s">
        <v>9</v>
      </c>
      <c r="F2008" s="5812">
        <v>3</v>
      </c>
      <c r="G2008" s="5813">
        <v>0.20833333333333334</v>
      </c>
      <c r="H2008" s="21" t="s">
        <v>10</v>
      </c>
      <c r="I2008" s="21" t="s">
        <v>39</v>
      </c>
      <c r="J2008" s="21" t="s">
        <v>7277</v>
      </c>
      <c r="K2008" s="5814" t="s">
        <v>7278</v>
      </c>
    </row>
    <row r="2009" spans="1:11">
      <c r="A2009" s="21" t="s">
        <v>2433</v>
      </c>
      <c r="B2009" s="21" t="s">
        <v>7279</v>
      </c>
      <c r="C2009" s="21" t="s">
        <v>22</v>
      </c>
      <c r="D2009" s="21" t="s">
        <v>701</v>
      </c>
      <c r="E2009" s="21" t="s">
        <v>9</v>
      </c>
      <c r="F2009" s="5812">
        <v>3</v>
      </c>
      <c r="G2009" s="5813">
        <v>0.20833333333333334</v>
      </c>
      <c r="H2009" s="21" t="s">
        <v>10</v>
      </c>
      <c r="I2009" s="21" t="s">
        <v>2435</v>
      </c>
      <c r="J2009" s="21" t="s">
        <v>7280</v>
      </c>
      <c r="K2009" s="5814" t="s">
        <v>7281</v>
      </c>
    </row>
    <row r="2010" spans="1:11">
      <c r="A2010" s="21" t="s">
        <v>3130</v>
      </c>
      <c r="B2010" s="21" t="s">
        <v>7282</v>
      </c>
      <c r="C2010" s="21" t="s">
        <v>8</v>
      </c>
      <c r="D2010" s="21" t="s">
        <v>701</v>
      </c>
      <c r="E2010" s="21" t="s">
        <v>9</v>
      </c>
      <c r="F2010" s="5812">
        <v>3</v>
      </c>
      <c r="G2010" s="5813">
        <v>0.20833333333333334</v>
      </c>
      <c r="H2010" s="21" t="s">
        <v>10</v>
      </c>
      <c r="I2010" s="21" t="s">
        <v>263</v>
      </c>
      <c r="J2010" s="21" t="s">
        <v>7283</v>
      </c>
      <c r="K2010" s="5814" t="s">
        <v>7284</v>
      </c>
    </row>
    <row r="2011" spans="1:11">
      <c r="A2011" s="21" t="s">
        <v>2450</v>
      </c>
      <c r="B2011" s="21" t="s">
        <v>7285</v>
      </c>
      <c r="C2011" s="21" t="s">
        <v>8</v>
      </c>
      <c r="D2011" s="21" t="s">
        <v>701</v>
      </c>
      <c r="E2011" s="21" t="s">
        <v>9</v>
      </c>
      <c r="F2011" s="5812">
        <v>3</v>
      </c>
      <c r="G2011" s="5813">
        <v>0.20833333333333334</v>
      </c>
      <c r="H2011" s="21" t="s">
        <v>10</v>
      </c>
      <c r="I2011" s="21" t="s">
        <v>89</v>
      </c>
      <c r="J2011" s="21" t="s">
        <v>7286</v>
      </c>
      <c r="K2011" s="5814" t="s">
        <v>7287</v>
      </c>
    </row>
    <row r="2012" spans="1:11">
      <c r="A2012" s="21" t="s">
        <v>3946</v>
      </c>
      <c r="B2012" s="21" t="s">
        <v>7288</v>
      </c>
      <c r="C2012" s="21" t="s">
        <v>8</v>
      </c>
      <c r="D2012" s="21" t="s">
        <v>701</v>
      </c>
      <c r="E2012" s="21" t="s">
        <v>9</v>
      </c>
      <c r="F2012" s="5812">
        <v>3</v>
      </c>
      <c r="G2012" s="5813">
        <v>0.20833333333333334</v>
      </c>
      <c r="H2012" s="21" t="s">
        <v>10</v>
      </c>
      <c r="I2012" s="21" t="s">
        <v>39</v>
      </c>
      <c r="J2012" s="21" t="s">
        <v>2346</v>
      </c>
      <c r="K2012" s="5814" t="s">
        <v>7289</v>
      </c>
    </row>
    <row r="2013" spans="1:11">
      <c r="A2013" s="21" t="s">
        <v>2104</v>
      </c>
      <c r="B2013" s="21" t="s">
        <v>7290</v>
      </c>
      <c r="C2013" s="21" t="s">
        <v>8</v>
      </c>
      <c r="D2013" s="21" t="s">
        <v>701</v>
      </c>
      <c r="E2013" s="21" t="s">
        <v>9</v>
      </c>
      <c r="F2013" s="5812">
        <v>3</v>
      </c>
      <c r="G2013" s="5813">
        <v>0.20833333333333334</v>
      </c>
      <c r="H2013" s="21" t="s">
        <v>10</v>
      </c>
      <c r="I2013" s="21" t="s">
        <v>96</v>
      </c>
      <c r="J2013" s="21" t="s">
        <v>7291</v>
      </c>
      <c r="K2013" s="5814" t="s">
        <v>7292</v>
      </c>
    </row>
    <row r="2014" spans="1:11">
      <c r="A2014" s="21" t="s">
        <v>3220</v>
      </c>
      <c r="B2014" s="21" t="s">
        <v>7293</v>
      </c>
      <c r="C2014" s="21" t="s">
        <v>8</v>
      </c>
      <c r="D2014" s="21" t="s">
        <v>701</v>
      </c>
      <c r="E2014" s="21" t="s">
        <v>9</v>
      </c>
      <c r="F2014" s="5812">
        <v>3</v>
      </c>
      <c r="G2014" s="5813">
        <v>0.20833333333333334</v>
      </c>
      <c r="H2014" s="21" t="s">
        <v>10</v>
      </c>
      <c r="I2014" s="21" t="s">
        <v>89</v>
      </c>
      <c r="J2014" s="21" t="s">
        <v>7294</v>
      </c>
      <c r="K2014" s="5814" t="s">
        <v>7295</v>
      </c>
    </row>
    <row r="2015" spans="1:11">
      <c r="A2015" s="21" t="s">
        <v>2467</v>
      </c>
      <c r="B2015" s="21" t="s">
        <v>7296</v>
      </c>
      <c r="C2015" s="21" t="s">
        <v>8</v>
      </c>
      <c r="D2015" s="21" t="s">
        <v>701</v>
      </c>
      <c r="E2015" s="21" t="s">
        <v>9</v>
      </c>
      <c r="F2015" s="5812">
        <v>3</v>
      </c>
      <c r="G2015" s="5813">
        <v>0.20833333333333334</v>
      </c>
      <c r="H2015" s="21" t="s">
        <v>10</v>
      </c>
      <c r="I2015" s="21" t="s">
        <v>96</v>
      </c>
      <c r="J2015" s="21" t="s">
        <v>7297</v>
      </c>
      <c r="K2015" s="5814" t="s">
        <v>7298</v>
      </c>
    </row>
    <row r="2016" spans="1:11">
      <c r="A2016" s="21" t="s">
        <v>3152</v>
      </c>
      <c r="B2016" s="21" t="s">
        <v>7299</v>
      </c>
      <c r="C2016" s="21" t="s">
        <v>8</v>
      </c>
      <c r="D2016" s="21" t="s">
        <v>701</v>
      </c>
      <c r="E2016" s="21" t="s">
        <v>9</v>
      </c>
      <c r="F2016" s="5812">
        <v>3</v>
      </c>
      <c r="G2016" s="5813">
        <v>0.20833333333333334</v>
      </c>
      <c r="H2016" s="21" t="s">
        <v>10</v>
      </c>
      <c r="I2016" s="21" t="s">
        <v>96</v>
      </c>
      <c r="J2016" s="21" t="s">
        <v>7300</v>
      </c>
      <c r="K2016" s="5814" t="s">
        <v>7301</v>
      </c>
    </row>
    <row r="2017" spans="1:11">
      <c r="A2017" s="21" t="s">
        <v>2481</v>
      </c>
      <c r="B2017" s="21" t="s">
        <v>7302</v>
      </c>
      <c r="C2017" s="21" t="s">
        <v>8</v>
      </c>
      <c r="D2017" s="21" t="s">
        <v>701</v>
      </c>
      <c r="E2017" s="21" t="s">
        <v>9</v>
      </c>
      <c r="F2017" s="5812">
        <v>3</v>
      </c>
      <c r="G2017" s="5813">
        <v>0.20833333333333334</v>
      </c>
      <c r="H2017" s="21" t="s">
        <v>10</v>
      </c>
      <c r="I2017" s="21" t="s">
        <v>11</v>
      </c>
      <c r="J2017" s="21" t="s">
        <v>7303</v>
      </c>
      <c r="K2017" s="5814" t="s">
        <v>7304</v>
      </c>
    </row>
    <row r="2018" spans="1:11">
      <c r="A2018" s="21" t="s">
        <v>2115</v>
      </c>
      <c r="B2018" s="21" t="s">
        <v>7305</v>
      </c>
      <c r="C2018" s="21" t="s">
        <v>22</v>
      </c>
      <c r="D2018" s="21" t="s">
        <v>701</v>
      </c>
      <c r="E2018" s="21" t="s">
        <v>9</v>
      </c>
      <c r="F2018" s="5812">
        <v>3</v>
      </c>
      <c r="G2018" s="5813">
        <v>0.20833333333333334</v>
      </c>
      <c r="H2018" s="21" t="s">
        <v>10</v>
      </c>
      <c r="I2018" s="21" t="s">
        <v>654</v>
      </c>
      <c r="J2018" s="21" t="s">
        <v>7306</v>
      </c>
      <c r="K2018" s="5814" t="s">
        <v>7307</v>
      </c>
    </row>
    <row r="2019" spans="1:11">
      <c r="A2019" s="21" t="s">
        <v>3643</v>
      </c>
      <c r="B2019" s="21" t="s">
        <v>7308</v>
      </c>
      <c r="C2019" s="21" t="s">
        <v>8</v>
      </c>
      <c r="D2019" s="21" t="s">
        <v>701</v>
      </c>
      <c r="E2019" s="21" t="s">
        <v>9</v>
      </c>
      <c r="F2019" s="5812">
        <v>3</v>
      </c>
      <c r="G2019" s="5813">
        <v>0.20833333333333334</v>
      </c>
      <c r="H2019" s="21" t="s">
        <v>10</v>
      </c>
      <c r="I2019" s="21" t="s">
        <v>23</v>
      </c>
      <c r="J2019" s="21" t="s">
        <v>7309</v>
      </c>
      <c r="K2019" s="5814" t="s">
        <v>7310</v>
      </c>
    </row>
    <row r="2020" spans="1:11">
      <c r="A2020" s="21" t="s">
        <v>2061</v>
      </c>
      <c r="B2020" s="21" t="s">
        <v>7311</v>
      </c>
      <c r="C2020" s="21" t="s">
        <v>22</v>
      </c>
      <c r="D2020" s="21" t="s">
        <v>701</v>
      </c>
      <c r="E2020" s="21" t="s">
        <v>9</v>
      </c>
      <c r="F2020" s="5812">
        <v>3</v>
      </c>
      <c r="G2020" s="5813">
        <v>0.20833333333333334</v>
      </c>
      <c r="H2020" s="21" t="s">
        <v>10</v>
      </c>
      <c r="I2020" s="21" t="s">
        <v>23</v>
      </c>
      <c r="J2020" s="21" t="s">
        <v>7312</v>
      </c>
      <c r="K2020" s="5814" t="s">
        <v>7313</v>
      </c>
    </row>
    <row r="2021" spans="1:11">
      <c r="A2021" s="21" t="s">
        <v>3984</v>
      </c>
      <c r="B2021" s="21" t="s">
        <v>7314</v>
      </c>
      <c r="C2021" s="21" t="s">
        <v>22</v>
      </c>
      <c r="D2021" s="21" t="s">
        <v>701</v>
      </c>
      <c r="E2021" s="21" t="s">
        <v>9</v>
      </c>
      <c r="F2021" s="5812">
        <v>3</v>
      </c>
      <c r="G2021" s="5813">
        <v>0.20833333333333334</v>
      </c>
      <c r="H2021" s="21" t="s">
        <v>10</v>
      </c>
      <c r="I2021" s="21" t="s">
        <v>47</v>
      </c>
      <c r="J2021" s="21" t="s">
        <v>7315</v>
      </c>
      <c r="K2021" s="5814" t="s">
        <v>7316</v>
      </c>
    </row>
    <row r="2022" spans="1:11">
      <c r="A2022" s="21" t="s">
        <v>3690</v>
      </c>
      <c r="B2022" s="21" t="s">
        <v>7317</v>
      </c>
      <c r="C2022" s="21" t="s">
        <v>8</v>
      </c>
      <c r="D2022" s="21" t="s">
        <v>701</v>
      </c>
      <c r="E2022" s="21" t="s">
        <v>9</v>
      </c>
      <c r="F2022" s="5812">
        <v>3</v>
      </c>
      <c r="G2022" s="5813">
        <v>0.20833333333333334</v>
      </c>
      <c r="H2022" s="21" t="s">
        <v>10</v>
      </c>
      <c r="I2022" s="21" t="s">
        <v>23</v>
      </c>
      <c r="J2022" s="21" t="s">
        <v>7318</v>
      </c>
      <c r="K2022" s="5814" t="s">
        <v>7319</v>
      </c>
    </row>
    <row r="2023" spans="1:11">
      <c r="A2023" s="21" t="s">
        <v>2901</v>
      </c>
      <c r="B2023" s="21" t="s">
        <v>7320</v>
      </c>
      <c r="C2023" s="21" t="s">
        <v>22</v>
      </c>
      <c r="D2023" s="21" t="s">
        <v>701</v>
      </c>
      <c r="E2023" s="21" t="s">
        <v>9</v>
      </c>
      <c r="F2023" s="5812">
        <v>3</v>
      </c>
      <c r="G2023" s="5813">
        <v>0.20833333333333334</v>
      </c>
      <c r="H2023" s="21" t="s">
        <v>10</v>
      </c>
      <c r="I2023" s="21" t="s">
        <v>23</v>
      </c>
      <c r="J2023" s="21" t="s">
        <v>7321</v>
      </c>
      <c r="K2023" s="5814" t="s">
        <v>7322</v>
      </c>
    </row>
    <row r="2024" spans="1:11">
      <c r="A2024" s="21" t="s">
        <v>3256</v>
      </c>
      <c r="B2024" s="21" t="s">
        <v>7323</v>
      </c>
      <c r="C2024" s="21" t="s">
        <v>22</v>
      </c>
      <c r="D2024" s="21" t="s">
        <v>701</v>
      </c>
      <c r="E2024" s="21" t="s">
        <v>9</v>
      </c>
      <c r="F2024" s="5812">
        <v>3</v>
      </c>
      <c r="G2024" s="5813">
        <v>0.20833333333333334</v>
      </c>
      <c r="H2024" s="21" t="s">
        <v>10</v>
      </c>
      <c r="I2024" s="21" t="s">
        <v>89</v>
      </c>
      <c r="J2024" s="21" t="s">
        <v>7324</v>
      </c>
      <c r="K2024" s="5814" t="s">
        <v>7325</v>
      </c>
    </row>
    <row r="2025" spans="1:11">
      <c r="A2025" s="21" t="s">
        <v>2935</v>
      </c>
      <c r="B2025" s="21" t="s">
        <v>7326</v>
      </c>
      <c r="C2025" s="21" t="s">
        <v>8</v>
      </c>
      <c r="D2025" s="21" t="s">
        <v>701</v>
      </c>
      <c r="E2025" s="21" t="s">
        <v>9</v>
      </c>
      <c r="F2025" s="5812">
        <v>3</v>
      </c>
      <c r="G2025" s="5813">
        <v>0.20833333333333334</v>
      </c>
      <c r="H2025" s="21" t="s">
        <v>10</v>
      </c>
      <c r="I2025" s="21" t="s">
        <v>11</v>
      </c>
      <c r="J2025" s="21" t="s">
        <v>7327</v>
      </c>
      <c r="K2025" s="5814" t="s">
        <v>7328</v>
      </c>
    </row>
    <row r="2026" spans="1:11">
      <c r="A2026" s="21" t="s">
        <v>3102</v>
      </c>
      <c r="B2026" s="21" t="s">
        <v>7329</v>
      </c>
      <c r="C2026" s="21" t="s">
        <v>8</v>
      </c>
      <c r="D2026" s="21" t="s">
        <v>701</v>
      </c>
      <c r="E2026" s="21" t="s">
        <v>9</v>
      </c>
      <c r="F2026" s="5812">
        <v>3</v>
      </c>
      <c r="G2026" s="5813">
        <v>0.20833333333333334</v>
      </c>
      <c r="H2026" s="21" t="s">
        <v>10</v>
      </c>
      <c r="I2026" s="21" t="s">
        <v>11</v>
      </c>
      <c r="J2026" s="21" t="s">
        <v>6353</v>
      </c>
      <c r="K2026" s="5814" t="s">
        <v>7330</v>
      </c>
    </row>
    <row r="2027" spans="1:11">
      <c r="A2027" s="21" t="s">
        <v>2119</v>
      </c>
      <c r="B2027" s="21" t="s">
        <v>7331</v>
      </c>
      <c r="C2027" s="21" t="s">
        <v>22</v>
      </c>
      <c r="D2027" s="21" t="s">
        <v>701</v>
      </c>
      <c r="E2027" s="21" t="s">
        <v>9</v>
      </c>
      <c r="F2027" s="5812">
        <v>3</v>
      </c>
      <c r="G2027" s="5813">
        <v>0.20833333333333334</v>
      </c>
      <c r="H2027" s="21" t="s">
        <v>10</v>
      </c>
      <c r="I2027" s="21" t="s">
        <v>55</v>
      </c>
      <c r="J2027" s="21" t="s">
        <v>7332</v>
      </c>
      <c r="K2027" s="5814" t="s">
        <v>7333</v>
      </c>
    </row>
    <row r="2028" spans="1:11">
      <c r="A2028" s="21" t="s">
        <v>3134</v>
      </c>
      <c r="B2028" s="21" t="s">
        <v>7334</v>
      </c>
      <c r="C2028" s="21" t="s">
        <v>8</v>
      </c>
      <c r="D2028" s="21" t="s">
        <v>701</v>
      </c>
      <c r="E2028" s="21" t="s">
        <v>9</v>
      </c>
      <c r="F2028" s="5812">
        <v>3</v>
      </c>
      <c r="G2028" s="5813">
        <v>0.20833333333333334</v>
      </c>
      <c r="H2028" s="21" t="s">
        <v>10</v>
      </c>
      <c r="I2028" s="21" t="s">
        <v>23</v>
      </c>
      <c r="J2028" s="21" t="s">
        <v>7335</v>
      </c>
      <c r="K2028" s="5814" t="s">
        <v>7336</v>
      </c>
    </row>
    <row r="2029" spans="1:11">
      <c r="A2029" s="21" t="s">
        <v>2506</v>
      </c>
      <c r="B2029" s="21" t="s">
        <v>7337</v>
      </c>
      <c r="C2029" s="21" t="s">
        <v>22</v>
      </c>
      <c r="D2029" s="21" t="s">
        <v>701</v>
      </c>
      <c r="E2029" s="21" t="s">
        <v>9</v>
      </c>
      <c r="F2029" s="5812">
        <v>3</v>
      </c>
      <c r="G2029" s="5813">
        <v>0.20833333333333334</v>
      </c>
      <c r="H2029" s="21" t="s">
        <v>10</v>
      </c>
      <c r="I2029" s="21" t="s">
        <v>39</v>
      </c>
      <c r="J2029" s="21" t="s">
        <v>7338</v>
      </c>
      <c r="K2029" s="5814" t="s">
        <v>7339</v>
      </c>
    </row>
    <row r="2030" spans="1:11">
      <c r="A2030" s="21" t="s">
        <v>2910</v>
      </c>
      <c r="B2030" s="21" t="s">
        <v>7340</v>
      </c>
      <c r="C2030" s="21" t="s">
        <v>22</v>
      </c>
      <c r="D2030" s="21" t="s">
        <v>701</v>
      </c>
      <c r="E2030" s="21" t="s">
        <v>9</v>
      </c>
      <c r="F2030" s="5812">
        <v>3</v>
      </c>
      <c r="G2030" s="5813">
        <v>0.20833333333333334</v>
      </c>
      <c r="H2030" s="21" t="s">
        <v>10</v>
      </c>
      <c r="I2030" s="21" t="s">
        <v>39</v>
      </c>
      <c r="J2030" s="21" t="s">
        <v>7341</v>
      </c>
      <c r="K2030" s="5814" t="s">
        <v>7342</v>
      </c>
    </row>
    <row r="2031" spans="1:11">
      <c r="A2031" s="21" t="s">
        <v>3481</v>
      </c>
      <c r="B2031" s="21" t="s">
        <v>7343</v>
      </c>
      <c r="C2031" s="21" t="s">
        <v>8</v>
      </c>
      <c r="D2031" s="21" t="s">
        <v>701</v>
      </c>
      <c r="E2031" s="21" t="s">
        <v>9</v>
      </c>
      <c r="F2031" s="5812">
        <v>3</v>
      </c>
      <c r="G2031" s="5813">
        <v>0.20833333333333334</v>
      </c>
      <c r="H2031" s="21" t="s">
        <v>10</v>
      </c>
      <c r="I2031" s="21" t="s">
        <v>2313</v>
      </c>
      <c r="J2031" s="21" t="s">
        <v>7344</v>
      </c>
      <c r="K2031" s="5814" t="s">
        <v>7345</v>
      </c>
    </row>
    <row r="2032" spans="1:11">
      <c r="A2032" s="21" t="s">
        <v>3412</v>
      </c>
      <c r="B2032" s="21" t="s">
        <v>7346</v>
      </c>
      <c r="C2032" s="21" t="s">
        <v>8</v>
      </c>
      <c r="D2032" s="21" t="s">
        <v>701</v>
      </c>
      <c r="E2032" s="21" t="s">
        <v>9</v>
      </c>
      <c r="F2032" s="5812">
        <v>3</v>
      </c>
      <c r="G2032" s="5813">
        <v>0.20833333333333334</v>
      </c>
      <c r="H2032" s="21" t="s">
        <v>10</v>
      </c>
      <c r="I2032" s="21" t="s">
        <v>11</v>
      </c>
      <c r="J2032" s="21" t="s">
        <v>7347</v>
      </c>
      <c r="K2032" s="5814" t="s">
        <v>7348</v>
      </c>
    </row>
    <row r="2033" spans="1:11">
      <c r="A2033" s="21" t="s">
        <v>4047</v>
      </c>
      <c r="B2033" s="21" t="s">
        <v>7349</v>
      </c>
      <c r="C2033" s="21" t="s">
        <v>22</v>
      </c>
      <c r="D2033" s="21" t="s">
        <v>701</v>
      </c>
      <c r="E2033" s="21" t="s">
        <v>9</v>
      </c>
      <c r="F2033" s="5812">
        <v>3</v>
      </c>
      <c r="G2033" s="5813">
        <v>0.20833333333333334</v>
      </c>
      <c r="H2033" s="21" t="s">
        <v>10</v>
      </c>
      <c r="I2033" s="21" t="s">
        <v>39</v>
      </c>
      <c r="J2033" s="21" t="s">
        <v>7350</v>
      </c>
      <c r="K2033" s="5814" t="s">
        <v>7351</v>
      </c>
    </row>
    <row r="2034" spans="1:11">
      <c r="A2034" s="21" t="s">
        <v>3009</v>
      </c>
      <c r="B2034" s="21" t="s">
        <v>7352</v>
      </c>
      <c r="C2034" s="21" t="s">
        <v>22</v>
      </c>
      <c r="D2034" s="21" t="s">
        <v>701</v>
      </c>
      <c r="E2034" s="21" t="s">
        <v>9</v>
      </c>
      <c r="F2034" s="5812">
        <v>3</v>
      </c>
      <c r="G2034" s="5813">
        <v>0.20833333333333334</v>
      </c>
      <c r="H2034" s="21" t="s">
        <v>10</v>
      </c>
      <c r="I2034" s="21" t="s">
        <v>11</v>
      </c>
      <c r="J2034" s="21" t="s">
        <v>7353</v>
      </c>
      <c r="K2034" s="5814" t="s">
        <v>7354</v>
      </c>
    </row>
    <row r="2035" spans="1:11">
      <c r="A2035" s="21" t="s">
        <v>2938</v>
      </c>
      <c r="B2035" s="21" t="s">
        <v>7355</v>
      </c>
      <c r="C2035" s="21" t="s">
        <v>22</v>
      </c>
      <c r="D2035" s="21" t="s">
        <v>701</v>
      </c>
      <c r="E2035" s="21" t="s">
        <v>9</v>
      </c>
      <c r="F2035" s="5812">
        <v>3</v>
      </c>
      <c r="G2035" s="5813">
        <v>0.20833333333333334</v>
      </c>
      <c r="H2035" s="21" t="s">
        <v>10</v>
      </c>
      <c r="I2035" s="21" t="s">
        <v>2313</v>
      </c>
      <c r="J2035" s="21" t="s">
        <v>7356</v>
      </c>
      <c r="K2035" s="5814" t="s">
        <v>7357</v>
      </c>
    </row>
    <row r="2036" spans="1:11">
      <c r="A2036" s="21" t="s">
        <v>3703</v>
      </c>
      <c r="B2036" s="21" t="s">
        <v>7358</v>
      </c>
      <c r="C2036" s="21" t="s">
        <v>8</v>
      </c>
      <c r="D2036" s="21" t="s">
        <v>701</v>
      </c>
      <c r="E2036" s="21" t="s">
        <v>9</v>
      </c>
      <c r="F2036" s="5812">
        <v>3</v>
      </c>
      <c r="G2036" s="5813">
        <v>0.20833333333333334</v>
      </c>
      <c r="H2036" s="21" t="s">
        <v>10</v>
      </c>
      <c r="I2036" s="21" t="s">
        <v>2313</v>
      </c>
      <c r="J2036" s="21" t="s">
        <v>7359</v>
      </c>
      <c r="K2036" s="5814" t="s">
        <v>7360</v>
      </c>
    </row>
    <row r="2037" spans="1:11">
      <c r="A2037" s="21" t="s">
        <v>3613</v>
      </c>
      <c r="B2037" s="21" t="s">
        <v>7361</v>
      </c>
      <c r="C2037" s="21" t="s">
        <v>8</v>
      </c>
      <c r="D2037" s="21" t="s">
        <v>701</v>
      </c>
      <c r="E2037" s="21" t="s">
        <v>9</v>
      </c>
      <c r="F2037" s="5812">
        <v>3</v>
      </c>
      <c r="G2037" s="5813">
        <v>0.20833333333333334</v>
      </c>
      <c r="H2037" s="21" t="s">
        <v>10</v>
      </c>
      <c r="I2037" s="21" t="s">
        <v>55</v>
      </c>
      <c r="J2037" s="21" t="s">
        <v>7262</v>
      </c>
      <c r="K2037" s="5814" t="s">
        <v>7362</v>
      </c>
    </row>
    <row r="2038" spans="1:11">
      <c r="A2038" s="21" t="s">
        <v>2530</v>
      </c>
      <c r="B2038" s="21" t="s">
        <v>7363</v>
      </c>
      <c r="C2038" s="21" t="s">
        <v>22</v>
      </c>
      <c r="D2038" s="21" t="s">
        <v>701</v>
      </c>
      <c r="E2038" s="21" t="s">
        <v>9</v>
      </c>
      <c r="F2038" s="5812">
        <v>3</v>
      </c>
      <c r="G2038" s="5813">
        <v>0.20833333333333334</v>
      </c>
      <c r="H2038" s="21" t="s">
        <v>10</v>
      </c>
      <c r="I2038" s="21" t="s">
        <v>55</v>
      </c>
      <c r="J2038" s="21" t="s">
        <v>7364</v>
      </c>
      <c r="K2038" s="5814" t="s">
        <v>7365</v>
      </c>
    </row>
    <row r="2039" spans="1:11">
      <c r="A2039" s="21" t="s">
        <v>2135</v>
      </c>
      <c r="B2039" s="21" t="s">
        <v>7366</v>
      </c>
      <c r="C2039" s="21" t="s">
        <v>8</v>
      </c>
      <c r="D2039" s="21" t="s">
        <v>701</v>
      </c>
      <c r="E2039" s="21" t="s">
        <v>9</v>
      </c>
      <c r="F2039" s="5812">
        <v>3</v>
      </c>
      <c r="G2039" s="5813">
        <v>0.20833333333333334</v>
      </c>
      <c r="H2039" s="21" t="s">
        <v>10</v>
      </c>
      <c r="I2039" s="21" t="s">
        <v>23</v>
      </c>
      <c r="J2039" s="21" t="s">
        <v>7367</v>
      </c>
      <c r="K2039" s="5814" t="s">
        <v>7368</v>
      </c>
    </row>
    <row r="2040" spans="1:11">
      <c r="A2040" s="21" t="s">
        <v>2534</v>
      </c>
      <c r="B2040" s="21" t="s">
        <v>7087</v>
      </c>
      <c r="C2040" s="21" t="s">
        <v>22</v>
      </c>
      <c r="D2040" s="21" t="s">
        <v>701</v>
      </c>
      <c r="E2040" s="21" t="s">
        <v>9</v>
      </c>
      <c r="F2040" s="5812">
        <v>3</v>
      </c>
      <c r="G2040" s="5813">
        <v>0.20833333333333334</v>
      </c>
      <c r="H2040" s="21" t="s">
        <v>10</v>
      </c>
      <c r="I2040" s="21" t="s">
        <v>55</v>
      </c>
      <c r="J2040" s="21" t="s">
        <v>7369</v>
      </c>
      <c r="K2040" s="5814" t="s">
        <v>7370</v>
      </c>
    </row>
    <row r="2041" spans="1:11">
      <c r="A2041" s="21" t="s">
        <v>2542</v>
      </c>
      <c r="B2041" s="21" t="s">
        <v>7371</v>
      </c>
      <c r="C2041" s="21" t="s">
        <v>22</v>
      </c>
      <c r="D2041" s="21" t="s">
        <v>701</v>
      </c>
      <c r="E2041" s="21" t="s">
        <v>9</v>
      </c>
      <c r="F2041" s="5812">
        <v>3</v>
      </c>
      <c r="G2041" s="5813">
        <v>0.20833333333333334</v>
      </c>
      <c r="H2041" s="21" t="s">
        <v>10</v>
      </c>
      <c r="I2041" s="21" t="s">
        <v>2814</v>
      </c>
      <c r="J2041" s="21" t="s">
        <v>7372</v>
      </c>
      <c r="K2041" s="5814" t="s">
        <v>7373</v>
      </c>
    </row>
    <row r="2042" spans="1:11">
      <c r="A2042" s="21" t="s">
        <v>2542</v>
      </c>
      <c r="B2042" s="21" t="s">
        <v>7374</v>
      </c>
      <c r="C2042" s="21" t="s">
        <v>22</v>
      </c>
      <c r="D2042" s="21" t="s">
        <v>701</v>
      </c>
      <c r="E2042" s="21" t="s">
        <v>9</v>
      </c>
      <c r="F2042" s="5812">
        <v>3</v>
      </c>
      <c r="G2042" s="5813">
        <v>0.20833333333333334</v>
      </c>
      <c r="H2042" s="21" t="s">
        <v>10</v>
      </c>
      <c r="I2042" s="21" t="s">
        <v>2544</v>
      </c>
      <c r="J2042" s="21" t="s">
        <v>7375</v>
      </c>
      <c r="K2042" s="5814" t="s">
        <v>7376</v>
      </c>
    </row>
    <row r="2043" spans="1:11">
      <c r="A2043" s="21" t="s">
        <v>3203</v>
      </c>
      <c r="B2043" s="21" t="s">
        <v>7377</v>
      </c>
      <c r="C2043" s="21" t="s">
        <v>8</v>
      </c>
      <c r="D2043" s="21" t="s">
        <v>701</v>
      </c>
      <c r="E2043" s="21" t="s">
        <v>9</v>
      </c>
      <c r="F2043" s="5812">
        <v>3</v>
      </c>
      <c r="G2043" s="5813">
        <v>0.20833333333333334</v>
      </c>
      <c r="H2043" s="21" t="s">
        <v>10</v>
      </c>
      <c r="I2043" s="21" t="s">
        <v>47</v>
      </c>
      <c r="J2043" s="21" t="s">
        <v>7378</v>
      </c>
      <c r="K2043" s="5814" t="s">
        <v>7379</v>
      </c>
    </row>
    <row r="2044" spans="1:11">
      <c r="A2044" s="21" t="s">
        <v>3597</v>
      </c>
      <c r="B2044" s="21" t="s">
        <v>7380</v>
      </c>
      <c r="C2044" s="21" t="s">
        <v>22</v>
      </c>
      <c r="D2044" s="21" t="s">
        <v>701</v>
      </c>
      <c r="E2044" s="21" t="s">
        <v>9</v>
      </c>
      <c r="F2044" s="5812">
        <v>3</v>
      </c>
      <c r="G2044" s="5813">
        <v>0.20833333333333334</v>
      </c>
      <c r="H2044" s="21" t="s">
        <v>10</v>
      </c>
      <c r="I2044" s="21" t="s">
        <v>96</v>
      </c>
      <c r="J2044" s="21" t="s">
        <v>7381</v>
      </c>
      <c r="K2044" s="5814" t="s">
        <v>7382</v>
      </c>
    </row>
    <row r="2045" spans="1:11">
      <c r="A2045" s="21" t="s">
        <v>2139</v>
      </c>
      <c r="B2045" s="21" t="s">
        <v>7383</v>
      </c>
      <c r="C2045" s="21" t="s">
        <v>22</v>
      </c>
      <c r="D2045" s="21" t="s">
        <v>701</v>
      </c>
      <c r="E2045" s="21" t="s">
        <v>9</v>
      </c>
      <c r="F2045" s="5812">
        <v>3</v>
      </c>
      <c r="G2045" s="5813">
        <v>0.20833333333333334</v>
      </c>
      <c r="H2045" s="21" t="s">
        <v>10</v>
      </c>
      <c r="I2045" s="21" t="s">
        <v>226</v>
      </c>
      <c r="J2045" s="21" t="s">
        <v>7384</v>
      </c>
      <c r="K2045" s="5814" t="s">
        <v>7385</v>
      </c>
    </row>
    <row r="2046" spans="1:11">
      <c r="A2046" s="21" t="s">
        <v>2065</v>
      </c>
      <c r="B2046" s="21" t="s">
        <v>7386</v>
      </c>
      <c r="C2046" s="21" t="s">
        <v>8</v>
      </c>
      <c r="D2046" s="21" t="s">
        <v>701</v>
      </c>
      <c r="E2046" s="21" t="s">
        <v>9</v>
      </c>
      <c r="F2046" s="5812">
        <v>3</v>
      </c>
      <c r="G2046" s="5813">
        <v>0.20833333333333334</v>
      </c>
      <c r="H2046" s="21" t="s">
        <v>10</v>
      </c>
      <c r="I2046" s="21" t="s">
        <v>233</v>
      </c>
      <c r="J2046" s="21" t="s">
        <v>7387</v>
      </c>
      <c r="K2046" s="5814" t="s">
        <v>7388</v>
      </c>
    </row>
    <row r="2047" spans="1:11">
      <c r="A2047" s="21" t="s">
        <v>2979</v>
      </c>
      <c r="B2047" s="21" t="s">
        <v>7389</v>
      </c>
      <c r="C2047" s="21" t="s">
        <v>8</v>
      </c>
      <c r="D2047" s="21" t="s">
        <v>701</v>
      </c>
      <c r="E2047" s="21" t="s">
        <v>9</v>
      </c>
      <c r="F2047" s="5812">
        <v>3</v>
      </c>
      <c r="G2047" s="5813">
        <v>0.20833333333333334</v>
      </c>
      <c r="H2047" s="21" t="s">
        <v>10</v>
      </c>
      <c r="I2047" s="21" t="s">
        <v>23</v>
      </c>
      <c r="J2047" s="21" t="s">
        <v>7390</v>
      </c>
      <c r="K2047" s="5814" t="s">
        <v>7391</v>
      </c>
    </row>
    <row r="2048" spans="1:11">
      <c r="A2048" s="21" t="s">
        <v>2551</v>
      </c>
      <c r="B2048" s="21" t="s">
        <v>7392</v>
      </c>
      <c r="C2048" s="21" t="s">
        <v>8</v>
      </c>
      <c r="D2048" s="21" t="s">
        <v>701</v>
      </c>
      <c r="E2048" s="21" t="s">
        <v>9</v>
      </c>
      <c r="F2048" s="5812">
        <v>3</v>
      </c>
      <c r="G2048" s="5813">
        <v>0.20833333333333334</v>
      </c>
      <c r="H2048" s="21" t="s">
        <v>10</v>
      </c>
      <c r="I2048" s="21" t="s">
        <v>4853</v>
      </c>
      <c r="J2048" s="21" t="s">
        <v>7393</v>
      </c>
      <c r="K2048" s="5814" t="s">
        <v>7394</v>
      </c>
    </row>
    <row r="2049" spans="1:11">
      <c r="A2049" s="21" t="s">
        <v>2555</v>
      </c>
      <c r="B2049" s="21" t="s">
        <v>7395</v>
      </c>
      <c r="C2049" s="21" t="s">
        <v>8</v>
      </c>
      <c r="D2049" s="21" t="s">
        <v>701</v>
      </c>
      <c r="E2049" s="21" t="s">
        <v>9</v>
      </c>
      <c r="F2049" s="5812">
        <v>3</v>
      </c>
      <c r="G2049" s="5813">
        <v>0.20833333333333334</v>
      </c>
      <c r="H2049" s="21" t="s">
        <v>10</v>
      </c>
      <c r="I2049" s="21"/>
      <c r="J2049" s="21" t="s">
        <v>7396</v>
      </c>
      <c r="K2049" s="5814" t="s">
        <v>7397</v>
      </c>
    </row>
    <row r="2050" spans="1:11">
      <c r="A2050" s="21" t="s">
        <v>2555</v>
      </c>
      <c r="B2050" s="21" t="s">
        <v>7398</v>
      </c>
      <c r="C2050" s="21" t="s">
        <v>22</v>
      </c>
      <c r="D2050" s="21" t="s">
        <v>701</v>
      </c>
      <c r="E2050" s="21" t="s">
        <v>9</v>
      </c>
      <c r="F2050" s="5812">
        <v>3</v>
      </c>
      <c r="G2050" s="5813">
        <v>0.20833333333333334</v>
      </c>
      <c r="H2050" s="21" t="s">
        <v>10</v>
      </c>
      <c r="I2050" s="21" t="s">
        <v>5365</v>
      </c>
      <c r="J2050" s="21" t="s">
        <v>7399</v>
      </c>
      <c r="K2050" s="5814" t="s">
        <v>7400</v>
      </c>
    </row>
    <row r="2051" spans="1:11">
      <c r="A2051" s="21" t="s">
        <v>2147</v>
      </c>
      <c r="B2051" s="21" t="s">
        <v>7401</v>
      </c>
      <c r="C2051" s="21" t="s">
        <v>22</v>
      </c>
      <c r="D2051" s="21" t="s">
        <v>701</v>
      </c>
      <c r="E2051" s="21" t="s">
        <v>9</v>
      </c>
      <c r="F2051" s="5812">
        <v>3</v>
      </c>
      <c r="G2051" s="5813">
        <v>0.20833333333333334</v>
      </c>
      <c r="H2051" s="21" t="s">
        <v>10</v>
      </c>
      <c r="I2051" s="21" t="s">
        <v>2153</v>
      </c>
      <c r="J2051" s="21" t="s">
        <v>7402</v>
      </c>
      <c r="K2051" s="5814" t="s">
        <v>7403</v>
      </c>
    </row>
    <row r="2052" spans="1:11">
      <c r="A2052" s="21" t="s">
        <v>2070</v>
      </c>
      <c r="B2052" s="21" t="s">
        <v>7404</v>
      </c>
      <c r="C2052" s="21" t="s">
        <v>8</v>
      </c>
      <c r="D2052" s="21" t="s">
        <v>701</v>
      </c>
      <c r="E2052" s="21" t="s">
        <v>9</v>
      </c>
      <c r="F2052" s="5812">
        <v>3</v>
      </c>
      <c r="G2052" s="5813">
        <v>0.20833333333333334</v>
      </c>
      <c r="H2052" s="21" t="s">
        <v>10</v>
      </c>
      <c r="I2052" s="21" t="s">
        <v>2568</v>
      </c>
      <c r="J2052" s="21" t="s">
        <v>7405</v>
      </c>
      <c r="K2052" s="5814" t="s">
        <v>7406</v>
      </c>
    </row>
    <row r="2053" spans="1:11">
      <c r="A2053" s="21" t="s">
        <v>4132</v>
      </c>
      <c r="B2053" s="21" t="s">
        <v>7407</v>
      </c>
      <c r="C2053" s="21" t="s">
        <v>8</v>
      </c>
      <c r="D2053" s="21" t="s">
        <v>701</v>
      </c>
      <c r="E2053" s="21" t="s">
        <v>9</v>
      </c>
      <c r="F2053" s="5812">
        <v>3</v>
      </c>
      <c r="G2053" s="5813">
        <v>0.20833333333333334</v>
      </c>
      <c r="H2053" s="21" t="s">
        <v>10</v>
      </c>
      <c r="I2053" s="21" t="s">
        <v>2176</v>
      </c>
      <c r="J2053" s="21" t="s">
        <v>7408</v>
      </c>
      <c r="K2053" s="5814" t="s">
        <v>7409</v>
      </c>
    </row>
    <row r="2054" spans="1:11">
      <c r="A2054" s="21" t="s">
        <v>2160</v>
      </c>
      <c r="B2054" s="21" t="s">
        <v>7410</v>
      </c>
      <c r="C2054" s="21" t="s">
        <v>22</v>
      </c>
      <c r="D2054" s="21" t="s">
        <v>701</v>
      </c>
      <c r="E2054" s="21" t="s">
        <v>9</v>
      </c>
      <c r="F2054" s="5812">
        <v>3</v>
      </c>
      <c r="G2054" s="5813">
        <v>0.20833333333333334</v>
      </c>
      <c r="H2054" s="21" t="s">
        <v>10</v>
      </c>
      <c r="I2054" s="21" t="s">
        <v>2713</v>
      </c>
      <c r="J2054" s="21" t="s">
        <v>7411</v>
      </c>
      <c r="K2054" s="5814" t="s">
        <v>7412</v>
      </c>
    </row>
    <row r="2055" spans="1:11">
      <c r="A2055" s="21" t="s">
        <v>4139</v>
      </c>
      <c r="B2055" s="21" t="s">
        <v>7413</v>
      </c>
      <c r="C2055" s="21" t="s">
        <v>22</v>
      </c>
      <c r="D2055" s="21" t="s">
        <v>701</v>
      </c>
      <c r="E2055" s="21" t="s">
        <v>9</v>
      </c>
      <c r="F2055" s="5812">
        <v>3</v>
      </c>
      <c r="G2055" s="5813">
        <v>0.20833333333333334</v>
      </c>
      <c r="H2055" s="21" t="s">
        <v>10</v>
      </c>
      <c r="I2055" s="21" t="s">
        <v>2523</v>
      </c>
      <c r="J2055" s="21" t="s">
        <v>7414</v>
      </c>
      <c r="K2055" s="5814" t="s">
        <v>7415</v>
      </c>
    </row>
    <row r="2056" spans="1:11">
      <c r="A2056" s="21" t="s">
        <v>3252</v>
      </c>
      <c r="B2056" s="21" t="s">
        <v>7416</v>
      </c>
      <c r="C2056" s="21" t="s">
        <v>22</v>
      </c>
      <c r="D2056" s="21" t="s">
        <v>701</v>
      </c>
      <c r="E2056" s="21" t="s">
        <v>9</v>
      </c>
      <c r="F2056" s="5812">
        <v>3</v>
      </c>
      <c r="G2056" s="5813">
        <v>0.20833333333333334</v>
      </c>
      <c r="H2056" s="21" t="s">
        <v>10</v>
      </c>
      <c r="I2056" s="21" t="s">
        <v>3534</v>
      </c>
      <c r="J2056" s="21" t="s">
        <v>7417</v>
      </c>
      <c r="K2056" s="5814" t="s">
        <v>7418</v>
      </c>
    </row>
    <row r="2057" spans="1:11">
      <c r="A2057" s="21" t="s">
        <v>3252</v>
      </c>
      <c r="B2057" s="21" t="s">
        <v>7419</v>
      </c>
      <c r="C2057" s="21" t="s">
        <v>8</v>
      </c>
      <c r="D2057" s="21" t="s">
        <v>701</v>
      </c>
      <c r="E2057" s="21" t="s">
        <v>9</v>
      </c>
      <c r="F2057" s="5812">
        <v>3</v>
      </c>
      <c r="G2057" s="5813">
        <v>0.20833333333333334</v>
      </c>
      <c r="H2057" s="21" t="s">
        <v>10</v>
      </c>
      <c r="I2057" s="21" t="s">
        <v>47</v>
      </c>
      <c r="J2057" s="21" t="s">
        <v>7420</v>
      </c>
      <c r="K2057" s="5814" t="s">
        <v>7421</v>
      </c>
    </row>
    <row r="2058" spans="1:11">
      <c r="A2058" s="21" t="s">
        <v>3446</v>
      </c>
      <c r="B2058" s="21" t="s">
        <v>7422</v>
      </c>
      <c r="C2058" s="21" t="s">
        <v>8</v>
      </c>
      <c r="D2058" s="21" t="s">
        <v>701</v>
      </c>
      <c r="E2058" s="21" t="s">
        <v>9</v>
      </c>
      <c r="F2058" s="5812">
        <v>3</v>
      </c>
      <c r="G2058" s="5813">
        <v>0.20833333333333334</v>
      </c>
      <c r="H2058" s="21" t="s">
        <v>10</v>
      </c>
      <c r="I2058" s="21" t="s">
        <v>2260</v>
      </c>
      <c r="J2058" s="21" t="s">
        <v>7423</v>
      </c>
      <c r="K2058" s="5814" t="s">
        <v>7424</v>
      </c>
    </row>
    <row r="2059" spans="1:11">
      <c r="A2059" s="21" t="s">
        <v>2571</v>
      </c>
      <c r="B2059" s="21" t="s">
        <v>7425</v>
      </c>
      <c r="C2059" s="21" t="s">
        <v>8</v>
      </c>
      <c r="D2059" s="21" t="s">
        <v>701</v>
      </c>
      <c r="E2059" s="21" t="s">
        <v>9</v>
      </c>
      <c r="F2059" s="5812">
        <v>3</v>
      </c>
      <c r="G2059" s="5813">
        <v>0.20833333333333334</v>
      </c>
      <c r="H2059" s="21" t="s">
        <v>10</v>
      </c>
      <c r="I2059" s="21" t="s">
        <v>306</v>
      </c>
      <c r="J2059" s="21" t="s">
        <v>7426</v>
      </c>
      <c r="K2059" s="5814" t="s">
        <v>7427</v>
      </c>
    </row>
    <row r="2060" spans="1:11">
      <c r="A2060" s="21" t="s">
        <v>2165</v>
      </c>
      <c r="B2060" s="21" t="s">
        <v>7428</v>
      </c>
      <c r="C2060" s="21" t="s">
        <v>22</v>
      </c>
      <c r="D2060" s="21" t="s">
        <v>701</v>
      </c>
      <c r="E2060" s="21" t="s">
        <v>9</v>
      </c>
      <c r="F2060" s="5812">
        <v>3</v>
      </c>
      <c r="G2060" s="5813">
        <v>0.20833333333333334</v>
      </c>
      <c r="H2060" s="21" t="s">
        <v>10</v>
      </c>
      <c r="I2060" s="21" t="s">
        <v>5482</v>
      </c>
      <c r="J2060" s="21" t="s">
        <v>7429</v>
      </c>
      <c r="K2060" s="5814" t="s">
        <v>7430</v>
      </c>
    </row>
    <row r="2061" spans="1:11">
      <c r="A2061" s="21" t="s">
        <v>3728</v>
      </c>
      <c r="B2061" s="21" t="s">
        <v>7431</v>
      </c>
      <c r="C2061" s="21" t="s">
        <v>8</v>
      </c>
      <c r="D2061" s="21" t="s">
        <v>701</v>
      </c>
      <c r="E2061" s="21" t="s">
        <v>9</v>
      </c>
      <c r="F2061" s="5812">
        <v>3</v>
      </c>
      <c r="G2061" s="5813">
        <v>0.20833333333333334</v>
      </c>
      <c r="H2061" s="21" t="s">
        <v>10</v>
      </c>
      <c r="I2061" s="21" t="s">
        <v>2149</v>
      </c>
      <c r="J2061" s="21" t="s">
        <v>7432</v>
      </c>
      <c r="K2061" s="5814" t="s">
        <v>7433</v>
      </c>
    </row>
    <row r="2062" spans="1:11">
      <c r="A2062" s="21" t="s">
        <v>3728</v>
      </c>
      <c r="B2062" s="21" t="s">
        <v>7434</v>
      </c>
      <c r="C2062" s="21" t="s">
        <v>22</v>
      </c>
      <c r="D2062" s="21" t="s">
        <v>701</v>
      </c>
      <c r="E2062" s="21" t="s">
        <v>9</v>
      </c>
      <c r="F2062" s="5812">
        <v>3</v>
      </c>
      <c r="G2062" s="5813">
        <v>0.20833333333333334</v>
      </c>
      <c r="H2062" s="21" t="s">
        <v>10</v>
      </c>
      <c r="I2062" s="21" t="s">
        <v>55</v>
      </c>
      <c r="J2062" s="21" t="s">
        <v>7435</v>
      </c>
      <c r="K2062" s="5814" t="s">
        <v>7436</v>
      </c>
    </row>
    <row r="2063" spans="1:11">
      <c r="A2063" s="21" t="s">
        <v>3728</v>
      </c>
      <c r="B2063" s="21" t="s">
        <v>7437</v>
      </c>
      <c r="C2063" s="21" t="s">
        <v>8</v>
      </c>
      <c r="D2063" s="21" t="s">
        <v>701</v>
      </c>
      <c r="E2063" s="21" t="s">
        <v>9</v>
      </c>
      <c r="F2063" s="5812">
        <v>3</v>
      </c>
      <c r="G2063" s="5813">
        <v>0.20833333333333334</v>
      </c>
      <c r="H2063" s="21" t="s">
        <v>10</v>
      </c>
      <c r="I2063" s="21" t="s">
        <v>2149</v>
      </c>
      <c r="J2063" s="21" t="s">
        <v>7438</v>
      </c>
      <c r="K2063" s="5814" t="s">
        <v>7439</v>
      </c>
    </row>
    <row r="2064" spans="1:11">
      <c r="A2064" s="21" t="s">
        <v>2579</v>
      </c>
      <c r="B2064" s="21" t="s">
        <v>7440</v>
      </c>
      <c r="C2064" s="21" t="s">
        <v>8</v>
      </c>
      <c r="D2064" s="21" t="s">
        <v>701</v>
      </c>
      <c r="E2064" s="21" t="s">
        <v>9</v>
      </c>
      <c r="F2064" s="5812">
        <v>3</v>
      </c>
      <c r="G2064" s="5813">
        <v>0.20833333333333334</v>
      </c>
      <c r="H2064" s="21" t="s">
        <v>10</v>
      </c>
      <c r="I2064" s="21" t="s">
        <v>3534</v>
      </c>
      <c r="J2064" s="21" t="s">
        <v>7441</v>
      </c>
      <c r="K2064" s="5814" t="s">
        <v>7442</v>
      </c>
    </row>
    <row r="2065" spans="1:11">
      <c r="A2065" s="21" t="s">
        <v>2169</v>
      </c>
      <c r="B2065" s="21" t="s">
        <v>7443</v>
      </c>
      <c r="C2065" s="21" t="s">
        <v>22</v>
      </c>
      <c r="D2065" s="21" t="s">
        <v>701</v>
      </c>
      <c r="E2065" s="21" t="s">
        <v>9</v>
      </c>
      <c r="F2065" s="5812">
        <v>3</v>
      </c>
      <c r="G2065" s="5813">
        <v>0.20833333333333334</v>
      </c>
      <c r="H2065" s="21" t="s">
        <v>10</v>
      </c>
      <c r="I2065" s="21" t="s">
        <v>2171</v>
      </c>
      <c r="J2065" s="21" t="s">
        <v>7444</v>
      </c>
      <c r="K2065" s="5814" t="s">
        <v>7445</v>
      </c>
    </row>
    <row r="2066" spans="1:11">
      <c r="A2066" s="21" t="s">
        <v>2174</v>
      </c>
      <c r="B2066" s="21" t="s">
        <v>7446</v>
      </c>
      <c r="C2066" s="21" t="s">
        <v>22</v>
      </c>
      <c r="D2066" s="21" t="s">
        <v>701</v>
      </c>
      <c r="E2066" s="21" t="s">
        <v>9</v>
      </c>
      <c r="F2066" s="5812">
        <v>3</v>
      </c>
      <c r="G2066" s="5813">
        <v>0.20833333333333334</v>
      </c>
      <c r="H2066" s="21" t="s">
        <v>10</v>
      </c>
      <c r="I2066" s="21" t="s">
        <v>788</v>
      </c>
      <c r="J2066" s="21" t="s">
        <v>7447</v>
      </c>
      <c r="K2066" s="5814" t="s">
        <v>7448</v>
      </c>
    </row>
    <row r="2067" spans="1:11">
      <c r="A2067" s="21" t="s">
        <v>4724</v>
      </c>
      <c r="B2067" s="21" t="s">
        <v>7449</v>
      </c>
      <c r="C2067" s="21" t="s">
        <v>22</v>
      </c>
      <c r="D2067" s="21" t="s">
        <v>701</v>
      </c>
      <c r="E2067" s="21" t="s">
        <v>9</v>
      </c>
      <c r="F2067" s="5812">
        <v>3</v>
      </c>
      <c r="G2067" s="5813">
        <v>0.20833333333333334</v>
      </c>
      <c r="H2067" s="21" t="s">
        <v>10</v>
      </c>
      <c r="I2067" s="21" t="s">
        <v>47</v>
      </c>
      <c r="J2067" s="21" t="s">
        <v>7450</v>
      </c>
      <c r="K2067" s="5814" t="s">
        <v>7451</v>
      </c>
    </row>
    <row r="2068" spans="1:11">
      <c r="A2068" s="21" t="s">
        <v>2179</v>
      </c>
      <c r="B2068" s="21" t="s">
        <v>7452</v>
      </c>
      <c r="C2068" s="21" t="s">
        <v>8</v>
      </c>
      <c r="D2068" s="21" t="s">
        <v>701</v>
      </c>
      <c r="E2068" s="21" t="s">
        <v>9</v>
      </c>
      <c r="F2068" s="5812">
        <v>3</v>
      </c>
      <c r="G2068" s="5813">
        <v>0.20833333333333334</v>
      </c>
      <c r="H2068" s="21" t="s">
        <v>10</v>
      </c>
      <c r="I2068" s="21" t="s">
        <v>2181</v>
      </c>
      <c r="J2068" s="21" t="s">
        <v>7453</v>
      </c>
      <c r="K2068" s="5814" t="s">
        <v>7454</v>
      </c>
    </row>
    <row r="2069" spans="1:11">
      <c r="A2069" s="21" t="s">
        <v>2600</v>
      </c>
      <c r="B2069" s="21" t="s">
        <v>7455</v>
      </c>
      <c r="C2069" s="21" t="s">
        <v>22</v>
      </c>
      <c r="D2069" s="21" t="s">
        <v>701</v>
      </c>
      <c r="E2069" s="21" t="s">
        <v>9</v>
      </c>
      <c r="F2069" s="5812">
        <v>3</v>
      </c>
      <c r="G2069" s="5813">
        <v>0.20833333333333334</v>
      </c>
      <c r="H2069" s="21" t="s">
        <v>10</v>
      </c>
      <c r="I2069" s="21" t="s">
        <v>2602</v>
      </c>
      <c r="J2069" s="21" t="s">
        <v>7456</v>
      </c>
      <c r="K2069" s="5814" t="s">
        <v>7457</v>
      </c>
    </row>
    <row r="2070" spans="1:11">
      <c r="A2070" s="21" t="s">
        <v>2600</v>
      </c>
      <c r="B2070" s="21" t="s">
        <v>7458</v>
      </c>
      <c r="C2070" s="21" t="s">
        <v>8</v>
      </c>
      <c r="D2070" s="21" t="s">
        <v>701</v>
      </c>
      <c r="E2070" s="21" t="s">
        <v>9</v>
      </c>
      <c r="F2070" s="5812">
        <v>3</v>
      </c>
      <c r="G2070" s="5813">
        <v>0.20833333333333334</v>
      </c>
      <c r="H2070" s="21" t="s">
        <v>10</v>
      </c>
      <c r="I2070" s="21" t="s">
        <v>55</v>
      </c>
      <c r="J2070" s="21" t="s">
        <v>7459</v>
      </c>
      <c r="K2070" s="5814" t="s">
        <v>7460</v>
      </c>
    </row>
    <row r="2071" spans="1:11">
      <c r="A2071" s="21" t="s">
        <v>4170</v>
      </c>
      <c r="B2071" s="21" t="s">
        <v>7461</v>
      </c>
      <c r="C2071" s="21" t="s">
        <v>22</v>
      </c>
      <c r="D2071" s="21" t="s">
        <v>701</v>
      </c>
      <c r="E2071" s="21" t="s">
        <v>9</v>
      </c>
      <c r="F2071" s="5812">
        <v>3</v>
      </c>
      <c r="G2071" s="5813">
        <v>0.20833333333333334</v>
      </c>
      <c r="H2071" s="21" t="s">
        <v>10</v>
      </c>
      <c r="I2071" s="21" t="s">
        <v>2814</v>
      </c>
      <c r="J2071" s="21" t="s">
        <v>7462</v>
      </c>
      <c r="K2071" s="5814" t="s">
        <v>7463</v>
      </c>
    </row>
    <row r="2072" spans="1:11">
      <c r="A2072" s="21" t="s">
        <v>4711</v>
      </c>
      <c r="B2072" s="21" t="s">
        <v>7464</v>
      </c>
      <c r="C2072" s="21" t="s">
        <v>8</v>
      </c>
      <c r="D2072" s="21" t="s">
        <v>701</v>
      </c>
      <c r="E2072" s="21" t="s">
        <v>9</v>
      </c>
      <c r="F2072" s="5812">
        <v>3</v>
      </c>
      <c r="G2072" s="5813">
        <v>0.20833333333333334</v>
      </c>
      <c r="H2072" s="21" t="s">
        <v>10</v>
      </c>
      <c r="I2072" s="21" t="s">
        <v>11</v>
      </c>
      <c r="J2072" s="21" t="s">
        <v>7465</v>
      </c>
      <c r="K2072" s="5814" t="s">
        <v>7466</v>
      </c>
    </row>
    <row r="2073" spans="1:11">
      <c r="A2073" s="21" t="s">
        <v>4711</v>
      </c>
      <c r="B2073" s="21" t="s">
        <v>7467</v>
      </c>
      <c r="C2073" s="21" t="s">
        <v>8</v>
      </c>
      <c r="D2073" s="21" t="s">
        <v>701</v>
      </c>
      <c r="E2073" s="21" t="s">
        <v>9</v>
      </c>
      <c r="F2073" s="5812">
        <v>3</v>
      </c>
      <c r="G2073" s="5813">
        <v>0.20833333333333334</v>
      </c>
      <c r="H2073" s="21" t="s">
        <v>10</v>
      </c>
      <c r="I2073" s="21" t="s">
        <v>226</v>
      </c>
      <c r="J2073" s="21" t="s">
        <v>7468</v>
      </c>
      <c r="K2073" s="5814" t="s">
        <v>7469</v>
      </c>
    </row>
    <row r="2074" spans="1:11">
      <c r="A2074" s="21" t="s">
        <v>3160</v>
      </c>
      <c r="B2074" s="21" t="s">
        <v>7470</v>
      </c>
      <c r="C2074" s="21" t="s">
        <v>8</v>
      </c>
      <c r="D2074" s="21" t="s">
        <v>701</v>
      </c>
      <c r="E2074" s="21" t="s">
        <v>9</v>
      </c>
      <c r="F2074" s="5812">
        <v>3</v>
      </c>
      <c r="G2074" s="5813">
        <v>0.20833333333333334</v>
      </c>
      <c r="H2074" s="21" t="s">
        <v>10</v>
      </c>
      <c r="I2074" s="21" t="s">
        <v>47</v>
      </c>
      <c r="J2074" s="21" t="s">
        <v>7471</v>
      </c>
      <c r="K2074" s="5814" t="s">
        <v>7472</v>
      </c>
    </row>
    <row r="2075" spans="1:11">
      <c r="A2075" s="21" t="s">
        <v>3160</v>
      </c>
      <c r="B2075" s="21" t="s">
        <v>7473</v>
      </c>
      <c r="C2075" s="21" t="s">
        <v>22</v>
      </c>
      <c r="D2075" s="21" t="s">
        <v>701</v>
      </c>
      <c r="E2075" s="21" t="s">
        <v>9</v>
      </c>
      <c r="F2075" s="5812">
        <v>3</v>
      </c>
      <c r="G2075" s="5813">
        <v>0.20833333333333334</v>
      </c>
      <c r="H2075" s="21" t="s">
        <v>10</v>
      </c>
      <c r="I2075" s="21" t="s">
        <v>55</v>
      </c>
      <c r="J2075" s="21" t="s">
        <v>7474</v>
      </c>
      <c r="K2075" s="5814" t="s">
        <v>7475</v>
      </c>
    </row>
    <row r="2076" spans="1:11">
      <c r="A2076" s="21" t="s">
        <v>2184</v>
      </c>
      <c r="B2076" s="21" t="s">
        <v>7476</v>
      </c>
      <c r="C2076" s="21" t="s">
        <v>8</v>
      </c>
      <c r="D2076" s="21" t="s">
        <v>701</v>
      </c>
      <c r="E2076" s="21" t="s">
        <v>9</v>
      </c>
      <c r="F2076" s="5812">
        <v>3</v>
      </c>
      <c r="G2076" s="5813">
        <v>0.20833333333333334</v>
      </c>
      <c r="H2076" s="21" t="s">
        <v>10</v>
      </c>
      <c r="I2076" s="21" t="s">
        <v>11</v>
      </c>
      <c r="J2076" s="21" t="s">
        <v>7477</v>
      </c>
      <c r="K2076" s="5814" t="s">
        <v>7478</v>
      </c>
    </row>
    <row r="2077" spans="1:11">
      <c r="A2077" s="21" t="s">
        <v>4177</v>
      </c>
      <c r="B2077" s="21" t="s">
        <v>7479</v>
      </c>
      <c r="C2077" s="21" t="s">
        <v>8</v>
      </c>
      <c r="D2077" s="21" t="s">
        <v>701</v>
      </c>
      <c r="E2077" s="21" t="s">
        <v>9</v>
      </c>
      <c r="F2077" s="5812">
        <v>3</v>
      </c>
      <c r="G2077" s="5813">
        <v>0.20833333333333334</v>
      </c>
      <c r="H2077" s="21" t="s">
        <v>10</v>
      </c>
      <c r="I2077" s="21" t="s">
        <v>55</v>
      </c>
      <c r="J2077" s="21" t="s">
        <v>7480</v>
      </c>
      <c r="K2077" s="5814" t="s">
        <v>7481</v>
      </c>
    </row>
    <row r="2078" spans="1:11">
      <c r="A2078" s="21" t="s">
        <v>2626</v>
      </c>
      <c r="B2078" s="21" t="s">
        <v>7482</v>
      </c>
      <c r="C2078" s="21" t="s">
        <v>22</v>
      </c>
      <c r="D2078" s="21" t="s">
        <v>701</v>
      </c>
      <c r="E2078" s="21" t="s">
        <v>9</v>
      </c>
      <c r="F2078" s="5812">
        <v>3</v>
      </c>
      <c r="G2078" s="5813">
        <v>0.20833333333333334</v>
      </c>
      <c r="H2078" s="21" t="s">
        <v>10</v>
      </c>
      <c r="I2078" s="21" t="s">
        <v>47</v>
      </c>
      <c r="J2078" s="21" t="s">
        <v>7483</v>
      </c>
      <c r="K2078" s="5814" t="s">
        <v>7484</v>
      </c>
    </row>
    <row r="2079" spans="1:11">
      <c r="A2079" s="21" t="s">
        <v>2638</v>
      </c>
      <c r="B2079" s="21" t="s">
        <v>7485</v>
      </c>
      <c r="C2079" s="21" t="s">
        <v>8</v>
      </c>
      <c r="D2079" s="21" t="s">
        <v>701</v>
      </c>
      <c r="E2079" s="21" t="s">
        <v>9</v>
      </c>
      <c r="F2079" s="5812">
        <v>3</v>
      </c>
      <c r="G2079" s="5813">
        <v>0.20833333333333334</v>
      </c>
      <c r="H2079" s="21" t="s">
        <v>10</v>
      </c>
      <c r="I2079" s="21" t="s">
        <v>55</v>
      </c>
      <c r="J2079" s="21" t="s">
        <v>7486</v>
      </c>
      <c r="K2079" s="5814" t="s">
        <v>7487</v>
      </c>
    </row>
    <row r="2080" spans="1:11">
      <c r="A2080" s="21" t="s">
        <v>3395</v>
      </c>
      <c r="B2080" s="21" t="s">
        <v>7488</v>
      </c>
      <c r="C2080" s="21" t="s">
        <v>8</v>
      </c>
      <c r="D2080" s="21" t="s">
        <v>701</v>
      </c>
      <c r="E2080" s="21" t="s">
        <v>9</v>
      </c>
      <c r="F2080" s="5812">
        <v>3</v>
      </c>
      <c r="G2080" s="5813">
        <v>0.20833333333333334</v>
      </c>
      <c r="H2080" s="21" t="s">
        <v>10</v>
      </c>
      <c r="I2080" s="21" t="s">
        <v>2544</v>
      </c>
      <c r="J2080" s="21" t="s">
        <v>7489</v>
      </c>
      <c r="K2080" s="5814" t="s">
        <v>7490</v>
      </c>
    </row>
    <row r="2081" spans="1:11">
      <c r="A2081" s="21" t="s">
        <v>3323</v>
      </c>
      <c r="B2081" s="21" t="s">
        <v>7491</v>
      </c>
      <c r="C2081" s="21" t="s">
        <v>8</v>
      </c>
      <c r="D2081" s="21" t="s">
        <v>701</v>
      </c>
      <c r="E2081" s="21" t="s">
        <v>9</v>
      </c>
      <c r="F2081" s="5812">
        <v>3</v>
      </c>
      <c r="G2081" s="5813">
        <v>0.20833333333333334</v>
      </c>
      <c r="H2081" s="21" t="s">
        <v>10</v>
      </c>
      <c r="I2081" s="21" t="s">
        <v>3325</v>
      </c>
      <c r="J2081" s="21" t="s">
        <v>7492</v>
      </c>
      <c r="K2081" s="5814" t="s">
        <v>7493</v>
      </c>
    </row>
    <row r="2082" spans="1:11">
      <c r="A2082" s="21" t="s">
        <v>2647</v>
      </c>
      <c r="B2082" s="21" t="s">
        <v>7494</v>
      </c>
      <c r="C2082" s="21" t="s">
        <v>22</v>
      </c>
      <c r="D2082" s="21" t="s">
        <v>701</v>
      </c>
      <c r="E2082" s="21" t="s">
        <v>9</v>
      </c>
      <c r="F2082" s="5812">
        <v>3</v>
      </c>
      <c r="G2082" s="5813">
        <v>0.20833333333333334</v>
      </c>
      <c r="H2082" s="21" t="s">
        <v>10</v>
      </c>
      <c r="I2082" s="21" t="s">
        <v>2260</v>
      </c>
      <c r="J2082" s="21" t="s">
        <v>7495</v>
      </c>
      <c r="K2082" s="5814" t="s">
        <v>7496</v>
      </c>
    </row>
    <row r="2083" spans="1:11">
      <c r="A2083" s="21" t="s">
        <v>2647</v>
      </c>
      <c r="B2083" s="21" t="s">
        <v>7497</v>
      </c>
      <c r="C2083" s="21" t="s">
        <v>8</v>
      </c>
      <c r="D2083" s="21" t="s">
        <v>701</v>
      </c>
      <c r="E2083" s="21" t="s">
        <v>9</v>
      </c>
      <c r="F2083" s="5812">
        <v>3</v>
      </c>
      <c r="G2083" s="5813">
        <v>0.20833333333333334</v>
      </c>
      <c r="H2083" s="21" t="s">
        <v>10</v>
      </c>
      <c r="I2083" s="21" t="s">
        <v>7498</v>
      </c>
      <c r="J2083" s="21" t="s">
        <v>7499</v>
      </c>
      <c r="K2083" s="5814" t="s">
        <v>7500</v>
      </c>
    </row>
    <row r="2084" spans="1:11">
      <c r="A2084" s="21" t="s">
        <v>2651</v>
      </c>
      <c r="B2084" s="21" t="s">
        <v>7501</v>
      </c>
      <c r="C2084" s="21" t="s">
        <v>22</v>
      </c>
      <c r="D2084" s="21" t="s">
        <v>701</v>
      </c>
      <c r="E2084" s="21" t="s">
        <v>9</v>
      </c>
      <c r="F2084" s="5812">
        <v>3</v>
      </c>
      <c r="G2084" s="5813">
        <v>0.20833333333333334</v>
      </c>
      <c r="H2084" s="21" t="s">
        <v>10</v>
      </c>
      <c r="I2084" s="21" t="s">
        <v>11</v>
      </c>
      <c r="J2084" s="21" t="s">
        <v>7502</v>
      </c>
      <c r="K2084" s="5814" t="s">
        <v>7503</v>
      </c>
    </row>
    <row r="2085" spans="1:11">
      <c r="A2085" s="21" t="s">
        <v>2651</v>
      </c>
      <c r="B2085" s="21" t="s">
        <v>7504</v>
      </c>
      <c r="C2085" s="21" t="s">
        <v>22</v>
      </c>
      <c r="D2085" s="21" t="s">
        <v>701</v>
      </c>
      <c r="E2085" s="21" t="s">
        <v>9</v>
      </c>
      <c r="F2085" s="5812">
        <v>3</v>
      </c>
      <c r="G2085" s="5813">
        <v>0.20833333333333334</v>
      </c>
      <c r="H2085" s="21" t="s">
        <v>10</v>
      </c>
      <c r="I2085" s="21" t="s">
        <v>96</v>
      </c>
      <c r="J2085" s="21" t="s">
        <v>7505</v>
      </c>
      <c r="K2085" s="5814" t="s">
        <v>7506</v>
      </c>
    </row>
    <row r="2086" spans="1:11">
      <c r="A2086" s="21" t="s">
        <v>3328</v>
      </c>
      <c r="B2086" s="21" t="s">
        <v>7507</v>
      </c>
      <c r="C2086" s="21" t="s">
        <v>8</v>
      </c>
      <c r="D2086" s="21" t="s">
        <v>701</v>
      </c>
      <c r="E2086" s="21" t="s">
        <v>9</v>
      </c>
      <c r="F2086" s="5812">
        <v>3</v>
      </c>
      <c r="G2086" s="5813">
        <v>0.20833333333333334</v>
      </c>
      <c r="H2086" s="21" t="s">
        <v>10</v>
      </c>
      <c r="I2086" s="21" t="s">
        <v>2692</v>
      </c>
      <c r="J2086" s="21" t="s">
        <v>7508</v>
      </c>
      <c r="K2086" s="5814" t="s">
        <v>7509</v>
      </c>
    </row>
    <row r="2087" spans="1:11">
      <c r="A2087" s="21" t="s">
        <v>2663</v>
      </c>
      <c r="B2087" s="21" t="s">
        <v>7510</v>
      </c>
      <c r="C2087" s="21" t="s">
        <v>22</v>
      </c>
      <c r="D2087" s="21" t="s">
        <v>701</v>
      </c>
      <c r="E2087" s="21" t="s">
        <v>9</v>
      </c>
      <c r="F2087" s="5812">
        <v>3</v>
      </c>
      <c r="G2087" s="5813">
        <v>0.20833333333333334</v>
      </c>
      <c r="H2087" s="21" t="s">
        <v>10</v>
      </c>
      <c r="I2087" s="21" t="s">
        <v>11</v>
      </c>
      <c r="J2087" s="21" t="s">
        <v>7511</v>
      </c>
      <c r="K2087" s="5814" t="s">
        <v>7512</v>
      </c>
    </row>
    <row r="2088" spans="1:11">
      <c r="A2088" s="21" t="s">
        <v>2668</v>
      </c>
      <c r="B2088" s="21" t="s">
        <v>7513</v>
      </c>
      <c r="C2088" s="21" t="s">
        <v>22</v>
      </c>
      <c r="D2088" s="21" t="s">
        <v>701</v>
      </c>
      <c r="E2088" s="21" t="s">
        <v>9</v>
      </c>
      <c r="F2088" s="5812">
        <v>3</v>
      </c>
      <c r="G2088" s="5813">
        <v>0.20833333333333334</v>
      </c>
      <c r="H2088" s="21" t="s">
        <v>10</v>
      </c>
      <c r="I2088" s="21" t="s">
        <v>2872</v>
      </c>
      <c r="J2088" s="21" t="s">
        <v>7514</v>
      </c>
      <c r="K2088" s="5814" t="s">
        <v>7515</v>
      </c>
    </row>
    <row r="2089" spans="1:11">
      <c r="A2089" s="21" t="s">
        <v>4527</v>
      </c>
      <c r="B2089" s="21" t="s">
        <v>7516</v>
      </c>
      <c r="C2089" s="21" t="s">
        <v>22</v>
      </c>
      <c r="D2089" s="21" t="s">
        <v>701</v>
      </c>
      <c r="E2089" s="21" t="s">
        <v>9</v>
      </c>
      <c r="F2089" s="5812">
        <v>3</v>
      </c>
      <c r="G2089" s="5813">
        <v>0.20833333333333334</v>
      </c>
      <c r="H2089" s="21" t="s">
        <v>10</v>
      </c>
      <c r="I2089" s="21" t="s">
        <v>2269</v>
      </c>
      <c r="J2089" s="21" t="s">
        <v>7517</v>
      </c>
      <c r="K2089" s="5814" t="s">
        <v>7518</v>
      </c>
    </row>
    <row r="2090" spans="1:11">
      <c r="A2090" s="21" t="s">
        <v>4527</v>
      </c>
      <c r="B2090" s="21" t="s">
        <v>7519</v>
      </c>
      <c r="C2090" s="21" t="s">
        <v>22</v>
      </c>
      <c r="D2090" s="21" t="s">
        <v>701</v>
      </c>
      <c r="E2090" s="21" t="s">
        <v>9</v>
      </c>
      <c r="F2090" s="5812">
        <v>3</v>
      </c>
      <c r="G2090" s="5813">
        <v>0.20833333333333334</v>
      </c>
      <c r="H2090" s="21" t="s">
        <v>10</v>
      </c>
      <c r="I2090" s="21" t="s">
        <v>2860</v>
      </c>
      <c r="J2090" s="21" t="s">
        <v>7520</v>
      </c>
      <c r="K2090" s="5814" t="s">
        <v>7521</v>
      </c>
    </row>
    <row r="2091" spans="1:11">
      <c r="A2091" s="21" t="s">
        <v>3364</v>
      </c>
      <c r="B2091" s="21" t="s">
        <v>7522</v>
      </c>
      <c r="C2091" s="21" t="s">
        <v>22</v>
      </c>
      <c r="D2091" s="21" t="s">
        <v>701</v>
      </c>
      <c r="E2091" s="21" t="s">
        <v>9</v>
      </c>
      <c r="F2091" s="5812">
        <v>3</v>
      </c>
      <c r="G2091" s="5813">
        <v>0.20833333333333334</v>
      </c>
      <c r="H2091" s="21" t="s">
        <v>10</v>
      </c>
      <c r="I2091" s="21" t="s">
        <v>233</v>
      </c>
      <c r="J2091" s="21" t="s">
        <v>7523</v>
      </c>
      <c r="K2091" s="5814" t="s">
        <v>7524</v>
      </c>
    </row>
    <row r="2092" spans="1:11">
      <c r="A2092" s="21" t="s">
        <v>2192</v>
      </c>
      <c r="B2092" s="21" t="s">
        <v>7525</v>
      </c>
      <c r="C2092" s="21" t="s">
        <v>8</v>
      </c>
      <c r="D2092" s="21" t="s">
        <v>701</v>
      </c>
      <c r="E2092" s="21" t="s">
        <v>9</v>
      </c>
      <c r="F2092" s="5812">
        <v>3</v>
      </c>
      <c r="G2092" s="5813">
        <v>0.20833333333333334</v>
      </c>
      <c r="H2092" s="21" t="s">
        <v>10</v>
      </c>
      <c r="I2092" s="21" t="s">
        <v>11</v>
      </c>
      <c r="J2092" s="21" t="s">
        <v>7526</v>
      </c>
      <c r="K2092" s="5814" t="s">
        <v>7527</v>
      </c>
    </row>
    <row r="2093" spans="1:11">
      <c r="A2093" s="21" t="s">
        <v>2675</v>
      </c>
      <c r="B2093" s="21" t="s">
        <v>7528</v>
      </c>
      <c r="C2093" s="21" t="s">
        <v>22</v>
      </c>
      <c r="D2093" s="21" t="s">
        <v>701</v>
      </c>
      <c r="E2093" s="21" t="s">
        <v>9</v>
      </c>
      <c r="F2093" s="5812">
        <v>3</v>
      </c>
      <c r="G2093" s="5813">
        <v>0.20833333333333334</v>
      </c>
      <c r="H2093" s="21" t="s">
        <v>10</v>
      </c>
      <c r="I2093" s="21" t="s">
        <v>7529</v>
      </c>
      <c r="J2093" s="21" t="s">
        <v>7530</v>
      </c>
      <c r="K2093" s="5814" t="s">
        <v>7531</v>
      </c>
    </row>
    <row r="2094" spans="1:11">
      <c r="A2094" s="21" t="s">
        <v>2675</v>
      </c>
      <c r="B2094" s="21" t="s">
        <v>7532</v>
      </c>
      <c r="C2094" s="21" t="s">
        <v>8</v>
      </c>
      <c r="D2094" s="21" t="s">
        <v>701</v>
      </c>
      <c r="E2094" s="21" t="s">
        <v>9</v>
      </c>
      <c r="F2094" s="5812">
        <v>3</v>
      </c>
      <c r="G2094" s="5813">
        <v>0.20833333333333334</v>
      </c>
      <c r="H2094" s="21" t="s">
        <v>10</v>
      </c>
      <c r="I2094" s="21" t="s">
        <v>7529</v>
      </c>
      <c r="J2094" s="21" t="s">
        <v>7533</v>
      </c>
      <c r="K2094" s="5814" t="s">
        <v>7534</v>
      </c>
    </row>
    <row r="2095" spans="1:11">
      <c r="A2095" s="21" t="s">
        <v>2679</v>
      </c>
      <c r="B2095" s="21" t="s">
        <v>7535</v>
      </c>
      <c r="C2095" s="21" t="s">
        <v>8</v>
      </c>
      <c r="D2095" s="21" t="s">
        <v>701</v>
      </c>
      <c r="E2095" s="21" t="s">
        <v>9</v>
      </c>
      <c r="F2095" s="5812">
        <v>3</v>
      </c>
      <c r="G2095" s="5813">
        <v>0.20833333333333334</v>
      </c>
      <c r="H2095" s="21" t="s">
        <v>10</v>
      </c>
      <c r="I2095" s="21" t="s">
        <v>2684</v>
      </c>
      <c r="J2095" s="21" t="s">
        <v>7536</v>
      </c>
      <c r="K2095" s="5814" t="s">
        <v>7537</v>
      </c>
    </row>
    <row r="2096" spans="1:11">
      <c r="A2096" s="21" t="s">
        <v>3089</v>
      </c>
      <c r="B2096" s="21" t="s">
        <v>7538</v>
      </c>
      <c r="C2096" s="21" t="s">
        <v>8</v>
      </c>
      <c r="D2096" s="21" t="s">
        <v>701</v>
      </c>
      <c r="E2096" s="21" t="s">
        <v>9</v>
      </c>
      <c r="F2096" s="5812">
        <v>3</v>
      </c>
      <c r="G2096" s="5813">
        <v>0.20833333333333334</v>
      </c>
      <c r="H2096" s="21" t="s">
        <v>10</v>
      </c>
      <c r="I2096" s="21" t="s">
        <v>2692</v>
      </c>
      <c r="J2096" s="21" t="s">
        <v>7539</v>
      </c>
      <c r="K2096" s="5814" t="s">
        <v>7540</v>
      </c>
    </row>
    <row r="2097" spans="1:11">
      <c r="A2097" s="21" t="s">
        <v>4233</v>
      </c>
      <c r="B2097" s="21" t="s">
        <v>7541</v>
      </c>
      <c r="C2097" s="21" t="s">
        <v>8</v>
      </c>
      <c r="D2097" s="21" t="s">
        <v>701</v>
      </c>
      <c r="E2097" s="21" t="s">
        <v>9</v>
      </c>
      <c r="F2097" s="5812">
        <v>3</v>
      </c>
      <c r="G2097" s="5813">
        <v>0.20833333333333334</v>
      </c>
      <c r="H2097" s="21" t="s">
        <v>10</v>
      </c>
      <c r="I2097" s="21"/>
      <c r="J2097" s="21" t="s">
        <v>7542</v>
      </c>
      <c r="K2097" s="5814" t="s">
        <v>7543</v>
      </c>
    </row>
    <row r="2098" spans="1:11">
      <c r="A2098" s="21" t="s">
        <v>4233</v>
      </c>
      <c r="B2098" s="21" t="s">
        <v>7544</v>
      </c>
      <c r="C2098" s="21" t="s">
        <v>8</v>
      </c>
      <c r="D2098" s="21" t="s">
        <v>701</v>
      </c>
      <c r="E2098" s="21" t="s">
        <v>9</v>
      </c>
      <c r="F2098" s="5812">
        <v>3</v>
      </c>
      <c r="G2098" s="5813">
        <v>0.20833333333333334</v>
      </c>
      <c r="H2098" s="21" t="s">
        <v>10</v>
      </c>
      <c r="I2098" s="21" t="s">
        <v>2872</v>
      </c>
      <c r="J2098" s="21" t="s">
        <v>7545</v>
      </c>
      <c r="K2098" s="5814" t="s">
        <v>7546</v>
      </c>
    </row>
    <row r="2099" spans="1:11">
      <c r="A2099" s="21" t="s">
        <v>2698</v>
      </c>
      <c r="B2099" s="21" t="s">
        <v>7547</v>
      </c>
      <c r="C2099" s="21" t="s">
        <v>8</v>
      </c>
      <c r="D2099" s="21" t="s">
        <v>701</v>
      </c>
      <c r="E2099" s="21" t="s">
        <v>9</v>
      </c>
      <c r="F2099" s="5812">
        <v>3</v>
      </c>
      <c r="G2099" s="5813">
        <v>0.20833333333333334</v>
      </c>
      <c r="H2099" s="21" t="s">
        <v>10</v>
      </c>
      <c r="I2099" s="21" t="s">
        <v>4286</v>
      </c>
      <c r="J2099" s="21" t="s">
        <v>7548</v>
      </c>
      <c r="K2099" s="5814" t="s">
        <v>7549</v>
      </c>
    </row>
    <row r="2100" spans="1:11">
      <c r="A2100" s="21" t="s">
        <v>2707</v>
      </c>
      <c r="B2100" s="21" t="s">
        <v>7550</v>
      </c>
      <c r="C2100" s="21" t="s">
        <v>22</v>
      </c>
      <c r="D2100" s="21" t="s">
        <v>701</v>
      </c>
      <c r="E2100" s="21" t="s">
        <v>9</v>
      </c>
      <c r="F2100" s="5812">
        <v>3</v>
      </c>
      <c r="G2100" s="5813">
        <v>0.20833333333333334</v>
      </c>
      <c r="H2100" s="21" t="s">
        <v>10</v>
      </c>
      <c r="I2100" s="21" t="s">
        <v>39</v>
      </c>
      <c r="J2100" s="21" t="s">
        <v>7551</v>
      </c>
      <c r="K2100" s="5814" t="s">
        <v>7552</v>
      </c>
    </row>
    <row r="2101" spans="1:11">
      <c r="A2101" s="21" t="s">
        <v>2915</v>
      </c>
      <c r="B2101" s="21" t="s">
        <v>7553</v>
      </c>
      <c r="C2101" s="21" t="s">
        <v>22</v>
      </c>
      <c r="D2101" s="21" t="s">
        <v>701</v>
      </c>
      <c r="E2101" s="21" t="s">
        <v>9</v>
      </c>
      <c r="F2101" s="5812">
        <v>3</v>
      </c>
      <c r="G2101" s="5813">
        <v>0.20833333333333334</v>
      </c>
      <c r="H2101" s="21" t="s">
        <v>10</v>
      </c>
      <c r="I2101" s="21" t="s">
        <v>194</v>
      </c>
      <c r="J2101" s="21" t="s">
        <v>7554</v>
      </c>
      <c r="K2101" s="5814" t="s">
        <v>7555</v>
      </c>
    </row>
    <row r="2102" spans="1:11">
      <c r="A2102" s="21" t="s">
        <v>2915</v>
      </c>
      <c r="B2102" s="21" t="s">
        <v>7556</v>
      </c>
      <c r="C2102" s="21" t="s">
        <v>8</v>
      </c>
      <c r="D2102" s="21" t="s">
        <v>701</v>
      </c>
      <c r="E2102" s="21" t="s">
        <v>9</v>
      </c>
      <c r="F2102" s="5812">
        <v>3</v>
      </c>
      <c r="G2102" s="5813">
        <v>0.20833333333333334</v>
      </c>
      <c r="H2102" s="21" t="s">
        <v>10</v>
      </c>
      <c r="I2102" s="21" t="s">
        <v>226</v>
      </c>
      <c r="J2102" s="21" t="s">
        <v>7557</v>
      </c>
      <c r="K2102" s="5814" t="s">
        <v>7558</v>
      </c>
    </row>
    <row r="2103" spans="1:11">
      <c r="A2103" s="21" t="s">
        <v>4257</v>
      </c>
      <c r="B2103" s="21" t="s">
        <v>7559</v>
      </c>
      <c r="C2103" s="21" t="s">
        <v>8</v>
      </c>
      <c r="D2103" s="21" t="s">
        <v>701</v>
      </c>
      <c r="E2103" s="21" t="s">
        <v>9</v>
      </c>
      <c r="F2103" s="5812">
        <v>3</v>
      </c>
      <c r="G2103" s="5813">
        <v>0.20833333333333334</v>
      </c>
      <c r="H2103" s="21" t="s">
        <v>10</v>
      </c>
      <c r="I2103" s="21" t="s">
        <v>73</v>
      </c>
      <c r="J2103" s="21" t="s">
        <v>7560</v>
      </c>
      <c r="K2103" s="5814" t="s">
        <v>7561</v>
      </c>
    </row>
    <row r="2104" spans="1:11">
      <c r="A2104" s="21" t="s">
        <v>4257</v>
      </c>
      <c r="B2104" s="21" t="s">
        <v>7562</v>
      </c>
      <c r="C2104" s="21" t="s">
        <v>8</v>
      </c>
      <c r="D2104" s="21" t="s">
        <v>701</v>
      </c>
      <c r="E2104" s="21" t="s">
        <v>9</v>
      </c>
      <c r="F2104" s="5812">
        <v>3</v>
      </c>
      <c r="G2104" s="5813">
        <v>0.20833333333333334</v>
      </c>
      <c r="H2104" s="21" t="s">
        <v>10</v>
      </c>
      <c r="I2104" s="21" t="s">
        <v>73</v>
      </c>
      <c r="J2104" s="21" t="s">
        <v>7563</v>
      </c>
      <c r="K2104" s="5814" t="s">
        <v>7564</v>
      </c>
    </row>
    <row r="2105" spans="1:11">
      <c r="A2105" s="21" t="s">
        <v>2741</v>
      </c>
      <c r="B2105" s="21" t="s">
        <v>7565</v>
      </c>
      <c r="C2105" s="21" t="s">
        <v>8</v>
      </c>
      <c r="D2105" s="21" t="s">
        <v>701</v>
      </c>
      <c r="E2105" s="21" t="s">
        <v>9</v>
      </c>
      <c r="F2105" s="5812">
        <v>3</v>
      </c>
      <c r="G2105" s="5813">
        <v>0.20833333333333334</v>
      </c>
      <c r="H2105" s="21" t="s">
        <v>10</v>
      </c>
      <c r="I2105" s="21" t="s">
        <v>3534</v>
      </c>
      <c r="J2105" s="21" t="s">
        <v>7566</v>
      </c>
      <c r="K2105" s="5814" t="s">
        <v>7567</v>
      </c>
    </row>
    <row r="2106" spans="1:11">
      <c r="A2106" s="21" t="s">
        <v>2745</v>
      </c>
      <c r="B2106" s="21" t="s">
        <v>7568</v>
      </c>
      <c r="C2106" s="21" t="s">
        <v>8</v>
      </c>
      <c r="D2106" s="21" t="s">
        <v>701</v>
      </c>
      <c r="E2106" s="21" t="s">
        <v>9</v>
      </c>
      <c r="F2106" s="5812">
        <v>3</v>
      </c>
      <c r="G2106" s="5813">
        <v>0.20833333333333334</v>
      </c>
      <c r="H2106" s="21" t="s">
        <v>10</v>
      </c>
      <c r="I2106" s="21" t="s">
        <v>47</v>
      </c>
      <c r="J2106" s="21" t="s">
        <v>7569</v>
      </c>
      <c r="K2106" s="5814" t="s">
        <v>7570</v>
      </c>
    </row>
    <row r="2107" spans="1:11">
      <c r="A2107" s="21" t="s">
        <v>2745</v>
      </c>
      <c r="B2107" s="21" t="s">
        <v>7571</v>
      </c>
      <c r="C2107" s="21" t="s">
        <v>8</v>
      </c>
      <c r="D2107" s="21" t="s">
        <v>701</v>
      </c>
      <c r="E2107" s="21" t="s">
        <v>9</v>
      </c>
      <c r="F2107" s="5812">
        <v>3</v>
      </c>
      <c r="G2107" s="5813">
        <v>0.20833333333333334</v>
      </c>
      <c r="H2107" s="21" t="s">
        <v>10</v>
      </c>
      <c r="I2107" s="21" t="s">
        <v>2247</v>
      </c>
      <c r="J2107" s="21" t="s">
        <v>7572</v>
      </c>
      <c r="K2107" s="5814" t="s">
        <v>7573</v>
      </c>
    </row>
    <row r="2108" spans="1:11">
      <c r="A2108" s="21" t="s">
        <v>3765</v>
      </c>
      <c r="B2108" s="21" t="s">
        <v>7574</v>
      </c>
      <c r="C2108" s="21" t="s">
        <v>22</v>
      </c>
      <c r="D2108" s="21" t="s">
        <v>701</v>
      </c>
      <c r="E2108" s="21" t="s">
        <v>9</v>
      </c>
      <c r="F2108" s="5812">
        <v>3</v>
      </c>
      <c r="G2108" s="5813">
        <v>0.20833333333333334</v>
      </c>
      <c r="H2108" s="21" t="s">
        <v>10</v>
      </c>
      <c r="I2108" s="21" t="s">
        <v>226</v>
      </c>
      <c r="J2108" s="21" t="s">
        <v>7575</v>
      </c>
      <c r="K2108" s="5814" t="s">
        <v>7576</v>
      </c>
    </row>
    <row r="2109" spans="1:11">
      <c r="A2109" s="21" t="s">
        <v>3765</v>
      </c>
      <c r="B2109" s="21" t="s">
        <v>7577</v>
      </c>
      <c r="C2109" s="21" t="s">
        <v>8</v>
      </c>
      <c r="D2109" s="21" t="s">
        <v>701</v>
      </c>
      <c r="E2109" s="21" t="s">
        <v>9</v>
      </c>
      <c r="F2109" s="5812">
        <v>3</v>
      </c>
      <c r="G2109" s="5813">
        <v>0.20833333333333334</v>
      </c>
      <c r="H2109" s="21" t="s">
        <v>10</v>
      </c>
      <c r="I2109" s="21" t="s">
        <v>187</v>
      </c>
      <c r="J2109" s="21" t="s">
        <v>7578</v>
      </c>
      <c r="K2109" s="5814" t="s">
        <v>7579</v>
      </c>
    </row>
    <row r="2110" spans="1:11">
      <c r="A2110" s="21" t="s">
        <v>3354</v>
      </c>
      <c r="B2110" s="21" t="s">
        <v>7580</v>
      </c>
      <c r="C2110" s="21" t="s">
        <v>8</v>
      </c>
      <c r="D2110" s="21" t="s">
        <v>701</v>
      </c>
      <c r="E2110" s="21" t="s">
        <v>9</v>
      </c>
      <c r="F2110" s="5812">
        <v>3</v>
      </c>
      <c r="G2110" s="5813">
        <v>0.20833333333333334</v>
      </c>
      <c r="H2110" s="21" t="s">
        <v>10</v>
      </c>
      <c r="I2110" s="21" t="s">
        <v>2247</v>
      </c>
      <c r="J2110" s="21" t="s">
        <v>7581</v>
      </c>
      <c r="K2110" s="5814" t="s">
        <v>7582</v>
      </c>
    </row>
    <row r="2111" spans="1:11">
      <c r="A2111" s="21" t="s">
        <v>3369</v>
      </c>
      <c r="B2111" s="21" t="s">
        <v>7583</v>
      </c>
      <c r="C2111" s="21" t="s">
        <v>8</v>
      </c>
      <c r="D2111" s="21" t="s">
        <v>701</v>
      </c>
      <c r="E2111" s="21" t="s">
        <v>9</v>
      </c>
      <c r="F2111" s="5812">
        <v>3</v>
      </c>
      <c r="G2111" s="5813">
        <v>0.20833333333333334</v>
      </c>
      <c r="H2111" s="21" t="s">
        <v>10</v>
      </c>
      <c r="I2111" s="21" t="s">
        <v>2297</v>
      </c>
      <c r="J2111" s="21" t="s">
        <v>7584</v>
      </c>
      <c r="K2111" s="5814" t="s">
        <v>7585</v>
      </c>
    </row>
    <row r="2112" spans="1:11">
      <c r="A2112" s="21" t="s">
        <v>4597</v>
      </c>
      <c r="B2112" s="21" t="s">
        <v>7586</v>
      </c>
      <c r="C2112" s="21" t="s">
        <v>8</v>
      </c>
      <c r="D2112" s="21" t="s">
        <v>701</v>
      </c>
      <c r="E2112" s="21" t="s">
        <v>9</v>
      </c>
      <c r="F2112" s="5812">
        <v>3</v>
      </c>
      <c r="G2112" s="5813">
        <v>0.20833333333333334</v>
      </c>
      <c r="H2112" s="21" t="s">
        <v>10</v>
      </c>
      <c r="I2112" s="21" t="s">
        <v>226</v>
      </c>
      <c r="J2112" s="21" t="s">
        <v>7587</v>
      </c>
      <c r="K2112" s="5814" t="s">
        <v>7588</v>
      </c>
    </row>
    <row r="2113" spans="1:11">
      <c r="A2113" s="21" t="s">
        <v>2212</v>
      </c>
      <c r="B2113" s="21" t="s">
        <v>7589</v>
      </c>
      <c r="C2113" s="21" t="s">
        <v>8</v>
      </c>
      <c r="D2113" s="21" t="s">
        <v>701</v>
      </c>
      <c r="E2113" s="21" t="s">
        <v>9</v>
      </c>
      <c r="F2113" s="5812">
        <v>3</v>
      </c>
      <c r="G2113" s="5813">
        <v>0.20833333333333334</v>
      </c>
      <c r="H2113" s="21" t="s">
        <v>10</v>
      </c>
      <c r="I2113" s="21" t="s">
        <v>89</v>
      </c>
      <c r="J2113" s="21" t="s">
        <v>7590</v>
      </c>
      <c r="K2113" s="5814" t="s">
        <v>7591</v>
      </c>
    </row>
    <row r="2114" spans="1:11">
      <c r="A2114" s="21" t="s">
        <v>5168</v>
      </c>
      <c r="B2114" s="21" t="s">
        <v>7592</v>
      </c>
      <c r="C2114" s="21" t="s">
        <v>8</v>
      </c>
      <c r="D2114" s="21" t="s">
        <v>701</v>
      </c>
      <c r="E2114" s="21" t="s">
        <v>9</v>
      </c>
      <c r="F2114" s="5812">
        <v>3</v>
      </c>
      <c r="G2114" s="5813">
        <v>0.20833333333333334</v>
      </c>
      <c r="H2114" s="21" t="s">
        <v>10</v>
      </c>
      <c r="I2114" s="21" t="s">
        <v>55</v>
      </c>
      <c r="J2114" s="21" t="s">
        <v>7593</v>
      </c>
      <c r="K2114" s="5814" t="s">
        <v>7594</v>
      </c>
    </row>
    <row r="2115" spans="1:11">
      <c r="A2115" s="21" t="s">
        <v>2216</v>
      </c>
      <c r="B2115" s="21" t="s">
        <v>7595</v>
      </c>
      <c r="C2115" s="21" t="s">
        <v>8</v>
      </c>
      <c r="D2115" s="21" t="s">
        <v>701</v>
      </c>
      <c r="E2115" s="21" t="s">
        <v>9</v>
      </c>
      <c r="F2115" s="5812">
        <v>3</v>
      </c>
      <c r="G2115" s="5813">
        <v>0.20833333333333334</v>
      </c>
      <c r="H2115" s="21" t="s">
        <v>10</v>
      </c>
      <c r="I2115" s="21" t="s">
        <v>226</v>
      </c>
      <c r="J2115" s="21" t="s">
        <v>7596</v>
      </c>
      <c r="K2115" s="5814" t="s">
        <v>7597</v>
      </c>
    </row>
    <row r="2116" spans="1:11">
      <c r="A2116" s="21" t="s">
        <v>2761</v>
      </c>
      <c r="B2116" s="21" t="s">
        <v>7598</v>
      </c>
      <c r="C2116" s="21" t="s">
        <v>8</v>
      </c>
      <c r="D2116" s="21" t="s">
        <v>701</v>
      </c>
      <c r="E2116" s="21" t="s">
        <v>9</v>
      </c>
      <c r="F2116" s="5812">
        <v>3</v>
      </c>
      <c r="G2116" s="5813">
        <v>0.20833333333333334</v>
      </c>
      <c r="H2116" s="21" t="s">
        <v>10</v>
      </c>
      <c r="I2116" s="21" t="s">
        <v>233</v>
      </c>
      <c r="J2116" s="21" t="s">
        <v>7599</v>
      </c>
      <c r="K2116" s="5814" t="s">
        <v>7600</v>
      </c>
    </row>
    <row r="2117" spans="1:11">
      <c r="A2117" s="21" t="s">
        <v>2761</v>
      </c>
      <c r="B2117" s="21" t="s">
        <v>7601</v>
      </c>
      <c r="C2117" s="21" t="s">
        <v>22</v>
      </c>
      <c r="D2117" s="21" t="s">
        <v>701</v>
      </c>
      <c r="E2117" s="21" t="s">
        <v>9</v>
      </c>
      <c r="F2117" s="5812">
        <v>3</v>
      </c>
      <c r="G2117" s="5813">
        <v>0.20833333333333334</v>
      </c>
      <c r="H2117" s="21" t="s">
        <v>10</v>
      </c>
      <c r="I2117" s="21" t="s">
        <v>788</v>
      </c>
      <c r="J2117" s="21" t="s">
        <v>7602</v>
      </c>
      <c r="K2117" s="5814" t="s">
        <v>7603</v>
      </c>
    </row>
    <row r="2118" spans="1:11">
      <c r="A2118" s="21" t="s">
        <v>3213</v>
      </c>
      <c r="B2118" s="21" t="s">
        <v>7604</v>
      </c>
      <c r="C2118" s="21" t="s">
        <v>8</v>
      </c>
      <c r="D2118" s="21" t="s">
        <v>701</v>
      </c>
      <c r="E2118" s="21" t="s">
        <v>9</v>
      </c>
      <c r="F2118" s="5812">
        <v>3</v>
      </c>
      <c r="G2118" s="5813">
        <v>0.20833333333333334</v>
      </c>
      <c r="H2118" s="21" t="s">
        <v>10</v>
      </c>
      <c r="I2118" s="21" t="s">
        <v>3215</v>
      </c>
      <c r="J2118" s="21" t="s">
        <v>7605</v>
      </c>
      <c r="K2118" s="5814" t="s">
        <v>7606</v>
      </c>
    </row>
    <row r="2119" spans="1:11">
      <c r="A2119" s="21" t="s">
        <v>4863</v>
      </c>
      <c r="B2119" s="21" t="s">
        <v>7607</v>
      </c>
      <c r="C2119" s="21" t="s">
        <v>8</v>
      </c>
      <c r="D2119" s="21" t="s">
        <v>701</v>
      </c>
      <c r="E2119" s="21" t="s">
        <v>9</v>
      </c>
      <c r="F2119" s="5812">
        <v>3</v>
      </c>
      <c r="G2119" s="5813">
        <v>0.20833333333333334</v>
      </c>
      <c r="H2119" s="21" t="s">
        <v>10</v>
      </c>
      <c r="I2119" s="21" t="s">
        <v>2260</v>
      </c>
      <c r="J2119" s="21" t="s">
        <v>7608</v>
      </c>
      <c r="K2119" s="5814" t="s">
        <v>7609</v>
      </c>
    </row>
    <row r="2120" spans="1:11">
      <c r="A2120" s="21" t="s">
        <v>2768</v>
      </c>
      <c r="B2120" s="21" t="s">
        <v>7610</v>
      </c>
      <c r="C2120" s="21" t="s">
        <v>22</v>
      </c>
      <c r="D2120" s="21" t="s">
        <v>701</v>
      </c>
      <c r="E2120" s="21" t="s">
        <v>9</v>
      </c>
      <c r="F2120" s="5812">
        <v>3</v>
      </c>
      <c r="G2120" s="5813">
        <v>0.20833333333333334</v>
      </c>
      <c r="H2120" s="21" t="s">
        <v>10</v>
      </c>
      <c r="I2120" s="21" t="s">
        <v>194</v>
      </c>
      <c r="J2120" s="21" t="s">
        <v>7611</v>
      </c>
      <c r="K2120" s="5814" t="s">
        <v>7612</v>
      </c>
    </row>
    <row r="2121" spans="1:11">
      <c r="A2121" s="21" t="s">
        <v>2772</v>
      </c>
      <c r="B2121" s="21" t="s">
        <v>7613</v>
      </c>
      <c r="C2121" s="21" t="s">
        <v>8</v>
      </c>
      <c r="D2121" s="21" t="s">
        <v>701</v>
      </c>
      <c r="E2121" s="21" t="s">
        <v>9</v>
      </c>
      <c r="F2121" s="5812">
        <v>3</v>
      </c>
      <c r="G2121" s="5813">
        <v>0.20833333333333334</v>
      </c>
      <c r="H2121" s="21" t="s">
        <v>10</v>
      </c>
      <c r="I2121" s="21" t="s">
        <v>2731</v>
      </c>
      <c r="J2121" s="21" t="s">
        <v>7614</v>
      </c>
      <c r="K2121" s="5814" t="s">
        <v>7615</v>
      </c>
    </row>
    <row r="2122" spans="1:11">
      <c r="A2122" s="21" t="s">
        <v>3430</v>
      </c>
      <c r="B2122" s="21" t="s">
        <v>7616</v>
      </c>
      <c r="C2122" s="21" t="s">
        <v>8</v>
      </c>
      <c r="D2122" s="21" t="s">
        <v>701</v>
      </c>
      <c r="E2122" s="21" t="s">
        <v>9</v>
      </c>
      <c r="F2122" s="5812">
        <v>3</v>
      </c>
      <c r="G2122" s="5813">
        <v>0.20833333333333334</v>
      </c>
      <c r="H2122" s="21" t="s">
        <v>10</v>
      </c>
      <c r="I2122" s="21" t="s">
        <v>55</v>
      </c>
      <c r="J2122" s="21" t="s">
        <v>7617</v>
      </c>
      <c r="K2122" s="5814" t="s">
        <v>7618</v>
      </c>
    </row>
    <row r="2123" spans="1:11">
      <c r="A2123" s="21" t="s">
        <v>3651</v>
      </c>
      <c r="B2123" s="21" t="s">
        <v>7619</v>
      </c>
      <c r="C2123" s="21" t="s">
        <v>8</v>
      </c>
      <c r="D2123" s="21" t="s">
        <v>701</v>
      </c>
      <c r="E2123" s="21" t="s">
        <v>9</v>
      </c>
      <c r="F2123" s="5812">
        <v>3</v>
      </c>
      <c r="G2123" s="5813">
        <v>0.20833333333333334</v>
      </c>
      <c r="H2123" s="21" t="s">
        <v>10</v>
      </c>
      <c r="I2123" s="21" t="s">
        <v>11</v>
      </c>
      <c r="J2123" s="21" t="s">
        <v>7620</v>
      </c>
      <c r="K2123" s="5814" t="s">
        <v>7621</v>
      </c>
    </row>
    <row r="2124" spans="1:11">
      <c r="A2124" s="21" t="s">
        <v>3651</v>
      </c>
      <c r="B2124" s="21" t="s">
        <v>7622</v>
      </c>
      <c r="C2124" s="21" t="s">
        <v>8</v>
      </c>
      <c r="D2124" s="21" t="s">
        <v>701</v>
      </c>
      <c r="E2124" s="21" t="s">
        <v>9</v>
      </c>
      <c r="F2124" s="5812">
        <v>3</v>
      </c>
      <c r="G2124" s="5813">
        <v>0.20833333333333334</v>
      </c>
      <c r="H2124" s="21" t="s">
        <v>10</v>
      </c>
      <c r="I2124" s="21" t="s">
        <v>6561</v>
      </c>
      <c r="J2124" s="21" t="s">
        <v>7623</v>
      </c>
      <c r="K2124" s="5814" t="s">
        <v>7624</v>
      </c>
    </row>
    <row r="2125" spans="1:11">
      <c r="A2125" s="21" t="s">
        <v>2780</v>
      </c>
      <c r="B2125" s="21" t="s">
        <v>7625</v>
      </c>
      <c r="C2125" s="21" t="s">
        <v>8</v>
      </c>
      <c r="D2125" s="21" t="s">
        <v>701</v>
      </c>
      <c r="E2125" s="21" t="s">
        <v>9</v>
      </c>
      <c r="F2125" s="5812">
        <v>3</v>
      </c>
      <c r="G2125" s="5813">
        <v>0.20833333333333334</v>
      </c>
      <c r="H2125" s="21" t="s">
        <v>10</v>
      </c>
      <c r="I2125" s="21" t="s">
        <v>55</v>
      </c>
      <c r="J2125" s="21" t="s">
        <v>7626</v>
      </c>
      <c r="K2125" s="5814" t="s">
        <v>7627</v>
      </c>
    </row>
    <row r="2126" spans="1:11">
      <c r="A2126" s="21" t="s">
        <v>3584</v>
      </c>
      <c r="B2126" s="21" t="s">
        <v>7628</v>
      </c>
      <c r="C2126" s="21" t="s">
        <v>8</v>
      </c>
      <c r="D2126" s="21" t="s">
        <v>701</v>
      </c>
      <c r="E2126" s="21" t="s">
        <v>9</v>
      </c>
      <c r="F2126" s="5812">
        <v>3</v>
      </c>
      <c r="G2126" s="5813">
        <v>0.20833333333333334</v>
      </c>
      <c r="H2126" s="21" t="s">
        <v>10</v>
      </c>
      <c r="I2126" s="21" t="s">
        <v>47</v>
      </c>
      <c r="J2126" s="21" t="s">
        <v>7629</v>
      </c>
      <c r="K2126" s="5814" t="s">
        <v>7630</v>
      </c>
    </row>
    <row r="2127" spans="1:11">
      <c r="A2127" s="21" t="s">
        <v>2233</v>
      </c>
      <c r="B2127" s="21" t="s">
        <v>7631</v>
      </c>
      <c r="C2127" s="21" t="s">
        <v>22</v>
      </c>
      <c r="D2127" s="21" t="s">
        <v>701</v>
      </c>
      <c r="E2127" s="21" t="s">
        <v>9</v>
      </c>
      <c r="F2127" s="5812">
        <v>3</v>
      </c>
      <c r="G2127" s="5813">
        <v>0.20833333333333334</v>
      </c>
      <c r="H2127" s="21" t="s">
        <v>10</v>
      </c>
      <c r="I2127" s="21" t="s">
        <v>55</v>
      </c>
      <c r="J2127" s="21" t="s">
        <v>7632</v>
      </c>
      <c r="K2127" s="5814" t="s">
        <v>7633</v>
      </c>
    </row>
    <row r="2128" spans="1:11">
      <c r="A2128" s="21" t="s">
        <v>3783</v>
      </c>
      <c r="B2128" s="21" t="s">
        <v>7634</v>
      </c>
      <c r="C2128" s="21" t="s">
        <v>22</v>
      </c>
      <c r="D2128" s="21" t="s">
        <v>701</v>
      </c>
      <c r="E2128" s="21" t="s">
        <v>9</v>
      </c>
      <c r="F2128" s="5812">
        <v>3</v>
      </c>
      <c r="G2128" s="5813">
        <v>0.20833333333333334</v>
      </c>
      <c r="H2128" s="21" t="s">
        <v>10</v>
      </c>
      <c r="I2128" s="21" t="s">
        <v>187</v>
      </c>
      <c r="J2128" s="21" t="s">
        <v>7635</v>
      </c>
      <c r="K2128" s="5814" t="s">
        <v>7636</v>
      </c>
    </row>
    <row r="2129" spans="1:11">
      <c r="A2129" s="21" t="s">
        <v>2241</v>
      </c>
      <c r="B2129" s="21" t="s">
        <v>7637</v>
      </c>
      <c r="C2129" s="21" t="s">
        <v>22</v>
      </c>
      <c r="D2129" s="21" t="s">
        <v>701</v>
      </c>
      <c r="E2129" s="21" t="s">
        <v>9</v>
      </c>
      <c r="F2129" s="5812">
        <v>3</v>
      </c>
      <c r="G2129" s="5813">
        <v>0.20833333333333334</v>
      </c>
      <c r="H2129" s="21" t="s">
        <v>10</v>
      </c>
      <c r="I2129" s="21" t="s">
        <v>2297</v>
      </c>
      <c r="J2129" s="21" t="s">
        <v>7638</v>
      </c>
      <c r="K2129" s="5814" t="s">
        <v>7639</v>
      </c>
    </row>
    <row r="2130" spans="1:11">
      <c r="A2130" s="21" t="s">
        <v>2241</v>
      </c>
      <c r="B2130" s="21" t="s">
        <v>7640</v>
      </c>
      <c r="C2130" s="21" t="s">
        <v>8</v>
      </c>
      <c r="D2130" s="21" t="s">
        <v>701</v>
      </c>
      <c r="E2130" s="21" t="s">
        <v>9</v>
      </c>
      <c r="F2130" s="5812">
        <v>3</v>
      </c>
      <c r="G2130" s="5813">
        <v>0.20833333333333334</v>
      </c>
      <c r="H2130" s="21" t="s">
        <v>10</v>
      </c>
      <c r="I2130" s="21" t="s">
        <v>2726</v>
      </c>
      <c r="J2130" s="21" t="s">
        <v>7641</v>
      </c>
      <c r="K2130" s="5814" t="s">
        <v>7642</v>
      </c>
    </row>
    <row r="2131" spans="1:11">
      <c r="A2131" s="21" t="s">
        <v>2804</v>
      </c>
      <c r="B2131" s="21" t="s">
        <v>7643</v>
      </c>
      <c r="C2131" s="21" t="s">
        <v>8</v>
      </c>
      <c r="D2131" s="21" t="s">
        <v>701</v>
      </c>
      <c r="E2131" s="21" t="s">
        <v>9</v>
      </c>
      <c r="F2131" s="5812">
        <v>3</v>
      </c>
      <c r="G2131" s="5813">
        <v>0.20833333333333334</v>
      </c>
      <c r="H2131" s="21" t="s">
        <v>10</v>
      </c>
      <c r="I2131" s="21" t="s">
        <v>55</v>
      </c>
      <c r="J2131" s="21" t="s">
        <v>7644</v>
      </c>
      <c r="K2131" s="5814" t="s">
        <v>7645</v>
      </c>
    </row>
    <row r="2132" spans="1:11">
      <c r="A2132" s="21" t="s">
        <v>2808</v>
      </c>
      <c r="B2132" s="21" t="s">
        <v>7646</v>
      </c>
      <c r="C2132" s="21" t="s">
        <v>22</v>
      </c>
      <c r="D2132" s="21" t="s">
        <v>701</v>
      </c>
      <c r="E2132" s="21" t="s">
        <v>9</v>
      </c>
      <c r="F2132" s="5812">
        <v>3</v>
      </c>
      <c r="G2132" s="5813">
        <v>0.20833333333333334</v>
      </c>
      <c r="H2132" s="21" t="s">
        <v>10</v>
      </c>
      <c r="I2132" s="21" t="s">
        <v>2872</v>
      </c>
      <c r="J2132" s="21" t="s">
        <v>7647</v>
      </c>
      <c r="K2132" s="5814" t="s">
        <v>7648</v>
      </c>
    </row>
    <row r="2133" spans="1:11">
      <c r="A2133" s="21" t="s">
        <v>4338</v>
      </c>
      <c r="B2133" s="21" t="s">
        <v>7649</v>
      </c>
      <c r="C2133" s="21" t="s">
        <v>22</v>
      </c>
      <c r="D2133" s="21" t="s">
        <v>701</v>
      </c>
      <c r="E2133" s="21" t="s">
        <v>9</v>
      </c>
      <c r="F2133" s="5812">
        <v>3</v>
      </c>
      <c r="G2133" s="5813">
        <v>0.20833333333333334</v>
      </c>
      <c r="H2133" s="21" t="s">
        <v>10</v>
      </c>
      <c r="I2133" s="21" t="s">
        <v>2297</v>
      </c>
      <c r="J2133" s="21" t="s">
        <v>7650</v>
      </c>
      <c r="K2133" s="5814" t="s">
        <v>7651</v>
      </c>
    </row>
    <row r="2134" spans="1:11">
      <c r="A2134" s="21" t="s">
        <v>3044</v>
      </c>
      <c r="B2134" s="21" t="s">
        <v>7652</v>
      </c>
      <c r="C2134" s="21" t="s">
        <v>8</v>
      </c>
      <c r="D2134" s="21" t="s">
        <v>701</v>
      </c>
      <c r="E2134" s="21" t="s">
        <v>9</v>
      </c>
      <c r="F2134" s="5812">
        <v>3</v>
      </c>
      <c r="G2134" s="5813">
        <v>0.20833333333333334</v>
      </c>
      <c r="H2134" s="21" t="s">
        <v>10</v>
      </c>
      <c r="I2134" s="21" t="s">
        <v>39</v>
      </c>
      <c r="J2134" s="21" t="s">
        <v>7653</v>
      </c>
      <c r="K2134" s="5814" t="s">
        <v>7654</v>
      </c>
    </row>
    <row r="2135" spans="1:11">
      <c r="A2135" s="21" t="s">
        <v>2245</v>
      </c>
      <c r="B2135" s="21" t="s">
        <v>7655</v>
      </c>
      <c r="C2135" s="21" t="s">
        <v>8</v>
      </c>
      <c r="D2135" s="21" t="s">
        <v>701</v>
      </c>
      <c r="E2135" s="21" t="s">
        <v>9</v>
      </c>
      <c r="F2135" s="5812">
        <v>3</v>
      </c>
      <c r="G2135" s="5813">
        <v>0.20833333333333334</v>
      </c>
      <c r="H2135" s="21" t="s">
        <v>10</v>
      </c>
      <c r="I2135" s="21" t="s">
        <v>2247</v>
      </c>
      <c r="J2135" s="21" t="s">
        <v>7656</v>
      </c>
      <c r="K2135" s="5814" t="s">
        <v>7657</v>
      </c>
    </row>
    <row r="2136" spans="1:11">
      <c r="A2136" s="21" t="s">
        <v>2245</v>
      </c>
      <c r="B2136" s="21" t="s">
        <v>7658</v>
      </c>
      <c r="C2136" s="21" t="s">
        <v>8</v>
      </c>
      <c r="D2136" s="21" t="s">
        <v>701</v>
      </c>
      <c r="E2136" s="21" t="s">
        <v>9</v>
      </c>
      <c r="F2136" s="5812">
        <v>3</v>
      </c>
      <c r="G2136" s="5813">
        <v>0.20833333333333334</v>
      </c>
      <c r="H2136" s="21" t="s">
        <v>10</v>
      </c>
      <c r="I2136" s="21" t="s">
        <v>55</v>
      </c>
      <c r="J2136" s="21" t="s">
        <v>7659</v>
      </c>
      <c r="K2136" s="5814" t="s">
        <v>7660</v>
      </c>
    </row>
    <row r="2137" spans="1:11">
      <c r="A2137" s="21" t="s">
        <v>2817</v>
      </c>
      <c r="B2137" s="21" t="s">
        <v>7661</v>
      </c>
      <c r="C2137" s="21" t="s">
        <v>22</v>
      </c>
      <c r="D2137" s="21" t="s">
        <v>701</v>
      </c>
      <c r="E2137" s="21" t="s">
        <v>9</v>
      </c>
      <c r="F2137" s="5812">
        <v>3</v>
      </c>
      <c r="G2137" s="5813">
        <v>0.20833333333333334</v>
      </c>
      <c r="H2137" s="21" t="s">
        <v>10</v>
      </c>
      <c r="I2137" s="21" t="s">
        <v>233</v>
      </c>
      <c r="J2137" s="21" t="s">
        <v>7662</v>
      </c>
      <c r="K2137" s="5814" t="s">
        <v>7663</v>
      </c>
    </row>
    <row r="2138" spans="1:11">
      <c r="A2138" s="21" t="s">
        <v>2817</v>
      </c>
      <c r="B2138" s="21" t="s">
        <v>7664</v>
      </c>
      <c r="C2138" s="21" t="s">
        <v>8</v>
      </c>
      <c r="D2138" s="21" t="s">
        <v>701</v>
      </c>
      <c r="E2138" s="21" t="s">
        <v>9</v>
      </c>
      <c r="F2138" s="5812">
        <v>3</v>
      </c>
      <c r="G2138" s="5813">
        <v>0.20833333333333334</v>
      </c>
      <c r="H2138" s="21" t="s">
        <v>10</v>
      </c>
      <c r="I2138" s="21" t="s">
        <v>2247</v>
      </c>
      <c r="J2138" s="21" t="s">
        <v>7665</v>
      </c>
      <c r="K2138" s="5814" t="s">
        <v>7666</v>
      </c>
    </row>
    <row r="2139" spans="1:11">
      <c r="A2139" s="21" t="s">
        <v>2817</v>
      </c>
      <c r="B2139" s="21" t="s">
        <v>7667</v>
      </c>
      <c r="C2139" s="21" t="s">
        <v>22</v>
      </c>
      <c r="D2139" s="21" t="s">
        <v>701</v>
      </c>
      <c r="E2139" s="21" t="s">
        <v>9</v>
      </c>
      <c r="F2139" s="5812">
        <v>3</v>
      </c>
      <c r="G2139" s="5813">
        <v>0.20833333333333334</v>
      </c>
      <c r="H2139" s="21" t="s">
        <v>10</v>
      </c>
      <c r="I2139" s="21" t="s">
        <v>2747</v>
      </c>
      <c r="J2139" s="21" t="s">
        <v>7668</v>
      </c>
      <c r="K2139" s="5814" t="s">
        <v>7669</v>
      </c>
    </row>
    <row r="2140" spans="1:11">
      <c r="A2140" s="21" t="s">
        <v>2075</v>
      </c>
      <c r="B2140" s="21" t="s">
        <v>7670</v>
      </c>
      <c r="C2140" s="21" t="s">
        <v>8</v>
      </c>
      <c r="D2140" s="21" t="s">
        <v>701</v>
      </c>
      <c r="E2140" s="21" t="s">
        <v>9</v>
      </c>
      <c r="F2140" s="5812">
        <v>3</v>
      </c>
      <c r="G2140" s="5813">
        <v>0.20833333333333334</v>
      </c>
      <c r="H2140" s="21" t="s">
        <v>10</v>
      </c>
      <c r="I2140" s="21" t="s">
        <v>654</v>
      </c>
      <c r="J2140" s="21" t="s">
        <v>7671</v>
      </c>
      <c r="K2140" s="5814" t="s">
        <v>7672</v>
      </c>
    </row>
    <row r="2141" spans="1:11">
      <c r="A2141" s="21" t="s">
        <v>2075</v>
      </c>
      <c r="B2141" s="21" t="s">
        <v>7673</v>
      </c>
      <c r="C2141" s="21" t="s">
        <v>22</v>
      </c>
      <c r="D2141" s="21" t="s">
        <v>701</v>
      </c>
      <c r="E2141" s="21" t="s">
        <v>9</v>
      </c>
      <c r="F2141" s="5812">
        <v>3</v>
      </c>
      <c r="G2141" s="5813">
        <v>0.20833333333333334</v>
      </c>
      <c r="H2141" s="21" t="s">
        <v>10</v>
      </c>
      <c r="I2141" s="21" t="s">
        <v>226</v>
      </c>
      <c r="J2141" s="21" t="s">
        <v>7674</v>
      </c>
      <c r="K2141" s="5814" t="s">
        <v>7675</v>
      </c>
    </row>
    <row r="2142" spans="1:11">
      <c r="A2142" s="21" t="s">
        <v>2827</v>
      </c>
      <c r="B2142" s="21" t="s">
        <v>7676</v>
      </c>
      <c r="C2142" s="21" t="s">
        <v>8</v>
      </c>
      <c r="D2142" s="21" t="s">
        <v>701</v>
      </c>
      <c r="E2142" s="21" t="s">
        <v>9</v>
      </c>
      <c r="F2142" s="5812">
        <v>3</v>
      </c>
      <c r="G2142" s="5813">
        <v>0.20833333333333334</v>
      </c>
      <c r="H2142" s="21" t="s">
        <v>10</v>
      </c>
      <c r="I2142" s="21" t="s">
        <v>2313</v>
      </c>
      <c r="J2142" s="21" t="s">
        <v>7677</v>
      </c>
      <c r="K2142" s="5814" t="s">
        <v>7678</v>
      </c>
    </row>
    <row r="2143" spans="1:11">
      <c r="A2143" s="21" t="s">
        <v>2827</v>
      </c>
      <c r="B2143" s="21" t="s">
        <v>7679</v>
      </c>
      <c r="C2143" s="21" t="s">
        <v>8</v>
      </c>
      <c r="D2143" s="21" t="s">
        <v>701</v>
      </c>
      <c r="E2143" s="21" t="s">
        <v>9</v>
      </c>
      <c r="F2143" s="5812">
        <v>3</v>
      </c>
      <c r="G2143" s="5813">
        <v>0.20833333333333334</v>
      </c>
      <c r="H2143" s="21" t="s">
        <v>10</v>
      </c>
      <c r="I2143" s="21" t="s">
        <v>2260</v>
      </c>
      <c r="J2143" s="21" t="s">
        <v>7680</v>
      </c>
      <c r="K2143" s="5814" t="s">
        <v>7681</v>
      </c>
    </row>
    <row r="2144" spans="1:11">
      <c r="A2144" s="21" t="s">
        <v>3787</v>
      </c>
      <c r="B2144" s="21" t="s">
        <v>7682</v>
      </c>
      <c r="C2144" s="21" t="s">
        <v>8</v>
      </c>
      <c r="D2144" s="21" t="s">
        <v>701</v>
      </c>
      <c r="E2144" s="21" t="s">
        <v>9</v>
      </c>
      <c r="F2144" s="5812">
        <v>3</v>
      </c>
      <c r="G2144" s="5813">
        <v>0.20833333333333334</v>
      </c>
      <c r="H2144" s="21" t="s">
        <v>10</v>
      </c>
      <c r="I2144" s="21" t="s">
        <v>2872</v>
      </c>
      <c r="J2144" s="21" t="s">
        <v>7683</v>
      </c>
      <c r="K2144" s="5814" t="s">
        <v>7684</v>
      </c>
    </row>
    <row r="2145" spans="1:11">
      <c r="A2145" s="21" t="s">
        <v>3192</v>
      </c>
      <c r="B2145" s="21" t="s">
        <v>7685</v>
      </c>
      <c r="C2145" s="21" t="s">
        <v>8</v>
      </c>
      <c r="D2145" s="21" t="s">
        <v>701</v>
      </c>
      <c r="E2145" s="21" t="s">
        <v>9</v>
      </c>
      <c r="F2145" s="5812">
        <v>3</v>
      </c>
      <c r="G2145" s="5813">
        <v>0.20833333333333334</v>
      </c>
      <c r="H2145" s="21" t="s">
        <v>10</v>
      </c>
      <c r="I2145" s="21" t="s">
        <v>2297</v>
      </c>
      <c r="J2145" s="21" t="s">
        <v>7686</v>
      </c>
      <c r="K2145" s="5814" t="s">
        <v>7687</v>
      </c>
    </row>
    <row r="2146" spans="1:11">
      <c r="A2146" s="21" t="s">
        <v>3192</v>
      </c>
      <c r="B2146" s="21" t="s">
        <v>7688</v>
      </c>
      <c r="C2146" s="21" t="s">
        <v>8</v>
      </c>
      <c r="D2146" s="21" t="s">
        <v>701</v>
      </c>
      <c r="E2146" s="21" t="s">
        <v>9</v>
      </c>
      <c r="F2146" s="5812">
        <v>3</v>
      </c>
      <c r="G2146" s="5813">
        <v>0.20833333333333334</v>
      </c>
      <c r="H2146" s="21" t="s">
        <v>10</v>
      </c>
      <c r="I2146" s="21" t="s">
        <v>2665</v>
      </c>
      <c r="J2146" s="21" t="s">
        <v>7689</v>
      </c>
      <c r="K2146" s="5814" t="s">
        <v>7690</v>
      </c>
    </row>
    <row r="2147" spans="1:11">
      <c r="A2147" s="21" t="s">
        <v>3006</v>
      </c>
      <c r="B2147" s="21" t="s">
        <v>7691</v>
      </c>
      <c r="C2147" s="21" t="s">
        <v>8</v>
      </c>
      <c r="D2147" s="21" t="s">
        <v>701</v>
      </c>
      <c r="E2147" s="21" t="s">
        <v>9</v>
      </c>
      <c r="F2147" s="5812">
        <v>3</v>
      </c>
      <c r="G2147" s="5813">
        <v>0.20833333333333334</v>
      </c>
      <c r="H2147" s="21" t="s">
        <v>10</v>
      </c>
      <c r="I2147" s="21" t="s">
        <v>187</v>
      </c>
      <c r="J2147" s="21" t="s">
        <v>7692</v>
      </c>
      <c r="K2147" s="5814" t="s">
        <v>7693</v>
      </c>
    </row>
    <row r="2148" spans="1:11">
      <c r="A2148" s="21" t="s">
        <v>2835</v>
      </c>
      <c r="B2148" s="21" t="s">
        <v>7694</v>
      </c>
      <c r="C2148" s="21" t="s">
        <v>8</v>
      </c>
      <c r="D2148" s="21" t="s">
        <v>701</v>
      </c>
      <c r="E2148" s="21" t="s">
        <v>9</v>
      </c>
      <c r="F2148" s="5812">
        <v>3</v>
      </c>
      <c r="G2148" s="5813">
        <v>0.20833333333333334</v>
      </c>
      <c r="H2148" s="21" t="s">
        <v>10</v>
      </c>
      <c r="I2148" s="21" t="s">
        <v>47</v>
      </c>
      <c r="J2148" s="21" t="s">
        <v>7695</v>
      </c>
      <c r="K2148" s="5814" t="s">
        <v>7696</v>
      </c>
    </row>
    <row r="2149" spans="1:11">
      <c r="A2149" s="21" t="s">
        <v>4379</v>
      </c>
      <c r="B2149" s="21" t="s">
        <v>7697</v>
      </c>
      <c r="C2149" s="21" t="s">
        <v>22</v>
      </c>
      <c r="D2149" s="21" t="s">
        <v>701</v>
      </c>
      <c r="E2149" s="21" t="s">
        <v>9</v>
      </c>
      <c r="F2149" s="5812">
        <v>3</v>
      </c>
      <c r="G2149" s="5813">
        <v>0.20833333333333334</v>
      </c>
      <c r="H2149" s="21" t="s">
        <v>10</v>
      </c>
      <c r="I2149" s="21" t="s">
        <v>226</v>
      </c>
      <c r="J2149" s="21" t="s">
        <v>7698</v>
      </c>
      <c r="K2149" s="5814" t="s">
        <v>7699</v>
      </c>
    </row>
    <row r="2150" spans="1:11">
      <c r="A2150" s="21" t="s">
        <v>2254</v>
      </c>
      <c r="B2150" s="21" t="s">
        <v>7700</v>
      </c>
      <c r="C2150" s="21" t="s">
        <v>22</v>
      </c>
      <c r="D2150" s="21" t="s">
        <v>701</v>
      </c>
      <c r="E2150" s="21" t="s">
        <v>9</v>
      </c>
      <c r="F2150" s="5812">
        <v>3</v>
      </c>
      <c r="G2150" s="5813">
        <v>0.20833333333333334</v>
      </c>
      <c r="H2150" s="21" t="s">
        <v>10</v>
      </c>
      <c r="I2150" s="21" t="s">
        <v>23</v>
      </c>
      <c r="J2150" s="21" t="s">
        <v>7701</v>
      </c>
      <c r="K2150" s="5814" t="s">
        <v>7702</v>
      </c>
    </row>
    <row r="2151" spans="1:11">
      <c r="A2151" s="21" t="s">
        <v>2254</v>
      </c>
      <c r="B2151" s="21" t="s">
        <v>7703</v>
      </c>
      <c r="C2151" s="21" t="s">
        <v>8</v>
      </c>
      <c r="D2151" s="21" t="s">
        <v>701</v>
      </c>
      <c r="E2151" s="21" t="s">
        <v>9</v>
      </c>
      <c r="F2151" s="5812">
        <v>3</v>
      </c>
      <c r="G2151" s="5813">
        <v>0.20833333333333334</v>
      </c>
      <c r="H2151" s="21" t="s">
        <v>10</v>
      </c>
      <c r="I2151" s="21" t="s">
        <v>55</v>
      </c>
      <c r="J2151" s="21" t="s">
        <v>7704</v>
      </c>
      <c r="K2151" s="5814" t="s">
        <v>7705</v>
      </c>
    </row>
    <row r="2152" spans="1:11">
      <c r="A2152" s="21" t="s">
        <v>2839</v>
      </c>
      <c r="B2152" s="21" t="s">
        <v>7706</v>
      </c>
      <c r="C2152" s="21" t="s">
        <v>8</v>
      </c>
      <c r="D2152" s="21" t="s">
        <v>701</v>
      </c>
      <c r="E2152" s="21" t="s">
        <v>9</v>
      </c>
      <c r="F2152" s="5812">
        <v>3</v>
      </c>
      <c r="G2152" s="5813">
        <v>0.20833333333333334</v>
      </c>
      <c r="H2152" s="21" t="s">
        <v>10</v>
      </c>
      <c r="I2152" s="21" t="s">
        <v>226</v>
      </c>
      <c r="J2152" s="21" t="s">
        <v>7707</v>
      </c>
      <c r="K2152" s="5814" t="s">
        <v>7708</v>
      </c>
    </row>
    <row r="2153" spans="1:11">
      <c r="A2153" s="21" t="s">
        <v>5220</v>
      </c>
      <c r="B2153" s="21" t="s">
        <v>7709</v>
      </c>
      <c r="C2153" s="21" t="s">
        <v>8</v>
      </c>
      <c r="D2153" s="21" t="s">
        <v>701</v>
      </c>
      <c r="E2153" s="21" t="s">
        <v>9</v>
      </c>
      <c r="F2153" s="5812">
        <v>3</v>
      </c>
      <c r="G2153" s="5813">
        <v>0.20833333333333334</v>
      </c>
      <c r="H2153" s="21" t="s">
        <v>10</v>
      </c>
      <c r="I2153" s="21" t="s">
        <v>2713</v>
      </c>
      <c r="J2153" s="21" t="s">
        <v>2743</v>
      </c>
      <c r="K2153" s="5814" t="s">
        <v>7710</v>
      </c>
    </row>
    <row r="2154" spans="1:11">
      <c r="A2154" s="21" t="s">
        <v>4645</v>
      </c>
      <c r="B2154" s="21" t="s">
        <v>7711</v>
      </c>
      <c r="C2154" s="21" t="s">
        <v>22</v>
      </c>
      <c r="D2154" s="21" t="s">
        <v>701</v>
      </c>
      <c r="E2154" s="21" t="s">
        <v>9</v>
      </c>
      <c r="F2154" s="5812">
        <v>3</v>
      </c>
      <c r="G2154" s="5813">
        <v>0.20833333333333334</v>
      </c>
      <c r="H2154" s="21" t="s">
        <v>10</v>
      </c>
      <c r="I2154" s="21" t="s">
        <v>55</v>
      </c>
      <c r="J2154" s="21" t="s">
        <v>7712</v>
      </c>
      <c r="K2154" s="5814" t="s">
        <v>7713</v>
      </c>
    </row>
    <row r="2155" spans="1:11">
      <c r="A2155" s="21" t="s">
        <v>4645</v>
      </c>
      <c r="B2155" s="21" t="s">
        <v>7714</v>
      </c>
      <c r="C2155" s="21" t="s">
        <v>22</v>
      </c>
      <c r="D2155" s="21" t="s">
        <v>701</v>
      </c>
      <c r="E2155" s="21" t="s">
        <v>9</v>
      </c>
      <c r="F2155" s="5812">
        <v>3</v>
      </c>
      <c r="G2155" s="5813">
        <v>0.20833333333333334</v>
      </c>
      <c r="H2155" s="21" t="s">
        <v>10</v>
      </c>
      <c r="I2155" s="21" t="s">
        <v>226</v>
      </c>
      <c r="J2155" s="21" t="s">
        <v>7715</v>
      </c>
      <c r="K2155" s="5814" t="s">
        <v>7716</v>
      </c>
    </row>
    <row r="2156" spans="1:11">
      <c r="A2156" s="21" t="s">
        <v>4645</v>
      </c>
      <c r="B2156" s="21" t="s">
        <v>7717</v>
      </c>
      <c r="C2156" s="21" t="s">
        <v>22</v>
      </c>
      <c r="D2156" s="21" t="s">
        <v>701</v>
      </c>
      <c r="E2156" s="21" t="s">
        <v>9</v>
      </c>
      <c r="F2156" s="5812">
        <v>3</v>
      </c>
      <c r="G2156" s="5813">
        <v>0.20833333333333334</v>
      </c>
      <c r="H2156" s="21" t="s">
        <v>10</v>
      </c>
      <c r="I2156" s="21" t="s">
        <v>39</v>
      </c>
      <c r="J2156" s="21" t="s">
        <v>7718</v>
      </c>
      <c r="K2156" s="5814" t="s">
        <v>7719</v>
      </c>
    </row>
    <row r="2157" spans="1:11">
      <c r="A2157" s="21" t="s">
        <v>4768</v>
      </c>
      <c r="B2157" s="21" t="s">
        <v>7720</v>
      </c>
      <c r="C2157" s="21" t="s">
        <v>8</v>
      </c>
      <c r="D2157" s="21" t="s">
        <v>701</v>
      </c>
      <c r="E2157" s="21" t="s">
        <v>9</v>
      </c>
      <c r="F2157" s="5812">
        <v>3</v>
      </c>
      <c r="G2157" s="5813">
        <v>0.20833333333333334</v>
      </c>
      <c r="H2157" s="21" t="s">
        <v>10</v>
      </c>
      <c r="I2157" s="21" t="s">
        <v>2660</v>
      </c>
      <c r="J2157" s="21" t="s">
        <v>7721</v>
      </c>
      <c r="K2157" s="5814" t="s">
        <v>7722</v>
      </c>
    </row>
    <row r="2158" spans="1:11">
      <c r="A2158" s="21" t="s">
        <v>4396</v>
      </c>
      <c r="B2158" s="21" t="s">
        <v>7723</v>
      </c>
      <c r="C2158" s="21" t="s">
        <v>8</v>
      </c>
      <c r="D2158" s="21" t="s">
        <v>701</v>
      </c>
      <c r="E2158" s="21" t="s">
        <v>9</v>
      </c>
      <c r="F2158" s="5812">
        <v>3</v>
      </c>
      <c r="G2158" s="5813">
        <v>0.20833333333333334</v>
      </c>
      <c r="H2158" s="21" t="s">
        <v>10</v>
      </c>
      <c r="I2158" s="21" t="s">
        <v>23</v>
      </c>
      <c r="J2158" s="21" t="s">
        <v>7724</v>
      </c>
      <c r="K2158" s="5814" t="s">
        <v>7725</v>
      </c>
    </row>
    <row r="2159" spans="1:11">
      <c r="A2159" s="21" t="s">
        <v>2258</v>
      </c>
      <c r="B2159" s="21" t="s">
        <v>7726</v>
      </c>
      <c r="C2159" s="21" t="s">
        <v>22</v>
      </c>
      <c r="D2159" s="21" t="s">
        <v>701</v>
      </c>
      <c r="E2159" s="21" t="s">
        <v>9</v>
      </c>
      <c r="F2159" s="5812">
        <v>3</v>
      </c>
      <c r="G2159" s="5813">
        <v>0.20833333333333334</v>
      </c>
      <c r="H2159" s="21" t="s">
        <v>10</v>
      </c>
      <c r="I2159" s="21"/>
      <c r="J2159" s="21" t="s">
        <v>7727</v>
      </c>
      <c r="K2159" s="5814" t="s">
        <v>7728</v>
      </c>
    </row>
    <row r="2160" spans="1:11">
      <c r="A2160" s="21" t="s">
        <v>3565</v>
      </c>
      <c r="B2160" s="21" t="s">
        <v>7729</v>
      </c>
      <c r="C2160" s="21" t="s">
        <v>8</v>
      </c>
      <c r="D2160" s="21" t="s">
        <v>701</v>
      </c>
      <c r="E2160" s="21" t="s">
        <v>9</v>
      </c>
      <c r="F2160" s="5812">
        <v>3</v>
      </c>
      <c r="G2160" s="5813">
        <v>0.20833333333333334</v>
      </c>
      <c r="H2160" s="21" t="s">
        <v>10</v>
      </c>
      <c r="I2160" s="21" t="s">
        <v>11</v>
      </c>
      <c r="J2160" s="21" t="s">
        <v>7730</v>
      </c>
      <c r="K2160" s="5814" t="s">
        <v>7731</v>
      </c>
    </row>
    <row r="2161" spans="1:11">
      <c r="A2161" s="21" t="s">
        <v>4409</v>
      </c>
      <c r="B2161" s="21" t="s">
        <v>7732</v>
      </c>
      <c r="C2161" s="21" t="s">
        <v>8</v>
      </c>
      <c r="D2161" s="21" t="s">
        <v>701</v>
      </c>
      <c r="E2161" s="21" t="s">
        <v>9</v>
      </c>
      <c r="F2161" s="5812">
        <v>3</v>
      </c>
      <c r="G2161" s="5813">
        <v>0.20833333333333334</v>
      </c>
      <c r="H2161" s="21" t="s">
        <v>10</v>
      </c>
      <c r="I2161" s="21" t="s">
        <v>2297</v>
      </c>
      <c r="J2161" s="21" t="s">
        <v>7733</v>
      </c>
      <c r="K2161" s="5814" t="s">
        <v>7734</v>
      </c>
    </row>
    <row r="2162" spans="1:11">
      <c r="A2162" s="21" t="s">
        <v>2846</v>
      </c>
      <c r="B2162" s="21" t="s">
        <v>7735</v>
      </c>
      <c r="C2162" s="21" t="s">
        <v>22</v>
      </c>
      <c r="D2162" s="21" t="s">
        <v>701</v>
      </c>
      <c r="E2162" s="21" t="s">
        <v>9</v>
      </c>
      <c r="F2162" s="5812">
        <v>3</v>
      </c>
      <c r="G2162" s="5813">
        <v>0.20833333333333334</v>
      </c>
      <c r="H2162" s="21" t="s">
        <v>10</v>
      </c>
      <c r="I2162" s="21" t="s">
        <v>117</v>
      </c>
      <c r="J2162" s="21" t="s">
        <v>7736</v>
      </c>
      <c r="K2162" s="5814" t="s">
        <v>7737</v>
      </c>
    </row>
    <row r="2163" spans="1:11">
      <c r="A2163" s="21" t="s">
        <v>3144</v>
      </c>
      <c r="B2163" s="21" t="s">
        <v>7738</v>
      </c>
      <c r="C2163" s="21" t="s">
        <v>22</v>
      </c>
      <c r="D2163" s="21" t="s">
        <v>701</v>
      </c>
      <c r="E2163" s="21" t="s">
        <v>9</v>
      </c>
      <c r="F2163" s="5812">
        <v>3</v>
      </c>
      <c r="G2163" s="5813">
        <v>0.20833333333333334</v>
      </c>
      <c r="H2163" s="21" t="s">
        <v>10</v>
      </c>
      <c r="I2163" s="21" t="s">
        <v>55</v>
      </c>
      <c r="J2163" s="21" t="s">
        <v>7739</v>
      </c>
      <c r="K2163" s="5814" t="s">
        <v>7740</v>
      </c>
    </row>
    <row r="2164" spans="1:11">
      <c r="A2164" s="21" t="s">
        <v>2263</v>
      </c>
      <c r="B2164" s="21" t="s">
        <v>7741</v>
      </c>
      <c r="C2164" s="21" t="s">
        <v>22</v>
      </c>
      <c r="D2164" s="21" t="s">
        <v>701</v>
      </c>
      <c r="E2164" s="21" t="s">
        <v>9</v>
      </c>
      <c r="F2164" s="5812">
        <v>3</v>
      </c>
      <c r="G2164" s="5813">
        <v>0.20833333333333334</v>
      </c>
      <c r="H2164" s="21" t="s">
        <v>10</v>
      </c>
      <c r="I2164" s="21" t="s">
        <v>55</v>
      </c>
      <c r="J2164" s="21" t="s">
        <v>7742</v>
      </c>
      <c r="K2164" s="5814" t="s">
        <v>7743</v>
      </c>
    </row>
    <row r="2165" spans="1:11">
      <c r="A2165" s="21" t="s">
        <v>2263</v>
      </c>
      <c r="B2165" s="21" t="s">
        <v>7744</v>
      </c>
      <c r="C2165" s="21" t="s">
        <v>8</v>
      </c>
      <c r="D2165" s="21" t="s">
        <v>701</v>
      </c>
      <c r="E2165" s="21" t="s">
        <v>9</v>
      </c>
      <c r="F2165" s="5812">
        <v>3</v>
      </c>
      <c r="G2165" s="5813">
        <v>0.20833333333333334</v>
      </c>
      <c r="H2165" s="21" t="s">
        <v>10</v>
      </c>
      <c r="I2165" s="21" t="s">
        <v>23</v>
      </c>
      <c r="J2165" s="21" t="s">
        <v>7745</v>
      </c>
      <c r="K2165" s="5814" t="s">
        <v>7746</v>
      </c>
    </row>
    <row r="2166" spans="1:11">
      <c r="A2166" s="21" t="s">
        <v>3630</v>
      </c>
      <c r="B2166" s="21" t="s">
        <v>7747</v>
      </c>
      <c r="C2166" s="21" t="s">
        <v>22</v>
      </c>
      <c r="D2166" s="21" t="s">
        <v>701</v>
      </c>
      <c r="E2166" s="21" t="s">
        <v>9</v>
      </c>
      <c r="F2166" s="5812">
        <v>3</v>
      </c>
      <c r="G2166" s="5813">
        <v>0.20833333333333334</v>
      </c>
      <c r="H2166" s="21" t="s">
        <v>10</v>
      </c>
      <c r="I2166" s="21" t="s">
        <v>5159</v>
      </c>
      <c r="J2166" s="21" t="s">
        <v>7748</v>
      </c>
      <c r="K2166" s="5814" t="s">
        <v>7749</v>
      </c>
    </row>
    <row r="2167" spans="1:11">
      <c r="A2167" s="21" t="s">
        <v>4423</v>
      </c>
      <c r="B2167" s="21" t="s">
        <v>7750</v>
      </c>
      <c r="C2167" s="21" t="s">
        <v>22</v>
      </c>
      <c r="D2167" s="21" t="s">
        <v>701</v>
      </c>
      <c r="E2167" s="21" t="s">
        <v>9</v>
      </c>
      <c r="F2167" s="5812">
        <v>3</v>
      </c>
      <c r="G2167" s="5813">
        <v>0.20833333333333334</v>
      </c>
      <c r="H2167" s="21" t="s">
        <v>10</v>
      </c>
      <c r="I2167" s="21" t="s">
        <v>55</v>
      </c>
      <c r="J2167" s="21" t="s">
        <v>7751</v>
      </c>
      <c r="K2167" s="5814" t="s">
        <v>7752</v>
      </c>
    </row>
    <row r="2168" spans="1:11">
      <c r="A2168" s="21" t="s">
        <v>4423</v>
      </c>
      <c r="B2168" s="21" t="s">
        <v>7753</v>
      </c>
      <c r="C2168" s="21" t="s">
        <v>8</v>
      </c>
      <c r="D2168" s="21" t="s">
        <v>701</v>
      </c>
      <c r="E2168" s="21" t="s">
        <v>9</v>
      </c>
      <c r="F2168" s="5812">
        <v>3</v>
      </c>
      <c r="G2168" s="5813">
        <v>0.20833333333333334</v>
      </c>
      <c r="H2168" s="21" t="s">
        <v>10</v>
      </c>
      <c r="I2168" s="21" t="s">
        <v>96</v>
      </c>
      <c r="J2168" s="21" t="s">
        <v>7754</v>
      </c>
      <c r="K2168" s="5814" t="s">
        <v>7755</v>
      </c>
    </row>
    <row r="2169" spans="1:11">
      <c r="A2169" s="21" t="s">
        <v>2854</v>
      </c>
      <c r="B2169" s="21" t="s">
        <v>7756</v>
      </c>
      <c r="C2169" s="21" t="s">
        <v>22</v>
      </c>
      <c r="D2169" s="21" t="s">
        <v>701</v>
      </c>
      <c r="E2169" s="21" t="s">
        <v>9</v>
      </c>
      <c r="F2169" s="5812">
        <v>3</v>
      </c>
      <c r="G2169" s="5813">
        <v>0.20833333333333334</v>
      </c>
      <c r="H2169" s="21" t="s">
        <v>10</v>
      </c>
      <c r="I2169" s="21" t="s">
        <v>2297</v>
      </c>
      <c r="J2169" s="21" t="s">
        <v>7757</v>
      </c>
      <c r="K2169" s="5814" t="s">
        <v>7758</v>
      </c>
    </row>
    <row r="2170" spans="1:11">
      <c r="A2170" s="21" t="s">
        <v>2272</v>
      </c>
      <c r="B2170" s="21" t="s">
        <v>7759</v>
      </c>
      <c r="C2170" s="21" t="s">
        <v>22</v>
      </c>
      <c r="D2170" s="21" t="s">
        <v>701</v>
      </c>
      <c r="E2170" s="21" t="s">
        <v>9</v>
      </c>
      <c r="F2170" s="5812">
        <v>3</v>
      </c>
      <c r="G2170" s="5813">
        <v>0.20833333333333334</v>
      </c>
      <c r="H2170" s="21" t="s">
        <v>10</v>
      </c>
      <c r="I2170" s="21" t="s">
        <v>11</v>
      </c>
      <c r="J2170" s="21" t="s">
        <v>7760</v>
      </c>
      <c r="K2170" s="5814" t="s">
        <v>7761</v>
      </c>
    </row>
    <row r="2171" spans="1:11">
      <c r="A2171" s="21" t="s">
        <v>2272</v>
      </c>
      <c r="B2171" s="21" t="s">
        <v>7762</v>
      </c>
      <c r="C2171" s="21" t="s">
        <v>22</v>
      </c>
      <c r="D2171" s="21" t="s">
        <v>701</v>
      </c>
      <c r="E2171" s="21" t="s">
        <v>9</v>
      </c>
      <c r="F2171" s="5812">
        <v>3</v>
      </c>
      <c r="G2171" s="5813">
        <v>0.20833333333333334</v>
      </c>
      <c r="H2171" s="21" t="s">
        <v>10</v>
      </c>
      <c r="I2171" s="21" t="s">
        <v>55</v>
      </c>
      <c r="J2171" s="21" t="s">
        <v>7763</v>
      </c>
      <c r="K2171" s="5814" t="s">
        <v>7764</v>
      </c>
    </row>
    <row r="2172" spans="1:11">
      <c r="A2172" s="21" t="s">
        <v>4430</v>
      </c>
      <c r="B2172" s="21" t="s">
        <v>7765</v>
      </c>
      <c r="C2172" s="21" t="s">
        <v>8</v>
      </c>
      <c r="D2172" s="21" t="s">
        <v>701</v>
      </c>
      <c r="E2172" s="21" t="s">
        <v>9</v>
      </c>
      <c r="F2172" s="5812">
        <v>3</v>
      </c>
      <c r="G2172" s="5813">
        <v>0.20833333333333334</v>
      </c>
      <c r="H2172" s="21" t="s">
        <v>10</v>
      </c>
      <c r="I2172" s="21" t="s">
        <v>2713</v>
      </c>
      <c r="J2172" s="21" t="s">
        <v>7766</v>
      </c>
      <c r="K2172" s="5814" t="s">
        <v>7767</v>
      </c>
    </row>
    <row r="2173" spans="1:11">
      <c r="A2173" s="21" t="s">
        <v>4430</v>
      </c>
      <c r="B2173" s="21" t="s">
        <v>7768</v>
      </c>
      <c r="C2173" s="21" t="s">
        <v>8</v>
      </c>
      <c r="D2173" s="21" t="s">
        <v>701</v>
      </c>
      <c r="E2173" s="21" t="s">
        <v>9</v>
      </c>
      <c r="F2173" s="5812">
        <v>3</v>
      </c>
      <c r="G2173" s="5813">
        <v>0.20833333333333334</v>
      </c>
      <c r="H2173" s="21" t="s">
        <v>10</v>
      </c>
      <c r="I2173" s="21" t="s">
        <v>2713</v>
      </c>
      <c r="J2173" s="21" t="s">
        <v>7769</v>
      </c>
      <c r="K2173" s="5814" t="s">
        <v>7770</v>
      </c>
    </row>
    <row r="2174" spans="1:11">
      <c r="A2174" s="21" t="s">
        <v>2858</v>
      </c>
      <c r="B2174" s="21" t="s">
        <v>7771</v>
      </c>
      <c r="C2174" s="21" t="s">
        <v>8</v>
      </c>
      <c r="D2174" s="21" t="s">
        <v>701</v>
      </c>
      <c r="E2174" s="21" t="s">
        <v>9</v>
      </c>
      <c r="F2174" s="5812">
        <v>3</v>
      </c>
      <c r="G2174" s="5813">
        <v>0.20833333333333334</v>
      </c>
      <c r="H2174" s="21" t="s">
        <v>10</v>
      </c>
      <c r="I2174" s="21" t="s">
        <v>2269</v>
      </c>
      <c r="J2174" s="21" t="s">
        <v>7772</v>
      </c>
      <c r="K2174" s="5814" t="s">
        <v>7773</v>
      </c>
    </row>
    <row r="2175" spans="1:11">
      <c r="A2175" s="21" t="s">
        <v>2858</v>
      </c>
      <c r="B2175" s="21" t="s">
        <v>7774</v>
      </c>
      <c r="C2175" s="21" t="s">
        <v>22</v>
      </c>
      <c r="D2175" s="21" t="s">
        <v>701</v>
      </c>
      <c r="E2175" s="21" t="s">
        <v>9</v>
      </c>
      <c r="F2175" s="5812">
        <v>3</v>
      </c>
      <c r="G2175" s="5813">
        <v>0.20833333333333334</v>
      </c>
      <c r="H2175" s="21" t="s">
        <v>10</v>
      </c>
      <c r="I2175" s="21" t="s">
        <v>2660</v>
      </c>
      <c r="J2175" s="21" t="s">
        <v>7775</v>
      </c>
      <c r="K2175" s="5814" t="s">
        <v>7776</v>
      </c>
    </row>
    <row r="2176" spans="1:11">
      <c r="A2176" s="21" t="s">
        <v>3345</v>
      </c>
      <c r="B2176" s="21" t="s">
        <v>7777</v>
      </c>
      <c r="C2176" s="21" t="s">
        <v>8</v>
      </c>
      <c r="D2176" s="21" t="s">
        <v>701</v>
      </c>
      <c r="E2176" s="21" t="s">
        <v>9</v>
      </c>
      <c r="F2176" s="5812">
        <v>3</v>
      </c>
      <c r="G2176" s="5813">
        <v>0.20833333333333334</v>
      </c>
      <c r="H2176" s="21" t="s">
        <v>10</v>
      </c>
      <c r="I2176" s="21" t="s">
        <v>400</v>
      </c>
      <c r="J2176" s="21" t="s">
        <v>7778</v>
      </c>
      <c r="K2176" s="5814" t="s">
        <v>7779</v>
      </c>
    </row>
    <row r="2177" spans="1:11">
      <c r="A2177" s="21" t="s">
        <v>3345</v>
      </c>
      <c r="B2177" s="21" t="s">
        <v>7780</v>
      </c>
      <c r="C2177" s="21" t="s">
        <v>8</v>
      </c>
      <c r="D2177" s="21" t="s">
        <v>701</v>
      </c>
      <c r="E2177" s="21" t="s">
        <v>9</v>
      </c>
      <c r="F2177" s="5812">
        <v>3</v>
      </c>
      <c r="G2177" s="5813">
        <v>0.20833333333333334</v>
      </c>
      <c r="H2177" s="21" t="s">
        <v>10</v>
      </c>
      <c r="I2177" s="21" t="s">
        <v>4997</v>
      </c>
      <c r="J2177" s="21" t="s">
        <v>7781</v>
      </c>
      <c r="K2177" s="5814" t="s">
        <v>7782</v>
      </c>
    </row>
    <row r="2178" spans="1:11">
      <c r="A2178" s="21" t="s">
        <v>2870</v>
      </c>
      <c r="B2178" s="21" t="s">
        <v>7066</v>
      </c>
      <c r="C2178" s="21" t="s">
        <v>8</v>
      </c>
      <c r="D2178" s="21" t="s">
        <v>701</v>
      </c>
      <c r="E2178" s="21" t="s">
        <v>9</v>
      </c>
      <c r="F2178" s="5812">
        <v>3</v>
      </c>
      <c r="G2178" s="5813">
        <v>0.20833333333333334</v>
      </c>
      <c r="H2178" s="21" t="s">
        <v>10</v>
      </c>
      <c r="I2178" s="21" t="s">
        <v>2665</v>
      </c>
      <c r="J2178" s="21" t="s">
        <v>7783</v>
      </c>
      <c r="K2178" s="5814" t="s">
        <v>7784</v>
      </c>
    </row>
    <row r="2179" spans="1:11">
      <c r="A2179" s="21" t="s">
        <v>2961</v>
      </c>
      <c r="B2179" s="21" t="s">
        <v>7785</v>
      </c>
      <c r="C2179" s="21" t="s">
        <v>22</v>
      </c>
      <c r="D2179" s="21" t="s">
        <v>701</v>
      </c>
      <c r="E2179" s="21" t="s">
        <v>9</v>
      </c>
      <c r="F2179" s="5812">
        <v>3</v>
      </c>
      <c r="G2179" s="5813">
        <v>0.20833333333333334</v>
      </c>
      <c r="H2179" s="21" t="s">
        <v>10</v>
      </c>
      <c r="I2179" s="21" t="s">
        <v>47</v>
      </c>
      <c r="J2179" s="21" t="s">
        <v>7786</v>
      </c>
      <c r="K2179" s="5814" t="s">
        <v>7787</v>
      </c>
    </row>
    <row r="2180" spans="1:11">
      <c r="A2180" s="21" t="s">
        <v>2961</v>
      </c>
      <c r="B2180" s="21" t="s">
        <v>7788</v>
      </c>
      <c r="C2180" s="21" t="s">
        <v>8</v>
      </c>
      <c r="D2180" s="21" t="s">
        <v>701</v>
      </c>
      <c r="E2180" s="21" t="s">
        <v>9</v>
      </c>
      <c r="F2180" s="5812">
        <v>3</v>
      </c>
      <c r="G2180" s="5813">
        <v>0.20833333333333334</v>
      </c>
      <c r="H2180" s="21" t="s">
        <v>10</v>
      </c>
      <c r="I2180" s="21" t="s">
        <v>2713</v>
      </c>
      <c r="J2180" s="21" t="s">
        <v>7789</v>
      </c>
      <c r="K2180" s="5814" t="s">
        <v>7790</v>
      </c>
    </row>
    <row r="2181" spans="1:11">
      <c r="A2181" s="21" t="s">
        <v>2280</v>
      </c>
      <c r="B2181" s="21" t="s">
        <v>7791</v>
      </c>
      <c r="C2181" s="21" t="s">
        <v>22</v>
      </c>
      <c r="D2181" s="21" t="s">
        <v>701</v>
      </c>
      <c r="E2181" s="21" t="s">
        <v>9</v>
      </c>
      <c r="F2181" s="5812">
        <v>3</v>
      </c>
      <c r="G2181" s="5813">
        <v>0.20833333333333334</v>
      </c>
      <c r="H2181" s="21" t="s">
        <v>10</v>
      </c>
      <c r="I2181" s="21" t="s">
        <v>55</v>
      </c>
      <c r="J2181" s="21" t="s">
        <v>7792</v>
      </c>
      <c r="K2181" s="5814" t="s">
        <v>7793</v>
      </c>
    </row>
    <row r="2182" spans="1:11">
      <c r="A2182" s="21" t="s">
        <v>2882</v>
      </c>
      <c r="B2182" s="21" t="s">
        <v>7794</v>
      </c>
      <c r="C2182" s="21" t="s">
        <v>22</v>
      </c>
      <c r="D2182" s="21" t="s">
        <v>701</v>
      </c>
      <c r="E2182" s="21" t="s">
        <v>9</v>
      </c>
      <c r="F2182" s="5812">
        <v>3</v>
      </c>
      <c r="G2182" s="5813">
        <v>0.20833333333333334</v>
      </c>
      <c r="H2182" s="21" t="s">
        <v>10</v>
      </c>
      <c r="I2182" s="21" t="s">
        <v>23</v>
      </c>
      <c r="J2182" s="21" t="s">
        <v>7795</v>
      </c>
      <c r="K2182" s="5814" t="s">
        <v>7796</v>
      </c>
    </row>
    <row r="2183" spans="1:11">
      <c r="A2183" s="21" t="s">
        <v>3098</v>
      </c>
      <c r="B2183" s="21" t="s">
        <v>7797</v>
      </c>
      <c r="C2183" s="21" t="s">
        <v>8</v>
      </c>
      <c r="D2183" s="21" t="s">
        <v>701</v>
      </c>
      <c r="E2183" s="21" t="s">
        <v>9</v>
      </c>
      <c r="F2183" s="5812">
        <v>3</v>
      </c>
      <c r="G2183" s="5813">
        <v>0.20833333333333334</v>
      </c>
      <c r="H2183" s="21" t="s">
        <v>10</v>
      </c>
      <c r="I2183" s="21" t="s">
        <v>2523</v>
      </c>
      <c r="J2183" s="21" t="s">
        <v>7798</v>
      </c>
      <c r="K2183" s="5814" t="s">
        <v>7799</v>
      </c>
    </row>
    <row r="2184" spans="1:11">
      <c r="A2184" s="21" t="s">
        <v>3260</v>
      </c>
      <c r="B2184" s="21" t="s">
        <v>7800</v>
      </c>
      <c r="C2184" s="21" t="s">
        <v>22</v>
      </c>
      <c r="D2184" s="21" t="s">
        <v>701</v>
      </c>
      <c r="E2184" s="21" t="s">
        <v>9</v>
      </c>
      <c r="F2184" s="5812">
        <v>3</v>
      </c>
      <c r="G2184" s="5813">
        <v>0.20833333333333334</v>
      </c>
      <c r="H2184" s="21" t="s">
        <v>10</v>
      </c>
      <c r="I2184" s="21" t="s">
        <v>2297</v>
      </c>
      <c r="J2184" s="21" t="s">
        <v>7801</v>
      </c>
      <c r="K2184" s="5814" t="s">
        <v>7802</v>
      </c>
    </row>
    <row r="2185" spans="1:11">
      <c r="A2185" s="21" t="s">
        <v>2905</v>
      </c>
      <c r="B2185" s="21" t="s">
        <v>7803</v>
      </c>
      <c r="C2185" s="21" t="s">
        <v>8</v>
      </c>
      <c r="D2185" s="21" t="s">
        <v>701</v>
      </c>
      <c r="E2185" s="21" t="s">
        <v>9</v>
      </c>
      <c r="F2185" s="5812">
        <v>3</v>
      </c>
      <c r="G2185" s="5813">
        <v>0.20833333333333334</v>
      </c>
      <c r="H2185" s="21" t="s">
        <v>10</v>
      </c>
      <c r="I2185" s="21" t="s">
        <v>3305</v>
      </c>
      <c r="J2185" s="21" t="s">
        <v>7804</v>
      </c>
      <c r="K2185" s="5814" t="s">
        <v>7805</v>
      </c>
    </row>
    <row r="2186" spans="1:11">
      <c r="A2186" s="21" t="s">
        <v>4621</v>
      </c>
      <c r="B2186" s="21" t="s">
        <v>7806</v>
      </c>
      <c r="C2186" s="21" t="s">
        <v>8</v>
      </c>
      <c r="D2186" s="21" t="s">
        <v>701</v>
      </c>
      <c r="E2186" s="21" t="s">
        <v>9</v>
      </c>
      <c r="F2186" s="5812">
        <v>3</v>
      </c>
      <c r="G2186" s="5813">
        <v>0.20833333333333334</v>
      </c>
      <c r="H2186" s="21" t="s">
        <v>10</v>
      </c>
      <c r="I2186" s="21" t="s">
        <v>2747</v>
      </c>
      <c r="J2186" s="21" t="s">
        <v>7807</v>
      </c>
      <c r="K2186" s="5814" t="s">
        <v>7808</v>
      </c>
    </row>
    <row r="2187" spans="1:11">
      <c r="A2187" s="21" t="s">
        <v>3170</v>
      </c>
      <c r="B2187" s="21" t="s">
        <v>7809</v>
      </c>
      <c r="C2187" s="21" t="s">
        <v>22</v>
      </c>
      <c r="D2187" s="21" t="s">
        <v>701</v>
      </c>
      <c r="E2187" s="21" t="s">
        <v>9</v>
      </c>
      <c r="F2187" s="5812">
        <v>3</v>
      </c>
      <c r="G2187" s="5813">
        <v>0.20833333333333334</v>
      </c>
      <c r="H2187" s="21" t="s">
        <v>10</v>
      </c>
      <c r="I2187" s="21" t="s">
        <v>2660</v>
      </c>
      <c r="J2187" s="21" t="s">
        <v>7810</v>
      </c>
      <c r="K2187" s="5814" t="s">
        <v>7811</v>
      </c>
    </row>
    <row r="2188" spans="1:11">
      <c r="A2188" s="21" t="s">
        <v>3056</v>
      </c>
      <c r="B2188" s="21" t="s">
        <v>7812</v>
      </c>
      <c r="C2188" s="21" t="s">
        <v>8</v>
      </c>
      <c r="D2188" s="21" t="s">
        <v>701</v>
      </c>
      <c r="E2188" s="21" t="s">
        <v>9</v>
      </c>
      <c r="F2188" s="5812">
        <v>3</v>
      </c>
      <c r="G2188" s="5813">
        <v>0.20833333333333334</v>
      </c>
      <c r="H2188" s="21" t="s">
        <v>10</v>
      </c>
      <c r="I2188" s="21" t="s">
        <v>3569</v>
      </c>
      <c r="J2188" s="21" t="s">
        <v>7813</v>
      </c>
      <c r="K2188" s="5814" t="s">
        <v>7814</v>
      </c>
    </row>
    <row r="2189" spans="1:11">
      <c r="A2189" s="21" t="s">
        <v>3439</v>
      </c>
      <c r="B2189" s="21" t="s">
        <v>7815</v>
      </c>
      <c r="C2189" s="21" t="s">
        <v>22</v>
      </c>
      <c r="D2189" s="21" t="s">
        <v>701</v>
      </c>
      <c r="E2189" s="21" t="s">
        <v>9</v>
      </c>
      <c r="F2189" s="5812">
        <v>3</v>
      </c>
      <c r="G2189" s="5813">
        <v>0.20833333333333334</v>
      </c>
      <c r="H2189" s="21" t="s">
        <v>10</v>
      </c>
      <c r="I2189" s="21" t="s">
        <v>117</v>
      </c>
      <c r="J2189" s="21" t="s">
        <v>7816</v>
      </c>
      <c r="K2189" s="5814" t="s">
        <v>7817</v>
      </c>
    </row>
    <row r="2190" spans="1:11">
      <c r="A2190" s="21" t="s">
        <v>2413</v>
      </c>
      <c r="B2190" s="21" t="s">
        <v>7818</v>
      </c>
      <c r="C2190" s="21" t="s">
        <v>22</v>
      </c>
      <c r="D2190" s="21" t="s">
        <v>701</v>
      </c>
      <c r="E2190" s="21" t="s">
        <v>9</v>
      </c>
      <c r="F2190" s="5812">
        <v>5</v>
      </c>
      <c r="G2190" s="5813">
        <v>0.20833333333333334</v>
      </c>
      <c r="H2190" s="21" t="s">
        <v>54</v>
      </c>
      <c r="I2190" s="21" t="s">
        <v>96</v>
      </c>
      <c r="J2190" s="21" t="s">
        <v>7819</v>
      </c>
      <c r="K2190" s="5814" t="s">
        <v>7820</v>
      </c>
    </row>
    <row r="2191" spans="1:11">
      <c r="A2191" s="21" t="s">
        <v>3616</v>
      </c>
      <c r="B2191" s="21" t="s">
        <v>7821</v>
      </c>
      <c r="C2191" s="21" t="s">
        <v>8</v>
      </c>
      <c r="D2191" s="21" t="s">
        <v>701</v>
      </c>
      <c r="E2191" s="21" t="s">
        <v>9</v>
      </c>
      <c r="F2191" s="5812">
        <v>5</v>
      </c>
      <c r="G2191" s="5813">
        <v>0.20833333333333334</v>
      </c>
      <c r="H2191" s="21" t="s">
        <v>54</v>
      </c>
      <c r="I2191" s="21" t="s">
        <v>55</v>
      </c>
      <c r="J2191" s="21" t="s">
        <v>7822</v>
      </c>
      <c r="K2191" s="5814" t="s">
        <v>7823</v>
      </c>
    </row>
    <row r="2192" spans="1:11">
      <c r="A2192" s="21" t="s">
        <v>2616</v>
      </c>
      <c r="B2192" s="21" t="s">
        <v>7824</v>
      </c>
      <c r="C2192" s="21" t="s">
        <v>22</v>
      </c>
      <c r="D2192" s="21" t="s">
        <v>701</v>
      </c>
      <c r="E2192" s="21" t="s">
        <v>9</v>
      </c>
      <c r="F2192" s="5812">
        <v>5</v>
      </c>
      <c r="G2192" s="5813">
        <v>0.20833333333333334</v>
      </c>
      <c r="H2192" s="21" t="s">
        <v>54</v>
      </c>
      <c r="I2192" s="21" t="s">
        <v>400</v>
      </c>
      <c r="J2192" s="21" t="s">
        <v>7825</v>
      </c>
      <c r="K2192" s="5814" t="s">
        <v>7826</v>
      </c>
    </row>
    <row r="2193" spans="1:11">
      <c r="A2193" s="21" t="s">
        <v>2663</v>
      </c>
      <c r="B2193" s="21" t="s">
        <v>7827</v>
      </c>
      <c r="C2193" s="21" t="s">
        <v>22</v>
      </c>
      <c r="D2193" s="21" t="s">
        <v>701</v>
      </c>
      <c r="E2193" s="21" t="s">
        <v>9</v>
      </c>
      <c r="F2193" s="5812">
        <v>5</v>
      </c>
      <c r="G2193" s="5813">
        <v>0.20833333333333334</v>
      </c>
      <c r="H2193" s="21" t="s">
        <v>54</v>
      </c>
      <c r="I2193" s="21" t="s">
        <v>11</v>
      </c>
      <c r="J2193" s="21" t="s">
        <v>7828</v>
      </c>
      <c r="K2193" s="5814" t="s">
        <v>7829</v>
      </c>
    </row>
    <row r="2194" spans="1:11">
      <c r="A2194" s="21" t="s">
        <v>2245</v>
      </c>
      <c r="B2194" s="21" t="s">
        <v>7830</v>
      </c>
      <c r="C2194" s="21" t="s">
        <v>22</v>
      </c>
      <c r="D2194" s="21" t="s">
        <v>701</v>
      </c>
      <c r="E2194" s="21" t="s">
        <v>9</v>
      </c>
      <c r="F2194" s="5812">
        <v>5</v>
      </c>
      <c r="G2194" s="5813">
        <v>0.20833333333333334</v>
      </c>
      <c r="H2194" s="21" t="s">
        <v>54</v>
      </c>
      <c r="I2194" s="21" t="s">
        <v>55</v>
      </c>
      <c r="J2194" s="21" t="s">
        <v>7831</v>
      </c>
      <c r="K2194" s="5814" t="s">
        <v>7832</v>
      </c>
    </row>
    <row r="2195" spans="1:11">
      <c r="A2195" s="21" t="s">
        <v>2272</v>
      </c>
      <c r="B2195" s="21" t="s">
        <v>7833</v>
      </c>
      <c r="C2195" s="21" t="s">
        <v>22</v>
      </c>
      <c r="D2195" s="21" t="s">
        <v>701</v>
      </c>
      <c r="E2195" s="21" t="s">
        <v>466</v>
      </c>
      <c r="F2195" s="5812">
        <v>1</v>
      </c>
      <c r="G2195" s="5813">
        <v>7.2916666666666671E-2</v>
      </c>
      <c r="H2195" s="21" t="s">
        <v>10</v>
      </c>
      <c r="I2195" s="21" t="s">
        <v>11</v>
      </c>
      <c r="J2195" s="21" t="s">
        <v>7834</v>
      </c>
      <c r="K2195" s="5814" t="s">
        <v>7835</v>
      </c>
    </row>
    <row r="2196" spans="1:11">
      <c r="A2196" s="21" t="s">
        <v>2555</v>
      </c>
      <c r="B2196" s="21" t="s">
        <v>7836</v>
      </c>
      <c r="C2196" s="21" t="s">
        <v>8</v>
      </c>
      <c r="D2196" s="21" t="s">
        <v>701</v>
      </c>
      <c r="E2196" s="21" t="s">
        <v>466</v>
      </c>
      <c r="F2196" s="5812">
        <v>1</v>
      </c>
      <c r="G2196" s="5813">
        <v>0.16805555555555557</v>
      </c>
      <c r="H2196" s="21" t="s">
        <v>10</v>
      </c>
      <c r="I2196" s="21" t="s">
        <v>5365</v>
      </c>
      <c r="J2196" s="21" t="s">
        <v>7837</v>
      </c>
      <c r="K2196" s="5814" t="s">
        <v>7838</v>
      </c>
    </row>
    <row r="2197" spans="1:11">
      <c r="A2197" s="21" t="s">
        <v>3984</v>
      </c>
      <c r="B2197" s="21" t="s">
        <v>7839</v>
      </c>
      <c r="C2197" s="21" t="s">
        <v>22</v>
      </c>
      <c r="D2197" s="21" t="s">
        <v>701</v>
      </c>
      <c r="E2197" s="21" t="s">
        <v>46</v>
      </c>
      <c r="F2197" s="5812">
        <v>1</v>
      </c>
      <c r="G2197" s="5813">
        <v>4.8611111111111112E-3</v>
      </c>
      <c r="H2197" s="21" t="s">
        <v>10</v>
      </c>
      <c r="I2197" s="21" t="s">
        <v>96</v>
      </c>
      <c r="J2197" s="21" t="s">
        <v>48</v>
      </c>
      <c r="K2197" s="5814" t="s">
        <v>7840</v>
      </c>
    </row>
    <row r="2198" spans="1:11">
      <c r="A2198" s="21" t="s">
        <v>71</v>
      </c>
      <c r="B2198" s="21" t="s">
        <v>939</v>
      </c>
      <c r="C2198" s="21" t="s">
        <v>8</v>
      </c>
      <c r="D2198" s="21" t="s">
        <v>701</v>
      </c>
      <c r="E2198" s="21" t="s">
        <v>46</v>
      </c>
      <c r="F2198" s="5812">
        <v>1</v>
      </c>
      <c r="G2198" s="5813">
        <v>1.3888888888888888E-2</v>
      </c>
      <c r="H2198" s="21" t="s">
        <v>10</v>
      </c>
      <c r="I2198" s="21" t="s">
        <v>55</v>
      </c>
      <c r="J2198" s="21" t="s">
        <v>940</v>
      </c>
      <c r="K2198" s="5814" t="s">
        <v>7841</v>
      </c>
    </row>
    <row r="2199" spans="1:11">
      <c r="A2199" s="21" t="s">
        <v>4568</v>
      </c>
      <c r="B2199" s="21" t="s">
        <v>7842</v>
      </c>
      <c r="C2199" s="21" t="s">
        <v>8</v>
      </c>
      <c r="D2199" s="21" t="s">
        <v>701</v>
      </c>
      <c r="E2199" s="21" t="s">
        <v>46</v>
      </c>
      <c r="F2199" s="5812">
        <v>1</v>
      </c>
      <c r="G2199" s="5813">
        <v>1.4583333333333334E-2</v>
      </c>
      <c r="H2199" s="21" t="s">
        <v>10</v>
      </c>
      <c r="I2199" s="21" t="s">
        <v>226</v>
      </c>
      <c r="J2199" s="21" t="s">
        <v>48</v>
      </c>
      <c r="K2199" s="5814" t="s">
        <v>7843</v>
      </c>
    </row>
    <row r="2200" spans="1:11">
      <c r="A2200" s="21" t="s">
        <v>3119</v>
      </c>
      <c r="B2200" s="21" t="s">
        <v>7844</v>
      </c>
      <c r="C2200" s="21" t="s">
        <v>22</v>
      </c>
      <c r="D2200" s="21" t="s">
        <v>701</v>
      </c>
      <c r="E2200" s="21" t="s">
        <v>46</v>
      </c>
      <c r="F2200" s="5812">
        <v>1</v>
      </c>
      <c r="G2200" s="5813">
        <v>1.5277777777777777E-2</v>
      </c>
      <c r="H2200" s="21" t="s">
        <v>10</v>
      </c>
      <c r="I2200" s="21" t="s">
        <v>23</v>
      </c>
      <c r="J2200" s="21" t="s">
        <v>774</v>
      </c>
      <c r="K2200" s="5814" t="s">
        <v>7845</v>
      </c>
    </row>
    <row r="2201" spans="1:11">
      <c r="A2201" s="21" t="s">
        <v>2327</v>
      </c>
      <c r="B2201" s="21" t="s">
        <v>7846</v>
      </c>
      <c r="C2201" s="21" t="s">
        <v>8</v>
      </c>
      <c r="D2201" s="21" t="s">
        <v>701</v>
      </c>
      <c r="E2201" s="21" t="s">
        <v>46</v>
      </c>
      <c r="F2201" s="5812">
        <v>1</v>
      </c>
      <c r="G2201" s="5813">
        <v>1.5972222222222221E-2</v>
      </c>
      <c r="H2201" s="21" t="s">
        <v>10</v>
      </c>
      <c r="I2201" s="21" t="s">
        <v>226</v>
      </c>
      <c r="J2201" s="21" t="s">
        <v>48</v>
      </c>
      <c r="K2201" s="5814" t="s">
        <v>7847</v>
      </c>
    </row>
    <row r="2202" spans="1:11">
      <c r="A2202" s="21" t="s">
        <v>3584</v>
      </c>
      <c r="B2202" s="21" t="s">
        <v>7848</v>
      </c>
      <c r="C2202" s="21" t="s">
        <v>8</v>
      </c>
      <c r="D2202" s="21" t="s">
        <v>701</v>
      </c>
      <c r="E2202" s="21" t="s">
        <v>46</v>
      </c>
      <c r="F2202" s="5812">
        <v>1</v>
      </c>
      <c r="G2202" s="5813">
        <v>2.0833333333333332E-2</v>
      </c>
      <c r="H2202" s="21" t="s">
        <v>10</v>
      </c>
      <c r="I2202" s="21"/>
      <c r="J2202" s="21" t="s">
        <v>48</v>
      </c>
      <c r="K2202" s="5814" t="s">
        <v>7849</v>
      </c>
    </row>
    <row r="2203" spans="1:11">
      <c r="A2203" s="21" t="s">
        <v>6</v>
      </c>
      <c r="B2203" s="21" t="s">
        <v>704</v>
      </c>
      <c r="C2203" s="21" t="s">
        <v>22</v>
      </c>
      <c r="D2203" s="21" t="s">
        <v>701</v>
      </c>
      <c r="E2203" s="21" t="s">
        <v>46</v>
      </c>
      <c r="F2203" s="5812">
        <v>1</v>
      </c>
      <c r="G2203" s="5813">
        <v>2.2916666666666665E-2</v>
      </c>
      <c r="H2203" s="21" t="s">
        <v>54</v>
      </c>
      <c r="I2203" s="21" t="s">
        <v>11</v>
      </c>
      <c r="J2203" s="21" t="s">
        <v>48</v>
      </c>
      <c r="K2203" s="5814" t="s">
        <v>7850</v>
      </c>
    </row>
    <row r="2204" spans="1:11">
      <c r="A2204" s="21" t="s">
        <v>4379</v>
      </c>
      <c r="B2204" s="21" t="s">
        <v>7851</v>
      </c>
      <c r="C2204" s="21" t="s">
        <v>8</v>
      </c>
      <c r="D2204" s="21" t="s">
        <v>701</v>
      </c>
      <c r="E2204" s="21" t="s">
        <v>46</v>
      </c>
      <c r="F2204" s="5812">
        <v>1</v>
      </c>
      <c r="G2204" s="5813">
        <v>2.361111111111111E-2</v>
      </c>
      <c r="H2204" s="21" t="s">
        <v>10</v>
      </c>
      <c r="I2204" s="21" t="s">
        <v>226</v>
      </c>
      <c r="J2204" s="21" t="s">
        <v>3226</v>
      </c>
      <c r="K2204" s="5814" t="s">
        <v>7852</v>
      </c>
    </row>
    <row r="2205" spans="1:11">
      <c r="A2205" s="21" t="s">
        <v>339</v>
      </c>
      <c r="B2205" s="21" t="s">
        <v>721</v>
      </c>
      <c r="C2205" s="21" t="s">
        <v>22</v>
      </c>
      <c r="D2205" s="21" t="s">
        <v>701</v>
      </c>
      <c r="E2205" s="21" t="s">
        <v>46</v>
      </c>
      <c r="F2205" s="5812">
        <v>1</v>
      </c>
      <c r="G2205" s="5813">
        <v>2.5694444444444443E-2</v>
      </c>
      <c r="H2205" s="21" t="s">
        <v>10</v>
      </c>
      <c r="I2205" s="21" t="s">
        <v>263</v>
      </c>
      <c r="J2205" s="21" t="s">
        <v>722</v>
      </c>
      <c r="K2205" s="5814" t="s">
        <v>723</v>
      </c>
    </row>
    <row r="2206" spans="1:11">
      <c r="A2206" s="21" t="s">
        <v>2495</v>
      </c>
      <c r="B2206" s="21" t="s">
        <v>7853</v>
      </c>
      <c r="C2206" s="21" t="s">
        <v>22</v>
      </c>
      <c r="D2206" s="21" t="s">
        <v>701</v>
      </c>
      <c r="E2206" s="21" t="s">
        <v>46</v>
      </c>
      <c r="F2206" s="5812">
        <v>1</v>
      </c>
      <c r="G2206" s="5813">
        <v>2.5694444444444443E-2</v>
      </c>
      <c r="H2206" s="21" t="s">
        <v>10</v>
      </c>
      <c r="I2206" s="21" t="s">
        <v>89</v>
      </c>
      <c r="J2206" s="21" t="s">
        <v>1076</v>
      </c>
      <c r="K2206" s="5814" t="s">
        <v>7854</v>
      </c>
    </row>
    <row r="2207" spans="1:11">
      <c r="A2207" s="21" t="s">
        <v>3597</v>
      </c>
      <c r="B2207" s="21" t="s">
        <v>7855</v>
      </c>
      <c r="C2207" s="21" t="s">
        <v>22</v>
      </c>
      <c r="D2207" s="21" t="s">
        <v>701</v>
      </c>
      <c r="E2207" s="21" t="s">
        <v>46</v>
      </c>
      <c r="F2207" s="5812">
        <v>1</v>
      </c>
      <c r="G2207" s="5813">
        <v>2.8472222222222222E-2</v>
      </c>
      <c r="H2207" s="21" t="s">
        <v>10</v>
      </c>
      <c r="I2207" s="21" t="s">
        <v>55</v>
      </c>
      <c r="J2207" s="21" t="s">
        <v>97</v>
      </c>
      <c r="K2207" s="5814" t="s">
        <v>7856</v>
      </c>
    </row>
    <row r="2208" spans="1:11">
      <c r="A2208" s="21" t="s">
        <v>2205</v>
      </c>
      <c r="B2208" s="21" t="s">
        <v>7857</v>
      </c>
      <c r="C2208" s="21" t="s">
        <v>22</v>
      </c>
      <c r="D2208" s="21" t="s">
        <v>701</v>
      </c>
      <c r="E2208" s="21" t="s">
        <v>46</v>
      </c>
      <c r="F2208" s="5812">
        <v>1</v>
      </c>
      <c r="G2208" s="5813">
        <v>2.9166666666666667E-2</v>
      </c>
      <c r="H2208" s="21" t="s">
        <v>10</v>
      </c>
      <c r="I2208" s="21" t="s">
        <v>96</v>
      </c>
      <c r="J2208" s="21" t="s">
        <v>48</v>
      </c>
      <c r="K2208" s="5814" t="s">
        <v>7858</v>
      </c>
    </row>
    <row r="2209" spans="1:11">
      <c r="A2209" s="21" t="s">
        <v>3224</v>
      </c>
      <c r="B2209" s="21" t="s">
        <v>7859</v>
      </c>
      <c r="C2209" s="21" t="s">
        <v>8</v>
      </c>
      <c r="D2209" s="21" t="s">
        <v>701</v>
      </c>
      <c r="E2209" s="21" t="s">
        <v>46</v>
      </c>
      <c r="F2209" s="5812">
        <v>1</v>
      </c>
      <c r="G2209" s="5813">
        <v>3.1944444444444442E-2</v>
      </c>
      <c r="H2209" s="21" t="s">
        <v>10</v>
      </c>
      <c r="I2209" s="21" t="s">
        <v>23</v>
      </c>
      <c r="J2209" s="21" t="s">
        <v>48</v>
      </c>
      <c r="K2209" s="5814" t="s">
        <v>7860</v>
      </c>
    </row>
    <row r="2210" spans="1:11">
      <c r="A2210" s="21" t="s">
        <v>2192</v>
      </c>
      <c r="B2210" s="21" t="s">
        <v>7861</v>
      </c>
      <c r="C2210" s="21" t="s">
        <v>8</v>
      </c>
      <c r="D2210" s="21" t="s">
        <v>701</v>
      </c>
      <c r="E2210" s="21" t="s">
        <v>46</v>
      </c>
      <c r="F2210" s="5812">
        <v>1</v>
      </c>
      <c r="G2210" s="5813">
        <v>3.1944444444444442E-2</v>
      </c>
      <c r="H2210" s="21" t="s">
        <v>10</v>
      </c>
      <c r="I2210" s="21" t="s">
        <v>2194</v>
      </c>
      <c r="J2210" s="21" t="s">
        <v>97</v>
      </c>
      <c r="K2210" s="5814" t="s">
        <v>7862</v>
      </c>
    </row>
    <row r="2211" spans="1:11">
      <c r="A2211" s="21" t="s">
        <v>2655</v>
      </c>
      <c r="B2211" s="21" t="s">
        <v>7863</v>
      </c>
      <c r="C2211" s="21" t="s">
        <v>22</v>
      </c>
      <c r="D2211" s="21" t="s">
        <v>701</v>
      </c>
      <c r="E2211" s="21" t="s">
        <v>46</v>
      </c>
      <c r="F2211" s="5812">
        <v>1</v>
      </c>
      <c r="G2211" s="5813">
        <v>3.6805555555555557E-2</v>
      </c>
      <c r="H2211" s="21" t="s">
        <v>10</v>
      </c>
      <c r="I2211" s="21" t="s">
        <v>2149</v>
      </c>
      <c r="J2211" s="21" t="s">
        <v>3004</v>
      </c>
      <c r="K2211" s="5814" t="s">
        <v>7864</v>
      </c>
    </row>
    <row r="2212" spans="1:11">
      <c r="A2212" s="21" t="s">
        <v>4249</v>
      </c>
      <c r="B2212" s="21" t="s">
        <v>7865</v>
      </c>
      <c r="C2212" s="21" t="s">
        <v>22</v>
      </c>
      <c r="D2212" s="21" t="s">
        <v>701</v>
      </c>
      <c r="E2212" s="21" t="s">
        <v>46</v>
      </c>
      <c r="F2212" s="5812">
        <v>1</v>
      </c>
      <c r="G2212" s="5813">
        <v>3.6805555555555557E-2</v>
      </c>
      <c r="H2212" s="21" t="s">
        <v>10</v>
      </c>
      <c r="I2212" s="21" t="s">
        <v>194</v>
      </c>
      <c r="J2212" s="21" t="s">
        <v>7866</v>
      </c>
      <c r="K2212" s="5814" t="s">
        <v>7867</v>
      </c>
    </row>
    <row r="2213" spans="1:11">
      <c r="A2213" s="21" t="s">
        <v>3345</v>
      </c>
      <c r="B2213" s="21" t="s">
        <v>7868</v>
      </c>
      <c r="C2213" s="21" t="s">
        <v>22</v>
      </c>
      <c r="D2213" s="21" t="s">
        <v>701</v>
      </c>
      <c r="E2213" s="21" t="s">
        <v>46</v>
      </c>
      <c r="F2213" s="5812">
        <v>1</v>
      </c>
      <c r="G2213" s="5813">
        <v>3.7499999999999999E-2</v>
      </c>
      <c r="H2213" s="21" t="s">
        <v>10</v>
      </c>
      <c r="I2213" s="21" t="s">
        <v>55</v>
      </c>
      <c r="J2213" s="21" t="s">
        <v>97</v>
      </c>
      <c r="K2213" s="5814" t="s">
        <v>7869</v>
      </c>
    </row>
    <row r="2214" spans="1:11">
      <c r="A2214" s="21" t="s">
        <v>3125</v>
      </c>
      <c r="B2214" s="21" t="s">
        <v>7870</v>
      </c>
      <c r="C2214" s="21" t="s">
        <v>8</v>
      </c>
      <c r="D2214" s="21" t="s">
        <v>701</v>
      </c>
      <c r="E2214" s="21" t="s">
        <v>46</v>
      </c>
      <c r="F2214" s="5812">
        <v>1</v>
      </c>
      <c r="G2214" s="5813">
        <v>3.9583333333333331E-2</v>
      </c>
      <c r="H2214" s="21" t="s">
        <v>10</v>
      </c>
      <c r="I2214" s="21" t="s">
        <v>226</v>
      </c>
      <c r="J2214" s="21" t="s">
        <v>48</v>
      </c>
      <c r="K2214" s="5814" t="s">
        <v>7871</v>
      </c>
    </row>
    <row r="2215" spans="1:11">
      <c r="A2215" s="21" t="s">
        <v>4434</v>
      </c>
      <c r="B2215" s="21" t="s">
        <v>7872</v>
      </c>
      <c r="C2215" s="21" t="s">
        <v>22</v>
      </c>
      <c r="D2215" s="21" t="s">
        <v>701</v>
      </c>
      <c r="E2215" s="21" t="s">
        <v>46</v>
      </c>
      <c r="F2215" s="5812">
        <v>1</v>
      </c>
      <c r="G2215" s="5813">
        <v>3.9583333333333331E-2</v>
      </c>
      <c r="H2215" s="21" t="s">
        <v>10</v>
      </c>
      <c r="I2215" s="21" t="s">
        <v>55</v>
      </c>
      <c r="J2215" s="21" t="s">
        <v>97</v>
      </c>
      <c r="K2215" s="5814" t="s">
        <v>7873</v>
      </c>
    </row>
    <row r="2216" spans="1:11">
      <c r="A2216" s="21" t="s">
        <v>3354</v>
      </c>
      <c r="B2216" s="21" t="s">
        <v>7874</v>
      </c>
      <c r="C2216" s="21" t="s">
        <v>22</v>
      </c>
      <c r="D2216" s="21" t="s">
        <v>701</v>
      </c>
      <c r="E2216" s="21" t="s">
        <v>46</v>
      </c>
      <c r="F2216" s="5812">
        <v>1</v>
      </c>
      <c r="G2216" s="5813">
        <v>4.1666666666666664E-2</v>
      </c>
      <c r="H2216" s="21" t="s">
        <v>10</v>
      </c>
      <c r="I2216" s="21" t="s">
        <v>226</v>
      </c>
      <c r="J2216" s="21" t="s">
        <v>48</v>
      </c>
      <c r="K2216" s="5814" t="s">
        <v>7875</v>
      </c>
    </row>
    <row r="2217" spans="1:11">
      <c r="A2217" s="21" t="s">
        <v>37</v>
      </c>
      <c r="B2217" s="21" t="s">
        <v>765</v>
      </c>
      <c r="C2217" s="21" t="s">
        <v>8</v>
      </c>
      <c r="D2217" s="21" t="s">
        <v>701</v>
      </c>
      <c r="E2217" s="21" t="s">
        <v>46</v>
      </c>
      <c r="F2217" s="5812">
        <v>1</v>
      </c>
      <c r="G2217" s="5813">
        <v>4.3749999999999997E-2</v>
      </c>
      <c r="H2217" s="21" t="s">
        <v>10</v>
      </c>
      <c r="I2217" s="21" t="s">
        <v>226</v>
      </c>
      <c r="J2217" s="21" t="s">
        <v>127</v>
      </c>
      <c r="K2217" s="5814" t="s">
        <v>766</v>
      </c>
    </row>
    <row r="2218" spans="1:11">
      <c r="A2218" s="21" t="s">
        <v>207</v>
      </c>
      <c r="B2218" s="21" t="s">
        <v>910</v>
      </c>
      <c r="C2218" s="21" t="s">
        <v>22</v>
      </c>
      <c r="D2218" s="21" t="s">
        <v>701</v>
      </c>
      <c r="E2218" s="21" t="s">
        <v>46</v>
      </c>
      <c r="F2218" s="5812">
        <v>1</v>
      </c>
      <c r="G2218" s="5813">
        <v>4.4444444444444446E-2</v>
      </c>
      <c r="H2218" s="21" t="s">
        <v>54</v>
      </c>
      <c r="I2218" s="21" t="s">
        <v>39</v>
      </c>
      <c r="J2218" s="21" t="s">
        <v>48</v>
      </c>
      <c r="K2218" s="5814" t="s">
        <v>911</v>
      </c>
    </row>
    <row r="2219" spans="1:11">
      <c r="A2219" s="21" t="s">
        <v>2600</v>
      </c>
      <c r="B2219" s="21" t="s">
        <v>7876</v>
      </c>
      <c r="C2219" s="21" t="s">
        <v>8</v>
      </c>
      <c r="D2219" s="21" t="s">
        <v>701</v>
      </c>
      <c r="E2219" s="21" t="s">
        <v>46</v>
      </c>
      <c r="F2219" s="5812">
        <v>1</v>
      </c>
      <c r="G2219" s="5813">
        <v>4.6527777777777779E-2</v>
      </c>
      <c r="H2219" s="21" t="s">
        <v>10</v>
      </c>
      <c r="I2219" s="21" t="s">
        <v>96</v>
      </c>
      <c r="J2219" s="21" t="s">
        <v>97</v>
      </c>
      <c r="K2219" s="5814" t="s">
        <v>7877</v>
      </c>
    </row>
    <row r="2220" spans="1:11">
      <c r="A2220" s="21" t="s">
        <v>2216</v>
      </c>
      <c r="B2220" s="21" t="s">
        <v>7878</v>
      </c>
      <c r="C2220" s="21" t="s">
        <v>22</v>
      </c>
      <c r="D2220" s="21" t="s">
        <v>701</v>
      </c>
      <c r="E2220" s="21" t="s">
        <v>46</v>
      </c>
      <c r="F2220" s="5812">
        <v>1</v>
      </c>
      <c r="G2220" s="5813">
        <v>4.6527777777777779E-2</v>
      </c>
      <c r="H2220" s="21" t="s">
        <v>10</v>
      </c>
      <c r="I2220" s="21" t="s">
        <v>4853</v>
      </c>
      <c r="J2220" s="21" t="s">
        <v>48</v>
      </c>
      <c r="K2220" s="5814" t="s">
        <v>7879</v>
      </c>
    </row>
    <row r="2221" spans="1:11">
      <c r="A2221" s="21" t="s">
        <v>3311</v>
      </c>
      <c r="B2221" s="21" t="s">
        <v>7880</v>
      </c>
      <c r="C2221" s="21" t="s">
        <v>8</v>
      </c>
      <c r="D2221" s="21" t="s">
        <v>701</v>
      </c>
      <c r="E2221" s="21" t="s">
        <v>46</v>
      </c>
      <c r="F2221" s="5812">
        <v>1</v>
      </c>
      <c r="G2221" s="5813">
        <v>4.8611111111111112E-2</v>
      </c>
      <c r="H2221" s="21" t="s">
        <v>10</v>
      </c>
      <c r="I2221" s="21" t="s">
        <v>39</v>
      </c>
      <c r="J2221" s="21" t="s">
        <v>48</v>
      </c>
      <c r="K2221" s="5814" t="s">
        <v>7881</v>
      </c>
    </row>
    <row r="2222" spans="1:11">
      <c r="A2222" s="21" t="s">
        <v>2521</v>
      </c>
      <c r="B2222" s="21" t="s">
        <v>7882</v>
      </c>
      <c r="C2222" s="21" t="s">
        <v>8</v>
      </c>
      <c r="D2222" s="21" t="s">
        <v>701</v>
      </c>
      <c r="E2222" s="21" t="s">
        <v>46</v>
      </c>
      <c r="F2222" s="5812">
        <v>1</v>
      </c>
      <c r="G2222" s="5813">
        <v>0.05</v>
      </c>
      <c r="H2222" s="21" t="s">
        <v>10</v>
      </c>
      <c r="I2222" s="21" t="s">
        <v>96</v>
      </c>
      <c r="J2222" s="21" t="s">
        <v>722</v>
      </c>
      <c r="K2222" s="5814" t="s">
        <v>7883</v>
      </c>
    </row>
    <row r="2223" spans="1:11">
      <c r="A2223" s="21" t="s">
        <v>3446</v>
      </c>
      <c r="B2223" s="21" t="s">
        <v>7884</v>
      </c>
      <c r="C2223" s="21" t="s">
        <v>8</v>
      </c>
      <c r="D2223" s="21" t="s">
        <v>701</v>
      </c>
      <c r="E2223" s="21" t="s">
        <v>46</v>
      </c>
      <c r="F2223" s="5812">
        <v>1</v>
      </c>
      <c r="G2223" s="5813">
        <v>0.05</v>
      </c>
      <c r="H2223" s="21" t="s">
        <v>10</v>
      </c>
      <c r="I2223" s="21" t="s">
        <v>2713</v>
      </c>
      <c r="J2223" s="21" t="s">
        <v>4586</v>
      </c>
      <c r="K2223" s="5814" t="s">
        <v>7885</v>
      </c>
    </row>
    <row r="2224" spans="1:11">
      <c r="A2224" s="21" t="s">
        <v>3787</v>
      </c>
      <c r="B2224" s="21" t="s">
        <v>7886</v>
      </c>
      <c r="C2224" s="21" t="s">
        <v>22</v>
      </c>
      <c r="D2224" s="21" t="s">
        <v>701</v>
      </c>
      <c r="E2224" s="21" t="s">
        <v>46</v>
      </c>
      <c r="F2224" s="5812">
        <v>1</v>
      </c>
      <c r="G2224" s="5813">
        <v>5.0694444444444445E-2</v>
      </c>
      <c r="H2224" s="21" t="s">
        <v>10</v>
      </c>
      <c r="I2224" s="21" t="s">
        <v>2297</v>
      </c>
      <c r="J2224" s="21" t="s">
        <v>518</v>
      </c>
      <c r="K2224" s="5814" t="s">
        <v>7887</v>
      </c>
    </row>
    <row r="2225" spans="1:11">
      <c r="A2225" s="21" t="s">
        <v>2420</v>
      </c>
      <c r="B2225" s="21" t="s">
        <v>7888</v>
      </c>
      <c r="C2225" s="21" t="s">
        <v>8</v>
      </c>
      <c r="D2225" s="21" t="s">
        <v>701</v>
      </c>
      <c r="E2225" s="21" t="s">
        <v>46</v>
      </c>
      <c r="F2225" s="5812">
        <v>1</v>
      </c>
      <c r="G2225" s="5813">
        <v>5.1388888888888887E-2</v>
      </c>
      <c r="H2225" s="21" t="s">
        <v>10</v>
      </c>
      <c r="I2225" s="21" t="s">
        <v>47</v>
      </c>
      <c r="J2225" s="21" t="s">
        <v>48</v>
      </c>
      <c r="K2225" s="5814" t="s">
        <v>7889</v>
      </c>
    </row>
    <row r="2226" spans="1:11">
      <c r="A2226" s="21" t="s">
        <v>3671</v>
      </c>
      <c r="B2226" s="21" t="s">
        <v>7890</v>
      </c>
      <c r="C2226" s="21" t="s">
        <v>22</v>
      </c>
      <c r="D2226" s="21" t="s">
        <v>701</v>
      </c>
      <c r="E2226" s="21" t="s">
        <v>46</v>
      </c>
      <c r="F2226" s="5812">
        <v>1</v>
      </c>
      <c r="G2226" s="5813">
        <v>5.2083333333333336E-2</v>
      </c>
      <c r="H2226" s="21" t="s">
        <v>10</v>
      </c>
      <c r="I2226" s="21" t="s">
        <v>47</v>
      </c>
      <c r="J2226" s="21" t="s">
        <v>430</v>
      </c>
      <c r="K2226" s="5814" t="s">
        <v>7891</v>
      </c>
    </row>
    <row r="2227" spans="1:11">
      <c r="A2227" s="21" t="s">
        <v>2982</v>
      </c>
      <c r="B2227" s="21" t="s">
        <v>7892</v>
      </c>
      <c r="C2227" s="21" t="s">
        <v>8</v>
      </c>
      <c r="D2227" s="21" t="s">
        <v>701</v>
      </c>
      <c r="E2227" s="21" t="s">
        <v>46</v>
      </c>
      <c r="F2227" s="5812">
        <v>1</v>
      </c>
      <c r="G2227" s="5813">
        <v>5.5555555555555552E-2</v>
      </c>
      <c r="H2227" s="21" t="s">
        <v>10</v>
      </c>
      <c r="I2227" s="21" t="s">
        <v>39</v>
      </c>
      <c r="J2227" s="21" t="s">
        <v>48</v>
      </c>
      <c r="K2227" s="5814" t="s">
        <v>7893</v>
      </c>
    </row>
    <row r="2228" spans="1:11">
      <c r="A2228" s="21" t="s">
        <v>4863</v>
      </c>
      <c r="B2228" s="21" t="s">
        <v>7894</v>
      </c>
      <c r="C2228" s="21" t="s">
        <v>8</v>
      </c>
      <c r="D2228" s="21" t="s">
        <v>701</v>
      </c>
      <c r="E2228" s="21" t="s">
        <v>46</v>
      </c>
      <c r="F2228" s="5812">
        <v>1</v>
      </c>
      <c r="G2228" s="5813">
        <v>5.8333333333333334E-2</v>
      </c>
      <c r="H2228" s="21" t="s">
        <v>10</v>
      </c>
      <c r="I2228" s="21" t="s">
        <v>2713</v>
      </c>
      <c r="J2228" s="21" t="s">
        <v>406</v>
      </c>
      <c r="K2228" s="5814" t="s">
        <v>7895</v>
      </c>
    </row>
    <row r="2229" spans="1:11">
      <c r="A2229" s="21" t="s">
        <v>2995</v>
      </c>
      <c r="B2229" s="21" t="s">
        <v>7896</v>
      </c>
      <c r="C2229" s="21" t="s">
        <v>8</v>
      </c>
      <c r="D2229" s="21" t="s">
        <v>701</v>
      </c>
      <c r="E2229" s="21" t="s">
        <v>46</v>
      </c>
      <c r="F2229" s="5812">
        <v>1</v>
      </c>
      <c r="G2229" s="5813">
        <v>5.9027777777777776E-2</v>
      </c>
      <c r="H2229" s="21" t="s">
        <v>10</v>
      </c>
      <c r="I2229" s="21" t="s">
        <v>23</v>
      </c>
      <c r="J2229" s="21" t="s">
        <v>97</v>
      </c>
      <c r="K2229" s="5814" t="s">
        <v>7897</v>
      </c>
    </row>
    <row r="2230" spans="1:11">
      <c r="A2230" s="21" t="s">
        <v>4132</v>
      </c>
      <c r="B2230" s="21" t="s">
        <v>7898</v>
      </c>
      <c r="C2230" s="21" t="s">
        <v>8</v>
      </c>
      <c r="D2230" s="21" t="s">
        <v>701</v>
      </c>
      <c r="E2230" s="21" t="s">
        <v>46</v>
      </c>
      <c r="F2230" s="5812">
        <v>1</v>
      </c>
      <c r="G2230" s="5813">
        <v>5.9722222222222225E-2</v>
      </c>
      <c r="H2230" s="21" t="s">
        <v>10</v>
      </c>
      <c r="I2230" s="21" t="s">
        <v>233</v>
      </c>
      <c r="J2230" s="21" t="s">
        <v>48</v>
      </c>
      <c r="K2230" s="5814" t="s">
        <v>7899</v>
      </c>
    </row>
    <row r="2231" spans="1:11">
      <c r="A2231" s="21" t="s">
        <v>4177</v>
      </c>
      <c r="B2231" s="21" t="s">
        <v>7900</v>
      </c>
      <c r="C2231" s="21" t="s">
        <v>8</v>
      </c>
      <c r="D2231" s="21" t="s">
        <v>701</v>
      </c>
      <c r="E2231" s="21" t="s">
        <v>46</v>
      </c>
      <c r="F2231" s="5812">
        <v>1</v>
      </c>
      <c r="G2231" s="5813">
        <v>5.9722222222222225E-2</v>
      </c>
      <c r="H2231" s="21" t="s">
        <v>10</v>
      </c>
      <c r="I2231" s="21" t="s">
        <v>4179</v>
      </c>
      <c r="J2231" s="21" t="s">
        <v>7901</v>
      </c>
      <c r="K2231" s="5814" t="s">
        <v>7902</v>
      </c>
    </row>
    <row r="2232" spans="1:11">
      <c r="A2232" s="21" t="s">
        <v>2835</v>
      </c>
      <c r="B2232" s="21" t="s">
        <v>7903</v>
      </c>
      <c r="C2232" s="21" t="s">
        <v>22</v>
      </c>
      <c r="D2232" s="21" t="s">
        <v>701</v>
      </c>
      <c r="E2232" s="21" t="s">
        <v>46</v>
      </c>
      <c r="F2232" s="5812">
        <v>1</v>
      </c>
      <c r="G2232" s="5813">
        <v>5.9722222222222225E-2</v>
      </c>
      <c r="H2232" s="21" t="s">
        <v>10</v>
      </c>
      <c r="I2232" s="21" t="s">
        <v>39</v>
      </c>
      <c r="J2232" s="21" t="s">
        <v>97</v>
      </c>
      <c r="K2232" s="5814" t="s">
        <v>7904</v>
      </c>
    </row>
    <row r="2233" spans="1:11">
      <c r="A2233" s="21" t="s">
        <v>3089</v>
      </c>
      <c r="B2233" s="21" t="s">
        <v>7905</v>
      </c>
      <c r="C2233" s="21" t="s">
        <v>8</v>
      </c>
      <c r="D2233" s="21" t="s">
        <v>701</v>
      </c>
      <c r="E2233" s="21" t="s">
        <v>46</v>
      </c>
      <c r="F2233" s="5812">
        <v>1</v>
      </c>
      <c r="G2233" s="5813">
        <v>6.0416666666666667E-2</v>
      </c>
      <c r="H2233" s="21" t="s">
        <v>54</v>
      </c>
      <c r="I2233" s="21" t="s">
        <v>187</v>
      </c>
      <c r="J2233" s="21" t="s">
        <v>406</v>
      </c>
      <c r="K2233" s="5814" t="s">
        <v>7906</v>
      </c>
    </row>
    <row r="2234" spans="1:11">
      <c r="A2234" s="21" t="s">
        <v>4289</v>
      </c>
      <c r="B2234" s="21" t="s">
        <v>7907</v>
      </c>
      <c r="C2234" s="21" t="s">
        <v>22</v>
      </c>
      <c r="D2234" s="21" t="s">
        <v>701</v>
      </c>
      <c r="E2234" s="21" t="s">
        <v>46</v>
      </c>
      <c r="F2234" s="5812">
        <v>1</v>
      </c>
      <c r="G2234" s="5813">
        <v>6.25E-2</v>
      </c>
      <c r="H2234" s="21" t="s">
        <v>10</v>
      </c>
      <c r="I2234" s="21" t="s">
        <v>2269</v>
      </c>
      <c r="J2234" s="21" t="s">
        <v>48</v>
      </c>
      <c r="K2234" s="5814" t="s">
        <v>7908</v>
      </c>
    </row>
    <row r="2235" spans="1:11">
      <c r="A2235" s="21" t="s">
        <v>223</v>
      </c>
      <c r="B2235" s="21" t="s">
        <v>924</v>
      </c>
      <c r="C2235" s="21" t="s">
        <v>22</v>
      </c>
      <c r="D2235" s="21" t="s">
        <v>701</v>
      </c>
      <c r="E2235" s="21" t="s">
        <v>46</v>
      </c>
      <c r="F2235" s="5812">
        <v>1</v>
      </c>
      <c r="G2235" s="5813">
        <v>6.3194444444444442E-2</v>
      </c>
      <c r="H2235" s="21" t="s">
        <v>10</v>
      </c>
      <c r="I2235" s="21" t="s">
        <v>89</v>
      </c>
      <c r="J2235" s="21" t="s">
        <v>722</v>
      </c>
      <c r="K2235" s="5814" t="s">
        <v>925</v>
      </c>
    </row>
    <row r="2236" spans="1:11">
      <c r="A2236" s="21" t="s">
        <v>3613</v>
      </c>
      <c r="B2236" s="21" t="s">
        <v>7909</v>
      </c>
      <c r="C2236" s="21" t="s">
        <v>8</v>
      </c>
      <c r="D2236" s="21" t="s">
        <v>701</v>
      </c>
      <c r="E2236" s="21" t="s">
        <v>46</v>
      </c>
      <c r="F2236" s="5812">
        <v>1</v>
      </c>
      <c r="G2236" s="5813">
        <v>6.458333333333334E-2</v>
      </c>
      <c r="H2236" s="21" t="s">
        <v>10</v>
      </c>
      <c r="I2236" s="21" t="s">
        <v>55</v>
      </c>
      <c r="J2236" s="21" t="s">
        <v>97</v>
      </c>
      <c r="K2236" s="5814" t="s">
        <v>7910</v>
      </c>
    </row>
    <row r="2237" spans="1:11">
      <c r="A2237" s="21" t="s">
        <v>2992</v>
      </c>
      <c r="B2237" s="21" t="s">
        <v>7911</v>
      </c>
      <c r="C2237" s="21" t="s">
        <v>8</v>
      </c>
      <c r="D2237" s="21" t="s">
        <v>701</v>
      </c>
      <c r="E2237" s="21" t="s">
        <v>46</v>
      </c>
      <c r="F2237" s="5812">
        <v>1</v>
      </c>
      <c r="G2237" s="5813">
        <v>6.458333333333334E-2</v>
      </c>
      <c r="H2237" s="21" t="s">
        <v>10</v>
      </c>
      <c r="I2237" s="21" t="s">
        <v>55</v>
      </c>
      <c r="J2237" s="21" t="s">
        <v>258</v>
      </c>
      <c r="K2237" s="5814" t="s">
        <v>7912</v>
      </c>
    </row>
    <row r="2238" spans="1:11">
      <c r="A2238" s="21" t="s">
        <v>2075</v>
      </c>
      <c r="B2238" s="21" t="s">
        <v>7913</v>
      </c>
      <c r="C2238" s="21" t="s">
        <v>22</v>
      </c>
      <c r="D2238" s="21" t="s">
        <v>701</v>
      </c>
      <c r="E2238" s="21" t="s">
        <v>46</v>
      </c>
      <c r="F2238" s="5812">
        <v>1</v>
      </c>
      <c r="G2238" s="5813">
        <v>6.5972222222222224E-2</v>
      </c>
      <c r="H2238" s="21" t="s">
        <v>54</v>
      </c>
      <c r="I2238" s="21" t="s">
        <v>226</v>
      </c>
      <c r="J2238" s="21" t="s">
        <v>97</v>
      </c>
      <c r="K2238" s="5814" t="s">
        <v>7914</v>
      </c>
    </row>
    <row r="2239" spans="1:11">
      <c r="A2239" s="21" t="s">
        <v>3039</v>
      </c>
      <c r="B2239" s="21" t="s">
        <v>7915</v>
      </c>
      <c r="C2239" s="21" t="s">
        <v>22</v>
      </c>
      <c r="D2239" s="21" t="s">
        <v>701</v>
      </c>
      <c r="E2239" s="21" t="s">
        <v>46</v>
      </c>
      <c r="F2239" s="5812">
        <v>1</v>
      </c>
      <c r="G2239" s="5813">
        <v>6.5972222222222224E-2</v>
      </c>
      <c r="H2239" s="21" t="s">
        <v>10</v>
      </c>
      <c r="I2239" s="21" t="s">
        <v>654</v>
      </c>
      <c r="J2239" s="21" t="s">
        <v>48</v>
      </c>
      <c r="K2239" s="5814" t="s">
        <v>7916</v>
      </c>
    </row>
    <row r="2240" spans="1:11">
      <c r="A2240" s="21" t="s">
        <v>3787</v>
      </c>
      <c r="B2240" s="21" t="s">
        <v>7917</v>
      </c>
      <c r="C2240" s="21" t="s">
        <v>8</v>
      </c>
      <c r="D2240" s="21" t="s">
        <v>701</v>
      </c>
      <c r="E2240" s="21" t="s">
        <v>46</v>
      </c>
      <c r="F2240" s="5812">
        <v>1</v>
      </c>
      <c r="G2240" s="5813">
        <v>6.6666666666666666E-2</v>
      </c>
      <c r="H2240" s="21" t="s">
        <v>10</v>
      </c>
      <c r="I2240" s="21" t="s">
        <v>5482</v>
      </c>
      <c r="J2240" s="21" t="s">
        <v>48</v>
      </c>
      <c r="K2240" s="5814" t="s">
        <v>7918</v>
      </c>
    </row>
    <row r="2241" spans="1:11">
      <c r="A2241" s="21" t="s">
        <v>2780</v>
      </c>
      <c r="B2241" s="21" t="s">
        <v>7919</v>
      </c>
      <c r="C2241" s="21" t="s">
        <v>8</v>
      </c>
      <c r="D2241" s="21" t="s">
        <v>701</v>
      </c>
      <c r="E2241" s="21" t="s">
        <v>46</v>
      </c>
      <c r="F2241" s="5812">
        <v>1</v>
      </c>
      <c r="G2241" s="5813">
        <v>6.805555555555555E-2</v>
      </c>
      <c r="H2241" s="21" t="s">
        <v>10</v>
      </c>
      <c r="I2241" s="21" t="s">
        <v>2297</v>
      </c>
      <c r="J2241" s="21" t="s">
        <v>48</v>
      </c>
      <c r="K2241" s="5814" t="s">
        <v>7920</v>
      </c>
    </row>
    <row r="2242" spans="1:11">
      <c r="A2242" s="21" t="s">
        <v>2123</v>
      </c>
      <c r="B2242" s="21" t="s">
        <v>7921</v>
      </c>
      <c r="C2242" s="21" t="s">
        <v>8</v>
      </c>
      <c r="D2242" s="21" t="s">
        <v>701</v>
      </c>
      <c r="E2242" s="21" t="s">
        <v>46</v>
      </c>
      <c r="F2242" s="5812">
        <v>1</v>
      </c>
      <c r="G2242" s="5813">
        <v>6.9444444444444448E-2</v>
      </c>
      <c r="H2242" s="21" t="s">
        <v>10</v>
      </c>
      <c r="I2242" s="21" t="s">
        <v>39</v>
      </c>
      <c r="J2242" s="21" t="s">
        <v>127</v>
      </c>
      <c r="K2242" s="5814" t="s">
        <v>7922</v>
      </c>
    </row>
    <row r="2243" spans="1:11">
      <c r="A2243" s="21" t="s">
        <v>2808</v>
      </c>
      <c r="B2243" s="21" t="s">
        <v>7923</v>
      </c>
      <c r="C2243" s="21" t="s">
        <v>22</v>
      </c>
      <c r="D2243" s="21" t="s">
        <v>701</v>
      </c>
      <c r="E2243" s="21" t="s">
        <v>46</v>
      </c>
      <c r="F2243" s="5812">
        <v>1</v>
      </c>
      <c r="G2243" s="5813">
        <v>6.9444444444444448E-2</v>
      </c>
      <c r="H2243" s="21" t="s">
        <v>10</v>
      </c>
      <c r="I2243" s="21" t="s">
        <v>194</v>
      </c>
      <c r="J2243" s="21" t="s">
        <v>3094</v>
      </c>
      <c r="K2243" s="5814" t="s">
        <v>7924</v>
      </c>
    </row>
    <row r="2244" spans="1:11">
      <c r="A2244" s="21" t="s">
        <v>207</v>
      </c>
      <c r="B2244" s="21" t="s">
        <v>773</v>
      </c>
      <c r="C2244" s="21" t="s">
        <v>8</v>
      </c>
      <c r="D2244" s="21" t="s">
        <v>701</v>
      </c>
      <c r="E2244" s="21" t="s">
        <v>46</v>
      </c>
      <c r="F2244" s="5812">
        <v>1</v>
      </c>
      <c r="G2244" s="5813">
        <v>7.013888888888889E-2</v>
      </c>
      <c r="H2244" s="21" t="s">
        <v>10</v>
      </c>
      <c r="I2244" s="21" t="s">
        <v>39</v>
      </c>
      <c r="J2244" s="21" t="s">
        <v>774</v>
      </c>
      <c r="K2244" s="5814" t="s">
        <v>775</v>
      </c>
    </row>
    <row r="2245" spans="1:11">
      <c r="A2245" s="21" t="s">
        <v>52</v>
      </c>
      <c r="B2245" s="21" t="s">
        <v>769</v>
      </c>
      <c r="C2245" s="21" t="s">
        <v>8</v>
      </c>
      <c r="D2245" s="21" t="s">
        <v>701</v>
      </c>
      <c r="E2245" s="21" t="s">
        <v>46</v>
      </c>
      <c r="F2245" s="5812">
        <v>1</v>
      </c>
      <c r="G2245" s="5813">
        <v>7.2222222222222215E-2</v>
      </c>
      <c r="H2245" s="21" t="s">
        <v>10</v>
      </c>
      <c r="I2245" s="21" t="s">
        <v>11</v>
      </c>
      <c r="J2245" s="21" t="s">
        <v>97</v>
      </c>
      <c r="K2245" s="5814" t="s">
        <v>770</v>
      </c>
    </row>
    <row r="2246" spans="1:11">
      <c r="A2246" s="21" t="s">
        <v>2824</v>
      </c>
      <c r="B2246" s="21" t="s">
        <v>7925</v>
      </c>
      <c r="C2246" s="21" t="s">
        <v>8</v>
      </c>
      <c r="D2246" s="21" t="s">
        <v>701</v>
      </c>
      <c r="E2246" s="21" t="s">
        <v>46</v>
      </c>
      <c r="F2246" s="5812">
        <v>1</v>
      </c>
      <c r="G2246" s="5813">
        <v>7.2916666666666671E-2</v>
      </c>
      <c r="H2246" s="21" t="s">
        <v>10</v>
      </c>
      <c r="I2246" s="21" t="s">
        <v>7926</v>
      </c>
      <c r="J2246" s="21" t="s">
        <v>406</v>
      </c>
      <c r="K2246" s="5814" t="s">
        <v>7927</v>
      </c>
    </row>
    <row r="2247" spans="1:11">
      <c r="A2247" s="21" t="s">
        <v>3009</v>
      </c>
      <c r="B2247" s="21" t="s">
        <v>7928</v>
      </c>
      <c r="C2247" s="21" t="s">
        <v>22</v>
      </c>
      <c r="D2247" s="21" t="s">
        <v>701</v>
      </c>
      <c r="E2247" s="21" t="s">
        <v>46</v>
      </c>
      <c r="F2247" s="5812">
        <v>1</v>
      </c>
      <c r="G2247" s="5813">
        <v>7.3611111111111113E-2</v>
      </c>
      <c r="H2247" s="21" t="s">
        <v>10</v>
      </c>
      <c r="I2247" s="21" t="s">
        <v>39</v>
      </c>
      <c r="J2247" s="21" t="s">
        <v>97</v>
      </c>
      <c r="K2247" s="5814" t="s">
        <v>7929</v>
      </c>
    </row>
    <row r="2248" spans="1:11">
      <c r="A2248" s="21" t="s">
        <v>4434</v>
      </c>
      <c r="B2248" s="21" t="s">
        <v>7930</v>
      </c>
      <c r="C2248" s="21" t="s">
        <v>8</v>
      </c>
      <c r="D2248" s="21" t="s">
        <v>701</v>
      </c>
      <c r="E2248" s="21" t="s">
        <v>46</v>
      </c>
      <c r="F2248" s="5812">
        <v>1</v>
      </c>
      <c r="G2248" s="5813">
        <v>7.3611111111111113E-2</v>
      </c>
      <c r="H2248" s="21" t="s">
        <v>10</v>
      </c>
      <c r="I2248" s="21" t="s">
        <v>2181</v>
      </c>
      <c r="J2248" s="21" t="s">
        <v>48</v>
      </c>
      <c r="K2248" s="5814" t="s">
        <v>7931</v>
      </c>
    </row>
    <row r="2249" spans="1:11">
      <c r="A2249" s="21" t="s">
        <v>3249</v>
      </c>
      <c r="B2249" s="21" t="s">
        <v>7932</v>
      </c>
      <c r="C2249" s="21" t="s">
        <v>8</v>
      </c>
      <c r="D2249" s="21" t="s">
        <v>701</v>
      </c>
      <c r="E2249" s="21" t="s">
        <v>46</v>
      </c>
      <c r="F2249" s="5812">
        <v>1</v>
      </c>
      <c r="G2249" s="5813">
        <v>7.6388888888888895E-2</v>
      </c>
      <c r="H2249" s="21" t="s">
        <v>10</v>
      </c>
      <c r="I2249" s="21" t="s">
        <v>55</v>
      </c>
      <c r="J2249" s="21" t="s">
        <v>4652</v>
      </c>
      <c r="K2249" s="5814" t="s">
        <v>7933</v>
      </c>
    </row>
    <row r="2250" spans="1:11">
      <c r="A2250" s="21" t="s">
        <v>4233</v>
      </c>
      <c r="B2250" s="21" t="s">
        <v>7934</v>
      </c>
      <c r="C2250" s="21" t="s">
        <v>8</v>
      </c>
      <c r="D2250" s="21" t="s">
        <v>701</v>
      </c>
      <c r="E2250" s="21" t="s">
        <v>46</v>
      </c>
      <c r="F2250" s="5812">
        <v>1</v>
      </c>
      <c r="G2250" s="5813">
        <v>7.7777777777777779E-2</v>
      </c>
      <c r="H2250" s="21" t="s">
        <v>10</v>
      </c>
      <c r="I2250" s="21" t="s">
        <v>47</v>
      </c>
      <c r="J2250" s="21" t="s">
        <v>4572</v>
      </c>
      <c r="K2250" s="5814" t="s">
        <v>7935</v>
      </c>
    </row>
    <row r="2251" spans="1:11">
      <c r="A2251" s="21" t="s">
        <v>2850</v>
      </c>
      <c r="B2251" s="21" t="s">
        <v>7936</v>
      </c>
      <c r="C2251" s="21" t="s">
        <v>22</v>
      </c>
      <c r="D2251" s="21" t="s">
        <v>701</v>
      </c>
      <c r="E2251" s="21" t="s">
        <v>46</v>
      </c>
      <c r="F2251" s="5812">
        <v>1</v>
      </c>
      <c r="G2251" s="5813">
        <v>7.9166666666666663E-2</v>
      </c>
      <c r="H2251" s="21" t="s">
        <v>10</v>
      </c>
      <c r="I2251" s="21" t="s">
        <v>39</v>
      </c>
      <c r="J2251" s="21" t="s">
        <v>1321</v>
      </c>
      <c r="K2251" s="5814" t="s">
        <v>7937</v>
      </c>
    </row>
    <row r="2252" spans="1:11">
      <c r="A2252" s="21" t="s">
        <v>4257</v>
      </c>
      <c r="B2252" s="21" t="s">
        <v>7938</v>
      </c>
      <c r="C2252" s="21" t="s">
        <v>22</v>
      </c>
      <c r="D2252" s="21" t="s">
        <v>701</v>
      </c>
      <c r="E2252" s="21" t="s">
        <v>46</v>
      </c>
      <c r="F2252" s="5812">
        <v>1</v>
      </c>
      <c r="G2252" s="5813">
        <v>8.1944444444444445E-2</v>
      </c>
      <c r="H2252" s="21" t="s">
        <v>10</v>
      </c>
      <c r="I2252" s="21" t="s">
        <v>226</v>
      </c>
      <c r="J2252" s="21" t="s">
        <v>406</v>
      </c>
      <c r="K2252" s="5814" t="s">
        <v>7939</v>
      </c>
    </row>
    <row r="2253" spans="1:11">
      <c r="A2253" s="21" t="s">
        <v>2471</v>
      </c>
      <c r="B2253" s="21" t="s">
        <v>7940</v>
      </c>
      <c r="C2253" s="21" t="s">
        <v>8</v>
      </c>
      <c r="D2253" s="21" t="s">
        <v>701</v>
      </c>
      <c r="E2253" s="21" t="s">
        <v>46</v>
      </c>
      <c r="F2253" s="5812">
        <v>1</v>
      </c>
      <c r="G2253" s="5813">
        <v>8.9583333333333334E-2</v>
      </c>
      <c r="H2253" s="21" t="s">
        <v>10</v>
      </c>
      <c r="I2253" s="21" t="s">
        <v>55</v>
      </c>
      <c r="J2253" s="21" t="s">
        <v>127</v>
      </c>
      <c r="K2253" s="5814" t="s">
        <v>7941</v>
      </c>
    </row>
    <row r="2254" spans="1:11">
      <c r="A2254" s="21" t="s">
        <v>4170</v>
      </c>
      <c r="B2254" s="21" t="s">
        <v>7942</v>
      </c>
      <c r="C2254" s="21" t="s">
        <v>22</v>
      </c>
      <c r="D2254" s="21" t="s">
        <v>701</v>
      </c>
      <c r="E2254" s="21" t="s">
        <v>46</v>
      </c>
      <c r="F2254" s="5812">
        <v>1</v>
      </c>
      <c r="G2254" s="5813">
        <v>9.5138888888888884E-2</v>
      </c>
      <c r="H2254" s="21" t="s">
        <v>10</v>
      </c>
      <c r="I2254" s="21" t="s">
        <v>47</v>
      </c>
      <c r="J2254" s="21" t="s">
        <v>48</v>
      </c>
      <c r="K2254" s="5814" t="s">
        <v>7943</v>
      </c>
    </row>
    <row r="2255" spans="1:11">
      <c r="A2255" s="21" t="s">
        <v>2835</v>
      </c>
      <c r="B2255" s="21" t="s">
        <v>7944</v>
      </c>
      <c r="C2255" s="21" t="s">
        <v>8</v>
      </c>
      <c r="D2255" s="21" t="s">
        <v>701</v>
      </c>
      <c r="E2255" s="21" t="s">
        <v>46</v>
      </c>
      <c r="F2255" s="5812">
        <v>1</v>
      </c>
      <c r="G2255" s="5813">
        <v>9.583333333333334E-2</v>
      </c>
      <c r="H2255" s="21" t="s">
        <v>10</v>
      </c>
      <c r="I2255" s="21" t="s">
        <v>39</v>
      </c>
      <c r="J2255" s="21" t="s">
        <v>258</v>
      </c>
      <c r="K2255" s="5814" t="s">
        <v>7945</v>
      </c>
    </row>
    <row r="2256" spans="1:11">
      <c r="A2256" s="21" t="s">
        <v>3220</v>
      </c>
      <c r="B2256" s="21" t="s">
        <v>7946</v>
      </c>
      <c r="C2256" s="21" t="s">
        <v>22</v>
      </c>
      <c r="D2256" s="21" t="s">
        <v>701</v>
      </c>
      <c r="E2256" s="21" t="s">
        <v>46</v>
      </c>
      <c r="F2256" s="5812">
        <v>1</v>
      </c>
      <c r="G2256" s="5813">
        <v>0.10069444444444445</v>
      </c>
      <c r="H2256" s="21" t="s">
        <v>10</v>
      </c>
      <c r="I2256" s="21" t="s">
        <v>47</v>
      </c>
      <c r="J2256" s="21" t="s">
        <v>417</v>
      </c>
      <c r="K2256" s="5814" t="s">
        <v>7947</v>
      </c>
    </row>
    <row r="2257" spans="1:11">
      <c r="A2257" s="21" t="s">
        <v>3474</v>
      </c>
      <c r="B2257" s="21" t="s">
        <v>7948</v>
      </c>
      <c r="C2257" s="21" t="s">
        <v>8</v>
      </c>
      <c r="D2257" s="21" t="s">
        <v>701</v>
      </c>
      <c r="E2257" s="21" t="s">
        <v>46</v>
      </c>
      <c r="F2257" s="5812">
        <v>1</v>
      </c>
      <c r="G2257" s="5813">
        <v>0.10208333333333333</v>
      </c>
      <c r="H2257" s="21" t="s">
        <v>10</v>
      </c>
      <c r="I2257" s="21" t="s">
        <v>96</v>
      </c>
      <c r="J2257" s="21" t="s">
        <v>1203</v>
      </c>
      <c r="K2257" s="5814" t="s">
        <v>7949</v>
      </c>
    </row>
    <row r="2258" spans="1:11">
      <c r="A2258" s="21" t="s">
        <v>2831</v>
      </c>
      <c r="B2258" s="21" t="s">
        <v>7950</v>
      </c>
      <c r="C2258" s="21" t="s">
        <v>22</v>
      </c>
      <c r="D2258" s="21" t="s">
        <v>701</v>
      </c>
      <c r="E2258" s="21" t="s">
        <v>46</v>
      </c>
      <c r="F2258" s="5812">
        <v>1</v>
      </c>
      <c r="G2258" s="5813">
        <v>0.10208333333333333</v>
      </c>
      <c r="H2258" s="21" t="s">
        <v>10</v>
      </c>
      <c r="I2258" s="21" t="s">
        <v>47</v>
      </c>
      <c r="J2258" s="21" t="s">
        <v>97</v>
      </c>
      <c r="K2258" s="5814" t="s">
        <v>7951</v>
      </c>
    </row>
    <row r="2259" spans="1:11">
      <c r="A2259" s="21" t="s">
        <v>2707</v>
      </c>
      <c r="B2259" s="21" t="s">
        <v>7952</v>
      </c>
      <c r="C2259" s="21" t="s">
        <v>8</v>
      </c>
      <c r="D2259" s="21" t="s">
        <v>701</v>
      </c>
      <c r="E2259" s="21" t="s">
        <v>46</v>
      </c>
      <c r="F2259" s="5812">
        <v>1</v>
      </c>
      <c r="G2259" s="5813">
        <v>0.10277777777777777</v>
      </c>
      <c r="H2259" s="21" t="s">
        <v>10</v>
      </c>
      <c r="I2259" s="21" t="s">
        <v>39</v>
      </c>
      <c r="J2259" s="21" t="s">
        <v>97</v>
      </c>
      <c r="K2259" s="5814" t="s">
        <v>7953</v>
      </c>
    </row>
    <row r="2260" spans="1:11">
      <c r="A2260" s="21" t="s">
        <v>2630</v>
      </c>
      <c r="B2260" s="21" t="s">
        <v>7954</v>
      </c>
      <c r="C2260" s="21" t="s">
        <v>22</v>
      </c>
      <c r="D2260" s="21" t="s">
        <v>701</v>
      </c>
      <c r="E2260" s="21" t="s">
        <v>46</v>
      </c>
      <c r="F2260" s="5812">
        <v>1</v>
      </c>
      <c r="G2260" s="5813">
        <v>0.10416666666666667</v>
      </c>
      <c r="H2260" s="21" t="s">
        <v>54</v>
      </c>
      <c r="I2260" s="21" t="s">
        <v>11</v>
      </c>
      <c r="J2260" s="21" t="s">
        <v>48</v>
      </c>
      <c r="K2260" s="5814" t="s">
        <v>7955</v>
      </c>
    </row>
    <row r="2261" spans="1:11">
      <c r="A2261" s="21" t="s">
        <v>2372</v>
      </c>
      <c r="B2261" s="21" t="s">
        <v>7956</v>
      </c>
      <c r="C2261" s="21" t="s">
        <v>8</v>
      </c>
      <c r="D2261" s="21" t="s">
        <v>701</v>
      </c>
      <c r="E2261" s="21" t="s">
        <v>46</v>
      </c>
      <c r="F2261" s="5812">
        <v>1</v>
      </c>
      <c r="G2261" s="5813">
        <v>0.10416666666666667</v>
      </c>
      <c r="H2261" s="21" t="s">
        <v>10</v>
      </c>
      <c r="I2261" s="21" t="s">
        <v>226</v>
      </c>
      <c r="J2261" s="21" t="s">
        <v>48</v>
      </c>
      <c r="K2261" s="5814" t="s">
        <v>7957</v>
      </c>
    </row>
    <row r="2262" spans="1:11">
      <c r="A2262" s="21" t="s">
        <v>3481</v>
      </c>
      <c r="B2262" s="21" t="s">
        <v>7958</v>
      </c>
      <c r="C2262" s="21" t="s">
        <v>22</v>
      </c>
      <c r="D2262" s="21" t="s">
        <v>701</v>
      </c>
      <c r="E2262" s="21" t="s">
        <v>46</v>
      </c>
      <c r="F2262" s="5812">
        <v>1</v>
      </c>
      <c r="G2262" s="5813">
        <v>0.10416666666666667</v>
      </c>
      <c r="H2262" s="21" t="s">
        <v>10</v>
      </c>
      <c r="I2262" s="21" t="s">
        <v>47</v>
      </c>
      <c r="J2262" s="21" t="s">
        <v>48</v>
      </c>
      <c r="K2262" s="5814" t="s">
        <v>7959</v>
      </c>
    </row>
    <row r="2263" spans="1:11">
      <c r="A2263" s="21" t="s">
        <v>2961</v>
      </c>
      <c r="B2263" s="21" t="s">
        <v>7960</v>
      </c>
      <c r="C2263" s="21" t="s">
        <v>8</v>
      </c>
      <c r="D2263" s="21" t="s">
        <v>701</v>
      </c>
      <c r="E2263" s="21" t="s">
        <v>46</v>
      </c>
      <c r="F2263" s="5812">
        <v>1</v>
      </c>
      <c r="G2263" s="5813">
        <v>0.10416666666666667</v>
      </c>
      <c r="H2263" s="21" t="s">
        <v>10</v>
      </c>
      <c r="I2263" s="21" t="s">
        <v>47</v>
      </c>
      <c r="J2263" s="21" t="s">
        <v>97</v>
      </c>
      <c r="K2263" s="5814" t="s">
        <v>7961</v>
      </c>
    </row>
    <row r="2264" spans="1:11">
      <c r="A2264" s="21" t="s">
        <v>2179</v>
      </c>
      <c r="B2264" s="21" t="s">
        <v>7962</v>
      </c>
      <c r="C2264" s="21" t="s">
        <v>22</v>
      </c>
      <c r="D2264" s="21" t="s">
        <v>701</v>
      </c>
      <c r="E2264" s="21" t="s">
        <v>46</v>
      </c>
      <c r="F2264" s="5812">
        <v>1</v>
      </c>
      <c r="G2264" s="5813">
        <v>0.10625</v>
      </c>
      <c r="H2264" s="21" t="s">
        <v>10</v>
      </c>
      <c r="I2264" s="21" t="s">
        <v>73</v>
      </c>
      <c r="J2264" s="21" t="s">
        <v>48</v>
      </c>
      <c r="K2264" s="5814" t="s">
        <v>7963</v>
      </c>
    </row>
    <row r="2265" spans="1:11">
      <c r="A2265" s="21" t="s">
        <v>6</v>
      </c>
      <c r="B2265" s="21" t="s">
        <v>700</v>
      </c>
      <c r="C2265" s="21" t="s">
        <v>8</v>
      </c>
      <c r="D2265" s="21" t="s">
        <v>701</v>
      </c>
      <c r="E2265" s="21" t="s">
        <v>46</v>
      </c>
      <c r="F2265" s="5812">
        <v>1</v>
      </c>
      <c r="G2265" s="5813">
        <v>0.10833333333333334</v>
      </c>
      <c r="H2265" s="21" t="s">
        <v>10</v>
      </c>
      <c r="I2265" s="21" t="s">
        <v>23</v>
      </c>
      <c r="J2265" s="21" t="s">
        <v>97</v>
      </c>
      <c r="K2265" s="5814" t="s">
        <v>7964</v>
      </c>
    </row>
    <row r="2266" spans="1:11">
      <c r="A2266" s="21" t="s">
        <v>2870</v>
      </c>
      <c r="B2266" s="21" t="s">
        <v>7965</v>
      </c>
      <c r="C2266" s="21" t="s">
        <v>8</v>
      </c>
      <c r="D2266" s="21" t="s">
        <v>701</v>
      </c>
      <c r="E2266" s="21" t="s">
        <v>46</v>
      </c>
      <c r="F2266" s="5812">
        <v>1</v>
      </c>
      <c r="G2266" s="5813">
        <v>0.10902777777777778</v>
      </c>
      <c r="H2266" s="21" t="s">
        <v>10</v>
      </c>
      <c r="I2266" s="21" t="s">
        <v>55</v>
      </c>
      <c r="J2266" s="21" t="s">
        <v>258</v>
      </c>
      <c r="K2266" s="5814" t="s">
        <v>7966</v>
      </c>
    </row>
    <row r="2267" spans="1:11">
      <c r="A2267" s="21" t="s">
        <v>2905</v>
      </c>
      <c r="B2267" s="21" t="s">
        <v>7967</v>
      </c>
      <c r="C2267" s="21" t="s">
        <v>8</v>
      </c>
      <c r="D2267" s="21" t="s">
        <v>701</v>
      </c>
      <c r="E2267" s="21" t="s">
        <v>46</v>
      </c>
      <c r="F2267" s="5812">
        <v>1</v>
      </c>
      <c r="G2267" s="5813">
        <v>0.10972222222222222</v>
      </c>
      <c r="H2267" s="21" t="s">
        <v>10</v>
      </c>
      <c r="I2267" s="21" t="s">
        <v>2297</v>
      </c>
      <c r="J2267" s="21" t="s">
        <v>1076</v>
      </c>
      <c r="K2267" s="5814" t="s">
        <v>7968</v>
      </c>
    </row>
    <row r="2268" spans="1:11">
      <c r="A2268" s="21" t="s">
        <v>4321</v>
      </c>
      <c r="B2268" s="21" t="s">
        <v>7969</v>
      </c>
      <c r="C2268" s="21" t="s">
        <v>8</v>
      </c>
      <c r="D2268" s="21" t="s">
        <v>701</v>
      </c>
      <c r="E2268" s="21" t="s">
        <v>46</v>
      </c>
      <c r="F2268" s="5812">
        <v>1</v>
      </c>
      <c r="G2268" s="5813">
        <v>0.11041666666666666</v>
      </c>
      <c r="H2268" s="21" t="s">
        <v>10</v>
      </c>
      <c r="I2268" s="21" t="s">
        <v>6860</v>
      </c>
      <c r="J2268" s="21" t="s">
        <v>48</v>
      </c>
      <c r="K2268" s="5814" t="s">
        <v>7970</v>
      </c>
    </row>
    <row r="2269" spans="1:11">
      <c r="A2269" s="21" t="s">
        <v>3345</v>
      </c>
      <c r="B2269" s="21" t="s">
        <v>7971</v>
      </c>
      <c r="C2269" s="21" t="s">
        <v>22</v>
      </c>
      <c r="D2269" s="21" t="s">
        <v>701</v>
      </c>
      <c r="E2269" s="21" t="s">
        <v>46</v>
      </c>
      <c r="F2269" s="5812">
        <v>1</v>
      </c>
      <c r="G2269" s="5813">
        <v>0.11319444444444444</v>
      </c>
      <c r="H2269" s="21" t="s">
        <v>10</v>
      </c>
      <c r="I2269" s="21" t="s">
        <v>55</v>
      </c>
      <c r="J2269" s="21" t="s">
        <v>7972</v>
      </c>
      <c r="K2269" s="5814" t="s">
        <v>7973</v>
      </c>
    </row>
    <row r="2270" spans="1:11">
      <c r="A2270" s="21" t="s">
        <v>2467</v>
      </c>
      <c r="B2270" s="21" t="s">
        <v>7974</v>
      </c>
      <c r="C2270" s="21" t="s">
        <v>22</v>
      </c>
      <c r="D2270" s="21" t="s">
        <v>701</v>
      </c>
      <c r="E2270" s="21" t="s">
        <v>46</v>
      </c>
      <c r="F2270" s="5812">
        <v>1</v>
      </c>
      <c r="G2270" s="5813">
        <v>0.11597222222222223</v>
      </c>
      <c r="H2270" s="21" t="s">
        <v>10</v>
      </c>
      <c r="I2270" s="21" t="s">
        <v>23</v>
      </c>
      <c r="J2270" s="21" t="s">
        <v>127</v>
      </c>
      <c r="K2270" s="5814" t="s">
        <v>7975</v>
      </c>
    </row>
    <row r="2271" spans="1:11">
      <c r="A2271" s="21" t="s">
        <v>3720</v>
      </c>
      <c r="B2271" s="21" t="s">
        <v>7976</v>
      </c>
      <c r="C2271" s="21" t="s">
        <v>8</v>
      </c>
      <c r="D2271" s="21" t="s">
        <v>701</v>
      </c>
      <c r="E2271" s="21" t="s">
        <v>46</v>
      </c>
      <c r="F2271" s="5812">
        <v>1</v>
      </c>
      <c r="G2271" s="5813">
        <v>0.11597222222222223</v>
      </c>
      <c r="H2271" s="21" t="s">
        <v>10</v>
      </c>
      <c r="I2271" s="21" t="s">
        <v>226</v>
      </c>
      <c r="J2271" s="21" t="s">
        <v>722</v>
      </c>
      <c r="K2271" s="5814" t="s">
        <v>7977</v>
      </c>
    </row>
    <row r="2272" spans="1:11">
      <c r="A2272" s="21" t="s">
        <v>207</v>
      </c>
      <c r="B2272" s="21" t="s">
        <v>912</v>
      </c>
      <c r="C2272" s="21" t="s">
        <v>8</v>
      </c>
      <c r="D2272" s="21" t="s">
        <v>701</v>
      </c>
      <c r="E2272" s="21" t="s">
        <v>46</v>
      </c>
      <c r="F2272" s="5812">
        <v>1</v>
      </c>
      <c r="G2272" s="5813">
        <v>0.11736111111111111</v>
      </c>
      <c r="H2272" s="21" t="s">
        <v>10</v>
      </c>
      <c r="I2272" s="21" t="s">
        <v>73</v>
      </c>
      <c r="J2272" s="21" t="s">
        <v>127</v>
      </c>
      <c r="K2272" s="5814" t="s">
        <v>913</v>
      </c>
    </row>
    <row r="2273" spans="1:11">
      <c r="A2273" s="21" t="s">
        <v>2630</v>
      </c>
      <c r="B2273" s="21" t="s">
        <v>7978</v>
      </c>
      <c r="C2273" s="21" t="s">
        <v>22</v>
      </c>
      <c r="D2273" s="21" t="s">
        <v>701</v>
      </c>
      <c r="E2273" s="21" t="s">
        <v>46</v>
      </c>
      <c r="F2273" s="5812">
        <v>1</v>
      </c>
      <c r="G2273" s="5813">
        <v>0.11944444444444445</v>
      </c>
      <c r="H2273" s="21" t="s">
        <v>10</v>
      </c>
      <c r="I2273" s="21" t="s">
        <v>2632</v>
      </c>
      <c r="J2273" s="21" t="s">
        <v>127</v>
      </c>
      <c r="K2273" s="5814" t="s">
        <v>7979</v>
      </c>
    </row>
    <row r="2274" spans="1:11">
      <c r="A2274" s="21" t="s">
        <v>4383</v>
      </c>
      <c r="B2274" s="21" t="s">
        <v>7980</v>
      </c>
      <c r="C2274" s="21" t="s">
        <v>8</v>
      </c>
      <c r="D2274" s="21" t="s">
        <v>701</v>
      </c>
      <c r="E2274" s="21" t="s">
        <v>46</v>
      </c>
      <c r="F2274" s="5812">
        <v>1</v>
      </c>
      <c r="G2274" s="5813">
        <v>0.12013888888888889</v>
      </c>
      <c r="H2274" s="21" t="s">
        <v>10</v>
      </c>
      <c r="I2274" s="21" t="s">
        <v>96</v>
      </c>
      <c r="J2274" s="21" t="s">
        <v>48</v>
      </c>
      <c r="K2274" s="5814" t="s">
        <v>7981</v>
      </c>
    </row>
    <row r="2275" spans="1:11">
      <c r="A2275" s="21" t="s">
        <v>2719</v>
      </c>
      <c r="B2275" s="21" t="s">
        <v>7982</v>
      </c>
      <c r="C2275" s="21" t="s">
        <v>22</v>
      </c>
      <c r="D2275" s="21" t="s">
        <v>701</v>
      </c>
      <c r="E2275" s="21" t="s">
        <v>46</v>
      </c>
      <c r="F2275" s="5812">
        <v>1</v>
      </c>
      <c r="G2275" s="5813">
        <v>0.125</v>
      </c>
      <c r="H2275" s="21" t="s">
        <v>10</v>
      </c>
      <c r="I2275" s="21" t="s">
        <v>263</v>
      </c>
      <c r="J2275" s="21" t="s">
        <v>940</v>
      </c>
      <c r="K2275" s="5814" t="s">
        <v>7983</v>
      </c>
    </row>
    <row r="2276" spans="1:11">
      <c r="A2276" s="21" t="s">
        <v>3105</v>
      </c>
      <c r="B2276" s="21" t="s">
        <v>7984</v>
      </c>
      <c r="C2276" s="21" t="s">
        <v>22</v>
      </c>
      <c r="D2276" s="21" t="s">
        <v>701</v>
      </c>
      <c r="E2276" s="21" t="s">
        <v>46</v>
      </c>
      <c r="F2276" s="5812">
        <v>1</v>
      </c>
      <c r="G2276" s="5813">
        <v>0.12569444444444444</v>
      </c>
      <c r="H2276" s="21" t="s">
        <v>10</v>
      </c>
      <c r="I2276" s="21" t="s">
        <v>47</v>
      </c>
      <c r="J2276" s="21" t="s">
        <v>997</v>
      </c>
      <c r="K2276" s="5814" t="s">
        <v>7985</v>
      </c>
    </row>
    <row r="2277" spans="1:11">
      <c r="A2277" s="21" t="s">
        <v>3537</v>
      </c>
      <c r="B2277" s="21" t="s">
        <v>7986</v>
      </c>
      <c r="C2277" s="21" t="s">
        <v>22</v>
      </c>
      <c r="D2277" s="21" t="s">
        <v>701</v>
      </c>
      <c r="E2277" s="21" t="s">
        <v>46</v>
      </c>
      <c r="F2277" s="5812">
        <v>1</v>
      </c>
      <c r="G2277" s="5813">
        <v>0.12777777777777777</v>
      </c>
      <c r="H2277" s="21" t="s">
        <v>10</v>
      </c>
      <c r="I2277" s="21" t="s">
        <v>96</v>
      </c>
      <c r="J2277" s="21" t="s">
        <v>48</v>
      </c>
      <c r="K2277" s="5814" t="s">
        <v>7987</v>
      </c>
    </row>
    <row r="2278" spans="1:11">
      <c r="A2278" s="21" t="s">
        <v>2454</v>
      </c>
      <c r="B2278" s="21" t="s">
        <v>7988</v>
      </c>
      <c r="C2278" s="21" t="s">
        <v>8</v>
      </c>
      <c r="D2278" s="21" t="s">
        <v>701</v>
      </c>
      <c r="E2278" s="21" t="s">
        <v>46</v>
      </c>
      <c r="F2278" s="5812">
        <v>1</v>
      </c>
      <c r="G2278" s="5813">
        <v>0.13541666666666666</v>
      </c>
      <c r="H2278" s="21" t="s">
        <v>10</v>
      </c>
      <c r="I2278" s="21" t="s">
        <v>89</v>
      </c>
      <c r="J2278" s="21" t="s">
        <v>258</v>
      </c>
      <c r="K2278" s="5814" t="s">
        <v>7989</v>
      </c>
    </row>
    <row r="2279" spans="1:11">
      <c r="A2279" s="21" t="s">
        <v>2442</v>
      </c>
      <c r="B2279" s="21" t="s">
        <v>7990</v>
      </c>
      <c r="C2279" s="21" t="s">
        <v>8</v>
      </c>
      <c r="D2279" s="21" t="s">
        <v>701</v>
      </c>
      <c r="E2279" s="21" t="s">
        <v>46</v>
      </c>
      <c r="F2279" s="5812">
        <v>1</v>
      </c>
      <c r="G2279" s="5813">
        <v>0.13680555555555557</v>
      </c>
      <c r="H2279" s="21" t="s">
        <v>10</v>
      </c>
      <c r="I2279" s="21" t="s">
        <v>11</v>
      </c>
      <c r="J2279" s="21" t="s">
        <v>127</v>
      </c>
      <c r="K2279" s="5814" t="s">
        <v>7991</v>
      </c>
    </row>
    <row r="2280" spans="1:11">
      <c r="A2280" s="21" t="s">
        <v>2850</v>
      </c>
      <c r="B2280" s="21" t="s">
        <v>7992</v>
      </c>
      <c r="C2280" s="21" t="s">
        <v>8</v>
      </c>
      <c r="D2280" s="21" t="s">
        <v>701</v>
      </c>
      <c r="E2280" s="21" t="s">
        <v>46</v>
      </c>
      <c r="F2280" s="5812">
        <v>1</v>
      </c>
      <c r="G2280" s="5813">
        <v>0.14305555555555555</v>
      </c>
      <c r="H2280" s="21" t="s">
        <v>10</v>
      </c>
      <c r="I2280" s="21" t="s">
        <v>2297</v>
      </c>
      <c r="J2280" s="21" t="s">
        <v>97</v>
      </c>
      <c r="K2280" s="5814" t="s">
        <v>7993</v>
      </c>
    </row>
    <row r="2281" spans="1:11">
      <c r="A2281" s="21" t="s">
        <v>3183</v>
      </c>
      <c r="B2281" s="21" t="s">
        <v>7994</v>
      </c>
      <c r="C2281" s="21" t="s">
        <v>22</v>
      </c>
      <c r="D2281" s="21" t="s">
        <v>701</v>
      </c>
      <c r="E2281" s="21" t="s">
        <v>46</v>
      </c>
      <c r="F2281" s="5812">
        <v>1</v>
      </c>
      <c r="G2281" s="5813">
        <v>0.14374999999999999</v>
      </c>
      <c r="H2281" s="21" t="s">
        <v>10</v>
      </c>
      <c r="I2281" s="21" t="s">
        <v>55</v>
      </c>
      <c r="J2281" s="21" t="s">
        <v>97</v>
      </c>
      <c r="K2281" s="5814" t="s">
        <v>7995</v>
      </c>
    </row>
    <row r="2282" spans="1:11">
      <c r="A2282" s="21" t="s">
        <v>2053</v>
      </c>
      <c r="B2282" s="21" t="s">
        <v>7996</v>
      </c>
      <c r="C2282" s="21" t="s">
        <v>8</v>
      </c>
      <c r="D2282" s="21" t="s">
        <v>701</v>
      </c>
      <c r="E2282" s="21" t="s">
        <v>46</v>
      </c>
      <c r="F2282" s="5812">
        <v>1</v>
      </c>
      <c r="G2282" s="5813">
        <v>0.14791666666666667</v>
      </c>
      <c r="H2282" s="21" t="s">
        <v>10</v>
      </c>
      <c r="I2282" s="21" t="s">
        <v>89</v>
      </c>
      <c r="J2282" s="21" t="s">
        <v>430</v>
      </c>
      <c r="K2282" s="5814" t="s">
        <v>7997</v>
      </c>
    </row>
    <row r="2283" spans="1:11">
      <c r="A2283" s="21" t="s">
        <v>3728</v>
      </c>
      <c r="B2283" s="21" t="s">
        <v>7998</v>
      </c>
      <c r="C2283" s="21" t="s">
        <v>8</v>
      </c>
      <c r="D2283" s="21" t="s">
        <v>701</v>
      </c>
      <c r="E2283" s="21" t="s">
        <v>46</v>
      </c>
      <c r="F2283" s="5812">
        <v>1</v>
      </c>
      <c r="G2283" s="5813">
        <v>0.14791666666666667</v>
      </c>
      <c r="H2283" s="21" t="s">
        <v>10</v>
      </c>
      <c r="I2283" s="21" t="s">
        <v>2149</v>
      </c>
      <c r="J2283" s="21" t="s">
        <v>48</v>
      </c>
      <c r="K2283" s="5814" t="s">
        <v>7999</v>
      </c>
    </row>
    <row r="2284" spans="1:11">
      <c r="A2284" s="21" t="s">
        <v>79</v>
      </c>
      <c r="B2284" s="21" t="s">
        <v>828</v>
      </c>
      <c r="C2284" s="21" t="s">
        <v>8</v>
      </c>
      <c r="D2284" s="21" t="s">
        <v>701</v>
      </c>
      <c r="E2284" s="21" t="s">
        <v>46</v>
      </c>
      <c r="F2284" s="5812">
        <v>1</v>
      </c>
      <c r="G2284" s="5813">
        <v>0.14861111111111111</v>
      </c>
      <c r="H2284" s="21" t="s">
        <v>10</v>
      </c>
      <c r="I2284" s="21" t="s">
        <v>23</v>
      </c>
      <c r="J2284" s="21" t="s">
        <v>722</v>
      </c>
      <c r="K2284" s="5814" t="s">
        <v>829</v>
      </c>
    </row>
    <row r="2285" spans="1:11">
      <c r="A2285" s="21" t="s">
        <v>4317</v>
      </c>
      <c r="B2285" s="21" t="s">
        <v>8000</v>
      </c>
      <c r="C2285" s="21" t="s">
        <v>22</v>
      </c>
      <c r="D2285" s="21" t="s">
        <v>701</v>
      </c>
      <c r="E2285" s="21" t="s">
        <v>46</v>
      </c>
      <c r="F2285" s="5812">
        <v>1</v>
      </c>
      <c r="G2285" s="5813">
        <v>0.15069444444444444</v>
      </c>
      <c r="H2285" s="21" t="s">
        <v>10</v>
      </c>
      <c r="I2285" s="21" t="s">
        <v>6556</v>
      </c>
      <c r="J2285" s="21" t="s">
        <v>406</v>
      </c>
      <c r="K2285" s="5814" t="s">
        <v>8001</v>
      </c>
    </row>
    <row r="2286" spans="1:11">
      <c r="A2286" s="21" t="s">
        <v>2941</v>
      </c>
      <c r="B2286" s="21" t="s">
        <v>8002</v>
      </c>
      <c r="C2286" s="21" t="s">
        <v>22</v>
      </c>
      <c r="D2286" s="21" t="s">
        <v>701</v>
      </c>
      <c r="E2286" s="21" t="s">
        <v>46</v>
      </c>
      <c r="F2286" s="5812">
        <v>1</v>
      </c>
      <c r="G2286" s="5813">
        <v>0.15138888888888888</v>
      </c>
      <c r="H2286" s="21" t="s">
        <v>10</v>
      </c>
      <c r="I2286" s="21" t="s">
        <v>39</v>
      </c>
      <c r="J2286" s="21" t="s">
        <v>97</v>
      </c>
      <c r="K2286" s="5814" t="s">
        <v>8003</v>
      </c>
    </row>
    <row r="2287" spans="1:11">
      <c r="A2287" s="21" t="s">
        <v>2854</v>
      </c>
      <c r="B2287" s="21" t="s">
        <v>8004</v>
      </c>
      <c r="C2287" s="21" t="s">
        <v>22</v>
      </c>
      <c r="D2287" s="21" t="s">
        <v>701</v>
      </c>
      <c r="E2287" s="21" t="s">
        <v>46</v>
      </c>
      <c r="F2287" s="5812">
        <v>1</v>
      </c>
      <c r="G2287" s="5813">
        <v>0.15416666666666667</v>
      </c>
      <c r="H2287" s="21" t="s">
        <v>10</v>
      </c>
      <c r="I2287" s="21" t="s">
        <v>2247</v>
      </c>
      <c r="J2287" s="21" t="s">
        <v>48</v>
      </c>
      <c r="K2287" s="5814" t="s">
        <v>8005</v>
      </c>
    </row>
    <row r="2288" spans="1:11">
      <c r="A2288" s="21" t="s">
        <v>3049</v>
      </c>
      <c r="B2288" s="21" t="s">
        <v>8006</v>
      </c>
      <c r="C2288" s="21" t="s">
        <v>8</v>
      </c>
      <c r="D2288" s="21" t="s">
        <v>701</v>
      </c>
      <c r="E2288" s="21" t="s">
        <v>46</v>
      </c>
      <c r="F2288" s="5812">
        <v>1</v>
      </c>
      <c r="G2288" s="5813">
        <v>0.15555555555555556</v>
      </c>
      <c r="H2288" s="21" t="s">
        <v>10</v>
      </c>
      <c r="I2288" s="21"/>
      <c r="J2288" s="21" t="s">
        <v>48</v>
      </c>
      <c r="K2288" s="5814" t="s">
        <v>8007</v>
      </c>
    </row>
    <row r="2289" spans="1:11">
      <c r="A2289" s="21" t="s">
        <v>3946</v>
      </c>
      <c r="B2289" s="21" t="s">
        <v>8008</v>
      </c>
      <c r="C2289" s="21" t="s">
        <v>22</v>
      </c>
      <c r="D2289" s="21" t="s">
        <v>701</v>
      </c>
      <c r="E2289" s="21" t="s">
        <v>46</v>
      </c>
      <c r="F2289" s="5812">
        <v>1</v>
      </c>
      <c r="G2289" s="5813">
        <v>0.15763888888888888</v>
      </c>
      <c r="H2289" s="21" t="s">
        <v>10</v>
      </c>
      <c r="I2289" s="21" t="s">
        <v>55</v>
      </c>
      <c r="J2289" s="21" t="s">
        <v>518</v>
      </c>
      <c r="K2289" s="5814" t="s">
        <v>8009</v>
      </c>
    </row>
    <row r="2290" spans="1:11">
      <c r="A2290" s="21" t="s">
        <v>2387</v>
      </c>
      <c r="B2290" s="21" t="s">
        <v>8010</v>
      </c>
      <c r="C2290" s="21" t="s">
        <v>8</v>
      </c>
      <c r="D2290" s="21" t="s">
        <v>701</v>
      </c>
      <c r="E2290" s="21" t="s">
        <v>46</v>
      </c>
      <c r="F2290" s="5812">
        <v>1</v>
      </c>
      <c r="G2290" s="5813">
        <v>0.15902777777777777</v>
      </c>
      <c r="H2290" s="21" t="s">
        <v>10</v>
      </c>
      <c r="I2290" s="21" t="s">
        <v>23</v>
      </c>
      <c r="J2290" s="21" t="s">
        <v>48</v>
      </c>
      <c r="K2290" s="5814" t="s">
        <v>8011</v>
      </c>
    </row>
    <row r="2291" spans="1:11">
      <c r="A2291" s="21" t="s">
        <v>2655</v>
      </c>
      <c r="B2291" s="21" t="s">
        <v>8012</v>
      </c>
      <c r="C2291" s="21" t="s">
        <v>8</v>
      </c>
      <c r="D2291" s="21" t="s">
        <v>701</v>
      </c>
      <c r="E2291" s="21" t="s">
        <v>46</v>
      </c>
      <c r="F2291" s="5812">
        <v>1</v>
      </c>
      <c r="G2291" s="5813">
        <v>0.16180555555555556</v>
      </c>
      <c r="H2291" s="21" t="s">
        <v>10</v>
      </c>
      <c r="I2291" s="21" t="s">
        <v>55</v>
      </c>
      <c r="J2291" s="21" t="s">
        <v>48</v>
      </c>
      <c r="K2291" s="5814" t="s">
        <v>8013</v>
      </c>
    </row>
    <row r="2292" spans="1:11">
      <c r="A2292" s="21" t="s">
        <v>2772</v>
      </c>
      <c r="B2292" s="21" t="s">
        <v>8014</v>
      </c>
      <c r="C2292" s="21" t="s">
        <v>22</v>
      </c>
      <c r="D2292" s="21" t="s">
        <v>701</v>
      </c>
      <c r="E2292" s="21" t="s">
        <v>46</v>
      </c>
      <c r="F2292" s="5812">
        <v>1</v>
      </c>
      <c r="G2292" s="5813">
        <v>0.16458333333333333</v>
      </c>
      <c r="H2292" s="21" t="s">
        <v>10</v>
      </c>
      <c r="I2292" s="21" t="s">
        <v>2731</v>
      </c>
      <c r="J2292" s="21" t="s">
        <v>8015</v>
      </c>
      <c r="K2292" s="5814" t="s">
        <v>8016</v>
      </c>
    </row>
    <row r="2293" spans="1:11">
      <c r="A2293" s="21" t="s">
        <v>3855</v>
      </c>
      <c r="B2293" s="21" t="s">
        <v>8017</v>
      </c>
      <c r="C2293" s="21" t="s">
        <v>22</v>
      </c>
      <c r="D2293" s="21" t="s">
        <v>701</v>
      </c>
      <c r="E2293" s="21" t="s">
        <v>46</v>
      </c>
      <c r="F2293" s="5812">
        <v>1</v>
      </c>
      <c r="G2293" s="5813">
        <v>0.1701388888888889</v>
      </c>
      <c r="H2293" s="21" t="s">
        <v>10</v>
      </c>
      <c r="I2293" s="21" t="s">
        <v>23</v>
      </c>
      <c r="J2293" s="21" t="s">
        <v>417</v>
      </c>
      <c r="K2293" s="5814" t="s">
        <v>8018</v>
      </c>
    </row>
    <row r="2294" spans="1:11">
      <c r="A2294" s="21" t="s">
        <v>4047</v>
      </c>
      <c r="B2294" s="21" t="s">
        <v>8019</v>
      </c>
      <c r="C2294" s="21" t="s">
        <v>22</v>
      </c>
      <c r="D2294" s="21" t="s">
        <v>701</v>
      </c>
      <c r="E2294" s="21" t="s">
        <v>46</v>
      </c>
      <c r="F2294" s="5812">
        <v>1</v>
      </c>
      <c r="G2294" s="5813">
        <v>0.1701388888888889</v>
      </c>
      <c r="H2294" s="21" t="s">
        <v>10</v>
      </c>
      <c r="I2294" s="21" t="s">
        <v>23</v>
      </c>
      <c r="J2294" s="21" t="s">
        <v>48</v>
      </c>
      <c r="K2294" s="5814" t="s">
        <v>8020</v>
      </c>
    </row>
    <row r="2295" spans="1:11">
      <c r="A2295" s="21" t="s">
        <v>3119</v>
      </c>
      <c r="B2295" s="21" t="s">
        <v>8021</v>
      </c>
      <c r="C2295" s="21" t="s">
        <v>8</v>
      </c>
      <c r="D2295" s="21" t="s">
        <v>701</v>
      </c>
      <c r="E2295" s="21" t="s">
        <v>46</v>
      </c>
      <c r="F2295" s="5812">
        <v>1</v>
      </c>
      <c r="G2295" s="5813">
        <v>0.17083333333333334</v>
      </c>
      <c r="H2295" s="21" t="s">
        <v>10</v>
      </c>
      <c r="I2295" s="21"/>
      <c r="J2295" s="21" t="s">
        <v>6670</v>
      </c>
      <c r="K2295" s="5814" t="s">
        <v>8022</v>
      </c>
    </row>
    <row r="2296" spans="1:11">
      <c r="A2296" s="21" t="s">
        <v>4379</v>
      </c>
      <c r="B2296" s="21" t="s">
        <v>8023</v>
      </c>
      <c r="C2296" s="21" t="s">
        <v>22</v>
      </c>
      <c r="D2296" s="21" t="s">
        <v>701</v>
      </c>
      <c r="E2296" s="21" t="s">
        <v>46</v>
      </c>
      <c r="F2296" s="5812">
        <v>1</v>
      </c>
      <c r="G2296" s="5813">
        <v>0.17083333333333334</v>
      </c>
      <c r="H2296" s="21" t="s">
        <v>10</v>
      </c>
      <c r="I2296" s="21" t="s">
        <v>96</v>
      </c>
      <c r="J2296" s="21" t="s">
        <v>258</v>
      </c>
      <c r="K2296" s="5814" t="s">
        <v>8024</v>
      </c>
    </row>
    <row r="2297" spans="1:11">
      <c r="A2297" s="21" t="s">
        <v>3872</v>
      </c>
      <c r="B2297" s="21" t="s">
        <v>8025</v>
      </c>
      <c r="C2297" s="21" t="s">
        <v>22</v>
      </c>
      <c r="D2297" s="21" t="s">
        <v>701</v>
      </c>
      <c r="E2297" s="21" t="s">
        <v>46</v>
      </c>
      <c r="F2297" s="5812">
        <v>1</v>
      </c>
      <c r="G2297" s="5813">
        <v>0.17222222222222222</v>
      </c>
      <c r="H2297" s="21" t="s">
        <v>10</v>
      </c>
      <c r="I2297" s="21" t="s">
        <v>55</v>
      </c>
      <c r="J2297" s="21" t="s">
        <v>48</v>
      </c>
      <c r="K2297" s="5814" t="s">
        <v>8026</v>
      </c>
    </row>
    <row r="2298" spans="1:11">
      <c r="A2298" s="21" t="s">
        <v>2947</v>
      </c>
      <c r="B2298" s="21" t="s">
        <v>8027</v>
      </c>
      <c r="C2298" s="21" t="s">
        <v>8</v>
      </c>
      <c r="D2298" s="21" t="s">
        <v>701</v>
      </c>
      <c r="E2298" s="21" t="s">
        <v>46</v>
      </c>
      <c r="F2298" s="5812">
        <v>1</v>
      </c>
      <c r="G2298" s="5813">
        <v>0.1736111111111111</v>
      </c>
      <c r="H2298" s="21" t="s">
        <v>10</v>
      </c>
      <c r="I2298" s="21" t="s">
        <v>96</v>
      </c>
      <c r="J2298" s="21" t="s">
        <v>127</v>
      </c>
      <c r="K2298" s="5814" t="s">
        <v>8028</v>
      </c>
    </row>
    <row r="2299" spans="1:11">
      <c r="A2299" s="21" t="s">
        <v>2169</v>
      </c>
      <c r="B2299" s="21" t="s">
        <v>8029</v>
      </c>
      <c r="C2299" s="21" t="s">
        <v>22</v>
      </c>
      <c r="D2299" s="21" t="s">
        <v>701</v>
      </c>
      <c r="E2299" s="21" t="s">
        <v>46</v>
      </c>
      <c r="F2299" s="5812">
        <v>1</v>
      </c>
      <c r="G2299" s="5813">
        <v>0.17708333333333334</v>
      </c>
      <c r="H2299" s="21" t="s">
        <v>10</v>
      </c>
      <c r="I2299" s="21" t="s">
        <v>96</v>
      </c>
      <c r="J2299" s="21" t="s">
        <v>48</v>
      </c>
      <c r="K2299" s="5814" t="s">
        <v>8030</v>
      </c>
    </row>
    <row r="2300" spans="1:11">
      <c r="A2300" s="21" t="s">
        <v>4383</v>
      </c>
      <c r="B2300" s="21" t="s">
        <v>8031</v>
      </c>
      <c r="C2300" s="21" t="s">
        <v>8</v>
      </c>
      <c r="D2300" s="21" t="s">
        <v>701</v>
      </c>
      <c r="E2300" s="21" t="s">
        <v>46</v>
      </c>
      <c r="F2300" s="5812">
        <v>1</v>
      </c>
      <c r="G2300" s="5813">
        <v>0.17777777777777778</v>
      </c>
      <c r="H2300" s="21" t="s">
        <v>10</v>
      </c>
      <c r="I2300" s="21" t="s">
        <v>89</v>
      </c>
      <c r="J2300" s="21" t="s">
        <v>406</v>
      </c>
      <c r="K2300" s="5814" t="s">
        <v>8032</v>
      </c>
    </row>
    <row r="2301" spans="1:11">
      <c r="A2301" s="21" t="s">
        <v>2165</v>
      </c>
      <c r="B2301" s="21" t="s">
        <v>8033</v>
      </c>
      <c r="C2301" s="21" t="s">
        <v>22</v>
      </c>
      <c r="D2301" s="21" t="s">
        <v>701</v>
      </c>
      <c r="E2301" s="21" t="s">
        <v>46</v>
      </c>
      <c r="F2301" s="5812">
        <v>1</v>
      </c>
      <c r="G2301" s="5813">
        <v>0.17916666666666667</v>
      </c>
      <c r="H2301" s="21" t="s">
        <v>54</v>
      </c>
      <c r="I2301" s="21" t="s">
        <v>400</v>
      </c>
      <c r="J2301" s="21" t="s">
        <v>48</v>
      </c>
      <c r="K2301" s="5814" t="s">
        <v>8034</v>
      </c>
    </row>
    <row r="2302" spans="1:11">
      <c r="A2302" s="21" t="s">
        <v>2478</v>
      </c>
      <c r="B2302" s="21" t="s">
        <v>8035</v>
      </c>
      <c r="C2302" s="21" t="s">
        <v>8</v>
      </c>
      <c r="D2302" s="21" t="s">
        <v>701</v>
      </c>
      <c r="E2302" s="21" t="s">
        <v>46</v>
      </c>
      <c r="F2302" s="5812">
        <v>1</v>
      </c>
      <c r="G2302" s="5813">
        <v>0.18402777777777779</v>
      </c>
      <c r="H2302" s="21" t="s">
        <v>10</v>
      </c>
      <c r="I2302" s="21" t="s">
        <v>39</v>
      </c>
      <c r="J2302" s="21" t="s">
        <v>97</v>
      </c>
      <c r="K2302" s="5814" t="s">
        <v>8036</v>
      </c>
    </row>
    <row r="2303" spans="1:11">
      <c r="A2303" s="21" t="s">
        <v>4863</v>
      </c>
      <c r="B2303" s="21" t="s">
        <v>8037</v>
      </c>
      <c r="C2303" s="21" t="s">
        <v>8</v>
      </c>
      <c r="D2303" s="21" t="s">
        <v>701</v>
      </c>
      <c r="E2303" s="21" t="s">
        <v>46</v>
      </c>
      <c r="F2303" s="5812">
        <v>1</v>
      </c>
      <c r="G2303" s="5813">
        <v>0.18611111111111112</v>
      </c>
      <c r="H2303" s="21" t="s">
        <v>10</v>
      </c>
      <c r="I2303" s="21" t="s">
        <v>2260</v>
      </c>
      <c r="J2303" s="21" t="s">
        <v>1076</v>
      </c>
      <c r="K2303" s="5814" t="s">
        <v>8038</v>
      </c>
    </row>
    <row r="2304" spans="1:11">
      <c r="A2304" s="21" t="s">
        <v>4396</v>
      </c>
      <c r="B2304" s="21" t="s">
        <v>8039</v>
      </c>
      <c r="C2304" s="21" t="s">
        <v>8</v>
      </c>
      <c r="D2304" s="21" t="s">
        <v>701</v>
      </c>
      <c r="E2304" s="21" t="s">
        <v>46</v>
      </c>
      <c r="F2304" s="5812">
        <v>1</v>
      </c>
      <c r="G2304" s="5813">
        <v>0.18819444444444444</v>
      </c>
      <c r="H2304" s="21" t="s">
        <v>10</v>
      </c>
      <c r="I2304" s="21" t="s">
        <v>2872</v>
      </c>
      <c r="J2304" s="21" t="s">
        <v>258</v>
      </c>
      <c r="K2304" s="5814" t="s">
        <v>8040</v>
      </c>
    </row>
    <row r="2305" spans="1:11">
      <c r="A2305" s="21" t="s">
        <v>31</v>
      </c>
      <c r="B2305" s="21" t="s">
        <v>860</v>
      </c>
      <c r="C2305" s="21" t="s">
        <v>8</v>
      </c>
      <c r="D2305" s="21" t="s">
        <v>701</v>
      </c>
      <c r="E2305" s="21" t="s">
        <v>46</v>
      </c>
      <c r="F2305" s="5812">
        <v>1</v>
      </c>
      <c r="G2305" s="5813">
        <v>0.19166666666666668</v>
      </c>
      <c r="H2305" s="21" t="s">
        <v>10</v>
      </c>
      <c r="I2305" s="21" t="s">
        <v>11</v>
      </c>
      <c r="J2305" s="21" t="s">
        <v>861</v>
      </c>
      <c r="K2305" s="5814" t="s">
        <v>862</v>
      </c>
    </row>
    <row r="2306" spans="1:11">
      <c r="A2306" s="21" t="s">
        <v>2135</v>
      </c>
      <c r="B2306" s="21" t="s">
        <v>8041</v>
      </c>
      <c r="C2306" s="21" t="s">
        <v>8</v>
      </c>
      <c r="D2306" s="21" t="s">
        <v>701</v>
      </c>
      <c r="E2306" s="21" t="s">
        <v>46</v>
      </c>
      <c r="F2306" s="5812">
        <v>1</v>
      </c>
      <c r="G2306" s="5813">
        <v>0.19305555555555556</v>
      </c>
      <c r="H2306" s="21" t="s">
        <v>10</v>
      </c>
      <c r="I2306" s="21" t="s">
        <v>55</v>
      </c>
      <c r="J2306" s="21" t="s">
        <v>3132</v>
      </c>
      <c r="K2306" s="5814" t="s">
        <v>8042</v>
      </c>
    </row>
    <row r="2307" spans="1:11">
      <c r="A2307" s="21" t="s">
        <v>87</v>
      </c>
      <c r="B2307" s="21" t="s">
        <v>800</v>
      </c>
      <c r="C2307" s="21" t="s">
        <v>8</v>
      </c>
      <c r="D2307" s="21" t="s">
        <v>701</v>
      </c>
      <c r="E2307" s="21" t="s">
        <v>46</v>
      </c>
      <c r="F2307" s="5812">
        <v>1</v>
      </c>
      <c r="G2307" s="5813">
        <v>0.19583333333333333</v>
      </c>
      <c r="H2307" s="21" t="s">
        <v>10</v>
      </c>
      <c r="I2307" s="21" t="s">
        <v>233</v>
      </c>
      <c r="J2307" s="21" t="s">
        <v>97</v>
      </c>
      <c r="K2307" s="5814" t="s">
        <v>801</v>
      </c>
    </row>
    <row r="2308" spans="1:11">
      <c r="A2308" s="21" t="s">
        <v>223</v>
      </c>
      <c r="B2308" s="21" t="s">
        <v>932</v>
      </c>
      <c r="C2308" s="21" t="s">
        <v>8</v>
      </c>
      <c r="D2308" s="21" t="s">
        <v>701</v>
      </c>
      <c r="E2308" s="21" t="s">
        <v>46</v>
      </c>
      <c r="F2308" s="5812">
        <v>1</v>
      </c>
      <c r="G2308" s="5813">
        <v>0.19583333333333333</v>
      </c>
      <c r="H2308" s="21" t="s">
        <v>10</v>
      </c>
      <c r="I2308" s="21" t="s">
        <v>47</v>
      </c>
      <c r="J2308" s="21" t="s">
        <v>406</v>
      </c>
      <c r="K2308" s="5814" t="s">
        <v>933</v>
      </c>
    </row>
    <row r="2309" spans="1:11">
      <c r="A2309" s="21" t="s">
        <v>2792</v>
      </c>
      <c r="B2309" s="21" t="s">
        <v>8043</v>
      </c>
      <c r="C2309" s="21" t="s">
        <v>8</v>
      </c>
      <c r="D2309" s="21" t="s">
        <v>701</v>
      </c>
      <c r="E2309" s="21" t="s">
        <v>46</v>
      </c>
      <c r="F2309" s="5812">
        <v>1</v>
      </c>
      <c r="G2309" s="5813">
        <v>0.19722222222222222</v>
      </c>
      <c r="H2309" s="21" t="s">
        <v>10</v>
      </c>
      <c r="I2309" s="21" t="s">
        <v>8044</v>
      </c>
      <c r="J2309" s="21" t="s">
        <v>4652</v>
      </c>
      <c r="K2309" s="5814" t="s">
        <v>8045</v>
      </c>
    </row>
    <row r="2310" spans="1:11">
      <c r="A2310" s="21" t="s">
        <v>3765</v>
      </c>
      <c r="B2310" s="21" t="s">
        <v>8046</v>
      </c>
      <c r="C2310" s="21" t="s">
        <v>22</v>
      </c>
      <c r="D2310" s="21" t="s">
        <v>701</v>
      </c>
      <c r="E2310" s="21" t="s">
        <v>46</v>
      </c>
      <c r="F2310" s="5812">
        <v>1</v>
      </c>
      <c r="G2310" s="5813">
        <v>0.1986111111111111</v>
      </c>
      <c r="H2310" s="21" t="s">
        <v>10</v>
      </c>
      <c r="I2310" s="21" t="s">
        <v>8047</v>
      </c>
      <c r="J2310" s="21" t="s">
        <v>258</v>
      </c>
      <c r="K2310" s="5814" t="s">
        <v>8048</v>
      </c>
    </row>
    <row r="2311" spans="1:11">
      <c r="A2311" s="21" t="s">
        <v>3474</v>
      </c>
      <c r="B2311" s="21" t="s">
        <v>8049</v>
      </c>
      <c r="C2311" s="21" t="s">
        <v>22</v>
      </c>
      <c r="D2311" s="21" t="s">
        <v>701</v>
      </c>
      <c r="E2311" s="21" t="s">
        <v>46</v>
      </c>
      <c r="F2311" s="5812">
        <v>1</v>
      </c>
      <c r="G2311" s="5813">
        <v>0.2076388888888889</v>
      </c>
      <c r="H2311" s="21" t="s">
        <v>10</v>
      </c>
      <c r="I2311" s="21" t="s">
        <v>73</v>
      </c>
      <c r="J2311" s="21" t="s">
        <v>48</v>
      </c>
      <c r="K2311" s="5814" t="s">
        <v>8050</v>
      </c>
    </row>
    <row r="2312" spans="1:11">
      <c r="A2312" s="21" t="s">
        <v>2974</v>
      </c>
      <c r="B2312" s="21" t="s">
        <v>8051</v>
      </c>
      <c r="C2312" s="21" t="s">
        <v>8</v>
      </c>
      <c r="D2312" s="21" t="s">
        <v>701</v>
      </c>
      <c r="E2312" s="21" t="s">
        <v>46</v>
      </c>
      <c r="F2312" s="5812">
        <v>2</v>
      </c>
      <c r="G2312" s="5813">
        <v>9.7222222222222224E-3</v>
      </c>
      <c r="H2312" s="21" t="s">
        <v>10</v>
      </c>
      <c r="I2312" s="21" t="s">
        <v>39</v>
      </c>
      <c r="J2312" s="21" t="s">
        <v>48</v>
      </c>
      <c r="K2312" s="5814" t="s">
        <v>8052</v>
      </c>
    </row>
    <row r="2313" spans="1:11">
      <c r="A2313" s="21" t="s">
        <v>2675</v>
      </c>
      <c r="B2313" s="21" t="s">
        <v>8053</v>
      </c>
      <c r="C2313" s="21" t="s">
        <v>22</v>
      </c>
      <c r="D2313" s="21" t="s">
        <v>701</v>
      </c>
      <c r="E2313" s="21" t="s">
        <v>46</v>
      </c>
      <c r="F2313" s="5812">
        <v>2</v>
      </c>
      <c r="G2313" s="5813">
        <v>9.7222222222222224E-3</v>
      </c>
      <c r="H2313" s="21" t="s">
        <v>10</v>
      </c>
      <c r="I2313" s="21" t="s">
        <v>7529</v>
      </c>
      <c r="J2313" s="21" t="s">
        <v>3127</v>
      </c>
      <c r="K2313" s="5814" t="s">
        <v>8054</v>
      </c>
    </row>
    <row r="2314" spans="1:11">
      <c r="A2314" s="21" t="s">
        <v>3033</v>
      </c>
      <c r="B2314" s="21" t="s">
        <v>8055</v>
      </c>
      <c r="C2314" s="21" t="s">
        <v>8</v>
      </c>
      <c r="D2314" s="21" t="s">
        <v>701</v>
      </c>
      <c r="E2314" s="21" t="s">
        <v>46</v>
      </c>
      <c r="F2314" s="5812">
        <v>2</v>
      </c>
      <c r="G2314" s="5813">
        <v>1.1111111111111112E-2</v>
      </c>
      <c r="H2314" s="21" t="s">
        <v>10</v>
      </c>
      <c r="I2314" s="21" t="s">
        <v>96</v>
      </c>
      <c r="J2314" s="21" t="s">
        <v>48</v>
      </c>
      <c r="K2314" s="5814" t="s">
        <v>8056</v>
      </c>
    </row>
    <row r="2315" spans="1:11">
      <c r="A2315" s="21" t="s">
        <v>2428</v>
      </c>
      <c r="B2315" s="21" t="s">
        <v>8057</v>
      </c>
      <c r="C2315" s="21" t="s">
        <v>8</v>
      </c>
      <c r="D2315" s="21" t="s">
        <v>701</v>
      </c>
      <c r="E2315" s="21" t="s">
        <v>46</v>
      </c>
      <c r="F2315" s="5812">
        <v>2</v>
      </c>
      <c r="G2315" s="5813">
        <v>1.1805555555555555E-2</v>
      </c>
      <c r="H2315" s="21" t="s">
        <v>10</v>
      </c>
      <c r="I2315" s="21" t="s">
        <v>96</v>
      </c>
      <c r="J2315" s="21" t="s">
        <v>8058</v>
      </c>
      <c r="K2315" s="5814" t="s">
        <v>8059</v>
      </c>
    </row>
    <row r="2316" spans="1:11">
      <c r="A2316" s="21" t="s">
        <v>2929</v>
      </c>
      <c r="B2316" s="21" t="s">
        <v>8060</v>
      </c>
      <c r="C2316" s="21" t="s">
        <v>8</v>
      </c>
      <c r="D2316" s="21" t="s">
        <v>701</v>
      </c>
      <c r="E2316" s="21" t="s">
        <v>46</v>
      </c>
      <c r="F2316" s="5812">
        <v>2</v>
      </c>
      <c r="G2316" s="5813">
        <v>2.2916666666666665E-2</v>
      </c>
      <c r="H2316" s="21" t="s">
        <v>10</v>
      </c>
      <c r="I2316" s="21" t="s">
        <v>55</v>
      </c>
      <c r="J2316" s="21" t="s">
        <v>97</v>
      </c>
      <c r="K2316" s="5814" t="s">
        <v>8061</v>
      </c>
    </row>
    <row r="2317" spans="1:11">
      <c r="A2317" s="21" t="s">
        <v>5387</v>
      </c>
      <c r="B2317" s="21" t="s">
        <v>8062</v>
      </c>
      <c r="C2317" s="21" t="s">
        <v>22</v>
      </c>
      <c r="D2317" s="21" t="s">
        <v>701</v>
      </c>
      <c r="E2317" s="21" t="s">
        <v>46</v>
      </c>
      <c r="F2317" s="5812">
        <v>2</v>
      </c>
      <c r="G2317" s="5813">
        <v>2.5000000000000001E-2</v>
      </c>
      <c r="H2317" s="21" t="s">
        <v>10</v>
      </c>
      <c r="I2317" s="21" t="s">
        <v>11</v>
      </c>
      <c r="J2317" s="21" t="s">
        <v>48</v>
      </c>
      <c r="K2317" s="5814" t="s">
        <v>8063</v>
      </c>
    </row>
    <row r="2318" spans="1:11">
      <c r="A2318" s="21" t="s">
        <v>3551</v>
      </c>
      <c r="B2318" s="21" t="s">
        <v>8064</v>
      </c>
      <c r="C2318" s="21" t="s">
        <v>8</v>
      </c>
      <c r="D2318" s="21" t="s">
        <v>701</v>
      </c>
      <c r="E2318" s="21" t="s">
        <v>46</v>
      </c>
      <c r="F2318" s="5812">
        <v>2</v>
      </c>
      <c r="G2318" s="5813">
        <v>3.1944444444444442E-2</v>
      </c>
      <c r="H2318" s="21" t="s">
        <v>10</v>
      </c>
      <c r="I2318" s="21" t="s">
        <v>55</v>
      </c>
      <c r="J2318" s="21" t="s">
        <v>48</v>
      </c>
      <c r="K2318" s="5814" t="s">
        <v>8065</v>
      </c>
    </row>
    <row r="2319" spans="1:11">
      <c r="A2319" s="21" t="s">
        <v>2724</v>
      </c>
      <c r="B2319" s="21" t="s">
        <v>8066</v>
      </c>
      <c r="C2319" s="21" t="s">
        <v>8</v>
      </c>
      <c r="D2319" s="21" t="s">
        <v>701</v>
      </c>
      <c r="E2319" s="21" t="s">
        <v>46</v>
      </c>
      <c r="F2319" s="5812">
        <v>2</v>
      </c>
      <c r="G2319" s="5813">
        <v>4.0972222222222222E-2</v>
      </c>
      <c r="H2319" s="21" t="s">
        <v>10</v>
      </c>
      <c r="I2319" s="21" t="s">
        <v>3138</v>
      </c>
      <c r="J2319" s="21" t="s">
        <v>406</v>
      </c>
      <c r="K2319" s="5814" t="s">
        <v>8067</v>
      </c>
    </row>
    <row r="2320" spans="1:11">
      <c r="A2320" s="21" t="s">
        <v>5015</v>
      </c>
      <c r="B2320" s="21" t="s">
        <v>8068</v>
      </c>
      <c r="C2320" s="21" t="s">
        <v>22</v>
      </c>
      <c r="D2320" s="21" t="s">
        <v>701</v>
      </c>
      <c r="E2320" s="21" t="s">
        <v>46</v>
      </c>
      <c r="F2320" s="5812">
        <v>2</v>
      </c>
      <c r="G2320" s="5813">
        <v>4.1666666666666664E-2</v>
      </c>
      <c r="H2320" s="21" t="s">
        <v>54</v>
      </c>
      <c r="I2320" s="21" t="s">
        <v>55</v>
      </c>
      <c r="J2320" s="21" t="s">
        <v>722</v>
      </c>
      <c r="K2320" s="5814" t="s">
        <v>8069</v>
      </c>
    </row>
    <row r="2321" spans="1:11">
      <c r="A2321" s="21" t="s">
        <v>2979</v>
      </c>
      <c r="B2321" s="21" t="s">
        <v>8070</v>
      </c>
      <c r="C2321" s="21" t="s">
        <v>8</v>
      </c>
      <c r="D2321" s="21" t="s">
        <v>701</v>
      </c>
      <c r="E2321" s="21" t="s">
        <v>46</v>
      </c>
      <c r="F2321" s="5812">
        <v>2</v>
      </c>
      <c r="G2321" s="5813">
        <v>4.1666666666666664E-2</v>
      </c>
      <c r="H2321" s="21" t="s">
        <v>10</v>
      </c>
      <c r="I2321" s="21" t="s">
        <v>96</v>
      </c>
      <c r="J2321" s="21" t="s">
        <v>48</v>
      </c>
      <c r="K2321" s="5814" t="s">
        <v>8071</v>
      </c>
    </row>
    <row r="2322" spans="1:11">
      <c r="A2322" s="21" t="s">
        <v>52</v>
      </c>
      <c r="B2322" s="21" t="s">
        <v>906</v>
      </c>
      <c r="C2322" s="21" t="s">
        <v>8</v>
      </c>
      <c r="D2322" s="21" t="s">
        <v>701</v>
      </c>
      <c r="E2322" s="21" t="s">
        <v>46</v>
      </c>
      <c r="F2322" s="5812">
        <v>2</v>
      </c>
      <c r="G2322" s="5813">
        <v>4.2361111111111113E-2</v>
      </c>
      <c r="H2322" s="21" t="s">
        <v>10</v>
      </c>
      <c r="I2322" s="21" t="s">
        <v>23</v>
      </c>
      <c r="J2322" s="21" t="s">
        <v>907</v>
      </c>
      <c r="K2322" s="5814" t="s">
        <v>908</v>
      </c>
    </row>
    <row r="2323" spans="1:11">
      <c r="A2323" s="21" t="s">
        <v>2438</v>
      </c>
      <c r="B2323" s="21" t="s">
        <v>8072</v>
      </c>
      <c r="C2323" s="21" t="s">
        <v>22</v>
      </c>
      <c r="D2323" s="21" t="s">
        <v>701</v>
      </c>
      <c r="E2323" s="21" t="s">
        <v>46</v>
      </c>
      <c r="F2323" s="5812">
        <v>2</v>
      </c>
      <c r="G2323" s="5813">
        <v>4.6527777777777779E-2</v>
      </c>
      <c r="H2323" s="21" t="s">
        <v>10</v>
      </c>
      <c r="I2323" s="21" t="s">
        <v>47</v>
      </c>
      <c r="J2323" s="21" t="s">
        <v>48</v>
      </c>
      <c r="K2323" s="5814" t="s">
        <v>8073</v>
      </c>
    </row>
    <row r="2324" spans="1:11">
      <c r="A2324" s="21" t="s">
        <v>5148</v>
      </c>
      <c r="B2324" s="21" t="s">
        <v>8074</v>
      </c>
      <c r="C2324" s="21" t="s">
        <v>22</v>
      </c>
      <c r="D2324" s="21" t="s">
        <v>701</v>
      </c>
      <c r="E2324" s="21" t="s">
        <v>46</v>
      </c>
      <c r="F2324" s="5812">
        <v>2</v>
      </c>
      <c r="G2324" s="5813">
        <v>5.486111111111111E-2</v>
      </c>
      <c r="H2324" s="21" t="s">
        <v>10</v>
      </c>
      <c r="I2324" s="21" t="s">
        <v>226</v>
      </c>
      <c r="J2324" s="21" t="s">
        <v>722</v>
      </c>
      <c r="K2324" s="5814" t="s">
        <v>8075</v>
      </c>
    </row>
    <row r="2325" spans="1:11">
      <c r="A2325" s="21" t="s">
        <v>2119</v>
      </c>
      <c r="B2325" s="21" t="s">
        <v>8076</v>
      </c>
      <c r="C2325" s="21" t="s">
        <v>22</v>
      </c>
      <c r="D2325" s="21" t="s">
        <v>701</v>
      </c>
      <c r="E2325" s="21" t="s">
        <v>46</v>
      </c>
      <c r="F2325" s="5812">
        <v>2</v>
      </c>
      <c r="G2325" s="5813">
        <v>5.6944444444444443E-2</v>
      </c>
      <c r="H2325" s="21" t="s">
        <v>10</v>
      </c>
      <c r="I2325" s="21" t="s">
        <v>96</v>
      </c>
      <c r="J2325" s="21" t="s">
        <v>127</v>
      </c>
      <c r="K2325" s="5814" t="s">
        <v>8077</v>
      </c>
    </row>
    <row r="2326" spans="1:11">
      <c r="A2326" s="21" t="s">
        <v>2668</v>
      </c>
      <c r="B2326" s="21" t="s">
        <v>8078</v>
      </c>
      <c r="C2326" s="21" t="s">
        <v>8</v>
      </c>
      <c r="D2326" s="21" t="s">
        <v>701</v>
      </c>
      <c r="E2326" s="21" t="s">
        <v>46</v>
      </c>
      <c r="F2326" s="5812">
        <v>2</v>
      </c>
      <c r="G2326" s="5813">
        <v>5.7638888888888892E-2</v>
      </c>
      <c r="H2326" s="21" t="s">
        <v>10</v>
      </c>
      <c r="I2326" s="21" t="s">
        <v>8079</v>
      </c>
      <c r="J2326" s="21" t="s">
        <v>430</v>
      </c>
      <c r="K2326" s="5814" t="s">
        <v>8080</v>
      </c>
    </row>
    <row r="2327" spans="1:11">
      <c r="A2327" s="21" t="s">
        <v>3828</v>
      </c>
      <c r="B2327" s="21" t="s">
        <v>8081</v>
      </c>
      <c r="C2327" s="21" t="s">
        <v>8</v>
      </c>
      <c r="D2327" s="21" t="s">
        <v>701</v>
      </c>
      <c r="E2327" s="21" t="s">
        <v>46</v>
      </c>
      <c r="F2327" s="5812">
        <v>2</v>
      </c>
      <c r="G2327" s="5813">
        <v>5.9027777777777776E-2</v>
      </c>
      <c r="H2327" s="21" t="s">
        <v>10</v>
      </c>
      <c r="I2327" s="21" t="s">
        <v>55</v>
      </c>
      <c r="J2327" s="21" t="s">
        <v>97</v>
      </c>
      <c r="K2327" s="5814" t="s">
        <v>8082</v>
      </c>
    </row>
    <row r="2328" spans="1:11">
      <c r="A2328" s="21" t="s">
        <v>2258</v>
      </c>
      <c r="B2328" s="21" t="s">
        <v>8083</v>
      </c>
      <c r="C2328" s="21" t="s">
        <v>8</v>
      </c>
      <c r="D2328" s="21" t="s">
        <v>701</v>
      </c>
      <c r="E2328" s="21" t="s">
        <v>46</v>
      </c>
      <c r="F2328" s="5812">
        <v>2</v>
      </c>
      <c r="G2328" s="5813">
        <v>5.9722222222222225E-2</v>
      </c>
      <c r="H2328" s="21" t="s">
        <v>10</v>
      </c>
      <c r="I2328" s="21" t="s">
        <v>2260</v>
      </c>
      <c r="J2328" s="21" t="s">
        <v>48</v>
      </c>
      <c r="K2328" s="5814" t="s">
        <v>8084</v>
      </c>
    </row>
    <row r="2329" spans="1:11">
      <c r="A2329" s="21" t="s">
        <v>3098</v>
      </c>
      <c r="B2329" s="21" t="s">
        <v>8085</v>
      </c>
      <c r="C2329" s="21" t="s">
        <v>8</v>
      </c>
      <c r="D2329" s="21" t="s">
        <v>701</v>
      </c>
      <c r="E2329" s="21" t="s">
        <v>46</v>
      </c>
      <c r="F2329" s="5812">
        <v>2</v>
      </c>
      <c r="G2329" s="5813">
        <v>6.25E-2</v>
      </c>
      <c r="H2329" s="21" t="s">
        <v>10</v>
      </c>
      <c r="I2329" s="21" t="s">
        <v>2523</v>
      </c>
      <c r="J2329" s="21" t="s">
        <v>722</v>
      </c>
      <c r="K2329" s="5814" t="s">
        <v>8086</v>
      </c>
    </row>
    <row r="2330" spans="1:11">
      <c r="A2330" s="21" t="s">
        <v>3491</v>
      </c>
      <c r="B2330" s="21" t="s">
        <v>8087</v>
      </c>
      <c r="C2330" s="21" t="s">
        <v>8</v>
      </c>
      <c r="D2330" s="21" t="s">
        <v>701</v>
      </c>
      <c r="E2330" s="21" t="s">
        <v>46</v>
      </c>
      <c r="F2330" s="5812">
        <v>2</v>
      </c>
      <c r="G2330" s="5813">
        <v>7.6388888888888895E-2</v>
      </c>
      <c r="H2330" s="21" t="s">
        <v>10</v>
      </c>
      <c r="I2330" s="21" t="s">
        <v>55</v>
      </c>
      <c r="J2330" s="21" t="s">
        <v>48</v>
      </c>
      <c r="K2330" s="5814" t="s">
        <v>8088</v>
      </c>
    </row>
    <row r="2331" spans="1:11">
      <c r="A2331" s="21" t="s">
        <v>2108</v>
      </c>
      <c r="B2331" s="21" t="s">
        <v>8089</v>
      </c>
      <c r="C2331" s="21" t="s">
        <v>8</v>
      </c>
      <c r="D2331" s="21" t="s">
        <v>701</v>
      </c>
      <c r="E2331" s="21" t="s">
        <v>46</v>
      </c>
      <c r="F2331" s="5812">
        <v>2</v>
      </c>
      <c r="G2331" s="5813">
        <v>7.7083333333333337E-2</v>
      </c>
      <c r="H2331" s="21" t="s">
        <v>10</v>
      </c>
      <c r="I2331" s="21" t="s">
        <v>23</v>
      </c>
      <c r="J2331" s="21" t="s">
        <v>430</v>
      </c>
      <c r="K2331" s="5814" t="s">
        <v>8090</v>
      </c>
    </row>
    <row r="2332" spans="1:11">
      <c r="A2332" s="21" t="s">
        <v>3559</v>
      </c>
      <c r="B2332" s="21" t="s">
        <v>8091</v>
      </c>
      <c r="C2332" s="21" t="s">
        <v>8</v>
      </c>
      <c r="D2332" s="21" t="s">
        <v>701</v>
      </c>
      <c r="E2332" s="21" t="s">
        <v>46</v>
      </c>
      <c r="F2332" s="5812">
        <v>2</v>
      </c>
      <c r="G2332" s="5813">
        <v>8.1250000000000003E-2</v>
      </c>
      <c r="H2332" s="21" t="s">
        <v>10</v>
      </c>
      <c r="I2332" s="21" t="s">
        <v>23</v>
      </c>
      <c r="J2332" s="21" t="s">
        <v>127</v>
      </c>
      <c r="K2332" s="5814" t="s">
        <v>8092</v>
      </c>
    </row>
    <row r="2333" spans="1:11">
      <c r="A2333" s="21" t="s">
        <v>2446</v>
      </c>
      <c r="B2333" s="21" t="s">
        <v>8093</v>
      </c>
      <c r="C2333" s="21" t="s">
        <v>8</v>
      </c>
      <c r="D2333" s="21" t="s">
        <v>701</v>
      </c>
      <c r="E2333" s="21" t="s">
        <v>46</v>
      </c>
      <c r="F2333" s="5812">
        <v>2</v>
      </c>
      <c r="G2333" s="5813">
        <v>8.1944444444444445E-2</v>
      </c>
      <c r="H2333" s="21" t="s">
        <v>10</v>
      </c>
      <c r="I2333" s="21" t="s">
        <v>11</v>
      </c>
      <c r="J2333" s="21" t="s">
        <v>48</v>
      </c>
      <c r="K2333" s="5814" t="s">
        <v>8094</v>
      </c>
    </row>
    <row r="2334" spans="1:11">
      <c r="A2334" s="21" t="s">
        <v>2307</v>
      </c>
      <c r="B2334" s="21" t="s">
        <v>8095</v>
      </c>
      <c r="C2334" s="21" t="s">
        <v>22</v>
      </c>
      <c r="D2334" s="21" t="s">
        <v>701</v>
      </c>
      <c r="E2334" s="21" t="s">
        <v>46</v>
      </c>
      <c r="F2334" s="5812">
        <v>2</v>
      </c>
      <c r="G2334" s="5813">
        <v>8.5416666666666669E-2</v>
      </c>
      <c r="H2334" s="21" t="s">
        <v>54</v>
      </c>
      <c r="I2334" s="21" t="s">
        <v>55</v>
      </c>
      <c r="J2334" s="21" t="s">
        <v>3156</v>
      </c>
      <c r="K2334" s="5814" t="s">
        <v>8096</v>
      </c>
    </row>
    <row r="2335" spans="1:11">
      <c r="A2335" s="21" t="s">
        <v>2647</v>
      </c>
      <c r="B2335" s="21" t="s">
        <v>8097</v>
      </c>
      <c r="C2335" s="21" t="s">
        <v>8</v>
      </c>
      <c r="D2335" s="21" t="s">
        <v>701</v>
      </c>
      <c r="E2335" s="21" t="s">
        <v>46</v>
      </c>
      <c r="F2335" s="5812">
        <v>2</v>
      </c>
      <c r="G2335" s="5813">
        <v>8.5416666666666669E-2</v>
      </c>
      <c r="H2335" s="21" t="s">
        <v>10</v>
      </c>
      <c r="I2335" s="21" t="s">
        <v>2713</v>
      </c>
      <c r="J2335" s="21" t="s">
        <v>258</v>
      </c>
      <c r="K2335" s="5814" t="s">
        <v>8098</v>
      </c>
    </row>
    <row r="2336" spans="1:11">
      <c r="A2336" s="21" t="s">
        <v>4345</v>
      </c>
      <c r="B2336" s="21" t="s">
        <v>8099</v>
      </c>
      <c r="C2336" s="21" t="s">
        <v>22</v>
      </c>
      <c r="D2336" s="21" t="s">
        <v>701</v>
      </c>
      <c r="E2336" s="21" t="s">
        <v>46</v>
      </c>
      <c r="F2336" s="5812">
        <v>2</v>
      </c>
      <c r="G2336" s="5813">
        <v>8.7499999999999994E-2</v>
      </c>
      <c r="H2336" s="21" t="s">
        <v>10</v>
      </c>
      <c r="I2336" s="21" t="s">
        <v>2660</v>
      </c>
      <c r="J2336" s="21" t="s">
        <v>127</v>
      </c>
      <c r="K2336" s="5814" t="s">
        <v>8100</v>
      </c>
    </row>
    <row r="2337" spans="1:11">
      <c r="A2337" s="21" t="s">
        <v>4711</v>
      </c>
      <c r="B2337" s="21" t="s">
        <v>8101</v>
      </c>
      <c r="C2337" s="21" t="s">
        <v>8</v>
      </c>
      <c r="D2337" s="21" t="s">
        <v>701</v>
      </c>
      <c r="E2337" s="21" t="s">
        <v>46</v>
      </c>
      <c r="F2337" s="5812">
        <v>2</v>
      </c>
      <c r="G2337" s="5813">
        <v>9.0972222222222218E-2</v>
      </c>
      <c r="H2337" s="21" t="s">
        <v>10</v>
      </c>
      <c r="I2337" s="21" t="s">
        <v>194</v>
      </c>
      <c r="J2337" s="21" t="s">
        <v>48</v>
      </c>
      <c r="K2337" s="5814" t="s">
        <v>8102</v>
      </c>
    </row>
    <row r="2338" spans="1:11">
      <c r="A2338" s="21" t="s">
        <v>2354</v>
      </c>
      <c r="B2338" s="21" t="s">
        <v>8103</v>
      </c>
      <c r="C2338" s="21" t="s">
        <v>8</v>
      </c>
      <c r="D2338" s="21" t="s">
        <v>701</v>
      </c>
      <c r="E2338" s="21" t="s">
        <v>46</v>
      </c>
      <c r="F2338" s="5812">
        <v>2</v>
      </c>
      <c r="G2338" s="5813">
        <v>9.5138888888888884E-2</v>
      </c>
      <c r="H2338" s="21" t="s">
        <v>10</v>
      </c>
      <c r="I2338" s="21" t="s">
        <v>233</v>
      </c>
      <c r="J2338" s="21" t="s">
        <v>154</v>
      </c>
      <c r="K2338" s="5814" t="s">
        <v>8104</v>
      </c>
    </row>
    <row r="2339" spans="1:11">
      <c r="A2339" s="21" t="s">
        <v>4170</v>
      </c>
      <c r="B2339" s="21" t="s">
        <v>8105</v>
      </c>
      <c r="C2339" s="21" t="s">
        <v>8</v>
      </c>
      <c r="D2339" s="21" t="s">
        <v>701</v>
      </c>
      <c r="E2339" s="21" t="s">
        <v>46</v>
      </c>
      <c r="F2339" s="5812">
        <v>2</v>
      </c>
      <c r="G2339" s="5813">
        <v>9.8611111111111108E-2</v>
      </c>
      <c r="H2339" s="21" t="s">
        <v>10</v>
      </c>
      <c r="I2339" s="21" t="s">
        <v>3725</v>
      </c>
      <c r="J2339" s="21" t="s">
        <v>4586</v>
      </c>
      <c r="K2339" s="5814" t="s">
        <v>8106</v>
      </c>
    </row>
    <row r="2340" spans="1:11">
      <c r="A2340" s="21" t="s">
        <v>135</v>
      </c>
      <c r="B2340" s="21" t="s">
        <v>849</v>
      </c>
      <c r="C2340" s="21" t="s">
        <v>8</v>
      </c>
      <c r="D2340" s="21" t="s">
        <v>701</v>
      </c>
      <c r="E2340" s="21" t="s">
        <v>46</v>
      </c>
      <c r="F2340" s="5812">
        <v>2</v>
      </c>
      <c r="G2340" s="5813">
        <v>0.10555555555555556</v>
      </c>
      <c r="H2340" s="21" t="s">
        <v>54</v>
      </c>
      <c r="I2340" s="21" t="s">
        <v>89</v>
      </c>
      <c r="J2340" s="21" t="s">
        <v>48</v>
      </c>
      <c r="K2340" s="5814" t="s">
        <v>850</v>
      </c>
    </row>
    <row r="2341" spans="1:11">
      <c r="A2341" s="21" t="s">
        <v>3481</v>
      </c>
      <c r="B2341" s="21" t="s">
        <v>8107</v>
      </c>
      <c r="C2341" s="21" t="s">
        <v>8</v>
      </c>
      <c r="D2341" s="21" t="s">
        <v>701</v>
      </c>
      <c r="E2341" s="21" t="s">
        <v>46</v>
      </c>
      <c r="F2341" s="5812">
        <v>2</v>
      </c>
      <c r="G2341" s="5813">
        <v>0.10555555555555556</v>
      </c>
      <c r="H2341" s="21" t="s">
        <v>54</v>
      </c>
      <c r="I2341" s="21" t="s">
        <v>55</v>
      </c>
      <c r="J2341" s="21" t="s">
        <v>97</v>
      </c>
      <c r="K2341" s="5814" t="s">
        <v>8108</v>
      </c>
    </row>
    <row r="2342" spans="1:11">
      <c r="A2342" s="21" t="s">
        <v>3664</v>
      </c>
      <c r="B2342" s="21" t="s">
        <v>8109</v>
      </c>
      <c r="C2342" s="21" t="s">
        <v>8</v>
      </c>
      <c r="D2342" s="21" t="s">
        <v>701</v>
      </c>
      <c r="E2342" s="21" t="s">
        <v>46</v>
      </c>
      <c r="F2342" s="5812">
        <v>2</v>
      </c>
      <c r="G2342" s="5813">
        <v>0.10833333333333334</v>
      </c>
      <c r="H2342" s="21" t="s">
        <v>10</v>
      </c>
      <c r="I2342" s="21" t="s">
        <v>2435</v>
      </c>
      <c r="J2342" s="21" t="s">
        <v>48</v>
      </c>
      <c r="K2342" s="5814" t="s">
        <v>8110</v>
      </c>
    </row>
    <row r="2343" spans="1:11">
      <c r="A2343" s="21" t="s">
        <v>3491</v>
      </c>
      <c r="B2343" s="21" t="s">
        <v>8111</v>
      </c>
      <c r="C2343" s="21" t="s">
        <v>22</v>
      </c>
      <c r="D2343" s="21" t="s">
        <v>701</v>
      </c>
      <c r="E2343" s="21" t="s">
        <v>46</v>
      </c>
      <c r="F2343" s="5812">
        <v>2</v>
      </c>
      <c r="G2343" s="5813">
        <v>0.10902777777777778</v>
      </c>
      <c r="H2343" s="21" t="s">
        <v>10</v>
      </c>
      <c r="I2343" s="21" t="s">
        <v>96</v>
      </c>
      <c r="J2343" s="21" t="s">
        <v>48</v>
      </c>
      <c r="K2343" s="5814" t="s">
        <v>8112</v>
      </c>
    </row>
    <row r="2344" spans="1:11">
      <c r="A2344" s="21" t="s">
        <v>2362</v>
      </c>
      <c r="B2344" s="21" t="s">
        <v>8113</v>
      </c>
      <c r="C2344" s="21" t="s">
        <v>8</v>
      </c>
      <c r="D2344" s="21" t="s">
        <v>701</v>
      </c>
      <c r="E2344" s="21" t="s">
        <v>46</v>
      </c>
      <c r="F2344" s="5812">
        <v>2</v>
      </c>
      <c r="G2344" s="5813">
        <v>0.11458333333333333</v>
      </c>
      <c r="H2344" s="21" t="s">
        <v>10</v>
      </c>
      <c r="I2344" s="21" t="s">
        <v>11</v>
      </c>
      <c r="J2344" s="21" t="s">
        <v>48</v>
      </c>
      <c r="K2344" s="5814" t="s">
        <v>8114</v>
      </c>
    </row>
    <row r="2345" spans="1:11">
      <c r="A2345" s="21" t="s">
        <v>2982</v>
      </c>
      <c r="B2345" s="21" t="s">
        <v>8115</v>
      </c>
      <c r="C2345" s="21" t="s">
        <v>22</v>
      </c>
      <c r="D2345" s="21" t="s">
        <v>701</v>
      </c>
      <c r="E2345" s="21" t="s">
        <v>46</v>
      </c>
      <c r="F2345" s="5812">
        <v>2</v>
      </c>
      <c r="G2345" s="5813">
        <v>0.11874999999999999</v>
      </c>
      <c r="H2345" s="21" t="s">
        <v>10</v>
      </c>
      <c r="I2345" s="21" t="s">
        <v>226</v>
      </c>
      <c r="J2345" s="21" t="s">
        <v>127</v>
      </c>
      <c r="K2345" s="5814" t="s">
        <v>8116</v>
      </c>
    </row>
    <row r="2346" spans="1:11">
      <c r="A2346" s="21" t="s">
        <v>2327</v>
      </c>
      <c r="B2346" s="21" t="s">
        <v>8117</v>
      </c>
      <c r="C2346" s="21" t="s">
        <v>22</v>
      </c>
      <c r="D2346" s="21" t="s">
        <v>701</v>
      </c>
      <c r="E2346" s="21" t="s">
        <v>46</v>
      </c>
      <c r="F2346" s="5812">
        <v>2</v>
      </c>
      <c r="G2346" s="5813">
        <v>0.12430555555555556</v>
      </c>
      <c r="H2346" s="21" t="s">
        <v>10</v>
      </c>
      <c r="I2346" s="21" t="s">
        <v>55</v>
      </c>
      <c r="J2346" s="21" t="s">
        <v>48</v>
      </c>
      <c r="K2346" s="5814" t="s">
        <v>8118</v>
      </c>
    </row>
    <row r="2347" spans="1:11">
      <c r="A2347" s="21" t="s">
        <v>4565</v>
      </c>
      <c r="B2347" s="21" t="s">
        <v>8119</v>
      </c>
      <c r="C2347" s="21" t="s">
        <v>8</v>
      </c>
      <c r="D2347" s="21" t="s">
        <v>701</v>
      </c>
      <c r="E2347" s="21" t="s">
        <v>46</v>
      </c>
      <c r="F2347" s="5812">
        <v>2</v>
      </c>
      <c r="G2347" s="5813">
        <v>0.12569444444444444</v>
      </c>
      <c r="H2347" s="21" t="s">
        <v>10</v>
      </c>
      <c r="I2347" s="21" t="s">
        <v>6556</v>
      </c>
      <c r="J2347" s="21" t="s">
        <v>258</v>
      </c>
      <c r="K2347" s="5814" t="s">
        <v>8120</v>
      </c>
    </row>
    <row r="2348" spans="1:11">
      <c r="A2348" s="21" t="s">
        <v>4317</v>
      </c>
      <c r="B2348" s="21" t="s">
        <v>8121</v>
      </c>
      <c r="C2348" s="21" t="s">
        <v>8</v>
      </c>
      <c r="D2348" s="21" t="s">
        <v>701</v>
      </c>
      <c r="E2348" s="21" t="s">
        <v>46</v>
      </c>
      <c r="F2348" s="5812">
        <v>2</v>
      </c>
      <c r="G2348" s="5813">
        <v>0.12638888888888888</v>
      </c>
      <c r="H2348" s="21" t="s">
        <v>10</v>
      </c>
      <c r="I2348" s="21" t="s">
        <v>2860</v>
      </c>
      <c r="J2348" s="21" t="s">
        <v>940</v>
      </c>
      <c r="K2348" s="5814" t="s">
        <v>8122</v>
      </c>
    </row>
    <row r="2349" spans="1:11">
      <c r="A2349" s="21" t="s">
        <v>2424</v>
      </c>
      <c r="B2349" s="21" t="s">
        <v>8123</v>
      </c>
      <c r="C2349" s="21" t="s">
        <v>22</v>
      </c>
      <c r="D2349" s="21" t="s">
        <v>701</v>
      </c>
      <c r="E2349" s="21" t="s">
        <v>46</v>
      </c>
      <c r="F2349" s="5812">
        <v>2</v>
      </c>
      <c r="G2349" s="5813">
        <v>0.12847222222222221</v>
      </c>
      <c r="H2349" s="21" t="s">
        <v>10</v>
      </c>
      <c r="I2349" s="21" t="s">
        <v>23</v>
      </c>
      <c r="J2349" s="21" t="s">
        <v>48</v>
      </c>
      <c r="K2349" s="5814" t="s">
        <v>8124</v>
      </c>
    </row>
    <row r="2350" spans="1:11">
      <c r="A2350" s="21" t="s">
        <v>2383</v>
      </c>
      <c r="B2350" s="21" t="s">
        <v>8125</v>
      </c>
      <c r="C2350" s="21" t="s">
        <v>8</v>
      </c>
      <c r="D2350" s="21" t="s">
        <v>701</v>
      </c>
      <c r="E2350" s="21" t="s">
        <v>46</v>
      </c>
      <c r="F2350" s="5812">
        <v>2</v>
      </c>
      <c r="G2350" s="5813">
        <v>0.13055555555555556</v>
      </c>
      <c r="H2350" s="21" t="s">
        <v>10</v>
      </c>
      <c r="I2350" s="21" t="s">
        <v>11</v>
      </c>
      <c r="J2350" s="21" t="s">
        <v>154</v>
      </c>
      <c r="K2350" s="5814" t="s">
        <v>8126</v>
      </c>
    </row>
    <row r="2351" spans="1:11">
      <c r="A2351" s="21" t="s">
        <v>3183</v>
      </c>
      <c r="B2351" s="21" t="s">
        <v>8127</v>
      </c>
      <c r="C2351" s="21" t="s">
        <v>8</v>
      </c>
      <c r="D2351" s="21" t="s">
        <v>701</v>
      </c>
      <c r="E2351" s="21" t="s">
        <v>46</v>
      </c>
      <c r="F2351" s="5812">
        <v>2</v>
      </c>
      <c r="G2351" s="5813">
        <v>0.14027777777777778</v>
      </c>
      <c r="H2351" s="21" t="s">
        <v>10</v>
      </c>
      <c r="I2351" s="21" t="s">
        <v>55</v>
      </c>
      <c r="J2351" s="21" t="s">
        <v>48</v>
      </c>
      <c r="K2351" s="5814" t="s">
        <v>8128</v>
      </c>
    </row>
    <row r="2352" spans="1:11">
      <c r="A2352" s="21" t="s">
        <v>3116</v>
      </c>
      <c r="B2352" s="21" t="s">
        <v>8129</v>
      </c>
      <c r="C2352" s="21" t="s">
        <v>22</v>
      </c>
      <c r="D2352" s="21" t="s">
        <v>701</v>
      </c>
      <c r="E2352" s="21" t="s">
        <v>46</v>
      </c>
      <c r="F2352" s="5812">
        <v>2</v>
      </c>
      <c r="G2352" s="5813">
        <v>0.14305555555555555</v>
      </c>
      <c r="H2352" s="21" t="s">
        <v>10</v>
      </c>
      <c r="I2352" s="21" t="s">
        <v>96</v>
      </c>
      <c r="J2352" s="21" t="s">
        <v>8130</v>
      </c>
      <c r="K2352" s="5814" t="s">
        <v>8131</v>
      </c>
    </row>
    <row r="2353" spans="1:11">
      <c r="A2353" s="21" t="s">
        <v>2788</v>
      </c>
      <c r="B2353" s="21" t="s">
        <v>8132</v>
      </c>
      <c r="C2353" s="21" t="s">
        <v>8</v>
      </c>
      <c r="D2353" s="21" t="s">
        <v>701</v>
      </c>
      <c r="E2353" s="21" t="s">
        <v>46</v>
      </c>
      <c r="F2353" s="5812">
        <v>2</v>
      </c>
      <c r="G2353" s="5813">
        <v>0.14930555555555555</v>
      </c>
      <c r="H2353" s="21" t="s">
        <v>10</v>
      </c>
      <c r="I2353" s="21" t="s">
        <v>233</v>
      </c>
      <c r="J2353" s="21" t="s">
        <v>154</v>
      </c>
      <c r="K2353" s="5814" t="s">
        <v>8133</v>
      </c>
    </row>
    <row r="2354" spans="1:11">
      <c r="A2354" s="21" t="s">
        <v>3328</v>
      </c>
      <c r="B2354" s="21" t="s">
        <v>8134</v>
      </c>
      <c r="C2354" s="21" t="s">
        <v>22</v>
      </c>
      <c r="D2354" s="21" t="s">
        <v>701</v>
      </c>
      <c r="E2354" s="21" t="s">
        <v>46</v>
      </c>
      <c r="F2354" s="5812">
        <v>2</v>
      </c>
      <c r="G2354" s="5813">
        <v>0.15486111111111112</v>
      </c>
      <c r="H2354" s="21" t="s">
        <v>10</v>
      </c>
      <c r="I2354" s="21" t="s">
        <v>194</v>
      </c>
      <c r="J2354" s="21" t="s">
        <v>722</v>
      </c>
      <c r="K2354" s="5814" t="s">
        <v>8135</v>
      </c>
    </row>
    <row r="2355" spans="1:11">
      <c r="A2355" s="21" t="s">
        <v>2918</v>
      </c>
      <c r="B2355" s="21" t="s">
        <v>8136</v>
      </c>
      <c r="C2355" s="21" t="s">
        <v>22</v>
      </c>
      <c r="D2355" s="21" t="s">
        <v>701</v>
      </c>
      <c r="E2355" s="21" t="s">
        <v>46</v>
      </c>
      <c r="F2355" s="5812">
        <v>2</v>
      </c>
      <c r="G2355" s="5813">
        <v>0.15555555555555556</v>
      </c>
      <c r="H2355" s="21" t="s">
        <v>2081</v>
      </c>
      <c r="I2355" s="21" t="s">
        <v>47</v>
      </c>
      <c r="J2355" s="21" t="s">
        <v>907</v>
      </c>
      <c r="K2355" s="5814" t="s">
        <v>8137</v>
      </c>
    </row>
    <row r="2356" spans="1:11">
      <c r="A2356" s="21" t="s">
        <v>4233</v>
      </c>
      <c r="B2356" s="21" t="s">
        <v>6972</v>
      </c>
      <c r="C2356" s="21" t="s">
        <v>22</v>
      </c>
      <c r="D2356" s="21" t="s">
        <v>701</v>
      </c>
      <c r="E2356" s="21" t="s">
        <v>46</v>
      </c>
      <c r="F2356" s="5812">
        <v>2</v>
      </c>
      <c r="G2356" s="5813">
        <v>0.1701388888888889</v>
      </c>
      <c r="H2356" s="21" t="s">
        <v>54</v>
      </c>
      <c r="I2356" s="21" t="s">
        <v>47</v>
      </c>
      <c r="J2356" s="21" t="s">
        <v>97</v>
      </c>
      <c r="K2356" s="5814" t="s">
        <v>8138</v>
      </c>
    </row>
    <row r="2357" spans="1:11">
      <c r="A2357" s="21" t="s">
        <v>2372</v>
      </c>
      <c r="B2357" s="21" t="s">
        <v>8139</v>
      </c>
      <c r="C2357" s="21" t="s">
        <v>8</v>
      </c>
      <c r="D2357" s="21" t="s">
        <v>701</v>
      </c>
      <c r="E2357" s="21" t="s">
        <v>46</v>
      </c>
      <c r="F2357" s="5812">
        <v>2</v>
      </c>
      <c r="G2357" s="5813">
        <v>0.17083333333333334</v>
      </c>
      <c r="H2357" s="21" t="s">
        <v>10</v>
      </c>
      <c r="I2357" s="21" t="s">
        <v>11</v>
      </c>
      <c r="J2357" s="21" t="s">
        <v>861</v>
      </c>
      <c r="K2357" s="5814" t="s">
        <v>8140</v>
      </c>
    </row>
    <row r="2358" spans="1:11">
      <c r="A2358" s="21" t="s">
        <v>5168</v>
      </c>
      <c r="B2358" s="21" t="s">
        <v>8141</v>
      </c>
      <c r="C2358" s="21" t="s">
        <v>22</v>
      </c>
      <c r="D2358" s="21" t="s">
        <v>701</v>
      </c>
      <c r="E2358" s="21" t="s">
        <v>46</v>
      </c>
      <c r="F2358" s="5812">
        <v>2</v>
      </c>
      <c r="G2358" s="5813">
        <v>0.17083333333333334</v>
      </c>
      <c r="H2358" s="21" t="s">
        <v>10</v>
      </c>
      <c r="I2358" s="21" t="s">
        <v>226</v>
      </c>
      <c r="J2358" s="21" t="s">
        <v>3063</v>
      </c>
      <c r="K2358" s="5814" t="s">
        <v>8142</v>
      </c>
    </row>
    <row r="2359" spans="1:11">
      <c r="A2359" s="21" t="s">
        <v>2197</v>
      </c>
      <c r="B2359" s="21" t="s">
        <v>8143</v>
      </c>
      <c r="C2359" s="21" t="s">
        <v>8</v>
      </c>
      <c r="D2359" s="21" t="s">
        <v>701</v>
      </c>
      <c r="E2359" s="21" t="s">
        <v>46</v>
      </c>
      <c r="F2359" s="5812">
        <v>2</v>
      </c>
      <c r="G2359" s="5813">
        <v>0.1736111111111111</v>
      </c>
      <c r="H2359" s="21" t="s">
        <v>10</v>
      </c>
      <c r="I2359" s="21" t="s">
        <v>47</v>
      </c>
      <c r="J2359" s="21" t="s">
        <v>1321</v>
      </c>
      <c r="K2359" s="5814" t="s">
        <v>8144</v>
      </c>
    </row>
    <row r="2360" spans="1:11">
      <c r="A2360" s="21" t="s">
        <v>103</v>
      </c>
      <c r="B2360" s="21" t="s">
        <v>744</v>
      </c>
      <c r="C2360" s="21" t="s">
        <v>22</v>
      </c>
      <c r="D2360" s="21" t="s">
        <v>701</v>
      </c>
      <c r="E2360" s="21" t="s">
        <v>46</v>
      </c>
      <c r="F2360" s="5812">
        <v>2</v>
      </c>
      <c r="G2360" s="5813">
        <v>0.17430555555555555</v>
      </c>
      <c r="H2360" s="21" t="s">
        <v>10</v>
      </c>
      <c r="I2360" s="21" t="s">
        <v>55</v>
      </c>
      <c r="J2360" s="21" t="s">
        <v>430</v>
      </c>
      <c r="K2360" s="5814" t="s">
        <v>745</v>
      </c>
    </row>
    <row r="2361" spans="1:11">
      <c r="A2361" s="21" t="s">
        <v>2824</v>
      </c>
      <c r="B2361" s="21" t="s">
        <v>8145</v>
      </c>
      <c r="C2361" s="21" t="s">
        <v>8</v>
      </c>
      <c r="D2361" s="21" t="s">
        <v>701</v>
      </c>
      <c r="E2361" s="21" t="s">
        <v>46</v>
      </c>
      <c r="F2361" s="5812">
        <v>2</v>
      </c>
      <c r="G2361" s="5813">
        <v>0.17847222222222223</v>
      </c>
      <c r="H2361" s="21" t="s">
        <v>10</v>
      </c>
      <c r="I2361" s="21" t="s">
        <v>263</v>
      </c>
      <c r="J2361" s="21" t="s">
        <v>258</v>
      </c>
      <c r="K2361" s="5814" t="s">
        <v>8146</v>
      </c>
    </row>
    <row r="2362" spans="1:11">
      <c r="A2362" s="21" t="s">
        <v>2139</v>
      </c>
      <c r="B2362" s="21" t="s">
        <v>8147</v>
      </c>
      <c r="C2362" s="21" t="s">
        <v>22</v>
      </c>
      <c r="D2362" s="21" t="s">
        <v>701</v>
      </c>
      <c r="E2362" s="21" t="s">
        <v>46</v>
      </c>
      <c r="F2362" s="5812">
        <v>2</v>
      </c>
      <c r="G2362" s="5813">
        <v>0.18402777777777779</v>
      </c>
      <c r="H2362" s="21" t="s">
        <v>10</v>
      </c>
      <c r="I2362" s="21" t="s">
        <v>55</v>
      </c>
      <c r="J2362" s="21" t="s">
        <v>97</v>
      </c>
      <c r="K2362" s="5814" t="s">
        <v>8148</v>
      </c>
    </row>
    <row r="2363" spans="1:11">
      <c r="A2363" s="21" t="s">
        <v>4293</v>
      </c>
      <c r="B2363" s="21" t="s">
        <v>8149</v>
      </c>
      <c r="C2363" s="21" t="s">
        <v>22</v>
      </c>
      <c r="D2363" s="21" t="s">
        <v>701</v>
      </c>
      <c r="E2363" s="21" t="s">
        <v>46</v>
      </c>
      <c r="F2363" s="5812">
        <v>2</v>
      </c>
      <c r="G2363" s="5813">
        <v>0.19166666666666668</v>
      </c>
      <c r="H2363" s="21" t="s">
        <v>10</v>
      </c>
      <c r="I2363" s="21" t="s">
        <v>400</v>
      </c>
      <c r="J2363" s="21" t="s">
        <v>406</v>
      </c>
      <c r="K2363" s="5814" t="s">
        <v>8150</v>
      </c>
    </row>
    <row r="2364" spans="1:11">
      <c r="A2364" s="21" t="s">
        <v>3286</v>
      </c>
      <c r="B2364" s="21" t="s">
        <v>8151</v>
      </c>
      <c r="C2364" s="21" t="s">
        <v>22</v>
      </c>
      <c r="D2364" s="21" t="s">
        <v>701</v>
      </c>
      <c r="E2364" s="21" t="s">
        <v>46</v>
      </c>
      <c r="F2364" s="5812">
        <v>2</v>
      </c>
      <c r="G2364" s="5813">
        <v>0.19444444444444445</v>
      </c>
      <c r="H2364" s="21" t="s">
        <v>10</v>
      </c>
      <c r="I2364" s="21" t="s">
        <v>2713</v>
      </c>
      <c r="J2364" s="21" t="s">
        <v>1076</v>
      </c>
      <c r="K2364" s="5814" t="s">
        <v>8152</v>
      </c>
    </row>
    <row r="2365" spans="1:11">
      <c r="A2365" s="21" t="s">
        <v>2311</v>
      </c>
      <c r="B2365" s="21" t="s">
        <v>8153</v>
      </c>
      <c r="C2365" s="21" t="s">
        <v>8</v>
      </c>
      <c r="D2365" s="21" t="s">
        <v>701</v>
      </c>
      <c r="E2365" s="21" t="s">
        <v>46</v>
      </c>
      <c r="F2365" s="5812">
        <v>2</v>
      </c>
      <c r="G2365" s="5813">
        <v>0.19722222222222222</v>
      </c>
      <c r="H2365" s="21" t="s">
        <v>10</v>
      </c>
      <c r="I2365" s="21" t="s">
        <v>2313</v>
      </c>
      <c r="J2365" s="21" t="s">
        <v>127</v>
      </c>
      <c r="K2365" s="5814" t="s">
        <v>8154</v>
      </c>
    </row>
    <row r="2366" spans="1:11">
      <c r="A2366" s="21" t="s">
        <v>5264</v>
      </c>
      <c r="B2366" s="21" t="s">
        <v>8155</v>
      </c>
      <c r="C2366" s="21" t="s">
        <v>8</v>
      </c>
      <c r="D2366" s="21" t="s">
        <v>701</v>
      </c>
      <c r="E2366" s="21" t="s">
        <v>46</v>
      </c>
      <c r="F2366" s="5812">
        <v>2</v>
      </c>
      <c r="G2366" s="5813">
        <v>0.19722222222222222</v>
      </c>
      <c r="H2366" s="21" t="s">
        <v>10</v>
      </c>
      <c r="I2366" s="21" t="s">
        <v>96</v>
      </c>
      <c r="J2366" s="21" t="s">
        <v>722</v>
      </c>
      <c r="K2366" s="5814" t="s">
        <v>8156</v>
      </c>
    </row>
    <row r="2367" spans="1:11">
      <c r="A2367" s="21" t="s">
        <v>4313</v>
      </c>
      <c r="B2367" s="21" t="s">
        <v>8157</v>
      </c>
      <c r="C2367" s="21" t="s">
        <v>22</v>
      </c>
      <c r="D2367" s="21" t="s">
        <v>701</v>
      </c>
      <c r="E2367" s="21" t="s">
        <v>46</v>
      </c>
      <c r="F2367" s="5812">
        <v>2</v>
      </c>
      <c r="G2367" s="5813">
        <v>0.2</v>
      </c>
      <c r="H2367" s="21" t="s">
        <v>54</v>
      </c>
      <c r="I2367" s="21" t="s">
        <v>2297</v>
      </c>
      <c r="J2367" s="21" t="s">
        <v>1203</v>
      </c>
      <c r="K2367" s="5814" t="s">
        <v>8158</v>
      </c>
    </row>
    <row r="2368" spans="1:11">
      <c r="A2368" s="21" t="s">
        <v>4003</v>
      </c>
      <c r="B2368" s="21" t="s">
        <v>8159</v>
      </c>
      <c r="C2368" s="21" t="s">
        <v>22</v>
      </c>
      <c r="D2368" s="21" t="s">
        <v>701</v>
      </c>
      <c r="E2368" s="21" t="s">
        <v>46</v>
      </c>
      <c r="F2368" s="5812">
        <v>2</v>
      </c>
      <c r="G2368" s="5813">
        <v>0.20208333333333334</v>
      </c>
      <c r="H2368" s="21" t="s">
        <v>10</v>
      </c>
      <c r="I2368" s="21" t="s">
        <v>23</v>
      </c>
      <c r="J2368" s="21" t="s">
        <v>258</v>
      </c>
      <c r="K2368" s="5814" t="s">
        <v>8160</v>
      </c>
    </row>
    <row r="2369" spans="1:11">
      <c r="A2369" s="21" t="s">
        <v>5554</v>
      </c>
      <c r="B2369" s="21" t="s">
        <v>8161</v>
      </c>
      <c r="C2369" s="21" t="s">
        <v>22</v>
      </c>
      <c r="D2369" s="21" t="s">
        <v>701</v>
      </c>
      <c r="E2369" s="21" t="s">
        <v>46</v>
      </c>
      <c r="F2369" s="5812">
        <v>2</v>
      </c>
      <c r="G2369" s="5813">
        <v>0.2048611111111111</v>
      </c>
      <c r="H2369" s="21" t="s">
        <v>10</v>
      </c>
      <c r="I2369" s="21" t="s">
        <v>11</v>
      </c>
      <c r="J2369" s="21" t="s">
        <v>48</v>
      </c>
      <c r="K2369" s="5814" t="s">
        <v>8162</v>
      </c>
    </row>
    <row r="2370" spans="1:11">
      <c r="A2370" s="21" t="s">
        <v>4170</v>
      </c>
      <c r="B2370" s="21" t="s">
        <v>8163</v>
      </c>
      <c r="C2370" s="21" t="s">
        <v>22</v>
      </c>
      <c r="D2370" s="21" t="s">
        <v>701</v>
      </c>
      <c r="E2370" s="21" t="s">
        <v>46</v>
      </c>
      <c r="F2370" s="5812">
        <v>2</v>
      </c>
      <c r="G2370" s="5813">
        <v>0.20555555555555555</v>
      </c>
      <c r="H2370" s="21" t="s">
        <v>10</v>
      </c>
      <c r="I2370" s="21" t="s">
        <v>2713</v>
      </c>
      <c r="J2370" s="21" t="s">
        <v>97</v>
      </c>
      <c r="K2370" s="5814" t="s">
        <v>8164</v>
      </c>
    </row>
    <row r="2371" spans="1:11">
      <c r="A2371" s="21" t="s">
        <v>3328</v>
      </c>
      <c r="B2371" s="21" t="s">
        <v>8165</v>
      </c>
      <c r="C2371" s="21" t="s">
        <v>8</v>
      </c>
      <c r="D2371" s="21" t="s">
        <v>701</v>
      </c>
      <c r="E2371" s="21" t="s">
        <v>46</v>
      </c>
      <c r="F2371" s="5812">
        <v>2</v>
      </c>
      <c r="G2371" s="5813">
        <v>0.2076388888888889</v>
      </c>
      <c r="H2371" s="21" t="s">
        <v>10</v>
      </c>
      <c r="I2371" s="21" t="s">
        <v>194</v>
      </c>
      <c r="J2371" s="21" t="s">
        <v>258</v>
      </c>
      <c r="K2371" s="5814" t="s">
        <v>8166</v>
      </c>
    </row>
    <row r="2372" spans="1:11">
      <c r="A2372" s="21" t="s">
        <v>3195</v>
      </c>
      <c r="B2372" s="21" t="s">
        <v>8167</v>
      </c>
      <c r="C2372" s="21" t="s">
        <v>8</v>
      </c>
      <c r="D2372" s="21" t="s">
        <v>701</v>
      </c>
      <c r="E2372" s="21" t="s">
        <v>46</v>
      </c>
      <c r="F2372" s="5812">
        <v>2</v>
      </c>
      <c r="G2372" s="5813">
        <v>0.2076388888888889</v>
      </c>
      <c r="H2372" s="21" t="s">
        <v>10</v>
      </c>
      <c r="I2372" s="21" t="s">
        <v>194</v>
      </c>
      <c r="J2372" s="21" t="s">
        <v>48</v>
      </c>
      <c r="K2372" s="5814" t="s">
        <v>8168</v>
      </c>
    </row>
    <row r="2373" spans="1:11">
      <c r="A2373" s="21" t="s">
        <v>5148</v>
      </c>
      <c r="B2373" s="21" t="s">
        <v>8169</v>
      </c>
      <c r="C2373" s="21" t="s">
        <v>8</v>
      </c>
      <c r="D2373" s="21" t="s">
        <v>701</v>
      </c>
      <c r="E2373" s="21" t="s">
        <v>46</v>
      </c>
      <c r="F2373" s="5812">
        <v>2</v>
      </c>
      <c r="G2373" s="5813">
        <v>0.20833333333333334</v>
      </c>
      <c r="H2373" s="21" t="s">
        <v>10</v>
      </c>
      <c r="I2373" s="21" t="s">
        <v>96</v>
      </c>
      <c r="J2373" s="21" t="s">
        <v>3175</v>
      </c>
      <c r="K2373" s="5814" t="s">
        <v>8170</v>
      </c>
    </row>
    <row r="2374" spans="1:11">
      <c r="A2374" s="21" t="s">
        <v>4249</v>
      </c>
      <c r="B2374" s="21" t="s">
        <v>8171</v>
      </c>
      <c r="C2374" s="21" t="s">
        <v>22</v>
      </c>
      <c r="D2374" s="21" t="s">
        <v>701</v>
      </c>
      <c r="E2374" s="21" t="s">
        <v>46</v>
      </c>
      <c r="F2374" s="5812">
        <v>2</v>
      </c>
      <c r="G2374" s="5813">
        <v>0.20833333333333334</v>
      </c>
      <c r="H2374" s="21" t="s">
        <v>10</v>
      </c>
      <c r="I2374" s="21" t="s">
        <v>226</v>
      </c>
      <c r="J2374" s="21" t="s">
        <v>3175</v>
      </c>
      <c r="K2374" s="5814" t="s">
        <v>8172</v>
      </c>
    </row>
    <row r="2375" spans="1:11">
      <c r="A2375" s="21" t="s">
        <v>2776</v>
      </c>
      <c r="B2375" s="21" t="s">
        <v>8173</v>
      </c>
      <c r="C2375" s="21" t="s">
        <v>22</v>
      </c>
      <c r="D2375" s="21" t="s">
        <v>701</v>
      </c>
      <c r="E2375" s="21" t="s">
        <v>46</v>
      </c>
      <c r="F2375" s="5812">
        <v>3</v>
      </c>
      <c r="G2375" s="5813">
        <v>4.8611111111111112E-3</v>
      </c>
      <c r="H2375" s="21" t="s">
        <v>10</v>
      </c>
      <c r="I2375" s="21" t="s">
        <v>8174</v>
      </c>
      <c r="J2375" s="21" t="s">
        <v>2953</v>
      </c>
      <c r="K2375" s="5814" t="s">
        <v>8175</v>
      </c>
    </row>
    <row r="2376" spans="1:11">
      <c r="A2376" s="21" t="s">
        <v>20</v>
      </c>
      <c r="B2376" s="21" t="s">
        <v>844</v>
      </c>
      <c r="C2376" s="21" t="s">
        <v>8</v>
      </c>
      <c r="D2376" s="21" t="s">
        <v>701</v>
      </c>
      <c r="E2376" s="21" t="s">
        <v>46</v>
      </c>
      <c r="F2376" s="5812">
        <v>3</v>
      </c>
      <c r="G2376" s="5813">
        <v>1.0416666666666666E-2</v>
      </c>
      <c r="H2376" s="21" t="s">
        <v>10</v>
      </c>
      <c r="I2376" s="21" t="s">
        <v>39</v>
      </c>
      <c r="J2376" s="21" t="s">
        <v>616</v>
      </c>
      <c r="K2376" s="5814" t="s">
        <v>845</v>
      </c>
    </row>
    <row r="2377" spans="1:11">
      <c r="A2377" s="21" t="s">
        <v>31</v>
      </c>
      <c r="B2377" s="21" t="s">
        <v>761</v>
      </c>
      <c r="C2377" s="21" t="s">
        <v>22</v>
      </c>
      <c r="D2377" s="21" t="s">
        <v>701</v>
      </c>
      <c r="E2377" s="21" t="s">
        <v>46</v>
      </c>
      <c r="F2377" s="5812">
        <v>3</v>
      </c>
      <c r="G2377" s="5813">
        <v>3.4027777777777775E-2</v>
      </c>
      <c r="H2377" s="21" t="s">
        <v>10</v>
      </c>
      <c r="I2377" s="21" t="s">
        <v>23</v>
      </c>
      <c r="J2377" s="21" t="s">
        <v>48</v>
      </c>
      <c r="K2377" s="5814" t="s">
        <v>762</v>
      </c>
    </row>
    <row r="2378" spans="1:11">
      <c r="A2378" s="21" t="s">
        <v>4293</v>
      </c>
      <c r="B2378" s="21" t="s">
        <v>8176</v>
      </c>
      <c r="C2378" s="21" t="s">
        <v>8</v>
      </c>
      <c r="D2378" s="21" t="s">
        <v>701</v>
      </c>
      <c r="E2378" s="21" t="s">
        <v>46</v>
      </c>
      <c r="F2378" s="5812">
        <v>3</v>
      </c>
      <c r="G2378" s="5813">
        <v>3.4027777777777775E-2</v>
      </c>
      <c r="H2378" s="21" t="s">
        <v>10</v>
      </c>
      <c r="I2378" s="21" t="s">
        <v>2297</v>
      </c>
      <c r="J2378" s="21" t="s">
        <v>406</v>
      </c>
      <c r="K2378" s="5814" t="s">
        <v>8177</v>
      </c>
    </row>
    <row r="2379" spans="1:11">
      <c r="A2379" s="21" t="s">
        <v>2272</v>
      </c>
      <c r="B2379" s="21" t="s">
        <v>8178</v>
      </c>
      <c r="C2379" s="21" t="s">
        <v>8</v>
      </c>
      <c r="D2379" s="21" t="s">
        <v>701</v>
      </c>
      <c r="E2379" s="21" t="s">
        <v>46</v>
      </c>
      <c r="F2379" s="5812">
        <v>3</v>
      </c>
      <c r="G2379" s="5813">
        <v>3.5416666666666666E-2</v>
      </c>
      <c r="H2379" s="21" t="s">
        <v>10</v>
      </c>
      <c r="I2379" s="21" t="s">
        <v>2247</v>
      </c>
      <c r="J2379" s="21" t="s">
        <v>48</v>
      </c>
      <c r="K2379" s="5814" t="s">
        <v>8179</v>
      </c>
    </row>
    <row r="2380" spans="1:11">
      <c r="A2380" s="21" t="s">
        <v>2605</v>
      </c>
      <c r="B2380" s="21" t="s">
        <v>8180</v>
      </c>
      <c r="C2380" s="21" t="s">
        <v>22</v>
      </c>
      <c r="D2380" s="21" t="s">
        <v>701</v>
      </c>
      <c r="E2380" s="21" t="s">
        <v>46</v>
      </c>
      <c r="F2380" s="5812">
        <v>3</v>
      </c>
      <c r="G2380" s="5813">
        <v>5.1388888888888887E-2</v>
      </c>
      <c r="H2380" s="21" t="s">
        <v>10</v>
      </c>
      <c r="I2380" s="21" t="s">
        <v>226</v>
      </c>
      <c r="J2380" s="21" t="s">
        <v>127</v>
      </c>
      <c r="K2380" s="5814" t="s">
        <v>8181</v>
      </c>
    </row>
    <row r="2381" spans="1:11">
      <c r="A2381" s="21" t="s">
        <v>5390</v>
      </c>
      <c r="B2381" s="21" t="s">
        <v>8182</v>
      </c>
      <c r="C2381" s="21" t="s">
        <v>8</v>
      </c>
      <c r="D2381" s="21" t="s">
        <v>701</v>
      </c>
      <c r="E2381" s="21" t="s">
        <v>46</v>
      </c>
      <c r="F2381" s="5812">
        <v>3</v>
      </c>
      <c r="G2381" s="5813">
        <v>6.25E-2</v>
      </c>
      <c r="H2381" s="21" t="s">
        <v>10</v>
      </c>
      <c r="I2381" s="21" t="s">
        <v>89</v>
      </c>
      <c r="J2381" s="21" t="s">
        <v>518</v>
      </c>
      <c r="K2381" s="5814" t="s">
        <v>8183</v>
      </c>
    </row>
    <row r="2382" spans="1:11">
      <c r="A2382" s="21" t="s">
        <v>2538</v>
      </c>
      <c r="B2382" s="21" t="s">
        <v>8184</v>
      </c>
      <c r="C2382" s="21" t="s">
        <v>8</v>
      </c>
      <c r="D2382" s="21" t="s">
        <v>701</v>
      </c>
      <c r="E2382" s="21" t="s">
        <v>46</v>
      </c>
      <c r="F2382" s="5812">
        <v>3</v>
      </c>
      <c r="G2382" s="5813">
        <v>6.25E-2</v>
      </c>
      <c r="H2382" s="21" t="s">
        <v>10</v>
      </c>
      <c r="I2382" s="21" t="s">
        <v>55</v>
      </c>
      <c r="J2382" s="21" t="s">
        <v>48</v>
      </c>
      <c r="K2382" s="5814" t="s">
        <v>8185</v>
      </c>
    </row>
    <row r="2383" spans="1:11">
      <c r="A2383" s="21" t="s">
        <v>4383</v>
      </c>
      <c r="B2383" s="21" t="s">
        <v>8186</v>
      </c>
      <c r="C2383" s="21" t="s">
        <v>8</v>
      </c>
      <c r="D2383" s="21" t="s">
        <v>701</v>
      </c>
      <c r="E2383" s="21" t="s">
        <v>46</v>
      </c>
      <c r="F2383" s="5812">
        <v>3</v>
      </c>
      <c r="G2383" s="5813">
        <v>7.7777777777777779E-2</v>
      </c>
      <c r="H2383" s="21" t="s">
        <v>10</v>
      </c>
      <c r="I2383" s="21" t="s">
        <v>89</v>
      </c>
      <c r="J2383" s="21" t="s">
        <v>48</v>
      </c>
      <c r="K2383" s="5814" t="s">
        <v>8187</v>
      </c>
    </row>
    <row r="2384" spans="1:11">
      <c r="A2384" s="21" t="s">
        <v>5220</v>
      </c>
      <c r="B2384" s="21" t="s">
        <v>8188</v>
      </c>
      <c r="C2384" s="21" t="s">
        <v>22</v>
      </c>
      <c r="D2384" s="21" t="s">
        <v>701</v>
      </c>
      <c r="E2384" s="21" t="s">
        <v>46</v>
      </c>
      <c r="F2384" s="5812">
        <v>3</v>
      </c>
      <c r="G2384" s="5813">
        <v>8.0555555555555561E-2</v>
      </c>
      <c r="H2384" s="21" t="s">
        <v>10</v>
      </c>
      <c r="I2384" s="21" t="s">
        <v>2713</v>
      </c>
      <c r="J2384" s="21" t="s">
        <v>48</v>
      </c>
      <c r="K2384" s="5814" t="s">
        <v>8189</v>
      </c>
    </row>
    <row r="2385" spans="1:11">
      <c r="A2385" s="21" t="s">
        <v>2216</v>
      </c>
      <c r="B2385" s="21" t="s">
        <v>8190</v>
      </c>
      <c r="C2385" s="21" t="s">
        <v>8</v>
      </c>
      <c r="D2385" s="21" t="s">
        <v>701</v>
      </c>
      <c r="E2385" s="21" t="s">
        <v>46</v>
      </c>
      <c r="F2385" s="5812">
        <v>3</v>
      </c>
      <c r="G2385" s="5813">
        <v>8.8888888888888892E-2</v>
      </c>
      <c r="H2385" s="21" t="s">
        <v>54</v>
      </c>
      <c r="I2385" s="21" t="s">
        <v>11</v>
      </c>
      <c r="J2385" s="21" t="s">
        <v>6809</v>
      </c>
      <c r="K2385" s="5814" t="s">
        <v>8191</v>
      </c>
    </row>
    <row r="2386" spans="1:11">
      <c r="A2386" s="21" t="s">
        <v>2663</v>
      </c>
      <c r="B2386" s="21" t="s">
        <v>8192</v>
      </c>
      <c r="C2386" s="21" t="s">
        <v>8</v>
      </c>
      <c r="D2386" s="21" t="s">
        <v>701</v>
      </c>
      <c r="E2386" s="21" t="s">
        <v>46</v>
      </c>
      <c r="F2386" s="5812">
        <v>3</v>
      </c>
      <c r="G2386" s="5813">
        <v>9.6527777777777782E-2</v>
      </c>
      <c r="H2386" s="21" t="s">
        <v>10</v>
      </c>
      <c r="I2386" s="21" t="s">
        <v>4254</v>
      </c>
      <c r="J2386" s="21" t="s">
        <v>4589</v>
      </c>
      <c r="K2386" s="5814" t="s">
        <v>8193</v>
      </c>
    </row>
    <row r="2387" spans="1:11">
      <c r="A2387" s="21" t="s">
        <v>2897</v>
      </c>
      <c r="B2387" s="21" t="s">
        <v>8194</v>
      </c>
      <c r="C2387" s="21" t="s">
        <v>22</v>
      </c>
      <c r="D2387" s="21" t="s">
        <v>701</v>
      </c>
      <c r="E2387" s="21" t="s">
        <v>46</v>
      </c>
      <c r="F2387" s="5812">
        <v>3</v>
      </c>
      <c r="G2387" s="5813">
        <v>9.7222222222222224E-2</v>
      </c>
      <c r="H2387" s="21" t="s">
        <v>10</v>
      </c>
      <c r="I2387" s="21" t="s">
        <v>55</v>
      </c>
      <c r="J2387" s="21" t="s">
        <v>8195</v>
      </c>
      <c r="K2387" s="5814" t="s">
        <v>8196</v>
      </c>
    </row>
    <row r="2388" spans="1:11">
      <c r="A2388" s="21" t="s">
        <v>2663</v>
      </c>
      <c r="B2388" s="21" t="s">
        <v>8197</v>
      </c>
      <c r="C2388" s="21" t="s">
        <v>22</v>
      </c>
      <c r="D2388" s="21" t="s">
        <v>701</v>
      </c>
      <c r="E2388" s="21" t="s">
        <v>46</v>
      </c>
      <c r="F2388" s="5812">
        <v>3</v>
      </c>
      <c r="G2388" s="5813">
        <v>0.11041666666666666</v>
      </c>
      <c r="H2388" s="21" t="s">
        <v>10</v>
      </c>
      <c r="I2388" s="21" t="s">
        <v>4254</v>
      </c>
      <c r="J2388" s="21" t="s">
        <v>97</v>
      </c>
      <c r="K2388" s="5814" t="s">
        <v>8198</v>
      </c>
    </row>
    <row r="2389" spans="1:11">
      <c r="A2389" s="21" t="s">
        <v>4552</v>
      </c>
      <c r="B2389" s="21" t="s">
        <v>8199</v>
      </c>
      <c r="C2389" s="21" t="s">
        <v>22</v>
      </c>
      <c r="D2389" s="21" t="s">
        <v>701</v>
      </c>
      <c r="E2389" s="21" t="s">
        <v>46</v>
      </c>
      <c r="F2389" s="5812">
        <v>3</v>
      </c>
      <c r="G2389" s="5813">
        <v>0.13680555555555557</v>
      </c>
      <c r="H2389" s="21" t="s">
        <v>10</v>
      </c>
      <c r="I2389" s="21" t="s">
        <v>23</v>
      </c>
      <c r="J2389" s="21" t="s">
        <v>48</v>
      </c>
      <c r="K2389" s="5814" t="s">
        <v>8200</v>
      </c>
    </row>
    <row r="2390" spans="1:11">
      <c r="A2390" s="21" t="s">
        <v>3249</v>
      </c>
      <c r="B2390" s="21" t="s">
        <v>8201</v>
      </c>
      <c r="C2390" s="21" t="s">
        <v>8</v>
      </c>
      <c r="D2390" s="21" t="s">
        <v>701</v>
      </c>
      <c r="E2390" s="21" t="s">
        <v>46</v>
      </c>
      <c r="F2390" s="5812">
        <v>3</v>
      </c>
      <c r="G2390" s="5813">
        <v>0.1423611111111111</v>
      </c>
      <c r="H2390" s="21" t="s">
        <v>10</v>
      </c>
      <c r="I2390" s="21" t="s">
        <v>11</v>
      </c>
      <c r="J2390" s="21" t="s">
        <v>430</v>
      </c>
      <c r="K2390" s="5814" t="s">
        <v>8202</v>
      </c>
    </row>
    <row r="2391" spans="1:11">
      <c r="A2391" s="21" t="s">
        <v>2295</v>
      </c>
      <c r="B2391" s="21" t="s">
        <v>8203</v>
      </c>
      <c r="C2391" s="21" t="s">
        <v>22</v>
      </c>
      <c r="D2391" s="21" t="s">
        <v>701</v>
      </c>
      <c r="E2391" s="21" t="s">
        <v>46</v>
      </c>
      <c r="F2391" s="5812">
        <v>3</v>
      </c>
      <c r="G2391" s="5813">
        <v>0.14583333333333334</v>
      </c>
      <c r="H2391" s="21" t="s">
        <v>10</v>
      </c>
      <c r="I2391" s="21" t="s">
        <v>55</v>
      </c>
      <c r="J2391" s="21" t="s">
        <v>4586</v>
      </c>
      <c r="K2391" s="5814" t="s">
        <v>8204</v>
      </c>
    </row>
    <row r="2392" spans="1:11">
      <c r="A2392" s="21" t="s">
        <v>5148</v>
      </c>
      <c r="B2392" s="21" t="s">
        <v>8205</v>
      </c>
      <c r="C2392" s="21" t="s">
        <v>8</v>
      </c>
      <c r="D2392" s="21" t="s">
        <v>701</v>
      </c>
      <c r="E2392" s="21" t="s">
        <v>46</v>
      </c>
      <c r="F2392" s="5812">
        <v>3</v>
      </c>
      <c r="G2392" s="5813">
        <v>0.15416666666666667</v>
      </c>
      <c r="H2392" s="21" t="s">
        <v>10</v>
      </c>
      <c r="I2392" s="21" t="s">
        <v>96</v>
      </c>
      <c r="J2392" s="21" t="s">
        <v>907</v>
      </c>
      <c r="K2392" s="5814" t="s">
        <v>8206</v>
      </c>
    </row>
    <row r="2393" spans="1:11">
      <c r="A2393" s="21" t="s">
        <v>5168</v>
      </c>
      <c r="B2393" s="21" t="s">
        <v>8207</v>
      </c>
      <c r="C2393" s="21" t="s">
        <v>8</v>
      </c>
      <c r="D2393" s="21" t="s">
        <v>701</v>
      </c>
      <c r="E2393" s="21" t="s">
        <v>46</v>
      </c>
      <c r="F2393" s="5812">
        <v>3</v>
      </c>
      <c r="G2393" s="5813">
        <v>0.16597222222222222</v>
      </c>
      <c r="H2393" s="21" t="s">
        <v>10</v>
      </c>
      <c r="I2393" s="21" t="s">
        <v>55</v>
      </c>
      <c r="J2393" s="21" t="s">
        <v>940</v>
      </c>
      <c r="K2393" s="5814" t="s">
        <v>8208</v>
      </c>
    </row>
    <row r="2394" spans="1:11">
      <c r="A2394" s="21" t="s">
        <v>2471</v>
      </c>
      <c r="B2394" s="21" t="s">
        <v>8209</v>
      </c>
      <c r="C2394" s="21" t="s">
        <v>8</v>
      </c>
      <c r="D2394" s="21" t="s">
        <v>701</v>
      </c>
      <c r="E2394" s="21" t="s">
        <v>46</v>
      </c>
      <c r="F2394" s="5812">
        <v>3</v>
      </c>
      <c r="G2394" s="5813">
        <v>0.19097222222222221</v>
      </c>
      <c r="H2394" s="21" t="s">
        <v>10</v>
      </c>
      <c r="I2394" s="21" t="s">
        <v>23</v>
      </c>
      <c r="J2394" s="21" t="s">
        <v>127</v>
      </c>
      <c r="K2394" s="5814" t="s">
        <v>8210</v>
      </c>
    </row>
    <row r="2395" spans="1:11">
      <c r="A2395" s="21" t="s">
        <v>3208</v>
      </c>
      <c r="B2395" s="21" t="s">
        <v>8211</v>
      </c>
      <c r="C2395" s="21" t="s">
        <v>8</v>
      </c>
      <c r="D2395" s="21" t="s">
        <v>701</v>
      </c>
      <c r="E2395" s="21" t="s">
        <v>46</v>
      </c>
      <c r="F2395" s="5812">
        <v>3</v>
      </c>
      <c r="G2395" s="5813">
        <v>0.19791666666666666</v>
      </c>
      <c r="H2395" s="21" t="s">
        <v>10</v>
      </c>
      <c r="I2395" s="21" t="s">
        <v>609</v>
      </c>
      <c r="J2395" s="21" t="s">
        <v>48</v>
      </c>
      <c r="K2395" s="5814" t="s">
        <v>8212</v>
      </c>
    </row>
    <row r="2396" spans="1:11">
      <c r="A2396" s="21" t="s">
        <v>339</v>
      </c>
      <c r="B2396" s="21" t="s">
        <v>716</v>
      </c>
      <c r="C2396" s="21" t="s">
        <v>8</v>
      </c>
      <c r="D2396" s="21" t="s">
        <v>701</v>
      </c>
      <c r="E2396" s="21" t="s">
        <v>46</v>
      </c>
      <c r="F2396" s="5812">
        <v>3</v>
      </c>
      <c r="G2396" s="5813">
        <v>0.20208333333333334</v>
      </c>
      <c r="H2396" s="21" t="s">
        <v>10</v>
      </c>
      <c r="I2396" s="21" t="s">
        <v>263</v>
      </c>
      <c r="J2396" s="21" t="s">
        <v>430</v>
      </c>
      <c r="K2396" s="5814" t="s">
        <v>717</v>
      </c>
    </row>
    <row r="2397" spans="1:11">
      <c r="A2397" s="21" t="s">
        <v>2481</v>
      </c>
      <c r="B2397" s="21" t="s">
        <v>8213</v>
      </c>
      <c r="C2397" s="21" t="s">
        <v>22</v>
      </c>
      <c r="D2397" s="21" t="s">
        <v>701</v>
      </c>
      <c r="E2397" s="21" t="s">
        <v>46</v>
      </c>
      <c r="F2397" s="5812">
        <v>3</v>
      </c>
      <c r="G2397" s="5813">
        <v>0.2048611111111111</v>
      </c>
      <c r="H2397" s="21" t="s">
        <v>10</v>
      </c>
      <c r="I2397" s="21" t="s">
        <v>39</v>
      </c>
      <c r="J2397" s="21" t="s">
        <v>3094</v>
      </c>
      <c r="K2397" s="5814" t="s">
        <v>8214</v>
      </c>
    </row>
    <row r="2398" spans="1:11">
      <c r="A2398" s="21" t="s">
        <v>2969</v>
      </c>
      <c r="B2398" s="21" t="s">
        <v>8215</v>
      </c>
      <c r="C2398" s="21" t="s">
        <v>22</v>
      </c>
      <c r="D2398" s="21" t="s">
        <v>701</v>
      </c>
      <c r="E2398" s="21" t="s">
        <v>46</v>
      </c>
      <c r="F2398" s="5812">
        <v>3</v>
      </c>
      <c r="G2398" s="5813">
        <v>0.2076388888888889</v>
      </c>
      <c r="H2398" s="21" t="s">
        <v>10</v>
      </c>
      <c r="I2398" s="21" t="s">
        <v>23</v>
      </c>
      <c r="J2398" s="21" t="s">
        <v>127</v>
      </c>
      <c r="K2398" s="5814" t="s">
        <v>8216</v>
      </c>
    </row>
    <row r="2399" spans="1:11">
      <c r="A2399" s="21" t="s">
        <v>2724</v>
      </c>
      <c r="B2399" s="21" t="s">
        <v>8068</v>
      </c>
      <c r="C2399" s="21" t="s">
        <v>8</v>
      </c>
      <c r="D2399" s="21" t="s">
        <v>701</v>
      </c>
      <c r="E2399" s="21" t="s">
        <v>46</v>
      </c>
      <c r="F2399" s="5812">
        <v>4</v>
      </c>
      <c r="G2399" s="5813">
        <v>2.2916666666666665E-2</v>
      </c>
      <c r="H2399" s="21" t="s">
        <v>54</v>
      </c>
      <c r="I2399" s="21" t="s">
        <v>55</v>
      </c>
      <c r="J2399" s="21" t="s">
        <v>406</v>
      </c>
      <c r="K2399" s="5814" t="s">
        <v>8217</v>
      </c>
    </row>
    <row r="2400" spans="1:11">
      <c r="A2400" s="21" t="s">
        <v>2403</v>
      </c>
      <c r="B2400" s="21" t="s">
        <v>8218</v>
      </c>
      <c r="C2400" s="21" t="s">
        <v>22</v>
      </c>
      <c r="D2400" s="21" t="s">
        <v>701</v>
      </c>
      <c r="E2400" s="21" t="s">
        <v>46</v>
      </c>
      <c r="F2400" s="5812">
        <v>5</v>
      </c>
      <c r="G2400" s="5813">
        <v>1.2500000000000001E-2</v>
      </c>
      <c r="H2400" s="21" t="s">
        <v>54</v>
      </c>
      <c r="I2400" s="21" t="s">
        <v>39</v>
      </c>
      <c r="J2400" s="21" t="s">
        <v>48</v>
      </c>
      <c r="K2400" s="5814" t="s">
        <v>8219</v>
      </c>
    </row>
    <row r="2401" spans="1:11">
      <c r="A2401" s="21" t="s">
        <v>103</v>
      </c>
      <c r="B2401" s="21" t="s">
        <v>817</v>
      </c>
      <c r="C2401" s="21" t="s">
        <v>22</v>
      </c>
      <c r="D2401" s="21" t="s">
        <v>701</v>
      </c>
      <c r="E2401" s="21" t="s">
        <v>46</v>
      </c>
      <c r="F2401" s="5812">
        <v>5</v>
      </c>
      <c r="G2401" s="5813">
        <v>0.2076388888888889</v>
      </c>
      <c r="H2401" s="21" t="s">
        <v>54</v>
      </c>
      <c r="I2401" s="21" t="s">
        <v>47</v>
      </c>
      <c r="J2401" s="21" t="s">
        <v>48</v>
      </c>
      <c r="K2401" s="5814" t="s">
        <v>818</v>
      </c>
    </row>
    <row r="2402" spans="1:11">
      <c r="A2402" s="21" t="s">
        <v>3613</v>
      </c>
      <c r="B2402" s="21" t="s">
        <v>8220</v>
      </c>
      <c r="C2402" s="21" t="s">
        <v>179</v>
      </c>
      <c r="D2402" s="21" t="s">
        <v>701</v>
      </c>
      <c r="E2402" s="21" t="s">
        <v>920</v>
      </c>
      <c r="F2402" s="5812">
        <v>1</v>
      </c>
      <c r="G2402" s="5813">
        <v>2.1527777777777778E-2</v>
      </c>
      <c r="H2402" s="21" t="s">
        <v>10</v>
      </c>
      <c r="I2402" s="21" t="s">
        <v>23</v>
      </c>
      <c r="J2402" s="21" t="s">
        <v>8221</v>
      </c>
      <c r="K2402" s="5814" t="s">
        <v>8222</v>
      </c>
    </row>
    <row r="2403" spans="1:11">
      <c r="A2403" s="21" t="s">
        <v>65</v>
      </c>
      <c r="B2403" s="21" t="s">
        <v>919</v>
      </c>
      <c r="C2403" s="21" t="s">
        <v>179</v>
      </c>
      <c r="D2403" s="21" t="s">
        <v>701</v>
      </c>
      <c r="E2403" s="21" t="s">
        <v>920</v>
      </c>
      <c r="F2403" s="5812">
        <v>3</v>
      </c>
      <c r="G2403" s="5813">
        <v>0.13263888888888889</v>
      </c>
      <c r="H2403" s="21" t="s">
        <v>10</v>
      </c>
      <c r="I2403" s="21" t="s">
        <v>89</v>
      </c>
      <c r="J2403" s="21" t="s">
        <v>921</v>
      </c>
      <c r="K2403" s="5814" t="s">
        <v>922</v>
      </c>
    </row>
    <row r="2404" spans="1:11">
      <c r="A2404" s="21" t="s">
        <v>2258</v>
      </c>
      <c r="B2404" s="21" t="s">
        <v>8223</v>
      </c>
      <c r="C2404" s="21" t="s">
        <v>8</v>
      </c>
      <c r="D2404" s="21" t="s">
        <v>701</v>
      </c>
      <c r="E2404" s="21" t="s">
        <v>61</v>
      </c>
      <c r="F2404" s="5812">
        <v>1</v>
      </c>
      <c r="G2404" s="5813">
        <v>1.6666666666666666E-2</v>
      </c>
      <c r="H2404" s="21" t="s">
        <v>10</v>
      </c>
      <c r="I2404" s="21" t="s">
        <v>2731</v>
      </c>
      <c r="J2404" s="21" t="s">
        <v>67</v>
      </c>
      <c r="K2404" s="5814" t="s">
        <v>8224</v>
      </c>
    </row>
    <row r="2405" spans="1:11">
      <c r="A2405" s="21" t="s">
        <v>2250</v>
      </c>
      <c r="B2405" s="21" t="s">
        <v>8225</v>
      </c>
      <c r="C2405" s="21" t="s">
        <v>8</v>
      </c>
      <c r="D2405" s="21" t="s">
        <v>701</v>
      </c>
      <c r="E2405" s="21" t="s">
        <v>61</v>
      </c>
      <c r="F2405" s="5812">
        <v>1</v>
      </c>
      <c r="G2405" s="5813">
        <v>1.7361111111111112E-2</v>
      </c>
      <c r="H2405" s="21" t="s">
        <v>10</v>
      </c>
      <c r="I2405" s="21" t="s">
        <v>2297</v>
      </c>
      <c r="J2405" s="21" t="s">
        <v>67</v>
      </c>
      <c r="K2405" s="5814" t="s">
        <v>8226</v>
      </c>
    </row>
    <row r="2406" spans="1:11">
      <c r="A2406" s="21" t="s">
        <v>2065</v>
      </c>
      <c r="B2406" s="21" t="s">
        <v>8227</v>
      </c>
      <c r="C2406" s="21" t="s">
        <v>8</v>
      </c>
      <c r="D2406" s="21" t="s">
        <v>701</v>
      </c>
      <c r="E2406" s="21" t="s">
        <v>61</v>
      </c>
      <c r="F2406" s="5812">
        <v>1</v>
      </c>
      <c r="G2406" s="5813">
        <v>3.0555555555555555E-2</v>
      </c>
      <c r="H2406" s="21" t="s">
        <v>10</v>
      </c>
      <c r="I2406" s="21" t="s">
        <v>2176</v>
      </c>
      <c r="J2406" s="21" t="s">
        <v>67</v>
      </c>
      <c r="K2406" s="5814" t="s">
        <v>8228</v>
      </c>
    </row>
    <row r="2407" spans="1:11">
      <c r="A2407" s="21" t="s">
        <v>2045</v>
      </c>
      <c r="B2407" s="21" t="s">
        <v>8229</v>
      </c>
      <c r="C2407" s="21" t="s">
        <v>22</v>
      </c>
      <c r="D2407" s="21" t="s">
        <v>701</v>
      </c>
      <c r="E2407" s="21" t="s">
        <v>61</v>
      </c>
      <c r="F2407" s="5812">
        <v>1</v>
      </c>
      <c r="G2407" s="5813">
        <v>3.125E-2</v>
      </c>
      <c r="H2407" s="21" t="s">
        <v>10</v>
      </c>
      <c r="I2407" s="21" t="s">
        <v>47</v>
      </c>
      <c r="J2407" s="21" t="s">
        <v>4770</v>
      </c>
      <c r="K2407" s="5814" t="s">
        <v>8230</v>
      </c>
    </row>
    <row r="2408" spans="1:11">
      <c r="A2408" s="21" t="s">
        <v>3260</v>
      </c>
      <c r="B2408" s="21" t="s">
        <v>8231</v>
      </c>
      <c r="C2408" s="21" t="s">
        <v>8</v>
      </c>
      <c r="D2408" s="21" t="s">
        <v>701</v>
      </c>
      <c r="E2408" s="21" t="s">
        <v>61</v>
      </c>
      <c r="F2408" s="5812">
        <v>1</v>
      </c>
      <c r="G2408" s="5813">
        <v>3.7499999999999999E-2</v>
      </c>
      <c r="H2408" s="21" t="s">
        <v>10</v>
      </c>
      <c r="I2408" s="21" t="s">
        <v>55</v>
      </c>
      <c r="J2408" s="21" t="s">
        <v>3313</v>
      </c>
      <c r="K2408" s="5814" t="s">
        <v>8232</v>
      </c>
    </row>
    <row r="2409" spans="1:11">
      <c r="A2409" s="21" t="s">
        <v>5387</v>
      </c>
      <c r="B2409" s="21" t="s">
        <v>8233</v>
      </c>
      <c r="C2409" s="21" t="s">
        <v>8</v>
      </c>
      <c r="D2409" s="21" t="s">
        <v>701</v>
      </c>
      <c r="E2409" s="21" t="s">
        <v>61</v>
      </c>
      <c r="F2409" s="5812">
        <v>1</v>
      </c>
      <c r="G2409" s="5813">
        <v>4.027777777777778E-2</v>
      </c>
      <c r="H2409" s="21" t="s">
        <v>10</v>
      </c>
      <c r="I2409" s="21" t="s">
        <v>55</v>
      </c>
      <c r="J2409" s="21" t="s">
        <v>110</v>
      </c>
      <c r="K2409" s="5814" t="s">
        <v>8234</v>
      </c>
    </row>
    <row r="2410" spans="1:11">
      <c r="A2410" s="21" t="s">
        <v>2491</v>
      </c>
      <c r="B2410" s="21" t="s">
        <v>8235</v>
      </c>
      <c r="C2410" s="21" t="s">
        <v>22</v>
      </c>
      <c r="D2410" s="21" t="s">
        <v>701</v>
      </c>
      <c r="E2410" s="21" t="s">
        <v>61</v>
      </c>
      <c r="F2410" s="5812">
        <v>1</v>
      </c>
      <c r="G2410" s="5813">
        <v>4.5138888888888888E-2</v>
      </c>
      <c r="H2410" s="21" t="s">
        <v>10</v>
      </c>
      <c r="I2410" s="21" t="s">
        <v>89</v>
      </c>
      <c r="J2410" s="21" t="s">
        <v>1194</v>
      </c>
      <c r="K2410" s="5814" t="s">
        <v>8236</v>
      </c>
    </row>
    <row r="2411" spans="1:11">
      <c r="A2411" s="21" t="s">
        <v>3053</v>
      </c>
      <c r="B2411" s="21" t="s">
        <v>8237</v>
      </c>
      <c r="C2411" s="21" t="s">
        <v>22</v>
      </c>
      <c r="D2411" s="21" t="s">
        <v>701</v>
      </c>
      <c r="E2411" s="21" t="s">
        <v>61</v>
      </c>
      <c r="F2411" s="5812">
        <v>1</v>
      </c>
      <c r="G2411" s="5813">
        <v>0.05</v>
      </c>
      <c r="H2411" s="21" t="s">
        <v>10</v>
      </c>
      <c r="I2411" s="21" t="s">
        <v>47</v>
      </c>
      <c r="J2411" s="21" t="s">
        <v>67</v>
      </c>
      <c r="K2411" s="5814" t="s">
        <v>8238</v>
      </c>
    </row>
    <row r="2412" spans="1:11">
      <c r="A2412" s="21" t="s">
        <v>2663</v>
      </c>
      <c r="B2412" s="21" t="s">
        <v>8239</v>
      </c>
      <c r="C2412" s="21" t="s">
        <v>22</v>
      </c>
      <c r="D2412" s="21" t="s">
        <v>701</v>
      </c>
      <c r="E2412" s="21" t="s">
        <v>61</v>
      </c>
      <c r="F2412" s="5812">
        <v>1</v>
      </c>
      <c r="G2412" s="5813">
        <v>5.2083333333333336E-2</v>
      </c>
      <c r="H2412" s="21" t="s">
        <v>10</v>
      </c>
      <c r="I2412" s="21" t="s">
        <v>11</v>
      </c>
      <c r="J2412" s="21" t="s">
        <v>67</v>
      </c>
      <c r="K2412" s="5814" t="s">
        <v>8240</v>
      </c>
    </row>
    <row r="2413" spans="1:11">
      <c r="A2413" s="21" t="s">
        <v>2870</v>
      </c>
      <c r="B2413" s="21" t="s">
        <v>8241</v>
      </c>
      <c r="C2413" s="21" t="s">
        <v>22</v>
      </c>
      <c r="D2413" s="21" t="s">
        <v>701</v>
      </c>
      <c r="E2413" s="21" t="s">
        <v>61</v>
      </c>
      <c r="F2413" s="5812">
        <v>1</v>
      </c>
      <c r="G2413" s="5813">
        <v>6.0416666666666667E-2</v>
      </c>
      <c r="H2413" s="21" t="s">
        <v>10</v>
      </c>
      <c r="I2413" s="21" t="s">
        <v>2665</v>
      </c>
      <c r="J2413" s="21" t="s">
        <v>67</v>
      </c>
      <c r="K2413" s="5814" t="s">
        <v>8242</v>
      </c>
    </row>
    <row r="2414" spans="1:11">
      <c r="A2414" s="21" t="s">
        <v>2687</v>
      </c>
      <c r="B2414" s="21" t="s">
        <v>8243</v>
      </c>
      <c r="C2414" s="21" t="s">
        <v>8</v>
      </c>
      <c r="D2414" s="21" t="s">
        <v>701</v>
      </c>
      <c r="E2414" s="21" t="s">
        <v>61</v>
      </c>
      <c r="F2414" s="5812">
        <v>1</v>
      </c>
      <c r="G2414" s="5813">
        <v>6.1805555555555558E-2</v>
      </c>
      <c r="H2414" s="21" t="s">
        <v>10</v>
      </c>
      <c r="I2414" s="21" t="s">
        <v>187</v>
      </c>
      <c r="J2414" s="21" t="s">
        <v>67</v>
      </c>
      <c r="K2414" s="5814" t="s">
        <v>8244</v>
      </c>
    </row>
    <row r="2415" spans="1:11">
      <c r="A2415" s="21" t="s">
        <v>2788</v>
      </c>
      <c r="B2415" s="21" t="s">
        <v>8245</v>
      </c>
      <c r="C2415" s="21" t="s">
        <v>8</v>
      </c>
      <c r="D2415" s="21" t="s">
        <v>701</v>
      </c>
      <c r="E2415" s="21" t="s">
        <v>61</v>
      </c>
      <c r="F2415" s="5812">
        <v>1</v>
      </c>
      <c r="G2415" s="5813">
        <v>7.0833333333333331E-2</v>
      </c>
      <c r="H2415" s="21" t="s">
        <v>10</v>
      </c>
      <c r="I2415" s="21" t="s">
        <v>2297</v>
      </c>
      <c r="J2415" s="21" t="s">
        <v>8246</v>
      </c>
      <c r="K2415" s="5814" t="s">
        <v>8247</v>
      </c>
    </row>
    <row r="2416" spans="1:11">
      <c r="A2416" s="21" t="s">
        <v>160</v>
      </c>
      <c r="B2416" s="21" t="s">
        <v>871</v>
      </c>
      <c r="C2416" s="21" t="s">
        <v>8</v>
      </c>
      <c r="D2416" s="21" t="s">
        <v>701</v>
      </c>
      <c r="E2416" s="21" t="s">
        <v>61</v>
      </c>
      <c r="F2416" s="5812">
        <v>1</v>
      </c>
      <c r="G2416" s="5813">
        <v>7.3611111111111113E-2</v>
      </c>
      <c r="H2416" s="21" t="s">
        <v>10</v>
      </c>
      <c r="I2416" s="21" t="s">
        <v>89</v>
      </c>
      <c r="J2416" s="21" t="s">
        <v>67</v>
      </c>
      <c r="K2416" s="5814" t="s">
        <v>872</v>
      </c>
    </row>
    <row r="2417" spans="1:11">
      <c r="A2417" s="21" t="s">
        <v>3105</v>
      </c>
      <c r="B2417" s="21" t="s">
        <v>8248</v>
      </c>
      <c r="C2417" s="21" t="s">
        <v>22</v>
      </c>
      <c r="D2417" s="21" t="s">
        <v>701</v>
      </c>
      <c r="E2417" s="21" t="s">
        <v>61</v>
      </c>
      <c r="F2417" s="5812">
        <v>1</v>
      </c>
      <c r="G2417" s="5813">
        <v>7.4999999999999997E-2</v>
      </c>
      <c r="H2417" s="21" t="s">
        <v>10</v>
      </c>
      <c r="I2417" s="21" t="s">
        <v>39</v>
      </c>
      <c r="J2417" s="21" t="s">
        <v>110</v>
      </c>
      <c r="K2417" s="5814" t="s">
        <v>8249</v>
      </c>
    </row>
    <row r="2418" spans="1:11">
      <c r="A2418" s="21" t="s">
        <v>2192</v>
      </c>
      <c r="B2418" s="21" t="s">
        <v>8250</v>
      </c>
      <c r="C2418" s="21" t="s">
        <v>8</v>
      </c>
      <c r="D2418" s="21" t="s">
        <v>701</v>
      </c>
      <c r="E2418" s="21" t="s">
        <v>61</v>
      </c>
      <c r="F2418" s="5812">
        <v>1</v>
      </c>
      <c r="G2418" s="5813">
        <v>8.1250000000000003E-2</v>
      </c>
      <c r="H2418" s="21" t="s">
        <v>10</v>
      </c>
      <c r="I2418" s="21" t="s">
        <v>4861</v>
      </c>
      <c r="J2418" s="21" t="s">
        <v>67</v>
      </c>
      <c r="K2418" s="5814" t="s">
        <v>8251</v>
      </c>
    </row>
    <row r="2419" spans="1:11">
      <c r="A2419" s="21" t="s">
        <v>2225</v>
      </c>
      <c r="B2419" s="21" t="s">
        <v>8252</v>
      </c>
      <c r="C2419" s="21" t="s">
        <v>22</v>
      </c>
      <c r="D2419" s="21" t="s">
        <v>701</v>
      </c>
      <c r="E2419" s="21" t="s">
        <v>61</v>
      </c>
      <c r="F2419" s="5812">
        <v>1</v>
      </c>
      <c r="G2419" s="5813">
        <v>8.4027777777777785E-2</v>
      </c>
      <c r="H2419" s="21" t="s">
        <v>10</v>
      </c>
      <c r="I2419" s="21" t="s">
        <v>263</v>
      </c>
      <c r="J2419" s="21" t="s">
        <v>6852</v>
      </c>
      <c r="K2419" s="5814" t="s">
        <v>8253</v>
      </c>
    </row>
    <row r="2420" spans="1:11">
      <c r="A2420" s="21" t="s">
        <v>4139</v>
      </c>
      <c r="B2420" s="21" t="s">
        <v>8254</v>
      </c>
      <c r="C2420" s="21" t="s">
        <v>22</v>
      </c>
      <c r="D2420" s="21" t="s">
        <v>701</v>
      </c>
      <c r="E2420" s="21" t="s">
        <v>61</v>
      </c>
      <c r="F2420" s="5812">
        <v>1</v>
      </c>
      <c r="G2420" s="5813">
        <v>8.4722222222222227E-2</v>
      </c>
      <c r="H2420" s="21" t="s">
        <v>10</v>
      </c>
      <c r="I2420" s="21" t="s">
        <v>2523</v>
      </c>
      <c r="J2420" s="21" t="s">
        <v>67</v>
      </c>
      <c r="K2420" s="5814" t="s">
        <v>8255</v>
      </c>
    </row>
    <row r="2421" spans="1:11">
      <c r="A2421" s="21" t="s">
        <v>3559</v>
      </c>
      <c r="B2421" s="21" t="s">
        <v>8256</v>
      </c>
      <c r="C2421" s="21" t="s">
        <v>8</v>
      </c>
      <c r="D2421" s="21" t="s">
        <v>701</v>
      </c>
      <c r="E2421" s="21" t="s">
        <v>61</v>
      </c>
      <c r="F2421" s="5812">
        <v>1</v>
      </c>
      <c r="G2421" s="5813">
        <v>9.0972222222222218E-2</v>
      </c>
      <c r="H2421" s="21" t="s">
        <v>10</v>
      </c>
      <c r="I2421" s="21" t="s">
        <v>55</v>
      </c>
      <c r="J2421" s="21" t="s">
        <v>67</v>
      </c>
      <c r="K2421" s="5814" t="s">
        <v>8257</v>
      </c>
    </row>
    <row r="2422" spans="1:11">
      <c r="A2422" s="21" t="s">
        <v>2184</v>
      </c>
      <c r="B2422" s="21" t="s">
        <v>8258</v>
      </c>
      <c r="C2422" s="21" t="s">
        <v>8</v>
      </c>
      <c r="D2422" s="21" t="s">
        <v>701</v>
      </c>
      <c r="E2422" s="21" t="s">
        <v>61</v>
      </c>
      <c r="F2422" s="5812">
        <v>1</v>
      </c>
      <c r="G2422" s="5813">
        <v>9.166666666666666E-2</v>
      </c>
      <c r="H2422" s="21" t="s">
        <v>10</v>
      </c>
      <c r="I2422" s="21" t="s">
        <v>8259</v>
      </c>
      <c r="J2422" s="21" t="s">
        <v>67</v>
      </c>
      <c r="K2422" s="5814" t="s">
        <v>8260</v>
      </c>
    </row>
    <row r="2423" spans="1:11">
      <c r="A2423" s="21" t="s">
        <v>5984</v>
      </c>
      <c r="B2423" s="21" t="s">
        <v>8261</v>
      </c>
      <c r="C2423" s="21" t="s">
        <v>8</v>
      </c>
      <c r="D2423" s="21" t="s">
        <v>701</v>
      </c>
      <c r="E2423" s="21" t="s">
        <v>61</v>
      </c>
      <c r="F2423" s="5812">
        <v>1</v>
      </c>
      <c r="G2423" s="5813">
        <v>9.5138888888888884E-2</v>
      </c>
      <c r="H2423" s="21" t="s">
        <v>10</v>
      </c>
      <c r="I2423" s="21" t="s">
        <v>11</v>
      </c>
      <c r="J2423" s="21" t="s">
        <v>67</v>
      </c>
      <c r="K2423" s="5814" t="s">
        <v>8262</v>
      </c>
    </row>
    <row r="2424" spans="1:11">
      <c r="A2424" s="21" t="s">
        <v>3757</v>
      </c>
      <c r="B2424" s="21" t="s">
        <v>8263</v>
      </c>
      <c r="C2424" s="21" t="s">
        <v>22</v>
      </c>
      <c r="D2424" s="21" t="s">
        <v>701</v>
      </c>
      <c r="E2424" s="21" t="s">
        <v>61</v>
      </c>
      <c r="F2424" s="5812">
        <v>1</v>
      </c>
      <c r="G2424" s="5813">
        <v>9.583333333333334E-2</v>
      </c>
      <c r="H2424" s="21" t="s">
        <v>10</v>
      </c>
      <c r="I2424" s="21" t="s">
        <v>55</v>
      </c>
      <c r="J2424" s="21" t="s">
        <v>110</v>
      </c>
      <c r="K2424" s="5814" t="s">
        <v>8264</v>
      </c>
    </row>
    <row r="2425" spans="1:11">
      <c r="A2425" s="21" t="s">
        <v>3974</v>
      </c>
      <c r="B2425" s="21" t="s">
        <v>8265</v>
      </c>
      <c r="C2425" s="21" t="s">
        <v>8</v>
      </c>
      <c r="D2425" s="21" t="s">
        <v>701</v>
      </c>
      <c r="E2425" s="21" t="s">
        <v>61</v>
      </c>
      <c r="F2425" s="5812">
        <v>1</v>
      </c>
      <c r="G2425" s="5813">
        <v>0.10069444444444445</v>
      </c>
      <c r="H2425" s="21" t="s">
        <v>10</v>
      </c>
      <c r="I2425" s="21" t="s">
        <v>2544</v>
      </c>
      <c r="J2425" s="21" t="s">
        <v>1194</v>
      </c>
      <c r="K2425" s="5814" t="s">
        <v>8266</v>
      </c>
    </row>
    <row r="2426" spans="1:11">
      <c r="A2426" s="21" t="s">
        <v>2542</v>
      </c>
      <c r="B2426" s="21" t="s">
        <v>8267</v>
      </c>
      <c r="C2426" s="21" t="s">
        <v>22</v>
      </c>
      <c r="D2426" s="21" t="s">
        <v>701</v>
      </c>
      <c r="E2426" s="21" t="s">
        <v>61</v>
      </c>
      <c r="F2426" s="5812">
        <v>1</v>
      </c>
      <c r="G2426" s="5813">
        <v>0.10069444444444445</v>
      </c>
      <c r="H2426" s="21" t="s">
        <v>10</v>
      </c>
      <c r="I2426" s="21" t="s">
        <v>47</v>
      </c>
      <c r="J2426" s="21" t="s">
        <v>376</v>
      </c>
      <c r="K2426" s="5814" t="s">
        <v>8268</v>
      </c>
    </row>
    <row r="2427" spans="1:11">
      <c r="A2427" s="21" t="s">
        <v>4568</v>
      </c>
      <c r="B2427" s="21" t="s">
        <v>8269</v>
      </c>
      <c r="C2427" s="21" t="s">
        <v>22</v>
      </c>
      <c r="D2427" s="21" t="s">
        <v>701</v>
      </c>
      <c r="E2427" s="21" t="s">
        <v>61</v>
      </c>
      <c r="F2427" s="5812">
        <v>1</v>
      </c>
      <c r="G2427" s="5813">
        <v>0.10416666666666667</v>
      </c>
      <c r="H2427" s="21" t="s">
        <v>10</v>
      </c>
      <c r="I2427" s="21" t="s">
        <v>2297</v>
      </c>
      <c r="J2427" s="21" t="s">
        <v>67</v>
      </c>
      <c r="K2427" s="5814" t="s">
        <v>8270</v>
      </c>
    </row>
    <row r="2428" spans="1:11">
      <c r="A2428" s="21" t="s">
        <v>3173</v>
      </c>
      <c r="B2428" s="21" t="s">
        <v>8271</v>
      </c>
      <c r="C2428" s="21" t="s">
        <v>22</v>
      </c>
      <c r="D2428" s="21" t="s">
        <v>701</v>
      </c>
      <c r="E2428" s="21" t="s">
        <v>61</v>
      </c>
      <c r="F2428" s="5812">
        <v>1</v>
      </c>
      <c r="G2428" s="5813">
        <v>0.11527777777777778</v>
      </c>
      <c r="H2428" s="21" t="s">
        <v>10</v>
      </c>
      <c r="I2428" s="21" t="s">
        <v>3024</v>
      </c>
      <c r="J2428" s="21" t="s">
        <v>8272</v>
      </c>
      <c r="K2428" s="5814" t="s">
        <v>8273</v>
      </c>
    </row>
    <row r="2429" spans="1:11">
      <c r="A2429" s="21" t="s">
        <v>2280</v>
      </c>
      <c r="B2429" s="21" t="s">
        <v>8274</v>
      </c>
      <c r="C2429" s="21" t="s">
        <v>8</v>
      </c>
      <c r="D2429" s="21" t="s">
        <v>701</v>
      </c>
      <c r="E2429" s="21" t="s">
        <v>61</v>
      </c>
      <c r="F2429" s="5812">
        <v>1</v>
      </c>
      <c r="G2429" s="5813">
        <v>0.12222222222222222</v>
      </c>
      <c r="H2429" s="21" t="s">
        <v>10</v>
      </c>
      <c r="I2429" s="21" t="s">
        <v>2297</v>
      </c>
      <c r="J2429" s="21" t="s">
        <v>67</v>
      </c>
      <c r="K2429" s="5814" t="s">
        <v>8275</v>
      </c>
    </row>
    <row r="2430" spans="1:11">
      <c r="A2430" s="21" t="s">
        <v>65</v>
      </c>
      <c r="B2430" s="21" t="s">
        <v>778</v>
      </c>
      <c r="C2430" s="21" t="s">
        <v>8</v>
      </c>
      <c r="D2430" s="21" t="s">
        <v>701</v>
      </c>
      <c r="E2430" s="21" t="s">
        <v>61</v>
      </c>
      <c r="F2430" s="5812">
        <v>1</v>
      </c>
      <c r="G2430" s="5813">
        <v>0.12361111111111112</v>
      </c>
      <c r="H2430" s="21" t="s">
        <v>10</v>
      </c>
      <c r="I2430" s="21" t="s">
        <v>89</v>
      </c>
      <c r="J2430" s="21" t="s">
        <v>67</v>
      </c>
      <c r="K2430" s="5814" t="s">
        <v>779</v>
      </c>
    </row>
    <row r="2431" spans="1:11">
      <c r="A2431" s="21" t="s">
        <v>3515</v>
      </c>
      <c r="B2431" s="21" t="s">
        <v>8276</v>
      </c>
      <c r="C2431" s="21" t="s">
        <v>8</v>
      </c>
      <c r="D2431" s="21" t="s">
        <v>701</v>
      </c>
      <c r="E2431" s="21" t="s">
        <v>61</v>
      </c>
      <c r="F2431" s="5812">
        <v>1</v>
      </c>
      <c r="G2431" s="5813">
        <v>0.125</v>
      </c>
      <c r="H2431" s="21" t="s">
        <v>10</v>
      </c>
      <c r="I2431" s="21" t="s">
        <v>96</v>
      </c>
      <c r="J2431" s="21" t="s">
        <v>928</v>
      </c>
      <c r="K2431" s="5814" t="s">
        <v>8277</v>
      </c>
    </row>
    <row r="2432" spans="1:11">
      <c r="A2432" s="21" t="s">
        <v>3012</v>
      </c>
      <c r="B2432" s="21" t="s">
        <v>8278</v>
      </c>
      <c r="C2432" s="21" t="s">
        <v>22</v>
      </c>
      <c r="D2432" s="21" t="s">
        <v>701</v>
      </c>
      <c r="E2432" s="21" t="s">
        <v>61</v>
      </c>
      <c r="F2432" s="5812">
        <v>1</v>
      </c>
      <c r="G2432" s="5813">
        <v>0.12569444444444444</v>
      </c>
      <c r="H2432" s="21" t="s">
        <v>10</v>
      </c>
      <c r="I2432" s="21" t="s">
        <v>55</v>
      </c>
      <c r="J2432" s="21" t="s">
        <v>8279</v>
      </c>
      <c r="K2432" s="5814" t="s">
        <v>8280</v>
      </c>
    </row>
    <row r="2433" spans="1:11">
      <c r="A2433" s="21" t="s">
        <v>2413</v>
      </c>
      <c r="B2433" s="21" t="s">
        <v>8281</v>
      </c>
      <c r="C2433" s="21" t="s">
        <v>8</v>
      </c>
      <c r="D2433" s="21" t="s">
        <v>701</v>
      </c>
      <c r="E2433" s="21" t="s">
        <v>61</v>
      </c>
      <c r="F2433" s="5812">
        <v>1</v>
      </c>
      <c r="G2433" s="5813">
        <v>0.12847222222222221</v>
      </c>
      <c r="H2433" s="21" t="s">
        <v>10</v>
      </c>
      <c r="I2433" s="21" t="s">
        <v>55</v>
      </c>
      <c r="J2433" s="21" t="s">
        <v>67</v>
      </c>
      <c r="K2433" s="5814" t="s">
        <v>8282</v>
      </c>
    </row>
    <row r="2434" spans="1:11">
      <c r="A2434" s="21" t="s">
        <v>2961</v>
      </c>
      <c r="B2434" s="21" t="s">
        <v>8283</v>
      </c>
      <c r="C2434" s="21" t="s">
        <v>8</v>
      </c>
      <c r="D2434" s="21" t="s">
        <v>701</v>
      </c>
      <c r="E2434" s="21" t="s">
        <v>61</v>
      </c>
      <c r="F2434" s="5812">
        <v>1</v>
      </c>
      <c r="G2434" s="5813">
        <v>0.12847222222222221</v>
      </c>
      <c r="H2434" s="21" t="s">
        <v>10</v>
      </c>
      <c r="I2434" s="21" t="s">
        <v>2260</v>
      </c>
      <c r="J2434" s="21" t="s">
        <v>3271</v>
      </c>
      <c r="K2434" s="5814" t="s">
        <v>8284</v>
      </c>
    </row>
    <row r="2435" spans="1:11">
      <c r="A2435" s="21" t="s">
        <v>223</v>
      </c>
      <c r="B2435" s="21" t="s">
        <v>927</v>
      </c>
      <c r="C2435" s="21" t="s">
        <v>8</v>
      </c>
      <c r="D2435" s="21" t="s">
        <v>701</v>
      </c>
      <c r="E2435" s="21" t="s">
        <v>61</v>
      </c>
      <c r="F2435" s="5812">
        <v>1</v>
      </c>
      <c r="G2435" s="5813">
        <v>0.13055555555555556</v>
      </c>
      <c r="H2435" s="21" t="s">
        <v>10</v>
      </c>
      <c r="I2435" s="21" t="s">
        <v>89</v>
      </c>
      <c r="J2435" s="21" t="s">
        <v>928</v>
      </c>
      <c r="K2435" s="5814" t="s">
        <v>929</v>
      </c>
    </row>
    <row r="2436" spans="1:11">
      <c r="A2436" s="21" t="s">
        <v>2263</v>
      </c>
      <c r="B2436" s="21" t="s">
        <v>8285</v>
      </c>
      <c r="C2436" s="21" t="s">
        <v>8</v>
      </c>
      <c r="D2436" s="21" t="s">
        <v>701</v>
      </c>
      <c r="E2436" s="21" t="s">
        <v>61</v>
      </c>
      <c r="F2436" s="5812">
        <v>1</v>
      </c>
      <c r="G2436" s="5813">
        <v>0.13750000000000001</v>
      </c>
      <c r="H2436" s="21" t="s">
        <v>10</v>
      </c>
      <c r="I2436" s="21" t="s">
        <v>55</v>
      </c>
      <c r="J2436" s="21" t="s">
        <v>3313</v>
      </c>
      <c r="K2436" s="5814" t="s">
        <v>8286</v>
      </c>
    </row>
    <row r="2437" spans="1:11">
      <c r="A2437" s="21" t="s">
        <v>2372</v>
      </c>
      <c r="B2437" s="21" t="s">
        <v>8287</v>
      </c>
      <c r="C2437" s="21" t="s">
        <v>22</v>
      </c>
      <c r="D2437" s="21" t="s">
        <v>701</v>
      </c>
      <c r="E2437" s="21" t="s">
        <v>61</v>
      </c>
      <c r="F2437" s="5812">
        <v>1</v>
      </c>
      <c r="G2437" s="5813">
        <v>0.1388888888888889</v>
      </c>
      <c r="H2437" s="21" t="s">
        <v>10</v>
      </c>
      <c r="I2437" s="21" t="s">
        <v>226</v>
      </c>
      <c r="J2437" s="21" t="s">
        <v>67</v>
      </c>
      <c r="K2437" s="5814" t="s">
        <v>8288</v>
      </c>
    </row>
    <row r="2438" spans="1:11">
      <c r="A2438" s="21" t="s">
        <v>2428</v>
      </c>
      <c r="B2438" s="21" t="s">
        <v>8289</v>
      </c>
      <c r="C2438" s="21" t="s">
        <v>8</v>
      </c>
      <c r="D2438" s="21" t="s">
        <v>701</v>
      </c>
      <c r="E2438" s="21" t="s">
        <v>61</v>
      </c>
      <c r="F2438" s="5812">
        <v>1</v>
      </c>
      <c r="G2438" s="5813">
        <v>0.14027777777777778</v>
      </c>
      <c r="H2438" s="21" t="s">
        <v>54</v>
      </c>
      <c r="I2438" s="21" t="s">
        <v>47</v>
      </c>
      <c r="J2438" s="21" t="s">
        <v>67</v>
      </c>
      <c r="K2438" s="5814" t="s">
        <v>8290</v>
      </c>
    </row>
    <row r="2439" spans="1:11">
      <c r="A2439" s="21" t="s">
        <v>3647</v>
      </c>
      <c r="B2439" s="21" t="s">
        <v>8291</v>
      </c>
      <c r="C2439" s="21" t="s">
        <v>8</v>
      </c>
      <c r="D2439" s="21" t="s">
        <v>701</v>
      </c>
      <c r="E2439" s="21" t="s">
        <v>61</v>
      </c>
      <c r="F2439" s="5812">
        <v>1</v>
      </c>
      <c r="G2439" s="5813">
        <v>0.14722222222222223</v>
      </c>
      <c r="H2439" s="21" t="s">
        <v>10</v>
      </c>
      <c r="I2439" s="21" t="s">
        <v>55</v>
      </c>
      <c r="J2439" s="21" t="s">
        <v>3313</v>
      </c>
      <c r="K2439" s="5814" t="s">
        <v>8292</v>
      </c>
    </row>
    <row r="2440" spans="1:11">
      <c r="A2440" s="21" t="s">
        <v>2438</v>
      </c>
      <c r="B2440" s="21" t="s">
        <v>8293</v>
      </c>
      <c r="C2440" s="21" t="s">
        <v>8</v>
      </c>
      <c r="D2440" s="21" t="s">
        <v>701</v>
      </c>
      <c r="E2440" s="21" t="s">
        <v>61</v>
      </c>
      <c r="F2440" s="5812">
        <v>1</v>
      </c>
      <c r="G2440" s="5813">
        <v>0.15902777777777777</v>
      </c>
      <c r="H2440" s="21" t="s">
        <v>10</v>
      </c>
      <c r="I2440" s="21" t="s">
        <v>2313</v>
      </c>
      <c r="J2440" s="21" t="s">
        <v>67</v>
      </c>
      <c r="K2440" s="5814" t="s">
        <v>8294</v>
      </c>
    </row>
    <row r="2441" spans="1:11">
      <c r="A2441" s="21" t="s">
        <v>2291</v>
      </c>
      <c r="B2441" s="21" t="s">
        <v>8295</v>
      </c>
      <c r="C2441" s="21" t="s">
        <v>22</v>
      </c>
      <c r="D2441" s="21" t="s">
        <v>701</v>
      </c>
      <c r="E2441" s="21" t="s">
        <v>61</v>
      </c>
      <c r="F2441" s="5812">
        <v>1</v>
      </c>
      <c r="G2441" s="5813">
        <v>0.16041666666666668</v>
      </c>
      <c r="H2441" s="21" t="s">
        <v>10</v>
      </c>
      <c r="I2441" s="21" t="s">
        <v>55</v>
      </c>
      <c r="J2441" s="21" t="s">
        <v>67</v>
      </c>
      <c r="K2441" s="5814" t="s">
        <v>8296</v>
      </c>
    </row>
    <row r="2442" spans="1:11">
      <c r="A2442" s="21" t="s">
        <v>2237</v>
      </c>
      <c r="B2442" s="21" t="s">
        <v>8297</v>
      </c>
      <c r="C2442" s="21" t="s">
        <v>8</v>
      </c>
      <c r="D2442" s="21" t="s">
        <v>701</v>
      </c>
      <c r="E2442" s="21" t="s">
        <v>61</v>
      </c>
      <c r="F2442" s="5812">
        <v>1</v>
      </c>
      <c r="G2442" s="5813">
        <v>0.16250000000000001</v>
      </c>
      <c r="H2442" s="21" t="s">
        <v>10</v>
      </c>
      <c r="I2442" s="21" t="s">
        <v>2194</v>
      </c>
      <c r="J2442" s="21" t="s">
        <v>782</v>
      </c>
      <c r="K2442" s="5814" t="s">
        <v>8298</v>
      </c>
    </row>
    <row r="2443" spans="1:11">
      <c r="A2443" s="21" t="s">
        <v>3170</v>
      </c>
      <c r="B2443" s="21" t="s">
        <v>8299</v>
      </c>
      <c r="C2443" s="21" t="s">
        <v>22</v>
      </c>
      <c r="D2443" s="21" t="s">
        <v>701</v>
      </c>
      <c r="E2443" s="21" t="s">
        <v>61</v>
      </c>
      <c r="F2443" s="5812">
        <v>1</v>
      </c>
      <c r="G2443" s="5813">
        <v>0.16388888888888889</v>
      </c>
      <c r="H2443" s="21" t="s">
        <v>10</v>
      </c>
      <c r="I2443" s="21"/>
      <c r="J2443" s="21" t="s">
        <v>67</v>
      </c>
      <c r="K2443" s="5814" t="s">
        <v>8300</v>
      </c>
    </row>
    <row r="2444" spans="1:11">
      <c r="A2444" s="21" t="s">
        <v>3152</v>
      </c>
      <c r="B2444" s="21" t="s">
        <v>8301</v>
      </c>
      <c r="C2444" s="21" t="s">
        <v>22</v>
      </c>
      <c r="D2444" s="21" t="s">
        <v>701</v>
      </c>
      <c r="E2444" s="21" t="s">
        <v>61</v>
      </c>
      <c r="F2444" s="5812">
        <v>1</v>
      </c>
      <c r="G2444" s="5813">
        <v>0.1673611111111111</v>
      </c>
      <c r="H2444" s="21" t="s">
        <v>10</v>
      </c>
      <c r="I2444" s="21" t="s">
        <v>96</v>
      </c>
      <c r="J2444" s="21" t="s">
        <v>67</v>
      </c>
      <c r="K2444" s="5814" t="s">
        <v>8302</v>
      </c>
    </row>
    <row r="2445" spans="1:11">
      <c r="A2445" s="21" t="s">
        <v>3217</v>
      </c>
      <c r="B2445" s="21" t="s">
        <v>8303</v>
      </c>
      <c r="C2445" s="21" t="s">
        <v>8</v>
      </c>
      <c r="D2445" s="21" t="s">
        <v>701</v>
      </c>
      <c r="E2445" s="21" t="s">
        <v>61</v>
      </c>
      <c r="F2445" s="5812">
        <v>1</v>
      </c>
      <c r="G2445" s="5813">
        <v>0.17708333333333334</v>
      </c>
      <c r="H2445" s="21" t="s">
        <v>10</v>
      </c>
      <c r="I2445" s="21" t="s">
        <v>233</v>
      </c>
      <c r="J2445" s="21" t="s">
        <v>67</v>
      </c>
      <c r="K2445" s="5814" t="s">
        <v>8304</v>
      </c>
    </row>
    <row r="2446" spans="1:11">
      <c r="A2446" s="21" t="s">
        <v>3144</v>
      </c>
      <c r="B2446" s="21" t="s">
        <v>8305</v>
      </c>
      <c r="C2446" s="21" t="s">
        <v>8</v>
      </c>
      <c r="D2446" s="21" t="s">
        <v>701</v>
      </c>
      <c r="E2446" s="21" t="s">
        <v>61</v>
      </c>
      <c r="F2446" s="5812">
        <v>1</v>
      </c>
      <c r="G2446" s="5813">
        <v>0.1875</v>
      </c>
      <c r="H2446" s="21" t="s">
        <v>10</v>
      </c>
      <c r="I2446" s="21" t="s">
        <v>4417</v>
      </c>
      <c r="J2446" s="21" t="s">
        <v>67</v>
      </c>
      <c r="K2446" s="5814" t="s">
        <v>8306</v>
      </c>
    </row>
    <row r="2447" spans="1:11">
      <c r="A2447" s="21" t="s">
        <v>94</v>
      </c>
      <c r="B2447" s="21" t="s">
        <v>726</v>
      </c>
      <c r="C2447" s="21" t="s">
        <v>22</v>
      </c>
      <c r="D2447" s="21" t="s">
        <v>701</v>
      </c>
      <c r="E2447" s="21" t="s">
        <v>61</v>
      </c>
      <c r="F2447" s="5812">
        <v>1</v>
      </c>
      <c r="G2447" s="5813">
        <v>0.18958333333333333</v>
      </c>
      <c r="H2447" s="21" t="s">
        <v>10</v>
      </c>
      <c r="I2447" s="21" t="s">
        <v>55</v>
      </c>
      <c r="J2447" s="21" t="s">
        <v>67</v>
      </c>
      <c r="K2447" s="5814" t="s">
        <v>727</v>
      </c>
    </row>
    <row r="2448" spans="1:11">
      <c r="A2448" s="21" t="s">
        <v>3651</v>
      </c>
      <c r="B2448" s="21" t="s">
        <v>8307</v>
      </c>
      <c r="C2448" s="21" t="s">
        <v>22</v>
      </c>
      <c r="D2448" s="21" t="s">
        <v>701</v>
      </c>
      <c r="E2448" s="21" t="s">
        <v>61</v>
      </c>
      <c r="F2448" s="5812">
        <v>1</v>
      </c>
      <c r="G2448" s="5813">
        <v>0.19236111111111112</v>
      </c>
      <c r="H2448" s="21" t="s">
        <v>54</v>
      </c>
      <c r="I2448" s="21" t="s">
        <v>2247</v>
      </c>
      <c r="J2448" s="21" t="s">
        <v>67</v>
      </c>
      <c r="K2448" s="5814" t="s">
        <v>8308</v>
      </c>
    </row>
    <row r="2449" spans="1:11">
      <c r="A2449" s="21" t="s">
        <v>4233</v>
      </c>
      <c r="B2449" s="21" t="s">
        <v>8309</v>
      </c>
      <c r="C2449" s="21" t="s">
        <v>22</v>
      </c>
      <c r="D2449" s="21" t="s">
        <v>701</v>
      </c>
      <c r="E2449" s="21" t="s">
        <v>61</v>
      </c>
      <c r="F2449" s="5812">
        <v>1</v>
      </c>
      <c r="G2449" s="5813">
        <v>0.19652777777777777</v>
      </c>
      <c r="H2449" s="21" t="s">
        <v>10</v>
      </c>
      <c r="I2449" s="21" t="s">
        <v>8310</v>
      </c>
      <c r="J2449" s="21" t="s">
        <v>1444</v>
      </c>
      <c r="K2449" s="5814" t="s">
        <v>8311</v>
      </c>
    </row>
    <row r="2450" spans="1:11">
      <c r="A2450" s="21" t="s">
        <v>4552</v>
      </c>
      <c r="B2450" s="21" t="s">
        <v>8312</v>
      </c>
      <c r="C2450" s="21" t="s">
        <v>22</v>
      </c>
      <c r="D2450" s="21" t="s">
        <v>701</v>
      </c>
      <c r="E2450" s="21" t="s">
        <v>61</v>
      </c>
      <c r="F2450" s="5812">
        <v>1</v>
      </c>
      <c r="G2450" s="5813">
        <v>0.2</v>
      </c>
      <c r="H2450" s="21" t="s">
        <v>10</v>
      </c>
      <c r="I2450" s="21" t="s">
        <v>55</v>
      </c>
      <c r="J2450" s="21" t="s">
        <v>67</v>
      </c>
      <c r="K2450" s="5814" t="s">
        <v>8313</v>
      </c>
    </row>
    <row r="2451" spans="1:11">
      <c r="A2451" s="21" t="s">
        <v>3002</v>
      </c>
      <c r="B2451" s="21" t="s">
        <v>8314</v>
      </c>
      <c r="C2451" s="21" t="s">
        <v>8</v>
      </c>
      <c r="D2451" s="21" t="s">
        <v>701</v>
      </c>
      <c r="E2451" s="21" t="s">
        <v>61</v>
      </c>
      <c r="F2451" s="5812">
        <v>1</v>
      </c>
      <c r="G2451" s="5813">
        <v>0.2013888888888889</v>
      </c>
      <c r="H2451" s="21" t="s">
        <v>10</v>
      </c>
      <c r="I2451" s="21" t="s">
        <v>2872</v>
      </c>
      <c r="J2451" s="21" t="s">
        <v>974</v>
      </c>
      <c r="K2451" s="5814" t="s">
        <v>8315</v>
      </c>
    </row>
    <row r="2452" spans="1:11">
      <c r="A2452" s="21" t="s">
        <v>4671</v>
      </c>
      <c r="B2452" s="21" t="s">
        <v>8316</v>
      </c>
      <c r="C2452" s="21" t="s">
        <v>22</v>
      </c>
      <c r="D2452" s="21" t="s">
        <v>701</v>
      </c>
      <c r="E2452" s="21" t="s">
        <v>61</v>
      </c>
      <c r="F2452" s="5812">
        <v>1</v>
      </c>
      <c r="G2452" s="5813">
        <v>0.20347222222222222</v>
      </c>
      <c r="H2452" s="21" t="s">
        <v>10</v>
      </c>
      <c r="I2452" s="21" t="s">
        <v>2269</v>
      </c>
      <c r="J2452" s="21" t="s">
        <v>3391</v>
      </c>
      <c r="K2452" s="5814" t="s">
        <v>8317</v>
      </c>
    </row>
    <row r="2453" spans="1:11">
      <c r="A2453" s="21" t="s">
        <v>2655</v>
      </c>
      <c r="B2453" s="21" t="s">
        <v>8318</v>
      </c>
      <c r="C2453" s="21" t="s">
        <v>8</v>
      </c>
      <c r="D2453" s="21" t="s">
        <v>701</v>
      </c>
      <c r="E2453" s="21" t="s">
        <v>61</v>
      </c>
      <c r="F2453" s="5812">
        <v>1</v>
      </c>
      <c r="G2453" s="5813">
        <v>0.2048611111111111</v>
      </c>
      <c r="H2453" s="21" t="s">
        <v>10</v>
      </c>
      <c r="I2453" s="21" t="s">
        <v>2269</v>
      </c>
      <c r="J2453" s="21" t="s">
        <v>1194</v>
      </c>
      <c r="K2453" s="5814" t="s">
        <v>8319</v>
      </c>
    </row>
    <row r="2454" spans="1:11">
      <c r="A2454" s="21" t="s">
        <v>2250</v>
      </c>
      <c r="B2454" s="21" t="s">
        <v>8320</v>
      </c>
      <c r="C2454" s="21" t="s">
        <v>8</v>
      </c>
      <c r="D2454" s="21" t="s">
        <v>701</v>
      </c>
      <c r="E2454" s="21" t="s">
        <v>61</v>
      </c>
      <c r="F2454" s="5812">
        <v>1</v>
      </c>
      <c r="G2454" s="5813">
        <v>0.20624999999999999</v>
      </c>
      <c r="H2454" s="21" t="s">
        <v>10</v>
      </c>
      <c r="I2454" s="21" t="s">
        <v>96</v>
      </c>
      <c r="J2454" s="21" t="s">
        <v>5461</v>
      </c>
      <c r="K2454" s="5814" t="s">
        <v>8321</v>
      </c>
    </row>
    <row r="2455" spans="1:11">
      <c r="A2455" s="21" t="s">
        <v>2139</v>
      </c>
      <c r="B2455" s="21" t="s">
        <v>8322</v>
      </c>
      <c r="C2455" s="21" t="s">
        <v>22</v>
      </c>
      <c r="D2455" s="21" t="s">
        <v>701</v>
      </c>
      <c r="E2455" s="21" t="s">
        <v>61</v>
      </c>
      <c r="F2455" s="5812">
        <v>2</v>
      </c>
      <c r="G2455" s="5813">
        <v>1.7361111111111112E-2</v>
      </c>
      <c r="H2455" s="21" t="s">
        <v>10</v>
      </c>
      <c r="I2455" s="21" t="s">
        <v>11</v>
      </c>
      <c r="J2455" s="21" t="s">
        <v>8323</v>
      </c>
      <c r="K2455" s="5814" t="s">
        <v>8324</v>
      </c>
    </row>
    <row r="2456" spans="1:11">
      <c r="A2456" s="21" t="s">
        <v>3427</v>
      </c>
      <c r="B2456" s="21" t="s">
        <v>8325</v>
      </c>
      <c r="C2456" s="21" t="s">
        <v>8</v>
      </c>
      <c r="D2456" s="21" t="s">
        <v>701</v>
      </c>
      <c r="E2456" s="21" t="s">
        <v>61</v>
      </c>
      <c r="F2456" s="5812">
        <v>2</v>
      </c>
      <c r="G2456" s="5813">
        <v>2.8472222222222222E-2</v>
      </c>
      <c r="H2456" s="21" t="s">
        <v>10</v>
      </c>
      <c r="I2456" s="21" t="s">
        <v>39</v>
      </c>
      <c r="J2456" s="21" t="s">
        <v>3313</v>
      </c>
      <c r="K2456" s="5814" t="s">
        <v>8326</v>
      </c>
    </row>
    <row r="2457" spans="1:11">
      <c r="A2457" s="21" t="s">
        <v>2707</v>
      </c>
      <c r="B2457" s="21" t="s">
        <v>8327</v>
      </c>
      <c r="C2457" s="21" t="s">
        <v>22</v>
      </c>
      <c r="D2457" s="21" t="s">
        <v>701</v>
      </c>
      <c r="E2457" s="21" t="s">
        <v>61</v>
      </c>
      <c r="F2457" s="5812">
        <v>2</v>
      </c>
      <c r="G2457" s="5813">
        <v>3.6111111111111108E-2</v>
      </c>
      <c r="H2457" s="21" t="s">
        <v>10</v>
      </c>
      <c r="I2457" s="21" t="s">
        <v>55</v>
      </c>
      <c r="J2457" s="21" t="s">
        <v>3326</v>
      </c>
      <c r="K2457" s="5814" t="s">
        <v>8328</v>
      </c>
    </row>
    <row r="2458" spans="1:11">
      <c r="A2458" s="21" t="s">
        <v>2998</v>
      </c>
      <c r="B2458" s="21" t="s">
        <v>8329</v>
      </c>
      <c r="C2458" s="21" t="s">
        <v>8</v>
      </c>
      <c r="D2458" s="21" t="s">
        <v>701</v>
      </c>
      <c r="E2458" s="21" t="s">
        <v>61</v>
      </c>
      <c r="F2458" s="5812">
        <v>2</v>
      </c>
      <c r="G2458" s="5813">
        <v>3.8194444444444448E-2</v>
      </c>
      <c r="H2458" s="21" t="s">
        <v>10</v>
      </c>
      <c r="I2458" s="21" t="s">
        <v>400</v>
      </c>
      <c r="J2458" s="21" t="s">
        <v>1327</v>
      </c>
      <c r="K2458" s="5814" t="s">
        <v>8330</v>
      </c>
    </row>
    <row r="2459" spans="1:11">
      <c r="A2459" s="21" t="s">
        <v>3256</v>
      </c>
      <c r="B2459" s="21" t="s">
        <v>8331</v>
      </c>
      <c r="C2459" s="21" t="s">
        <v>8</v>
      </c>
      <c r="D2459" s="21" t="s">
        <v>701</v>
      </c>
      <c r="E2459" s="21" t="s">
        <v>61</v>
      </c>
      <c r="F2459" s="5812">
        <v>2</v>
      </c>
      <c r="G2459" s="5813">
        <v>4.0972222222222222E-2</v>
      </c>
      <c r="H2459" s="21" t="s">
        <v>10</v>
      </c>
      <c r="I2459" s="21" t="s">
        <v>209</v>
      </c>
      <c r="J2459" s="21" t="s">
        <v>782</v>
      </c>
      <c r="K2459" s="5814" t="s">
        <v>8332</v>
      </c>
    </row>
    <row r="2460" spans="1:11">
      <c r="A2460" s="21" t="s">
        <v>3855</v>
      </c>
      <c r="B2460" s="21" t="s">
        <v>8333</v>
      </c>
      <c r="C2460" s="21" t="s">
        <v>8</v>
      </c>
      <c r="D2460" s="21" t="s">
        <v>701</v>
      </c>
      <c r="E2460" s="21" t="s">
        <v>61</v>
      </c>
      <c r="F2460" s="5812">
        <v>2</v>
      </c>
      <c r="G2460" s="5813">
        <v>4.6527777777777779E-2</v>
      </c>
      <c r="H2460" s="21" t="s">
        <v>10</v>
      </c>
      <c r="I2460" s="21" t="s">
        <v>11</v>
      </c>
      <c r="J2460" s="21" t="s">
        <v>67</v>
      </c>
      <c r="K2460" s="5814" t="s">
        <v>8334</v>
      </c>
    </row>
    <row r="2461" spans="1:11">
      <c r="A2461" s="21" t="s">
        <v>2921</v>
      </c>
      <c r="B2461" s="21" t="s">
        <v>8335</v>
      </c>
      <c r="C2461" s="21" t="s">
        <v>22</v>
      </c>
      <c r="D2461" s="21" t="s">
        <v>701</v>
      </c>
      <c r="E2461" s="21" t="s">
        <v>61</v>
      </c>
      <c r="F2461" s="5812">
        <v>2</v>
      </c>
      <c r="G2461" s="5813">
        <v>5.5555555555555552E-2</v>
      </c>
      <c r="H2461" s="21" t="s">
        <v>10</v>
      </c>
      <c r="I2461" s="21" t="s">
        <v>226</v>
      </c>
      <c r="J2461" s="21" t="s">
        <v>67</v>
      </c>
      <c r="K2461" s="5814" t="s">
        <v>8336</v>
      </c>
    </row>
    <row r="2462" spans="1:11">
      <c r="A2462" s="21" t="s">
        <v>2897</v>
      </c>
      <c r="B2462" s="21" t="s">
        <v>8337</v>
      </c>
      <c r="C2462" s="21" t="s">
        <v>8</v>
      </c>
      <c r="D2462" s="21" t="s">
        <v>701</v>
      </c>
      <c r="E2462" s="21" t="s">
        <v>61</v>
      </c>
      <c r="F2462" s="5812">
        <v>2</v>
      </c>
      <c r="G2462" s="5813">
        <v>5.6250000000000001E-2</v>
      </c>
      <c r="H2462" s="21" t="s">
        <v>10</v>
      </c>
      <c r="I2462" s="21" t="s">
        <v>11</v>
      </c>
      <c r="J2462" s="21" t="s">
        <v>67</v>
      </c>
      <c r="K2462" s="5814" t="s">
        <v>8338</v>
      </c>
    </row>
    <row r="2463" spans="1:11">
      <c r="A2463" s="21" t="s">
        <v>2450</v>
      </c>
      <c r="B2463" s="21" t="s">
        <v>8339</v>
      </c>
      <c r="C2463" s="21" t="s">
        <v>22</v>
      </c>
      <c r="D2463" s="21" t="s">
        <v>701</v>
      </c>
      <c r="E2463" s="21" t="s">
        <v>61</v>
      </c>
      <c r="F2463" s="5812">
        <v>2</v>
      </c>
      <c r="G2463" s="5813">
        <v>5.7638888888888892E-2</v>
      </c>
      <c r="H2463" s="21" t="s">
        <v>10</v>
      </c>
      <c r="I2463" s="21" t="s">
        <v>89</v>
      </c>
      <c r="J2463" s="21" t="s">
        <v>67</v>
      </c>
      <c r="K2463" s="5814" t="s">
        <v>8340</v>
      </c>
    </row>
    <row r="2464" spans="1:11">
      <c r="A2464" s="21" t="s">
        <v>2955</v>
      </c>
      <c r="B2464" s="21" t="s">
        <v>8341</v>
      </c>
      <c r="C2464" s="21" t="s">
        <v>22</v>
      </c>
      <c r="D2464" s="21" t="s">
        <v>701</v>
      </c>
      <c r="E2464" s="21" t="s">
        <v>61</v>
      </c>
      <c r="F2464" s="5812">
        <v>2</v>
      </c>
      <c r="G2464" s="5813">
        <v>6.3888888888888884E-2</v>
      </c>
      <c r="H2464" s="21" t="s">
        <v>10</v>
      </c>
      <c r="I2464" s="21" t="s">
        <v>39</v>
      </c>
      <c r="J2464" s="21" t="s">
        <v>67</v>
      </c>
      <c r="K2464" s="5814" t="s">
        <v>8342</v>
      </c>
    </row>
    <row r="2465" spans="1:11">
      <c r="A2465" s="21" t="s">
        <v>20</v>
      </c>
      <c r="B2465" s="21" t="s">
        <v>835</v>
      </c>
      <c r="C2465" s="21" t="s">
        <v>22</v>
      </c>
      <c r="D2465" s="21" t="s">
        <v>701</v>
      </c>
      <c r="E2465" s="21" t="s">
        <v>61</v>
      </c>
      <c r="F2465" s="5812">
        <v>2</v>
      </c>
      <c r="G2465" s="5813">
        <v>7.1527777777777773E-2</v>
      </c>
      <c r="H2465" s="21" t="s">
        <v>10</v>
      </c>
      <c r="I2465" s="21" t="s">
        <v>89</v>
      </c>
      <c r="J2465" s="21" t="s">
        <v>836</v>
      </c>
      <c r="K2465" s="5814" t="s">
        <v>837</v>
      </c>
    </row>
    <row r="2466" spans="1:11">
      <c r="A2466" s="21" t="s">
        <v>3311</v>
      </c>
      <c r="B2466" s="21" t="s">
        <v>8343</v>
      </c>
      <c r="C2466" s="21" t="s">
        <v>22</v>
      </c>
      <c r="D2466" s="21" t="s">
        <v>701</v>
      </c>
      <c r="E2466" s="21" t="s">
        <v>61</v>
      </c>
      <c r="F2466" s="5812">
        <v>2</v>
      </c>
      <c r="G2466" s="5813">
        <v>7.3611111111111113E-2</v>
      </c>
      <c r="H2466" s="21" t="s">
        <v>10</v>
      </c>
      <c r="I2466" s="21" t="s">
        <v>55</v>
      </c>
      <c r="J2466" s="21" t="s">
        <v>67</v>
      </c>
      <c r="K2466" s="5814" t="s">
        <v>8344</v>
      </c>
    </row>
    <row r="2467" spans="1:11">
      <c r="A2467" s="21" t="s">
        <v>3116</v>
      </c>
      <c r="B2467" s="21" t="s">
        <v>8345</v>
      </c>
      <c r="C2467" s="21" t="s">
        <v>8</v>
      </c>
      <c r="D2467" s="21" t="s">
        <v>701</v>
      </c>
      <c r="E2467" s="21" t="s">
        <v>61</v>
      </c>
      <c r="F2467" s="5812">
        <v>2</v>
      </c>
      <c r="G2467" s="5813">
        <v>8.6805555555555552E-2</v>
      </c>
      <c r="H2467" s="21" t="s">
        <v>10</v>
      </c>
      <c r="I2467" s="21" t="s">
        <v>23</v>
      </c>
      <c r="J2467" s="21" t="s">
        <v>8346</v>
      </c>
      <c r="K2467" s="5814" t="s">
        <v>8347</v>
      </c>
    </row>
    <row r="2468" spans="1:11">
      <c r="A2468" s="21" t="s">
        <v>3532</v>
      </c>
      <c r="B2468" s="21" t="s">
        <v>8348</v>
      </c>
      <c r="C2468" s="21" t="s">
        <v>8</v>
      </c>
      <c r="D2468" s="21" t="s">
        <v>701</v>
      </c>
      <c r="E2468" s="21" t="s">
        <v>61</v>
      </c>
      <c r="F2468" s="5812">
        <v>2</v>
      </c>
      <c r="G2468" s="5813">
        <v>8.6805555555555552E-2</v>
      </c>
      <c r="H2468" s="21" t="s">
        <v>10</v>
      </c>
      <c r="I2468" s="21" t="s">
        <v>5887</v>
      </c>
      <c r="J2468" s="21" t="s">
        <v>110</v>
      </c>
      <c r="K2468" s="5814" t="s">
        <v>8349</v>
      </c>
    </row>
    <row r="2469" spans="1:11">
      <c r="A2469" s="21" t="s">
        <v>5554</v>
      </c>
      <c r="B2469" s="21" t="s">
        <v>8350</v>
      </c>
      <c r="C2469" s="21" t="s">
        <v>8</v>
      </c>
      <c r="D2469" s="21" t="s">
        <v>701</v>
      </c>
      <c r="E2469" s="21" t="s">
        <v>61</v>
      </c>
      <c r="F2469" s="5812">
        <v>2</v>
      </c>
      <c r="G2469" s="5813">
        <v>9.0972222222222218E-2</v>
      </c>
      <c r="H2469" s="21" t="s">
        <v>10</v>
      </c>
      <c r="I2469" s="21" t="s">
        <v>4254</v>
      </c>
      <c r="J2469" s="21" t="s">
        <v>836</v>
      </c>
      <c r="K2469" s="5814" t="s">
        <v>8351</v>
      </c>
    </row>
    <row r="2470" spans="1:11">
      <c r="A2470" s="21" t="s">
        <v>3006</v>
      </c>
      <c r="B2470" s="21" t="s">
        <v>8352</v>
      </c>
      <c r="C2470" s="21" t="s">
        <v>8</v>
      </c>
      <c r="D2470" s="21" t="s">
        <v>701</v>
      </c>
      <c r="E2470" s="21" t="s">
        <v>61</v>
      </c>
      <c r="F2470" s="5812">
        <v>2</v>
      </c>
      <c r="G2470" s="5813">
        <v>9.8611111111111108E-2</v>
      </c>
      <c r="H2470" s="21" t="s">
        <v>10</v>
      </c>
      <c r="I2470" s="21" t="s">
        <v>2297</v>
      </c>
      <c r="J2470" s="21" t="s">
        <v>8353</v>
      </c>
      <c r="K2470" s="5814" t="s">
        <v>8354</v>
      </c>
    </row>
    <row r="2471" spans="1:11">
      <c r="A2471" s="21" t="s">
        <v>5264</v>
      </c>
      <c r="B2471" s="21" t="s">
        <v>8355</v>
      </c>
      <c r="C2471" s="21" t="s">
        <v>8</v>
      </c>
      <c r="D2471" s="21" t="s">
        <v>701</v>
      </c>
      <c r="E2471" s="21" t="s">
        <v>61</v>
      </c>
      <c r="F2471" s="5812">
        <v>2</v>
      </c>
      <c r="G2471" s="5813">
        <v>0.10972222222222222</v>
      </c>
      <c r="H2471" s="21" t="s">
        <v>10</v>
      </c>
      <c r="I2471" s="21"/>
      <c r="J2471" s="21" t="s">
        <v>67</v>
      </c>
      <c r="K2471" s="5814" t="s">
        <v>8356</v>
      </c>
    </row>
    <row r="2472" spans="1:11">
      <c r="A2472" s="21" t="s">
        <v>2300</v>
      </c>
      <c r="B2472" s="21" t="s">
        <v>8357</v>
      </c>
      <c r="C2472" s="21" t="s">
        <v>8</v>
      </c>
      <c r="D2472" s="21" t="s">
        <v>701</v>
      </c>
      <c r="E2472" s="21" t="s">
        <v>61</v>
      </c>
      <c r="F2472" s="5812">
        <v>2</v>
      </c>
      <c r="G2472" s="5813">
        <v>0.11041666666666666</v>
      </c>
      <c r="H2472" s="21" t="s">
        <v>2081</v>
      </c>
      <c r="I2472" s="21" t="s">
        <v>8358</v>
      </c>
      <c r="J2472" s="21" t="s">
        <v>3326</v>
      </c>
      <c r="K2472" s="5814" t="s">
        <v>8359</v>
      </c>
    </row>
    <row r="2473" spans="1:11">
      <c r="A2473" s="21" t="s">
        <v>3909</v>
      </c>
      <c r="B2473" s="21" t="s">
        <v>8360</v>
      </c>
      <c r="C2473" s="21" t="s">
        <v>8</v>
      </c>
      <c r="D2473" s="21" t="s">
        <v>701</v>
      </c>
      <c r="E2473" s="21" t="s">
        <v>61</v>
      </c>
      <c r="F2473" s="5812">
        <v>2</v>
      </c>
      <c r="G2473" s="5813">
        <v>0.11527777777777778</v>
      </c>
      <c r="H2473" s="21" t="s">
        <v>10</v>
      </c>
      <c r="I2473" s="21" t="s">
        <v>2544</v>
      </c>
      <c r="J2473" s="21" t="s">
        <v>67</v>
      </c>
      <c r="K2473" s="5814" t="s">
        <v>8361</v>
      </c>
    </row>
    <row r="2474" spans="1:11">
      <c r="A2474" s="21" t="s">
        <v>4423</v>
      </c>
      <c r="B2474" s="21" t="s">
        <v>8362</v>
      </c>
      <c r="C2474" s="21" t="s">
        <v>22</v>
      </c>
      <c r="D2474" s="21" t="s">
        <v>701</v>
      </c>
      <c r="E2474" s="21" t="s">
        <v>61</v>
      </c>
      <c r="F2474" s="5812">
        <v>2</v>
      </c>
      <c r="G2474" s="5813">
        <v>0.12083333333333333</v>
      </c>
      <c r="H2474" s="21" t="s">
        <v>10</v>
      </c>
      <c r="I2474" s="21" t="s">
        <v>2297</v>
      </c>
      <c r="J2474" s="21" t="s">
        <v>782</v>
      </c>
      <c r="K2474" s="5814" t="s">
        <v>8363</v>
      </c>
    </row>
    <row r="2475" spans="1:11">
      <c r="A2475" s="21" t="s">
        <v>2808</v>
      </c>
      <c r="B2475" s="21" t="s">
        <v>8364</v>
      </c>
      <c r="C2475" s="21" t="s">
        <v>8</v>
      </c>
      <c r="D2475" s="21" t="s">
        <v>701</v>
      </c>
      <c r="E2475" s="21" t="s">
        <v>61</v>
      </c>
      <c r="F2475" s="5812">
        <v>2</v>
      </c>
      <c r="G2475" s="5813">
        <v>0.12291666666666666</v>
      </c>
      <c r="H2475" s="21" t="s">
        <v>10</v>
      </c>
      <c r="I2475" s="21" t="s">
        <v>226</v>
      </c>
      <c r="J2475" s="21" t="s">
        <v>67</v>
      </c>
      <c r="K2475" s="5814" t="s">
        <v>8365</v>
      </c>
    </row>
    <row r="2476" spans="1:11">
      <c r="A2476" s="21" t="s">
        <v>3427</v>
      </c>
      <c r="B2476" s="21" t="s">
        <v>8366</v>
      </c>
      <c r="C2476" s="21" t="s">
        <v>22</v>
      </c>
      <c r="D2476" s="21" t="s">
        <v>701</v>
      </c>
      <c r="E2476" s="21" t="s">
        <v>61</v>
      </c>
      <c r="F2476" s="5812">
        <v>2</v>
      </c>
      <c r="G2476" s="5813">
        <v>0.12291666666666666</v>
      </c>
      <c r="H2476" s="21" t="s">
        <v>10</v>
      </c>
      <c r="I2476" s="21" t="s">
        <v>96</v>
      </c>
      <c r="J2476" s="21" t="s">
        <v>67</v>
      </c>
      <c r="K2476" s="5814" t="s">
        <v>8367</v>
      </c>
    </row>
    <row r="2477" spans="1:11">
      <c r="A2477" s="21" t="s">
        <v>339</v>
      </c>
      <c r="B2477" s="21" t="s">
        <v>781</v>
      </c>
      <c r="C2477" s="21" t="s">
        <v>8</v>
      </c>
      <c r="D2477" s="21" t="s">
        <v>701</v>
      </c>
      <c r="E2477" s="21" t="s">
        <v>61</v>
      </c>
      <c r="F2477" s="5812">
        <v>2</v>
      </c>
      <c r="G2477" s="5813">
        <v>0.125</v>
      </c>
      <c r="H2477" s="21" t="s">
        <v>10</v>
      </c>
      <c r="I2477" s="21" t="s">
        <v>11</v>
      </c>
      <c r="J2477" s="21" t="s">
        <v>782</v>
      </c>
      <c r="K2477" s="5814" t="s">
        <v>783</v>
      </c>
    </row>
    <row r="2478" spans="1:11">
      <c r="A2478" s="21" t="s">
        <v>2254</v>
      </c>
      <c r="B2478" s="21" t="s">
        <v>8368</v>
      </c>
      <c r="C2478" s="21" t="s">
        <v>8</v>
      </c>
      <c r="D2478" s="21" t="s">
        <v>701</v>
      </c>
      <c r="E2478" s="21" t="s">
        <v>61</v>
      </c>
      <c r="F2478" s="5812">
        <v>2</v>
      </c>
      <c r="G2478" s="5813">
        <v>0.12638888888888888</v>
      </c>
      <c r="H2478" s="21" t="s">
        <v>10</v>
      </c>
      <c r="I2478" s="21" t="s">
        <v>23</v>
      </c>
      <c r="J2478" s="21" t="s">
        <v>67</v>
      </c>
      <c r="K2478" s="5814" t="s">
        <v>8369</v>
      </c>
    </row>
    <row r="2479" spans="1:11">
      <c r="A2479" s="21" t="s">
        <v>4177</v>
      </c>
      <c r="B2479" s="21" t="s">
        <v>8370</v>
      </c>
      <c r="C2479" s="21" t="s">
        <v>8</v>
      </c>
      <c r="D2479" s="21" t="s">
        <v>701</v>
      </c>
      <c r="E2479" s="21" t="s">
        <v>61</v>
      </c>
      <c r="F2479" s="5812">
        <v>2</v>
      </c>
      <c r="G2479" s="5813">
        <v>0.13194444444444445</v>
      </c>
      <c r="H2479" s="21" t="s">
        <v>10</v>
      </c>
      <c r="I2479" s="21" t="s">
        <v>47</v>
      </c>
      <c r="J2479" s="21" t="s">
        <v>8371</v>
      </c>
      <c r="K2479" s="5814" t="s">
        <v>8372</v>
      </c>
    </row>
    <row r="2480" spans="1:11">
      <c r="A2480" s="21" t="s">
        <v>2788</v>
      </c>
      <c r="B2480" s="21" t="s">
        <v>8373</v>
      </c>
      <c r="C2480" s="21" t="s">
        <v>22</v>
      </c>
      <c r="D2480" s="21" t="s">
        <v>701</v>
      </c>
      <c r="E2480" s="21" t="s">
        <v>61</v>
      </c>
      <c r="F2480" s="5812">
        <v>2</v>
      </c>
      <c r="G2480" s="5813">
        <v>0.13333333333333333</v>
      </c>
      <c r="H2480" s="21" t="s">
        <v>10</v>
      </c>
      <c r="I2480" s="21" t="s">
        <v>2247</v>
      </c>
      <c r="J2480" s="21" t="s">
        <v>67</v>
      </c>
      <c r="K2480" s="5814" t="s">
        <v>8374</v>
      </c>
    </row>
    <row r="2481" spans="1:11">
      <c r="A2481" s="21" t="s">
        <v>2197</v>
      </c>
      <c r="B2481" s="21" t="s">
        <v>8375</v>
      </c>
      <c r="C2481" s="21" t="s">
        <v>8</v>
      </c>
      <c r="D2481" s="21" t="s">
        <v>701</v>
      </c>
      <c r="E2481" s="21" t="s">
        <v>61</v>
      </c>
      <c r="F2481" s="5812">
        <v>2</v>
      </c>
      <c r="G2481" s="5813">
        <v>0.14027777777777778</v>
      </c>
      <c r="H2481" s="21" t="s">
        <v>10</v>
      </c>
      <c r="I2481" s="21" t="s">
        <v>400</v>
      </c>
      <c r="J2481" s="21" t="s">
        <v>67</v>
      </c>
      <c r="K2481" s="5814" t="s">
        <v>8376</v>
      </c>
    </row>
    <row r="2482" spans="1:11">
      <c r="A2482" s="21" t="s">
        <v>2941</v>
      </c>
      <c r="B2482" s="21" t="s">
        <v>8377</v>
      </c>
      <c r="C2482" s="21" t="s">
        <v>8</v>
      </c>
      <c r="D2482" s="21" t="s">
        <v>701</v>
      </c>
      <c r="E2482" s="21" t="s">
        <v>61</v>
      </c>
      <c r="F2482" s="5812">
        <v>2</v>
      </c>
      <c r="G2482" s="5813">
        <v>0.14305555555555555</v>
      </c>
      <c r="H2482" s="21" t="s">
        <v>10</v>
      </c>
      <c r="I2482" s="21" t="s">
        <v>96</v>
      </c>
      <c r="J2482" s="21" t="s">
        <v>1327</v>
      </c>
      <c r="K2482" s="5814" t="s">
        <v>8378</v>
      </c>
    </row>
    <row r="2483" spans="1:11">
      <c r="A2483" s="21" t="s">
        <v>3315</v>
      </c>
      <c r="B2483" s="21" t="s">
        <v>8379</v>
      </c>
      <c r="C2483" s="21" t="s">
        <v>8</v>
      </c>
      <c r="D2483" s="21" t="s">
        <v>701</v>
      </c>
      <c r="E2483" s="21" t="s">
        <v>61</v>
      </c>
      <c r="F2483" s="5812">
        <v>2</v>
      </c>
      <c r="G2483" s="5813">
        <v>0.14305555555555555</v>
      </c>
      <c r="H2483" s="21" t="s">
        <v>10</v>
      </c>
      <c r="I2483" s="21" t="s">
        <v>55</v>
      </c>
      <c r="J2483" s="21" t="s">
        <v>67</v>
      </c>
      <c r="K2483" s="5814" t="s">
        <v>8380</v>
      </c>
    </row>
    <row r="2484" spans="1:11">
      <c r="A2484" s="21" t="s">
        <v>2354</v>
      </c>
      <c r="B2484" s="21" t="s">
        <v>8381</v>
      </c>
      <c r="C2484" s="21" t="s">
        <v>8</v>
      </c>
      <c r="D2484" s="21" t="s">
        <v>701</v>
      </c>
      <c r="E2484" s="21" t="s">
        <v>61</v>
      </c>
      <c r="F2484" s="5812">
        <v>2</v>
      </c>
      <c r="G2484" s="5813">
        <v>0.1701388888888889</v>
      </c>
      <c r="H2484" s="21" t="s">
        <v>10</v>
      </c>
      <c r="I2484" s="21" t="s">
        <v>233</v>
      </c>
      <c r="J2484" s="21" t="s">
        <v>67</v>
      </c>
      <c r="K2484" s="5814" t="s">
        <v>8382</v>
      </c>
    </row>
    <row r="2485" spans="1:11">
      <c r="A2485" s="21" t="s">
        <v>2915</v>
      </c>
      <c r="B2485" s="21" t="s">
        <v>8383</v>
      </c>
      <c r="C2485" s="21" t="s">
        <v>8</v>
      </c>
      <c r="D2485" s="21" t="s">
        <v>701</v>
      </c>
      <c r="E2485" s="21" t="s">
        <v>61</v>
      </c>
      <c r="F2485" s="5812">
        <v>2</v>
      </c>
      <c r="G2485" s="5813">
        <v>0.17083333333333334</v>
      </c>
      <c r="H2485" s="21" t="s">
        <v>10</v>
      </c>
      <c r="I2485" s="21" t="s">
        <v>194</v>
      </c>
      <c r="J2485" s="21" t="s">
        <v>505</v>
      </c>
      <c r="K2485" s="5814" t="s">
        <v>8384</v>
      </c>
    </row>
    <row r="2486" spans="1:11">
      <c r="A2486" s="21" t="s">
        <v>2184</v>
      </c>
      <c r="B2486" s="21" t="s">
        <v>8385</v>
      </c>
      <c r="C2486" s="21" t="s">
        <v>8</v>
      </c>
      <c r="D2486" s="21" t="s">
        <v>701</v>
      </c>
      <c r="E2486" s="21" t="s">
        <v>61</v>
      </c>
      <c r="F2486" s="5812">
        <v>2</v>
      </c>
      <c r="G2486" s="5813">
        <v>0.17708333333333334</v>
      </c>
      <c r="H2486" s="21" t="s">
        <v>10</v>
      </c>
      <c r="I2486" s="21" t="s">
        <v>11</v>
      </c>
      <c r="J2486" s="21" t="s">
        <v>67</v>
      </c>
      <c r="K2486" s="5814" t="s">
        <v>8386</v>
      </c>
    </row>
    <row r="2487" spans="1:11">
      <c r="A2487" s="21" t="s">
        <v>2084</v>
      </c>
      <c r="B2487" s="21" t="s">
        <v>8387</v>
      </c>
      <c r="C2487" s="21" t="s">
        <v>22</v>
      </c>
      <c r="D2487" s="21" t="s">
        <v>701</v>
      </c>
      <c r="E2487" s="21" t="s">
        <v>61</v>
      </c>
      <c r="F2487" s="5812">
        <v>2</v>
      </c>
      <c r="G2487" s="5813">
        <v>0.18472222222222223</v>
      </c>
      <c r="H2487" s="21" t="s">
        <v>10</v>
      </c>
      <c r="I2487" s="21" t="s">
        <v>2544</v>
      </c>
      <c r="J2487" s="21" t="s">
        <v>8388</v>
      </c>
      <c r="K2487" s="5814" t="s">
        <v>8389</v>
      </c>
    </row>
    <row r="2488" spans="1:11">
      <c r="A2488" s="21" t="s">
        <v>2812</v>
      </c>
      <c r="B2488" s="21" t="s">
        <v>8390</v>
      </c>
      <c r="C2488" s="21" t="s">
        <v>8</v>
      </c>
      <c r="D2488" s="21" t="s">
        <v>701</v>
      </c>
      <c r="E2488" s="21" t="s">
        <v>61</v>
      </c>
      <c r="F2488" s="5812">
        <v>2</v>
      </c>
      <c r="G2488" s="5813">
        <v>0.18819444444444444</v>
      </c>
      <c r="H2488" s="21" t="s">
        <v>10</v>
      </c>
      <c r="I2488" s="21" t="s">
        <v>2814</v>
      </c>
      <c r="J2488" s="21" t="s">
        <v>5466</v>
      </c>
      <c r="K2488" s="5814" t="s">
        <v>8391</v>
      </c>
    </row>
    <row r="2489" spans="1:11">
      <c r="A2489" s="21" t="s">
        <v>2061</v>
      </c>
      <c r="B2489" s="21" t="s">
        <v>8392</v>
      </c>
      <c r="C2489" s="21" t="s">
        <v>8</v>
      </c>
      <c r="D2489" s="21" t="s">
        <v>701</v>
      </c>
      <c r="E2489" s="21" t="s">
        <v>61</v>
      </c>
      <c r="F2489" s="5812">
        <v>2</v>
      </c>
      <c r="G2489" s="5813">
        <v>0.19027777777777777</v>
      </c>
      <c r="H2489" s="21" t="s">
        <v>10</v>
      </c>
      <c r="I2489" s="21" t="s">
        <v>23</v>
      </c>
      <c r="J2489" s="21" t="s">
        <v>67</v>
      </c>
      <c r="K2489" s="5814" t="s">
        <v>8393</v>
      </c>
    </row>
    <row r="2490" spans="1:11">
      <c r="A2490" s="21" t="s">
        <v>3323</v>
      </c>
      <c r="B2490" s="21" t="s">
        <v>8394</v>
      </c>
      <c r="C2490" s="21" t="s">
        <v>8</v>
      </c>
      <c r="D2490" s="21" t="s">
        <v>701</v>
      </c>
      <c r="E2490" s="21" t="s">
        <v>61</v>
      </c>
      <c r="F2490" s="5812">
        <v>2</v>
      </c>
      <c r="G2490" s="5813">
        <v>0.19513888888888889</v>
      </c>
      <c r="H2490" s="21" t="s">
        <v>10</v>
      </c>
      <c r="I2490" s="21" t="s">
        <v>4254</v>
      </c>
      <c r="J2490" s="21" t="s">
        <v>1379</v>
      </c>
      <c r="K2490" s="5814" t="s">
        <v>8395</v>
      </c>
    </row>
    <row r="2491" spans="1:11">
      <c r="A2491" s="21" t="s">
        <v>2929</v>
      </c>
      <c r="B2491" s="21" t="s">
        <v>8396</v>
      </c>
      <c r="C2491" s="21" t="s">
        <v>8</v>
      </c>
      <c r="D2491" s="21" t="s">
        <v>701</v>
      </c>
      <c r="E2491" s="21" t="s">
        <v>61</v>
      </c>
      <c r="F2491" s="5812">
        <v>2</v>
      </c>
      <c r="G2491" s="5813">
        <v>0.2013888888888889</v>
      </c>
      <c r="H2491" s="21" t="s">
        <v>10</v>
      </c>
      <c r="I2491" s="21" t="s">
        <v>39</v>
      </c>
      <c r="J2491" s="21" t="s">
        <v>67</v>
      </c>
      <c r="K2491" s="5814" t="s">
        <v>8397</v>
      </c>
    </row>
    <row r="2492" spans="1:11">
      <c r="A2492" s="21" t="s">
        <v>3474</v>
      </c>
      <c r="B2492" s="21" t="s">
        <v>8398</v>
      </c>
      <c r="C2492" s="21" t="s">
        <v>8</v>
      </c>
      <c r="D2492" s="21" t="s">
        <v>701</v>
      </c>
      <c r="E2492" s="21" t="s">
        <v>61</v>
      </c>
      <c r="F2492" s="5812">
        <v>2</v>
      </c>
      <c r="G2492" s="5813">
        <v>0.2048611111111111</v>
      </c>
      <c r="H2492" s="21" t="s">
        <v>10</v>
      </c>
      <c r="I2492" s="21" t="s">
        <v>96</v>
      </c>
      <c r="J2492" s="21" t="s">
        <v>67</v>
      </c>
      <c r="K2492" s="5814" t="s">
        <v>8399</v>
      </c>
    </row>
    <row r="2493" spans="1:11">
      <c r="A2493" s="21" t="s">
        <v>2065</v>
      </c>
      <c r="B2493" s="21" t="s">
        <v>8400</v>
      </c>
      <c r="C2493" s="21" t="s">
        <v>22</v>
      </c>
      <c r="D2493" s="21" t="s">
        <v>701</v>
      </c>
      <c r="E2493" s="21" t="s">
        <v>61</v>
      </c>
      <c r="F2493" s="5812">
        <v>3</v>
      </c>
      <c r="G2493" s="5813">
        <v>1.9444444444444445E-2</v>
      </c>
      <c r="H2493" s="21" t="s">
        <v>54</v>
      </c>
      <c r="I2493" s="21" t="s">
        <v>89</v>
      </c>
      <c r="J2493" s="21" t="s">
        <v>3432</v>
      </c>
      <c r="K2493" s="5814" t="s">
        <v>8401</v>
      </c>
    </row>
    <row r="2494" spans="1:11">
      <c r="A2494" s="21" t="s">
        <v>3369</v>
      </c>
      <c r="B2494" s="21" t="s">
        <v>8402</v>
      </c>
      <c r="C2494" s="21" t="s">
        <v>8</v>
      </c>
      <c r="D2494" s="21" t="s">
        <v>701</v>
      </c>
      <c r="E2494" s="21" t="s">
        <v>61</v>
      </c>
      <c r="F2494" s="5812">
        <v>3</v>
      </c>
      <c r="G2494" s="5813">
        <v>2.9166666666666667E-2</v>
      </c>
      <c r="H2494" s="21" t="s">
        <v>10</v>
      </c>
      <c r="I2494" s="21" t="s">
        <v>55</v>
      </c>
      <c r="J2494" s="21" t="s">
        <v>3391</v>
      </c>
      <c r="K2494" s="5814" t="s">
        <v>8403</v>
      </c>
    </row>
    <row r="2495" spans="1:11">
      <c r="A2495" s="21" t="s">
        <v>2796</v>
      </c>
      <c r="B2495" s="21" t="s">
        <v>8404</v>
      </c>
      <c r="C2495" s="21" t="s">
        <v>22</v>
      </c>
      <c r="D2495" s="21" t="s">
        <v>701</v>
      </c>
      <c r="E2495" s="21" t="s">
        <v>61</v>
      </c>
      <c r="F2495" s="5812">
        <v>3</v>
      </c>
      <c r="G2495" s="5813">
        <v>3.4027777777777775E-2</v>
      </c>
      <c r="H2495" s="21" t="s">
        <v>10</v>
      </c>
      <c r="I2495" s="21" t="s">
        <v>73</v>
      </c>
      <c r="J2495" s="21" t="s">
        <v>782</v>
      </c>
      <c r="K2495" s="5814" t="s">
        <v>8405</v>
      </c>
    </row>
    <row r="2496" spans="1:11">
      <c r="A2496" s="21" t="s">
        <v>2212</v>
      </c>
      <c r="B2496" s="21" t="s">
        <v>8406</v>
      </c>
      <c r="C2496" s="21" t="s">
        <v>22</v>
      </c>
      <c r="D2496" s="21" t="s">
        <v>701</v>
      </c>
      <c r="E2496" s="21" t="s">
        <v>61</v>
      </c>
      <c r="F2496" s="5812">
        <v>3</v>
      </c>
      <c r="G2496" s="5813">
        <v>3.4722222222222224E-2</v>
      </c>
      <c r="H2496" s="21" t="s">
        <v>10</v>
      </c>
      <c r="I2496" s="21" t="s">
        <v>3373</v>
      </c>
      <c r="J2496" s="21" t="s">
        <v>67</v>
      </c>
      <c r="K2496" s="5814" t="s">
        <v>8407</v>
      </c>
    </row>
    <row r="2497" spans="1:11">
      <c r="A2497" s="21" t="s">
        <v>4863</v>
      </c>
      <c r="B2497" s="21" t="s">
        <v>8408</v>
      </c>
      <c r="C2497" s="21" t="s">
        <v>8</v>
      </c>
      <c r="D2497" s="21" t="s">
        <v>701</v>
      </c>
      <c r="E2497" s="21" t="s">
        <v>61</v>
      </c>
      <c r="F2497" s="5812">
        <v>3</v>
      </c>
      <c r="G2497" s="5813">
        <v>5.9722222222222225E-2</v>
      </c>
      <c r="H2497" s="21" t="s">
        <v>10</v>
      </c>
      <c r="I2497" s="21" t="s">
        <v>2523</v>
      </c>
      <c r="J2497" s="21" t="s">
        <v>8246</v>
      </c>
      <c r="K2497" s="5814" t="s">
        <v>8409</v>
      </c>
    </row>
    <row r="2498" spans="1:11">
      <c r="A2498" s="21" t="s">
        <v>3056</v>
      </c>
      <c r="B2498" s="21" t="s">
        <v>8410</v>
      </c>
      <c r="C2498" s="21" t="s">
        <v>8</v>
      </c>
      <c r="D2498" s="21" t="s">
        <v>701</v>
      </c>
      <c r="E2498" s="21" t="s">
        <v>61</v>
      </c>
      <c r="F2498" s="5812">
        <v>3</v>
      </c>
      <c r="G2498" s="5813">
        <v>6.5972222222222224E-2</v>
      </c>
      <c r="H2498" s="21" t="s">
        <v>10</v>
      </c>
      <c r="I2498" s="21" t="s">
        <v>2872</v>
      </c>
      <c r="J2498" s="21" t="s">
        <v>67</v>
      </c>
      <c r="K2498" s="5814" t="s">
        <v>8411</v>
      </c>
    </row>
    <row r="2499" spans="1:11">
      <c r="A2499" s="21" t="s">
        <v>2123</v>
      </c>
      <c r="B2499" s="21" t="s">
        <v>8412</v>
      </c>
      <c r="C2499" s="21" t="s">
        <v>8</v>
      </c>
      <c r="D2499" s="21" t="s">
        <v>701</v>
      </c>
      <c r="E2499" s="21" t="s">
        <v>61</v>
      </c>
      <c r="F2499" s="5812">
        <v>3</v>
      </c>
      <c r="G2499" s="5813">
        <v>6.7361111111111108E-2</v>
      </c>
      <c r="H2499" s="21" t="s">
        <v>10</v>
      </c>
      <c r="I2499" s="21" t="s">
        <v>23</v>
      </c>
      <c r="J2499" s="21" t="s">
        <v>505</v>
      </c>
      <c r="K2499" s="5814" t="s">
        <v>8413</v>
      </c>
    </row>
    <row r="2500" spans="1:11">
      <c r="A2500" s="21" t="s">
        <v>3559</v>
      </c>
      <c r="B2500" s="21" t="s">
        <v>8414</v>
      </c>
      <c r="C2500" s="21" t="s">
        <v>22</v>
      </c>
      <c r="D2500" s="21" t="s">
        <v>701</v>
      </c>
      <c r="E2500" s="21" t="s">
        <v>61</v>
      </c>
      <c r="F2500" s="5812">
        <v>3</v>
      </c>
      <c r="G2500" s="5813">
        <v>6.9444444444444448E-2</v>
      </c>
      <c r="H2500" s="21" t="s">
        <v>10</v>
      </c>
      <c r="I2500" s="21" t="s">
        <v>11</v>
      </c>
      <c r="J2500" s="21" t="s">
        <v>3313</v>
      </c>
      <c r="K2500" s="5814" t="s">
        <v>8415</v>
      </c>
    </row>
    <row r="2501" spans="1:11">
      <c r="A2501" s="21" t="s">
        <v>2372</v>
      </c>
      <c r="B2501" s="21" t="s">
        <v>8416</v>
      </c>
      <c r="C2501" s="21" t="s">
        <v>8</v>
      </c>
      <c r="D2501" s="21" t="s">
        <v>701</v>
      </c>
      <c r="E2501" s="21" t="s">
        <v>61</v>
      </c>
      <c r="F2501" s="5812">
        <v>3</v>
      </c>
      <c r="G2501" s="5813">
        <v>8.3333333333333329E-2</v>
      </c>
      <c r="H2501" s="21" t="s">
        <v>10</v>
      </c>
      <c r="I2501" s="21" t="s">
        <v>226</v>
      </c>
      <c r="J2501" s="21" t="s">
        <v>67</v>
      </c>
      <c r="K2501" s="5814" t="s">
        <v>8417</v>
      </c>
    </row>
    <row r="2502" spans="1:11">
      <c r="A2502" s="21" t="s">
        <v>2376</v>
      </c>
      <c r="B2502" s="21" t="s">
        <v>8418</v>
      </c>
      <c r="C2502" s="21" t="s">
        <v>8</v>
      </c>
      <c r="D2502" s="21" t="s">
        <v>701</v>
      </c>
      <c r="E2502" s="21" t="s">
        <v>61</v>
      </c>
      <c r="F2502" s="5812">
        <v>3</v>
      </c>
      <c r="G2502" s="5813">
        <v>8.6805555555555552E-2</v>
      </c>
      <c r="H2502" s="21" t="s">
        <v>10</v>
      </c>
      <c r="I2502" s="21" t="s">
        <v>55</v>
      </c>
      <c r="J2502" s="21" t="s">
        <v>67</v>
      </c>
      <c r="K2502" s="5814" t="s">
        <v>8419</v>
      </c>
    </row>
    <row r="2503" spans="1:11">
      <c r="A2503" s="21" t="s">
        <v>2711</v>
      </c>
      <c r="B2503" s="21" t="s">
        <v>8420</v>
      </c>
      <c r="C2503" s="21" t="s">
        <v>8</v>
      </c>
      <c r="D2503" s="21" t="s">
        <v>701</v>
      </c>
      <c r="E2503" s="21" t="s">
        <v>61</v>
      </c>
      <c r="F2503" s="5812">
        <v>3</v>
      </c>
      <c r="G2503" s="5813">
        <v>9.930555555555555E-2</v>
      </c>
      <c r="H2503" s="21" t="s">
        <v>10</v>
      </c>
      <c r="I2503" s="21" t="s">
        <v>233</v>
      </c>
      <c r="J2503" s="21" t="s">
        <v>5385</v>
      </c>
      <c r="K2503" s="5814" t="s">
        <v>8421</v>
      </c>
    </row>
    <row r="2504" spans="1:11">
      <c r="A2504" s="21" t="s">
        <v>3458</v>
      </c>
      <c r="B2504" s="21" t="s">
        <v>8422</v>
      </c>
      <c r="C2504" s="21" t="s">
        <v>8</v>
      </c>
      <c r="D2504" s="21" t="s">
        <v>701</v>
      </c>
      <c r="E2504" s="21" t="s">
        <v>61</v>
      </c>
      <c r="F2504" s="5812">
        <v>3</v>
      </c>
      <c r="G2504" s="5813">
        <v>0.10277777777777777</v>
      </c>
      <c r="H2504" s="21" t="s">
        <v>10</v>
      </c>
      <c r="I2504" s="21" t="s">
        <v>2872</v>
      </c>
      <c r="J2504" s="21" t="s">
        <v>67</v>
      </c>
      <c r="K2504" s="5814" t="s">
        <v>8423</v>
      </c>
    </row>
    <row r="2505" spans="1:11">
      <c r="A2505" s="21" t="s">
        <v>3541</v>
      </c>
      <c r="B2505" s="21" t="s">
        <v>8424</v>
      </c>
      <c r="C2505" s="21" t="s">
        <v>8</v>
      </c>
      <c r="D2505" s="21" t="s">
        <v>701</v>
      </c>
      <c r="E2505" s="21" t="s">
        <v>61</v>
      </c>
      <c r="F2505" s="5812">
        <v>3</v>
      </c>
      <c r="G2505" s="5813">
        <v>0.10486111111111111</v>
      </c>
      <c r="H2505" s="21" t="s">
        <v>10</v>
      </c>
      <c r="I2505" s="21" t="s">
        <v>2297</v>
      </c>
      <c r="J2505" s="21" t="s">
        <v>1194</v>
      </c>
      <c r="K2505" s="5814" t="s">
        <v>8425</v>
      </c>
    </row>
    <row r="2506" spans="1:11">
      <c r="A2506" s="21" t="s">
        <v>2276</v>
      </c>
      <c r="B2506" s="21" t="s">
        <v>8426</v>
      </c>
      <c r="C2506" s="21" t="s">
        <v>22</v>
      </c>
      <c r="D2506" s="21" t="s">
        <v>701</v>
      </c>
      <c r="E2506" s="21" t="s">
        <v>61</v>
      </c>
      <c r="F2506" s="5812">
        <v>3</v>
      </c>
      <c r="G2506" s="5813">
        <v>0.1111111111111111</v>
      </c>
      <c r="H2506" s="21" t="s">
        <v>10</v>
      </c>
      <c r="I2506" s="21" t="s">
        <v>8427</v>
      </c>
      <c r="J2506" s="21" t="s">
        <v>67</v>
      </c>
      <c r="K2506" s="5814" t="s">
        <v>8428</v>
      </c>
    </row>
    <row r="2507" spans="1:11">
      <c r="A2507" s="21" t="s">
        <v>3616</v>
      </c>
      <c r="B2507" s="21" t="s">
        <v>8429</v>
      </c>
      <c r="C2507" s="21" t="s">
        <v>22</v>
      </c>
      <c r="D2507" s="21" t="s">
        <v>701</v>
      </c>
      <c r="E2507" s="21" t="s">
        <v>61</v>
      </c>
      <c r="F2507" s="5812">
        <v>3</v>
      </c>
      <c r="G2507" s="5813">
        <v>0.12013888888888889</v>
      </c>
      <c r="H2507" s="21" t="s">
        <v>10</v>
      </c>
      <c r="I2507" s="21" t="s">
        <v>39</v>
      </c>
      <c r="J2507" s="21" t="s">
        <v>324</v>
      </c>
      <c r="K2507" s="5814" t="s">
        <v>8430</v>
      </c>
    </row>
    <row r="2508" spans="1:11">
      <c r="A2508" s="21" t="s">
        <v>2846</v>
      </c>
      <c r="B2508" s="21" t="s">
        <v>8431</v>
      </c>
      <c r="C2508" s="21" t="s">
        <v>8</v>
      </c>
      <c r="D2508" s="21" t="s">
        <v>701</v>
      </c>
      <c r="E2508" s="21" t="s">
        <v>61</v>
      </c>
      <c r="F2508" s="5812">
        <v>3</v>
      </c>
      <c r="G2508" s="5813">
        <v>0.12638888888888888</v>
      </c>
      <c r="H2508" s="21" t="s">
        <v>10</v>
      </c>
      <c r="I2508" s="21" t="s">
        <v>2721</v>
      </c>
      <c r="J2508" s="21" t="s">
        <v>67</v>
      </c>
      <c r="K2508" s="5814" t="s">
        <v>8432</v>
      </c>
    </row>
    <row r="2509" spans="1:11">
      <c r="A2509" s="21" t="s">
        <v>37</v>
      </c>
      <c r="B2509" s="21" t="s">
        <v>896</v>
      </c>
      <c r="C2509" s="21" t="s">
        <v>8</v>
      </c>
      <c r="D2509" s="21" t="s">
        <v>701</v>
      </c>
      <c r="E2509" s="21" t="s">
        <v>61</v>
      </c>
      <c r="F2509" s="5812">
        <v>3</v>
      </c>
      <c r="G2509" s="5813">
        <v>0.1423611111111111</v>
      </c>
      <c r="H2509" s="21" t="s">
        <v>10</v>
      </c>
      <c r="I2509" s="21" t="s">
        <v>226</v>
      </c>
      <c r="J2509" s="21" t="s">
        <v>897</v>
      </c>
      <c r="K2509" s="5814" t="s">
        <v>898</v>
      </c>
    </row>
    <row r="2510" spans="1:11">
      <c r="A2510" s="21" t="s">
        <v>2897</v>
      </c>
      <c r="B2510" s="21" t="s">
        <v>8433</v>
      </c>
      <c r="C2510" s="21" t="s">
        <v>8</v>
      </c>
      <c r="D2510" s="21" t="s">
        <v>701</v>
      </c>
      <c r="E2510" s="21" t="s">
        <v>61</v>
      </c>
      <c r="F2510" s="5812">
        <v>3</v>
      </c>
      <c r="G2510" s="5813">
        <v>0.1423611111111111</v>
      </c>
      <c r="H2510" s="21" t="s">
        <v>10</v>
      </c>
      <c r="I2510" s="21" t="s">
        <v>11</v>
      </c>
      <c r="J2510" s="21" t="s">
        <v>5385</v>
      </c>
      <c r="K2510" s="5814" t="s">
        <v>8434</v>
      </c>
    </row>
    <row r="2511" spans="1:11">
      <c r="A2511" s="21" t="s">
        <v>3144</v>
      </c>
      <c r="B2511" s="21" t="s">
        <v>8435</v>
      </c>
      <c r="C2511" s="21" t="s">
        <v>8</v>
      </c>
      <c r="D2511" s="21" t="s">
        <v>701</v>
      </c>
      <c r="E2511" s="21" t="s">
        <v>61</v>
      </c>
      <c r="F2511" s="5812">
        <v>3</v>
      </c>
      <c r="G2511" s="5813">
        <v>0.16388888888888889</v>
      </c>
      <c r="H2511" s="21" t="s">
        <v>10</v>
      </c>
      <c r="I2511" s="21" t="s">
        <v>4146</v>
      </c>
      <c r="J2511" s="21" t="s">
        <v>67</v>
      </c>
      <c r="K2511" s="5814" t="s">
        <v>8436</v>
      </c>
    </row>
    <row r="2512" spans="1:11">
      <c r="A2512" s="21" t="s">
        <v>2893</v>
      </c>
      <c r="B2512" s="21" t="s">
        <v>8437</v>
      </c>
      <c r="C2512" s="21" t="s">
        <v>22</v>
      </c>
      <c r="D2512" s="21" t="s">
        <v>701</v>
      </c>
      <c r="E2512" s="21" t="s">
        <v>61</v>
      </c>
      <c r="F2512" s="5812">
        <v>3</v>
      </c>
      <c r="G2512" s="5813">
        <v>0.17430555555555555</v>
      </c>
      <c r="H2512" s="21" t="s">
        <v>10</v>
      </c>
      <c r="I2512" s="21" t="s">
        <v>11</v>
      </c>
      <c r="J2512" s="21" t="s">
        <v>67</v>
      </c>
      <c r="K2512" s="5814" t="s">
        <v>8438</v>
      </c>
    </row>
    <row r="2513" spans="1:11">
      <c r="A2513" s="21" t="s">
        <v>4768</v>
      </c>
      <c r="B2513" s="21" t="s">
        <v>8439</v>
      </c>
      <c r="C2513" s="21" t="s">
        <v>8</v>
      </c>
      <c r="D2513" s="21" t="s">
        <v>701</v>
      </c>
      <c r="E2513" s="21" t="s">
        <v>61</v>
      </c>
      <c r="F2513" s="5812">
        <v>3</v>
      </c>
      <c r="G2513" s="5813">
        <v>0.19791666666666666</v>
      </c>
      <c r="H2513" s="21" t="s">
        <v>10</v>
      </c>
      <c r="I2513" s="21" t="s">
        <v>3534</v>
      </c>
      <c r="J2513" s="21" t="s">
        <v>67</v>
      </c>
      <c r="K2513" s="5814" t="s">
        <v>8440</v>
      </c>
    </row>
    <row r="2514" spans="1:11">
      <c r="A2514" s="21" t="s">
        <v>5015</v>
      </c>
      <c r="B2514" s="21" t="s">
        <v>8441</v>
      </c>
      <c r="C2514" s="21" t="s">
        <v>22</v>
      </c>
      <c r="D2514" s="21" t="s">
        <v>701</v>
      </c>
      <c r="E2514" s="21" t="s">
        <v>61</v>
      </c>
      <c r="F2514" s="5812">
        <v>3</v>
      </c>
      <c r="G2514" s="5813">
        <v>0.20416666666666666</v>
      </c>
      <c r="H2514" s="21" t="s">
        <v>10</v>
      </c>
      <c r="I2514" s="21" t="s">
        <v>226</v>
      </c>
      <c r="J2514" s="21" t="s">
        <v>505</v>
      </c>
      <c r="K2514" s="5814" t="s">
        <v>8442</v>
      </c>
    </row>
    <row r="2515" spans="1:11">
      <c r="A2515" s="21" t="s">
        <v>2905</v>
      </c>
      <c r="B2515" s="21" t="s">
        <v>8443</v>
      </c>
      <c r="C2515" s="21" t="s">
        <v>8</v>
      </c>
      <c r="D2515" s="21" t="s">
        <v>701</v>
      </c>
      <c r="E2515" s="21" t="s">
        <v>61</v>
      </c>
      <c r="F2515" s="5812">
        <v>3</v>
      </c>
      <c r="G2515" s="5813">
        <v>0.20694444444444443</v>
      </c>
      <c r="H2515" s="21" t="s">
        <v>10</v>
      </c>
      <c r="I2515" s="21" t="s">
        <v>8444</v>
      </c>
      <c r="J2515" s="21" t="s">
        <v>3262</v>
      </c>
      <c r="K2515" s="5814" t="s">
        <v>8445</v>
      </c>
    </row>
    <row r="2516" spans="1:11">
      <c r="A2516" s="21" t="s">
        <v>2491</v>
      </c>
      <c r="B2516" s="21" t="s">
        <v>8446</v>
      </c>
      <c r="C2516" s="21" t="s">
        <v>8</v>
      </c>
      <c r="D2516" s="21" t="s">
        <v>701</v>
      </c>
      <c r="E2516" s="21" t="s">
        <v>61</v>
      </c>
      <c r="F2516" s="5812">
        <v>4</v>
      </c>
      <c r="G2516" s="5813">
        <v>0.10972222222222222</v>
      </c>
      <c r="H2516" s="21" t="s">
        <v>54</v>
      </c>
      <c r="I2516" s="21" t="s">
        <v>55</v>
      </c>
      <c r="J2516" s="21" t="s">
        <v>67</v>
      </c>
      <c r="K2516" s="5814" t="s">
        <v>8447</v>
      </c>
    </row>
    <row r="2517" spans="1:11">
      <c r="A2517" s="21" t="s">
        <v>3235</v>
      </c>
      <c r="B2517" s="21" t="s">
        <v>8107</v>
      </c>
      <c r="C2517" s="21" t="s">
        <v>8</v>
      </c>
      <c r="D2517" s="21" t="s">
        <v>701</v>
      </c>
      <c r="E2517" s="21" t="s">
        <v>244</v>
      </c>
      <c r="F2517" s="5812">
        <v>1</v>
      </c>
      <c r="G2517" s="5813">
        <v>0.20833333333333334</v>
      </c>
      <c r="H2517" s="21" t="s">
        <v>54</v>
      </c>
      <c r="I2517" s="21" t="s">
        <v>55</v>
      </c>
      <c r="J2517" s="21"/>
      <c r="K2517" s="5814" t="s">
        <v>8448</v>
      </c>
    </row>
    <row r="2518" spans="1:11">
      <c r="A2518" s="21" t="s">
        <v>3098</v>
      </c>
      <c r="B2518" s="21" t="s">
        <v>8449</v>
      </c>
      <c r="C2518" s="21" t="s">
        <v>22</v>
      </c>
      <c r="D2518" s="21" t="s">
        <v>701</v>
      </c>
      <c r="E2518" s="21" t="s">
        <v>244</v>
      </c>
      <c r="F2518" s="5812">
        <v>2</v>
      </c>
      <c r="G2518" s="5813">
        <v>0.14166666666666666</v>
      </c>
      <c r="H2518" s="21" t="s">
        <v>10</v>
      </c>
      <c r="I2518" s="21" t="s">
        <v>2523</v>
      </c>
      <c r="J2518" s="21" t="s">
        <v>4908</v>
      </c>
      <c r="K2518" s="5814" t="s">
        <v>8450</v>
      </c>
    </row>
    <row r="2519" spans="1:11">
      <c r="A2519" s="21" t="s">
        <v>3597</v>
      </c>
      <c r="B2519" s="21" t="s">
        <v>8451</v>
      </c>
      <c r="C2519" s="21" t="s">
        <v>8</v>
      </c>
      <c r="D2519" s="21" t="s">
        <v>701</v>
      </c>
      <c r="E2519" s="21" t="s">
        <v>244</v>
      </c>
      <c r="F2519" s="5812">
        <v>2</v>
      </c>
      <c r="G2519" s="5813">
        <v>0.20833333333333334</v>
      </c>
      <c r="H2519" s="21" t="s">
        <v>10</v>
      </c>
      <c r="I2519" s="21" t="s">
        <v>39</v>
      </c>
      <c r="J2519" s="21"/>
      <c r="K2519" s="5814" t="s">
        <v>8452</v>
      </c>
    </row>
    <row r="2520" spans="1:11">
      <c r="A2520" s="21" t="s">
        <v>5387</v>
      </c>
      <c r="B2520" s="21" t="s">
        <v>8453</v>
      </c>
      <c r="C2520" s="21" t="s">
        <v>8</v>
      </c>
      <c r="D2520" s="21" t="s">
        <v>701</v>
      </c>
      <c r="E2520" s="21" t="s">
        <v>244</v>
      </c>
      <c r="F2520" s="5812">
        <v>2</v>
      </c>
      <c r="G2520" s="5813">
        <v>0.20833333333333334</v>
      </c>
      <c r="H2520" s="21" t="s">
        <v>10</v>
      </c>
      <c r="I2520" s="21" t="s">
        <v>3441</v>
      </c>
      <c r="J2520" s="21"/>
      <c r="K2520" s="5814" t="s">
        <v>8454</v>
      </c>
    </row>
    <row r="2521" spans="1:11">
      <c r="A2521" s="21" t="s">
        <v>2609</v>
      </c>
      <c r="B2521" s="21" t="s">
        <v>8455</v>
      </c>
      <c r="C2521" s="21" t="s">
        <v>8</v>
      </c>
      <c r="D2521" s="21" t="s">
        <v>701</v>
      </c>
      <c r="E2521" s="21" t="s">
        <v>244</v>
      </c>
      <c r="F2521" s="5812">
        <v>2</v>
      </c>
      <c r="G2521" s="5813">
        <v>0.20833333333333334</v>
      </c>
      <c r="H2521" s="21" t="s">
        <v>10</v>
      </c>
      <c r="I2521" s="21" t="s">
        <v>226</v>
      </c>
      <c r="J2521" s="21"/>
      <c r="K2521" s="5814" t="s">
        <v>8456</v>
      </c>
    </row>
    <row r="2522" spans="1:11">
      <c r="A2522" s="21" t="s">
        <v>5235</v>
      </c>
      <c r="B2522" s="21" t="s">
        <v>8457</v>
      </c>
      <c r="C2522" s="21" t="s">
        <v>8</v>
      </c>
      <c r="D2522" s="21" t="s">
        <v>701</v>
      </c>
      <c r="E2522" s="21" t="s">
        <v>244</v>
      </c>
      <c r="F2522" s="5812">
        <v>2</v>
      </c>
      <c r="G2522" s="5813">
        <v>0.20833333333333334</v>
      </c>
      <c r="H2522" s="21" t="s">
        <v>10</v>
      </c>
      <c r="I2522" s="21" t="s">
        <v>2660</v>
      </c>
      <c r="J2522" s="21" t="s">
        <v>3622</v>
      </c>
      <c r="K2522" s="5814" t="s">
        <v>8458</v>
      </c>
    </row>
    <row r="2523" spans="1:11">
      <c r="A2523" s="21" t="s">
        <v>3882</v>
      </c>
      <c r="B2523" s="21" t="s">
        <v>8459</v>
      </c>
      <c r="C2523" s="21" t="s">
        <v>8</v>
      </c>
      <c r="D2523" s="21" t="s">
        <v>701</v>
      </c>
      <c r="E2523" s="21" t="s">
        <v>244</v>
      </c>
      <c r="F2523" s="5812">
        <v>3</v>
      </c>
      <c r="G2523" s="5813">
        <v>2.6388888888888889E-2</v>
      </c>
      <c r="H2523" s="21" t="s">
        <v>10</v>
      </c>
      <c r="I2523" s="21" t="s">
        <v>39</v>
      </c>
      <c r="J2523" s="21"/>
      <c r="K2523" s="5814" t="s">
        <v>8460</v>
      </c>
    </row>
    <row r="2524" spans="1:11">
      <c r="A2524" s="21" t="s">
        <v>2817</v>
      </c>
      <c r="B2524" s="21" t="s">
        <v>8461</v>
      </c>
      <c r="C2524" s="21" t="s">
        <v>8</v>
      </c>
      <c r="D2524" s="21" t="s">
        <v>701</v>
      </c>
      <c r="E2524" s="21" t="s">
        <v>244</v>
      </c>
      <c r="F2524" s="5812">
        <v>3</v>
      </c>
      <c r="G2524" s="5813">
        <v>0.10069444444444445</v>
      </c>
      <c r="H2524" s="21" t="s">
        <v>10</v>
      </c>
      <c r="I2524" s="21" t="s">
        <v>233</v>
      </c>
      <c r="J2524" s="21" t="s">
        <v>4908</v>
      </c>
      <c r="K2524" s="5814" t="s">
        <v>8462</v>
      </c>
    </row>
    <row r="2525" spans="1:11">
      <c r="A2525" s="21" t="s">
        <v>2719</v>
      </c>
      <c r="B2525" s="21" t="s">
        <v>8463</v>
      </c>
      <c r="C2525" s="21" t="s">
        <v>22</v>
      </c>
      <c r="D2525" s="21" t="s">
        <v>701</v>
      </c>
      <c r="E2525" s="21" t="s">
        <v>244</v>
      </c>
      <c r="F2525" s="5812">
        <v>5</v>
      </c>
      <c r="G2525" s="5813">
        <v>9.583333333333334E-2</v>
      </c>
      <c r="H2525" s="21" t="s">
        <v>54</v>
      </c>
      <c r="I2525" s="21" t="s">
        <v>11</v>
      </c>
      <c r="J2525" s="21"/>
      <c r="K2525" s="5814" t="s">
        <v>8464</v>
      </c>
    </row>
    <row r="2526" spans="1:11">
      <c r="A2526" s="21" t="s">
        <v>311</v>
      </c>
      <c r="B2526" s="21" t="s">
        <v>8465</v>
      </c>
      <c r="C2526" s="21" t="s">
        <v>179</v>
      </c>
      <c r="D2526" s="21" t="s">
        <v>944</v>
      </c>
      <c r="E2526" s="21" t="s">
        <v>180</v>
      </c>
      <c r="F2526" s="5812">
        <v>1</v>
      </c>
      <c r="G2526" s="5813">
        <v>7.6388888888888886E-3</v>
      </c>
      <c r="H2526" s="21" t="s">
        <v>10</v>
      </c>
      <c r="I2526" s="21" t="s">
        <v>55</v>
      </c>
      <c r="J2526" s="21" t="s">
        <v>8466</v>
      </c>
      <c r="K2526" s="5814" t="s">
        <v>8467</v>
      </c>
    </row>
    <row r="2527" spans="1:11">
      <c r="A2527" s="21" t="s">
        <v>3427</v>
      </c>
      <c r="B2527" s="21" t="s">
        <v>8468</v>
      </c>
      <c r="C2527" s="21" t="s">
        <v>179</v>
      </c>
      <c r="D2527" s="21" t="s">
        <v>944</v>
      </c>
      <c r="E2527" s="21" t="s">
        <v>180</v>
      </c>
      <c r="F2527" s="5812">
        <v>1</v>
      </c>
      <c r="G2527" s="5813">
        <v>7.6388888888888886E-3</v>
      </c>
      <c r="H2527" s="21" t="s">
        <v>10</v>
      </c>
      <c r="I2527" s="21" t="s">
        <v>39</v>
      </c>
      <c r="J2527" s="21" t="s">
        <v>8469</v>
      </c>
      <c r="K2527" s="5814" t="s">
        <v>8470</v>
      </c>
    </row>
    <row r="2528" spans="1:11">
      <c r="A2528" s="21" t="s">
        <v>3134</v>
      </c>
      <c r="B2528" s="21" t="s">
        <v>6370</v>
      </c>
      <c r="C2528" s="21" t="s">
        <v>179</v>
      </c>
      <c r="D2528" s="21" t="s">
        <v>944</v>
      </c>
      <c r="E2528" s="21" t="s">
        <v>180</v>
      </c>
      <c r="F2528" s="5812">
        <v>1</v>
      </c>
      <c r="G2528" s="5813">
        <v>0.19236111111111112</v>
      </c>
      <c r="H2528" s="21" t="s">
        <v>10</v>
      </c>
      <c r="I2528" s="21" t="s">
        <v>55</v>
      </c>
      <c r="J2528" s="21" t="s">
        <v>8471</v>
      </c>
      <c r="K2528" s="5814" t="s">
        <v>8472</v>
      </c>
    </row>
    <row r="2529" spans="1:11">
      <c r="A2529" s="21" t="s">
        <v>2947</v>
      </c>
      <c r="B2529" s="21" t="s">
        <v>8473</v>
      </c>
      <c r="C2529" s="21" t="s">
        <v>179</v>
      </c>
      <c r="D2529" s="21" t="s">
        <v>944</v>
      </c>
      <c r="E2529" s="21" t="s">
        <v>180</v>
      </c>
      <c r="F2529" s="5812">
        <v>2</v>
      </c>
      <c r="G2529" s="5813">
        <v>0.12777777777777777</v>
      </c>
      <c r="H2529" s="21" t="s">
        <v>10</v>
      </c>
      <c r="I2529" s="21" t="s">
        <v>96</v>
      </c>
      <c r="J2529" s="21" t="s">
        <v>8474</v>
      </c>
      <c r="K2529" s="5814" t="s">
        <v>8475</v>
      </c>
    </row>
    <row r="2530" spans="1:11">
      <c r="A2530" s="21" t="s">
        <v>4003</v>
      </c>
      <c r="B2530" s="21" t="s">
        <v>8476</v>
      </c>
      <c r="C2530" s="21" t="s">
        <v>8</v>
      </c>
      <c r="D2530" s="21" t="s">
        <v>944</v>
      </c>
      <c r="E2530" s="21" t="s">
        <v>710</v>
      </c>
      <c r="F2530" s="5812">
        <v>3</v>
      </c>
      <c r="G2530" s="5813">
        <v>0.20833333333333334</v>
      </c>
      <c r="H2530" s="21" t="s">
        <v>10</v>
      </c>
      <c r="I2530" s="21" t="s">
        <v>23</v>
      </c>
      <c r="J2530" s="21" t="s">
        <v>8477</v>
      </c>
      <c r="K2530" s="5814" t="s">
        <v>8478</v>
      </c>
    </row>
    <row r="2531" spans="1:11">
      <c r="A2531" s="21" t="s">
        <v>3026</v>
      </c>
      <c r="B2531" s="21" t="s">
        <v>8479</v>
      </c>
      <c r="C2531" s="21" t="s">
        <v>8</v>
      </c>
      <c r="D2531" s="21" t="s">
        <v>944</v>
      </c>
      <c r="E2531" s="21" t="s">
        <v>710</v>
      </c>
      <c r="F2531" s="5812">
        <v>3</v>
      </c>
      <c r="G2531" s="5813">
        <v>0.20833333333333334</v>
      </c>
      <c r="H2531" s="21" t="s">
        <v>10</v>
      </c>
      <c r="I2531" s="21" t="s">
        <v>23</v>
      </c>
      <c r="J2531" s="21" t="s">
        <v>8480</v>
      </c>
      <c r="K2531" s="5814" t="s">
        <v>8481</v>
      </c>
    </row>
    <row r="2532" spans="1:11">
      <c r="A2532" s="21" t="s">
        <v>3369</v>
      </c>
      <c r="B2532" s="21" t="s">
        <v>8482</v>
      </c>
      <c r="C2532" s="21" t="s">
        <v>709</v>
      </c>
      <c r="D2532" s="21" t="s">
        <v>944</v>
      </c>
      <c r="E2532" s="21" t="s">
        <v>710</v>
      </c>
      <c r="F2532" s="5812">
        <v>3</v>
      </c>
      <c r="G2532" s="5813">
        <v>0.20833333333333334</v>
      </c>
      <c r="H2532" s="21" t="s">
        <v>10</v>
      </c>
      <c r="I2532" s="21" t="s">
        <v>23</v>
      </c>
      <c r="J2532" s="21" t="s">
        <v>8483</v>
      </c>
      <c r="K2532" s="5814" t="s">
        <v>8484</v>
      </c>
    </row>
    <row r="2533" spans="1:11">
      <c r="A2533" s="21" t="s">
        <v>311</v>
      </c>
      <c r="B2533" s="21" t="s">
        <v>1058</v>
      </c>
      <c r="C2533" s="21" t="s">
        <v>22</v>
      </c>
      <c r="D2533" s="21" t="s">
        <v>944</v>
      </c>
      <c r="E2533" s="21" t="s">
        <v>710</v>
      </c>
      <c r="F2533" s="5812">
        <v>5</v>
      </c>
      <c r="G2533" s="5813">
        <v>0.20833333333333334</v>
      </c>
      <c r="H2533" s="21" t="s">
        <v>54</v>
      </c>
      <c r="I2533" s="21" t="s">
        <v>55</v>
      </c>
      <c r="J2533" s="21" t="s">
        <v>1059</v>
      </c>
      <c r="K2533" s="5814" t="s">
        <v>1060</v>
      </c>
    </row>
    <row r="2534" spans="1:11">
      <c r="A2534" s="21" t="s">
        <v>185</v>
      </c>
      <c r="B2534" s="21" t="s">
        <v>963</v>
      </c>
      <c r="C2534" s="21" t="s">
        <v>8</v>
      </c>
      <c r="D2534" s="21" t="s">
        <v>944</v>
      </c>
      <c r="E2534" s="21" t="s">
        <v>193</v>
      </c>
      <c r="F2534" s="5812">
        <v>3</v>
      </c>
      <c r="G2534" s="5813">
        <v>0.20833333333333334</v>
      </c>
      <c r="H2534" s="21" t="s">
        <v>10</v>
      </c>
      <c r="I2534" s="21" t="s">
        <v>194</v>
      </c>
      <c r="J2534" s="21" t="s">
        <v>964</v>
      </c>
      <c r="K2534" s="5814" t="s">
        <v>965</v>
      </c>
    </row>
    <row r="2535" spans="1:11">
      <c r="A2535" s="21" t="s">
        <v>52</v>
      </c>
      <c r="B2535" s="21" t="s">
        <v>1063</v>
      </c>
      <c r="C2535" s="21" t="s">
        <v>22</v>
      </c>
      <c r="D2535" s="21" t="s">
        <v>944</v>
      </c>
      <c r="E2535" s="21" t="s">
        <v>193</v>
      </c>
      <c r="F2535" s="5812">
        <v>3</v>
      </c>
      <c r="G2535" s="5813">
        <v>0.20833333333333334</v>
      </c>
      <c r="H2535" s="21" t="s">
        <v>10</v>
      </c>
      <c r="I2535" s="21" t="s">
        <v>23</v>
      </c>
      <c r="J2535" s="21" t="s">
        <v>1064</v>
      </c>
      <c r="K2535" s="5814" t="s">
        <v>1065</v>
      </c>
    </row>
    <row r="2536" spans="1:11">
      <c r="A2536" s="21" t="s">
        <v>2300</v>
      </c>
      <c r="B2536" s="21" t="s">
        <v>8485</v>
      </c>
      <c r="C2536" s="21" t="s">
        <v>8</v>
      </c>
      <c r="D2536" s="21" t="s">
        <v>944</v>
      </c>
      <c r="E2536" s="21" t="s">
        <v>193</v>
      </c>
      <c r="F2536" s="5812">
        <v>3</v>
      </c>
      <c r="G2536" s="5813">
        <v>0.20833333333333334</v>
      </c>
      <c r="H2536" s="21" t="s">
        <v>10</v>
      </c>
      <c r="I2536" s="21" t="s">
        <v>55</v>
      </c>
      <c r="J2536" s="21" t="s">
        <v>8486</v>
      </c>
      <c r="K2536" s="5814" t="s">
        <v>8487</v>
      </c>
    </row>
    <row r="2537" spans="1:11">
      <c r="A2537" s="21" t="s">
        <v>2284</v>
      </c>
      <c r="B2537" s="21" t="s">
        <v>8488</v>
      </c>
      <c r="C2537" s="21" t="s">
        <v>22</v>
      </c>
      <c r="D2537" s="21" t="s">
        <v>944</v>
      </c>
      <c r="E2537" s="21" t="s">
        <v>193</v>
      </c>
      <c r="F2537" s="5812">
        <v>3</v>
      </c>
      <c r="G2537" s="5813">
        <v>0.20833333333333334</v>
      </c>
      <c r="H2537" s="21" t="s">
        <v>10</v>
      </c>
      <c r="I2537" s="21" t="s">
        <v>73</v>
      </c>
      <c r="J2537" s="21" t="s">
        <v>8489</v>
      </c>
      <c r="K2537" s="5814" t="s">
        <v>8490</v>
      </c>
    </row>
    <row r="2538" spans="1:11">
      <c r="A2538" s="21" t="s">
        <v>2424</v>
      </c>
      <c r="B2538" s="21" t="s">
        <v>8491</v>
      </c>
      <c r="C2538" s="21" t="s">
        <v>22</v>
      </c>
      <c r="D2538" s="21" t="s">
        <v>944</v>
      </c>
      <c r="E2538" s="21" t="s">
        <v>193</v>
      </c>
      <c r="F2538" s="5812">
        <v>3</v>
      </c>
      <c r="G2538" s="5813">
        <v>0.20833333333333334</v>
      </c>
      <c r="H2538" s="21" t="s">
        <v>10</v>
      </c>
      <c r="I2538" s="21" t="s">
        <v>96</v>
      </c>
      <c r="J2538" s="21" t="s">
        <v>8492</v>
      </c>
      <c r="K2538" s="5814" t="s">
        <v>8493</v>
      </c>
    </row>
    <row r="2539" spans="1:11">
      <c r="A2539" s="21" t="s">
        <v>3559</v>
      </c>
      <c r="B2539" s="21" t="s">
        <v>8494</v>
      </c>
      <c r="C2539" s="21" t="s">
        <v>8</v>
      </c>
      <c r="D2539" s="21" t="s">
        <v>944</v>
      </c>
      <c r="E2539" s="21" t="s">
        <v>193</v>
      </c>
      <c r="F2539" s="5812">
        <v>3</v>
      </c>
      <c r="G2539" s="5813">
        <v>0.20833333333333334</v>
      </c>
      <c r="H2539" s="21" t="s">
        <v>10</v>
      </c>
      <c r="I2539" s="21" t="s">
        <v>96</v>
      </c>
      <c r="J2539" s="21" t="s">
        <v>8495</v>
      </c>
      <c r="K2539" s="5814" t="s">
        <v>8496</v>
      </c>
    </row>
    <row r="2540" spans="1:11">
      <c r="A2540" s="21" t="s">
        <v>2446</v>
      </c>
      <c r="B2540" s="21" t="s">
        <v>8497</v>
      </c>
      <c r="C2540" s="21" t="s">
        <v>8</v>
      </c>
      <c r="D2540" s="21" t="s">
        <v>944</v>
      </c>
      <c r="E2540" s="21" t="s">
        <v>193</v>
      </c>
      <c r="F2540" s="5812">
        <v>3</v>
      </c>
      <c r="G2540" s="5813">
        <v>0.20833333333333334</v>
      </c>
      <c r="H2540" s="21" t="s">
        <v>10</v>
      </c>
      <c r="I2540" s="21" t="s">
        <v>55</v>
      </c>
      <c r="J2540" s="21" t="s">
        <v>8498</v>
      </c>
      <c r="K2540" s="5814" t="s">
        <v>8499</v>
      </c>
    </row>
    <row r="2541" spans="1:11">
      <c r="A2541" s="21" t="s">
        <v>3434</v>
      </c>
      <c r="B2541" s="21" t="s">
        <v>8500</v>
      </c>
      <c r="C2541" s="21" t="s">
        <v>22</v>
      </c>
      <c r="D2541" s="21" t="s">
        <v>944</v>
      </c>
      <c r="E2541" s="21" t="s">
        <v>193</v>
      </c>
      <c r="F2541" s="5812">
        <v>3</v>
      </c>
      <c r="G2541" s="5813">
        <v>0.20833333333333334</v>
      </c>
      <c r="H2541" s="21" t="s">
        <v>10</v>
      </c>
      <c r="I2541" s="21" t="s">
        <v>39</v>
      </c>
      <c r="J2541" s="21" t="s">
        <v>8501</v>
      </c>
      <c r="K2541" s="5814" t="s">
        <v>8502</v>
      </c>
    </row>
    <row r="2542" spans="1:11">
      <c r="A2542" s="21" t="s">
        <v>2982</v>
      </c>
      <c r="B2542" s="21" t="s">
        <v>8503</v>
      </c>
      <c r="C2542" s="21" t="s">
        <v>22</v>
      </c>
      <c r="D2542" s="21" t="s">
        <v>944</v>
      </c>
      <c r="E2542" s="21" t="s">
        <v>193</v>
      </c>
      <c r="F2542" s="5812">
        <v>3</v>
      </c>
      <c r="G2542" s="5813">
        <v>0.20833333333333334</v>
      </c>
      <c r="H2542" s="21" t="s">
        <v>10</v>
      </c>
      <c r="I2542" s="21" t="s">
        <v>55</v>
      </c>
      <c r="J2542" s="21" t="s">
        <v>8504</v>
      </c>
      <c r="K2542" s="5814" t="s">
        <v>8505</v>
      </c>
    </row>
    <row r="2543" spans="1:11">
      <c r="A2543" s="21" t="s">
        <v>2079</v>
      </c>
      <c r="B2543" s="21" t="s">
        <v>8506</v>
      </c>
      <c r="C2543" s="21" t="s">
        <v>22</v>
      </c>
      <c r="D2543" s="21" t="s">
        <v>944</v>
      </c>
      <c r="E2543" s="21" t="s">
        <v>193</v>
      </c>
      <c r="F2543" s="5812">
        <v>3</v>
      </c>
      <c r="G2543" s="5813">
        <v>0.20833333333333334</v>
      </c>
      <c r="H2543" s="21" t="s">
        <v>10</v>
      </c>
      <c r="I2543" s="21" t="s">
        <v>23</v>
      </c>
      <c r="J2543" s="21" t="s">
        <v>8507</v>
      </c>
      <c r="K2543" s="5814" t="s">
        <v>8508</v>
      </c>
    </row>
    <row r="2544" spans="1:11">
      <c r="A2544" s="21" t="s">
        <v>3235</v>
      </c>
      <c r="B2544" s="21" t="s">
        <v>8509</v>
      </c>
      <c r="C2544" s="21" t="s">
        <v>22</v>
      </c>
      <c r="D2544" s="21" t="s">
        <v>944</v>
      </c>
      <c r="E2544" s="21" t="s">
        <v>193</v>
      </c>
      <c r="F2544" s="5812">
        <v>3</v>
      </c>
      <c r="G2544" s="5813">
        <v>0.20833333333333334</v>
      </c>
      <c r="H2544" s="21" t="s">
        <v>10</v>
      </c>
      <c r="I2544" s="21" t="s">
        <v>47</v>
      </c>
      <c r="J2544" s="21" t="s">
        <v>8510</v>
      </c>
      <c r="K2544" s="5814" t="s">
        <v>8511</v>
      </c>
    </row>
    <row r="2545" spans="1:11">
      <c r="A2545" s="21" t="s">
        <v>2131</v>
      </c>
      <c r="B2545" s="21" t="s">
        <v>8512</v>
      </c>
      <c r="C2545" s="21" t="s">
        <v>8</v>
      </c>
      <c r="D2545" s="21" t="s">
        <v>944</v>
      </c>
      <c r="E2545" s="21" t="s">
        <v>193</v>
      </c>
      <c r="F2545" s="5812">
        <v>3</v>
      </c>
      <c r="G2545" s="5813">
        <v>0.20833333333333334</v>
      </c>
      <c r="H2545" s="21" t="s">
        <v>10</v>
      </c>
      <c r="I2545" s="21" t="s">
        <v>39</v>
      </c>
      <c r="J2545" s="21" t="s">
        <v>8513</v>
      </c>
      <c r="K2545" s="5814" t="s">
        <v>8514</v>
      </c>
    </row>
    <row r="2546" spans="1:11">
      <c r="A2546" s="21" t="s">
        <v>2143</v>
      </c>
      <c r="B2546" s="21" t="s">
        <v>8515</v>
      </c>
      <c r="C2546" s="21" t="s">
        <v>8</v>
      </c>
      <c r="D2546" s="21" t="s">
        <v>944</v>
      </c>
      <c r="E2546" s="21" t="s">
        <v>193</v>
      </c>
      <c r="F2546" s="5812">
        <v>3</v>
      </c>
      <c r="G2546" s="5813">
        <v>0.20833333333333334</v>
      </c>
      <c r="H2546" s="21" t="s">
        <v>10</v>
      </c>
      <c r="I2546" s="21" t="s">
        <v>654</v>
      </c>
      <c r="J2546" s="21" t="s">
        <v>8516</v>
      </c>
      <c r="K2546" s="5814" t="s">
        <v>8517</v>
      </c>
    </row>
    <row r="2547" spans="1:11">
      <c r="A2547" s="21" t="s">
        <v>3720</v>
      </c>
      <c r="B2547" s="21" t="s">
        <v>8518</v>
      </c>
      <c r="C2547" s="21" t="s">
        <v>22</v>
      </c>
      <c r="D2547" s="21" t="s">
        <v>944</v>
      </c>
      <c r="E2547" s="21" t="s">
        <v>193</v>
      </c>
      <c r="F2547" s="5812">
        <v>3</v>
      </c>
      <c r="G2547" s="5813">
        <v>0.20833333333333334</v>
      </c>
      <c r="H2547" s="21" t="s">
        <v>10</v>
      </c>
      <c r="I2547" s="21" t="s">
        <v>187</v>
      </c>
      <c r="J2547" s="21" t="s">
        <v>8519</v>
      </c>
      <c r="K2547" s="5814" t="s">
        <v>8520</v>
      </c>
    </row>
    <row r="2548" spans="1:11">
      <c r="A2548" s="21" t="s">
        <v>2992</v>
      </c>
      <c r="B2548" s="21" t="s">
        <v>8521</v>
      </c>
      <c r="C2548" s="21" t="s">
        <v>22</v>
      </c>
      <c r="D2548" s="21" t="s">
        <v>944</v>
      </c>
      <c r="E2548" s="21" t="s">
        <v>193</v>
      </c>
      <c r="F2548" s="5812">
        <v>3</v>
      </c>
      <c r="G2548" s="5813">
        <v>0.20833333333333334</v>
      </c>
      <c r="H2548" s="21" t="s">
        <v>10</v>
      </c>
      <c r="I2548" s="21" t="s">
        <v>4146</v>
      </c>
      <c r="J2548" s="21" t="s">
        <v>8522</v>
      </c>
      <c r="K2548" s="5814" t="s">
        <v>8523</v>
      </c>
    </row>
    <row r="2549" spans="1:11">
      <c r="A2549" s="21" t="s">
        <v>3208</v>
      </c>
      <c r="B2549" s="21" t="s">
        <v>8524</v>
      </c>
      <c r="C2549" s="21" t="s">
        <v>8</v>
      </c>
      <c r="D2549" s="21" t="s">
        <v>944</v>
      </c>
      <c r="E2549" s="21" t="s">
        <v>193</v>
      </c>
      <c r="F2549" s="5812">
        <v>3</v>
      </c>
      <c r="G2549" s="5813">
        <v>0.20833333333333334</v>
      </c>
      <c r="H2549" s="21" t="s">
        <v>10</v>
      </c>
      <c r="I2549" s="21" t="s">
        <v>187</v>
      </c>
      <c r="J2549" s="21" t="s">
        <v>8525</v>
      </c>
      <c r="K2549" s="5814" t="s">
        <v>8526</v>
      </c>
    </row>
    <row r="2550" spans="1:11">
      <c r="A2550" s="21" t="s">
        <v>2165</v>
      </c>
      <c r="B2550" s="21" t="s">
        <v>8527</v>
      </c>
      <c r="C2550" s="21" t="s">
        <v>8</v>
      </c>
      <c r="D2550" s="21" t="s">
        <v>944</v>
      </c>
      <c r="E2550" s="21" t="s">
        <v>193</v>
      </c>
      <c r="F2550" s="5812">
        <v>3</v>
      </c>
      <c r="G2550" s="5813">
        <v>0.20833333333333334</v>
      </c>
      <c r="H2550" s="21" t="s">
        <v>10</v>
      </c>
      <c r="I2550" s="21" t="s">
        <v>400</v>
      </c>
      <c r="J2550" s="21" t="s">
        <v>8528</v>
      </c>
      <c r="K2550" s="5814" t="s">
        <v>8529</v>
      </c>
    </row>
    <row r="2551" spans="1:11">
      <c r="A2551" s="21" t="s">
        <v>4724</v>
      </c>
      <c r="B2551" s="21" t="s">
        <v>8530</v>
      </c>
      <c r="C2551" s="21" t="s">
        <v>22</v>
      </c>
      <c r="D2551" s="21" t="s">
        <v>944</v>
      </c>
      <c r="E2551" s="21" t="s">
        <v>193</v>
      </c>
      <c r="F2551" s="5812">
        <v>3</v>
      </c>
      <c r="G2551" s="5813">
        <v>0.20833333333333334</v>
      </c>
      <c r="H2551" s="21" t="s">
        <v>10</v>
      </c>
      <c r="I2551" s="21" t="s">
        <v>55</v>
      </c>
      <c r="J2551" s="21" t="s">
        <v>8531</v>
      </c>
      <c r="K2551" s="5814" t="s">
        <v>8532</v>
      </c>
    </row>
    <row r="2552" spans="1:11">
      <c r="A2552" s="21" t="s">
        <v>2595</v>
      </c>
      <c r="B2552" s="21" t="s">
        <v>8533</v>
      </c>
      <c r="C2552" s="21" t="s">
        <v>8</v>
      </c>
      <c r="D2552" s="21" t="s">
        <v>944</v>
      </c>
      <c r="E2552" s="21" t="s">
        <v>193</v>
      </c>
      <c r="F2552" s="5812">
        <v>3</v>
      </c>
      <c r="G2552" s="5813">
        <v>0.20833333333333334</v>
      </c>
      <c r="H2552" s="21" t="s">
        <v>10</v>
      </c>
      <c r="I2552" s="21" t="s">
        <v>2692</v>
      </c>
      <c r="J2552" s="21" t="s">
        <v>8534</v>
      </c>
      <c r="K2552" s="5814" t="s">
        <v>8535</v>
      </c>
    </row>
    <row r="2553" spans="1:11">
      <c r="A2553" s="21" t="s">
        <v>2630</v>
      </c>
      <c r="B2553" s="21" t="s">
        <v>8536</v>
      </c>
      <c r="C2553" s="21" t="s">
        <v>8</v>
      </c>
      <c r="D2553" s="21" t="s">
        <v>944</v>
      </c>
      <c r="E2553" s="21" t="s">
        <v>193</v>
      </c>
      <c r="F2553" s="5812">
        <v>3</v>
      </c>
      <c r="G2553" s="5813">
        <v>0.20833333333333334</v>
      </c>
      <c r="H2553" s="21" t="s">
        <v>10</v>
      </c>
      <c r="I2553" s="21" t="s">
        <v>226</v>
      </c>
      <c r="J2553" s="21" t="s">
        <v>8537</v>
      </c>
      <c r="K2553" s="5814" t="s">
        <v>8538</v>
      </c>
    </row>
    <row r="2554" spans="1:11">
      <c r="A2554" s="21" t="s">
        <v>3395</v>
      </c>
      <c r="B2554" s="21" t="s">
        <v>8539</v>
      </c>
      <c r="C2554" s="21" t="s">
        <v>8</v>
      </c>
      <c r="D2554" s="21" t="s">
        <v>944</v>
      </c>
      <c r="E2554" s="21" t="s">
        <v>193</v>
      </c>
      <c r="F2554" s="5812">
        <v>3</v>
      </c>
      <c r="G2554" s="5813">
        <v>0.20833333333333334</v>
      </c>
      <c r="H2554" s="21" t="s">
        <v>10</v>
      </c>
      <c r="I2554" s="21" t="s">
        <v>47</v>
      </c>
      <c r="J2554" s="21" t="s">
        <v>8540</v>
      </c>
      <c r="K2554" s="5814" t="s">
        <v>8541</v>
      </c>
    </row>
    <row r="2555" spans="1:11">
      <c r="A2555" s="21" t="s">
        <v>2668</v>
      </c>
      <c r="B2555" s="21" t="s">
        <v>8542</v>
      </c>
      <c r="C2555" s="21" t="s">
        <v>8</v>
      </c>
      <c r="D2555" s="21" t="s">
        <v>944</v>
      </c>
      <c r="E2555" s="21" t="s">
        <v>193</v>
      </c>
      <c r="F2555" s="5812">
        <v>3</v>
      </c>
      <c r="G2555" s="5813">
        <v>0.20833333333333334</v>
      </c>
      <c r="H2555" s="21" t="s">
        <v>10</v>
      </c>
      <c r="I2555" s="21" t="s">
        <v>400</v>
      </c>
      <c r="J2555" s="21" t="s">
        <v>8543</v>
      </c>
      <c r="K2555" s="5814" t="s">
        <v>8544</v>
      </c>
    </row>
    <row r="2556" spans="1:11">
      <c r="A2556" s="21" t="s">
        <v>3002</v>
      </c>
      <c r="B2556" s="21" t="s">
        <v>8545</v>
      </c>
      <c r="C2556" s="21" t="s">
        <v>22</v>
      </c>
      <c r="D2556" s="21" t="s">
        <v>944</v>
      </c>
      <c r="E2556" s="21" t="s">
        <v>193</v>
      </c>
      <c r="F2556" s="5812">
        <v>3</v>
      </c>
      <c r="G2556" s="5813">
        <v>0.20833333333333334</v>
      </c>
      <c r="H2556" s="21" t="s">
        <v>10</v>
      </c>
      <c r="I2556" s="21" t="s">
        <v>39</v>
      </c>
      <c r="J2556" s="21" t="s">
        <v>8546</v>
      </c>
      <c r="K2556" s="5814" t="s">
        <v>8547</v>
      </c>
    </row>
    <row r="2557" spans="1:11">
      <c r="A2557" s="21" t="s">
        <v>3647</v>
      </c>
      <c r="B2557" s="21" t="s">
        <v>8548</v>
      </c>
      <c r="C2557" s="21" t="s">
        <v>8</v>
      </c>
      <c r="D2557" s="21" t="s">
        <v>944</v>
      </c>
      <c r="E2557" s="21" t="s">
        <v>193</v>
      </c>
      <c r="F2557" s="5812">
        <v>3</v>
      </c>
      <c r="G2557" s="5813">
        <v>0.20833333333333334</v>
      </c>
      <c r="H2557" s="21" t="s">
        <v>10</v>
      </c>
      <c r="I2557" s="21" t="s">
        <v>23</v>
      </c>
      <c r="J2557" s="21" t="s">
        <v>8549</v>
      </c>
      <c r="K2557" s="5814" t="s">
        <v>8550</v>
      </c>
    </row>
    <row r="2558" spans="1:11">
      <c r="A2558" s="21" t="s">
        <v>3217</v>
      </c>
      <c r="B2558" s="21" t="s">
        <v>8551</v>
      </c>
      <c r="C2558" s="21" t="s">
        <v>22</v>
      </c>
      <c r="D2558" s="21" t="s">
        <v>944</v>
      </c>
      <c r="E2558" s="21" t="s">
        <v>193</v>
      </c>
      <c r="F2558" s="5812">
        <v>3</v>
      </c>
      <c r="G2558" s="5813">
        <v>0.20833333333333334</v>
      </c>
      <c r="H2558" s="21" t="s">
        <v>10</v>
      </c>
      <c r="I2558" s="21" t="s">
        <v>2713</v>
      </c>
      <c r="J2558" s="21" t="s">
        <v>8552</v>
      </c>
      <c r="K2558" s="5814" t="s">
        <v>8553</v>
      </c>
    </row>
    <row r="2559" spans="1:11">
      <c r="A2559" s="21" t="s">
        <v>2724</v>
      </c>
      <c r="B2559" s="21" t="s">
        <v>8554</v>
      </c>
      <c r="C2559" s="21" t="s">
        <v>8</v>
      </c>
      <c r="D2559" s="21" t="s">
        <v>944</v>
      </c>
      <c r="E2559" s="21" t="s">
        <v>193</v>
      </c>
      <c r="F2559" s="5812">
        <v>3</v>
      </c>
      <c r="G2559" s="5813">
        <v>0.20833333333333334</v>
      </c>
      <c r="H2559" s="21" t="s">
        <v>10</v>
      </c>
      <c r="I2559" s="21" t="s">
        <v>55</v>
      </c>
      <c r="J2559" s="21" t="s">
        <v>8555</v>
      </c>
      <c r="K2559" s="5814" t="s">
        <v>8556</v>
      </c>
    </row>
    <row r="2560" spans="1:11">
      <c r="A2560" s="21" t="s">
        <v>2216</v>
      </c>
      <c r="B2560" s="21" t="s">
        <v>8557</v>
      </c>
      <c r="C2560" s="21" t="s">
        <v>22</v>
      </c>
      <c r="D2560" s="21" t="s">
        <v>944</v>
      </c>
      <c r="E2560" s="21" t="s">
        <v>193</v>
      </c>
      <c r="F2560" s="5812">
        <v>3</v>
      </c>
      <c r="G2560" s="5813">
        <v>0.20833333333333334</v>
      </c>
      <c r="H2560" s="21" t="s">
        <v>10</v>
      </c>
      <c r="I2560" s="21" t="s">
        <v>226</v>
      </c>
      <c r="J2560" s="21" t="s">
        <v>8558</v>
      </c>
      <c r="K2560" s="5814" t="s">
        <v>8559</v>
      </c>
    </row>
    <row r="2561" spans="1:11">
      <c r="A2561" s="21" t="s">
        <v>2225</v>
      </c>
      <c r="B2561" s="21" t="s">
        <v>8560</v>
      </c>
      <c r="C2561" s="21" t="s">
        <v>8</v>
      </c>
      <c r="D2561" s="21" t="s">
        <v>944</v>
      </c>
      <c r="E2561" s="21" t="s">
        <v>193</v>
      </c>
      <c r="F2561" s="5812">
        <v>3</v>
      </c>
      <c r="G2561" s="5813">
        <v>0.20833333333333334</v>
      </c>
      <c r="H2561" s="21" t="s">
        <v>10</v>
      </c>
      <c r="I2561" s="21" t="s">
        <v>2297</v>
      </c>
      <c r="J2561" s="21" t="s">
        <v>8561</v>
      </c>
      <c r="K2561" s="5814" t="s">
        <v>8562</v>
      </c>
    </row>
    <row r="2562" spans="1:11">
      <c r="A2562" s="21" t="s">
        <v>4321</v>
      </c>
      <c r="B2562" s="21" t="s">
        <v>8563</v>
      </c>
      <c r="C2562" s="21" t="s">
        <v>22</v>
      </c>
      <c r="D2562" s="21" t="s">
        <v>944</v>
      </c>
      <c r="E2562" s="21" t="s">
        <v>193</v>
      </c>
      <c r="F2562" s="5812">
        <v>3</v>
      </c>
      <c r="G2562" s="5813">
        <v>0.20833333333333334</v>
      </c>
      <c r="H2562" s="21" t="s">
        <v>10</v>
      </c>
      <c r="I2562" s="21" t="s">
        <v>6860</v>
      </c>
      <c r="J2562" s="21" t="s">
        <v>8564</v>
      </c>
      <c r="K2562" s="5814" t="s">
        <v>8565</v>
      </c>
    </row>
    <row r="2563" spans="1:11">
      <c r="A2563" s="21" t="s">
        <v>3584</v>
      </c>
      <c r="B2563" s="21" t="s">
        <v>8566</v>
      </c>
      <c r="C2563" s="21" t="s">
        <v>8</v>
      </c>
      <c r="D2563" s="21" t="s">
        <v>944</v>
      </c>
      <c r="E2563" s="21" t="s">
        <v>193</v>
      </c>
      <c r="F2563" s="5812">
        <v>3</v>
      </c>
      <c r="G2563" s="5813">
        <v>0.20833333333333334</v>
      </c>
      <c r="H2563" s="21" t="s">
        <v>10</v>
      </c>
      <c r="I2563" s="21" t="s">
        <v>2731</v>
      </c>
      <c r="J2563" s="21" t="s">
        <v>8567</v>
      </c>
      <c r="K2563" s="5814" t="s">
        <v>8568</v>
      </c>
    </row>
    <row r="2564" spans="1:11">
      <c r="A2564" s="21" t="s">
        <v>2233</v>
      </c>
      <c r="B2564" s="21" t="s">
        <v>8569</v>
      </c>
      <c r="C2564" s="21" t="s">
        <v>22</v>
      </c>
      <c r="D2564" s="21" t="s">
        <v>944</v>
      </c>
      <c r="E2564" s="21" t="s">
        <v>193</v>
      </c>
      <c r="F2564" s="5812">
        <v>3</v>
      </c>
      <c r="G2564" s="5813">
        <v>0.20833333333333334</v>
      </c>
      <c r="H2564" s="21" t="s">
        <v>10</v>
      </c>
      <c r="I2564" s="21" t="s">
        <v>2297</v>
      </c>
      <c r="J2564" s="21" t="s">
        <v>8570</v>
      </c>
      <c r="K2564" s="5814" t="s">
        <v>8571</v>
      </c>
    </row>
    <row r="2565" spans="1:11">
      <c r="A2565" s="21" t="s">
        <v>2824</v>
      </c>
      <c r="B2565" s="21" t="s">
        <v>8572</v>
      </c>
      <c r="C2565" s="21" t="s">
        <v>8</v>
      </c>
      <c r="D2565" s="21" t="s">
        <v>944</v>
      </c>
      <c r="E2565" s="21" t="s">
        <v>193</v>
      </c>
      <c r="F2565" s="5812">
        <v>3</v>
      </c>
      <c r="G2565" s="5813">
        <v>0.20833333333333334</v>
      </c>
      <c r="H2565" s="21" t="s">
        <v>10</v>
      </c>
      <c r="I2565" s="21" t="s">
        <v>11</v>
      </c>
      <c r="J2565" s="21" t="s">
        <v>8573</v>
      </c>
      <c r="K2565" s="5814" t="s">
        <v>8574</v>
      </c>
    </row>
    <row r="2566" spans="1:11">
      <c r="A2566" s="21" t="s">
        <v>3787</v>
      </c>
      <c r="B2566" s="21" t="s">
        <v>8575</v>
      </c>
      <c r="C2566" s="21" t="s">
        <v>22</v>
      </c>
      <c r="D2566" s="21" t="s">
        <v>944</v>
      </c>
      <c r="E2566" s="21" t="s">
        <v>193</v>
      </c>
      <c r="F2566" s="5812">
        <v>3</v>
      </c>
      <c r="G2566" s="5813">
        <v>0.20833333333333334</v>
      </c>
      <c r="H2566" s="21" t="s">
        <v>10</v>
      </c>
      <c r="I2566" s="21" t="s">
        <v>5482</v>
      </c>
      <c r="J2566" s="21" t="s">
        <v>8576</v>
      </c>
      <c r="K2566" s="5814" t="s">
        <v>8577</v>
      </c>
    </row>
    <row r="2567" spans="1:11">
      <c r="A2567" s="21" t="s">
        <v>4383</v>
      </c>
      <c r="B2567" s="21" t="s">
        <v>8578</v>
      </c>
      <c r="C2567" s="21" t="s">
        <v>709</v>
      </c>
      <c r="D2567" s="21" t="s">
        <v>944</v>
      </c>
      <c r="E2567" s="21" t="s">
        <v>193</v>
      </c>
      <c r="F2567" s="5812">
        <v>3</v>
      </c>
      <c r="G2567" s="5813">
        <v>0.20833333333333334</v>
      </c>
      <c r="H2567" s="21" t="s">
        <v>10</v>
      </c>
      <c r="I2567" s="21" t="s">
        <v>96</v>
      </c>
      <c r="J2567" s="21" t="s">
        <v>8579</v>
      </c>
      <c r="K2567" s="5814" t="s">
        <v>8580</v>
      </c>
    </row>
    <row r="2568" spans="1:11">
      <c r="A2568" s="21" t="s">
        <v>2850</v>
      </c>
      <c r="B2568" s="21" t="s">
        <v>8581</v>
      </c>
      <c r="C2568" s="21" t="s">
        <v>22</v>
      </c>
      <c r="D2568" s="21" t="s">
        <v>944</v>
      </c>
      <c r="E2568" s="21" t="s">
        <v>193</v>
      </c>
      <c r="F2568" s="5812">
        <v>3</v>
      </c>
      <c r="G2568" s="5813">
        <v>0.20833333333333334</v>
      </c>
      <c r="H2568" s="21" t="s">
        <v>10</v>
      </c>
      <c r="I2568" s="21" t="s">
        <v>47</v>
      </c>
      <c r="J2568" s="21" t="s">
        <v>8582</v>
      </c>
      <c r="K2568" s="5814" t="s">
        <v>8583</v>
      </c>
    </row>
    <row r="2569" spans="1:11">
      <c r="A2569" s="21" t="s">
        <v>4430</v>
      </c>
      <c r="B2569" s="21" t="s">
        <v>8584</v>
      </c>
      <c r="C2569" s="21" t="s">
        <v>22</v>
      </c>
      <c r="D2569" s="21" t="s">
        <v>944</v>
      </c>
      <c r="E2569" s="21" t="s">
        <v>193</v>
      </c>
      <c r="F2569" s="5812">
        <v>3</v>
      </c>
      <c r="G2569" s="5813">
        <v>0.20833333333333334</v>
      </c>
      <c r="H2569" s="21" t="s">
        <v>10</v>
      </c>
      <c r="I2569" s="21" t="s">
        <v>2523</v>
      </c>
      <c r="J2569" s="21" t="s">
        <v>8585</v>
      </c>
      <c r="K2569" s="5814" t="s">
        <v>8586</v>
      </c>
    </row>
    <row r="2570" spans="1:11">
      <c r="A2570" s="21" t="s">
        <v>2905</v>
      </c>
      <c r="B2570" s="21" t="s">
        <v>8587</v>
      </c>
      <c r="C2570" s="21" t="s">
        <v>22</v>
      </c>
      <c r="D2570" s="21" t="s">
        <v>944</v>
      </c>
      <c r="E2570" s="21" t="s">
        <v>193</v>
      </c>
      <c r="F2570" s="5812">
        <v>3</v>
      </c>
      <c r="G2570" s="5813">
        <v>0.20833333333333334</v>
      </c>
      <c r="H2570" s="21" t="s">
        <v>10</v>
      </c>
      <c r="I2570" s="21" t="s">
        <v>8588</v>
      </c>
      <c r="J2570" s="21" t="s">
        <v>8589</v>
      </c>
      <c r="K2570" s="5814" t="s">
        <v>8590</v>
      </c>
    </row>
    <row r="2571" spans="1:11">
      <c r="A2571" s="21" t="s">
        <v>5264</v>
      </c>
      <c r="B2571" s="21" t="s">
        <v>8591</v>
      </c>
      <c r="C2571" s="21" t="s">
        <v>22</v>
      </c>
      <c r="D2571" s="21" t="s">
        <v>944</v>
      </c>
      <c r="E2571" s="21" t="s">
        <v>193</v>
      </c>
      <c r="F2571" s="5812">
        <v>3</v>
      </c>
      <c r="G2571" s="5813">
        <v>0.20833333333333334</v>
      </c>
      <c r="H2571" s="21" t="s">
        <v>10</v>
      </c>
      <c r="I2571" s="21" t="s">
        <v>39</v>
      </c>
      <c r="J2571" s="21" t="s">
        <v>8592</v>
      </c>
      <c r="K2571" s="5814" t="s">
        <v>8593</v>
      </c>
    </row>
    <row r="2572" spans="1:11">
      <c r="A2572" s="21" t="s">
        <v>3439</v>
      </c>
      <c r="B2572" s="21" t="s">
        <v>8594</v>
      </c>
      <c r="C2572" s="21" t="s">
        <v>22</v>
      </c>
      <c r="D2572" s="21" t="s">
        <v>944</v>
      </c>
      <c r="E2572" s="21" t="s">
        <v>193</v>
      </c>
      <c r="F2572" s="5812">
        <v>3</v>
      </c>
      <c r="G2572" s="5813">
        <v>0.20833333333333334</v>
      </c>
      <c r="H2572" s="21" t="s">
        <v>10</v>
      </c>
      <c r="I2572" s="21" t="s">
        <v>2721</v>
      </c>
      <c r="J2572" s="21" t="s">
        <v>8595</v>
      </c>
      <c r="K2572" s="5814" t="s">
        <v>8596</v>
      </c>
    </row>
    <row r="2573" spans="1:11">
      <c r="A2573" s="21" t="s">
        <v>79</v>
      </c>
      <c r="B2573" s="21" t="s">
        <v>990</v>
      </c>
      <c r="C2573" s="21" t="s">
        <v>8</v>
      </c>
      <c r="D2573" s="21" t="s">
        <v>944</v>
      </c>
      <c r="E2573" s="21" t="s">
        <v>193</v>
      </c>
      <c r="F2573" s="5812">
        <v>5</v>
      </c>
      <c r="G2573" s="5813">
        <v>0.20833333333333334</v>
      </c>
      <c r="H2573" s="21" t="s">
        <v>54</v>
      </c>
      <c r="I2573" s="21" t="s">
        <v>39</v>
      </c>
      <c r="J2573" s="21" t="s">
        <v>991</v>
      </c>
      <c r="K2573" s="5814" t="s">
        <v>992</v>
      </c>
    </row>
    <row r="2574" spans="1:11">
      <c r="A2574" s="21" t="s">
        <v>2362</v>
      </c>
      <c r="B2574" s="21" t="s">
        <v>8597</v>
      </c>
      <c r="C2574" s="21" t="s">
        <v>8</v>
      </c>
      <c r="D2574" s="21" t="s">
        <v>944</v>
      </c>
      <c r="E2574" s="21" t="s">
        <v>193</v>
      </c>
      <c r="F2574" s="5812">
        <v>5</v>
      </c>
      <c r="G2574" s="5813">
        <v>0.20833333333333334</v>
      </c>
      <c r="H2574" s="21" t="s">
        <v>54</v>
      </c>
      <c r="I2574" s="21" t="s">
        <v>55</v>
      </c>
      <c r="J2574" s="21" t="s">
        <v>8598</v>
      </c>
      <c r="K2574" s="5814" t="s">
        <v>8599</v>
      </c>
    </row>
    <row r="2575" spans="1:11">
      <c r="A2575" s="21" t="s">
        <v>3434</v>
      </c>
      <c r="B2575" s="21" t="s">
        <v>8600</v>
      </c>
      <c r="C2575" s="21" t="s">
        <v>22</v>
      </c>
      <c r="D2575" s="21" t="s">
        <v>944</v>
      </c>
      <c r="E2575" s="21" t="s">
        <v>193</v>
      </c>
      <c r="F2575" s="5812">
        <v>5</v>
      </c>
      <c r="G2575" s="5813">
        <v>0.20833333333333334</v>
      </c>
      <c r="H2575" s="21" t="s">
        <v>54</v>
      </c>
      <c r="I2575" s="21" t="s">
        <v>55</v>
      </c>
      <c r="J2575" s="21" t="s">
        <v>8601</v>
      </c>
      <c r="K2575" s="5814" t="s">
        <v>8602</v>
      </c>
    </row>
    <row r="2576" spans="1:11">
      <c r="A2576" s="21" t="s">
        <v>3757</v>
      </c>
      <c r="B2576" s="21" t="s">
        <v>8603</v>
      </c>
      <c r="C2576" s="21" t="s">
        <v>8</v>
      </c>
      <c r="D2576" s="21" t="s">
        <v>944</v>
      </c>
      <c r="E2576" s="21" t="s">
        <v>193</v>
      </c>
      <c r="F2576" s="5812">
        <v>5</v>
      </c>
      <c r="G2576" s="5813">
        <v>0.20833333333333334</v>
      </c>
      <c r="H2576" s="21" t="s">
        <v>54</v>
      </c>
      <c r="I2576" s="21" t="s">
        <v>226</v>
      </c>
      <c r="J2576" s="21" t="s">
        <v>8604</v>
      </c>
      <c r="K2576" s="5814" t="s">
        <v>8605</v>
      </c>
    </row>
    <row r="2577" spans="1:11">
      <c r="A2577" s="21" t="s">
        <v>2745</v>
      </c>
      <c r="B2577" s="21" t="s">
        <v>8606</v>
      </c>
      <c r="C2577" s="21" t="s">
        <v>8</v>
      </c>
      <c r="D2577" s="21" t="s">
        <v>944</v>
      </c>
      <c r="E2577" s="21" t="s">
        <v>193</v>
      </c>
      <c r="F2577" s="5812">
        <v>5</v>
      </c>
      <c r="G2577" s="5813">
        <v>0.20833333333333334</v>
      </c>
      <c r="H2577" s="21" t="s">
        <v>54</v>
      </c>
      <c r="I2577" s="21" t="s">
        <v>47</v>
      </c>
      <c r="J2577" s="21" t="s">
        <v>8607</v>
      </c>
      <c r="K2577" s="5814" t="s">
        <v>8608</v>
      </c>
    </row>
    <row r="2578" spans="1:11">
      <c r="A2578" s="21" t="s">
        <v>2961</v>
      </c>
      <c r="B2578" s="21" t="s">
        <v>8609</v>
      </c>
      <c r="C2578" s="21" t="s">
        <v>8</v>
      </c>
      <c r="D2578" s="21" t="s">
        <v>944</v>
      </c>
      <c r="E2578" s="21" t="s">
        <v>193</v>
      </c>
      <c r="F2578" s="5812">
        <v>5</v>
      </c>
      <c r="G2578" s="5813">
        <v>0.20833333333333334</v>
      </c>
      <c r="H2578" s="21" t="s">
        <v>54</v>
      </c>
      <c r="I2578" s="21" t="s">
        <v>2713</v>
      </c>
      <c r="J2578" s="21" t="s">
        <v>8610</v>
      </c>
      <c r="K2578" s="5814" t="s">
        <v>8611</v>
      </c>
    </row>
    <row r="2579" spans="1:11">
      <c r="A2579" s="21" t="s">
        <v>115</v>
      </c>
      <c r="B2579" s="21" t="s">
        <v>948</v>
      </c>
      <c r="C2579" s="21" t="s">
        <v>8</v>
      </c>
      <c r="D2579" s="21" t="s">
        <v>944</v>
      </c>
      <c r="E2579" s="21" t="s">
        <v>9</v>
      </c>
      <c r="F2579" s="5812">
        <v>3</v>
      </c>
      <c r="G2579" s="5813">
        <v>9.583333333333334E-2</v>
      </c>
      <c r="H2579" s="21" t="s">
        <v>10</v>
      </c>
      <c r="I2579" s="21" t="s">
        <v>263</v>
      </c>
      <c r="J2579" s="21" t="s">
        <v>949</v>
      </c>
      <c r="K2579" s="5814" t="s">
        <v>950</v>
      </c>
    </row>
    <row r="2580" spans="1:11">
      <c r="A2580" s="21" t="s">
        <v>2929</v>
      </c>
      <c r="B2580" s="21" t="s">
        <v>8612</v>
      </c>
      <c r="C2580" s="21" t="s">
        <v>8</v>
      </c>
      <c r="D2580" s="21" t="s">
        <v>944</v>
      </c>
      <c r="E2580" s="21" t="s">
        <v>9</v>
      </c>
      <c r="F2580" s="5812">
        <v>3</v>
      </c>
      <c r="G2580" s="5813">
        <v>0.16388888888888889</v>
      </c>
      <c r="H2580" s="21" t="s">
        <v>10</v>
      </c>
      <c r="I2580" s="21" t="s">
        <v>226</v>
      </c>
      <c r="J2580" s="21" t="s">
        <v>8613</v>
      </c>
      <c r="K2580" s="5814" t="s">
        <v>8614</v>
      </c>
    </row>
    <row r="2581" spans="1:11">
      <c r="A2581" s="21" t="s">
        <v>31</v>
      </c>
      <c r="B2581" s="21" t="s">
        <v>1024</v>
      </c>
      <c r="C2581" s="21" t="s">
        <v>8</v>
      </c>
      <c r="D2581" s="21" t="s">
        <v>944</v>
      </c>
      <c r="E2581" s="21" t="s">
        <v>9</v>
      </c>
      <c r="F2581" s="5812">
        <v>3</v>
      </c>
      <c r="G2581" s="5813">
        <v>0.20833333333333334</v>
      </c>
      <c r="H2581" s="21" t="s">
        <v>10</v>
      </c>
      <c r="I2581" s="21" t="s">
        <v>39</v>
      </c>
      <c r="J2581" s="21" t="s">
        <v>1025</v>
      </c>
      <c r="K2581" s="5814" t="s">
        <v>1026</v>
      </c>
    </row>
    <row r="2582" spans="1:11">
      <c r="A2582" s="21" t="s">
        <v>166</v>
      </c>
      <c r="B2582" s="21" t="s">
        <v>1035</v>
      </c>
      <c r="C2582" s="21" t="s">
        <v>8</v>
      </c>
      <c r="D2582" s="21" t="s">
        <v>944</v>
      </c>
      <c r="E2582" s="21" t="s">
        <v>9</v>
      </c>
      <c r="F2582" s="5812">
        <v>3</v>
      </c>
      <c r="G2582" s="5813">
        <v>0.20833333333333334</v>
      </c>
      <c r="H2582" s="21" t="s">
        <v>10</v>
      </c>
      <c r="I2582" s="21" t="s">
        <v>89</v>
      </c>
      <c r="J2582" s="21" t="s">
        <v>1036</v>
      </c>
      <c r="K2582" s="5814" t="s">
        <v>1037</v>
      </c>
    </row>
    <row r="2583" spans="1:11">
      <c r="A2583" s="21" t="s">
        <v>177</v>
      </c>
      <c r="B2583" s="21" t="s">
        <v>1045</v>
      </c>
      <c r="C2583" s="21" t="s">
        <v>22</v>
      </c>
      <c r="D2583" s="21" t="s">
        <v>944</v>
      </c>
      <c r="E2583" s="21" t="s">
        <v>9</v>
      </c>
      <c r="F2583" s="5812">
        <v>3</v>
      </c>
      <c r="G2583" s="5813">
        <v>0.20833333333333334</v>
      </c>
      <c r="H2583" s="21" t="s">
        <v>10</v>
      </c>
      <c r="I2583" s="21" t="s">
        <v>89</v>
      </c>
      <c r="J2583" s="21" t="s">
        <v>1046</v>
      </c>
      <c r="K2583" s="5814" t="s">
        <v>1047</v>
      </c>
    </row>
    <row r="2584" spans="1:11">
      <c r="A2584" s="21" t="s">
        <v>231</v>
      </c>
      <c r="B2584" s="21" t="s">
        <v>1079</v>
      </c>
      <c r="C2584" s="21" t="s">
        <v>8</v>
      </c>
      <c r="D2584" s="21" t="s">
        <v>944</v>
      </c>
      <c r="E2584" s="21" t="s">
        <v>9</v>
      </c>
      <c r="F2584" s="5812">
        <v>3</v>
      </c>
      <c r="G2584" s="5813">
        <v>0.20833333333333334</v>
      </c>
      <c r="H2584" s="21" t="s">
        <v>10</v>
      </c>
      <c r="I2584" s="21" t="s">
        <v>47</v>
      </c>
      <c r="J2584" s="21" t="s">
        <v>1080</v>
      </c>
      <c r="K2584" s="5814" t="s">
        <v>8615</v>
      </c>
    </row>
    <row r="2585" spans="1:11">
      <c r="A2585" s="21" t="s">
        <v>2300</v>
      </c>
      <c r="B2585" s="21" t="s">
        <v>8616</v>
      </c>
      <c r="C2585" s="21" t="s">
        <v>22</v>
      </c>
      <c r="D2585" s="21" t="s">
        <v>944</v>
      </c>
      <c r="E2585" s="21" t="s">
        <v>9</v>
      </c>
      <c r="F2585" s="5812">
        <v>3</v>
      </c>
      <c r="G2585" s="5813">
        <v>0.20833333333333334</v>
      </c>
      <c r="H2585" s="21" t="s">
        <v>10</v>
      </c>
      <c r="I2585" s="21" t="s">
        <v>11</v>
      </c>
      <c r="J2585" s="21" t="s">
        <v>8617</v>
      </c>
      <c r="K2585" s="5814" t="s">
        <v>8618</v>
      </c>
    </row>
    <row r="2586" spans="1:11">
      <c r="A2586" s="21" t="s">
        <v>2995</v>
      </c>
      <c r="B2586" s="21" t="s">
        <v>8619</v>
      </c>
      <c r="C2586" s="21" t="s">
        <v>8</v>
      </c>
      <c r="D2586" s="21" t="s">
        <v>944</v>
      </c>
      <c r="E2586" s="21" t="s">
        <v>9</v>
      </c>
      <c r="F2586" s="5812">
        <v>3</v>
      </c>
      <c r="G2586" s="5813">
        <v>0.20833333333333334</v>
      </c>
      <c r="H2586" s="21" t="s">
        <v>10</v>
      </c>
      <c r="I2586" s="21" t="s">
        <v>55</v>
      </c>
      <c r="J2586" s="21" t="s">
        <v>3840</v>
      </c>
      <c r="K2586" s="5814" t="s">
        <v>8620</v>
      </c>
    </row>
    <row r="2587" spans="1:11">
      <c r="A2587" s="21" t="s">
        <v>2995</v>
      </c>
      <c r="B2587" s="21" t="s">
        <v>8621</v>
      </c>
      <c r="C2587" s="21" t="s">
        <v>8</v>
      </c>
      <c r="D2587" s="21" t="s">
        <v>944</v>
      </c>
      <c r="E2587" s="21" t="s">
        <v>9</v>
      </c>
      <c r="F2587" s="5812">
        <v>3</v>
      </c>
      <c r="G2587" s="5813">
        <v>0.20833333333333334</v>
      </c>
      <c r="H2587" s="21" t="s">
        <v>10</v>
      </c>
      <c r="I2587" s="21" t="s">
        <v>39</v>
      </c>
      <c r="J2587" s="21" t="s">
        <v>8622</v>
      </c>
      <c r="K2587" s="5814" t="s">
        <v>8623</v>
      </c>
    </row>
    <row r="2588" spans="1:11">
      <c r="A2588" s="21" t="s">
        <v>2084</v>
      </c>
      <c r="B2588" s="21" t="s">
        <v>8624</v>
      </c>
      <c r="C2588" s="21" t="s">
        <v>8</v>
      </c>
      <c r="D2588" s="21" t="s">
        <v>944</v>
      </c>
      <c r="E2588" s="21" t="s">
        <v>9</v>
      </c>
      <c r="F2588" s="5812">
        <v>3</v>
      </c>
      <c r="G2588" s="5813">
        <v>0.20833333333333334</v>
      </c>
      <c r="H2588" s="21" t="s">
        <v>10</v>
      </c>
      <c r="I2588" s="21" t="s">
        <v>47</v>
      </c>
      <c r="J2588" s="21" t="s">
        <v>8625</v>
      </c>
      <c r="K2588" s="5814" t="s">
        <v>8626</v>
      </c>
    </row>
    <row r="2589" spans="1:11">
      <c r="A2589" s="21" t="s">
        <v>3664</v>
      </c>
      <c r="B2589" s="21" t="s">
        <v>8627</v>
      </c>
      <c r="C2589" s="21" t="s">
        <v>22</v>
      </c>
      <c r="D2589" s="21" t="s">
        <v>944</v>
      </c>
      <c r="E2589" s="21" t="s">
        <v>9</v>
      </c>
      <c r="F2589" s="5812">
        <v>3</v>
      </c>
      <c r="G2589" s="5813">
        <v>0.20833333333333334</v>
      </c>
      <c r="H2589" s="21" t="s">
        <v>10</v>
      </c>
      <c r="I2589" s="21" t="s">
        <v>226</v>
      </c>
      <c r="J2589" s="21" t="s">
        <v>8628</v>
      </c>
      <c r="K2589" s="5814" t="s">
        <v>8629</v>
      </c>
    </row>
    <row r="2590" spans="1:11">
      <c r="A2590" s="21" t="s">
        <v>3249</v>
      </c>
      <c r="B2590" s="21" t="s">
        <v>8630</v>
      </c>
      <c r="C2590" s="21" t="s">
        <v>8</v>
      </c>
      <c r="D2590" s="21" t="s">
        <v>944</v>
      </c>
      <c r="E2590" s="21" t="s">
        <v>9</v>
      </c>
      <c r="F2590" s="5812">
        <v>3</v>
      </c>
      <c r="G2590" s="5813">
        <v>0.20833333333333334</v>
      </c>
      <c r="H2590" s="21" t="s">
        <v>10</v>
      </c>
      <c r="I2590" s="21" t="s">
        <v>39</v>
      </c>
      <c r="J2590" s="21" t="s">
        <v>8631</v>
      </c>
      <c r="K2590" s="5814" t="s">
        <v>8632</v>
      </c>
    </row>
    <row r="2591" spans="1:11">
      <c r="A2591" s="21" t="s">
        <v>2947</v>
      </c>
      <c r="B2591" s="21" t="s">
        <v>8633</v>
      </c>
      <c r="C2591" s="21" t="s">
        <v>8</v>
      </c>
      <c r="D2591" s="21" t="s">
        <v>944</v>
      </c>
      <c r="E2591" s="21" t="s">
        <v>9</v>
      </c>
      <c r="F2591" s="5812">
        <v>3</v>
      </c>
      <c r="G2591" s="5813">
        <v>0.20833333333333334</v>
      </c>
      <c r="H2591" s="21" t="s">
        <v>10</v>
      </c>
      <c r="I2591" s="21" t="s">
        <v>400</v>
      </c>
      <c r="J2591" s="21" t="s">
        <v>8634</v>
      </c>
      <c r="K2591" s="5814" t="s">
        <v>8635</v>
      </c>
    </row>
    <row r="2592" spans="1:11">
      <c r="A2592" s="21" t="s">
        <v>2341</v>
      </c>
      <c r="B2592" s="21" t="s">
        <v>8636</v>
      </c>
      <c r="C2592" s="21" t="s">
        <v>22</v>
      </c>
      <c r="D2592" s="21" t="s">
        <v>944</v>
      </c>
      <c r="E2592" s="21" t="s">
        <v>9</v>
      </c>
      <c r="F2592" s="5812">
        <v>3</v>
      </c>
      <c r="G2592" s="5813">
        <v>0.20833333333333334</v>
      </c>
      <c r="H2592" s="21" t="s">
        <v>10</v>
      </c>
      <c r="I2592" s="21" t="s">
        <v>47</v>
      </c>
      <c r="J2592" s="21" t="s">
        <v>8637</v>
      </c>
      <c r="K2592" s="5814" t="s">
        <v>8638</v>
      </c>
    </row>
    <row r="2593" spans="1:11">
      <c r="A2593" s="21" t="s">
        <v>3671</v>
      </c>
      <c r="B2593" s="21" t="s">
        <v>8639</v>
      </c>
      <c r="C2593" s="21" t="s">
        <v>8</v>
      </c>
      <c r="D2593" s="21" t="s">
        <v>944</v>
      </c>
      <c r="E2593" s="21" t="s">
        <v>9</v>
      </c>
      <c r="F2593" s="5812">
        <v>3</v>
      </c>
      <c r="G2593" s="5813">
        <v>0.20833333333333334</v>
      </c>
      <c r="H2593" s="21" t="s">
        <v>10</v>
      </c>
      <c r="I2593" s="21" t="s">
        <v>47</v>
      </c>
      <c r="J2593" s="21" t="s">
        <v>4041</v>
      </c>
      <c r="K2593" s="5814" t="s">
        <v>8640</v>
      </c>
    </row>
    <row r="2594" spans="1:11">
      <c r="A2594" s="21" t="s">
        <v>2372</v>
      </c>
      <c r="B2594" s="21" t="s">
        <v>8641</v>
      </c>
      <c r="C2594" s="21" t="s">
        <v>8</v>
      </c>
      <c r="D2594" s="21" t="s">
        <v>944</v>
      </c>
      <c r="E2594" s="21" t="s">
        <v>9</v>
      </c>
      <c r="F2594" s="5812">
        <v>3</v>
      </c>
      <c r="G2594" s="5813">
        <v>0.20833333333333334</v>
      </c>
      <c r="H2594" s="21" t="s">
        <v>10</v>
      </c>
      <c r="I2594" s="21" t="s">
        <v>11</v>
      </c>
      <c r="J2594" s="21" t="s">
        <v>8642</v>
      </c>
      <c r="K2594" s="5814" t="s">
        <v>8643</v>
      </c>
    </row>
    <row r="2595" spans="1:11">
      <c r="A2595" s="21" t="s">
        <v>2096</v>
      </c>
      <c r="B2595" s="21" t="s">
        <v>8644</v>
      </c>
      <c r="C2595" s="21" t="s">
        <v>22</v>
      </c>
      <c r="D2595" s="21" t="s">
        <v>944</v>
      </c>
      <c r="E2595" s="21" t="s">
        <v>9</v>
      </c>
      <c r="F2595" s="5812">
        <v>3</v>
      </c>
      <c r="G2595" s="5813">
        <v>0.20833333333333334</v>
      </c>
      <c r="H2595" s="21" t="s">
        <v>10</v>
      </c>
      <c r="I2595" s="21" t="s">
        <v>2544</v>
      </c>
      <c r="J2595" s="21" t="s">
        <v>8645</v>
      </c>
      <c r="K2595" s="5814" t="s">
        <v>8646</v>
      </c>
    </row>
    <row r="2596" spans="1:11">
      <c r="A2596" s="21" t="s">
        <v>2096</v>
      </c>
      <c r="B2596" s="21" t="s">
        <v>8647</v>
      </c>
      <c r="C2596" s="21" t="s">
        <v>8</v>
      </c>
      <c r="D2596" s="21" t="s">
        <v>944</v>
      </c>
      <c r="E2596" s="21" t="s">
        <v>9</v>
      </c>
      <c r="F2596" s="5812">
        <v>3</v>
      </c>
      <c r="G2596" s="5813">
        <v>0.20833333333333334</v>
      </c>
      <c r="H2596" s="21" t="s">
        <v>10</v>
      </c>
      <c r="I2596" s="21" t="s">
        <v>47</v>
      </c>
      <c r="J2596" s="21" t="s">
        <v>8648</v>
      </c>
      <c r="K2596" s="5814" t="s">
        <v>8649</v>
      </c>
    </row>
    <row r="2597" spans="1:11">
      <c r="A2597" s="21" t="s">
        <v>2100</v>
      </c>
      <c r="B2597" s="21" t="s">
        <v>8650</v>
      </c>
      <c r="C2597" s="21" t="s">
        <v>22</v>
      </c>
      <c r="D2597" s="21" t="s">
        <v>944</v>
      </c>
      <c r="E2597" s="21" t="s">
        <v>9</v>
      </c>
      <c r="F2597" s="5812">
        <v>3</v>
      </c>
      <c r="G2597" s="5813">
        <v>0.20833333333333334</v>
      </c>
      <c r="H2597" s="21" t="s">
        <v>10</v>
      </c>
      <c r="I2597" s="21" t="s">
        <v>39</v>
      </c>
      <c r="J2597" s="21" t="s">
        <v>1467</v>
      </c>
      <c r="K2597" s="5814" t="s">
        <v>8651</v>
      </c>
    </row>
    <row r="2598" spans="1:11">
      <c r="A2598" s="21" t="s">
        <v>3033</v>
      </c>
      <c r="B2598" s="21" t="s">
        <v>8652</v>
      </c>
      <c r="C2598" s="21" t="s">
        <v>8</v>
      </c>
      <c r="D2598" s="21" t="s">
        <v>944</v>
      </c>
      <c r="E2598" s="21" t="s">
        <v>9</v>
      </c>
      <c r="F2598" s="5812">
        <v>3</v>
      </c>
      <c r="G2598" s="5813">
        <v>0.20833333333333334</v>
      </c>
      <c r="H2598" s="21" t="s">
        <v>10</v>
      </c>
      <c r="I2598" s="21" t="s">
        <v>96</v>
      </c>
      <c r="J2598" s="21" t="s">
        <v>8653</v>
      </c>
      <c r="K2598" s="5814" t="s">
        <v>8654</v>
      </c>
    </row>
    <row r="2599" spans="1:11">
      <c r="A2599" s="21" t="s">
        <v>3033</v>
      </c>
      <c r="B2599" s="21" t="s">
        <v>8655</v>
      </c>
      <c r="C2599" s="21" t="s">
        <v>8</v>
      </c>
      <c r="D2599" s="21" t="s">
        <v>944</v>
      </c>
      <c r="E2599" s="21" t="s">
        <v>9</v>
      </c>
      <c r="F2599" s="5812">
        <v>3</v>
      </c>
      <c r="G2599" s="5813">
        <v>0.20833333333333334</v>
      </c>
      <c r="H2599" s="21" t="s">
        <v>10</v>
      </c>
      <c r="I2599" s="21" t="s">
        <v>47</v>
      </c>
      <c r="J2599" s="21" t="s">
        <v>8656</v>
      </c>
      <c r="K2599" s="5814" t="s">
        <v>8657</v>
      </c>
    </row>
    <row r="2600" spans="1:11">
      <c r="A2600" s="21" t="s">
        <v>2395</v>
      </c>
      <c r="B2600" s="21" t="s">
        <v>8658</v>
      </c>
      <c r="C2600" s="21" t="s">
        <v>8</v>
      </c>
      <c r="D2600" s="21" t="s">
        <v>944</v>
      </c>
      <c r="E2600" s="21" t="s">
        <v>9</v>
      </c>
      <c r="F2600" s="5812">
        <v>3</v>
      </c>
      <c r="G2600" s="5813">
        <v>0.20833333333333334</v>
      </c>
      <c r="H2600" s="21" t="s">
        <v>10</v>
      </c>
      <c r="I2600" s="21" t="s">
        <v>89</v>
      </c>
      <c r="J2600" s="21" t="s">
        <v>8659</v>
      </c>
      <c r="K2600" s="5814" t="s">
        <v>8660</v>
      </c>
    </row>
    <row r="2601" spans="1:11">
      <c r="A2601" s="21" t="s">
        <v>3909</v>
      </c>
      <c r="B2601" s="21" t="s">
        <v>8661</v>
      </c>
      <c r="C2601" s="21" t="s">
        <v>8</v>
      </c>
      <c r="D2601" s="21" t="s">
        <v>944</v>
      </c>
      <c r="E2601" s="21" t="s">
        <v>9</v>
      </c>
      <c r="F2601" s="5812">
        <v>3</v>
      </c>
      <c r="G2601" s="5813">
        <v>0.20833333333333334</v>
      </c>
      <c r="H2601" s="21" t="s">
        <v>10</v>
      </c>
      <c r="I2601" s="21" t="s">
        <v>47</v>
      </c>
      <c r="J2601" s="21" t="s">
        <v>8662</v>
      </c>
      <c r="K2601" s="5814" t="s">
        <v>8663</v>
      </c>
    </row>
    <row r="2602" spans="1:11">
      <c r="A2602" s="21" t="s">
        <v>3409</v>
      </c>
      <c r="B2602" s="21" t="s">
        <v>8664</v>
      </c>
      <c r="C2602" s="21" t="s">
        <v>22</v>
      </c>
      <c r="D2602" s="21" t="s">
        <v>944</v>
      </c>
      <c r="E2602" s="21" t="s">
        <v>9</v>
      </c>
      <c r="F2602" s="5812">
        <v>3</v>
      </c>
      <c r="G2602" s="5813">
        <v>0.20833333333333334</v>
      </c>
      <c r="H2602" s="21" t="s">
        <v>10</v>
      </c>
      <c r="I2602" s="21" t="s">
        <v>226</v>
      </c>
      <c r="J2602" s="21" t="s">
        <v>8665</v>
      </c>
      <c r="K2602" s="5814" t="s">
        <v>8666</v>
      </c>
    </row>
    <row r="2603" spans="1:11">
      <c r="A2603" s="21" t="s">
        <v>2403</v>
      </c>
      <c r="B2603" s="21" t="s">
        <v>8667</v>
      </c>
      <c r="C2603" s="21" t="s">
        <v>8</v>
      </c>
      <c r="D2603" s="21" t="s">
        <v>944</v>
      </c>
      <c r="E2603" s="21" t="s">
        <v>9</v>
      </c>
      <c r="F2603" s="5812">
        <v>3</v>
      </c>
      <c r="G2603" s="5813">
        <v>0.20833333333333334</v>
      </c>
      <c r="H2603" s="21" t="s">
        <v>10</v>
      </c>
      <c r="I2603" s="21" t="s">
        <v>89</v>
      </c>
      <c r="J2603" s="21" t="s">
        <v>8668</v>
      </c>
      <c r="K2603" s="5814" t="s">
        <v>8669</v>
      </c>
    </row>
    <row r="2604" spans="1:11">
      <c r="A2604" s="21" t="s">
        <v>2045</v>
      </c>
      <c r="B2604" s="21" t="s">
        <v>8670</v>
      </c>
      <c r="C2604" s="21" t="s">
        <v>22</v>
      </c>
      <c r="D2604" s="21" t="s">
        <v>944</v>
      </c>
      <c r="E2604" s="21" t="s">
        <v>9</v>
      </c>
      <c r="F2604" s="5812">
        <v>3</v>
      </c>
      <c r="G2604" s="5813">
        <v>0.20833333333333334</v>
      </c>
      <c r="H2604" s="21" t="s">
        <v>10</v>
      </c>
      <c r="I2604" s="21" t="s">
        <v>39</v>
      </c>
      <c r="J2604" s="21" t="s">
        <v>8671</v>
      </c>
      <c r="K2604" s="5814" t="s">
        <v>8672</v>
      </c>
    </row>
    <row r="2605" spans="1:11">
      <c r="A2605" s="21" t="s">
        <v>2045</v>
      </c>
      <c r="B2605" s="21" t="s">
        <v>8673</v>
      </c>
      <c r="C2605" s="21" t="s">
        <v>22</v>
      </c>
      <c r="D2605" s="21" t="s">
        <v>944</v>
      </c>
      <c r="E2605" s="21" t="s">
        <v>9</v>
      </c>
      <c r="F2605" s="5812">
        <v>3</v>
      </c>
      <c r="G2605" s="5813">
        <v>0.20833333333333334</v>
      </c>
      <c r="H2605" s="21" t="s">
        <v>10</v>
      </c>
      <c r="I2605" s="21" t="s">
        <v>55</v>
      </c>
      <c r="J2605" s="21" t="s">
        <v>8674</v>
      </c>
      <c r="K2605" s="5814" t="s">
        <v>8675</v>
      </c>
    </row>
    <row r="2606" spans="1:11">
      <c r="A2606" s="21" t="s">
        <v>2413</v>
      </c>
      <c r="B2606" s="21" t="s">
        <v>8676</v>
      </c>
      <c r="C2606" s="21" t="s">
        <v>8</v>
      </c>
      <c r="D2606" s="21" t="s">
        <v>944</v>
      </c>
      <c r="E2606" s="21" t="s">
        <v>9</v>
      </c>
      <c r="F2606" s="5812">
        <v>3</v>
      </c>
      <c r="G2606" s="5813">
        <v>0.20833333333333334</v>
      </c>
      <c r="H2606" s="21" t="s">
        <v>10</v>
      </c>
      <c r="I2606" s="21" t="s">
        <v>39</v>
      </c>
      <c r="J2606" s="21" t="s">
        <v>2389</v>
      </c>
      <c r="K2606" s="5814" t="s">
        <v>8677</v>
      </c>
    </row>
    <row r="2607" spans="1:11">
      <c r="A2607" s="21" t="s">
        <v>2420</v>
      </c>
      <c r="B2607" s="21" t="s">
        <v>8678</v>
      </c>
      <c r="C2607" s="21" t="s">
        <v>8</v>
      </c>
      <c r="D2607" s="21" t="s">
        <v>944</v>
      </c>
      <c r="E2607" s="21" t="s">
        <v>9</v>
      </c>
      <c r="F2607" s="5812">
        <v>3</v>
      </c>
      <c r="G2607" s="5813">
        <v>0.20833333333333334</v>
      </c>
      <c r="H2607" s="21" t="s">
        <v>10</v>
      </c>
      <c r="I2607" s="21" t="s">
        <v>96</v>
      </c>
      <c r="J2607" s="21" t="s">
        <v>8679</v>
      </c>
      <c r="K2607" s="5814" t="s">
        <v>8680</v>
      </c>
    </row>
    <row r="2608" spans="1:11">
      <c r="A2608" s="21" t="s">
        <v>2893</v>
      </c>
      <c r="B2608" s="21" t="s">
        <v>8681</v>
      </c>
      <c r="C2608" s="21" t="s">
        <v>8</v>
      </c>
      <c r="D2608" s="21" t="s">
        <v>944</v>
      </c>
      <c r="E2608" s="21" t="s">
        <v>9</v>
      </c>
      <c r="F2608" s="5812">
        <v>3</v>
      </c>
      <c r="G2608" s="5813">
        <v>0.20833333333333334</v>
      </c>
      <c r="H2608" s="21" t="s">
        <v>10</v>
      </c>
      <c r="I2608" s="21" t="s">
        <v>55</v>
      </c>
      <c r="J2608" s="21" t="s">
        <v>8682</v>
      </c>
      <c r="K2608" s="5814" t="s">
        <v>8683</v>
      </c>
    </row>
    <row r="2609" spans="1:11">
      <c r="A2609" s="21" t="s">
        <v>2433</v>
      </c>
      <c r="B2609" s="21" t="s">
        <v>8684</v>
      </c>
      <c r="C2609" s="21" t="s">
        <v>8</v>
      </c>
      <c r="D2609" s="21" t="s">
        <v>944</v>
      </c>
      <c r="E2609" s="21" t="s">
        <v>9</v>
      </c>
      <c r="F2609" s="5812">
        <v>3</v>
      </c>
      <c r="G2609" s="5813">
        <v>0.20833333333333334</v>
      </c>
      <c r="H2609" s="21" t="s">
        <v>10</v>
      </c>
      <c r="I2609" s="21" t="s">
        <v>55</v>
      </c>
      <c r="J2609" s="21" t="s">
        <v>8685</v>
      </c>
      <c r="K2609" s="5814" t="s">
        <v>8686</v>
      </c>
    </row>
    <row r="2610" spans="1:11">
      <c r="A2610" s="21" t="s">
        <v>2442</v>
      </c>
      <c r="B2610" s="21" t="s">
        <v>8687</v>
      </c>
      <c r="C2610" s="21" t="s">
        <v>8</v>
      </c>
      <c r="D2610" s="21" t="s">
        <v>944</v>
      </c>
      <c r="E2610" s="21" t="s">
        <v>9</v>
      </c>
      <c r="F2610" s="5812">
        <v>3</v>
      </c>
      <c r="G2610" s="5813">
        <v>0.20833333333333334</v>
      </c>
      <c r="H2610" s="21" t="s">
        <v>10</v>
      </c>
      <c r="I2610" s="21" t="s">
        <v>39</v>
      </c>
      <c r="J2610" s="21" t="s">
        <v>8688</v>
      </c>
      <c r="K2610" s="5814" t="s">
        <v>8689</v>
      </c>
    </row>
    <row r="2611" spans="1:11">
      <c r="A2611" s="21" t="s">
        <v>2450</v>
      </c>
      <c r="B2611" s="21" t="s">
        <v>8690</v>
      </c>
      <c r="C2611" s="21" t="s">
        <v>22</v>
      </c>
      <c r="D2611" s="21" t="s">
        <v>944</v>
      </c>
      <c r="E2611" s="21" t="s">
        <v>9</v>
      </c>
      <c r="F2611" s="5812">
        <v>3</v>
      </c>
      <c r="G2611" s="5813">
        <v>0.20833333333333334</v>
      </c>
      <c r="H2611" s="21" t="s">
        <v>10</v>
      </c>
      <c r="I2611" s="21" t="s">
        <v>55</v>
      </c>
      <c r="J2611" s="21" t="s">
        <v>8691</v>
      </c>
      <c r="K2611" s="5814" t="s">
        <v>8692</v>
      </c>
    </row>
    <row r="2612" spans="1:11">
      <c r="A2612" s="21" t="s">
        <v>3434</v>
      </c>
      <c r="B2612" s="21" t="s">
        <v>8693</v>
      </c>
      <c r="C2612" s="21" t="s">
        <v>22</v>
      </c>
      <c r="D2612" s="21" t="s">
        <v>944</v>
      </c>
      <c r="E2612" s="21" t="s">
        <v>9</v>
      </c>
      <c r="F2612" s="5812">
        <v>3</v>
      </c>
      <c r="G2612" s="5813">
        <v>0.20833333333333334</v>
      </c>
      <c r="H2612" s="21" t="s">
        <v>10</v>
      </c>
      <c r="I2612" s="21" t="s">
        <v>55</v>
      </c>
      <c r="J2612" s="21" t="s">
        <v>8694</v>
      </c>
      <c r="K2612" s="5814" t="s">
        <v>8695</v>
      </c>
    </row>
    <row r="2613" spans="1:11">
      <c r="A2613" s="21" t="s">
        <v>3946</v>
      </c>
      <c r="B2613" s="21" t="s">
        <v>8696</v>
      </c>
      <c r="C2613" s="21" t="s">
        <v>8</v>
      </c>
      <c r="D2613" s="21" t="s">
        <v>944</v>
      </c>
      <c r="E2613" s="21" t="s">
        <v>9</v>
      </c>
      <c r="F2613" s="5812">
        <v>3</v>
      </c>
      <c r="G2613" s="5813">
        <v>0.20833333333333334</v>
      </c>
      <c r="H2613" s="21" t="s">
        <v>10</v>
      </c>
      <c r="I2613" s="21" t="s">
        <v>39</v>
      </c>
      <c r="J2613" s="21" t="s">
        <v>8697</v>
      </c>
      <c r="K2613" s="5814" t="s">
        <v>8698</v>
      </c>
    </row>
    <row r="2614" spans="1:11">
      <c r="A2614" s="21" t="s">
        <v>3974</v>
      </c>
      <c r="B2614" s="21" t="s">
        <v>8699</v>
      </c>
      <c r="C2614" s="21" t="s">
        <v>8</v>
      </c>
      <c r="D2614" s="21" t="s">
        <v>944</v>
      </c>
      <c r="E2614" s="21" t="s">
        <v>9</v>
      </c>
      <c r="F2614" s="5812">
        <v>3</v>
      </c>
      <c r="G2614" s="5813">
        <v>0.20833333333333334</v>
      </c>
      <c r="H2614" s="21" t="s">
        <v>10</v>
      </c>
      <c r="I2614" s="21" t="s">
        <v>96</v>
      </c>
      <c r="J2614" s="21" t="s">
        <v>8700</v>
      </c>
      <c r="K2614" s="5814" t="s">
        <v>8701</v>
      </c>
    </row>
    <row r="2615" spans="1:11">
      <c r="A2615" s="21" t="s">
        <v>2467</v>
      </c>
      <c r="B2615" s="21" t="s">
        <v>8702</v>
      </c>
      <c r="C2615" s="21" t="s">
        <v>8</v>
      </c>
      <c r="D2615" s="21" t="s">
        <v>944</v>
      </c>
      <c r="E2615" s="21" t="s">
        <v>9</v>
      </c>
      <c r="F2615" s="5812">
        <v>3</v>
      </c>
      <c r="G2615" s="5813">
        <v>0.20833333333333334</v>
      </c>
      <c r="H2615" s="21" t="s">
        <v>10</v>
      </c>
      <c r="I2615" s="21" t="s">
        <v>89</v>
      </c>
      <c r="J2615" s="21" t="s">
        <v>40</v>
      </c>
      <c r="K2615" s="5814" t="s">
        <v>8703</v>
      </c>
    </row>
    <row r="2616" spans="1:11">
      <c r="A2616" s="21" t="s">
        <v>3152</v>
      </c>
      <c r="B2616" s="21" t="s">
        <v>8704</v>
      </c>
      <c r="C2616" s="21" t="s">
        <v>22</v>
      </c>
      <c r="D2616" s="21" t="s">
        <v>944</v>
      </c>
      <c r="E2616" s="21" t="s">
        <v>9</v>
      </c>
      <c r="F2616" s="5812">
        <v>3</v>
      </c>
      <c r="G2616" s="5813">
        <v>0.20833333333333334</v>
      </c>
      <c r="H2616" s="21" t="s">
        <v>10</v>
      </c>
      <c r="I2616" s="21" t="s">
        <v>23</v>
      </c>
      <c r="J2616" s="21" t="s">
        <v>8705</v>
      </c>
      <c r="K2616" s="5814" t="s">
        <v>8706</v>
      </c>
    </row>
    <row r="2617" spans="1:11">
      <c r="A2617" s="21" t="s">
        <v>2478</v>
      </c>
      <c r="B2617" s="21" t="s">
        <v>8707</v>
      </c>
      <c r="C2617" s="21" t="s">
        <v>22</v>
      </c>
      <c r="D2617" s="21" t="s">
        <v>944</v>
      </c>
      <c r="E2617" s="21" t="s">
        <v>9</v>
      </c>
      <c r="F2617" s="5812">
        <v>3</v>
      </c>
      <c r="G2617" s="5813">
        <v>0.20833333333333334</v>
      </c>
      <c r="H2617" s="21" t="s">
        <v>10</v>
      </c>
      <c r="I2617" s="21" t="s">
        <v>39</v>
      </c>
      <c r="J2617" s="21" t="s">
        <v>8708</v>
      </c>
      <c r="K2617" s="5814" t="s">
        <v>8709</v>
      </c>
    </row>
    <row r="2618" spans="1:11">
      <c r="A2618" s="21" t="s">
        <v>2057</v>
      </c>
      <c r="B2618" s="21" t="s">
        <v>8710</v>
      </c>
      <c r="C2618" s="21" t="s">
        <v>22</v>
      </c>
      <c r="D2618" s="21" t="s">
        <v>944</v>
      </c>
      <c r="E2618" s="21" t="s">
        <v>9</v>
      </c>
      <c r="F2618" s="5812">
        <v>3</v>
      </c>
      <c r="G2618" s="5813">
        <v>0.20833333333333334</v>
      </c>
      <c r="H2618" s="21" t="s">
        <v>10</v>
      </c>
      <c r="I2618" s="21" t="s">
        <v>11</v>
      </c>
      <c r="J2618" s="21" t="s">
        <v>8711</v>
      </c>
      <c r="K2618" s="5814" t="s">
        <v>8712</v>
      </c>
    </row>
    <row r="2619" spans="1:11">
      <c r="A2619" s="21" t="s">
        <v>3690</v>
      </c>
      <c r="B2619" s="21" t="s">
        <v>8713</v>
      </c>
      <c r="C2619" s="21" t="s">
        <v>8</v>
      </c>
      <c r="D2619" s="21" t="s">
        <v>944</v>
      </c>
      <c r="E2619" s="21" t="s">
        <v>9</v>
      </c>
      <c r="F2619" s="5812">
        <v>3</v>
      </c>
      <c r="G2619" s="5813">
        <v>0.20833333333333334</v>
      </c>
      <c r="H2619" s="21" t="s">
        <v>10</v>
      </c>
      <c r="I2619" s="21" t="s">
        <v>11</v>
      </c>
      <c r="J2619" s="21" t="s">
        <v>8714</v>
      </c>
      <c r="K2619" s="5814" t="s">
        <v>8715</v>
      </c>
    </row>
    <row r="2620" spans="1:11">
      <c r="A2620" s="21" t="s">
        <v>3690</v>
      </c>
      <c r="B2620" s="21" t="s">
        <v>8716</v>
      </c>
      <c r="C2620" s="21" t="s">
        <v>22</v>
      </c>
      <c r="D2620" s="21" t="s">
        <v>944</v>
      </c>
      <c r="E2620" s="21" t="s">
        <v>9</v>
      </c>
      <c r="F2620" s="5812">
        <v>3</v>
      </c>
      <c r="G2620" s="5813">
        <v>0.20833333333333334</v>
      </c>
      <c r="H2620" s="21" t="s">
        <v>10</v>
      </c>
      <c r="I2620" s="21" t="s">
        <v>39</v>
      </c>
      <c r="J2620" s="21" t="s">
        <v>8717</v>
      </c>
      <c r="K2620" s="5814" t="s">
        <v>8718</v>
      </c>
    </row>
    <row r="2621" spans="1:11">
      <c r="A2621" s="21" t="s">
        <v>2901</v>
      </c>
      <c r="B2621" s="21" t="s">
        <v>8719</v>
      </c>
      <c r="C2621" s="21" t="s">
        <v>8</v>
      </c>
      <c r="D2621" s="21" t="s">
        <v>944</v>
      </c>
      <c r="E2621" s="21" t="s">
        <v>9</v>
      </c>
      <c r="F2621" s="5812">
        <v>3</v>
      </c>
      <c r="G2621" s="5813">
        <v>0.20833333333333334</v>
      </c>
      <c r="H2621" s="21" t="s">
        <v>10</v>
      </c>
      <c r="I2621" s="21" t="s">
        <v>55</v>
      </c>
      <c r="J2621" s="21" t="s">
        <v>8720</v>
      </c>
      <c r="K2621" s="5814" t="s">
        <v>8721</v>
      </c>
    </row>
    <row r="2622" spans="1:11">
      <c r="A2622" s="21" t="s">
        <v>4003</v>
      </c>
      <c r="B2622" s="21" t="s">
        <v>8722</v>
      </c>
      <c r="C2622" s="21" t="s">
        <v>8</v>
      </c>
      <c r="D2622" s="21" t="s">
        <v>944</v>
      </c>
      <c r="E2622" s="21" t="s">
        <v>9</v>
      </c>
      <c r="F2622" s="5812">
        <v>3</v>
      </c>
      <c r="G2622" s="5813">
        <v>0.20833333333333334</v>
      </c>
      <c r="H2622" s="21" t="s">
        <v>10</v>
      </c>
      <c r="I2622" s="21" t="s">
        <v>39</v>
      </c>
      <c r="J2622" s="21" t="s">
        <v>8723</v>
      </c>
      <c r="K2622" s="5814" t="s">
        <v>8724</v>
      </c>
    </row>
    <row r="2623" spans="1:11">
      <c r="A2623" s="21" t="s">
        <v>2499</v>
      </c>
      <c r="B2623" s="21" t="s">
        <v>8725</v>
      </c>
      <c r="C2623" s="21" t="s">
        <v>8</v>
      </c>
      <c r="D2623" s="21" t="s">
        <v>944</v>
      </c>
      <c r="E2623" s="21" t="s">
        <v>9</v>
      </c>
      <c r="F2623" s="5812">
        <v>3</v>
      </c>
      <c r="G2623" s="5813">
        <v>0.20833333333333334</v>
      </c>
      <c r="H2623" s="21" t="s">
        <v>10</v>
      </c>
      <c r="I2623" s="21" t="s">
        <v>55</v>
      </c>
      <c r="J2623" s="21" t="s">
        <v>8726</v>
      </c>
      <c r="K2623" s="5814" t="s">
        <v>8727</v>
      </c>
    </row>
    <row r="2624" spans="1:11">
      <c r="A2624" s="21" t="s">
        <v>2499</v>
      </c>
      <c r="B2624" s="21" t="s">
        <v>8728</v>
      </c>
      <c r="C2624" s="21" t="s">
        <v>8</v>
      </c>
      <c r="D2624" s="21" t="s">
        <v>944</v>
      </c>
      <c r="E2624" s="21" t="s">
        <v>9</v>
      </c>
      <c r="F2624" s="5812">
        <v>3</v>
      </c>
      <c r="G2624" s="5813">
        <v>0.20833333333333334</v>
      </c>
      <c r="H2624" s="21" t="s">
        <v>10</v>
      </c>
      <c r="I2624" s="21" t="s">
        <v>39</v>
      </c>
      <c r="J2624" s="21" t="s">
        <v>8729</v>
      </c>
      <c r="K2624" s="5814" t="s">
        <v>8730</v>
      </c>
    </row>
    <row r="2625" spans="1:11">
      <c r="A2625" s="21" t="s">
        <v>3102</v>
      </c>
      <c r="B2625" s="21" t="s">
        <v>8731</v>
      </c>
      <c r="C2625" s="21" t="s">
        <v>22</v>
      </c>
      <c r="D2625" s="21" t="s">
        <v>944</v>
      </c>
      <c r="E2625" s="21" t="s">
        <v>9</v>
      </c>
      <c r="F2625" s="5812">
        <v>3</v>
      </c>
      <c r="G2625" s="5813">
        <v>0.20833333333333334</v>
      </c>
      <c r="H2625" s="21" t="s">
        <v>10</v>
      </c>
      <c r="I2625" s="21" t="s">
        <v>23</v>
      </c>
      <c r="J2625" s="21" t="s">
        <v>8732</v>
      </c>
      <c r="K2625" s="5814" t="s">
        <v>8733</v>
      </c>
    </row>
    <row r="2626" spans="1:11">
      <c r="A2626" s="21" t="s">
        <v>2969</v>
      </c>
      <c r="B2626" s="21" t="s">
        <v>8734</v>
      </c>
      <c r="C2626" s="21" t="s">
        <v>8</v>
      </c>
      <c r="D2626" s="21" t="s">
        <v>944</v>
      </c>
      <c r="E2626" s="21" t="s">
        <v>9</v>
      </c>
      <c r="F2626" s="5812">
        <v>3</v>
      </c>
      <c r="G2626" s="5813">
        <v>0.20833333333333334</v>
      </c>
      <c r="H2626" s="21" t="s">
        <v>10</v>
      </c>
      <c r="I2626" s="21" t="s">
        <v>55</v>
      </c>
      <c r="J2626" s="21" t="s">
        <v>8735</v>
      </c>
      <c r="K2626" s="5814" t="s">
        <v>8736</v>
      </c>
    </row>
    <row r="2627" spans="1:11">
      <c r="A2627" s="21" t="s">
        <v>3505</v>
      </c>
      <c r="B2627" s="21" t="s">
        <v>8737</v>
      </c>
      <c r="C2627" s="21" t="s">
        <v>8</v>
      </c>
      <c r="D2627" s="21" t="s">
        <v>944</v>
      </c>
      <c r="E2627" s="21" t="s">
        <v>9</v>
      </c>
      <c r="F2627" s="5812">
        <v>3</v>
      </c>
      <c r="G2627" s="5813">
        <v>0.20833333333333334</v>
      </c>
      <c r="H2627" s="21" t="s">
        <v>10</v>
      </c>
      <c r="I2627" s="21" t="s">
        <v>39</v>
      </c>
      <c r="J2627" s="21" t="s">
        <v>8738</v>
      </c>
      <c r="K2627" s="5814" t="s">
        <v>8739</v>
      </c>
    </row>
    <row r="2628" spans="1:11">
      <c r="A2628" s="21" t="s">
        <v>3481</v>
      </c>
      <c r="B2628" s="21" t="s">
        <v>8740</v>
      </c>
      <c r="C2628" s="21" t="s">
        <v>8</v>
      </c>
      <c r="D2628" s="21" t="s">
        <v>944</v>
      </c>
      <c r="E2628" s="21" t="s">
        <v>9</v>
      </c>
      <c r="F2628" s="5812">
        <v>3</v>
      </c>
      <c r="G2628" s="5813">
        <v>0.20833333333333334</v>
      </c>
      <c r="H2628" s="21" t="s">
        <v>10</v>
      </c>
      <c r="I2628" s="21" t="s">
        <v>47</v>
      </c>
      <c r="J2628" s="21" t="s">
        <v>8741</v>
      </c>
      <c r="K2628" s="5814" t="s">
        <v>8742</v>
      </c>
    </row>
    <row r="2629" spans="1:11">
      <c r="A2629" s="21" t="s">
        <v>3412</v>
      </c>
      <c r="B2629" s="21" t="s">
        <v>8743</v>
      </c>
      <c r="C2629" s="21" t="s">
        <v>8</v>
      </c>
      <c r="D2629" s="21" t="s">
        <v>944</v>
      </c>
      <c r="E2629" s="21" t="s">
        <v>9</v>
      </c>
      <c r="F2629" s="5812">
        <v>3</v>
      </c>
      <c r="G2629" s="5813">
        <v>0.20833333333333334</v>
      </c>
      <c r="H2629" s="21" t="s">
        <v>10</v>
      </c>
      <c r="I2629" s="21" t="s">
        <v>55</v>
      </c>
      <c r="J2629" s="21" t="s">
        <v>8744</v>
      </c>
      <c r="K2629" s="5814" t="s">
        <v>8745</v>
      </c>
    </row>
    <row r="2630" spans="1:11">
      <c r="A2630" s="21" t="s">
        <v>2509</v>
      </c>
      <c r="B2630" s="21" t="s">
        <v>8746</v>
      </c>
      <c r="C2630" s="21" t="s">
        <v>8</v>
      </c>
      <c r="D2630" s="21" t="s">
        <v>944</v>
      </c>
      <c r="E2630" s="21" t="s">
        <v>9</v>
      </c>
      <c r="F2630" s="5812">
        <v>3</v>
      </c>
      <c r="G2630" s="5813">
        <v>0.20833333333333334</v>
      </c>
      <c r="H2630" s="21" t="s">
        <v>10</v>
      </c>
      <c r="I2630" s="21" t="s">
        <v>23</v>
      </c>
      <c r="J2630" s="21" t="s">
        <v>8747</v>
      </c>
      <c r="K2630" s="5814" t="s">
        <v>8748</v>
      </c>
    </row>
    <row r="2631" spans="1:11">
      <c r="A2631" s="21" t="s">
        <v>5335</v>
      </c>
      <c r="B2631" s="21" t="s">
        <v>8749</v>
      </c>
      <c r="C2631" s="21" t="s">
        <v>8</v>
      </c>
      <c r="D2631" s="21" t="s">
        <v>944</v>
      </c>
      <c r="E2631" s="21" t="s">
        <v>9</v>
      </c>
      <c r="F2631" s="5812">
        <v>3</v>
      </c>
      <c r="G2631" s="5813">
        <v>0.20833333333333334</v>
      </c>
      <c r="H2631" s="21" t="s">
        <v>10</v>
      </c>
      <c r="I2631" s="21" t="s">
        <v>39</v>
      </c>
      <c r="J2631" s="21" t="s">
        <v>8750</v>
      </c>
      <c r="K2631" s="5814" t="s">
        <v>8751</v>
      </c>
    </row>
    <row r="2632" spans="1:11">
      <c r="A2632" s="21" t="s">
        <v>3009</v>
      </c>
      <c r="B2632" s="21" t="s">
        <v>8752</v>
      </c>
      <c r="C2632" s="21" t="s">
        <v>8</v>
      </c>
      <c r="D2632" s="21" t="s">
        <v>944</v>
      </c>
      <c r="E2632" s="21" t="s">
        <v>9</v>
      </c>
      <c r="F2632" s="5812">
        <v>3</v>
      </c>
      <c r="G2632" s="5813">
        <v>0.20833333333333334</v>
      </c>
      <c r="H2632" s="21" t="s">
        <v>10</v>
      </c>
      <c r="I2632" s="21" t="s">
        <v>11</v>
      </c>
      <c r="J2632" s="21" t="s">
        <v>8753</v>
      </c>
      <c r="K2632" s="5814" t="s">
        <v>8754</v>
      </c>
    </row>
    <row r="2633" spans="1:11">
      <c r="A2633" s="21" t="s">
        <v>3515</v>
      </c>
      <c r="B2633" s="21" t="s">
        <v>8755</v>
      </c>
      <c r="C2633" s="21" t="s">
        <v>8</v>
      </c>
      <c r="D2633" s="21" t="s">
        <v>944</v>
      </c>
      <c r="E2633" s="21" t="s">
        <v>9</v>
      </c>
      <c r="F2633" s="5812">
        <v>3</v>
      </c>
      <c r="G2633" s="5813">
        <v>0.20833333333333334</v>
      </c>
      <c r="H2633" s="21" t="s">
        <v>10</v>
      </c>
      <c r="I2633" s="21" t="s">
        <v>3517</v>
      </c>
      <c r="J2633" s="21" t="s">
        <v>8756</v>
      </c>
      <c r="K2633" s="5814" t="s">
        <v>8757</v>
      </c>
    </row>
    <row r="2634" spans="1:11">
      <c r="A2634" s="21" t="s">
        <v>2938</v>
      </c>
      <c r="B2634" s="21" t="s">
        <v>8758</v>
      </c>
      <c r="C2634" s="21" t="s">
        <v>8</v>
      </c>
      <c r="D2634" s="21" t="s">
        <v>944</v>
      </c>
      <c r="E2634" s="21" t="s">
        <v>9</v>
      </c>
      <c r="F2634" s="5812">
        <v>3</v>
      </c>
      <c r="G2634" s="5813">
        <v>0.20833333333333334</v>
      </c>
      <c r="H2634" s="21" t="s">
        <v>10</v>
      </c>
      <c r="I2634" s="21" t="s">
        <v>2313</v>
      </c>
      <c r="J2634" s="21" t="s">
        <v>8759</v>
      </c>
      <c r="K2634" s="5814" t="s">
        <v>8760</v>
      </c>
    </row>
    <row r="2635" spans="1:11">
      <c r="A2635" s="21" t="s">
        <v>2521</v>
      </c>
      <c r="B2635" s="21" t="s">
        <v>8761</v>
      </c>
      <c r="C2635" s="21" t="s">
        <v>22</v>
      </c>
      <c r="D2635" s="21" t="s">
        <v>944</v>
      </c>
      <c r="E2635" s="21" t="s">
        <v>9</v>
      </c>
      <c r="F2635" s="5812">
        <v>3</v>
      </c>
      <c r="G2635" s="5813">
        <v>0.20833333333333334</v>
      </c>
      <c r="H2635" s="21" t="s">
        <v>10</v>
      </c>
      <c r="I2635" s="21" t="s">
        <v>2523</v>
      </c>
      <c r="J2635" s="21" t="s">
        <v>8762</v>
      </c>
      <c r="K2635" s="5814" t="s">
        <v>8763</v>
      </c>
    </row>
    <row r="2636" spans="1:11">
      <c r="A2636" s="21" t="s">
        <v>4068</v>
      </c>
      <c r="B2636" s="21" t="s">
        <v>8764</v>
      </c>
      <c r="C2636" s="21" t="s">
        <v>22</v>
      </c>
      <c r="D2636" s="21" t="s">
        <v>944</v>
      </c>
      <c r="E2636" s="21" t="s">
        <v>9</v>
      </c>
      <c r="F2636" s="5812">
        <v>3</v>
      </c>
      <c r="G2636" s="5813">
        <v>0.20833333333333334</v>
      </c>
      <c r="H2636" s="21" t="s">
        <v>10</v>
      </c>
      <c r="I2636" s="21" t="s">
        <v>96</v>
      </c>
      <c r="J2636" s="21" t="s">
        <v>8765</v>
      </c>
      <c r="K2636" s="5814" t="s">
        <v>8766</v>
      </c>
    </row>
    <row r="2637" spans="1:11">
      <c r="A2637" s="21" t="s">
        <v>4068</v>
      </c>
      <c r="B2637" s="21" t="s">
        <v>8767</v>
      </c>
      <c r="C2637" s="21" t="s">
        <v>22</v>
      </c>
      <c r="D2637" s="21" t="s">
        <v>944</v>
      </c>
      <c r="E2637" s="21" t="s">
        <v>9</v>
      </c>
      <c r="F2637" s="5812">
        <v>3</v>
      </c>
      <c r="G2637" s="5813">
        <v>0.20833333333333334</v>
      </c>
      <c r="H2637" s="21" t="s">
        <v>10</v>
      </c>
      <c r="I2637" s="21" t="s">
        <v>39</v>
      </c>
      <c r="J2637" s="21" t="s">
        <v>8768</v>
      </c>
      <c r="K2637" s="5814" t="s">
        <v>8769</v>
      </c>
    </row>
    <row r="2638" spans="1:11">
      <c r="A2638" s="21" t="s">
        <v>2135</v>
      </c>
      <c r="B2638" s="21" t="s">
        <v>8770</v>
      </c>
      <c r="C2638" s="21" t="s">
        <v>22</v>
      </c>
      <c r="D2638" s="21" t="s">
        <v>944</v>
      </c>
      <c r="E2638" s="21" t="s">
        <v>9</v>
      </c>
      <c r="F2638" s="5812">
        <v>3</v>
      </c>
      <c r="G2638" s="5813">
        <v>0.20833333333333334</v>
      </c>
      <c r="H2638" s="21" t="s">
        <v>10</v>
      </c>
      <c r="I2638" s="21" t="s">
        <v>96</v>
      </c>
      <c r="J2638" s="21" t="s">
        <v>8771</v>
      </c>
      <c r="K2638" s="5814" t="s">
        <v>8772</v>
      </c>
    </row>
    <row r="2639" spans="1:11">
      <c r="A2639" s="21" t="s">
        <v>3616</v>
      </c>
      <c r="B2639" s="21" t="s">
        <v>8773</v>
      </c>
      <c r="C2639" s="21" t="s">
        <v>8</v>
      </c>
      <c r="D2639" s="21" t="s">
        <v>944</v>
      </c>
      <c r="E2639" s="21" t="s">
        <v>9</v>
      </c>
      <c r="F2639" s="5812">
        <v>3</v>
      </c>
      <c r="G2639" s="5813">
        <v>0.20833333333333334</v>
      </c>
      <c r="H2639" s="21" t="s">
        <v>10</v>
      </c>
      <c r="I2639" s="21" t="s">
        <v>23</v>
      </c>
      <c r="J2639" s="21" t="s">
        <v>8774</v>
      </c>
      <c r="K2639" s="5814" t="s">
        <v>8775</v>
      </c>
    </row>
    <row r="2640" spans="1:11">
      <c r="A2640" s="21" t="s">
        <v>3710</v>
      </c>
      <c r="B2640" s="21" t="s">
        <v>8776</v>
      </c>
      <c r="C2640" s="21" t="s">
        <v>22</v>
      </c>
      <c r="D2640" s="21" t="s">
        <v>944</v>
      </c>
      <c r="E2640" s="21" t="s">
        <v>9</v>
      </c>
      <c r="F2640" s="5812">
        <v>3</v>
      </c>
      <c r="G2640" s="5813">
        <v>0.20833333333333334</v>
      </c>
      <c r="H2640" s="21" t="s">
        <v>10</v>
      </c>
      <c r="I2640" s="21" t="s">
        <v>55</v>
      </c>
      <c r="J2640" s="21" t="s">
        <v>8777</v>
      </c>
      <c r="K2640" s="5814" t="s">
        <v>8778</v>
      </c>
    </row>
    <row r="2641" spans="1:11">
      <c r="A2641" s="21" t="s">
        <v>2560</v>
      </c>
      <c r="B2641" s="21" t="s">
        <v>8779</v>
      </c>
      <c r="C2641" s="21" t="s">
        <v>8</v>
      </c>
      <c r="D2641" s="21" t="s">
        <v>944</v>
      </c>
      <c r="E2641" s="21" t="s">
        <v>9</v>
      </c>
      <c r="F2641" s="5812">
        <v>3</v>
      </c>
      <c r="G2641" s="5813">
        <v>0.20833333333333334</v>
      </c>
      <c r="H2641" s="21" t="s">
        <v>10</v>
      </c>
      <c r="I2641" s="21" t="s">
        <v>187</v>
      </c>
      <c r="J2641" s="21" t="s">
        <v>8780</v>
      </c>
      <c r="K2641" s="5814" t="s">
        <v>8781</v>
      </c>
    </row>
    <row r="2642" spans="1:11">
      <c r="A2642" s="21" t="s">
        <v>2147</v>
      </c>
      <c r="B2642" s="21" t="s">
        <v>8782</v>
      </c>
      <c r="C2642" s="21" t="s">
        <v>8</v>
      </c>
      <c r="D2642" s="21" t="s">
        <v>944</v>
      </c>
      <c r="E2642" s="21" t="s">
        <v>9</v>
      </c>
      <c r="F2642" s="5812">
        <v>3</v>
      </c>
      <c r="G2642" s="5813">
        <v>0.20833333333333334</v>
      </c>
      <c r="H2642" s="21" t="s">
        <v>10</v>
      </c>
      <c r="I2642" s="21" t="s">
        <v>2153</v>
      </c>
      <c r="J2642" s="21" t="s">
        <v>8783</v>
      </c>
      <c r="K2642" s="5814" t="s">
        <v>8784</v>
      </c>
    </row>
    <row r="2643" spans="1:11">
      <c r="A2643" s="21" t="s">
        <v>2156</v>
      </c>
      <c r="B2643" s="21" t="s">
        <v>8785</v>
      </c>
      <c r="C2643" s="21" t="s">
        <v>22</v>
      </c>
      <c r="D2643" s="21" t="s">
        <v>944</v>
      </c>
      <c r="E2643" s="21" t="s">
        <v>9</v>
      </c>
      <c r="F2643" s="5812">
        <v>3</v>
      </c>
      <c r="G2643" s="5813">
        <v>0.20833333333333334</v>
      </c>
      <c r="H2643" s="21" t="s">
        <v>10</v>
      </c>
      <c r="I2643" s="21" t="s">
        <v>47</v>
      </c>
      <c r="J2643" s="21" t="s">
        <v>8786</v>
      </c>
      <c r="K2643" s="5814" t="s">
        <v>8787</v>
      </c>
    </row>
    <row r="2644" spans="1:11">
      <c r="A2644" s="21" t="s">
        <v>4132</v>
      </c>
      <c r="B2644" s="21" t="s">
        <v>8788</v>
      </c>
      <c r="C2644" s="21" t="s">
        <v>22</v>
      </c>
      <c r="D2644" s="21" t="s">
        <v>944</v>
      </c>
      <c r="E2644" s="21" t="s">
        <v>9</v>
      </c>
      <c r="F2644" s="5812">
        <v>3</v>
      </c>
      <c r="G2644" s="5813">
        <v>0.20833333333333334</v>
      </c>
      <c r="H2644" s="21" t="s">
        <v>10</v>
      </c>
      <c r="I2644" s="21" t="s">
        <v>2747</v>
      </c>
      <c r="J2644" s="21" t="s">
        <v>8789</v>
      </c>
      <c r="K2644" s="5814" t="s">
        <v>8790</v>
      </c>
    </row>
    <row r="2645" spans="1:11">
      <c r="A2645" s="21" t="s">
        <v>4132</v>
      </c>
      <c r="B2645" s="21" t="s">
        <v>8791</v>
      </c>
      <c r="C2645" s="21" t="s">
        <v>22</v>
      </c>
      <c r="D2645" s="21" t="s">
        <v>944</v>
      </c>
      <c r="E2645" s="21" t="s">
        <v>9</v>
      </c>
      <c r="F2645" s="5812">
        <v>3</v>
      </c>
      <c r="G2645" s="5813">
        <v>0.20833333333333334</v>
      </c>
      <c r="H2645" s="21" t="s">
        <v>10</v>
      </c>
      <c r="I2645" s="21" t="s">
        <v>2176</v>
      </c>
      <c r="J2645" s="21" t="s">
        <v>8792</v>
      </c>
      <c r="K2645" s="5814" t="s">
        <v>8793</v>
      </c>
    </row>
    <row r="2646" spans="1:11">
      <c r="A2646" s="21" t="s">
        <v>3208</v>
      </c>
      <c r="B2646" s="21" t="s">
        <v>8794</v>
      </c>
      <c r="C2646" s="21" t="s">
        <v>8</v>
      </c>
      <c r="D2646" s="21" t="s">
        <v>944</v>
      </c>
      <c r="E2646" s="21" t="s">
        <v>9</v>
      </c>
      <c r="F2646" s="5812">
        <v>3</v>
      </c>
      <c r="G2646" s="5813">
        <v>0.20833333333333334</v>
      </c>
      <c r="H2646" s="21" t="s">
        <v>10</v>
      </c>
      <c r="I2646" s="21" t="s">
        <v>55</v>
      </c>
      <c r="J2646" s="21" t="s">
        <v>8795</v>
      </c>
      <c r="K2646" s="5814" t="s">
        <v>8796</v>
      </c>
    </row>
    <row r="2647" spans="1:11">
      <c r="A2647" s="21" t="s">
        <v>3446</v>
      </c>
      <c r="B2647" s="21" t="s">
        <v>8797</v>
      </c>
      <c r="C2647" s="21" t="s">
        <v>22</v>
      </c>
      <c r="D2647" s="21" t="s">
        <v>944</v>
      </c>
      <c r="E2647" s="21" t="s">
        <v>9</v>
      </c>
      <c r="F2647" s="5812">
        <v>3</v>
      </c>
      <c r="G2647" s="5813">
        <v>0.20833333333333334</v>
      </c>
      <c r="H2647" s="21" t="s">
        <v>10</v>
      </c>
      <c r="I2647" s="21" t="s">
        <v>3448</v>
      </c>
      <c r="J2647" s="21" t="s">
        <v>8798</v>
      </c>
      <c r="K2647" s="5814" t="s">
        <v>8799</v>
      </c>
    </row>
    <row r="2648" spans="1:11">
      <c r="A2648" s="21" t="s">
        <v>3728</v>
      </c>
      <c r="B2648" s="21" t="s">
        <v>8800</v>
      </c>
      <c r="C2648" s="21" t="s">
        <v>8</v>
      </c>
      <c r="D2648" s="21" t="s">
        <v>944</v>
      </c>
      <c r="E2648" s="21" t="s">
        <v>9</v>
      </c>
      <c r="F2648" s="5812">
        <v>3</v>
      </c>
      <c r="G2648" s="5813">
        <v>0.20833333333333334</v>
      </c>
      <c r="H2648" s="21" t="s">
        <v>10</v>
      </c>
      <c r="I2648" s="21"/>
      <c r="J2648" s="21" t="s">
        <v>8801</v>
      </c>
      <c r="K2648" s="5814" t="s">
        <v>8802</v>
      </c>
    </row>
    <row r="2649" spans="1:11">
      <c r="A2649" s="21" t="s">
        <v>2169</v>
      </c>
      <c r="B2649" s="21" t="s">
        <v>8803</v>
      </c>
      <c r="C2649" s="21" t="s">
        <v>22</v>
      </c>
      <c r="D2649" s="21" t="s">
        <v>944</v>
      </c>
      <c r="E2649" s="21" t="s">
        <v>9</v>
      </c>
      <c r="F2649" s="5812">
        <v>3</v>
      </c>
      <c r="G2649" s="5813">
        <v>0.20833333333333334</v>
      </c>
      <c r="H2649" s="21" t="s">
        <v>10</v>
      </c>
      <c r="I2649" s="21" t="s">
        <v>96</v>
      </c>
      <c r="J2649" s="21" t="s">
        <v>8804</v>
      </c>
      <c r="K2649" s="5814" t="s">
        <v>8805</v>
      </c>
    </row>
    <row r="2650" spans="1:11">
      <c r="A2650" s="21" t="s">
        <v>2169</v>
      </c>
      <c r="B2650" s="21" t="s">
        <v>8806</v>
      </c>
      <c r="C2650" s="21" t="s">
        <v>8</v>
      </c>
      <c r="D2650" s="21" t="s">
        <v>944</v>
      </c>
      <c r="E2650" s="21" t="s">
        <v>9</v>
      </c>
      <c r="F2650" s="5812">
        <v>3</v>
      </c>
      <c r="G2650" s="5813">
        <v>0.20833333333333334</v>
      </c>
      <c r="H2650" s="21" t="s">
        <v>10</v>
      </c>
      <c r="I2650" s="21" t="s">
        <v>89</v>
      </c>
      <c r="J2650" s="21" t="s">
        <v>8807</v>
      </c>
      <c r="K2650" s="5814" t="s">
        <v>8808</v>
      </c>
    </row>
    <row r="2651" spans="1:11">
      <c r="A2651" s="21" t="s">
        <v>2595</v>
      </c>
      <c r="B2651" s="21" t="s">
        <v>8809</v>
      </c>
      <c r="C2651" s="21" t="s">
        <v>8</v>
      </c>
      <c r="D2651" s="21" t="s">
        <v>944</v>
      </c>
      <c r="E2651" s="21" t="s">
        <v>9</v>
      </c>
      <c r="F2651" s="5812">
        <v>3</v>
      </c>
      <c r="G2651" s="5813">
        <v>0.20833333333333334</v>
      </c>
      <c r="H2651" s="21" t="s">
        <v>10</v>
      </c>
      <c r="I2651" s="21" t="s">
        <v>55</v>
      </c>
      <c r="J2651" s="21" t="s">
        <v>8810</v>
      </c>
      <c r="K2651" s="5814" t="s">
        <v>8811</v>
      </c>
    </row>
    <row r="2652" spans="1:11">
      <c r="A2652" s="21" t="s">
        <v>2605</v>
      </c>
      <c r="B2652" s="21" t="s">
        <v>8812</v>
      </c>
      <c r="C2652" s="21" t="s">
        <v>8</v>
      </c>
      <c r="D2652" s="21" t="s">
        <v>944</v>
      </c>
      <c r="E2652" s="21" t="s">
        <v>9</v>
      </c>
      <c r="F2652" s="5812">
        <v>3</v>
      </c>
      <c r="G2652" s="5813">
        <v>0.20833333333333334</v>
      </c>
      <c r="H2652" s="21" t="s">
        <v>10</v>
      </c>
      <c r="I2652" s="21" t="s">
        <v>2692</v>
      </c>
      <c r="J2652" s="21" t="s">
        <v>8813</v>
      </c>
      <c r="K2652" s="5814" t="s">
        <v>8814</v>
      </c>
    </row>
    <row r="2653" spans="1:11">
      <c r="A2653" s="21" t="s">
        <v>2605</v>
      </c>
      <c r="B2653" s="21" t="s">
        <v>8815</v>
      </c>
      <c r="C2653" s="21" t="s">
        <v>8</v>
      </c>
      <c r="D2653" s="21" t="s">
        <v>944</v>
      </c>
      <c r="E2653" s="21" t="s">
        <v>9</v>
      </c>
      <c r="F2653" s="5812">
        <v>3</v>
      </c>
      <c r="G2653" s="5813">
        <v>0.20833333333333334</v>
      </c>
      <c r="H2653" s="21" t="s">
        <v>10</v>
      </c>
      <c r="I2653" s="21" t="s">
        <v>226</v>
      </c>
      <c r="J2653" s="21" t="s">
        <v>8816</v>
      </c>
      <c r="K2653" s="5814" t="s">
        <v>8817</v>
      </c>
    </row>
    <row r="2654" spans="1:11">
      <c r="A2654" s="21" t="s">
        <v>2609</v>
      </c>
      <c r="B2654" s="21" t="s">
        <v>8818</v>
      </c>
      <c r="C2654" s="21" t="s">
        <v>22</v>
      </c>
      <c r="D2654" s="21" t="s">
        <v>944</v>
      </c>
      <c r="E2654" s="21" t="s">
        <v>9</v>
      </c>
      <c r="F2654" s="5812">
        <v>3</v>
      </c>
      <c r="G2654" s="5813">
        <v>0.20833333333333334</v>
      </c>
      <c r="H2654" s="21" t="s">
        <v>10</v>
      </c>
      <c r="I2654" s="21" t="s">
        <v>47</v>
      </c>
      <c r="J2654" s="21" t="s">
        <v>8819</v>
      </c>
      <c r="K2654" s="5814" t="s">
        <v>8820</v>
      </c>
    </row>
    <row r="2655" spans="1:11">
      <c r="A2655" s="21" t="s">
        <v>4711</v>
      </c>
      <c r="B2655" s="21" t="s">
        <v>8821</v>
      </c>
      <c r="C2655" s="21" t="s">
        <v>22</v>
      </c>
      <c r="D2655" s="21" t="s">
        <v>944</v>
      </c>
      <c r="E2655" s="21" t="s">
        <v>9</v>
      </c>
      <c r="F2655" s="5812">
        <v>3</v>
      </c>
      <c r="G2655" s="5813">
        <v>0.20833333333333334</v>
      </c>
      <c r="H2655" s="21" t="s">
        <v>10</v>
      </c>
      <c r="I2655" s="21" t="s">
        <v>194</v>
      </c>
      <c r="J2655" s="21" t="s">
        <v>8822</v>
      </c>
      <c r="K2655" s="5814" t="s">
        <v>8823</v>
      </c>
    </row>
    <row r="2656" spans="1:11">
      <c r="A2656" s="21" t="s">
        <v>2616</v>
      </c>
      <c r="B2656" s="21" t="s">
        <v>8824</v>
      </c>
      <c r="C2656" s="21" t="s">
        <v>8</v>
      </c>
      <c r="D2656" s="21" t="s">
        <v>944</v>
      </c>
      <c r="E2656" s="21" t="s">
        <v>9</v>
      </c>
      <c r="F2656" s="5812">
        <v>3</v>
      </c>
      <c r="G2656" s="5813">
        <v>0.20833333333333334</v>
      </c>
      <c r="H2656" s="21" t="s">
        <v>10</v>
      </c>
      <c r="I2656" s="21" t="s">
        <v>194</v>
      </c>
      <c r="J2656" s="21" t="s">
        <v>8825</v>
      </c>
      <c r="K2656" s="5814" t="s">
        <v>8826</v>
      </c>
    </row>
    <row r="2657" spans="1:11">
      <c r="A2657" s="21" t="s">
        <v>2616</v>
      </c>
      <c r="B2657" s="21" t="s">
        <v>8827</v>
      </c>
      <c r="C2657" s="21" t="s">
        <v>22</v>
      </c>
      <c r="D2657" s="21" t="s">
        <v>944</v>
      </c>
      <c r="E2657" s="21" t="s">
        <v>9</v>
      </c>
      <c r="F2657" s="5812">
        <v>3</v>
      </c>
      <c r="G2657" s="5813">
        <v>0.20833333333333334</v>
      </c>
      <c r="H2657" s="21" t="s">
        <v>10</v>
      </c>
      <c r="I2657" s="21" t="s">
        <v>194</v>
      </c>
      <c r="J2657" s="21" t="s">
        <v>8828</v>
      </c>
      <c r="K2657" s="5814" t="s">
        <v>8829</v>
      </c>
    </row>
    <row r="2658" spans="1:11">
      <c r="A2658" s="21" t="s">
        <v>4177</v>
      </c>
      <c r="B2658" s="21" t="s">
        <v>8830</v>
      </c>
      <c r="C2658" s="21" t="s">
        <v>8</v>
      </c>
      <c r="D2658" s="21" t="s">
        <v>944</v>
      </c>
      <c r="E2658" s="21" t="s">
        <v>9</v>
      </c>
      <c r="F2658" s="5812">
        <v>3</v>
      </c>
      <c r="G2658" s="5813">
        <v>0.20833333333333334</v>
      </c>
      <c r="H2658" s="21" t="s">
        <v>10</v>
      </c>
      <c r="I2658" s="21" t="s">
        <v>55</v>
      </c>
      <c r="J2658" s="21" t="s">
        <v>8831</v>
      </c>
      <c r="K2658" s="5814" t="s">
        <v>8832</v>
      </c>
    </row>
    <row r="2659" spans="1:11">
      <c r="A2659" s="21" t="s">
        <v>3323</v>
      </c>
      <c r="B2659" s="21" t="s">
        <v>8833</v>
      </c>
      <c r="C2659" s="21" t="s">
        <v>22</v>
      </c>
      <c r="D2659" s="21" t="s">
        <v>944</v>
      </c>
      <c r="E2659" s="21" t="s">
        <v>9</v>
      </c>
      <c r="F2659" s="5812">
        <v>3</v>
      </c>
      <c r="G2659" s="5813">
        <v>0.20833333333333334</v>
      </c>
      <c r="H2659" s="21" t="s">
        <v>10</v>
      </c>
      <c r="I2659" s="21" t="s">
        <v>55</v>
      </c>
      <c r="J2659" s="21" t="s">
        <v>8834</v>
      </c>
      <c r="K2659" s="5814" t="s">
        <v>8835</v>
      </c>
    </row>
    <row r="2660" spans="1:11">
      <c r="A2660" s="21" t="s">
        <v>2655</v>
      </c>
      <c r="B2660" s="21" t="s">
        <v>8836</v>
      </c>
      <c r="C2660" s="21" t="s">
        <v>8</v>
      </c>
      <c r="D2660" s="21" t="s">
        <v>944</v>
      </c>
      <c r="E2660" s="21" t="s">
        <v>9</v>
      </c>
      <c r="F2660" s="5812">
        <v>3</v>
      </c>
      <c r="G2660" s="5813">
        <v>0.20833333333333334</v>
      </c>
      <c r="H2660" s="21" t="s">
        <v>10</v>
      </c>
      <c r="I2660" s="21" t="s">
        <v>55</v>
      </c>
      <c r="J2660" s="21" t="s">
        <v>8837</v>
      </c>
      <c r="K2660" s="5814" t="s">
        <v>8838</v>
      </c>
    </row>
    <row r="2661" spans="1:11">
      <c r="A2661" s="21" t="s">
        <v>2663</v>
      </c>
      <c r="B2661" s="21" t="s">
        <v>8839</v>
      </c>
      <c r="C2661" s="21" t="s">
        <v>22</v>
      </c>
      <c r="D2661" s="21" t="s">
        <v>944</v>
      </c>
      <c r="E2661" s="21" t="s">
        <v>9</v>
      </c>
      <c r="F2661" s="5812">
        <v>3</v>
      </c>
      <c r="G2661" s="5813">
        <v>0.20833333333333334</v>
      </c>
      <c r="H2661" s="21" t="s">
        <v>10</v>
      </c>
      <c r="I2661" s="21" t="s">
        <v>11</v>
      </c>
      <c r="J2661" s="21" t="s">
        <v>8840</v>
      </c>
      <c r="K2661" s="5814" t="s">
        <v>8841</v>
      </c>
    </row>
    <row r="2662" spans="1:11">
      <c r="A2662" s="21" t="s">
        <v>3364</v>
      </c>
      <c r="B2662" s="21" t="s">
        <v>8842</v>
      </c>
      <c r="C2662" s="21" t="s">
        <v>22</v>
      </c>
      <c r="D2662" s="21" t="s">
        <v>944</v>
      </c>
      <c r="E2662" s="21" t="s">
        <v>9</v>
      </c>
      <c r="F2662" s="5812">
        <v>3</v>
      </c>
      <c r="G2662" s="5813">
        <v>0.20833333333333334</v>
      </c>
      <c r="H2662" s="21" t="s">
        <v>10</v>
      </c>
      <c r="I2662" s="21" t="s">
        <v>11</v>
      </c>
      <c r="J2662" s="21" t="s">
        <v>8843</v>
      </c>
      <c r="K2662" s="5814" t="s">
        <v>8844</v>
      </c>
    </row>
    <row r="2663" spans="1:11">
      <c r="A2663" s="21" t="s">
        <v>3741</v>
      </c>
      <c r="B2663" s="21" t="s">
        <v>8845</v>
      </c>
      <c r="C2663" s="21" t="s">
        <v>8</v>
      </c>
      <c r="D2663" s="21" t="s">
        <v>944</v>
      </c>
      <c r="E2663" s="21" t="s">
        <v>9</v>
      </c>
      <c r="F2663" s="5812">
        <v>3</v>
      </c>
      <c r="G2663" s="5813">
        <v>0.20833333333333334</v>
      </c>
      <c r="H2663" s="21" t="s">
        <v>10</v>
      </c>
      <c r="I2663" s="21" t="s">
        <v>2872</v>
      </c>
      <c r="J2663" s="21" t="s">
        <v>8846</v>
      </c>
      <c r="K2663" s="5814" t="s">
        <v>8847</v>
      </c>
    </row>
    <row r="2664" spans="1:11">
      <c r="A2664" s="21" t="s">
        <v>2197</v>
      </c>
      <c r="B2664" s="21" t="s">
        <v>8848</v>
      </c>
      <c r="C2664" s="21" t="s">
        <v>8</v>
      </c>
      <c r="D2664" s="21" t="s">
        <v>944</v>
      </c>
      <c r="E2664" s="21" t="s">
        <v>9</v>
      </c>
      <c r="F2664" s="5812">
        <v>3</v>
      </c>
      <c r="G2664" s="5813">
        <v>0.20833333333333334</v>
      </c>
      <c r="H2664" s="21" t="s">
        <v>10</v>
      </c>
      <c r="I2664" s="21" t="s">
        <v>400</v>
      </c>
      <c r="J2664" s="21" t="s">
        <v>8849</v>
      </c>
      <c r="K2664" s="5814" t="s">
        <v>8850</v>
      </c>
    </row>
    <row r="2665" spans="1:11">
      <c r="A2665" s="21" t="s">
        <v>3089</v>
      </c>
      <c r="B2665" s="21" t="s">
        <v>8851</v>
      </c>
      <c r="C2665" s="21" t="s">
        <v>8</v>
      </c>
      <c r="D2665" s="21" t="s">
        <v>944</v>
      </c>
      <c r="E2665" s="21" t="s">
        <v>9</v>
      </c>
      <c r="F2665" s="5812">
        <v>3</v>
      </c>
      <c r="G2665" s="5813">
        <v>0.20833333333333334</v>
      </c>
      <c r="H2665" s="21" t="s">
        <v>10</v>
      </c>
      <c r="I2665" s="21" t="s">
        <v>3278</v>
      </c>
      <c r="J2665" s="21" t="s">
        <v>8852</v>
      </c>
      <c r="K2665" s="5814" t="s">
        <v>8853</v>
      </c>
    </row>
    <row r="2666" spans="1:11">
      <c r="A2666" s="21" t="s">
        <v>2201</v>
      </c>
      <c r="B2666" s="21" t="s">
        <v>8854</v>
      </c>
      <c r="C2666" s="21" t="s">
        <v>8</v>
      </c>
      <c r="D2666" s="21" t="s">
        <v>944</v>
      </c>
      <c r="E2666" s="21" t="s">
        <v>9</v>
      </c>
      <c r="F2666" s="5812">
        <v>3</v>
      </c>
      <c r="G2666" s="5813">
        <v>0.20833333333333334</v>
      </c>
      <c r="H2666" s="21" t="s">
        <v>10</v>
      </c>
      <c r="I2666" s="21" t="s">
        <v>89</v>
      </c>
      <c r="J2666" s="21" t="s">
        <v>8855</v>
      </c>
      <c r="K2666" s="5814" t="s">
        <v>8856</v>
      </c>
    </row>
    <row r="2667" spans="1:11">
      <c r="A2667" s="21" t="s">
        <v>2698</v>
      </c>
      <c r="B2667" s="21" t="s">
        <v>8857</v>
      </c>
      <c r="C2667" s="21" t="s">
        <v>22</v>
      </c>
      <c r="D2667" s="21" t="s">
        <v>944</v>
      </c>
      <c r="E2667" s="21" t="s">
        <v>9</v>
      </c>
      <c r="F2667" s="5812">
        <v>3</v>
      </c>
      <c r="G2667" s="5813">
        <v>0.20833333333333334</v>
      </c>
      <c r="H2667" s="21" t="s">
        <v>10</v>
      </c>
      <c r="I2667" s="21" t="s">
        <v>2523</v>
      </c>
      <c r="J2667" s="21" t="s">
        <v>8858</v>
      </c>
      <c r="K2667" s="5814" t="s">
        <v>8859</v>
      </c>
    </row>
    <row r="2668" spans="1:11">
      <c r="A2668" s="21" t="s">
        <v>3761</v>
      </c>
      <c r="B2668" s="21" t="s">
        <v>8860</v>
      </c>
      <c r="C2668" s="21" t="s">
        <v>8</v>
      </c>
      <c r="D2668" s="21" t="s">
        <v>944</v>
      </c>
      <c r="E2668" s="21" t="s">
        <v>9</v>
      </c>
      <c r="F2668" s="5812">
        <v>3</v>
      </c>
      <c r="G2668" s="5813">
        <v>0.20833333333333334</v>
      </c>
      <c r="H2668" s="21" t="s">
        <v>10</v>
      </c>
      <c r="I2668" s="21" t="s">
        <v>2544</v>
      </c>
      <c r="J2668" s="21" t="s">
        <v>8861</v>
      </c>
      <c r="K2668" s="5814" t="s">
        <v>8862</v>
      </c>
    </row>
    <row r="2669" spans="1:11">
      <c r="A2669" s="21" t="s">
        <v>2212</v>
      </c>
      <c r="B2669" s="21" t="s">
        <v>8863</v>
      </c>
      <c r="C2669" s="21" t="s">
        <v>8</v>
      </c>
      <c r="D2669" s="21" t="s">
        <v>944</v>
      </c>
      <c r="E2669" s="21" t="s">
        <v>9</v>
      </c>
      <c r="F2669" s="5812">
        <v>3</v>
      </c>
      <c r="G2669" s="5813">
        <v>0.20833333333333334</v>
      </c>
      <c r="H2669" s="21" t="s">
        <v>10</v>
      </c>
      <c r="I2669" s="21" t="s">
        <v>39</v>
      </c>
      <c r="J2669" s="21" t="s">
        <v>8864</v>
      </c>
      <c r="K2669" s="5814" t="s">
        <v>8865</v>
      </c>
    </row>
    <row r="2670" spans="1:11">
      <c r="A2670" s="21" t="s">
        <v>3532</v>
      </c>
      <c r="B2670" s="21" t="s">
        <v>8866</v>
      </c>
      <c r="C2670" s="21" t="s">
        <v>8</v>
      </c>
      <c r="D2670" s="21" t="s">
        <v>944</v>
      </c>
      <c r="E2670" s="21" t="s">
        <v>9</v>
      </c>
      <c r="F2670" s="5812">
        <v>3</v>
      </c>
      <c r="G2670" s="5813">
        <v>0.20833333333333334</v>
      </c>
      <c r="H2670" s="21" t="s">
        <v>10</v>
      </c>
      <c r="I2670" s="21" t="s">
        <v>2713</v>
      </c>
      <c r="J2670" s="21" t="s">
        <v>8867</v>
      </c>
      <c r="K2670" s="5814" t="s">
        <v>8868</v>
      </c>
    </row>
    <row r="2671" spans="1:11">
      <c r="A2671" s="21" t="s">
        <v>3213</v>
      </c>
      <c r="B2671" s="21" t="s">
        <v>8869</v>
      </c>
      <c r="C2671" s="21" t="s">
        <v>8</v>
      </c>
      <c r="D2671" s="21" t="s">
        <v>944</v>
      </c>
      <c r="E2671" s="21" t="s">
        <v>9</v>
      </c>
      <c r="F2671" s="5812">
        <v>3</v>
      </c>
      <c r="G2671" s="5813">
        <v>0.20833333333333334</v>
      </c>
      <c r="H2671" s="21" t="s">
        <v>10</v>
      </c>
      <c r="I2671" s="21" t="s">
        <v>2713</v>
      </c>
      <c r="J2671" s="21" t="s">
        <v>8870</v>
      </c>
      <c r="K2671" s="5814" t="s">
        <v>8871</v>
      </c>
    </row>
    <row r="2672" spans="1:11">
      <c r="A2672" s="21" t="s">
        <v>3213</v>
      </c>
      <c r="B2672" s="21" t="s">
        <v>8872</v>
      </c>
      <c r="C2672" s="21" t="s">
        <v>22</v>
      </c>
      <c r="D2672" s="21" t="s">
        <v>944</v>
      </c>
      <c r="E2672" s="21" t="s">
        <v>9</v>
      </c>
      <c r="F2672" s="5812">
        <v>3</v>
      </c>
      <c r="G2672" s="5813">
        <v>0.20833333333333334</v>
      </c>
      <c r="H2672" s="21" t="s">
        <v>10</v>
      </c>
      <c r="I2672" s="21" t="s">
        <v>2313</v>
      </c>
      <c r="J2672" s="21" t="s">
        <v>7605</v>
      </c>
      <c r="K2672" s="5814" t="s">
        <v>8873</v>
      </c>
    </row>
    <row r="2673" spans="1:11">
      <c r="A2673" s="21" t="s">
        <v>2221</v>
      </c>
      <c r="B2673" s="21" t="s">
        <v>8874</v>
      </c>
      <c r="C2673" s="21" t="s">
        <v>22</v>
      </c>
      <c r="D2673" s="21" t="s">
        <v>944</v>
      </c>
      <c r="E2673" s="21" t="s">
        <v>9</v>
      </c>
      <c r="F2673" s="5812">
        <v>3</v>
      </c>
      <c r="G2673" s="5813">
        <v>0.20833333333333334</v>
      </c>
      <c r="H2673" s="21" t="s">
        <v>10</v>
      </c>
      <c r="I2673" s="21" t="s">
        <v>23</v>
      </c>
      <c r="J2673" s="21" t="s">
        <v>8875</v>
      </c>
      <c r="K2673" s="5814" t="s">
        <v>8876</v>
      </c>
    </row>
    <row r="2674" spans="1:11">
      <c r="A2674" s="21" t="s">
        <v>2772</v>
      </c>
      <c r="B2674" s="21" t="s">
        <v>8877</v>
      </c>
      <c r="C2674" s="21" t="s">
        <v>8</v>
      </c>
      <c r="D2674" s="21" t="s">
        <v>944</v>
      </c>
      <c r="E2674" s="21" t="s">
        <v>9</v>
      </c>
      <c r="F2674" s="5812">
        <v>3</v>
      </c>
      <c r="G2674" s="5813">
        <v>0.20833333333333334</v>
      </c>
      <c r="H2674" s="21" t="s">
        <v>10</v>
      </c>
      <c r="I2674" s="21" t="s">
        <v>2814</v>
      </c>
      <c r="J2674" s="21" t="s">
        <v>8878</v>
      </c>
      <c r="K2674" s="5814" t="s">
        <v>8879</v>
      </c>
    </row>
    <row r="2675" spans="1:11">
      <c r="A2675" s="21" t="s">
        <v>4313</v>
      </c>
      <c r="B2675" s="21" t="s">
        <v>8880</v>
      </c>
      <c r="C2675" s="21" t="s">
        <v>8</v>
      </c>
      <c r="D2675" s="21" t="s">
        <v>944</v>
      </c>
      <c r="E2675" s="21" t="s">
        <v>9</v>
      </c>
      <c r="F2675" s="5812">
        <v>3</v>
      </c>
      <c r="G2675" s="5813">
        <v>0.20833333333333334</v>
      </c>
      <c r="H2675" s="21" t="s">
        <v>10</v>
      </c>
      <c r="I2675" s="21" t="s">
        <v>47</v>
      </c>
      <c r="J2675" s="21" t="s">
        <v>8881</v>
      </c>
      <c r="K2675" s="5814" t="s">
        <v>8882</v>
      </c>
    </row>
    <row r="2676" spans="1:11">
      <c r="A2676" s="21" t="s">
        <v>3651</v>
      </c>
      <c r="B2676" s="21" t="s">
        <v>8883</v>
      </c>
      <c r="C2676" s="21" t="s">
        <v>22</v>
      </c>
      <c r="D2676" s="21" t="s">
        <v>944</v>
      </c>
      <c r="E2676" s="21" t="s">
        <v>9</v>
      </c>
      <c r="F2676" s="5812">
        <v>3</v>
      </c>
      <c r="G2676" s="5813">
        <v>0.20833333333333334</v>
      </c>
      <c r="H2676" s="21" t="s">
        <v>10</v>
      </c>
      <c r="I2676" s="21" t="s">
        <v>6561</v>
      </c>
      <c r="J2676" s="21" t="s">
        <v>8884</v>
      </c>
      <c r="K2676" s="5814" t="s">
        <v>8885</v>
      </c>
    </row>
    <row r="2677" spans="1:11">
      <c r="A2677" s="21" t="s">
        <v>2229</v>
      </c>
      <c r="B2677" s="21" t="s">
        <v>8886</v>
      </c>
      <c r="C2677" s="21" t="s">
        <v>8</v>
      </c>
      <c r="D2677" s="21" t="s">
        <v>944</v>
      </c>
      <c r="E2677" s="21" t="s">
        <v>9</v>
      </c>
      <c r="F2677" s="5812">
        <v>3</v>
      </c>
      <c r="G2677" s="5813">
        <v>0.20833333333333334</v>
      </c>
      <c r="H2677" s="21" t="s">
        <v>10</v>
      </c>
      <c r="I2677" s="21" t="s">
        <v>233</v>
      </c>
      <c r="J2677" s="21" t="s">
        <v>8887</v>
      </c>
      <c r="K2677" s="5814" t="s">
        <v>8888</v>
      </c>
    </row>
    <row r="2678" spans="1:11">
      <c r="A2678" s="21" t="s">
        <v>2776</v>
      </c>
      <c r="B2678" s="21" t="s">
        <v>8889</v>
      </c>
      <c r="C2678" s="21" t="s">
        <v>8</v>
      </c>
      <c r="D2678" s="21" t="s">
        <v>944</v>
      </c>
      <c r="E2678" s="21" t="s">
        <v>9</v>
      </c>
      <c r="F2678" s="5812">
        <v>3</v>
      </c>
      <c r="G2678" s="5813">
        <v>0.20833333333333334</v>
      </c>
      <c r="H2678" s="21" t="s">
        <v>10</v>
      </c>
      <c r="I2678" s="21" t="s">
        <v>2523</v>
      </c>
      <c r="J2678" s="21" t="s">
        <v>8890</v>
      </c>
      <c r="K2678" s="5814" t="s">
        <v>8891</v>
      </c>
    </row>
    <row r="2679" spans="1:11">
      <c r="A2679" s="21" t="s">
        <v>2780</v>
      </c>
      <c r="B2679" s="21" t="s">
        <v>8892</v>
      </c>
      <c r="C2679" s="21" t="s">
        <v>8</v>
      </c>
      <c r="D2679" s="21" t="s">
        <v>944</v>
      </c>
      <c r="E2679" s="21" t="s">
        <v>9</v>
      </c>
      <c r="F2679" s="5812">
        <v>3</v>
      </c>
      <c r="G2679" s="5813">
        <v>0.20833333333333334</v>
      </c>
      <c r="H2679" s="21" t="s">
        <v>10</v>
      </c>
      <c r="I2679" s="21" t="s">
        <v>2297</v>
      </c>
      <c r="J2679" s="21" t="s">
        <v>8893</v>
      </c>
      <c r="K2679" s="5814" t="s">
        <v>8894</v>
      </c>
    </row>
    <row r="2680" spans="1:11">
      <c r="A2680" s="21" t="s">
        <v>2792</v>
      </c>
      <c r="B2680" s="21" t="s">
        <v>8895</v>
      </c>
      <c r="C2680" s="21" t="s">
        <v>8</v>
      </c>
      <c r="D2680" s="21" t="s">
        <v>944</v>
      </c>
      <c r="E2680" s="21" t="s">
        <v>9</v>
      </c>
      <c r="F2680" s="5812">
        <v>3</v>
      </c>
      <c r="G2680" s="5813">
        <v>0.20833333333333334</v>
      </c>
      <c r="H2680" s="21" t="s">
        <v>10</v>
      </c>
      <c r="I2680" s="21" t="s">
        <v>8044</v>
      </c>
      <c r="J2680" s="21" t="s">
        <v>8896</v>
      </c>
      <c r="K2680" s="5814" t="s">
        <v>8897</v>
      </c>
    </row>
    <row r="2681" spans="1:11">
      <c r="A2681" s="21" t="s">
        <v>2792</v>
      </c>
      <c r="B2681" s="21" t="s">
        <v>8898</v>
      </c>
      <c r="C2681" s="21" t="s">
        <v>8</v>
      </c>
      <c r="D2681" s="21" t="s">
        <v>944</v>
      </c>
      <c r="E2681" s="21" t="s">
        <v>9</v>
      </c>
      <c r="F2681" s="5812">
        <v>3</v>
      </c>
      <c r="G2681" s="5813">
        <v>0.20833333333333334</v>
      </c>
      <c r="H2681" s="21" t="s">
        <v>10</v>
      </c>
      <c r="I2681" s="21" t="s">
        <v>11</v>
      </c>
      <c r="J2681" s="21" t="s">
        <v>8899</v>
      </c>
      <c r="K2681" s="5814" t="s">
        <v>8900</v>
      </c>
    </row>
    <row r="2682" spans="1:11">
      <c r="A2682" s="21" t="s">
        <v>3783</v>
      </c>
      <c r="B2682" s="21" t="s">
        <v>8901</v>
      </c>
      <c r="C2682" s="21" t="s">
        <v>8</v>
      </c>
      <c r="D2682" s="21" t="s">
        <v>944</v>
      </c>
      <c r="E2682" s="21" t="s">
        <v>9</v>
      </c>
      <c r="F2682" s="5812">
        <v>3</v>
      </c>
      <c r="G2682" s="5813">
        <v>0.20833333333333334</v>
      </c>
      <c r="H2682" s="21" t="s">
        <v>10</v>
      </c>
      <c r="I2682" s="21" t="s">
        <v>2872</v>
      </c>
      <c r="J2682" s="21" t="s">
        <v>8902</v>
      </c>
      <c r="K2682" s="5814" t="s">
        <v>8903</v>
      </c>
    </row>
    <row r="2683" spans="1:11">
      <c r="A2683" s="21" t="s">
        <v>2237</v>
      </c>
      <c r="B2683" s="21" t="s">
        <v>8904</v>
      </c>
      <c r="C2683" s="21" t="s">
        <v>22</v>
      </c>
      <c r="D2683" s="21" t="s">
        <v>944</v>
      </c>
      <c r="E2683" s="21" t="s">
        <v>9</v>
      </c>
      <c r="F2683" s="5812">
        <v>3</v>
      </c>
      <c r="G2683" s="5813">
        <v>0.20833333333333334</v>
      </c>
      <c r="H2683" s="21" t="s">
        <v>10</v>
      </c>
      <c r="I2683" s="21" t="s">
        <v>55</v>
      </c>
      <c r="J2683" s="21" t="s">
        <v>8905</v>
      </c>
      <c r="K2683" s="5814" t="s">
        <v>8906</v>
      </c>
    </row>
    <row r="2684" spans="1:11">
      <c r="A2684" s="21" t="s">
        <v>2800</v>
      </c>
      <c r="B2684" s="21" t="s">
        <v>8907</v>
      </c>
      <c r="C2684" s="21" t="s">
        <v>8</v>
      </c>
      <c r="D2684" s="21" t="s">
        <v>944</v>
      </c>
      <c r="E2684" s="21" t="s">
        <v>9</v>
      </c>
      <c r="F2684" s="5812">
        <v>3</v>
      </c>
      <c r="G2684" s="5813">
        <v>0.20833333333333334</v>
      </c>
      <c r="H2684" s="21" t="s">
        <v>10</v>
      </c>
      <c r="I2684" s="21" t="s">
        <v>39</v>
      </c>
      <c r="J2684" s="21" t="s">
        <v>8908</v>
      </c>
      <c r="K2684" s="5814" t="s">
        <v>8909</v>
      </c>
    </row>
    <row r="2685" spans="1:11">
      <c r="A2685" s="21" t="s">
        <v>4338</v>
      </c>
      <c r="B2685" s="21" t="s">
        <v>8910</v>
      </c>
      <c r="C2685" s="21" t="s">
        <v>8</v>
      </c>
      <c r="D2685" s="21" t="s">
        <v>944</v>
      </c>
      <c r="E2685" s="21" t="s">
        <v>9</v>
      </c>
      <c r="F2685" s="5812">
        <v>3</v>
      </c>
      <c r="G2685" s="5813">
        <v>0.20833333333333334</v>
      </c>
      <c r="H2685" s="21" t="s">
        <v>10</v>
      </c>
      <c r="I2685" s="21" t="s">
        <v>11</v>
      </c>
      <c r="J2685" s="21" t="s">
        <v>8911</v>
      </c>
      <c r="K2685" s="5814" t="s">
        <v>8912</v>
      </c>
    </row>
    <row r="2686" spans="1:11">
      <c r="A2686" s="21" t="s">
        <v>4338</v>
      </c>
      <c r="B2686" s="21" t="s">
        <v>8913</v>
      </c>
      <c r="C2686" s="21" t="s">
        <v>22</v>
      </c>
      <c r="D2686" s="21" t="s">
        <v>944</v>
      </c>
      <c r="E2686" s="21" t="s">
        <v>9</v>
      </c>
      <c r="F2686" s="5812">
        <v>3</v>
      </c>
      <c r="G2686" s="5813">
        <v>0.20833333333333334</v>
      </c>
      <c r="H2686" s="21" t="s">
        <v>10</v>
      </c>
      <c r="I2686" s="21" t="s">
        <v>194</v>
      </c>
      <c r="J2686" s="21" t="s">
        <v>8914</v>
      </c>
      <c r="K2686" s="5814" t="s">
        <v>8915</v>
      </c>
    </row>
    <row r="2687" spans="1:11">
      <c r="A2687" s="21" t="s">
        <v>4345</v>
      </c>
      <c r="B2687" s="21" t="s">
        <v>8916</v>
      </c>
      <c r="C2687" s="21" t="s">
        <v>8</v>
      </c>
      <c r="D2687" s="21" t="s">
        <v>944</v>
      </c>
      <c r="E2687" s="21" t="s">
        <v>9</v>
      </c>
      <c r="F2687" s="5812">
        <v>3</v>
      </c>
      <c r="G2687" s="5813">
        <v>0.20833333333333334</v>
      </c>
      <c r="H2687" s="21" t="s">
        <v>10</v>
      </c>
      <c r="I2687" s="21" t="s">
        <v>55</v>
      </c>
      <c r="J2687" s="21" t="s">
        <v>8917</v>
      </c>
      <c r="K2687" s="5814" t="s">
        <v>8918</v>
      </c>
    </row>
    <row r="2688" spans="1:11">
      <c r="A2688" s="21" t="s">
        <v>3082</v>
      </c>
      <c r="B2688" s="21" t="s">
        <v>8919</v>
      </c>
      <c r="C2688" s="21" t="s">
        <v>22</v>
      </c>
      <c r="D2688" s="21" t="s">
        <v>944</v>
      </c>
      <c r="E2688" s="21" t="s">
        <v>9</v>
      </c>
      <c r="F2688" s="5812">
        <v>3</v>
      </c>
      <c r="G2688" s="5813">
        <v>0.20833333333333334</v>
      </c>
      <c r="H2688" s="21" t="s">
        <v>10</v>
      </c>
      <c r="I2688" s="21" t="s">
        <v>2247</v>
      </c>
      <c r="J2688" s="21" t="s">
        <v>8920</v>
      </c>
      <c r="K2688" s="5814" t="s">
        <v>8921</v>
      </c>
    </row>
    <row r="2689" spans="1:11">
      <c r="A2689" s="21" t="s">
        <v>2245</v>
      </c>
      <c r="B2689" s="21" t="s">
        <v>8922</v>
      </c>
      <c r="C2689" s="21" t="s">
        <v>8</v>
      </c>
      <c r="D2689" s="21" t="s">
        <v>944</v>
      </c>
      <c r="E2689" s="21" t="s">
        <v>9</v>
      </c>
      <c r="F2689" s="5812">
        <v>3</v>
      </c>
      <c r="G2689" s="5813">
        <v>0.20833333333333334</v>
      </c>
      <c r="H2689" s="21" t="s">
        <v>10</v>
      </c>
      <c r="I2689" s="21" t="s">
        <v>55</v>
      </c>
      <c r="J2689" s="21" t="s">
        <v>8923</v>
      </c>
      <c r="K2689" s="5814" t="s">
        <v>8924</v>
      </c>
    </row>
    <row r="2690" spans="1:11">
      <c r="A2690" s="21" t="s">
        <v>2827</v>
      </c>
      <c r="B2690" s="21" t="s">
        <v>8925</v>
      </c>
      <c r="C2690" s="21" t="s">
        <v>22</v>
      </c>
      <c r="D2690" s="21" t="s">
        <v>944</v>
      </c>
      <c r="E2690" s="21" t="s">
        <v>9</v>
      </c>
      <c r="F2690" s="5812">
        <v>3</v>
      </c>
      <c r="G2690" s="5813">
        <v>0.20833333333333334</v>
      </c>
      <c r="H2690" s="21" t="s">
        <v>10</v>
      </c>
      <c r="I2690" s="21" t="s">
        <v>2713</v>
      </c>
      <c r="J2690" s="21" t="s">
        <v>8926</v>
      </c>
      <c r="K2690" s="5814" t="s">
        <v>8927</v>
      </c>
    </row>
    <row r="2691" spans="1:11">
      <c r="A2691" s="21" t="s">
        <v>3828</v>
      </c>
      <c r="B2691" s="21" t="s">
        <v>8928</v>
      </c>
      <c r="C2691" s="21" t="s">
        <v>8</v>
      </c>
      <c r="D2691" s="21" t="s">
        <v>944</v>
      </c>
      <c r="E2691" s="21" t="s">
        <v>9</v>
      </c>
      <c r="F2691" s="5812">
        <v>3</v>
      </c>
      <c r="G2691" s="5813">
        <v>0.20833333333333334</v>
      </c>
      <c r="H2691" s="21" t="s">
        <v>10</v>
      </c>
      <c r="I2691" s="21" t="s">
        <v>226</v>
      </c>
      <c r="J2691" s="21" t="s">
        <v>8929</v>
      </c>
      <c r="K2691" s="5814" t="s">
        <v>8930</v>
      </c>
    </row>
    <row r="2692" spans="1:11">
      <c r="A2692" s="21" t="s">
        <v>4379</v>
      </c>
      <c r="B2692" s="21" t="s">
        <v>8931</v>
      </c>
      <c r="C2692" s="21" t="s">
        <v>8</v>
      </c>
      <c r="D2692" s="21" t="s">
        <v>944</v>
      </c>
      <c r="E2692" s="21" t="s">
        <v>9</v>
      </c>
      <c r="F2692" s="5812">
        <v>3</v>
      </c>
      <c r="G2692" s="5813">
        <v>0.20833333333333334</v>
      </c>
      <c r="H2692" s="21" t="s">
        <v>10</v>
      </c>
      <c r="I2692" s="21" t="s">
        <v>23</v>
      </c>
      <c r="J2692" s="21" t="s">
        <v>8932</v>
      </c>
      <c r="K2692" s="5814" t="s">
        <v>8933</v>
      </c>
    </row>
    <row r="2693" spans="1:11">
      <c r="A2693" s="21" t="s">
        <v>3458</v>
      </c>
      <c r="B2693" s="21" t="s">
        <v>8934</v>
      </c>
      <c r="C2693" s="21" t="s">
        <v>8</v>
      </c>
      <c r="D2693" s="21" t="s">
        <v>944</v>
      </c>
      <c r="E2693" s="21" t="s">
        <v>9</v>
      </c>
      <c r="F2693" s="5812">
        <v>3</v>
      </c>
      <c r="G2693" s="5813">
        <v>0.20833333333333334</v>
      </c>
      <c r="H2693" s="21" t="s">
        <v>10</v>
      </c>
      <c r="I2693" s="21" t="s">
        <v>2297</v>
      </c>
      <c r="J2693" s="21" t="s">
        <v>8935</v>
      </c>
      <c r="K2693" s="5814" t="s">
        <v>8936</v>
      </c>
    </row>
    <row r="2694" spans="1:11">
      <c r="A2694" s="21" t="s">
        <v>2254</v>
      </c>
      <c r="B2694" s="21" t="s">
        <v>8937</v>
      </c>
      <c r="C2694" s="21" t="s">
        <v>8</v>
      </c>
      <c r="D2694" s="21" t="s">
        <v>944</v>
      </c>
      <c r="E2694" s="21" t="s">
        <v>9</v>
      </c>
      <c r="F2694" s="5812">
        <v>3</v>
      </c>
      <c r="G2694" s="5813">
        <v>0.20833333333333334</v>
      </c>
      <c r="H2694" s="21" t="s">
        <v>10</v>
      </c>
      <c r="I2694" s="21" t="s">
        <v>55</v>
      </c>
      <c r="J2694" s="21" t="s">
        <v>8938</v>
      </c>
      <c r="K2694" s="5814" t="s">
        <v>8939</v>
      </c>
    </row>
    <row r="2695" spans="1:11">
      <c r="A2695" s="21" t="s">
        <v>4645</v>
      </c>
      <c r="B2695" s="21" t="s">
        <v>8940</v>
      </c>
      <c r="C2695" s="21" t="s">
        <v>8</v>
      </c>
      <c r="D2695" s="21" t="s">
        <v>944</v>
      </c>
      <c r="E2695" s="21" t="s">
        <v>9</v>
      </c>
      <c r="F2695" s="5812">
        <v>3</v>
      </c>
      <c r="G2695" s="5813">
        <v>0.20833333333333334</v>
      </c>
      <c r="H2695" s="21" t="s">
        <v>10</v>
      </c>
      <c r="I2695" s="21" t="s">
        <v>2297</v>
      </c>
      <c r="J2695" s="21" t="s">
        <v>8941</v>
      </c>
      <c r="K2695" s="5814" t="s">
        <v>8942</v>
      </c>
    </row>
    <row r="2696" spans="1:11">
      <c r="A2696" s="21" t="s">
        <v>2921</v>
      </c>
      <c r="B2696" s="21" t="s">
        <v>8943</v>
      </c>
      <c r="C2696" s="21" t="s">
        <v>22</v>
      </c>
      <c r="D2696" s="21" t="s">
        <v>944</v>
      </c>
      <c r="E2696" s="21" t="s">
        <v>9</v>
      </c>
      <c r="F2696" s="5812">
        <v>3</v>
      </c>
      <c r="G2696" s="5813">
        <v>0.20833333333333334</v>
      </c>
      <c r="H2696" s="21" t="s">
        <v>10</v>
      </c>
      <c r="I2696" s="21" t="s">
        <v>55</v>
      </c>
      <c r="J2696" s="21" t="s">
        <v>8944</v>
      </c>
      <c r="K2696" s="5814" t="s">
        <v>8945</v>
      </c>
    </row>
    <row r="2697" spans="1:11">
      <c r="A2697" s="21" t="s">
        <v>3049</v>
      </c>
      <c r="B2697" s="21" t="s">
        <v>8946</v>
      </c>
      <c r="C2697" s="21" t="s">
        <v>22</v>
      </c>
      <c r="D2697" s="21" t="s">
        <v>944</v>
      </c>
      <c r="E2697" s="21" t="s">
        <v>9</v>
      </c>
      <c r="F2697" s="5812">
        <v>3</v>
      </c>
      <c r="G2697" s="5813">
        <v>0.20833333333333334</v>
      </c>
      <c r="H2697" s="21" t="s">
        <v>10</v>
      </c>
      <c r="I2697" s="21" t="s">
        <v>2523</v>
      </c>
      <c r="J2697" s="21" t="s">
        <v>8947</v>
      </c>
      <c r="K2697" s="5814" t="s">
        <v>8948</v>
      </c>
    </row>
    <row r="2698" spans="1:11">
      <c r="A2698" s="21" t="s">
        <v>2258</v>
      </c>
      <c r="B2698" s="21" t="s">
        <v>8949</v>
      </c>
      <c r="C2698" s="21" t="s">
        <v>8</v>
      </c>
      <c r="D2698" s="21" t="s">
        <v>944</v>
      </c>
      <c r="E2698" s="21" t="s">
        <v>9</v>
      </c>
      <c r="F2698" s="5812">
        <v>3</v>
      </c>
      <c r="G2698" s="5813">
        <v>0.20833333333333334</v>
      </c>
      <c r="H2698" s="21" t="s">
        <v>10</v>
      </c>
      <c r="I2698" s="21" t="s">
        <v>47</v>
      </c>
      <c r="J2698" s="21" t="s">
        <v>8950</v>
      </c>
      <c r="K2698" s="5814" t="s">
        <v>8951</v>
      </c>
    </row>
    <row r="2699" spans="1:11">
      <c r="A2699" s="21" t="s">
        <v>2258</v>
      </c>
      <c r="B2699" s="21" t="s">
        <v>8952</v>
      </c>
      <c r="C2699" s="21" t="s">
        <v>22</v>
      </c>
      <c r="D2699" s="21" t="s">
        <v>944</v>
      </c>
      <c r="E2699" s="21" t="s">
        <v>9</v>
      </c>
      <c r="F2699" s="5812">
        <v>3</v>
      </c>
      <c r="G2699" s="5813">
        <v>0.20833333333333334</v>
      </c>
      <c r="H2699" s="21" t="s">
        <v>10</v>
      </c>
      <c r="I2699" s="21" t="s">
        <v>55</v>
      </c>
      <c r="J2699" s="21" t="s">
        <v>4401</v>
      </c>
      <c r="K2699" s="5814" t="s">
        <v>8953</v>
      </c>
    </row>
    <row r="2700" spans="1:11">
      <c r="A2700" s="21" t="s">
        <v>3565</v>
      </c>
      <c r="B2700" s="21" t="s">
        <v>8954</v>
      </c>
      <c r="C2700" s="21" t="s">
        <v>8</v>
      </c>
      <c r="D2700" s="21" t="s">
        <v>944</v>
      </c>
      <c r="E2700" s="21" t="s">
        <v>9</v>
      </c>
      <c r="F2700" s="5812">
        <v>3</v>
      </c>
      <c r="G2700" s="5813">
        <v>0.20833333333333334</v>
      </c>
      <c r="H2700" s="21" t="s">
        <v>10</v>
      </c>
      <c r="I2700" s="21" t="s">
        <v>5776</v>
      </c>
      <c r="J2700" s="21" t="s">
        <v>8955</v>
      </c>
      <c r="K2700" s="5814" t="s">
        <v>8956</v>
      </c>
    </row>
    <row r="2701" spans="1:11">
      <c r="A2701" s="21" t="s">
        <v>3427</v>
      </c>
      <c r="B2701" s="21" t="s">
        <v>8957</v>
      </c>
      <c r="C2701" s="21" t="s">
        <v>22</v>
      </c>
      <c r="D2701" s="21" t="s">
        <v>944</v>
      </c>
      <c r="E2701" s="21" t="s">
        <v>9</v>
      </c>
      <c r="F2701" s="5812">
        <v>3</v>
      </c>
      <c r="G2701" s="5813">
        <v>0.20833333333333334</v>
      </c>
      <c r="H2701" s="21" t="s">
        <v>10</v>
      </c>
      <c r="I2701" s="21" t="s">
        <v>47</v>
      </c>
      <c r="J2701" s="21" t="s">
        <v>8958</v>
      </c>
      <c r="K2701" s="5814" t="s">
        <v>8959</v>
      </c>
    </row>
    <row r="2702" spans="1:11">
      <c r="A2702" s="21" t="s">
        <v>5235</v>
      </c>
      <c r="B2702" s="21" t="s">
        <v>8960</v>
      </c>
      <c r="C2702" s="21" t="s">
        <v>22</v>
      </c>
      <c r="D2702" s="21" t="s">
        <v>944</v>
      </c>
      <c r="E2702" s="21" t="s">
        <v>9</v>
      </c>
      <c r="F2702" s="5812">
        <v>3</v>
      </c>
      <c r="G2702" s="5813">
        <v>0.20833333333333334</v>
      </c>
      <c r="H2702" s="21" t="s">
        <v>10</v>
      </c>
      <c r="I2702" s="21" t="s">
        <v>2269</v>
      </c>
      <c r="J2702" s="21" t="s">
        <v>8961</v>
      </c>
      <c r="K2702" s="5814" t="s">
        <v>8962</v>
      </c>
    </row>
    <row r="2703" spans="1:11">
      <c r="A2703" s="21" t="s">
        <v>5235</v>
      </c>
      <c r="B2703" s="21" t="s">
        <v>8963</v>
      </c>
      <c r="C2703" s="21" t="s">
        <v>8</v>
      </c>
      <c r="D2703" s="21" t="s">
        <v>944</v>
      </c>
      <c r="E2703" s="21" t="s">
        <v>9</v>
      </c>
      <c r="F2703" s="5812">
        <v>3</v>
      </c>
      <c r="G2703" s="5813">
        <v>0.20833333333333334</v>
      </c>
      <c r="H2703" s="21" t="s">
        <v>10</v>
      </c>
      <c r="I2703" s="21" t="s">
        <v>55</v>
      </c>
      <c r="J2703" s="21" t="s">
        <v>8964</v>
      </c>
      <c r="K2703" s="5814" t="s">
        <v>8965</v>
      </c>
    </row>
    <row r="2704" spans="1:11">
      <c r="A2704" s="21" t="s">
        <v>2276</v>
      </c>
      <c r="B2704" s="21" t="s">
        <v>8966</v>
      </c>
      <c r="C2704" s="21" t="s">
        <v>8</v>
      </c>
      <c r="D2704" s="21" t="s">
        <v>944</v>
      </c>
      <c r="E2704" s="21" t="s">
        <v>9</v>
      </c>
      <c r="F2704" s="5812">
        <v>3</v>
      </c>
      <c r="G2704" s="5813">
        <v>0.20833333333333334</v>
      </c>
      <c r="H2704" s="21" t="s">
        <v>10</v>
      </c>
      <c r="I2704" s="21" t="s">
        <v>2297</v>
      </c>
      <c r="J2704" s="21" t="s">
        <v>8967</v>
      </c>
      <c r="K2704" s="5814" t="s">
        <v>8968</v>
      </c>
    </row>
    <row r="2705" spans="1:11">
      <c r="A2705" s="21" t="s">
        <v>2280</v>
      </c>
      <c r="B2705" s="21" t="s">
        <v>8969</v>
      </c>
      <c r="C2705" s="21" t="s">
        <v>8</v>
      </c>
      <c r="D2705" s="21" t="s">
        <v>944</v>
      </c>
      <c r="E2705" s="21" t="s">
        <v>9</v>
      </c>
      <c r="F2705" s="5812">
        <v>3</v>
      </c>
      <c r="G2705" s="5813">
        <v>0.20833333333333334</v>
      </c>
      <c r="H2705" s="21" t="s">
        <v>10</v>
      </c>
      <c r="I2705" s="21" t="s">
        <v>55</v>
      </c>
      <c r="J2705" s="21" t="s">
        <v>8970</v>
      </c>
      <c r="K2705" s="5814" t="s">
        <v>8971</v>
      </c>
    </row>
    <row r="2706" spans="1:11">
      <c r="A2706" s="21" t="s">
        <v>2878</v>
      </c>
      <c r="B2706" s="21" t="s">
        <v>8972</v>
      </c>
      <c r="C2706" s="21" t="s">
        <v>22</v>
      </c>
      <c r="D2706" s="21" t="s">
        <v>944</v>
      </c>
      <c r="E2706" s="21" t="s">
        <v>9</v>
      </c>
      <c r="F2706" s="5812">
        <v>3</v>
      </c>
      <c r="G2706" s="5813">
        <v>0.20833333333333334</v>
      </c>
      <c r="H2706" s="21" t="s">
        <v>10</v>
      </c>
      <c r="I2706" s="21" t="s">
        <v>5299</v>
      </c>
      <c r="J2706" s="21" t="s">
        <v>8973</v>
      </c>
      <c r="K2706" s="5814" t="s">
        <v>8974</v>
      </c>
    </row>
    <row r="2707" spans="1:11">
      <c r="A2707" s="21" t="s">
        <v>3170</v>
      </c>
      <c r="B2707" s="21" t="s">
        <v>8975</v>
      </c>
      <c r="C2707" s="21" t="s">
        <v>8</v>
      </c>
      <c r="D2707" s="21" t="s">
        <v>944</v>
      </c>
      <c r="E2707" s="21" t="s">
        <v>9</v>
      </c>
      <c r="F2707" s="5812">
        <v>3</v>
      </c>
      <c r="G2707" s="5813">
        <v>0.20833333333333334</v>
      </c>
      <c r="H2707" s="21" t="s">
        <v>10</v>
      </c>
      <c r="I2707" s="21" t="s">
        <v>2660</v>
      </c>
      <c r="J2707" s="21" t="s">
        <v>8976</v>
      </c>
      <c r="K2707" s="5814" t="s">
        <v>8977</v>
      </c>
    </row>
    <row r="2708" spans="1:11">
      <c r="A2708" s="21" t="s">
        <v>3170</v>
      </c>
      <c r="B2708" s="21" t="s">
        <v>8978</v>
      </c>
      <c r="C2708" s="21" t="s">
        <v>8</v>
      </c>
      <c r="D2708" s="21" t="s">
        <v>944</v>
      </c>
      <c r="E2708" s="21" t="s">
        <v>9</v>
      </c>
      <c r="F2708" s="5812">
        <v>3</v>
      </c>
      <c r="G2708" s="5813">
        <v>0.20833333333333334</v>
      </c>
      <c r="H2708" s="21" t="s">
        <v>10</v>
      </c>
      <c r="I2708" s="21" t="s">
        <v>3822</v>
      </c>
      <c r="J2708" s="21" t="s">
        <v>8979</v>
      </c>
      <c r="K2708" s="5814" t="s">
        <v>8980</v>
      </c>
    </row>
    <row r="2709" spans="1:11">
      <c r="A2709" s="21" t="s">
        <v>3056</v>
      </c>
      <c r="B2709" s="21" t="s">
        <v>8981</v>
      </c>
      <c r="C2709" s="21" t="s">
        <v>8</v>
      </c>
      <c r="D2709" s="21" t="s">
        <v>944</v>
      </c>
      <c r="E2709" s="21" t="s">
        <v>9</v>
      </c>
      <c r="F2709" s="5812">
        <v>3</v>
      </c>
      <c r="G2709" s="5813">
        <v>0.20833333333333334</v>
      </c>
      <c r="H2709" s="21" t="s">
        <v>10</v>
      </c>
      <c r="I2709" s="21" t="s">
        <v>400</v>
      </c>
      <c r="J2709" s="21" t="s">
        <v>8982</v>
      </c>
      <c r="K2709" s="5814" t="s">
        <v>8983</v>
      </c>
    </row>
    <row r="2710" spans="1:11">
      <c r="A2710" s="21" t="s">
        <v>177</v>
      </c>
      <c r="B2710" s="21" t="s">
        <v>958</v>
      </c>
      <c r="C2710" s="21" t="s">
        <v>8</v>
      </c>
      <c r="D2710" s="21" t="s">
        <v>944</v>
      </c>
      <c r="E2710" s="21" t="s">
        <v>9</v>
      </c>
      <c r="F2710" s="5812">
        <v>5</v>
      </c>
      <c r="G2710" s="5813">
        <v>0.20833333333333334</v>
      </c>
      <c r="H2710" s="21" t="s">
        <v>54</v>
      </c>
      <c r="I2710" s="21" t="s">
        <v>39</v>
      </c>
      <c r="J2710" s="21" t="s">
        <v>959</v>
      </c>
      <c r="K2710" s="5814" t="s">
        <v>960</v>
      </c>
    </row>
    <row r="2711" spans="1:11">
      <c r="A2711" s="21" t="s">
        <v>3249</v>
      </c>
      <c r="B2711" s="21" t="s">
        <v>8984</v>
      </c>
      <c r="C2711" s="21" t="s">
        <v>22</v>
      </c>
      <c r="D2711" s="21" t="s">
        <v>944</v>
      </c>
      <c r="E2711" s="21" t="s">
        <v>9</v>
      </c>
      <c r="F2711" s="5812">
        <v>5</v>
      </c>
      <c r="G2711" s="5813">
        <v>0.20833333333333334</v>
      </c>
      <c r="H2711" s="21" t="s">
        <v>54</v>
      </c>
      <c r="I2711" s="21" t="s">
        <v>55</v>
      </c>
      <c r="J2711" s="21" t="s">
        <v>8985</v>
      </c>
      <c r="K2711" s="5814" t="s">
        <v>8986</v>
      </c>
    </row>
    <row r="2712" spans="1:11">
      <c r="A2712" s="21" t="s">
        <v>2481</v>
      </c>
      <c r="B2712" s="21" t="s">
        <v>8987</v>
      </c>
      <c r="C2712" s="21" t="s">
        <v>8</v>
      </c>
      <c r="D2712" s="21" t="s">
        <v>944</v>
      </c>
      <c r="E2712" s="21" t="s">
        <v>9</v>
      </c>
      <c r="F2712" s="5812">
        <v>5</v>
      </c>
      <c r="G2712" s="5813">
        <v>0.20833333333333334</v>
      </c>
      <c r="H2712" s="21" t="s">
        <v>54</v>
      </c>
      <c r="I2712" s="21" t="s">
        <v>55</v>
      </c>
      <c r="J2712" s="21" t="s">
        <v>8988</v>
      </c>
      <c r="K2712" s="5814" t="s">
        <v>8989</v>
      </c>
    </row>
    <row r="2713" spans="1:11">
      <c r="A2713" s="21" t="s">
        <v>3643</v>
      </c>
      <c r="B2713" s="21" t="s">
        <v>8990</v>
      </c>
      <c r="C2713" s="21" t="s">
        <v>22</v>
      </c>
      <c r="D2713" s="21" t="s">
        <v>944</v>
      </c>
      <c r="E2713" s="21" t="s">
        <v>9</v>
      </c>
      <c r="F2713" s="5812">
        <v>5</v>
      </c>
      <c r="G2713" s="5813">
        <v>0.20833333333333334</v>
      </c>
      <c r="H2713" s="21" t="s">
        <v>54</v>
      </c>
      <c r="I2713" s="21" t="s">
        <v>55</v>
      </c>
      <c r="J2713" s="21" t="s">
        <v>8991</v>
      </c>
      <c r="K2713" s="5814" t="s">
        <v>8992</v>
      </c>
    </row>
    <row r="2714" spans="1:11">
      <c r="A2714" s="21" t="s">
        <v>3102</v>
      </c>
      <c r="B2714" s="21" t="s">
        <v>8993</v>
      </c>
      <c r="C2714" s="21" t="s">
        <v>8</v>
      </c>
      <c r="D2714" s="21" t="s">
        <v>944</v>
      </c>
      <c r="E2714" s="21" t="s">
        <v>9</v>
      </c>
      <c r="F2714" s="5812">
        <v>5</v>
      </c>
      <c r="G2714" s="5813">
        <v>0.20833333333333334</v>
      </c>
      <c r="H2714" s="21" t="s">
        <v>54</v>
      </c>
      <c r="I2714" s="21" t="s">
        <v>55</v>
      </c>
      <c r="J2714" s="21" t="s">
        <v>3549</v>
      </c>
      <c r="K2714" s="5814" t="s">
        <v>8994</v>
      </c>
    </row>
    <row r="2715" spans="1:11">
      <c r="A2715" s="21" t="s">
        <v>2119</v>
      </c>
      <c r="B2715" s="21" t="s">
        <v>8995</v>
      </c>
      <c r="C2715" s="21" t="s">
        <v>8</v>
      </c>
      <c r="D2715" s="21" t="s">
        <v>944</v>
      </c>
      <c r="E2715" s="21" t="s">
        <v>9</v>
      </c>
      <c r="F2715" s="5812">
        <v>5</v>
      </c>
      <c r="G2715" s="5813">
        <v>0.20833333333333334</v>
      </c>
      <c r="H2715" s="21" t="s">
        <v>54</v>
      </c>
      <c r="I2715" s="21" t="s">
        <v>55</v>
      </c>
      <c r="J2715" s="21" t="s">
        <v>8996</v>
      </c>
      <c r="K2715" s="5814" t="s">
        <v>8997</v>
      </c>
    </row>
    <row r="2716" spans="1:11">
      <c r="A2716" s="21" t="s">
        <v>2969</v>
      </c>
      <c r="B2716" s="21" t="s">
        <v>8998</v>
      </c>
      <c r="C2716" s="21" t="s">
        <v>8</v>
      </c>
      <c r="D2716" s="21" t="s">
        <v>944</v>
      </c>
      <c r="E2716" s="21" t="s">
        <v>9</v>
      </c>
      <c r="F2716" s="5812">
        <v>5</v>
      </c>
      <c r="G2716" s="5813">
        <v>0.20833333333333334</v>
      </c>
      <c r="H2716" s="21" t="s">
        <v>54</v>
      </c>
      <c r="I2716" s="21" t="s">
        <v>55</v>
      </c>
      <c r="J2716" s="21" t="s">
        <v>8999</v>
      </c>
      <c r="K2716" s="5814" t="s">
        <v>9000</v>
      </c>
    </row>
    <row r="2717" spans="1:11">
      <c r="A2717" s="21" t="s">
        <v>3119</v>
      </c>
      <c r="B2717" s="21" t="s">
        <v>9001</v>
      </c>
      <c r="C2717" s="21" t="s">
        <v>22</v>
      </c>
      <c r="D2717" s="21" t="s">
        <v>944</v>
      </c>
      <c r="E2717" s="21" t="s">
        <v>9</v>
      </c>
      <c r="F2717" s="5812">
        <v>5</v>
      </c>
      <c r="G2717" s="5813">
        <v>0.20833333333333334</v>
      </c>
      <c r="H2717" s="21" t="s">
        <v>54</v>
      </c>
      <c r="I2717" s="21" t="s">
        <v>55</v>
      </c>
      <c r="J2717" s="21" t="s">
        <v>9002</v>
      </c>
      <c r="K2717" s="5814" t="s">
        <v>9003</v>
      </c>
    </row>
    <row r="2718" spans="1:11">
      <c r="A2718" s="21" t="s">
        <v>2538</v>
      </c>
      <c r="B2718" s="21" t="s">
        <v>9004</v>
      </c>
      <c r="C2718" s="21" t="s">
        <v>8</v>
      </c>
      <c r="D2718" s="21" t="s">
        <v>944</v>
      </c>
      <c r="E2718" s="21" t="s">
        <v>9</v>
      </c>
      <c r="F2718" s="5812">
        <v>5</v>
      </c>
      <c r="G2718" s="5813">
        <v>0.20833333333333334</v>
      </c>
      <c r="H2718" s="21" t="s">
        <v>54</v>
      </c>
      <c r="I2718" s="21" t="s">
        <v>55</v>
      </c>
      <c r="J2718" s="21" t="s">
        <v>9005</v>
      </c>
      <c r="K2718" s="5814" t="s">
        <v>9006</v>
      </c>
    </row>
    <row r="2719" spans="1:11">
      <c r="A2719" s="21" t="s">
        <v>2184</v>
      </c>
      <c r="B2719" s="21" t="s">
        <v>9007</v>
      </c>
      <c r="C2719" s="21" t="s">
        <v>22</v>
      </c>
      <c r="D2719" s="21" t="s">
        <v>944</v>
      </c>
      <c r="E2719" s="21" t="s">
        <v>9</v>
      </c>
      <c r="F2719" s="5812">
        <v>5</v>
      </c>
      <c r="G2719" s="5813">
        <v>0.20833333333333334</v>
      </c>
      <c r="H2719" s="21" t="s">
        <v>54</v>
      </c>
      <c r="I2719" s="21" t="s">
        <v>226</v>
      </c>
      <c r="J2719" s="21" t="s">
        <v>9008</v>
      </c>
      <c r="K2719" s="5814" t="s">
        <v>9009</v>
      </c>
    </row>
    <row r="2720" spans="1:11">
      <c r="A2720" s="21" t="s">
        <v>3647</v>
      </c>
      <c r="B2720" s="21" t="s">
        <v>9010</v>
      </c>
      <c r="C2720" s="21" t="s">
        <v>22</v>
      </c>
      <c r="D2720" s="21" t="s">
        <v>944</v>
      </c>
      <c r="E2720" s="21" t="s">
        <v>9</v>
      </c>
      <c r="F2720" s="5812">
        <v>5</v>
      </c>
      <c r="G2720" s="5813">
        <v>0.20833333333333334</v>
      </c>
      <c r="H2720" s="21" t="s">
        <v>54</v>
      </c>
      <c r="I2720" s="21" t="s">
        <v>55</v>
      </c>
      <c r="J2720" s="21" t="s">
        <v>9011</v>
      </c>
      <c r="K2720" s="5814" t="s">
        <v>9012</v>
      </c>
    </row>
    <row r="2721" spans="1:11">
      <c r="A2721" s="21" t="s">
        <v>2258</v>
      </c>
      <c r="B2721" s="21" t="s">
        <v>9013</v>
      </c>
      <c r="C2721" s="21" t="s">
        <v>22</v>
      </c>
      <c r="D2721" s="21" t="s">
        <v>944</v>
      </c>
      <c r="E2721" s="21" t="s">
        <v>9</v>
      </c>
      <c r="F2721" s="5812">
        <v>5</v>
      </c>
      <c r="G2721" s="5813">
        <v>0.20833333333333334</v>
      </c>
      <c r="H2721" s="21" t="s">
        <v>54</v>
      </c>
      <c r="I2721" s="21" t="s">
        <v>55</v>
      </c>
      <c r="J2721" s="21" t="s">
        <v>9014</v>
      </c>
      <c r="K2721" s="5814" t="s">
        <v>9015</v>
      </c>
    </row>
    <row r="2722" spans="1:11">
      <c r="A2722" s="21" t="s">
        <v>2307</v>
      </c>
      <c r="B2722" s="21" t="s">
        <v>9016</v>
      </c>
      <c r="C2722" s="21" t="s">
        <v>22</v>
      </c>
      <c r="D2722" s="21" t="s">
        <v>944</v>
      </c>
      <c r="E2722" s="21" t="s">
        <v>466</v>
      </c>
      <c r="F2722" s="5812">
        <v>1</v>
      </c>
      <c r="G2722" s="5813">
        <v>0.17708333333333334</v>
      </c>
      <c r="H2722" s="21" t="s">
        <v>10</v>
      </c>
      <c r="I2722" s="21" t="s">
        <v>39</v>
      </c>
      <c r="J2722" s="21" t="s">
        <v>9017</v>
      </c>
      <c r="K2722" s="5814" t="s">
        <v>9018</v>
      </c>
    </row>
    <row r="2723" spans="1:11">
      <c r="A2723" s="21" t="s">
        <v>2205</v>
      </c>
      <c r="B2723" s="21" t="s">
        <v>9019</v>
      </c>
      <c r="C2723" s="21" t="s">
        <v>8</v>
      </c>
      <c r="D2723" s="21" t="s">
        <v>944</v>
      </c>
      <c r="E2723" s="21" t="s">
        <v>466</v>
      </c>
      <c r="F2723" s="5812">
        <v>1</v>
      </c>
      <c r="G2723" s="5813">
        <v>0.20833333333333334</v>
      </c>
      <c r="H2723" s="21" t="s">
        <v>10</v>
      </c>
      <c r="I2723" s="21" t="s">
        <v>39</v>
      </c>
      <c r="J2723" s="21" t="s">
        <v>9020</v>
      </c>
      <c r="K2723" s="5814" t="s">
        <v>9021</v>
      </c>
    </row>
    <row r="2724" spans="1:11">
      <c r="A2724" s="21" t="s">
        <v>3293</v>
      </c>
      <c r="B2724" s="21" t="s">
        <v>9022</v>
      </c>
      <c r="C2724" s="21" t="s">
        <v>8</v>
      </c>
      <c r="D2724" s="21" t="s">
        <v>944</v>
      </c>
      <c r="E2724" s="21" t="s">
        <v>466</v>
      </c>
      <c r="F2724" s="5812">
        <v>2</v>
      </c>
      <c r="G2724" s="5813">
        <v>0.10277777777777777</v>
      </c>
      <c r="H2724" s="21" t="s">
        <v>10</v>
      </c>
      <c r="I2724" s="21" t="s">
        <v>96</v>
      </c>
      <c r="J2724" s="21" t="s">
        <v>9023</v>
      </c>
      <c r="K2724" s="5814" t="s">
        <v>9024</v>
      </c>
    </row>
    <row r="2725" spans="1:11">
      <c r="A2725" s="21" t="s">
        <v>3434</v>
      </c>
      <c r="B2725" s="21" t="s">
        <v>9025</v>
      </c>
      <c r="C2725" s="21" t="s">
        <v>8</v>
      </c>
      <c r="D2725" s="21" t="s">
        <v>944</v>
      </c>
      <c r="E2725" s="21" t="s">
        <v>46</v>
      </c>
      <c r="F2725" s="5812">
        <v>1</v>
      </c>
      <c r="G2725" s="5813">
        <v>1.1111111111111112E-2</v>
      </c>
      <c r="H2725" s="21" t="s">
        <v>10</v>
      </c>
      <c r="I2725" s="21" t="s">
        <v>55</v>
      </c>
      <c r="J2725" s="21" t="s">
        <v>97</v>
      </c>
      <c r="K2725" s="5814" t="s">
        <v>9026</v>
      </c>
    </row>
    <row r="2726" spans="1:11">
      <c r="A2726" s="21" t="s">
        <v>2079</v>
      </c>
      <c r="B2726" s="21" t="s">
        <v>9027</v>
      </c>
      <c r="C2726" s="21" t="s">
        <v>22</v>
      </c>
      <c r="D2726" s="21" t="s">
        <v>944</v>
      </c>
      <c r="E2726" s="21" t="s">
        <v>46</v>
      </c>
      <c r="F2726" s="5812">
        <v>1</v>
      </c>
      <c r="G2726" s="5813">
        <v>1.1805555555555555E-2</v>
      </c>
      <c r="H2726" s="21" t="s">
        <v>10</v>
      </c>
      <c r="I2726" s="21" t="s">
        <v>55</v>
      </c>
      <c r="J2726" s="21" t="s">
        <v>722</v>
      </c>
      <c r="K2726" s="5814" t="s">
        <v>9028</v>
      </c>
    </row>
    <row r="2727" spans="1:11">
      <c r="A2727" s="21" t="s">
        <v>2935</v>
      </c>
      <c r="B2727" s="21" t="s">
        <v>9029</v>
      </c>
      <c r="C2727" s="21" t="s">
        <v>8</v>
      </c>
      <c r="D2727" s="21" t="s">
        <v>944</v>
      </c>
      <c r="E2727" s="21" t="s">
        <v>46</v>
      </c>
      <c r="F2727" s="5812">
        <v>1</v>
      </c>
      <c r="G2727" s="5813">
        <v>1.1805555555555555E-2</v>
      </c>
      <c r="H2727" s="21" t="s">
        <v>10</v>
      </c>
      <c r="I2727" s="21" t="s">
        <v>55</v>
      </c>
      <c r="J2727" s="21" t="s">
        <v>3156</v>
      </c>
      <c r="K2727" s="5814" t="s">
        <v>9030</v>
      </c>
    </row>
    <row r="2728" spans="1:11">
      <c r="A2728" s="21" t="s">
        <v>2131</v>
      </c>
      <c r="B2728" s="21" t="s">
        <v>9031</v>
      </c>
      <c r="C2728" s="21" t="s">
        <v>8</v>
      </c>
      <c r="D2728" s="21" t="s">
        <v>944</v>
      </c>
      <c r="E2728" s="21" t="s">
        <v>46</v>
      </c>
      <c r="F2728" s="5812">
        <v>1</v>
      </c>
      <c r="G2728" s="5813">
        <v>1.1805555555555555E-2</v>
      </c>
      <c r="H2728" s="21" t="s">
        <v>10</v>
      </c>
      <c r="I2728" s="21" t="s">
        <v>39</v>
      </c>
      <c r="J2728" s="21" t="s">
        <v>48</v>
      </c>
      <c r="K2728" s="5814" t="s">
        <v>9032</v>
      </c>
    </row>
    <row r="2729" spans="1:11">
      <c r="A2729" s="21" t="s">
        <v>3446</v>
      </c>
      <c r="B2729" s="21" t="s">
        <v>9033</v>
      </c>
      <c r="C2729" s="21" t="s">
        <v>22</v>
      </c>
      <c r="D2729" s="21" t="s">
        <v>944</v>
      </c>
      <c r="E2729" s="21" t="s">
        <v>46</v>
      </c>
      <c r="F2729" s="5812">
        <v>1</v>
      </c>
      <c r="G2729" s="5813">
        <v>1.1805555555555555E-2</v>
      </c>
      <c r="H2729" s="21" t="s">
        <v>10</v>
      </c>
      <c r="I2729" s="21" t="s">
        <v>2260</v>
      </c>
      <c r="J2729" s="21" t="s">
        <v>48</v>
      </c>
      <c r="K2729" s="5814" t="s">
        <v>9034</v>
      </c>
    </row>
    <row r="2730" spans="1:11">
      <c r="A2730" s="21" t="s">
        <v>3515</v>
      </c>
      <c r="B2730" s="21" t="s">
        <v>9035</v>
      </c>
      <c r="C2730" s="21" t="s">
        <v>22</v>
      </c>
      <c r="D2730" s="21" t="s">
        <v>944</v>
      </c>
      <c r="E2730" s="21" t="s">
        <v>46</v>
      </c>
      <c r="F2730" s="5812">
        <v>1</v>
      </c>
      <c r="G2730" s="5813">
        <v>1.2500000000000001E-2</v>
      </c>
      <c r="H2730" s="21" t="s">
        <v>10</v>
      </c>
      <c r="I2730" s="21" t="s">
        <v>96</v>
      </c>
      <c r="J2730" s="21" t="s">
        <v>97</v>
      </c>
      <c r="K2730" s="5814" t="s">
        <v>9036</v>
      </c>
    </row>
    <row r="2731" spans="1:11">
      <c r="A2731" s="21" t="s">
        <v>3033</v>
      </c>
      <c r="B2731" s="21" t="s">
        <v>9037</v>
      </c>
      <c r="C2731" s="21" t="s">
        <v>8</v>
      </c>
      <c r="D2731" s="21" t="s">
        <v>944</v>
      </c>
      <c r="E2731" s="21" t="s">
        <v>46</v>
      </c>
      <c r="F2731" s="5812">
        <v>1</v>
      </c>
      <c r="G2731" s="5813">
        <v>1.3194444444444444E-2</v>
      </c>
      <c r="H2731" s="21" t="s">
        <v>10</v>
      </c>
      <c r="I2731" s="21" t="s">
        <v>3343</v>
      </c>
      <c r="J2731" s="21" t="s">
        <v>1076</v>
      </c>
      <c r="K2731" s="5814" t="s">
        <v>9038</v>
      </c>
    </row>
    <row r="2732" spans="1:11">
      <c r="A2732" s="21" t="s">
        <v>3565</v>
      </c>
      <c r="B2732" s="21" t="s">
        <v>9039</v>
      </c>
      <c r="C2732" s="21" t="s">
        <v>8</v>
      </c>
      <c r="D2732" s="21" t="s">
        <v>944</v>
      </c>
      <c r="E2732" s="21" t="s">
        <v>46</v>
      </c>
      <c r="F2732" s="5812">
        <v>1</v>
      </c>
      <c r="G2732" s="5813">
        <v>1.8055555555555554E-2</v>
      </c>
      <c r="H2732" s="21" t="s">
        <v>10</v>
      </c>
      <c r="I2732" s="21" t="s">
        <v>2247</v>
      </c>
      <c r="J2732" s="21" t="s">
        <v>1203</v>
      </c>
      <c r="K2732" s="5814" t="s">
        <v>9040</v>
      </c>
    </row>
    <row r="2733" spans="1:11">
      <c r="A2733" s="21" t="s">
        <v>2905</v>
      </c>
      <c r="B2733" s="21" t="s">
        <v>9041</v>
      </c>
      <c r="C2733" s="21" t="s">
        <v>22</v>
      </c>
      <c r="D2733" s="21" t="s">
        <v>944</v>
      </c>
      <c r="E2733" s="21" t="s">
        <v>46</v>
      </c>
      <c r="F2733" s="5812">
        <v>1</v>
      </c>
      <c r="G2733" s="5813">
        <v>1.9444444444444445E-2</v>
      </c>
      <c r="H2733" s="21" t="s">
        <v>54</v>
      </c>
      <c r="I2733" s="21" t="s">
        <v>2297</v>
      </c>
      <c r="J2733" s="21" t="s">
        <v>406</v>
      </c>
      <c r="K2733" s="5814" t="s">
        <v>9042</v>
      </c>
    </row>
    <row r="2734" spans="1:11">
      <c r="A2734" s="21" t="s">
        <v>2886</v>
      </c>
      <c r="B2734" s="21" t="s">
        <v>9043</v>
      </c>
      <c r="C2734" s="21" t="s">
        <v>8</v>
      </c>
      <c r="D2734" s="21" t="s">
        <v>944</v>
      </c>
      <c r="E2734" s="21" t="s">
        <v>46</v>
      </c>
      <c r="F2734" s="5812">
        <v>1</v>
      </c>
      <c r="G2734" s="5813">
        <v>2.013888888888889E-2</v>
      </c>
      <c r="H2734" s="21" t="s">
        <v>10</v>
      </c>
      <c r="I2734" s="21" t="s">
        <v>2923</v>
      </c>
      <c r="J2734" s="21" t="s">
        <v>722</v>
      </c>
      <c r="K2734" s="5814" t="s">
        <v>9044</v>
      </c>
    </row>
    <row r="2735" spans="1:11">
      <c r="A2735" s="21" t="s">
        <v>3029</v>
      </c>
      <c r="B2735" s="21" t="s">
        <v>9045</v>
      </c>
      <c r="C2735" s="21" t="s">
        <v>8</v>
      </c>
      <c r="D2735" s="21" t="s">
        <v>944</v>
      </c>
      <c r="E2735" s="21" t="s">
        <v>46</v>
      </c>
      <c r="F2735" s="5812">
        <v>1</v>
      </c>
      <c r="G2735" s="5813">
        <v>2.6388888888888889E-2</v>
      </c>
      <c r="H2735" s="21" t="s">
        <v>10</v>
      </c>
      <c r="I2735" s="21" t="s">
        <v>23</v>
      </c>
      <c r="J2735" s="21" t="s">
        <v>97</v>
      </c>
      <c r="K2735" s="5814" t="s">
        <v>9046</v>
      </c>
    </row>
    <row r="2736" spans="1:11">
      <c r="A2736" s="21" t="s">
        <v>2643</v>
      </c>
      <c r="B2736" s="21" t="s">
        <v>9047</v>
      </c>
      <c r="C2736" s="21" t="s">
        <v>8</v>
      </c>
      <c r="D2736" s="21" t="s">
        <v>944</v>
      </c>
      <c r="E2736" s="21" t="s">
        <v>46</v>
      </c>
      <c r="F2736" s="5812">
        <v>1</v>
      </c>
      <c r="G2736" s="5813">
        <v>2.6388888888888889E-2</v>
      </c>
      <c r="H2736" s="21" t="s">
        <v>10</v>
      </c>
      <c r="I2736" s="21" t="s">
        <v>39</v>
      </c>
      <c r="J2736" s="21" t="s">
        <v>997</v>
      </c>
      <c r="K2736" s="5814" t="s">
        <v>9048</v>
      </c>
    </row>
    <row r="2737" spans="1:11">
      <c r="A2737" s="21" t="s">
        <v>3710</v>
      </c>
      <c r="B2737" s="21" t="s">
        <v>9049</v>
      </c>
      <c r="C2737" s="21" t="s">
        <v>22</v>
      </c>
      <c r="D2737" s="21" t="s">
        <v>944</v>
      </c>
      <c r="E2737" s="21" t="s">
        <v>46</v>
      </c>
      <c r="F2737" s="5812">
        <v>1</v>
      </c>
      <c r="G2737" s="5813">
        <v>2.7083333333333334E-2</v>
      </c>
      <c r="H2737" s="21" t="s">
        <v>10</v>
      </c>
      <c r="I2737" s="21" t="s">
        <v>5994</v>
      </c>
      <c r="J2737" s="21" t="s">
        <v>7866</v>
      </c>
      <c r="K2737" s="5814" t="s">
        <v>9050</v>
      </c>
    </row>
    <row r="2738" spans="1:11">
      <c r="A2738" s="21" t="s">
        <v>2870</v>
      </c>
      <c r="B2738" s="21" t="s">
        <v>9051</v>
      </c>
      <c r="C2738" s="21" t="s">
        <v>8</v>
      </c>
      <c r="D2738" s="21" t="s">
        <v>944</v>
      </c>
      <c r="E2738" s="21" t="s">
        <v>46</v>
      </c>
      <c r="F2738" s="5812">
        <v>1</v>
      </c>
      <c r="G2738" s="5813">
        <v>2.9861111111111113E-2</v>
      </c>
      <c r="H2738" s="21" t="s">
        <v>10</v>
      </c>
      <c r="I2738" s="21" t="s">
        <v>9052</v>
      </c>
      <c r="J2738" s="21" t="s">
        <v>97</v>
      </c>
      <c r="K2738" s="5814" t="s">
        <v>9053</v>
      </c>
    </row>
    <row r="2739" spans="1:11">
      <c r="A2739" s="21" t="s">
        <v>4671</v>
      </c>
      <c r="B2739" s="21" t="s">
        <v>9054</v>
      </c>
      <c r="C2739" s="21" t="s">
        <v>22</v>
      </c>
      <c r="D2739" s="21" t="s">
        <v>944</v>
      </c>
      <c r="E2739" s="21" t="s">
        <v>46</v>
      </c>
      <c r="F2739" s="5812">
        <v>1</v>
      </c>
      <c r="G2739" s="5813">
        <v>3.0555555555555555E-2</v>
      </c>
      <c r="H2739" s="21" t="s">
        <v>10</v>
      </c>
      <c r="I2739" s="21" t="s">
        <v>2269</v>
      </c>
      <c r="J2739" s="21" t="s">
        <v>406</v>
      </c>
      <c r="K2739" s="5814" t="s">
        <v>9055</v>
      </c>
    </row>
    <row r="2740" spans="1:11">
      <c r="A2740" s="21" t="s">
        <v>4671</v>
      </c>
      <c r="B2740" s="21" t="s">
        <v>9056</v>
      </c>
      <c r="C2740" s="21" t="s">
        <v>22</v>
      </c>
      <c r="D2740" s="21" t="s">
        <v>944</v>
      </c>
      <c r="E2740" s="21" t="s">
        <v>46</v>
      </c>
      <c r="F2740" s="5812">
        <v>1</v>
      </c>
      <c r="G2740" s="5813">
        <v>3.4027777777777775E-2</v>
      </c>
      <c r="H2740" s="21" t="s">
        <v>10</v>
      </c>
      <c r="I2740" s="21" t="s">
        <v>2269</v>
      </c>
      <c r="J2740" s="21" t="s">
        <v>406</v>
      </c>
      <c r="K2740" s="5814" t="s">
        <v>9057</v>
      </c>
    </row>
    <row r="2741" spans="1:11">
      <c r="A2741" s="21" t="s">
        <v>3458</v>
      </c>
      <c r="B2741" s="21" t="s">
        <v>9058</v>
      </c>
      <c r="C2741" s="21" t="s">
        <v>22</v>
      </c>
      <c r="D2741" s="21" t="s">
        <v>944</v>
      </c>
      <c r="E2741" s="21" t="s">
        <v>46</v>
      </c>
      <c r="F2741" s="5812">
        <v>1</v>
      </c>
      <c r="G2741" s="5813">
        <v>4.0972222222222222E-2</v>
      </c>
      <c r="H2741" s="21" t="s">
        <v>10</v>
      </c>
      <c r="I2741" s="21" t="s">
        <v>2872</v>
      </c>
      <c r="J2741" s="21" t="s">
        <v>48</v>
      </c>
      <c r="K2741" s="5814" t="s">
        <v>9059</v>
      </c>
    </row>
    <row r="2742" spans="1:11">
      <c r="A2742" s="21" t="s">
        <v>3565</v>
      </c>
      <c r="B2742" s="21" t="s">
        <v>9060</v>
      </c>
      <c r="C2742" s="21" t="s">
        <v>22</v>
      </c>
      <c r="D2742" s="21" t="s">
        <v>944</v>
      </c>
      <c r="E2742" s="21" t="s">
        <v>46</v>
      </c>
      <c r="F2742" s="5812">
        <v>1</v>
      </c>
      <c r="G2742" s="5813">
        <v>4.1666666666666664E-2</v>
      </c>
      <c r="H2742" s="21" t="s">
        <v>10</v>
      </c>
      <c r="I2742" s="21" t="s">
        <v>2632</v>
      </c>
      <c r="J2742" s="21" t="s">
        <v>722</v>
      </c>
      <c r="K2742" s="5814" t="s">
        <v>9061</v>
      </c>
    </row>
    <row r="2743" spans="1:11">
      <c r="A2743" s="21" t="s">
        <v>3256</v>
      </c>
      <c r="B2743" s="21" t="s">
        <v>9062</v>
      </c>
      <c r="C2743" s="21" t="s">
        <v>8</v>
      </c>
      <c r="D2743" s="21" t="s">
        <v>944</v>
      </c>
      <c r="E2743" s="21" t="s">
        <v>46</v>
      </c>
      <c r="F2743" s="5812">
        <v>1</v>
      </c>
      <c r="G2743" s="5813">
        <v>4.4444444444444446E-2</v>
      </c>
      <c r="H2743" s="21" t="s">
        <v>10</v>
      </c>
      <c r="I2743" s="21" t="s">
        <v>209</v>
      </c>
      <c r="J2743" s="21" t="s">
        <v>940</v>
      </c>
      <c r="K2743" s="5814" t="s">
        <v>9063</v>
      </c>
    </row>
    <row r="2744" spans="1:11">
      <c r="A2744" s="21" t="s">
        <v>71</v>
      </c>
      <c r="B2744" s="21" t="s">
        <v>1081</v>
      </c>
      <c r="C2744" s="21" t="s">
        <v>22</v>
      </c>
      <c r="D2744" s="21" t="s">
        <v>944</v>
      </c>
      <c r="E2744" s="21" t="s">
        <v>46</v>
      </c>
      <c r="F2744" s="5812">
        <v>1</v>
      </c>
      <c r="G2744" s="5813">
        <v>4.583333333333333E-2</v>
      </c>
      <c r="H2744" s="21" t="s">
        <v>10</v>
      </c>
      <c r="I2744" s="21" t="s">
        <v>23</v>
      </c>
      <c r="J2744" s="21" t="s">
        <v>48</v>
      </c>
      <c r="K2744" s="5814" t="s">
        <v>9064</v>
      </c>
    </row>
    <row r="2745" spans="1:11">
      <c r="A2745" s="21" t="s">
        <v>2944</v>
      </c>
      <c r="B2745" s="21" t="s">
        <v>9065</v>
      </c>
      <c r="C2745" s="21" t="s">
        <v>8</v>
      </c>
      <c r="D2745" s="21" t="s">
        <v>944</v>
      </c>
      <c r="E2745" s="21" t="s">
        <v>46</v>
      </c>
      <c r="F2745" s="5812">
        <v>1</v>
      </c>
      <c r="G2745" s="5813">
        <v>5.0694444444444445E-2</v>
      </c>
      <c r="H2745" s="21" t="s">
        <v>10</v>
      </c>
      <c r="I2745" s="21" t="s">
        <v>89</v>
      </c>
      <c r="J2745" s="21" t="s">
        <v>940</v>
      </c>
      <c r="K2745" s="5814" t="s">
        <v>9066</v>
      </c>
    </row>
    <row r="2746" spans="1:11">
      <c r="A2746" s="21" t="s">
        <v>2966</v>
      </c>
      <c r="B2746" s="21" t="s">
        <v>9067</v>
      </c>
      <c r="C2746" s="21" t="s">
        <v>8</v>
      </c>
      <c r="D2746" s="21" t="s">
        <v>944</v>
      </c>
      <c r="E2746" s="21" t="s">
        <v>46</v>
      </c>
      <c r="F2746" s="5812">
        <v>1</v>
      </c>
      <c r="G2746" s="5813">
        <v>5.1388888888888887E-2</v>
      </c>
      <c r="H2746" s="21" t="s">
        <v>10</v>
      </c>
      <c r="I2746" s="21" t="s">
        <v>23</v>
      </c>
      <c r="J2746" s="21" t="s">
        <v>48</v>
      </c>
      <c r="K2746" s="5814" t="s">
        <v>9068</v>
      </c>
    </row>
    <row r="2747" spans="1:11">
      <c r="A2747" s="21" t="s">
        <v>4317</v>
      </c>
      <c r="B2747" s="21" t="s">
        <v>9069</v>
      </c>
      <c r="C2747" s="21" t="s">
        <v>8</v>
      </c>
      <c r="D2747" s="21" t="s">
        <v>944</v>
      </c>
      <c r="E2747" s="21" t="s">
        <v>46</v>
      </c>
      <c r="F2747" s="5812">
        <v>1</v>
      </c>
      <c r="G2747" s="5813">
        <v>5.2777777777777778E-2</v>
      </c>
      <c r="H2747" s="21" t="s">
        <v>10</v>
      </c>
      <c r="I2747" s="21" t="s">
        <v>3534</v>
      </c>
      <c r="J2747" s="21" t="s">
        <v>48</v>
      </c>
      <c r="K2747" s="5814" t="s">
        <v>9070</v>
      </c>
    </row>
    <row r="2748" spans="1:11">
      <c r="A2748" s="21" t="s">
        <v>4552</v>
      </c>
      <c r="B2748" s="21" t="s">
        <v>9071</v>
      </c>
      <c r="C2748" s="21" t="s">
        <v>22</v>
      </c>
      <c r="D2748" s="21" t="s">
        <v>944</v>
      </c>
      <c r="E2748" s="21" t="s">
        <v>46</v>
      </c>
      <c r="F2748" s="5812">
        <v>1</v>
      </c>
      <c r="G2748" s="5813">
        <v>5.347222222222222E-2</v>
      </c>
      <c r="H2748" s="21" t="s">
        <v>10</v>
      </c>
      <c r="I2748" s="21" t="s">
        <v>39</v>
      </c>
      <c r="J2748" s="21" t="s">
        <v>127</v>
      </c>
      <c r="K2748" s="5814" t="s">
        <v>9072</v>
      </c>
    </row>
    <row r="2749" spans="1:11">
      <c r="A2749" s="21" t="s">
        <v>2788</v>
      </c>
      <c r="B2749" s="21" t="s">
        <v>9073</v>
      </c>
      <c r="C2749" s="21" t="s">
        <v>22</v>
      </c>
      <c r="D2749" s="21" t="s">
        <v>944</v>
      </c>
      <c r="E2749" s="21" t="s">
        <v>46</v>
      </c>
      <c r="F2749" s="5812">
        <v>1</v>
      </c>
      <c r="G2749" s="5813">
        <v>5.347222222222222E-2</v>
      </c>
      <c r="H2749" s="21" t="s">
        <v>10</v>
      </c>
      <c r="I2749" s="21" t="s">
        <v>233</v>
      </c>
      <c r="J2749" s="21" t="s">
        <v>406</v>
      </c>
      <c r="K2749" s="5814" t="s">
        <v>9074</v>
      </c>
    </row>
    <row r="2750" spans="1:11">
      <c r="A2750" s="21" t="s">
        <v>2461</v>
      </c>
      <c r="B2750" s="21" t="s">
        <v>9075</v>
      </c>
      <c r="C2750" s="21" t="s">
        <v>22</v>
      </c>
      <c r="D2750" s="21" t="s">
        <v>944</v>
      </c>
      <c r="E2750" s="21" t="s">
        <v>46</v>
      </c>
      <c r="F2750" s="5812">
        <v>1</v>
      </c>
      <c r="G2750" s="5813">
        <v>6.1111111111111109E-2</v>
      </c>
      <c r="H2750" s="21" t="s">
        <v>10</v>
      </c>
      <c r="I2750" s="21" t="s">
        <v>55</v>
      </c>
      <c r="J2750" s="21" t="s">
        <v>97</v>
      </c>
      <c r="K2750" s="5814" t="s">
        <v>9076</v>
      </c>
    </row>
    <row r="2751" spans="1:11">
      <c r="A2751" s="21" t="s">
        <v>2075</v>
      </c>
      <c r="B2751" s="21" t="s">
        <v>9077</v>
      </c>
      <c r="C2751" s="21" t="s">
        <v>22</v>
      </c>
      <c r="D2751" s="21" t="s">
        <v>944</v>
      </c>
      <c r="E2751" s="21" t="s">
        <v>46</v>
      </c>
      <c r="F2751" s="5812">
        <v>1</v>
      </c>
      <c r="G2751" s="5813">
        <v>7.013888888888889E-2</v>
      </c>
      <c r="H2751" s="21" t="s">
        <v>10</v>
      </c>
      <c r="I2751" s="21" t="s">
        <v>55</v>
      </c>
      <c r="J2751" s="21" t="s">
        <v>97</v>
      </c>
      <c r="K2751" s="5814" t="s">
        <v>9078</v>
      </c>
    </row>
    <row r="2752" spans="1:11">
      <c r="A2752" s="21" t="s">
        <v>2517</v>
      </c>
      <c r="B2752" s="21" t="s">
        <v>9079</v>
      </c>
      <c r="C2752" s="21" t="s">
        <v>8</v>
      </c>
      <c r="D2752" s="21" t="s">
        <v>944</v>
      </c>
      <c r="E2752" s="21" t="s">
        <v>46</v>
      </c>
      <c r="F2752" s="5812">
        <v>1</v>
      </c>
      <c r="G2752" s="5813">
        <v>7.0833333333333331E-2</v>
      </c>
      <c r="H2752" s="21" t="s">
        <v>10</v>
      </c>
      <c r="I2752" s="21" t="s">
        <v>2313</v>
      </c>
      <c r="J2752" s="21" t="s">
        <v>48</v>
      </c>
      <c r="K2752" s="5814" t="s">
        <v>9080</v>
      </c>
    </row>
    <row r="2753" spans="1:11">
      <c r="A2753" s="21" t="s">
        <v>2300</v>
      </c>
      <c r="B2753" s="21" t="s">
        <v>9081</v>
      </c>
      <c r="C2753" s="21" t="s">
        <v>8</v>
      </c>
      <c r="D2753" s="21" t="s">
        <v>944</v>
      </c>
      <c r="E2753" s="21" t="s">
        <v>46</v>
      </c>
      <c r="F2753" s="5812">
        <v>1</v>
      </c>
      <c r="G2753" s="5813">
        <v>7.1527777777777773E-2</v>
      </c>
      <c r="H2753" s="21" t="s">
        <v>10</v>
      </c>
      <c r="I2753" s="21" t="s">
        <v>2317</v>
      </c>
      <c r="J2753" s="21" t="s">
        <v>907</v>
      </c>
      <c r="K2753" s="5814" t="s">
        <v>9082</v>
      </c>
    </row>
    <row r="2754" spans="1:11">
      <c r="A2754" s="21" t="s">
        <v>4047</v>
      </c>
      <c r="B2754" s="21" t="s">
        <v>9083</v>
      </c>
      <c r="C2754" s="21" t="s">
        <v>8</v>
      </c>
      <c r="D2754" s="21" t="s">
        <v>944</v>
      </c>
      <c r="E2754" s="21" t="s">
        <v>46</v>
      </c>
      <c r="F2754" s="5812">
        <v>1</v>
      </c>
      <c r="G2754" s="5813">
        <v>7.2916666666666671E-2</v>
      </c>
      <c r="H2754" s="21" t="s">
        <v>10</v>
      </c>
      <c r="I2754" s="21" t="s">
        <v>39</v>
      </c>
      <c r="J2754" s="21" t="s">
        <v>9084</v>
      </c>
      <c r="K2754" s="5814" t="s">
        <v>9085</v>
      </c>
    </row>
    <row r="2755" spans="1:11">
      <c r="A2755" s="21" t="s">
        <v>207</v>
      </c>
      <c r="B2755" s="21" t="s">
        <v>1070</v>
      </c>
      <c r="C2755" s="21" t="s">
        <v>22</v>
      </c>
      <c r="D2755" s="21" t="s">
        <v>944</v>
      </c>
      <c r="E2755" s="21" t="s">
        <v>46</v>
      </c>
      <c r="F2755" s="5812">
        <v>1</v>
      </c>
      <c r="G2755" s="5813">
        <v>7.5694444444444439E-2</v>
      </c>
      <c r="H2755" s="21" t="s">
        <v>10</v>
      </c>
      <c r="I2755" s="21" t="s">
        <v>209</v>
      </c>
      <c r="J2755" s="21" t="s">
        <v>774</v>
      </c>
      <c r="K2755" s="5814" t="s">
        <v>1071</v>
      </c>
    </row>
    <row r="2756" spans="1:11">
      <c r="A2756" s="21" t="s">
        <v>3671</v>
      </c>
      <c r="B2756" s="21" t="s">
        <v>9086</v>
      </c>
      <c r="C2756" s="21" t="s">
        <v>8</v>
      </c>
      <c r="D2756" s="21" t="s">
        <v>944</v>
      </c>
      <c r="E2756" s="21" t="s">
        <v>46</v>
      </c>
      <c r="F2756" s="5812">
        <v>1</v>
      </c>
      <c r="G2756" s="5813">
        <v>7.7777777777777779E-2</v>
      </c>
      <c r="H2756" s="21" t="s">
        <v>10</v>
      </c>
      <c r="I2756" s="21" t="s">
        <v>2313</v>
      </c>
      <c r="J2756" s="21" t="s">
        <v>6829</v>
      </c>
      <c r="K2756" s="5814" t="s">
        <v>9087</v>
      </c>
    </row>
    <row r="2757" spans="1:11">
      <c r="A2757" s="21" t="s">
        <v>4257</v>
      </c>
      <c r="B2757" s="21" t="s">
        <v>9088</v>
      </c>
      <c r="C2757" s="21" t="s">
        <v>8</v>
      </c>
      <c r="D2757" s="21" t="s">
        <v>944</v>
      </c>
      <c r="E2757" s="21" t="s">
        <v>46</v>
      </c>
      <c r="F2757" s="5812">
        <v>1</v>
      </c>
      <c r="G2757" s="5813">
        <v>7.9166666666666663E-2</v>
      </c>
      <c r="H2757" s="21" t="s">
        <v>10</v>
      </c>
      <c r="I2757" s="21" t="s">
        <v>73</v>
      </c>
      <c r="J2757" s="21" t="s">
        <v>48</v>
      </c>
      <c r="K2757" s="5814" t="s">
        <v>9089</v>
      </c>
    </row>
    <row r="2758" spans="1:11">
      <c r="A2758" s="21" t="s">
        <v>5984</v>
      </c>
      <c r="B2758" s="21" t="s">
        <v>9090</v>
      </c>
      <c r="C2758" s="21" t="s">
        <v>22</v>
      </c>
      <c r="D2758" s="21" t="s">
        <v>944</v>
      </c>
      <c r="E2758" s="21" t="s">
        <v>46</v>
      </c>
      <c r="F2758" s="5812">
        <v>1</v>
      </c>
      <c r="G2758" s="5813">
        <v>8.0555555555555561E-2</v>
      </c>
      <c r="H2758" s="21" t="s">
        <v>10</v>
      </c>
      <c r="I2758" s="21" t="s">
        <v>55</v>
      </c>
      <c r="J2758" s="21" t="s">
        <v>48</v>
      </c>
      <c r="K2758" s="5814" t="s">
        <v>9091</v>
      </c>
    </row>
    <row r="2759" spans="1:11">
      <c r="A2759" s="21" t="s">
        <v>2776</v>
      </c>
      <c r="B2759" s="21" t="s">
        <v>9092</v>
      </c>
      <c r="C2759" s="21" t="s">
        <v>8</v>
      </c>
      <c r="D2759" s="21" t="s">
        <v>944</v>
      </c>
      <c r="E2759" s="21" t="s">
        <v>46</v>
      </c>
      <c r="F2759" s="5812">
        <v>1</v>
      </c>
      <c r="G2759" s="5813">
        <v>8.3333333333333329E-2</v>
      </c>
      <c r="H2759" s="21" t="s">
        <v>10</v>
      </c>
      <c r="I2759" s="21" t="s">
        <v>8174</v>
      </c>
      <c r="J2759" s="21" t="s">
        <v>258</v>
      </c>
      <c r="K2759" s="5814" t="s">
        <v>9093</v>
      </c>
    </row>
    <row r="2760" spans="1:11">
      <c r="A2760" s="21" t="s">
        <v>2272</v>
      </c>
      <c r="B2760" s="21" t="s">
        <v>9094</v>
      </c>
      <c r="C2760" s="21" t="s">
        <v>8</v>
      </c>
      <c r="D2760" s="21" t="s">
        <v>944</v>
      </c>
      <c r="E2760" s="21" t="s">
        <v>46</v>
      </c>
      <c r="F2760" s="5812">
        <v>1</v>
      </c>
      <c r="G2760" s="5813">
        <v>8.819444444444445E-2</v>
      </c>
      <c r="H2760" s="21" t="s">
        <v>54</v>
      </c>
      <c r="I2760" s="21" t="s">
        <v>2247</v>
      </c>
      <c r="J2760" s="21" t="s">
        <v>722</v>
      </c>
      <c r="K2760" s="5814" t="s">
        <v>9095</v>
      </c>
    </row>
    <row r="2761" spans="1:11">
      <c r="A2761" s="21" t="s">
        <v>3872</v>
      </c>
      <c r="B2761" s="21" t="s">
        <v>9096</v>
      </c>
      <c r="C2761" s="21" t="s">
        <v>22</v>
      </c>
      <c r="D2761" s="21" t="s">
        <v>944</v>
      </c>
      <c r="E2761" s="21" t="s">
        <v>46</v>
      </c>
      <c r="F2761" s="5812">
        <v>1</v>
      </c>
      <c r="G2761" s="5813">
        <v>9.0277777777777776E-2</v>
      </c>
      <c r="H2761" s="21" t="s">
        <v>10</v>
      </c>
      <c r="I2761" s="21" t="s">
        <v>3441</v>
      </c>
      <c r="J2761" s="21" t="s">
        <v>97</v>
      </c>
      <c r="K2761" s="5814" t="s">
        <v>9097</v>
      </c>
    </row>
    <row r="2762" spans="1:11">
      <c r="A2762" s="21" t="s">
        <v>4043</v>
      </c>
      <c r="B2762" s="21" t="s">
        <v>9098</v>
      </c>
      <c r="C2762" s="21" t="s">
        <v>22</v>
      </c>
      <c r="D2762" s="21" t="s">
        <v>944</v>
      </c>
      <c r="E2762" s="21" t="s">
        <v>46</v>
      </c>
      <c r="F2762" s="5812">
        <v>1</v>
      </c>
      <c r="G2762" s="5813">
        <v>9.166666666666666E-2</v>
      </c>
      <c r="H2762" s="21" t="s">
        <v>10</v>
      </c>
      <c r="I2762" s="21" t="s">
        <v>11</v>
      </c>
      <c r="J2762" s="21" t="s">
        <v>722</v>
      </c>
      <c r="K2762" s="5814" t="s">
        <v>9099</v>
      </c>
    </row>
    <row r="2763" spans="1:11">
      <c r="A2763" s="21" t="s">
        <v>2276</v>
      </c>
      <c r="B2763" s="21" t="s">
        <v>9100</v>
      </c>
      <c r="C2763" s="21" t="s">
        <v>8</v>
      </c>
      <c r="D2763" s="21" t="s">
        <v>944</v>
      </c>
      <c r="E2763" s="21" t="s">
        <v>46</v>
      </c>
      <c r="F2763" s="5812">
        <v>1</v>
      </c>
      <c r="G2763" s="5813">
        <v>9.6527777777777782E-2</v>
      </c>
      <c r="H2763" s="21" t="s">
        <v>10</v>
      </c>
      <c r="I2763" s="21" t="s">
        <v>2247</v>
      </c>
      <c r="J2763" s="21" t="s">
        <v>1076</v>
      </c>
      <c r="K2763" s="5814" t="s">
        <v>9101</v>
      </c>
    </row>
    <row r="2764" spans="1:11">
      <c r="A2764" s="21" t="s">
        <v>3720</v>
      </c>
      <c r="B2764" s="21" t="s">
        <v>9102</v>
      </c>
      <c r="C2764" s="21" t="s">
        <v>22</v>
      </c>
      <c r="D2764" s="21" t="s">
        <v>944</v>
      </c>
      <c r="E2764" s="21" t="s">
        <v>46</v>
      </c>
      <c r="F2764" s="5812">
        <v>1</v>
      </c>
      <c r="G2764" s="5813">
        <v>0.10208333333333333</v>
      </c>
      <c r="H2764" s="21" t="s">
        <v>10</v>
      </c>
      <c r="I2764" s="21" t="s">
        <v>194</v>
      </c>
      <c r="J2764" s="21" t="s">
        <v>722</v>
      </c>
      <c r="K2764" s="5814" t="s">
        <v>9103</v>
      </c>
    </row>
    <row r="2765" spans="1:11">
      <c r="A2765" s="21" t="s">
        <v>3769</v>
      </c>
      <c r="B2765" s="21" t="s">
        <v>9104</v>
      </c>
      <c r="C2765" s="21" t="s">
        <v>22</v>
      </c>
      <c r="D2765" s="21" t="s">
        <v>944</v>
      </c>
      <c r="E2765" s="21" t="s">
        <v>46</v>
      </c>
      <c r="F2765" s="5812">
        <v>1</v>
      </c>
      <c r="G2765" s="5813">
        <v>0.10416666666666667</v>
      </c>
      <c r="H2765" s="21" t="s">
        <v>54</v>
      </c>
      <c r="I2765" s="21" t="s">
        <v>47</v>
      </c>
      <c r="J2765" s="21" t="s">
        <v>48</v>
      </c>
      <c r="K2765" s="5814" t="s">
        <v>9105</v>
      </c>
    </row>
    <row r="2766" spans="1:11">
      <c r="A2766" s="21" t="s">
        <v>2761</v>
      </c>
      <c r="B2766" s="21" t="s">
        <v>9106</v>
      </c>
      <c r="C2766" s="21" t="s">
        <v>8</v>
      </c>
      <c r="D2766" s="21" t="s">
        <v>944</v>
      </c>
      <c r="E2766" s="21" t="s">
        <v>46</v>
      </c>
      <c r="F2766" s="5812">
        <v>1</v>
      </c>
      <c r="G2766" s="5813">
        <v>0.10416666666666667</v>
      </c>
      <c r="H2766" s="21" t="s">
        <v>54</v>
      </c>
      <c r="I2766" s="21" t="s">
        <v>233</v>
      </c>
      <c r="J2766" s="21" t="s">
        <v>48</v>
      </c>
      <c r="K2766" s="5814" t="s">
        <v>9107</v>
      </c>
    </row>
    <row r="2767" spans="1:11">
      <c r="A2767" s="21" t="s">
        <v>2719</v>
      </c>
      <c r="B2767" s="21" t="s">
        <v>9108</v>
      </c>
      <c r="C2767" s="21" t="s">
        <v>8</v>
      </c>
      <c r="D2767" s="21" t="s">
        <v>944</v>
      </c>
      <c r="E2767" s="21" t="s">
        <v>46</v>
      </c>
      <c r="F2767" s="5812">
        <v>1</v>
      </c>
      <c r="G2767" s="5813">
        <v>0.10416666666666667</v>
      </c>
      <c r="H2767" s="21" t="s">
        <v>10</v>
      </c>
      <c r="I2767" s="21" t="s">
        <v>263</v>
      </c>
      <c r="J2767" s="21" t="s">
        <v>48</v>
      </c>
      <c r="K2767" s="5814" t="s">
        <v>9109</v>
      </c>
    </row>
    <row r="2768" spans="1:11">
      <c r="A2768" s="21" t="s">
        <v>2276</v>
      </c>
      <c r="B2768" s="21" t="s">
        <v>9110</v>
      </c>
      <c r="C2768" s="21" t="s">
        <v>8</v>
      </c>
      <c r="D2768" s="21" t="s">
        <v>944</v>
      </c>
      <c r="E2768" s="21" t="s">
        <v>46</v>
      </c>
      <c r="F2768" s="5812">
        <v>1</v>
      </c>
      <c r="G2768" s="5813">
        <v>0.10555555555555556</v>
      </c>
      <c r="H2768" s="21" t="s">
        <v>10</v>
      </c>
      <c r="I2768" s="21" t="s">
        <v>55</v>
      </c>
      <c r="J2768" s="21" t="s">
        <v>127</v>
      </c>
      <c r="K2768" s="5814" t="s">
        <v>9111</v>
      </c>
    </row>
    <row r="2769" spans="1:11">
      <c r="A2769" s="21" t="s">
        <v>2045</v>
      </c>
      <c r="B2769" s="21" t="s">
        <v>9112</v>
      </c>
      <c r="C2769" s="21" t="s">
        <v>22</v>
      </c>
      <c r="D2769" s="21" t="s">
        <v>944</v>
      </c>
      <c r="E2769" s="21" t="s">
        <v>46</v>
      </c>
      <c r="F2769" s="5812">
        <v>1</v>
      </c>
      <c r="G2769" s="5813">
        <v>0.10833333333333334</v>
      </c>
      <c r="H2769" s="21" t="s">
        <v>10</v>
      </c>
      <c r="I2769" s="21" t="s">
        <v>96</v>
      </c>
      <c r="J2769" s="21" t="s">
        <v>97</v>
      </c>
      <c r="K2769" s="5814" t="s">
        <v>9113</v>
      </c>
    </row>
    <row r="2770" spans="1:11">
      <c r="A2770" s="21" t="s">
        <v>3565</v>
      </c>
      <c r="B2770" s="21" t="s">
        <v>9114</v>
      </c>
      <c r="C2770" s="21" t="s">
        <v>8</v>
      </c>
      <c r="D2770" s="21" t="s">
        <v>944</v>
      </c>
      <c r="E2770" s="21" t="s">
        <v>46</v>
      </c>
      <c r="F2770" s="5812">
        <v>1</v>
      </c>
      <c r="G2770" s="5813">
        <v>0.10972222222222222</v>
      </c>
      <c r="H2770" s="21" t="s">
        <v>10</v>
      </c>
      <c r="I2770" s="21" t="s">
        <v>11</v>
      </c>
      <c r="J2770" s="21" t="s">
        <v>417</v>
      </c>
      <c r="K2770" s="5814" t="s">
        <v>9115</v>
      </c>
    </row>
    <row r="2771" spans="1:11">
      <c r="A2771" s="21" t="s">
        <v>3098</v>
      </c>
      <c r="B2771" s="21" t="s">
        <v>9116</v>
      </c>
      <c r="C2771" s="21" t="s">
        <v>8</v>
      </c>
      <c r="D2771" s="21" t="s">
        <v>944</v>
      </c>
      <c r="E2771" s="21" t="s">
        <v>46</v>
      </c>
      <c r="F2771" s="5812">
        <v>1</v>
      </c>
      <c r="G2771" s="5813">
        <v>0.11944444444444445</v>
      </c>
      <c r="H2771" s="21" t="s">
        <v>10</v>
      </c>
      <c r="I2771" s="21" t="s">
        <v>2713</v>
      </c>
      <c r="J2771" s="21" t="s">
        <v>48</v>
      </c>
      <c r="K2771" s="5814" t="s">
        <v>9117</v>
      </c>
    </row>
    <row r="2772" spans="1:11">
      <c r="A2772" s="21" t="s">
        <v>2768</v>
      </c>
      <c r="B2772" s="21" t="s">
        <v>9118</v>
      </c>
      <c r="C2772" s="21" t="s">
        <v>22</v>
      </c>
      <c r="D2772" s="21" t="s">
        <v>944</v>
      </c>
      <c r="E2772" s="21" t="s">
        <v>46</v>
      </c>
      <c r="F2772" s="5812">
        <v>1</v>
      </c>
      <c r="G2772" s="5813">
        <v>0.12083333333333333</v>
      </c>
      <c r="H2772" s="21" t="s">
        <v>10</v>
      </c>
      <c r="I2772" s="21" t="s">
        <v>11</v>
      </c>
      <c r="J2772" s="21" t="s">
        <v>406</v>
      </c>
      <c r="K2772" s="5814" t="s">
        <v>9119</v>
      </c>
    </row>
    <row r="2773" spans="1:11">
      <c r="A2773" s="21" t="s">
        <v>2341</v>
      </c>
      <c r="B2773" s="21" t="s">
        <v>9120</v>
      </c>
      <c r="C2773" s="21" t="s">
        <v>22</v>
      </c>
      <c r="D2773" s="21" t="s">
        <v>944</v>
      </c>
      <c r="E2773" s="21" t="s">
        <v>46</v>
      </c>
      <c r="F2773" s="5812">
        <v>1</v>
      </c>
      <c r="G2773" s="5813">
        <v>0.13541666666666666</v>
      </c>
      <c r="H2773" s="21" t="s">
        <v>10</v>
      </c>
      <c r="I2773" s="21" t="s">
        <v>47</v>
      </c>
      <c r="J2773" s="21" t="s">
        <v>127</v>
      </c>
      <c r="K2773" s="5814" t="s">
        <v>9121</v>
      </c>
    </row>
    <row r="2774" spans="1:11">
      <c r="A2774" s="21" t="s">
        <v>2362</v>
      </c>
      <c r="B2774" s="21" t="s">
        <v>9122</v>
      </c>
      <c r="C2774" s="21" t="s">
        <v>22</v>
      </c>
      <c r="D2774" s="21" t="s">
        <v>944</v>
      </c>
      <c r="E2774" s="21" t="s">
        <v>46</v>
      </c>
      <c r="F2774" s="5812">
        <v>1</v>
      </c>
      <c r="G2774" s="5813">
        <v>0.1361111111111111</v>
      </c>
      <c r="H2774" s="21" t="s">
        <v>10</v>
      </c>
      <c r="I2774" s="21" t="s">
        <v>39</v>
      </c>
      <c r="J2774" s="21" t="s">
        <v>3226</v>
      </c>
      <c r="K2774" s="5814" t="s">
        <v>9123</v>
      </c>
    </row>
    <row r="2775" spans="1:11">
      <c r="A2775" s="21" t="s">
        <v>2156</v>
      </c>
      <c r="B2775" s="21" t="s">
        <v>9124</v>
      </c>
      <c r="C2775" s="21" t="s">
        <v>8</v>
      </c>
      <c r="D2775" s="21" t="s">
        <v>944</v>
      </c>
      <c r="E2775" s="21" t="s">
        <v>46</v>
      </c>
      <c r="F2775" s="5812">
        <v>1</v>
      </c>
      <c r="G2775" s="5813">
        <v>0.13680555555555557</v>
      </c>
      <c r="H2775" s="21" t="s">
        <v>10</v>
      </c>
      <c r="I2775" s="21" t="s">
        <v>23</v>
      </c>
      <c r="J2775" s="21" t="s">
        <v>48</v>
      </c>
      <c r="K2775" s="5814" t="s">
        <v>9125</v>
      </c>
    </row>
    <row r="2776" spans="1:11">
      <c r="A2776" s="21" t="s">
        <v>115</v>
      </c>
      <c r="B2776" s="21" t="s">
        <v>1002</v>
      </c>
      <c r="C2776" s="21" t="s">
        <v>8</v>
      </c>
      <c r="D2776" s="21" t="s">
        <v>944</v>
      </c>
      <c r="E2776" s="21" t="s">
        <v>46</v>
      </c>
      <c r="F2776" s="5812">
        <v>1</v>
      </c>
      <c r="G2776" s="5813">
        <v>0.13750000000000001</v>
      </c>
      <c r="H2776" s="21" t="s">
        <v>10</v>
      </c>
      <c r="I2776" s="21" t="s">
        <v>117</v>
      </c>
      <c r="J2776" s="21" t="s">
        <v>48</v>
      </c>
      <c r="K2776" s="5814" t="s">
        <v>1003</v>
      </c>
    </row>
    <row r="2777" spans="1:11">
      <c r="A2777" s="21" t="s">
        <v>2944</v>
      </c>
      <c r="B2777" s="21" t="s">
        <v>9126</v>
      </c>
      <c r="C2777" s="21" t="s">
        <v>22</v>
      </c>
      <c r="D2777" s="21" t="s">
        <v>944</v>
      </c>
      <c r="E2777" s="21" t="s">
        <v>46</v>
      </c>
      <c r="F2777" s="5812">
        <v>1</v>
      </c>
      <c r="G2777" s="5813">
        <v>0.13750000000000001</v>
      </c>
      <c r="H2777" s="21" t="s">
        <v>10</v>
      </c>
      <c r="I2777" s="21" t="s">
        <v>89</v>
      </c>
      <c r="J2777" s="21" t="s">
        <v>48</v>
      </c>
      <c r="K2777" s="5814" t="s">
        <v>9127</v>
      </c>
    </row>
    <row r="2778" spans="1:11">
      <c r="A2778" s="21" t="s">
        <v>2517</v>
      </c>
      <c r="B2778" s="21" t="s">
        <v>9128</v>
      </c>
      <c r="C2778" s="21" t="s">
        <v>22</v>
      </c>
      <c r="D2778" s="21" t="s">
        <v>944</v>
      </c>
      <c r="E2778" s="21" t="s">
        <v>46</v>
      </c>
      <c r="F2778" s="5812">
        <v>1</v>
      </c>
      <c r="G2778" s="5813">
        <v>0.14027777777777778</v>
      </c>
      <c r="H2778" s="21" t="s">
        <v>10</v>
      </c>
      <c r="I2778" s="21" t="s">
        <v>2523</v>
      </c>
      <c r="J2778" s="21" t="s">
        <v>48</v>
      </c>
      <c r="K2778" s="5814" t="s">
        <v>9129</v>
      </c>
    </row>
    <row r="2779" spans="1:11">
      <c r="A2779" s="21" t="s">
        <v>3541</v>
      </c>
      <c r="B2779" s="21" t="s">
        <v>9130</v>
      </c>
      <c r="C2779" s="21" t="s">
        <v>22</v>
      </c>
      <c r="D2779" s="21" t="s">
        <v>944</v>
      </c>
      <c r="E2779" s="21" t="s">
        <v>46</v>
      </c>
      <c r="F2779" s="5812">
        <v>1</v>
      </c>
      <c r="G2779" s="5813">
        <v>0.14027777777777778</v>
      </c>
      <c r="H2779" s="21" t="s">
        <v>10</v>
      </c>
      <c r="I2779" s="21" t="s">
        <v>226</v>
      </c>
      <c r="J2779" s="21" t="s">
        <v>97</v>
      </c>
      <c r="K2779" s="5814" t="s">
        <v>9131</v>
      </c>
    </row>
    <row r="2780" spans="1:11">
      <c r="A2780" s="21" t="s">
        <v>3761</v>
      </c>
      <c r="B2780" s="21" t="s">
        <v>9132</v>
      </c>
      <c r="C2780" s="21" t="s">
        <v>22</v>
      </c>
      <c r="D2780" s="21" t="s">
        <v>944</v>
      </c>
      <c r="E2780" s="21" t="s">
        <v>46</v>
      </c>
      <c r="F2780" s="5812">
        <v>1</v>
      </c>
      <c r="G2780" s="5813">
        <v>0.14791666666666667</v>
      </c>
      <c r="H2780" s="21" t="s">
        <v>10</v>
      </c>
      <c r="I2780" s="21" t="s">
        <v>2544</v>
      </c>
      <c r="J2780" s="21" t="s">
        <v>48</v>
      </c>
      <c r="K2780" s="5814" t="s">
        <v>9133</v>
      </c>
    </row>
    <row r="2781" spans="1:11">
      <c r="A2781" s="21" t="s">
        <v>3039</v>
      </c>
      <c r="B2781" s="21" t="s">
        <v>9134</v>
      </c>
      <c r="C2781" s="21" t="s">
        <v>22</v>
      </c>
      <c r="D2781" s="21" t="s">
        <v>944</v>
      </c>
      <c r="E2781" s="21" t="s">
        <v>46</v>
      </c>
      <c r="F2781" s="5812">
        <v>1</v>
      </c>
      <c r="G2781" s="5813">
        <v>0.14930555555555555</v>
      </c>
      <c r="H2781" s="21" t="s">
        <v>10</v>
      </c>
      <c r="I2781" s="21" t="s">
        <v>39</v>
      </c>
      <c r="J2781" s="21" t="s">
        <v>48</v>
      </c>
      <c r="K2781" s="5814" t="s">
        <v>9135</v>
      </c>
    </row>
    <row r="2782" spans="1:11">
      <c r="A2782" s="21" t="s">
        <v>2839</v>
      </c>
      <c r="B2782" s="21" t="s">
        <v>9136</v>
      </c>
      <c r="C2782" s="21" t="s">
        <v>8</v>
      </c>
      <c r="D2782" s="21" t="s">
        <v>944</v>
      </c>
      <c r="E2782" s="21" t="s">
        <v>46</v>
      </c>
      <c r="F2782" s="5812">
        <v>1</v>
      </c>
      <c r="G2782" s="5813">
        <v>0.15208333333333332</v>
      </c>
      <c r="H2782" s="21" t="s">
        <v>10</v>
      </c>
      <c r="I2782" s="21" t="s">
        <v>187</v>
      </c>
      <c r="J2782" s="21" t="s">
        <v>406</v>
      </c>
      <c r="K2782" s="5814" t="s">
        <v>9137</v>
      </c>
    </row>
    <row r="2783" spans="1:11">
      <c r="A2783" s="21" t="s">
        <v>3765</v>
      </c>
      <c r="B2783" s="21" t="s">
        <v>9138</v>
      </c>
      <c r="C2783" s="21" t="s">
        <v>8</v>
      </c>
      <c r="D2783" s="21" t="s">
        <v>944</v>
      </c>
      <c r="E2783" s="21" t="s">
        <v>46</v>
      </c>
      <c r="F2783" s="5812">
        <v>1</v>
      </c>
      <c r="G2783" s="5813">
        <v>0.15972222222222221</v>
      </c>
      <c r="H2783" s="21" t="s">
        <v>54</v>
      </c>
      <c r="I2783" s="21" t="s">
        <v>226</v>
      </c>
      <c r="J2783" s="21" t="s">
        <v>722</v>
      </c>
      <c r="K2783" s="5814" t="s">
        <v>9139</v>
      </c>
    </row>
    <row r="2784" spans="1:11">
      <c r="A2784" s="21" t="s">
        <v>2403</v>
      </c>
      <c r="B2784" s="21" t="s">
        <v>9140</v>
      </c>
      <c r="C2784" s="21" t="s">
        <v>8</v>
      </c>
      <c r="D2784" s="21" t="s">
        <v>944</v>
      </c>
      <c r="E2784" s="21" t="s">
        <v>46</v>
      </c>
      <c r="F2784" s="5812">
        <v>1</v>
      </c>
      <c r="G2784" s="5813">
        <v>0.15972222222222221</v>
      </c>
      <c r="H2784" s="21" t="s">
        <v>10</v>
      </c>
      <c r="I2784" s="21" t="s">
        <v>55</v>
      </c>
      <c r="J2784" s="21" t="s">
        <v>48</v>
      </c>
      <c r="K2784" s="5814" t="s">
        <v>9141</v>
      </c>
    </row>
    <row r="2785" spans="1:11">
      <c r="A2785" s="21" t="s">
        <v>2225</v>
      </c>
      <c r="B2785" s="21" t="s">
        <v>9142</v>
      </c>
      <c r="C2785" s="21" t="s">
        <v>22</v>
      </c>
      <c r="D2785" s="21" t="s">
        <v>944</v>
      </c>
      <c r="E2785" s="21" t="s">
        <v>46</v>
      </c>
      <c r="F2785" s="5812">
        <v>1</v>
      </c>
      <c r="G2785" s="5813">
        <v>0.15972222222222221</v>
      </c>
      <c r="H2785" s="21" t="s">
        <v>10</v>
      </c>
      <c r="I2785" s="21" t="s">
        <v>162</v>
      </c>
      <c r="J2785" s="21" t="s">
        <v>3226</v>
      </c>
      <c r="K2785" s="5814" t="s">
        <v>9143</v>
      </c>
    </row>
    <row r="2786" spans="1:11">
      <c r="A2786" s="21" t="s">
        <v>2387</v>
      </c>
      <c r="B2786" s="21" t="s">
        <v>9144</v>
      </c>
      <c r="C2786" s="21" t="s">
        <v>8</v>
      </c>
      <c r="D2786" s="21" t="s">
        <v>944</v>
      </c>
      <c r="E2786" s="21" t="s">
        <v>46</v>
      </c>
      <c r="F2786" s="5812">
        <v>1</v>
      </c>
      <c r="G2786" s="5813">
        <v>0.16319444444444445</v>
      </c>
      <c r="H2786" s="21" t="s">
        <v>10</v>
      </c>
      <c r="I2786" s="21" t="s">
        <v>23</v>
      </c>
      <c r="J2786" s="21" t="s">
        <v>48</v>
      </c>
      <c r="K2786" s="5814" t="s">
        <v>9145</v>
      </c>
    </row>
    <row r="2787" spans="1:11">
      <c r="A2787" s="21" t="s">
        <v>4345</v>
      </c>
      <c r="B2787" s="21" t="s">
        <v>9146</v>
      </c>
      <c r="C2787" s="21" t="s">
        <v>8</v>
      </c>
      <c r="D2787" s="21" t="s">
        <v>944</v>
      </c>
      <c r="E2787" s="21" t="s">
        <v>46</v>
      </c>
      <c r="F2787" s="5812">
        <v>1</v>
      </c>
      <c r="G2787" s="5813">
        <v>0.17152777777777778</v>
      </c>
      <c r="H2787" s="21" t="s">
        <v>54</v>
      </c>
      <c r="I2787" s="21" t="s">
        <v>55</v>
      </c>
      <c r="J2787" s="21" t="s">
        <v>722</v>
      </c>
      <c r="K2787" s="5814" t="s">
        <v>9147</v>
      </c>
    </row>
    <row r="2788" spans="1:11">
      <c r="A2788" s="21" t="s">
        <v>3338</v>
      </c>
      <c r="B2788" s="21" t="s">
        <v>9148</v>
      </c>
      <c r="C2788" s="21" t="s">
        <v>22</v>
      </c>
      <c r="D2788" s="21" t="s">
        <v>944</v>
      </c>
      <c r="E2788" s="21" t="s">
        <v>46</v>
      </c>
      <c r="F2788" s="5812">
        <v>1</v>
      </c>
      <c r="G2788" s="5813">
        <v>0.17291666666666666</v>
      </c>
      <c r="H2788" s="21" t="s">
        <v>10</v>
      </c>
      <c r="I2788" s="21" t="s">
        <v>226</v>
      </c>
      <c r="J2788" s="21" t="s">
        <v>9149</v>
      </c>
      <c r="K2788" s="5814" t="s">
        <v>9150</v>
      </c>
    </row>
    <row r="2789" spans="1:11">
      <c r="A2789" s="21" t="s">
        <v>2354</v>
      </c>
      <c r="B2789" s="21" t="s">
        <v>9151</v>
      </c>
      <c r="C2789" s="21" t="s">
        <v>22</v>
      </c>
      <c r="D2789" s="21" t="s">
        <v>944</v>
      </c>
      <c r="E2789" s="21" t="s">
        <v>46</v>
      </c>
      <c r="F2789" s="5812">
        <v>1</v>
      </c>
      <c r="G2789" s="5813">
        <v>0.17569444444444443</v>
      </c>
      <c r="H2789" s="21" t="s">
        <v>10</v>
      </c>
      <c r="I2789" s="21" t="s">
        <v>788</v>
      </c>
      <c r="J2789" s="21" t="s">
        <v>48</v>
      </c>
      <c r="K2789" s="5814" t="s">
        <v>9152</v>
      </c>
    </row>
    <row r="2790" spans="1:11">
      <c r="A2790" s="21" t="s">
        <v>2135</v>
      </c>
      <c r="B2790" s="21" t="s">
        <v>9153</v>
      </c>
      <c r="C2790" s="21" t="s">
        <v>8</v>
      </c>
      <c r="D2790" s="21" t="s">
        <v>944</v>
      </c>
      <c r="E2790" s="21" t="s">
        <v>46</v>
      </c>
      <c r="F2790" s="5812">
        <v>1</v>
      </c>
      <c r="G2790" s="5813">
        <v>0.1763888888888889</v>
      </c>
      <c r="H2790" s="21" t="s">
        <v>10</v>
      </c>
      <c r="I2790" s="21" t="s">
        <v>55</v>
      </c>
      <c r="J2790" s="21" t="s">
        <v>48</v>
      </c>
      <c r="K2790" s="5814" t="s">
        <v>9154</v>
      </c>
    </row>
    <row r="2791" spans="1:11">
      <c r="A2791" s="21" t="s">
        <v>3220</v>
      </c>
      <c r="B2791" s="21" t="s">
        <v>9155</v>
      </c>
      <c r="C2791" s="21" t="s">
        <v>22</v>
      </c>
      <c r="D2791" s="21" t="s">
        <v>944</v>
      </c>
      <c r="E2791" s="21" t="s">
        <v>46</v>
      </c>
      <c r="F2791" s="5812">
        <v>1</v>
      </c>
      <c r="G2791" s="5813">
        <v>0.18541666666666667</v>
      </c>
      <c r="H2791" s="21" t="s">
        <v>10</v>
      </c>
      <c r="I2791" s="21" t="s">
        <v>194</v>
      </c>
      <c r="J2791" s="21" t="s">
        <v>48</v>
      </c>
      <c r="K2791" s="5814" t="s">
        <v>9156</v>
      </c>
    </row>
    <row r="2792" spans="1:11">
      <c r="A2792" s="21" t="s">
        <v>2835</v>
      </c>
      <c r="B2792" s="21" t="s">
        <v>9157</v>
      </c>
      <c r="C2792" s="21" t="s">
        <v>8</v>
      </c>
      <c r="D2792" s="21" t="s">
        <v>944</v>
      </c>
      <c r="E2792" s="21" t="s">
        <v>46</v>
      </c>
      <c r="F2792" s="5812">
        <v>1</v>
      </c>
      <c r="G2792" s="5813">
        <v>0.18888888888888888</v>
      </c>
      <c r="H2792" s="21" t="s">
        <v>10</v>
      </c>
      <c r="I2792" s="21" t="s">
        <v>47</v>
      </c>
      <c r="J2792" s="21" t="s">
        <v>48</v>
      </c>
      <c r="K2792" s="5814" t="s">
        <v>9158</v>
      </c>
    </row>
    <row r="2793" spans="1:11">
      <c r="A2793" s="21" t="s">
        <v>125</v>
      </c>
      <c r="B2793" s="21" t="s">
        <v>1008</v>
      </c>
      <c r="C2793" s="21" t="s">
        <v>8</v>
      </c>
      <c r="D2793" s="21" t="s">
        <v>944</v>
      </c>
      <c r="E2793" s="21" t="s">
        <v>46</v>
      </c>
      <c r="F2793" s="5812">
        <v>1</v>
      </c>
      <c r="G2793" s="5813">
        <v>0.18958333333333333</v>
      </c>
      <c r="H2793" s="21" t="s">
        <v>10</v>
      </c>
      <c r="I2793" s="21" t="s">
        <v>39</v>
      </c>
      <c r="J2793" s="21" t="s">
        <v>127</v>
      </c>
      <c r="K2793" s="5814" t="s">
        <v>1009</v>
      </c>
    </row>
    <row r="2794" spans="1:11">
      <c r="A2794" s="21" t="s">
        <v>2897</v>
      </c>
      <c r="B2794" s="21" t="s">
        <v>9159</v>
      </c>
      <c r="C2794" s="21" t="s">
        <v>22</v>
      </c>
      <c r="D2794" s="21" t="s">
        <v>944</v>
      </c>
      <c r="E2794" s="21" t="s">
        <v>46</v>
      </c>
      <c r="F2794" s="5812">
        <v>1</v>
      </c>
      <c r="G2794" s="5813">
        <v>0.19027777777777777</v>
      </c>
      <c r="H2794" s="21" t="s">
        <v>10</v>
      </c>
      <c r="I2794" s="21" t="s">
        <v>39</v>
      </c>
      <c r="J2794" s="21" t="s">
        <v>258</v>
      </c>
      <c r="K2794" s="5814" t="s">
        <v>9160</v>
      </c>
    </row>
    <row r="2795" spans="1:11">
      <c r="A2795" s="21" t="s">
        <v>2812</v>
      </c>
      <c r="B2795" s="21" t="s">
        <v>9161</v>
      </c>
      <c r="C2795" s="21" t="s">
        <v>8</v>
      </c>
      <c r="D2795" s="21" t="s">
        <v>944</v>
      </c>
      <c r="E2795" s="21" t="s">
        <v>46</v>
      </c>
      <c r="F2795" s="5812">
        <v>1</v>
      </c>
      <c r="G2795" s="5813">
        <v>0.19236111111111112</v>
      </c>
      <c r="H2795" s="21" t="s">
        <v>54</v>
      </c>
      <c r="I2795" s="21" t="s">
        <v>47</v>
      </c>
      <c r="J2795" s="21" t="s">
        <v>4586</v>
      </c>
      <c r="K2795" s="5814" t="s">
        <v>9162</v>
      </c>
    </row>
    <row r="2796" spans="1:11">
      <c r="A2796" s="21" t="s">
        <v>2839</v>
      </c>
      <c r="B2796" s="21" t="s">
        <v>9163</v>
      </c>
      <c r="C2796" s="21" t="s">
        <v>8</v>
      </c>
      <c r="D2796" s="21" t="s">
        <v>944</v>
      </c>
      <c r="E2796" s="21" t="s">
        <v>46</v>
      </c>
      <c r="F2796" s="5812">
        <v>1</v>
      </c>
      <c r="G2796" s="5813">
        <v>0.19305555555555556</v>
      </c>
      <c r="H2796" s="21" t="s">
        <v>10</v>
      </c>
      <c r="I2796" s="21" t="s">
        <v>233</v>
      </c>
      <c r="J2796" s="21" t="s">
        <v>430</v>
      </c>
      <c r="K2796" s="5814" t="s">
        <v>9164</v>
      </c>
    </row>
    <row r="2797" spans="1:11">
      <c r="A2797" s="21" t="s">
        <v>2495</v>
      </c>
      <c r="B2797" s="21" t="s">
        <v>9165</v>
      </c>
      <c r="C2797" s="21" t="s">
        <v>22</v>
      </c>
      <c r="D2797" s="21" t="s">
        <v>944</v>
      </c>
      <c r="E2797" s="21" t="s">
        <v>46</v>
      </c>
      <c r="F2797" s="5812">
        <v>1</v>
      </c>
      <c r="G2797" s="5813">
        <v>0.19791666666666666</v>
      </c>
      <c r="H2797" s="21" t="s">
        <v>10</v>
      </c>
      <c r="I2797" s="21" t="s">
        <v>23</v>
      </c>
      <c r="J2797" s="21" t="s">
        <v>417</v>
      </c>
      <c r="K2797" s="5814" t="s">
        <v>9166</v>
      </c>
    </row>
    <row r="2798" spans="1:11">
      <c r="A2798" s="21" t="s">
        <v>2258</v>
      </c>
      <c r="B2798" s="21" t="s">
        <v>9167</v>
      </c>
      <c r="C2798" s="21" t="s">
        <v>8</v>
      </c>
      <c r="D2798" s="21" t="s">
        <v>944</v>
      </c>
      <c r="E2798" s="21" t="s">
        <v>46</v>
      </c>
      <c r="F2798" s="5812">
        <v>1</v>
      </c>
      <c r="G2798" s="5813">
        <v>0.19791666666666666</v>
      </c>
      <c r="H2798" s="21" t="s">
        <v>10</v>
      </c>
      <c r="I2798" s="21" t="s">
        <v>2713</v>
      </c>
      <c r="J2798" s="21" t="s">
        <v>48</v>
      </c>
      <c r="K2798" s="5814" t="s">
        <v>9168</v>
      </c>
    </row>
    <row r="2799" spans="1:11">
      <c r="A2799" s="21" t="s">
        <v>2551</v>
      </c>
      <c r="B2799" s="21" t="s">
        <v>9169</v>
      </c>
      <c r="C2799" s="21" t="s">
        <v>8</v>
      </c>
      <c r="D2799" s="21" t="s">
        <v>944</v>
      </c>
      <c r="E2799" s="21" t="s">
        <v>46</v>
      </c>
      <c r="F2799" s="5812">
        <v>1</v>
      </c>
      <c r="G2799" s="5813">
        <v>0.19930555555555557</v>
      </c>
      <c r="H2799" s="21" t="s">
        <v>10</v>
      </c>
      <c r="I2799" s="21" t="s">
        <v>2218</v>
      </c>
      <c r="J2799" s="21" t="s">
        <v>127</v>
      </c>
      <c r="K2799" s="5814" t="s">
        <v>9170</v>
      </c>
    </row>
    <row r="2800" spans="1:11">
      <c r="A2800" s="21" t="s">
        <v>3160</v>
      </c>
      <c r="B2800" s="21" t="s">
        <v>9171</v>
      </c>
      <c r="C2800" s="21" t="s">
        <v>8</v>
      </c>
      <c r="D2800" s="21" t="s">
        <v>944</v>
      </c>
      <c r="E2800" s="21" t="s">
        <v>46</v>
      </c>
      <c r="F2800" s="5812">
        <v>1</v>
      </c>
      <c r="G2800" s="5813">
        <v>0.19930555555555557</v>
      </c>
      <c r="H2800" s="21" t="s">
        <v>10</v>
      </c>
      <c r="I2800" s="21" t="s">
        <v>55</v>
      </c>
      <c r="J2800" s="21" t="s">
        <v>616</v>
      </c>
      <c r="K2800" s="5814" t="s">
        <v>9172</v>
      </c>
    </row>
    <row r="2801" spans="1:11">
      <c r="A2801" s="21" t="s">
        <v>2424</v>
      </c>
      <c r="B2801" s="21" t="s">
        <v>9173</v>
      </c>
      <c r="C2801" s="21" t="s">
        <v>8</v>
      </c>
      <c r="D2801" s="21" t="s">
        <v>944</v>
      </c>
      <c r="E2801" s="21" t="s">
        <v>46</v>
      </c>
      <c r="F2801" s="5812">
        <v>1</v>
      </c>
      <c r="G2801" s="5813">
        <v>0.2</v>
      </c>
      <c r="H2801" s="21" t="s">
        <v>10</v>
      </c>
      <c r="I2801" s="21" t="s">
        <v>39</v>
      </c>
      <c r="J2801" s="21" t="s">
        <v>3168</v>
      </c>
      <c r="K2801" s="5814" t="s">
        <v>9174</v>
      </c>
    </row>
    <row r="2802" spans="1:11">
      <c r="A2802" s="21" t="s">
        <v>4043</v>
      </c>
      <c r="B2802" s="21" t="s">
        <v>9175</v>
      </c>
      <c r="C2802" s="21" t="s">
        <v>8</v>
      </c>
      <c r="D2802" s="21" t="s">
        <v>944</v>
      </c>
      <c r="E2802" s="21" t="s">
        <v>46</v>
      </c>
      <c r="F2802" s="5812">
        <v>1</v>
      </c>
      <c r="G2802" s="5813">
        <v>0.2</v>
      </c>
      <c r="H2802" s="21" t="s">
        <v>10</v>
      </c>
      <c r="I2802" s="21" t="s">
        <v>55</v>
      </c>
      <c r="J2802" s="21" t="s">
        <v>48</v>
      </c>
      <c r="K2802" s="5814" t="s">
        <v>9176</v>
      </c>
    </row>
    <row r="2803" spans="1:11">
      <c r="A2803" s="21" t="s">
        <v>3741</v>
      </c>
      <c r="B2803" s="21" t="s">
        <v>9177</v>
      </c>
      <c r="C2803" s="21" t="s">
        <v>22</v>
      </c>
      <c r="D2803" s="21" t="s">
        <v>944</v>
      </c>
      <c r="E2803" s="21" t="s">
        <v>46</v>
      </c>
      <c r="F2803" s="5812">
        <v>1</v>
      </c>
      <c r="G2803" s="5813">
        <v>0.20208333333333334</v>
      </c>
      <c r="H2803" s="21" t="s">
        <v>10</v>
      </c>
      <c r="I2803" s="21" t="s">
        <v>55</v>
      </c>
      <c r="J2803" s="21" t="s">
        <v>97</v>
      </c>
      <c r="K2803" s="5814" t="s">
        <v>9178</v>
      </c>
    </row>
    <row r="2804" spans="1:11">
      <c r="A2804" s="21" t="s">
        <v>37</v>
      </c>
      <c r="B2804" s="21" t="s">
        <v>968</v>
      </c>
      <c r="C2804" s="21" t="s">
        <v>22</v>
      </c>
      <c r="D2804" s="21" t="s">
        <v>944</v>
      </c>
      <c r="E2804" s="21" t="s">
        <v>46</v>
      </c>
      <c r="F2804" s="5812">
        <v>1</v>
      </c>
      <c r="G2804" s="5813">
        <v>0.2048611111111111</v>
      </c>
      <c r="H2804" s="21" t="s">
        <v>10</v>
      </c>
      <c r="I2804" s="21" t="s">
        <v>23</v>
      </c>
      <c r="J2804" s="21" t="s">
        <v>48</v>
      </c>
      <c r="K2804" s="5814" t="s">
        <v>969</v>
      </c>
    </row>
    <row r="2805" spans="1:11">
      <c r="A2805" s="21" t="s">
        <v>3006</v>
      </c>
      <c r="B2805" s="21" t="s">
        <v>9179</v>
      </c>
      <c r="C2805" s="21" t="s">
        <v>22</v>
      </c>
      <c r="D2805" s="21" t="s">
        <v>944</v>
      </c>
      <c r="E2805" s="21" t="s">
        <v>46</v>
      </c>
      <c r="F2805" s="5812">
        <v>1</v>
      </c>
      <c r="G2805" s="5813">
        <v>0.20624999999999999</v>
      </c>
      <c r="H2805" s="21" t="s">
        <v>10</v>
      </c>
      <c r="I2805" s="21" t="s">
        <v>3464</v>
      </c>
      <c r="J2805" s="21" t="s">
        <v>48</v>
      </c>
      <c r="K2805" s="5814" t="s">
        <v>9180</v>
      </c>
    </row>
    <row r="2806" spans="1:11">
      <c r="A2806" s="21" t="s">
        <v>2761</v>
      </c>
      <c r="B2806" s="21" t="s">
        <v>9181</v>
      </c>
      <c r="C2806" s="21" t="s">
        <v>8</v>
      </c>
      <c r="D2806" s="21" t="s">
        <v>944</v>
      </c>
      <c r="E2806" s="21" t="s">
        <v>46</v>
      </c>
      <c r="F2806" s="5812">
        <v>1</v>
      </c>
      <c r="G2806" s="5813">
        <v>0.2076388888888889</v>
      </c>
      <c r="H2806" s="21" t="s">
        <v>10</v>
      </c>
      <c r="I2806" s="21" t="s">
        <v>400</v>
      </c>
      <c r="J2806" s="21" t="s">
        <v>406</v>
      </c>
      <c r="K2806" s="5814" t="s">
        <v>9182</v>
      </c>
    </row>
    <row r="2807" spans="1:11">
      <c r="A2807" s="21" t="s">
        <v>3220</v>
      </c>
      <c r="B2807" s="21" t="s">
        <v>9183</v>
      </c>
      <c r="C2807" s="21" t="s">
        <v>8</v>
      </c>
      <c r="D2807" s="21" t="s">
        <v>944</v>
      </c>
      <c r="E2807" s="21" t="s">
        <v>46</v>
      </c>
      <c r="F2807" s="5812">
        <v>2</v>
      </c>
      <c r="G2807" s="5813">
        <v>1.2500000000000001E-2</v>
      </c>
      <c r="H2807" s="21" t="s">
        <v>10</v>
      </c>
      <c r="I2807" s="21" t="s">
        <v>226</v>
      </c>
      <c r="J2807" s="21" t="s">
        <v>154</v>
      </c>
      <c r="K2807" s="5814" t="s">
        <v>9184</v>
      </c>
    </row>
    <row r="2808" spans="1:11">
      <c r="A2808" s="21" t="s">
        <v>5335</v>
      </c>
      <c r="B2808" s="21" t="s">
        <v>9185</v>
      </c>
      <c r="C2808" s="21" t="s">
        <v>8</v>
      </c>
      <c r="D2808" s="21" t="s">
        <v>944</v>
      </c>
      <c r="E2808" s="21" t="s">
        <v>46</v>
      </c>
      <c r="F2808" s="5812">
        <v>2</v>
      </c>
      <c r="G2808" s="5813">
        <v>1.2500000000000001E-2</v>
      </c>
      <c r="H2808" s="21" t="s">
        <v>10</v>
      </c>
      <c r="I2808" s="21" t="s">
        <v>55</v>
      </c>
      <c r="J2808" s="21" t="s">
        <v>97</v>
      </c>
      <c r="K2808" s="5814" t="s">
        <v>9186</v>
      </c>
    </row>
    <row r="2809" spans="1:11">
      <c r="A2809" s="21" t="s">
        <v>2858</v>
      </c>
      <c r="B2809" s="21" t="s">
        <v>9161</v>
      </c>
      <c r="C2809" s="21" t="s">
        <v>22</v>
      </c>
      <c r="D2809" s="21" t="s">
        <v>944</v>
      </c>
      <c r="E2809" s="21" t="s">
        <v>46</v>
      </c>
      <c r="F2809" s="5812">
        <v>2</v>
      </c>
      <c r="G2809" s="5813">
        <v>1.7361111111111112E-2</v>
      </c>
      <c r="H2809" s="21" t="s">
        <v>10</v>
      </c>
      <c r="I2809" s="21" t="s">
        <v>2660</v>
      </c>
      <c r="J2809" s="21" t="s">
        <v>7901</v>
      </c>
      <c r="K2809" s="5814" t="s">
        <v>9187</v>
      </c>
    </row>
    <row r="2810" spans="1:11">
      <c r="A2810" s="21" t="s">
        <v>3446</v>
      </c>
      <c r="B2810" s="21" t="s">
        <v>9188</v>
      </c>
      <c r="C2810" s="21" t="s">
        <v>22</v>
      </c>
      <c r="D2810" s="21" t="s">
        <v>944</v>
      </c>
      <c r="E2810" s="21" t="s">
        <v>46</v>
      </c>
      <c r="F2810" s="5812">
        <v>2</v>
      </c>
      <c r="G2810" s="5813">
        <v>1.8749999999999999E-2</v>
      </c>
      <c r="H2810" s="21" t="s">
        <v>54</v>
      </c>
      <c r="I2810" s="21" t="s">
        <v>47</v>
      </c>
      <c r="J2810" s="21" t="s">
        <v>48</v>
      </c>
      <c r="K2810" s="5814" t="s">
        <v>9189</v>
      </c>
    </row>
    <row r="2811" spans="1:11">
      <c r="A2811" s="21" t="s">
        <v>2358</v>
      </c>
      <c r="B2811" s="21" t="s">
        <v>9190</v>
      </c>
      <c r="C2811" s="21" t="s">
        <v>22</v>
      </c>
      <c r="D2811" s="21" t="s">
        <v>944</v>
      </c>
      <c r="E2811" s="21" t="s">
        <v>46</v>
      </c>
      <c r="F2811" s="5812">
        <v>2</v>
      </c>
      <c r="G2811" s="5813">
        <v>1.9444444444444445E-2</v>
      </c>
      <c r="H2811" s="21" t="s">
        <v>10</v>
      </c>
      <c r="I2811" s="21" t="s">
        <v>39</v>
      </c>
      <c r="J2811" s="21" t="s">
        <v>97</v>
      </c>
      <c r="K2811" s="5814" t="s">
        <v>9191</v>
      </c>
    </row>
    <row r="2812" spans="1:11">
      <c r="A2812" s="21" t="s">
        <v>3409</v>
      </c>
      <c r="B2812" s="21" t="s">
        <v>9192</v>
      </c>
      <c r="C2812" s="21" t="s">
        <v>8</v>
      </c>
      <c r="D2812" s="21" t="s">
        <v>944</v>
      </c>
      <c r="E2812" s="21" t="s">
        <v>46</v>
      </c>
      <c r="F2812" s="5812">
        <v>2</v>
      </c>
      <c r="G2812" s="5813">
        <v>1.9444444444444445E-2</v>
      </c>
      <c r="H2812" s="21" t="s">
        <v>10</v>
      </c>
      <c r="I2812" s="21" t="s">
        <v>226</v>
      </c>
      <c r="J2812" s="21" t="s">
        <v>48</v>
      </c>
      <c r="K2812" s="5814" t="s">
        <v>9193</v>
      </c>
    </row>
    <row r="2813" spans="1:11">
      <c r="A2813" s="21" t="s">
        <v>3630</v>
      </c>
      <c r="B2813" s="21" t="s">
        <v>9194</v>
      </c>
      <c r="C2813" s="21" t="s">
        <v>22</v>
      </c>
      <c r="D2813" s="21" t="s">
        <v>944</v>
      </c>
      <c r="E2813" s="21" t="s">
        <v>46</v>
      </c>
      <c r="F2813" s="5812">
        <v>2</v>
      </c>
      <c r="G2813" s="5813">
        <v>1.9444444444444445E-2</v>
      </c>
      <c r="H2813" s="21" t="s">
        <v>10</v>
      </c>
      <c r="I2813" s="21" t="s">
        <v>55</v>
      </c>
      <c r="J2813" s="21" t="s">
        <v>48</v>
      </c>
      <c r="K2813" s="5814" t="s">
        <v>9195</v>
      </c>
    </row>
    <row r="2814" spans="1:11">
      <c r="A2814" s="21" t="s">
        <v>5015</v>
      </c>
      <c r="B2814" s="21" t="s">
        <v>9196</v>
      </c>
      <c r="C2814" s="21" t="s">
        <v>8</v>
      </c>
      <c r="D2814" s="21" t="s">
        <v>944</v>
      </c>
      <c r="E2814" s="21" t="s">
        <v>46</v>
      </c>
      <c r="F2814" s="5812">
        <v>2</v>
      </c>
      <c r="G2814" s="5813">
        <v>2.2916666666666665E-2</v>
      </c>
      <c r="H2814" s="21" t="s">
        <v>10</v>
      </c>
      <c r="I2814" s="21" t="s">
        <v>47</v>
      </c>
      <c r="J2814" s="21" t="s">
        <v>722</v>
      </c>
      <c r="K2814" s="5814" t="s">
        <v>9197</v>
      </c>
    </row>
    <row r="2815" spans="1:11">
      <c r="A2815" s="21" t="s">
        <v>115</v>
      </c>
      <c r="B2815" s="21" t="s">
        <v>954</v>
      </c>
      <c r="C2815" s="21" t="s">
        <v>22</v>
      </c>
      <c r="D2815" s="21" t="s">
        <v>944</v>
      </c>
      <c r="E2815" s="21" t="s">
        <v>46</v>
      </c>
      <c r="F2815" s="5812">
        <v>2</v>
      </c>
      <c r="G2815" s="5813">
        <v>2.7083333333333334E-2</v>
      </c>
      <c r="H2815" s="21" t="s">
        <v>10</v>
      </c>
      <c r="I2815" s="21" t="s">
        <v>263</v>
      </c>
      <c r="J2815" s="21" t="s">
        <v>955</v>
      </c>
      <c r="K2815" s="5814" t="s">
        <v>956</v>
      </c>
    </row>
    <row r="2816" spans="1:11">
      <c r="A2816" s="21" t="s">
        <v>3741</v>
      </c>
      <c r="B2816" s="21" t="s">
        <v>9198</v>
      </c>
      <c r="C2816" s="21" t="s">
        <v>22</v>
      </c>
      <c r="D2816" s="21" t="s">
        <v>944</v>
      </c>
      <c r="E2816" s="21" t="s">
        <v>46</v>
      </c>
      <c r="F2816" s="5812">
        <v>2</v>
      </c>
      <c r="G2816" s="5813">
        <v>2.7083333333333334E-2</v>
      </c>
      <c r="H2816" s="21" t="s">
        <v>10</v>
      </c>
      <c r="I2816" s="21" t="s">
        <v>11</v>
      </c>
      <c r="J2816" s="21" t="s">
        <v>97</v>
      </c>
      <c r="K2816" s="5814" t="s">
        <v>9199</v>
      </c>
    </row>
    <row r="2817" spans="1:11">
      <c r="A2817" s="21" t="s">
        <v>3651</v>
      </c>
      <c r="B2817" s="21" t="s">
        <v>9200</v>
      </c>
      <c r="C2817" s="21" t="s">
        <v>8</v>
      </c>
      <c r="D2817" s="21" t="s">
        <v>944</v>
      </c>
      <c r="E2817" s="21" t="s">
        <v>46</v>
      </c>
      <c r="F2817" s="5812">
        <v>2</v>
      </c>
      <c r="G2817" s="5813">
        <v>3.1944444444444442E-2</v>
      </c>
      <c r="H2817" s="21" t="s">
        <v>10</v>
      </c>
      <c r="I2817" s="21" t="s">
        <v>187</v>
      </c>
      <c r="J2817" s="21" t="s">
        <v>1076</v>
      </c>
      <c r="K2817" s="5814" t="s">
        <v>9201</v>
      </c>
    </row>
    <row r="2818" spans="1:11">
      <c r="A2818" s="21" t="s">
        <v>5220</v>
      </c>
      <c r="B2818" s="21" t="s">
        <v>9202</v>
      </c>
      <c r="C2818" s="21" t="s">
        <v>8</v>
      </c>
      <c r="D2818" s="21" t="s">
        <v>944</v>
      </c>
      <c r="E2818" s="21" t="s">
        <v>46</v>
      </c>
      <c r="F2818" s="5812">
        <v>2</v>
      </c>
      <c r="G2818" s="5813">
        <v>3.2638888888888891E-2</v>
      </c>
      <c r="H2818" s="21" t="s">
        <v>10</v>
      </c>
      <c r="I2818" s="21" t="s">
        <v>2313</v>
      </c>
      <c r="J2818" s="21" t="s">
        <v>722</v>
      </c>
      <c r="K2818" s="5814" t="s">
        <v>9203</v>
      </c>
    </row>
    <row r="2819" spans="1:11">
      <c r="A2819" s="21" t="s">
        <v>3217</v>
      </c>
      <c r="B2819" s="21" t="s">
        <v>9204</v>
      </c>
      <c r="C2819" s="21" t="s">
        <v>22</v>
      </c>
      <c r="D2819" s="21" t="s">
        <v>944</v>
      </c>
      <c r="E2819" s="21" t="s">
        <v>46</v>
      </c>
      <c r="F2819" s="5812">
        <v>2</v>
      </c>
      <c r="G2819" s="5813">
        <v>4.1666666666666664E-2</v>
      </c>
      <c r="H2819" s="21" t="s">
        <v>10</v>
      </c>
      <c r="I2819" s="21" t="s">
        <v>47</v>
      </c>
      <c r="J2819" s="21" t="s">
        <v>3222</v>
      </c>
      <c r="K2819" s="5814" t="s">
        <v>9205</v>
      </c>
    </row>
    <row r="2820" spans="1:11">
      <c r="A2820" s="21" t="s">
        <v>2745</v>
      </c>
      <c r="B2820" s="21" t="s">
        <v>9206</v>
      </c>
      <c r="C2820" s="21" t="s">
        <v>8</v>
      </c>
      <c r="D2820" s="21" t="s">
        <v>944</v>
      </c>
      <c r="E2820" s="21" t="s">
        <v>46</v>
      </c>
      <c r="F2820" s="5812">
        <v>2</v>
      </c>
      <c r="G2820" s="5813">
        <v>4.3749999999999997E-2</v>
      </c>
      <c r="H2820" s="21" t="s">
        <v>10</v>
      </c>
      <c r="I2820" s="21" t="s">
        <v>47</v>
      </c>
      <c r="J2820" s="21" t="s">
        <v>3004</v>
      </c>
      <c r="K2820" s="5814" t="s">
        <v>9207</v>
      </c>
    </row>
    <row r="2821" spans="1:11">
      <c r="A2821" s="21" t="s">
        <v>2229</v>
      </c>
      <c r="B2821" s="21" t="s">
        <v>9208</v>
      </c>
      <c r="C2821" s="21" t="s">
        <v>8</v>
      </c>
      <c r="D2821" s="21" t="s">
        <v>944</v>
      </c>
      <c r="E2821" s="21" t="s">
        <v>46</v>
      </c>
      <c r="F2821" s="5812">
        <v>2</v>
      </c>
      <c r="G2821" s="5813">
        <v>4.583333333333333E-2</v>
      </c>
      <c r="H2821" s="21" t="s">
        <v>10</v>
      </c>
      <c r="I2821" s="21" t="s">
        <v>2297</v>
      </c>
      <c r="J2821" s="21" t="s">
        <v>127</v>
      </c>
      <c r="K2821" s="5814" t="s">
        <v>9209</v>
      </c>
    </row>
    <row r="2822" spans="1:11">
      <c r="A2822" s="21" t="s">
        <v>2254</v>
      </c>
      <c r="B2822" s="21" t="s">
        <v>9210</v>
      </c>
      <c r="C2822" s="21" t="s">
        <v>8</v>
      </c>
      <c r="D2822" s="21" t="s">
        <v>944</v>
      </c>
      <c r="E2822" s="21" t="s">
        <v>46</v>
      </c>
      <c r="F2822" s="5812">
        <v>2</v>
      </c>
      <c r="G2822" s="5813">
        <v>4.583333333333333E-2</v>
      </c>
      <c r="H2822" s="21" t="s">
        <v>10</v>
      </c>
      <c r="I2822" s="21" t="s">
        <v>96</v>
      </c>
      <c r="J2822" s="21" t="s">
        <v>3000</v>
      </c>
      <c r="K2822" s="5814" t="s">
        <v>9211</v>
      </c>
    </row>
    <row r="2823" spans="1:11">
      <c r="A2823" s="21" t="s">
        <v>4396</v>
      </c>
      <c r="B2823" s="21" t="s">
        <v>9212</v>
      </c>
      <c r="C2823" s="21" t="s">
        <v>8</v>
      </c>
      <c r="D2823" s="21" t="s">
        <v>944</v>
      </c>
      <c r="E2823" s="21" t="s">
        <v>46</v>
      </c>
      <c r="F2823" s="5812">
        <v>2</v>
      </c>
      <c r="G2823" s="5813">
        <v>4.791666666666667E-2</v>
      </c>
      <c r="H2823" s="21" t="s">
        <v>10</v>
      </c>
      <c r="I2823" s="21" t="s">
        <v>23</v>
      </c>
      <c r="J2823" s="21" t="s">
        <v>722</v>
      </c>
      <c r="K2823" s="5814" t="s">
        <v>9213</v>
      </c>
    </row>
    <row r="2824" spans="1:11">
      <c r="A2824" s="21" t="s">
        <v>2966</v>
      </c>
      <c r="B2824" s="21" t="s">
        <v>9214</v>
      </c>
      <c r="C2824" s="21" t="s">
        <v>22</v>
      </c>
      <c r="D2824" s="21" t="s">
        <v>944</v>
      </c>
      <c r="E2824" s="21" t="s">
        <v>46</v>
      </c>
      <c r="F2824" s="5812">
        <v>2</v>
      </c>
      <c r="G2824" s="5813">
        <v>4.8611111111111112E-2</v>
      </c>
      <c r="H2824" s="21" t="s">
        <v>10</v>
      </c>
      <c r="I2824" s="21" t="s">
        <v>55</v>
      </c>
      <c r="J2824" s="21" t="s">
        <v>127</v>
      </c>
      <c r="K2824" s="5814" t="s">
        <v>9215</v>
      </c>
    </row>
    <row r="2825" spans="1:11">
      <c r="A2825" s="21" t="s">
        <v>3195</v>
      </c>
      <c r="B2825" s="21" t="s">
        <v>9216</v>
      </c>
      <c r="C2825" s="21" t="s">
        <v>22</v>
      </c>
      <c r="D2825" s="21" t="s">
        <v>944</v>
      </c>
      <c r="E2825" s="21" t="s">
        <v>46</v>
      </c>
      <c r="F2825" s="5812">
        <v>2</v>
      </c>
      <c r="G2825" s="5813">
        <v>5.7638888888888892E-2</v>
      </c>
      <c r="H2825" s="21" t="s">
        <v>10</v>
      </c>
      <c r="I2825" s="21" t="s">
        <v>2297</v>
      </c>
      <c r="J2825" s="21" t="s">
        <v>97</v>
      </c>
      <c r="K2825" s="5814" t="s">
        <v>9217</v>
      </c>
    </row>
    <row r="2826" spans="1:11">
      <c r="A2826" s="21" t="s">
        <v>2387</v>
      </c>
      <c r="B2826" s="21" t="s">
        <v>9218</v>
      </c>
      <c r="C2826" s="21" t="s">
        <v>22</v>
      </c>
      <c r="D2826" s="21" t="s">
        <v>944</v>
      </c>
      <c r="E2826" s="21" t="s">
        <v>46</v>
      </c>
      <c r="F2826" s="5812">
        <v>2</v>
      </c>
      <c r="G2826" s="5813">
        <v>6.0416666666666667E-2</v>
      </c>
      <c r="H2826" s="21" t="s">
        <v>10</v>
      </c>
      <c r="I2826" s="21" t="s">
        <v>39</v>
      </c>
      <c r="J2826" s="21" t="s">
        <v>4586</v>
      </c>
      <c r="K2826" s="5814" t="s">
        <v>9219</v>
      </c>
    </row>
    <row r="2827" spans="1:11">
      <c r="A2827" s="21" t="s">
        <v>4383</v>
      </c>
      <c r="B2827" s="21" t="s">
        <v>9220</v>
      </c>
      <c r="C2827" s="21" t="s">
        <v>8</v>
      </c>
      <c r="D2827" s="21" t="s">
        <v>944</v>
      </c>
      <c r="E2827" s="21" t="s">
        <v>46</v>
      </c>
      <c r="F2827" s="5812">
        <v>2</v>
      </c>
      <c r="G2827" s="5813">
        <v>6.0416666666666667E-2</v>
      </c>
      <c r="H2827" s="21" t="s">
        <v>10</v>
      </c>
      <c r="I2827" s="21" t="s">
        <v>55</v>
      </c>
      <c r="J2827" s="21" t="s">
        <v>3168</v>
      </c>
      <c r="K2827" s="5814" t="s">
        <v>9221</v>
      </c>
    </row>
    <row r="2828" spans="1:11">
      <c r="A2828" s="21" t="s">
        <v>3235</v>
      </c>
      <c r="B2828" s="21" t="s">
        <v>9222</v>
      </c>
      <c r="C2828" s="21" t="s">
        <v>22</v>
      </c>
      <c r="D2828" s="21" t="s">
        <v>944</v>
      </c>
      <c r="E2828" s="21" t="s">
        <v>46</v>
      </c>
      <c r="F2828" s="5812">
        <v>2</v>
      </c>
      <c r="G2828" s="5813">
        <v>7.013888888888889E-2</v>
      </c>
      <c r="H2828" s="21" t="s">
        <v>10</v>
      </c>
      <c r="I2828" s="21" t="s">
        <v>23</v>
      </c>
      <c r="J2828" s="21" t="s">
        <v>48</v>
      </c>
      <c r="K2828" s="5814" t="s">
        <v>9223</v>
      </c>
    </row>
    <row r="2829" spans="1:11">
      <c r="A2829" s="21" t="s">
        <v>3761</v>
      </c>
      <c r="B2829" s="21" t="s">
        <v>9224</v>
      </c>
      <c r="C2829" s="21" t="s">
        <v>22</v>
      </c>
      <c r="D2829" s="21" t="s">
        <v>944</v>
      </c>
      <c r="E2829" s="21" t="s">
        <v>46</v>
      </c>
      <c r="F2829" s="5812">
        <v>2</v>
      </c>
      <c r="G2829" s="5813">
        <v>7.4305555555555555E-2</v>
      </c>
      <c r="H2829" s="21" t="s">
        <v>10</v>
      </c>
      <c r="I2829" s="21" t="s">
        <v>2713</v>
      </c>
      <c r="J2829" s="21" t="s">
        <v>48</v>
      </c>
      <c r="K2829" s="5814" t="s">
        <v>9225</v>
      </c>
    </row>
    <row r="2830" spans="1:11">
      <c r="A2830" s="21" t="s">
        <v>2267</v>
      </c>
      <c r="B2830" s="21" t="s">
        <v>9226</v>
      </c>
      <c r="C2830" s="21" t="s">
        <v>8</v>
      </c>
      <c r="D2830" s="21" t="s">
        <v>944</v>
      </c>
      <c r="E2830" s="21" t="s">
        <v>46</v>
      </c>
      <c r="F2830" s="5812">
        <v>2</v>
      </c>
      <c r="G2830" s="5813">
        <v>7.6388888888888895E-2</v>
      </c>
      <c r="H2830" s="21" t="s">
        <v>10</v>
      </c>
      <c r="I2830" s="21" t="s">
        <v>55</v>
      </c>
      <c r="J2830" s="21" t="s">
        <v>127</v>
      </c>
      <c r="K2830" s="5814" t="s">
        <v>9227</v>
      </c>
    </row>
    <row r="2831" spans="1:11">
      <c r="A2831" s="21" t="s">
        <v>31</v>
      </c>
      <c r="B2831" s="21" t="s">
        <v>1031</v>
      </c>
      <c r="C2831" s="21" t="s">
        <v>8</v>
      </c>
      <c r="D2831" s="21" t="s">
        <v>944</v>
      </c>
      <c r="E2831" s="21" t="s">
        <v>46</v>
      </c>
      <c r="F2831" s="5812">
        <v>2</v>
      </c>
      <c r="G2831" s="5813">
        <v>8.1250000000000003E-2</v>
      </c>
      <c r="H2831" s="21" t="s">
        <v>10</v>
      </c>
      <c r="I2831" s="21" t="s">
        <v>39</v>
      </c>
      <c r="J2831" s="21" t="s">
        <v>258</v>
      </c>
      <c r="K2831" s="5814" t="s">
        <v>1032</v>
      </c>
    </row>
    <row r="2832" spans="1:11">
      <c r="A2832" s="21" t="s">
        <v>2897</v>
      </c>
      <c r="B2832" s="21" t="s">
        <v>990</v>
      </c>
      <c r="C2832" s="21" t="s">
        <v>22</v>
      </c>
      <c r="D2832" s="21" t="s">
        <v>944</v>
      </c>
      <c r="E2832" s="21" t="s">
        <v>46</v>
      </c>
      <c r="F2832" s="5812">
        <v>2</v>
      </c>
      <c r="G2832" s="5813">
        <v>8.1944444444444445E-2</v>
      </c>
      <c r="H2832" s="21" t="s">
        <v>10</v>
      </c>
      <c r="I2832" s="21" t="s">
        <v>55</v>
      </c>
      <c r="J2832" s="21" t="s">
        <v>7866</v>
      </c>
      <c r="K2832" s="5814" t="s">
        <v>9228</v>
      </c>
    </row>
    <row r="2833" spans="1:11">
      <c r="A2833" s="21" t="s">
        <v>2517</v>
      </c>
      <c r="B2833" s="21" t="s">
        <v>9229</v>
      </c>
      <c r="C2833" s="21" t="s">
        <v>22</v>
      </c>
      <c r="D2833" s="21" t="s">
        <v>944</v>
      </c>
      <c r="E2833" s="21" t="s">
        <v>46</v>
      </c>
      <c r="F2833" s="5812">
        <v>2</v>
      </c>
      <c r="G2833" s="5813">
        <v>8.5416666666666669E-2</v>
      </c>
      <c r="H2833" s="21" t="s">
        <v>10</v>
      </c>
      <c r="I2833" s="21" t="s">
        <v>2523</v>
      </c>
      <c r="J2833" s="21" t="s">
        <v>7901</v>
      </c>
      <c r="K2833" s="5814" t="s">
        <v>9230</v>
      </c>
    </row>
    <row r="2834" spans="1:11">
      <c r="A2834" s="21" t="s">
        <v>3430</v>
      </c>
      <c r="B2834" s="21" t="s">
        <v>9231</v>
      </c>
      <c r="C2834" s="21" t="s">
        <v>8</v>
      </c>
      <c r="D2834" s="21" t="s">
        <v>944</v>
      </c>
      <c r="E2834" s="21" t="s">
        <v>46</v>
      </c>
      <c r="F2834" s="5812">
        <v>2</v>
      </c>
      <c r="G2834" s="5813">
        <v>8.611111111111111E-2</v>
      </c>
      <c r="H2834" s="21" t="s">
        <v>10</v>
      </c>
      <c r="I2834" s="21" t="s">
        <v>47</v>
      </c>
      <c r="J2834" s="21" t="s">
        <v>127</v>
      </c>
      <c r="K2834" s="5814" t="s">
        <v>9232</v>
      </c>
    </row>
    <row r="2835" spans="1:11">
      <c r="A2835" s="21" t="s">
        <v>87</v>
      </c>
      <c r="B2835" s="21" t="s">
        <v>980</v>
      </c>
      <c r="C2835" s="21" t="s">
        <v>22</v>
      </c>
      <c r="D2835" s="21" t="s">
        <v>944</v>
      </c>
      <c r="E2835" s="21" t="s">
        <v>46</v>
      </c>
      <c r="F2835" s="5812">
        <v>2</v>
      </c>
      <c r="G2835" s="5813">
        <v>9.0277777777777776E-2</v>
      </c>
      <c r="H2835" s="21" t="s">
        <v>10</v>
      </c>
      <c r="I2835" s="21" t="s">
        <v>47</v>
      </c>
      <c r="J2835" s="21" t="s">
        <v>97</v>
      </c>
      <c r="K2835" s="5814" t="s">
        <v>981</v>
      </c>
    </row>
    <row r="2836" spans="1:11">
      <c r="A2836" s="21" t="s">
        <v>79</v>
      </c>
      <c r="B2836" s="21" t="s">
        <v>996</v>
      </c>
      <c r="C2836" s="21" t="s">
        <v>22</v>
      </c>
      <c r="D2836" s="21" t="s">
        <v>944</v>
      </c>
      <c r="E2836" s="21" t="s">
        <v>46</v>
      </c>
      <c r="F2836" s="5812">
        <v>2</v>
      </c>
      <c r="G2836" s="5813">
        <v>9.2361111111111116E-2</v>
      </c>
      <c r="H2836" s="21" t="s">
        <v>10</v>
      </c>
      <c r="I2836" s="21" t="s">
        <v>39</v>
      </c>
      <c r="J2836" s="21" t="s">
        <v>997</v>
      </c>
      <c r="K2836" s="5814" t="s">
        <v>998</v>
      </c>
    </row>
    <row r="2837" spans="1:11">
      <c r="A2837" s="21" t="s">
        <v>4597</v>
      </c>
      <c r="B2837" s="21" t="s">
        <v>9233</v>
      </c>
      <c r="C2837" s="21" t="s">
        <v>8</v>
      </c>
      <c r="D2837" s="21" t="s">
        <v>944</v>
      </c>
      <c r="E2837" s="21" t="s">
        <v>46</v>
      </c>
      <c r="F2837" s="5812">
        <v>2</v>
      </c>
      <c r="G2837" s="5813">
        <v>9.3055555555555558E-2</v>
      </c>
      <c r="H2837" s="21" t="s">
        <v>10</v>
      </c>
      <c r="I2837" s="21" t="s">
        <v>55</v>
      </c>
      <c r="J2837" s="21" t="s">
        <v>940</v>
      </c>
      <c r="K2837" s="5814" t="s">
        <v>9234</v>
      </c>
    </row>
    <row r="2838" spans="1:11">
      <c r="A2838" s="21" t="s">
        <v>2687</v>
      </c>
      <c r="B2838" s="21" t="s">
        <v>9235</v>
      </c>
      <c r="C2838" s="21" t="s">
        <v>22</v>
      </c>
      <c r="D2838" s="21" t="s">
        <v>944</v>
      </c>
      <c r="E2838" s="21" t="s">
        <v>46</v>
      </c>
      <c r="F2838" s="5812">
        <v>2</v>
      </c>
      <c r="G2838" s="5813">
        <v>9.5138888888888884E-2</v>
      </c>
      <c r="H2838" s="21" t="s">
        <v>10</v>
      </c>
      <c r="I2838" s="21" t="s">
        <v>654</v>
      </c>
      <c r="J2838" s="21" t="s">
        <v>4652</v>
      </c>
      <c r="K2838" s="5814" t="s">
        <v>9236</v>
      </c>
    </row>
    <row r="2839" spans="1:11">
      <c r="A2839" s="21" t="s">
        <v>2757</v>
      </c>
      <c r="B2839" s="21" t="s">
        <v>9237</v>
      </c>
      <c r="C2839" s="21" t="s">
        <v>22</v>
      </c>
      <c r="D2839" s="21" t="s">
        <v>944</v>
      </c>
      <c r="E2839" s="21" t="s">
        <v>46</v>
      </c>
      <c r="F2839" s="5812">
        <v>2</v>
      </c>
      <c r="G2839" s="5813">
        <v>9.583333333333334E-2</v>
      </c>
      <c r="H2839" s="21" t="s">
        <v>10</v>
      </c>
      <c r="I2839" s="21" t="s">
        <v>55</v>
      </c>
      <c r="J2839" s="21" t="s">
        <v>3004</v>
      </c>
      <c r="K2839" s="5814" t="s">
        <v>9238</v>
      </c>
    </row>
    <row r="2840" spans="1:11">
      <c r="A2840" s="21" t="s">
        <v>2792</v>
      </c>
      <c r="B2840" s="21" t="s">
        <v>9239</v>
      </c>
      <c r="C2840" s="21" t="s">
        <v>22</v>
      </c>
      <c r="D2840" s="21" t="s">
        <v>944</v>
      </c>
      <c r="E2840" s="21" t="s">
        <v>46</v>
      </c>
      <c r="F2840" s="5812">
        <v>2</v>
      </c>
      <c r="G2840" s="5813">
        <v>9.7916666666666666E-2</v>
      </c>
      <c r="H2840" s="21" t="s">
        <v>10</v>
      </c>
      <c r="I2840" s="21" t="s">
        <v>8044</v>
      </c>
      <c r="J2840" s="21" t="s">
        <v>3094</v>
      </c>
      <c r="K2840" s="5814" t="s">
        <v>9240</v>
      </c>
    </row>
    <row r="2841" spans="1:11">
      <c r="A2841" s="21" t="s">
        <v>3029</v>
      </c>
      <c r="B2841" s="21" t="s">
        <v>9241</v>
      </c>
      <c r="C2841" s="21" t="s">
        <v>22</v>
      </c>
      <c r="D2841" s="21" t="s">
        <v>944</v>
      </c>
      <c r="E2841" s="21" t="s">
        <v>46</v>
      </c>
      <c r="F2841" s="5812">
        <v>2</v>
      </c>
      <c r="G2841" s="5813">
        <v>9.930555555555555E-2</v>
      </c>
      <c r="H2841" s="21" t="s">
        <v>10</v>
      </c>
      <c r="I2841" s="21" t="s">
        <v>47</v>
      </c>
      <c r="J2841" s="21" t="s">
        <v>97</v>
      </c>
      <c r="K2841" s="5814" t="s">
        <v>9242</v>
      </c>
    </row>
    <row r="2842" spans="1:11">
      <c r="A2842" s="21" t="s">
        <v>5554</v>
      </c>
      <c r="B2842" s="21" t="s">
        <v>9243</v>
      </c>
      <c r="C2842" s="21" t="s">
        <v>22</v>
      </c>
      <c r="D2842" s="21" t="s">
        <v>944</v>
      </c>
      <c r="E2842" s="21" t="s">
        <v>46</v>
      </c>
      <c r="F2842" s="5812">
        <v>2</v>
      </c>
      <c r="G2842" s="5813">
        <v>0.10069444444444445</v>
      </c>
      <c r="H2842" s="21" t="s">
        <v>10</v>
      </c>
      <c r="I2842" s="21" t="s">
        <v>4254</v>
      </c>
      <c r="J2842" s="21" t="s">
        <v>97</v>
      </c>
      <c r="K2842" s="5814" t="s">
        <v>9244</v>
      </c>
    </row>
    <row r="2843" spans="1:11">
      <c r="A2843" s="21" t="s">
        <v>2707</v>
      </c>
      <c r="B2843" s="21" t="s">
        <v>9245</v>
      </c>
      <c r="C2843" s="21" t="s">
        <v>22</v>
      </c>
      <c r="D2843" s="21" t="s">
        <v>944</v>
      </c>
      <c r="E2843" s="21" t="s">
        <v>46</v>
      </c>
      <c r="F2843" s="5812">
        <v>2</v>
      </c>
      <c r="G2843" s="5813">
        <v>0.10972222222222222</v>
      </c>
      <c r="H2843" s="21" t="s">
        <v>10</v>
      </c>
      <c r="I2843" s="21" t="s">
        <v>39</v>
      </c>
      <c r="J2843" s="21" t="s">
        <v>4589</v>
      </c>
      <c r="K2843" s="5814" t="s">
        <v>9246</v>
      </c>
    </row>
    <row r="2844" spans="1:11">
      <c r="A2844" s="21" t="s">
        <v>2863</v>
      </c>
      <c r="B2844" s="21" t="s">
        <v>9247</v>
      </c>
      <c r="C2844" s="21" t="s">
        <v>8</v>
      </c>
      <c r="D2844" s="21" t="s">
        <v>944</v>
      </c>
      <c r="E2844" s="21" t="s">
        <v>46</v>
      </c>
      <c r="F2844" s="5812">
        <v>2</v>
      </c>
      <c r="G2844" s="5813">
        <v>0.10972222222222222</v>
      </c>
      <c r="H2844" s="21" t="s">
        <v>10</v>
      </c>
      <c r="I2844" s="21" t="s">
        <v>55</v>
      </c>
      <c r="J2844" s="21" t="s">
        <v>9248</v>
      </c>
      <c r="K2844" s="5814" t="s">
        <v>9249</v>
      </c>
    </row>
    <row r="2845" spans="1:11">
      <c r="A2845" s="21" t="s">
        <v>3286</v>
      </c>
      <c r="B2845" s="21" t="s">
        <v>9250</v>
      </c>
      <c r="C2845" s="21" t="s">
        <v>22</v>
      </c>
      <c r="D2845" s="21" t="s">
        <v>944</v>
      </c>
      <c r="E2845" s="21" t="s">
        <v>46</v>
      </c>
      <c r="F2845" s="5812">
        <v>2</v>
      </c>
      <c r="G2845" s="5813">
        <v>0.11319444444444444</v>
      </c>
      <c r="H2845" s="21" t="s">
        <v>10</v>
      </c>
      <c r="I2845" s="21" t="s">
        <v>47</v>
      </c>
      <c r="J2845" s="21" t="s">
        <v>430</v>
      </c>
      <c r="K2845" s="5814" t="s">
        <v>9251</v>
      </c>
    </row>
    <row r="2846" spans="1:11">
      <c r="A2846" s="21" t="s">
        <v>3896</v>
      </c>
      <c r="B2846" s="21" t="s">
        <v>9252</v>
      </c>
      <c r="C2846" s="21" t="s">
        <v>8</v>
      </c>
      <c r="D2846" s="21" t="s">
        <v>944</v>
      </c>
      <c r="E2846" s="21" t="s">
        <v>46</v>
      </c>
      <c r="F2846" s="5812">
        <v>2</v>
      </c>
      <c r="G2846" s="5813">
        <v>0.11458333333333333</v>
      </c>
      <c r="H2846" s="21" t="s">
        <v>10</v>
      </c>
      <c r="I2846" s="21" t="s">
        <v>11</v>
      </c>
      <c r="J2846" s="21" t="s">
        <v>4586</v>
      </c>
      <c r="K2846" s="5814" t="s">
        <v>9253</v>
      </c>
    </row>
    <row r="2847" spans="1:11">
      <c r="A2847" s="21" t="s">
        <v>3230</v>
      </c>
      <c r="B2847" s="21" t="s">
        <v>9254</v>
      </c>
      <c r="C2847" s="21" t="s">
        <v>8</v>
      </c>
      <c r="D2847" s="21" t="s">
        <v>944</v>
      </c>
      <c r="E2847" s="21" t="s">
        <v>46</v>
      </c>
      <c r="F2847" s="5812">
        <v>2</v>
      </c>
      <c r="G2847" s="5813">
        <v>0.11736111111111111</v>
      </c>
      <c r="H2847" s="21" t="s">
        <v>10</v>
      </c>
      <c r="I2847" s="21" t="s">
        <v>96</v>
      </c>
      <c r="J2847" s="21" t="s">
        <v>406</v>
      </c>
      <c r="K2847" s="5814" t="s">
        <v>9255</v>
      </c>
    </row>
    <row r="2848" spans="1:11">
      <c r="A2848" s="21" t="s">
        <v>2057</v>
      </c>
      <c r="B2848" s="21" t="s">
        <v>9256</v>
      </c>
      <c r="C2848" s="21" t="s">
        <v>8</v>
      </c>
      <c r="D2848" s="21" t="s">
        <v>944</v>
      </c>
      <c r="E2848" s="21" t="s">
        <v>46</v>
      </c>
      <c r="F2848" s="5812">
        <v>2</v>
      </c>
      <c r="G2848" s="5813">
        <v>0.13125000000000001</v>
      </c>
      <c r="H2848" s="21" t="s">
        <v>10</v>
      </c>
      <c r="I2848" s="21" t="s">
        <v>39</v>
      </c>
      <c r="J2848" s="21" t="s">
        <v>127</v>
      </c>
      <c r="K2848" s="5814" t="s">
        <v>9257</v>
      </c>
    </row>
    <row r="2849" spans="1:11">
      <c r="A2849" s="21" t="s">
        <v>4863</v>
      </c>
      <c r="B2849" s="21" t="s">
        <v>9258</v>
      </c>
      <c r="C2849" s="21" t="s">
        <v>8</v>
      </c>
      <c r="D2849" s="21" t="s">
        <v>944</v>
      </c>
      <c r="E2849" s="21" t="s">
        <v>46</v>
      </c>
      <c r="F2849" s="5812">
        <v>2</v>
      </c>
      <c r="G2849" s="5813">
        <v>0.13194444444444445</v>
      </c>
      <c r="H2849" s="21" t="s">
        <v>10</v>
      </c>
      <c r="I2849" s="21" t="s">
        <v>2713</v>
      </c>
      <c r="J2849" s="21" t="s">
        <v>48</v>
      </c>
      <c r="K2849" s="5814" t="s">
        <v>9259</v>
      </c>
    </row>
    <row r="2850" spans="1:11">
      <c r="A2850" s="21" t="s">
        <v>2100</v>
      </c>
      <c r="B2850" s="21" t="s">
        <v>9260</v>
      </c>
      <c r="C2850" s="21" t="s">
        <v>22</v>
      </c>
      <c r="D2850" s="21" t="s">
        <v>944</v>
      </c>
      <c r="E2850" s="21" t="s">
        <v>46</v>
      </c>
      <c r="F2850" s="5812">
        <v>2</v>
      </c>
      <c r="G2850" s="5813">
        <v>0.13333333333333333</v>
      </c>
      <c r="H2850" s="21" t="s">
        <v>10</v>
      </c>
      <c r="I2850" s="21" t="s">
        <v>23</v>
      </c>
      <c r="J2850" s="21" t="s">
        <v>907</v>
      </c>
      <c r="K2850" s="5814" t="s">
        <v>9261</v>
      </c>
    </row>
    <row r="2851" spans="1:11">
      <c r="A2851" s="21" t="s">
        <v>2467</v>
      </c>
      <c r="B2851" s="21" t="s">
        <v>9262</v>
      </c>
      <c r="C2851" s="21" t="s">
        <v>22</v>
      </c>
      <c r="D2851" s="21" t="s">
        <v>944</v>
      </c>
      <c r="E2851" s="21" t="s">
        <v>46</v>
      </c>
      <c r="F2851" s="5812">
        <v>2</v>
      </c>
      <c r="G2851" s="5813">
        <v>0.13402777777777777</v>
      </c>
      <c r="H2851" s="21" t="s">
        <v>10</v>
      </c>
      <c r="I2851" s="21" t="s">
        <v>11</v>
      </c>
      <c r="J2851" s="21" t="s">
        <v>406</v>
      </c>
      <c r="K2851" s="5814" t="s">
        <v>9263</v>
      </c>
    </row>
    <row r="2852" spans="1:11">
      <c r="A2852" s="21" t="s">
        <v>4568</v>
      </c>
      <c r="B2852" s="21" t="s">
        <v>9264</v>
      </c>
      <c r="C2852" s="21" t="s">
        <v>22</v>
      </c>
      <c r="D2852" s="21" t="s">
        <v>944</v>
      </c>
      <c r="E2852" s="21" t="s">
        <v>46</v>
      </c>
      <c r="F2852" s="5812">
        <v>2</v>
      </c>
      <c r="G2852" s="5813">
        <v>0.13402777777777777</v>
      </c>
      <c r="H2852" s="21" t="s">
        <v>10</v>
      </c>
      <c r="I2852" s="21" t="s">
        <v>226</v>
      </c>
      <c r="J2852" s="21" t="s">
        <v>940</v>
      </c>
      <c r="K2852" s="5814" t="s">
        <v>9265</v>
      </c>
    </row>
    <row r="2853" spans="1:11">
      <c r="A2853" s="21" t="s">
        <v>2521</v>
      </c>
      <c r="B2853" s="21" t="s">
        <v>9266</v>
      </c>
      <c r="C2853" s="21" t="s">
        <v>22</v>
      </c>
      <c r="D2853" s="21" t="s">
        <v>944</v>
      </c>
      <c r="E2853" s="21" t="s">
        <v>46</v>
      </c>
      <c r="F2853" s="5812">
        <v>2</v>
      </c>
      <c r="G2853" s="5813">
        <v>0.13541666666666666</v>
      </c>
      <c r="H2853" s="21" t="s">
        <v>10</v>
      </c>
      <c r="I2853" s="21" t="s">
        <v>96</v>
      </c>
      <c r="J2853" s="21" t="s">
        <v>430</v>
      </c>
      <c r="K2853" s="5814" t="s">
        <v>9267</v>
      </c>
    </row>
    <row r="2854" spans="1:11">
      <c r="A2854" s="21" t="s">
        <v>2358</v>
      </c>
      <c r="B2854" s="21" t="s">
        <v>9268</v>
      </c>
      <c r="C2854" s="21" t="s">
        <v>22</v>
      </c>
      <c r="D2854" s="21" t="s">
        <v>944</v>
      </c>
      <c r="E2854" s="21" t="s">
        <v>46</v>
      </c>
      <c r="F2854" s="5812">
        <v>2</v>
      </c>
      <c r="G2854" s="5813">
        <v>0.13819444444444445</v>
      </c>
      <c r="H2854" s="21" t="s">
        <v>10</v>
      </c>
      <c r="I2854" s="21" t="s">
        <v>73</v>
      </c>
      <c r="J2854" s="21" t="s">
        <v>3004</v>
      </c>
      <c r="K2854" s="5814" t="s">
        <v>9269</v>
      </c>
    </row>
    <row r="2855" spans="1:11">
      <c r="A2855" s="21" t="s">
        <v>3872</v>
      </c>
      <c r="B2855" s="21" t="s">
        <v>9270</v>
      </c>
      <c r="C2855" s="21" t="s">
        <v>22</v>
      </c>
      <c r="D2855" s="21" t="s">
        <v>944</v>
      </c>
      <c r="E2855" s="21" t="s">
        <v>46</v>
      </c>
      <c r="F2855" s="5812">
        <v>2</v>
      </c>
      <c r="G2855" s="5813">
        <v>0.13958333333333334</v>
      </c>
      <c r="H2855" s="21" t="s">
        <v>10</v>
      </c>
      <c r="I2855" s="21" t="s">
        <v>263</v>
      </c>
      <c r="J2855" s="21" t="s">
        <v>127</v>
      </c>
      <c r="K2855" s="5814" t="s">
        <v>9271</v>
      </c>
    </row>
    <row r="2856" spans="1:11">
      <c r="A2856" s="21" t="s">
        <v>3044</v>
      </c>
      <c r="B2856" s="21" t="s">
        <v>9272</v>
      </c>
      <c r="C2856" s="21" t="s">
        <v>22</v>
      </c>
      <c r="D2856" s="21" t="s">
        <v>944</v>
      </c>
      <c r="E2856" s="21" t="s">
        <v>46</v>
      </c>
      <c r="F2856" s="5812">
        <v>2</v>
      </c>
      <c r="G2856" s="5813">
        <v>0.14374999999999999</v>
      </c>
      <c r="H2856" s="21" t="s">
        <v>10</v>
      </c>
      <c r="I2856" s="21" t="s">
        <v>39</v>
      </c>
      <c r="J2856" s="21" t="s">
        <v>3168</v>
      </c>
      <c r="K2856" s="5814" t="s">
        <v>9273</v>
      </c>
    </row>
    <row r="2857" spans="1:11">
      <c r="A2857" s="21" t="s">
        <v>2784</v>
      </c>
      <c r="B2857" s="21" t="s">
        <v>9274</v>
      </c>
      <c r="C2857" s="21" t="s">
        <v>22</v>
      </c>
      <c r="D2857" s="21" t="s">
        <v>944</v>
      </c>
      <c r="E2857" s="21" t="s">
        <v>46</v>
      </c>
      <c r="F2857" s="5812">
        <v>2</v>
      </c>
      <c r="G2857" s="5813">
        <v>0.14444444444444443</v>
      </c>
      <c r="H2857" s="21" t="s">
        <v>10</v>
      </c>
      <c r="I2857" s="21" t="s">
        <v>2247</v>
      </c>
      <c r="J2857" s="21" t="s">
        <v>722</v>
      </c>
      <c r="K2857" s="5814" t="s">
        <v>9275</v>
      </c>
    </row>
    <row r="2858" spans="1:11">
      <c r="A2858" s="21" t="s">
        <v>2741</v>
      </c>
      <c r="B2858" s="21" t="s">
        <v>9276</v>
      </c>
      <c r="C2858" s="21" t="s">
        <v>22</v>
      </c>
      <c r="D2858" s="21" t="s">
        <v>944</v>
      </c>
      <c r="E2858" s="21" t="s">
        <v>46</v>
      </c>
      <c r="F2858" s="5812">
        <v>2</v>
      </c>
      <c r="G2858" s="5813">
        <v>0.15069444444444444</v>
      </c>
      <c r="H2858" s="21" t="s">
        <v>10</v>
      </c>
      <c r="I2858" s="21" t="s">
        <v>2269</v>
      </c>
      <c r="J2858" s="21" t="s">
        <v>97</v>
      </c>
      <c r="K2858" s="5814" t="s">
        <v>9277</v>
      </c>
    </row>
    <row r="2859" spans="1:11">
      <c r="A2859" s="21" t="s">
        <v>2812</v>
      </c>
      <c r="B2859" s="21" t="s">
        <v>9278</v>
      </c>
      <c r="C2859" s="21" t="s">
        <v>22</v>
      </c>
      <c r="D2859" s="21" t="s">
        <v>944</v>
      </c>
      <c r="E2859" s="21" t="s">
        <v>46</v>
      </c>
      <c r="F2859" s="5812">
        <v>2</v>
      </c>
      <c r="G2859" s="5813">
        <v>0.15277777777777779</v>
      </c>
      <c r="H2859" s="21" t="s">
        <v>10</v>
      </c>
      <c r="I2859" s="21" t="s">
        <v>2713</v>
      </c>
      <c r="J2859" s="21" t="s">
        <v>406</v>
      </c>
      <c r="K2859" s="5814" t="s">
        <v>9279</v>
      </c>
    </row>
    <row r="2860" spans="1:11">
      <c r="A2860" s="21" t="s">
        <v>3006</v>
      </c>
      <c r="B2860" s="21" t="s">
        <v>9280</v>
      </c>
      <c r="C2860" s="21" t="s">
        <v>8</v>
      </c>
      <c r="D2860" s="21" t="s">
        <v>944</v>
      </c>
      <c r="E2860" s="21" t="s">
        <v>46</v>
      </c>
      <c r="F2860" s="5812">
        <v>2</v>
      </c>
      <c r="G2860" s="5813">
        <v>0.15902777777777777</v>
      </c>
      <c r="H2860" s="21" t="s">
        <v>10</v>
      </c>
      <c r="I2860" s="21" t="s">
        <v>2297</v>
      </c>
      <c r="J2860" s="21" t="s">
        <v>258</v>
      </c>
      <c r="K2860" s="5814" t="s">
        <v>9281</v>
      </c>
    </row>
    <row r="2861" spans="1:11">
      <c r="A2861" s="21" t="s">
        <v>5554</v>
      </c>
      <c r="B2861" s="21" t="s">
        <v>9282</v>
      </c>
      <c r="C2861" s="21" t="s">
        <v>8</v>
      </c>
      <c r="D2861" s="21" t="s">
        <v>944</v>
      </c>
      <c r="E2861" s="21" t="s">
        <v>46</v>
      </c>
      <c r="F2861" s="5812">
        <v>2</v>
      </c>
      <c r="G2861" s="5813">
        <v>0.1701388888888889</v>
      </c>
      <c r="H2861" s="21" t="s">
        <v>54</v>
      </c>
      <c r="I2861" s="21" t="s">
        <v>226</v>
      </c>
      <c r="J2861" s="21" t="s">
        <v>9283</v>
      </c>
      <c r="K2861" s="5814" t="s">
        <v>9284</v>
      </c>
    </row>
    <row r="2862" spans="1:11">
      <c r="A2862" s="21" t="s">
        <v>3896</v>
      </c>
      <c r="B2862" s="21" t="s">
        <v>9285</v>
      </c>
      <c r="C2862" s="21" t="s">
        <v>22</v>
      </c>
      <c r="D2862" s="21" t="s">
        <v>944</v>
      </c>
      <c r="E2862" s="21" t="s">
        <v>46</v>
      </c>
      <c r="F2862" s="5812">
        <v>2</v>
      </c>
      <c r="G2862" s="5813">
        <v>0.17083333333333334</v>
      </c>
      <c r="H2862" s="21" t="s">
        <v>10</v>
      </c>
      <c r="I2862" s="21" t="s">
        <v>47</v>
      </c>
      <c r="J2862" s="21" t="s">
        <v>127</v>
      </c>
      <c r="K2862" s="5814" t="s">
        <v>9286</v>
      </c>
    </row>
    <row r="2863" spans="1:11">
      <c r="A2863" s="21" t="s">
        <v>2049</v>
      </c>
      <c r="B2863" s="21" t="s">
        <v>9287</v>
      </c>
      <c r="C2863" s="21" t="s">
        <v>22</v>
      </c>
      <c r="D2863" s="21" t="s">
        <v>944</v>
      </c>
      <c r="E2863" s="21" t="s">
        <v>46</v>
      </c>
      <c r="F2863" s="5812">
        <v>2</v>
      </c>
      <c r="G2863" s="5813">
        <v>0.17499999999999999</v>
      </c>
      <c r="H2863" s="21" t="s">
        <v>10</v>
      </c>
      <c r="I2863" s="21" t="s">
        <v>39</v>
      </c>
      <c r="J2863" s="21" t="s">
        <v>1076</v>
      </c>
      <c r="K2863" s="5814" t="s">
        <v>9288</v>
      </c>
    </row>
    <row r="2864" spans="1:11">
      <c r="A2864" s="21" t="s">
        <v>4552</v>
      </c>
      <c r="B2864" s="21" t="s">
        <v>9289</v>
      </c>
      <c r="C2864" s="21" t="s">
        <v>8</v>
      </c>
      <c r="D2864" s="21" t="s">
        <v>944</v>
      </c>
      <c r="E2864" s="21" t="s">
        <v>46</v>
      </c>
      <c r="F2864" s="5812">
        <v>2</v>
      </c>
      <c r="G2864" s="5813">
        <v>0.18055555555555555</v>
      </c>
      <c r="H2864" s="21" t="s">
        <v>54</v>
      </c>
      <c r="I2864" s="21" t="s">
        <v>39</v>
      </c>
      <c r="J2864" s="21" t="s">
        <v>127</v>
      </c>
      <c r="K2864" s="5814" t="s">
        <v>9290</v>
      </c>
    </row>
    <row r="2865" spans="1:11">
      <c r="A2865" s="21" t="s">
        <v>65</v>
      </c>
      <c r="B2865" s="21" t="s">
        <v>1075</v>
      </c>
      <c r="C2865" s="21" t="s">
        <v>8</v>
      </c>
      <c r="D2865" s="21" t="s">
        <v>944</v>
      </c>
      <c r="E2865" s="21" t="s">
        <v>46</v>
      </c>
      <c r="F2865" s="5812">
        <v>2</v>
      </c>
      <c r="G2865" s="5813">
        <v>0.18333333333333332</v>
      </c>
      <c r="H2865" s="21" t="s">
        <v>10</v>
      </c>
      <c r="I2865" s="21" t="s">
        <v>89</v>
      </c>
      <c r="J2865" s="21" t="s">
        <v>1076</v>
      </c>
      <c r="K2865" s="5814" t="s">
        <v>1077</v>
      </c>
    </row>
    <row r="2866" spans="1:11">
      <c r="A2866" s="21" t="s">
        <v>2944</v>
      </c>
      <c r="B2866" s="21" t="s">
        <v>9291</v>
      </c>
      <c r="C2866" s="21" t="s">
        <v>8</v>
      </c>
      <c r="D2866" s="21" t="s">
        <v>944</v>
      </c>
      <c r="E2866" s="21" t="s">
        <v>46</v>
      </c>
      <c r="F2866" s="5812">
        <v>2</v>
      </c>
      <c r="G2866" s="5813">
        <v>0.18402777777777779</v>
      </c>
      <c r="H2866" s="21" t="s">
        <v>10</v>
      </c>
      <c r="I2866" s="21" t="s">
        <v>55</v>
      </c>
      <c r="J2866" s="21" t="s">
        <v>9292</v>
      </c>
      <c r="K2866" s="5814" t="s">
        <v>9293</v>
      </c>
    </row>
    <row r="2867" spans="1:11">
      <c r="A2867" s="21" t="s">
        <v>2450</v>
      </c>
      <c r="B2867" s="21" t="s">
        <v>9294</v>
      </c>
      <c r="C2867" s="21" t="s">
        <v>8</v>
      </c>
      <c r="D2867" s="21" t="s">
        <v>944</v>
      </c>
      <c r="E2867" s="21" t="s">
        <v>46</v>
      </c>
      <c r="F2867" s="5812">
        <v>2</v>
      </c>
      <c r="G2867" s="5813">
        <v>0.18680555555555556</v>
      </c>
      <c r="H2867" s="21" t="s">
        <v>10</v>
      </c>
      <c r="I2867" s="21" t="s">
        <v>73</v>
      </c>
      <c r="J2867" s="21" t="s">
        <v>1117</v>
      </c>
      <c r="K2867" s="5814" t="s">
        <v>9295</v>
      </c>
    </row>
    <row r="2868" spans="1:11">
      <c r="A2868" s="21" t="s">
        <v>2084</v>
      </c>
      <c r="B2868" s="21" t="s">
        <v>9296</v>
      </c>
      <c r="C2868" s="21" t="s">
        <v>8</v>
      </c>
      <c r="D2868" s="21" t="s">
        <v>944</v>
      </c>
      <c r="E2868" s="21" t="s">
        <v>46</v>
      </c>
      <c r="F2868" s="5812">
        <v>2</v>
      </c>
      <c r="G2868" s="5813">
        <v>0.19444444444444445</v>
      </c>
      <c r="H2868" s="21" t="s">
        <v>10</v>
      </c>
      <c r="I2868" s="21" t="s">
        <v>2544</v>
      </c>
      <c r="J2868" s="21" t="s">
        <v>907</v>
      </c>
      <c r="K2868" s="5814" t="s">
        <v>9297</v>
      </c>
    </row>
    <row r="2869" spans="1:11">
      <c r="A2869" s="21" t="s">
        <v>3230</v>
      </c>
      <c r="B2869" s="21" t="s">
        <v>9298</v>
      </c>
      <c r="C2869" s="21" t="s">
        <v>8</v>
      </c>
      <c r="D2869" s="21" t="s">
        <v>944</v>
      </c>
      <c r="E2869" s="21" t="s">
        <v>46</v>
      </c>
      <c r="F2869" s="5812">
        <v>2</v>
      </c>
      <c r="G2869" s="5813">
        <v>0.19513888888888889</v>
      </c>
      <c r="H2869" s="21" t="s">
        <v>10</v>
      </c>
      <c r="I2869" s="21" t="s">
        <v>23</v>
      </c>
      <c r="J2869" s="21" t="s">
        <v>127</v>
      </c>
      <c r="K2869" s="5814" t="s">
        <v>9299</v>
      </c>
    </row>
    <row r="2870" spans="1:11">
      <c r="A2870" s="21" t="s">
        <v>2941</v>
      </c>
      <c r="B2870" s="21" t="s">
        <v>9300</v>
      </c>
      <c r="C2870" s="21" t="s">
        <v>8</v>
      </c>
      <c r="D2870" s="21" t="s">
        <v>944</v>
      </c>
      <c r="E2870" s="21" t="s">
        <v>46</v>
      </c>
      <c r="F2870" s="5812">
        <v>2</v>
      </c>
      <c r="G2870" s="5813">
        <v>0.19722222222222222</v>
      </c>
      <c r="H2870" s="21" t="s">
        <v>10</v>
      </c>
      <c r="I2870" s="21" t="s">
        <v>39</v>
      </c>
      <c r="J2870" s="21" t="s">
        <v>518</v>
      </c>
      <c r="K2870" s="5814" t="s">
        <v>9301</v>
      </c>
    </row>
    <row r="2871" spans="1:11">
      <c r="A2871" s="21" t="s">
        <v>2295</v>
      </c>
      <c r="B2871" s="21" t="s">
        <v>9302</v>
      </c>
      <c r="C2871" s="21" t="s">
        <v>8</v>
      </c>
      <c r="D2871" s="21" t="s">
        <v>944</v>
      </c>
      <c r="E2871" s="21" t="s">
        <v>46</v>
      </c>
      <c r="F2871" s="5812">
        <v>2</v>
      </c>
      <c r="G2871" s="5813">
        <v>0.19722222222222222</v>
      </c>
      <c r="H2871" s="21" t="s">
        <v>10</v>
      </c>
      <c r="I2871" s="21" t="s">
        <v>2297</v>
      </c>
      <c r="J2871" s="21" t="s">
        <v>722</v>
      </c>
      <c r="K2871" s="5814" t="s">
        <v>9303</v>
      </c>
    </row>
    <row r="2872" spans="1:11">
      <c r="A2872" s="21" t="s">
        <v>2391</v>
      </c>
      <c r="B2872" s="21" t="s">
        <v>9304</v>
      </c>
      <c r="C2872" s="21" t="s">
        <v>8</v>
      </c>
      <c r="D2872" s="21" t="s">
        <v>944</v>
      </c>
      <c r="E2872" s="21" t="s">
        <v>46</v>
      </c>
      <c r="F2872" s="5812">
        <v>2</v>
      </c>
      <c r="G2872" s="5813">
        <v>0.20277777777777778</v>
      </c>
      <c r="H2872" s="21" t="s">
        <v>10</v>
      </c>
      <c r="I2872" s="21" t="s">
        <v>89</v>
      </c>
      <c r="J2872" s="21" t="s">
        <v>127</v>
      </c>
      <c r="K2872" s="5814" t="s">
        <v>9305</v>
      </c>
    </row>
    <row r="2873" spans="1:11">
      <c r="A2873" s="21" t="s">
        <v>3220</v>
      </c>
      <c r="B2873" s="21" t="s">
        <v>9306</v>
      </c>
      <c r="C2873" s="21" t="s">
        <v>22</v>
      </c>
      <c r="D2873" s="21" t="s">
        <v>944</v>
      </c>
      <c r="E2873" s="21" t="s">
        <v>46</v>
      </c>
      <c r="F2873" s="5812">
        <v>2</v>
      </c>
      <c r="G2873" s="5813">
        <v>0.20277777777777778</v>
      </c>
      <c r="H2873" s="21" t="s">
        <v>10</v>
      </c>
      <c r="I2873" s="21" t="s">
        <v>11</v>
      </c>
      <c r="J2873" s="21" t="s">
        <v>4687</v>
      </c>
      <c r="K2873" s="5814" t="s">
        <v>9307</v>
      </c>
    </row>
    <row r="2874" spans="1:11">
      <c r="A2874" s="21" t="s">
        <v>3787</v>
      </c>
      <c r="B2874" s="21" t="s">
        <v>9308</v>
      </c>
      <c r="C2874" s="21" t="s">
        <v>8</v>
      </c>
      <c r="D2874" s="21" t="s">
        <v>944</v>
      </c>
      <c r="E2874" s="21" t="s">
        <v>46</v>
      </c>
      <c r="F2874" s="5812">
        <v>2</v>
      </c>
      <c r="G2874" s="5813">
        <v>0.20555555555555555</v>
      </c>
      <c r="H2874" s="21" t="s">
        <v>10</v>
      </c>
      <c r="I2874" s="21" t="s">
        <v>2872</v>
      </c>
      <c r="J2874" s="21" t="s">
        <v>127</v>
      </c>
      <c r="K2874" s="5814" t="s">
        <v>9309</v>
      </c>
    </row>
    <row r="2875" spans="1:11">
      <c r="A2875" s="21" t="s">
        <v>2049</v>
      </c>
      <c r="B2875" s="21" t="s">
        <v>9310</v>
      </c>
      <c r="C2875" s="21" t="s">
        <v>22</v>
      </c>
      <c r="D2875" s="21" t="s">
        <v>944</v>
      </c>
      <c r="E2875" s="21" t="s">
        <v>46</v>
      </c>
      <c r="F2875" s="5812">
        <v>2</v>
      </c>
      <c r="G2875" s="5813">
        <v>0.2076388888888889</v>
      </c>
      <c r="H2875" s="21" t="s">
        <v>10</v>
      </c>
      <c r="I2875" s="21" t="s">
        <v>55</v>
      </c>
      <c r="J2875" s="21" t="s">
        <v>9311</v>
      </c>
      <c r="K2875" s="5814" t="s">
        <v>9312</v>
      </c>
    </row>
    <row r="2876" spans="1:11">
      <c r="A2876" s="21" t="s">
        <v>2679</v>
      </c>
      <c r="B2876" s="21" t="s">
        <v>9313</v>
      </c>
      <c r="C2876" s="21" t="s">
        <v>8</v>
      </c>
      <c r="D2876" s="21" t="s">
        <v>944</v>
      </c>
      <c r="E2876" s="21" t="s">
        <v>46</v>
      </c>
      <c r="F2876" s="5812">
        <v>2</v>
      </c>
      <c r="G2876" s="5813">
        <v>0.20833333333333334</v>
      </c>
      <c r="H2876" s="21" t="s">
        <v>10</v>
      </c>
      <c r="I2876" s="21" t="s">
        <v>55</v>
      </c>
      <c r="J2876" s="21" t="s">
        <v>127</v>
      </c>
      <c r="K2876" s="5814" t="s">
        <v>9314</v>
      </c>
    </row>
    <row r="2877" spans="1:11">
      <c r="A2877" s="21" t="s">
        <v>3260</v>
      </c>
      <c r="B2877" s="21" t="s">
        <v>9315</v>
      </c>
      <c r="C2877" s="21" t="s">
        <v>8</v>
      </c>
      <c r="D2877" s="21" t="s">
        <v>944</v>
      </c>
      <c r="E2877" s="21" t="s">
        <v>46</v>
      </c>
      <c r="F2877" s="5812">
        <v>2</v>
      </c>
      <c r="G2877" s="5813">
        <v>0.20833333333333334</v>
      </c>
      <c r="H2877" s="21" t="s">
        <v>10</v>
      </c>
      <c r="I2877" s="21" t="s">
        <v>226</v>
      </c>
      <c r="J2877" s="21" t="s">
        <v>3175</v>
      </c>
      <c r="K2877" s="5814" t="s">
        <v>9316</v>
      </c>
    </row>
    <row r="2878" spans="1:11">
      <c r="A2878" s="21" t="s">
        <v>3541</v>
      </c>
      <c r="B2878" s="21" t="s">
        <v>9317</v>
      </c>
      <c r="C2878" s="21" t="s">
        <v>22</v>
      </c>
      <c r="D2878" s="21" t="s">
        <v>944</v>
      </c>
      <c r="E2878" s="21" t="s">
        <v>46</v>
      </c>
      <c r="F2878" s="5812">
        <v>3</v>
      </c>
      <c r="G2878" s="5813">
        <v>1.6666666666666666E-2</v>
      </c>
      <c r="H2878" s="21" t="s">
        <v>10</v>
      </c>
      <c r="I2878" s="21" t="s">
        <v>2247</v>
      </c>
      <c r="J2878" s="21" t="s">
        <v>154</v>
      </c>
      <c r="K2878" s="5814" t="s">
        <v>9318</v>
      </c>
    </row>
    <row r="2879" spans="1:11">
      <c r="A2879" s="21" t="s">
        <v>2534</v>
      </c>
      <c r="B2879" s="21" t="s">
        <v>9319</v>
      </c>
      <c r="C2879" s="21" t="s">
        <v>8</v>
      </c>
      <c r="D2879" s="21" t="s">
        <v>944</v>
      </c>
      <c r="E2879" s="21" t="s">
        <v>46</v>
      </c>
      <c r="F2879" s="5812">
        <v>3</v>
      </c>
      <c r="G2879" s="5813">
        <v>1.8055555555555554E-2</v>
      </c>
      <c r="H2879" s="21" t="s">
        <v>10</v>
      </c>
      <c r="I2879" s="21" t="s">
        <v>55</v>
      </c>
      <c r="J2879" s="21" t="s">
        <v>127</v>
      </c>
      <c r="K2879" s="5814" t="s">
        <v>9320</v>
      </c>
    </row>
    <row r="2880" spans="1:11">
      <c r="A2880" s="21" t="s">
        <v>2135</v>
      </c>
      <c r="B2880" s="21" t="s">
        <v>9321</v>
      </c>
      <c r="C2880" s="21" t="s">
        <v>8</v>
      </c>
      <c r="D2880" s="21" t="s">
        <v>944</v>
      </c>
      <c r="E2880" s="21" t="s">
        <v>46</v>
      </c>
      <c r="F2880" s="5812">
        <v>3</v>
      </c>
      <c r="G2880" s="5813">
        <v>2.2222222222222223E-2</v>
      </c>
      <c r="H2880" s="21" t="s">
        <v>10</v>
      </c>
      <c r="I2880" s="21" t="s">
        <v>39</v>
      </c>
      <c r="J2880" s="21" t="s">
        <v>48</v>
      </c>
      <c r="K2880" s="5814" t="s">
        <v>9322</v>
      </c>
    </row>
    <row r="2881" spans="1:11">
      <c r="A2881" s="21" t="s">
        <v>3152</v>
      </c>
      <c r="B2881" s="21" t="s">
        <v>9323</v>
      </c>
      <c r="C2881" s="21" t="s">
        <v>22</v>
      </c>
      <c r="D2881" s="21" t="s">
        <v>944</v>
      </c>
      <c r="E2881" s="21" t="s">
        <v>46</v>
      </c>
      <c r="F2881" s="5812">
        <v>3</v>
      </c>
      <c r="G2881" s="5813">
        <v>3.0555555555555555E-2</v>
      </c>
      <c r="H2881" s="21" t="s">
        <v>54</v>
      </c>
      <c r="I2881" s="21" t="s">
        <v>96</v>
      </c>
      <c r="J2881" s="21" t="s">
        <v>48</v>
      </c>
      <c r="K2881" s="5814" t="s">
        <v>9324</v>
      </c>
    </row>
    <row r="2882" spans="1:11">
      <c r="A2882" s="21" t="s">
        <v>177</v>
      </c>
      <c r="B2882" s="21" t="s">
        <v>1050</v>
      </c>
      <c r="C2882" s="21" t="s">
        <v>22</v>
      </c>
      <c r="D2882" s="21" t="s">
        <v>944</v>
      </c>
      <c r="E2882" s="21" t="s">
        <v>46</v>
      </c>
      <c r="F2882" s="5812">
        <v>3</v>
      </c>
      <c r="G2882" s="5813">
        <v>3.8194444444444448E-2</v>
      </c>
      <c r="H2882" s="21" t="s">
        <v>10</v>
      </c>
      <c r="I2882" s="21" t="s">
        <v>96</v>
      </c>
      <c r="J2882" s="21" t="s">
        <v>97</v>
      </c>
      <c r="K2882" s="5814" t="s">
        <v>1051</v>
      </c>
    </row>
    <row r="2883" spans="1:11">
      <c r="A2883" s="21" t="s">
        <v>2757</v>
      </c>
      <c r="B2883" s="21" t="s">
        <v>9325</v>
      </c>
      <c r="C2883" s="21" t="s">
        <v>22</v>
      </c>
      <c r="D2883" s="21" t="s">
        <v>944</v>
      </c>
      <c r="E2883" s="21" t="s">
        <v>46</v>
      </c>
      <c r="F2883" s="5812">
        <v>3</v>
      </c>
      <c r="G2883" s="5813">
        <v>4.027777777777778E-2</v>
      </c>
      <c r="H2883" s="21" t="s">
        <v>10</v>
      </c>
      <c r="I2883" s="21" t="s">
        <v>39</v>
      </c>
      <c r="J2883" s="21" t="s">
        <v>48</v>
      </c>
      <c r="K2883" s="5814" t="s">
        <v>9326</v>
      </c>
    </row>
    <row r="2884" spans="1:11">
      <c r="A2884" s="21" t="s">
        <v>3491</v>
      </c>
      <c r="B2884" s="21" t="s">
        <v>9327</v>
      </c>
      <c r="C2884" s="21" t="s">
        <v>22</v>
      </c>
      <c r="D2884" s="21" t="s">
        <v>944</v>
      </c>
      <c r="E2884" s="21" t="s">
        <v>46</v>
      </c>
      <c r="F2884" s="5812">
        <v>3</v>
      </c>
      <c r="G2884" s="5813">
        <v>4.2361111111111113E-2</v>
      </c>
      <c r="H2884" s="21" t="s">
        <v>10</v>
      </c>
      <c r="I2884" s="21" t="s">
        <v>55</v>
      </c>
      <c r="J2884" s="21" t="s">
        <v>907</v>
      </c>
      <c r="K2884" s="5814" t="s">
        <v>9328</v>
      </c>
    </row>
    <row r="2885" spans="1:11">
      <c r="A2885" s="21" t="s">
        <v>3033</v>
      </c>
      <c r="B2885" s="21" t="s">
        <v>9329</v>
      </c>
      <c r="C2885" s="21" t="s">
        <v>22</v>
      </c>
      <c r="D2885" s="21" t="s">
        <v>944</v>
      </c>
      <c r="E2885" s="21" t="s">
        <v>46</v>
      </c>
      <c r="F2885" s="5812">
        <v>3</v>
      </c>
      <c r="G2885" s="5813">
        <v>4.791666666666667E-2</v>
      </c>
      <c r="H2885" s="21" t="s">
        <v>10</v>
      </c>
      <c r="I2885" s="21" t="s">
        <v>2814</v>
      </c>
      <c r="J2885" s="21" t="s">
        <v>97</v>
      </c>
      <c r="K2885" s="5814" t="s">
        <v>9330</v>
      </c>
    </row>
    <row r="2886" spans="1:11">
      <c r="A2886" s="21" t="s">
        <v>2513</v>
      </c>
      <c r="B2886" s="21" t="s">
        <v>9331</v>
      </c>
      <c r="C2886" s="21" t="s">
        <v>8</v>
      </c>
      <c r="D2886" s="21" t="s">
        <v>944</v>
      </c>
      <c r="E2886" s="21" t="s">
        <v>46</v>
      </c>
      <c r="F2886" s="5812">
        <v>3</v>
      </c>
      <c r="G2886" s="5813">
        <v>5.9722222222222225E-2</v>
      </c>
      <c r="H2886" s="21" t="s">
        <v>10</v>
      </c>
      <c r="I2886" s="21" t="s">
        <v>39</v>
      </c>
      <c r="J2886" s="21" t="s">
        <v>97</v>
      </c>
      <c r="K2886" s="5814" t="s">
        <v>9332</v>
      </c>
    </row>
    <row r="2887" spans="1:11">
      <c r="A2887" s="21" t="s">
        <v>3173</v>
      </c>
      <c r="B2887" s="21" t="s">
        <v>9333</v>
      </c>
      <c r="C2887" s="21" t="s">
        <v>8</v>
      </c>
      <c r="D2887" s="21" t="s">
        <v>944</v>
      </c>
      <c r="E2887" s="21" t="s">
        <v>46</v>
      </c>
      <c r="F2887" s="5812">
        <v>3</v>
      </c>
      <c r="G2887" s="5813">
        <v>6.3888888888888884E-2</v>
      </c>
      <c r="H2887" s="21" t="s">
        <v>10</v>
      </c>
      <c r="I2887" s="21" t="s">
        <v>47</v>
      </c>
      <c r="J2887" s="21" t="s">
        <v>48</v>
      </c>
      <c r="K2887" s="5814" t="s">
        <v>9334</v>
      </c>
    </row>
    <row r="2888" spans="1:11">
      <c r="A2888" s="21" t="s">
        <v>4768</v>
      </c>
      <c r="B2888" s="21" t="s">
        <v>9335</v>
      </c>
      <c r="C2888" s="21" t="s">
        <v>8</v>
      </c>
      <c r="D2888" s="21" t="s">
        <v>944</v>
      </c>
      <c r="E2888" s="21" t="s">
        <v>46</v>
      </c>
      <c r="F2888" s="5812">
        <v>3</v>
      </c>
      <c r="G2888" s="5813">
        <v>6.6666666666666666E-2</v>
      </c>
      <c r="H2888" s="21" t="s">
        <v>10</v>
      </c>
      <c r="I2888" s="21" t="s">
        <v>2660</v>
      </c>
      <c r="J2888" s="21" t="s">
        <v>4586</v>
      </c>
      <c r="K2888" s="5814" t="s">
        <v>9336</v>
      </c>
    </row>
    <row r="2889" spans="1:11">
      <c r="A2889" s="21" t="s">
        <v>2886</v>
      </c>
      <c r="B2889" s="21" t="s">
        <v>9337</v>
      </c>
      <c r="C2889" s="21" t="s">
        <v>22</v>
      </c>
      <c r="D2889" s="21" t="s">
        <v>944</v>
      </c>
      <c r="E2889" s="21" t="s">
        <v>46</v>
      </c>
      <c r="F2889" s="5812">
        <v>3</v>
      </c>
      <c r="G2889" s="5813">
        <v>6.805555555555555E-2</v>
      </c>
      <c r="H2889" s="21" t="s">
        <v>54</v>
      </c>
      <c r="I2889" s="21" t="s">
        <v>2297</v>
      </c>
      <c r="J2889" s="21" t="s">
        <v>3148</v>
      </c>
      <c r="K2889" s="5814" t="s">
        <v>9338</v>
      </c>
    </row>
    <row r="2890" spans="1:11">
      <c r="A2890" s="21" t="s">
        <v>3217</v>
      </c>
      <c r="B2890" s="21" t="s">
        <v>9339</v>
      </c>
      <c r="C2890" s="21" t="s">
        <v>22</v>
      </c>
      <c r="D2890" s="21" t="s">
        <v>944</v>
      </c>
      <c r="E2890" s="21" t="s">
        <v>46</v>
      </c>
      <c r="F2890" s="5812">
        <v>3</v>
      </c>
      <c r="G2890" s="5813">
        <v>9.0277777777777776E-2</v>
      </c>
      <c r="H2890" s="21" t="s">
        <v>10</v>
      </c>
      <c r="I2890" s="21" t="s">
        <v>47</v>
      </c>
      <c r="J2890" s="21" t="s">
        <v>430</v>
      </c>
      <c r="K2890" s="5814" t="s">
        <v>9340</v>
      </c>
    </row>
    <row r="2891" spans="1:11">
      <c r="A2891" s="21" t="s">
        <v>2724</v>
      </c>
      <c r="B2891" s="21" t="s">
        <v>9341</v>
      </c>
      <c r="C2891" s="21" t="s">
        <v>22</v>
      </c>
      <c r="D2891" s="21" t="s">
        <v>944</v>
      </c>
      <c r="E2891" s="21" t="s">
        <v>46</v>
      </c>
      <c r="F2891" s="5812">
        <v>3</v>
      </c>
      <c r="G2891" s="5813">
        <v>9.4444444444444442E-2</v>
      </c>
      <c r="H2891" s="21" t="s">
        <v>10</v>
      </c>
      <c r="I2891" s="21" t="s">
        <v>2726</v>
      </c>
      <c r="J2891" s="21" t="s">
        <v>406</v>
      </c>
      <c r="K2891" s="5814" t="s">
        <v>9342</v>
      </c>
    </row>
    <row r="2892" spans="1:11">
      <c r="A2892" s="21" t="s">
        <v>2471</v>
      </c>
      <c r="B2892" s="21" t="s">
        <v>9343</v>
      </c>
      <c r="C2892" s="21" t="s">
        <v>8</v>
      </c>
      <c r="D2892" s="21" t="s">
        <v>944</v>
      </c>
      <c r="E2892" s="21" t="s">
        <v>46</v>
      </c>
      <c r="F2892" s="5812">
        <v>3</v>
      </c>
      <c r="G2892" s="5813">
        <v>0.10138888888888889</v>
      </c>
      <c r="H2892" s="21" t="s">
        <v>10</v>
      </c>
      <c r="I2892" s="21" t="s">
        <v>39</v>
      </c>
      <c r="J2892" s="21" t="s">
        <v>97</v>
      </c>
      <c r="K2892" s="5814" t="s">
        <v>9344</v>
      </c>
    </row>
    <row r="2893" spans="1:11">
      <c r="A2893" s="21" t="s">
        <v>2212</v>
      </c>
      <c r="B2893" s="21" t="s">
        <v>9345</v>
      </c>
      <c r="C2893" s="21" t="s">
        <v>22</v>
      </c>
      <c r="D2893" s="21" t="s">
        <v>944</v>
      </c>
      <c r="E2893" s="21" t="s">
        <v>46</v>
      </c>
      <c r="F2893" s="5812">
        <v>3</v>
      </c>
      <c r="G2893" s="5813">
        <v>0.10208333333333333</v>
      </c>
      <c r="H2893" s="21" t="s">
        <v>10</v>
      </c>
      <c r="I2893" s="21" t="s">
        <v>615</v>
      </c>
      <c r="J2893" s="21" t="s">
        <v>97</v>
      </c>
      <c r="K2893" s="5814" t="s">
        <v>9346</v>
      </c>
    </row>
    <row r="2894" spans="1:11">
      <c r="A2894" s="21" t="s">
        <v>5554</v>
      </c>
      <c r="B2894" s="21" t="s">
        <v>9347</v>
      </c>
      <c r="C2894" s="21" t="s">
        <v>22</v>
      </c>
      <c r="D2894" s="21" t="s">
        <v>944</v>
      </c>
      <c r="E2894" s="21" t="s">
        <v>46</v>
      </c>
      <c r="F2894" s="5812">
        <v>3</v>
      </c>
      <c r="G2894" s="5813">
        <v>0.10625</v>
      </c>
      <c r="H2894" s="21" t="s">
        <v>10</v>
      </c>
      <c r="I2894" s="21" t="s">
        <v>226</v>
      </c>
      <c r="J2894" s="21" t="s">
        <v>97</v>
      </c>
      <c r="K2894" s="5814" t="s">
        <v>9348</v>
      </c>
    </row>
    <row r="2895" spans="1:11">
      <c r="A2895" s="21" t="s">
        <v>2974</v>
      </c>
      <c r="B2895" s="21" t="s">
        <v>9349</v>
      </c>
      <c r="C2895" s="21" t="s">
        <v>22</v>
      </c>
      <c r="D2895" s="21" t="s">
        <v>944</v>
      </c>
      <c r="E2895" s="21" t="s">
        <v>46</v>
      </c>
      <c r="F2895" s="5812">
        <v>3</v>
      </c>
      <c r="G2895" s="5813">
        <v>0.1076388888888889</v>
      </c>
      <c r="H2895" s="21" t="s">
        <v>10</v>
      </c>
      <c r="I2895" s="21" t="s">
        <v>11</v>
      </c>
      <c r="J2895" s="21" t="s">
        <v>97</v>
      </c>
      <c r="K2895" s="5814" t="s">
        <v>9350</v>
      </c>
    </row>
    <row r="2896" spans="1:11">
      <c r="A2896" s="21" t="s">
        <v>2808</v>
      </c>
      <c r="B2896" s="21" t="s">
        <v>9351</v>
      </c>
      <c r="C2896" s="21" t="s">
        <v>22</v>
      </c>
      <c r="D2896" s="21" t="s">
        <v>944</v>
      </c>
      <c r="E2896" s="21" t="s">
        <v>46</v>
      </c>
      <c r="F2896" s="5812">
        <v>3</v>
      </c>
      <c r="G2896" s="5813">
        <v>0.11458333333333333</v>
      </c>
      <c r="H2896" s="21" t="s">
        <v>10</v>
      </c>
      <c r="I2896" s="21" t="s">
        <v>2297</v>
      </c>
      <c r="J2896" s="21" t="s">
        <v>97</v>
      </c>
      <c r="K2896" s="5814" t="s">
        <v>9352</v>
      </c>
    </row>
    <row r="2897" spans="1:11">
      <c r="A2897" s="21" t="s">
        <v>3741</v>
      </c>
      <c r="B2897" s="21" t="s">
        <v>9353</v>
      </c>
      <c r="C2897" s="21" t="s">
        <v>22</v>
      </c>
      <c r="D2897" s="21" t="s">
        <v>944</v>
      </c>
      <c r="E2897" s="21" t="s">
        <v>46</v>
      </c>
      <c r="F2897" s="5812">
        <v>3</v>
      </c>
      <c r="G2897" s="5813">
        <v>0.11527777777777778</v>
      </c>
      <c r="H2897" s="21" t="s">
        <v>10</v>
      </c>
      <c r="I2897" s="21" t="s">
        <v>226</v>
      </c>
      <c r="J2897" s="21" t="s">
        <v>97</v>
      </c>
      <c r="K2897" s="5814" t="s">
        <v>9354</v>
      </c>
    </row>
    <row r="2898" spans="1:11">
      <c r="A2898" s="21" t="s">
        <v>3481</v>
      </c>
      <c r="B2898" s="21" t="s">
        <v>9355</v>
      </c>
      <c r="C2898" s="21" t="s">
        <v>22</v>
      </c>
      <c r="D2898" s="21" t="s">
        <v>944</v>
      </c>
      <c r="E2898" s="21" t="s">
        <v>46</v>
      </c>
      <c r="F2898" s="5812">
        <v>3</v>
      </c>
      <c r="G2898" s="5813">
        <v>0.12430555555555556</v>
      </c>
      <c r="H2898" s="21" t="s">
        <v>10</v>
      </c>
      <c r="I2898" s="21" t="s">
        <v>96</v>
      </c>
      <c r="J2898" s="21" t="s">
        <v>97</v>
      </c>
      <c r="K2898" s="5814" t="s">
        <v>9356</v>
      </c>
    </row>
    <row r="2899" spans="1:11">
      <c r="A2899" s="21" t="s">
        <v>2079</v>
      </c>
      <c r="B2899" s="21" t="s">
        <v>9357</v>
      </c>
      <c r="C2899" s="21" t="s">
        <v>8</v>
      </c>
      <c r="D2899" s="21" t="s">
        <v>944</v>
      </c>
      <c r="E2899" s="21" t="s">
        <v>46</v>
      </c>
      <c r="F2899" s="5812">
        <v>3</v>
      </c>
      <c r="G2899" s="5813">
        <v>0.13333333333333333</v>
      </c>
      <c r="H2899" s="21" t="s">
        <v>10</v>
      </c>
      <c r="I2899" s="21" t="s">
        <v>96</v>
      </c>
      <c r="J2899" s="21" t="s">
        <v>907</v>
      </c>
      <c r="K2899" s="5814" t="s">
        <v>9358</v>
      </c>
    </row>
    <row r="2900" spans="1:11">
      <c r="A2900" s="21" t="s">
        <v>2846</v>
      </c>
      <c r="B2900" s="21" t="s">
        <v>9359</v>
      </c>
      <c r="C2900" s="21" t="s">
        <v>8</v>
      </c>
      <c r="D2900" s="21" t="s">
        <v>944</v>
      </c>
      <c r="E2900" s="21" t="s">
        <v>46</v>
      </c>
      <c r="F2900" s="5812">
        <v>3</v>
      </c>
      <c r="G2900" s="5813">
        <v>0.15069444444444444</v>
      </c>
      <c r="H2900" s="21" t="s">
        <v>10</v>
      </c>
      <c r="I2900" s="21" t="s">
        <v>263</v>
      </c>
      <c r="J2900" s="21" t="s">
        <v>430</v>
      </c>
      <c r="K2900" s="5814" t="s">
        <v>9360</v>
      </c>
    </row>
    <row r="2901" spans="1:11">
      <c r="A2901" s="21" t="s">
        <v>2784</v>
      </c>
      <c r="B2901" s="21" t="s">
        <v>9361</v>
      </c>
      <c r="C2901" s="21" t="s">
        <v>8</v>
      </c>
      <c r="D2901" s="21" t="s">
        <v>944</v>
      </c>
      <c r="E2901" s="21" t="s">
        <v>46</v>
      </c>
      <c r="F2901" s="5812">
        <v>3</v>
      </c>
      <c r="G2901" s="5813">
        <v>0.16111111111111112</v>
      </c>
      <c r="H2901" s="21" t="s">
        <v>10</v>
      </c>
      <c r="I2901" s="21" t="s">
        <v>11</v>
      </c>
      <c r="J2901" s="21" t="s">
        <v>722</v>
      </c>
      <c r="K2901" s="5814" t="s">
        <v>9362</v>
      </c>
    </row>
    <row r="2902" spans="1:11">
      <c r="A2902" s="21" t="s">
        <v>2070</v>
      </c>
      <c r="B2902" s="21" t="s">
        <v>9363</v>
      </c>
      <c r="C2902" s="21" t="s">
        <v>8</v>
      </c>
      <c r="D2902" s="21" t="s">
        <v>944</v>
      </c>
      <c r="E2902" s="21" t="s">
        <v>46</v>
      </c>
      <c r="F2902" s="5812">
        <v>3</v>
      </c>
      <c r="G2902" s="5813">
        <v>0.17291666666666666</v>
      </c>
      <c r="H2902" s="21" t="s">
        <v>10</v>
      </c>
      <c r="I2902" s="21" t="s">
        <v>2072</v>
      </c>
      <c r="J2902" s="21" t="s">
        <v>48</v>
      </c>
      <c r="K2902" s="5814" t="s">
        <v>9364</v>
      </c>
    </row>
    <row r="2903" spans="1:11">
      <c r="A2903" s="21" t="s">
        <v>3089</v>
      </c>
      <c r="B2903" s="21" t="s">
        <v>9365</v>
      </c>
      <c r="C2903" s="21" t="s">
        <v>8</v>
      </c>
      <c r="D2903" s="21" t="s">
        <v>944</v>
      </c>
      <c r="E2903" s="21" t="s">
        <v>46</v>
      </c>
      <c r="F2903" s="5812">
        <v>3</v>
      </c>
      <c r="G2903" s="5813">
        <v>0.19583333333333333</v>
      </c>
      <c r="H2903" s="21" t="s">
        <v>10</v>
      </c>
      <c r="I2903" s="21" t="s">
        <v>2692</v>
      </c>
      <c r="J2903" s="21" t="s">
        <v>722</v>
      </c>
      <c r="K2903" s="5814" t="s">
        <v>9366</v>
      </c>
    </row>
    <row r="2904" spans="1:11">
      <c r="A2904" s="21" t="s">
        <v>3224</v>
      </c>
      <c r="B2904" s="21" t="s">
        <v>9367</v>
      </c>
      <c r="C2904" s="21" t="s">
        <v>8</v>
      </c>
      <c r="D2904" s="21" t="s">
        <v>944</v>
      </c>
      <c r="E2904" s="21" t="s">
        <v>46</v>
      </c>
      <c r="F2904" s="5812">
        <v>3</v>
      </c>
      <c r="G2904" s="5813">
        <v>0.20555555555555555</v>
      </c>
      <c r="H2904" s="21" t="s">
        <v>10</v>
      </c>
      <c r="I2904" s="21" t="s">
        <v>400</v>
      </c>
      <c r="J2904" s="21" t="s">
        <v>430</v>
      </c>
      <c r="K2904" s="5814" t="s">
        <v>9368</v>
      </c>
    </row>
    <row r="2905" spans="1:11">
      <c r="A2905" s="21" t="s">
        <v>4430</v>
      </c>
      <c r="B2905" s="21" t="s">
        <v>9369</v>
      </c>
      <c r="C2905" s="21" t="s">
        <v>22</v>
      </c>
      <c r="D2905" s="21" t="s">
        <v>944</v>
      </c>
      <c r="E2905" s="21" t="s">
        <v>46</v>
      </c>
      <c r="F2905" s="5812">
        <v>3</v>
      </c>
      <c r="G2905" s="5813">
        <v>0.20694444444444443</v>
      </c>
      <c r="H2905" s="21" t="s">
        <v>10</v>
      </c>
      <c r="I2905" s="21" t="s">
        <v>3215</v>
      </c>
      <c r="J2905" s="21" t="s">
        <v>4586</v>
      </c>
      <c r="K2905" s="5814" t="s">
        <v>9370</v>
      </c>
    </row>
    <row r="2906" spans="1:11">
      <c r="A2906" s="21" t="s">
        <v>3009</v>
      </c>
      <c r="B2906" s="21" t="s">
        <v>9371</v>
      </c>
      <c r="C2906" s="21" t="s">
        <v>8</v>
      </c>
      <c r="D2906" s="21" t="s">
        <v>944</v>
      </c>
      <c r="E2906" s="21" t="s">
        <v>46</v>
      </c>
      <c r="F2906" s="5812">
        <v>4</v>
      </c>
      <c r="G2906" s="5813">
        <v>5.8333333333333334E-2</v>
      </c>
      <c r="H2906" s="21" t="s">
        <v>54</v>
      </c>
      <c r="I2906" s="21" t="s">
        <v>55</v>
      </c>
      <c r="J2906" s="21" t="s">
        <v>127</v>
      </c>
      <c r="K2906" s="5814" t="s">
        <v>9372</v>
      </c>
    </row>
    <row r="2907" spans="1:11">
      <c r="A2907" s="21" t="s">
        <v>2982</v>
      </c>
      <c r="B2907" s="21" t="s">
        <v>9373</v>
      </c>
      <c r="C2907" s="21" t="s">
        <v>179</v>
      </c>
      <c r="D2907" s="21" t="s">
        <v>944</v>
      </c>
      <c r="E2907" s="21" t="s">
        <v>9374</v>
      </c>
      <c r="F2907" s="5812">
        <v>1</v>
      </c>
      <c r="G2907" s="5813">
        <v>0.15486111111111112</v>
      </c>
      <c r="H2907" s="21" t="s">
        <v>10</v>
      </c>
      <c r="I2907" s="21" t="s">
        <v>226</v>
      </c>
      <c r="J2907" s="21" t="s">
        <v>9375</v>
      </c>
      <c r="K2907" s="5814" t="s">
        <v>9376</v>
      </c>
    </row>
    <row r="2908" spans="1:11">
      <c r="A2908" s="21" t="s">
        <v>2788</v>
      </c>
      <c r="B2908" s="21" t="s">
        <v>9377</v>
      </c>
      <c r="C2908" s="21" t="s">
        <v>179</v>
      </c>
      <c r="D2908" s="21" t="s">
        <v>944</v>
      </c>
      <c r="E2908" s="21" t="s">
        <v>920</v>
      </c>
      <c r="F2908" s="5812">
        <v>1</v>
      </c>
      <c r="G2908" s="5813">
        <v>0.16111111111111112</v>
      </c>
      <c r="H2908" s="21" t="s">
        <v>54</v>
      </c>
      <c r="I2908" s="21" t="s">
        <v>2297</v>
      </c>
      <c r="J2908" s="21" t="s">
        <v>9378</v>
      </c>
      <c r="K2908" s="5814" t="s">
        <v>9379</v>
      </c>
    </row>
    <row r="2909" spans="1:11">
      <c r="A2909" s="21" t="s">
        <v>3597</v>
      </c>
      <c r="B2909" s="21" t="s">
        <v>9380</v>
      </c>
      <c r="C2909" s="21" t="s">
        <v>179</v>
      </c>
      <c r="D2909" s="21" t="s">
        <v>944</v>
      </c>
      <c r="E2909" s="21" t="s">
        <v>920</v>
      </c>
      <c r="F2909" s="5812">
        <v>2</v>
      </c>
      <c r="G2909" s="5813">
        <v>0.2013888888888889</v>
      </c>
      <c r="H2909" s="21" t="s">
        <v>10</v>
      </c>
      <c r="I2909" s="21" t="s">
        <v>23</v>
      </c>
      <c r="J2909" s="21" t="s">
        <v>9381</v>
      </c>
      <c r="K2909" s="5814" t="s">
        <v>9382</v>
      </c>
    </row>
    <row r="2910" spans="1:11">
      <c r="A2910" s="21" t="s">
        <v>2630</v>
      </c>
      <c r="B2910" s="21" t="s">
        <v>9383</v>
      </c>
      <c r="C2910" s="21" t="s">
        <v>22</v>
      </c>
      <c r="D2910" s="21" t="s">
        <v>944</v>
      </c>
      <c r="E2910" s="21" t="s">
        <v>61</v>
      </c>
      <c r="F2910" s="5812">
        <v>1</v>
      </c>
      <c r="G2910" s="5813">
        <v>3.4027777777777775E-2</v>
      </c>
      <c r="H2910" s="21" t="s">
        <v>10</v>
      </c>
      <c r="I2910" s="21" t="s">
        <v>226</v>
      </c>
      <c r="J2910" s="21" t="s">
        <v>3313</v>
      </c>
      <c r="K2910" s="5814" t="s">
        <v>9384</v>
      </c>
    </row>
    <row r="2911" spans="1:11">
      <c r="A2911" s="21" t="s">
        <v>87</v>
      </c>
      <c r="B2911" s="21" t="s">
        <v>973</v>
      </c>
      <c r="C2911" s="21" t="s">
        <v>8</v>
      </c>
      <c r="D2911" s="21" t="s">
        <v>944</v>
      </c>
      <c r="E2911" s="21" t="s">
        <v>61</v>
      </c>
      <c r="F2911" s="5812">
        <v>1</v>
      </c>
      <c r="G2911" s="5813">
        <v>3.7499999999999999E-2</v>
      </c>
      <c r="H2911" s="21" t="s">
        <v>10</v>
      </c>
      <c r="I2911" s="21" t="s">
        <v>788</v>
      </c>
      <c r="J2911" s="21" t="s">
        <v>974</v>
      </c>
      <c r="K2911" s="5814" t="s">
        <v>975</v>
      </c>
    </row>
    <row r="2912" spans="1:11">
      <c r="A2912" s="21" t="s">
        <v>135</v>
      </c>
      <c r="B2912" s="21" t="s">
        <v>1020</v>
      </c>
      <c r="C2912" s="21" t="s">
        <v>8</v>
      </c>
      <c r="D2912" s="21" t="s">
        <v>944</v>
      </c>
      <c r="E2912" s="21" t="s">
        <v>61</v>
      </c>
      <c r="F2912" s="5812">
        <v>1</v>
      </c>
      <c r="G2912" s="5813">
        <v>4.2361111111111113E-2</v>
      </c>
      <c r="H2912" s="21" t="s">
        <v>10</v>
      </c>
      <c r="I2912" s="21" t="s">
        <v>226</v>
      </c>
      <c r="J2912" s="21" t="s">
        <v>67</v>
      </c>
      <c r="K2912" s="5814" t="s">
        <v>1021</v>
      </c>
    </row>
    <row r="2913" spans="1:11">
      <c r="A2913" s="21" t="s">
        <v>2424</v>
      </c>
      <c r="B2913" s="21" t="s">
        <v>9385</v>
      </c>
      <c r="C2913" s="21" t="s">
        <v>8</v>
      </c>
      <c r="D2913" s="21" t="s">
        <v>944</v>
      </c>
      <c r="E2913" s="21" t="s">
        <v>61</v>
      </c>
      <c r="F2913" s="5812">
        <v>1</v>
      </c>
      <c r="G2913" s="5813">
        <v>4.4444444444444446E-2</v>
      </c>
      <c r="H2913" s="21" t="s">
        <v>10</v>
      </c>
      <c r="I2913" s="21" t="s">
        <v>55</v>
      </c>
      <c r="J2913" s="21" t="s">
        <v>67</v>
      </c>
      <c r="K2913" s="5814" t="s">
        <v>9386</v>
      </c>
    </row>
    <row r="2914" spans="1:11">
      <c r="A2914" s="21" t="s">
        <v>2985</v>
      </c>
      <c r="B2914" s="21" t="s">
        <v>9387</v>
      </c>
      <c r="C2914" s="21" t="s">
        <v>8</v>
      </c>
      <c r="D2914" s="21" t="s">
        <v>944</v>
      </c>
      <c r="E2914" s="21" t="s">
        <v>61</v>
      </c>
      <c r="F2914" s="5812">
        <v>1</v>
      </c>
      <c r="G2914" s="5813">
        <v>0.05</v>
      </c>
      <c r="H2914" s="21" t="s">
        <v>10</v>
      </c>
      <c r="I2914" s="21" t="s">
        <v>47</v>
      </c>
      <c r="J2914" s="21" t="s">
        <v>67</v>
      </c>
      <c r="K2914" s="5814" t="s">
        <v>9388</v>
      </c>
    </row>
    <row r="2915" spans="1:11">
      <c r="A2915" s="21" t="s">
        <v>3183</v>
      </c>
      <c r="B2915" s="21" t="s">
        <v>9389</v>
      </c>
      <c r="C2915" s="21" t="s">
        <v>22</v>
      </c>
      <c r="D2915" s="21" t="s">
        <v>944</v>
      </c>
      <c r="E2915" s="21" t="s">
        <v>61</v>
      </c>
      <c r="F2915" s="5812">
        <v>1</v>
      </c>
      <c r="G2915" s="5813">
        <v>5.2777777777777778E-2</v>
      </c>
      <c r="H2915" s="21" t="s">
        <v>10</v>
      </c>
      <c r="I2915" s="21" t="s">
        <v>23</v>
      </c>
      <c r="J2915" s="21" t="s">
        <v>1327</v>
      </c>
      <c r="K2915" s="5814" t="s">
        <v>9390</v>
      </c>
    </row>
    <row r="2916" spans="1:11">
      <c r="A2916" s="21" t="s">
        <v>2542</v>
      </c>
      <c r="B2916" s="21" t="s">
        <v>9391</v>
      </c>
      <c r="C2916" s="21" t="s">
        <v>8</v>
      </c>
      <c r="D2916" s="21" t="s">
        <v>944</v>
      </c>
      <c r="E2916" s="21" t="s">
        <v>61</v>
      </c>
      <c r="F2916" s="5812">
        <v>1</v>
      </c>
      <c r="G2916" s="5813">
        <v>5.4166666666666669E-2</v>
      </c>
      <c r="H2916" s="21" t="s">
        <v>10</v>
      </c>
      <c r="I2916" s="21" t="s">
        <v>55</v>
      </c>
      <c r="J2916" s="21" t="s">
        <v>9392</v>
      </c>
      <c r="K2916" s="5814" t="s">
        <v>9393</v>
      </c>
    </row>
    <row r="2917" spans="1:11">
      <c r="A2917" s="21" t="s">
        <v>2792</v>
      </c>
      <c r="B2917" s="21" t="s">
        <v>9394</v>
      </c>
      <c r="C2917" s="21" t="s">
        <v>8</v>
      </c>
      <c r="D2917" s="21" t="s">
        <v>944</v>
      </c>
      <c r="E2917" s="21" t="s">
        <v>61</v>
      </c>
      <c r="F2917" s="5812">
        <v>1</v>
      </c>
      <c r="G2917" s="5813">
        <v>6.5277777777777782E-2</v>
      </c>
      <c r="H2917" s="21" t="s">
        <v>10</v>
      </c>
      <c r="I2917" s="21" t="s">
        <v>11</v>
      </c>
      <c r="J2917" s="21" t="s">
        <v>9395</v>
      </c>
      <c r="K2917" s="5814" t="s">
        <v>9396</v>
      </c>
    </row>
    <row r="2918" spans="1:11">
      <c r="A2918" s="21" t="s">
        <v>3102</v>
      </c>
      <c r="B2918" s="21" t="s">
        <v>9397</v>
      </c>
      <c r="C2918" s="21" t="s">
        <v>22</v>
      </c>
      <c r="D2918" s="21" t="s">
        <v>944</v>
      </c>
      <c r="E2918" s="21" t="s">
        <v>61</v>
      </c>
      <c r="F2918" s="5812">
        <v>1</v>
      </c>
      <c r="G2918" s="5813">
        <v>8.3333333333333329E-2</v>
      </c>
      <c r="H2918" s="21" t="s">
        <v>10</v>
      </c>
      <c r="I2918" s="21" t="s">
        <v>55</v>
      </c>
      <c r="J2918" s="21" t="s">
        <v>3313</v>
      </c>
      <c r="K2918" s="5814" t="s">
        <v>9398</v>
      </c>
    </row>
    <row r="2919" spans="1:11">
      <c r="A2919" s="21" t="s">
        <v>2237</v>
      </c>
      <c r="B2919" s="21" t="s">
        <v>9399</v>
      </c>
      <c r="C2919" s="21" t="s">
        <v>8</v>
      </c>
      <c r="D2919" s="21" t="s">
        <v>944</v>
      </c>
      <c r="E2919" s="21" t="s">
        <v>61</v>
      </c>
      <c r="F2919" s="5812">
        <v>1</v>
      </c>
      <c r="G2919" s="5813">
        <v>9.3055555555555558E-2</v>
      </c>
      <c r="H2919" s="21" t="s">
        <v>10</v>
      </c>
      <c r="I2919" s="21" t="s">
        <v>2194</v>
      </c>
      <c r="J2919" s="21" t="s">
        <v>3326</v>
      </c>
      <c r="K2919" s="5814" t="s">
        <v>9400</v>
      </c>
    </row>
    <row r="2920" spans="1:11">
      <c r="A2920" s="21" t="s">
        <v>3439</v>
      </c>
      <c r="B2920" s="21" t="s">
        <v>9401</v>
      </c>
      <c r="C2920" s="21" t="s">
        <v>8</v>
      </c>
      <c r="D2920" s="21" t="s">
        <v>944</v>
      </c>
      <c r="E2920" s="21" t="s">
        <v>61</v>
      </c>
      <c r="F2920" s="5812">
        <v>1</v>
      </c>
      <c r="G2920" s="5813">
        <v>0.10625</v>
      </c>
      <c r="H2920" s="21" t="s">
        <v>10</v>
      </c>
      <c r="I2920" s="21" t="s">
        <v>226</v>
      </c>
      <c r="J2920" s="21" t="s">
        <v>1379</v>
      </c>
      <c r="K2920" s="5814" t="s">
        <v>9402</v>
      </c>
    </row>
    <row r="2921" spans="1:11">
      <c r="A2921" s="21" t="s">
        <v>3009</v>
      </c>
      <c r="B2921" s="21" t="s">
        <v>9403</v>
      </c>
      <c r="C2921" s="21" t="s">
        <v>8</v>
      </c>
      <c r="D2921" s="21" t="s">
        <v>944</v>
      </c>
      <c r="E2921" s="21" t="s">
        <v>61</v>
      </c>
      <c r="F2921" s="5812">
        <v>1</v>
      </c>
      <c r="G2921" s="5813">
        <v>0.11041666666666666</v>
      </c>
      <c r="H2921" s="21" t="s">
        <v>10</v>
      </c>
      <c r="I2921" s="21" t="s">
        <v>39</v>
      </c>
      <c r="J2921" s="21" t="s">
        <v>9404</v>
      </c>
      <c r="K2921" s="5814" t="s">
        <v>9405</v>
      </c>
    </row>
    <row r="2922" spans="1:11">
      <c r="A2922" s="21" t="s">
        <v>2526</v>
      </c>
      <c r="B2922" s="21" t="s">
        <v>9406</v>
      </c>
      <c r="C2922" s="21" t="s">
        <v>8</v>
      </c>
      <c r="D2922" s="21" t="s">
        <v>944</v>
      </c>
      <c r="E2922" s="21" t="s">
        <v>61</v>
      </c>
      <c r="F2922" s="5812">
        <v>1</v>
      </c>
      <c r="G2922" s="5813">
        <v>0.1125</v>
      </c>
      <c r="H2922" s="21" t="s">
        <v>10</v>
      </c>
      <c r="I2922" s="21" t="s">
        <v>39</v>
      </c>
      <c r="J2922" s="21" t="s">
        <v>928</v>
      </c>
      <c r="K2922" s="5814" t="s">
        <v>9407</v>
      </c>
    </row>
    <row r="2923" spans="1:11">
      <c r="A2923" s="21" t="s">
        <v>3006</v>
      </c>
      <c r="B2923" s="21" t="s">
        <v>9408</v>
      </c>
      <c r="C2923" s="21" t="s">
        <v>22</v>
      </c>
      <c r="D2923" s="21" t="s">
        <v>944</v>
      </c>
      <c r="E2923" s="21" t="s">
        <v>61</v>
      </c>
      <c r="F2923" s="5812">
        <v>1</v>
      </c>
      <c r="G2923" s="5813">
        <v>0.11319444444444444</v>
      </c>
      <c r="H2923" s="21" t="s">
        <v>10</v>
      </c>
      <c r="I2923" s="21" t="s">
        <v>2297</v>
      </c>
      <c r="J2923" s="21" t="s">
        <v>974</v>
      </c>
      <c r="K2923" s="5814" t="s">
        <v>9409</v>
      </c>
    </row>
    <row r="2924" spans="1:11">
      <c r="A2924" s="21" t="s">
        <v>2878</v>
      </c>
      <c r="B2924" s="21" t="s">
        <v>9410</v>
      </c>
      <c r="C2924" s="21" t="s">
        <v>8</v>
      </c>
      <c r="D2924" s="21" t="s">
        <v>944</v>
      </c>
      <c r="E2924" s="21" t="s">
        <v>61</v>
      </c>
      <c r="F2924" s="5812">
        <v>1</v>
      </c>
      <c r="G2924" s="5813">
        <v>0.11944444444444445</v>
      </c>
      <c r="H2924" s="21" t="s">
        <v>10</v>
      </c>
      <c r="I2924" s="21" t="s">
        <v>2297</v>
      </c>
      <c r="J2924" s="21" t="s">
        <v>67</v>
      </c>
      <c r="K2924" s="5814" t="s">
        <v>9411</v>
      </c>
    </row>
    <row r="2925" spans="1:11">
      <c r="A2925" s="21" t="s">
        <v>2049</v>
      </c>
      <c r="B2925" s="21" t="s">
        <v>9412</v>
      </c>
      <c r="C2925" s="21" t="s">
        <v>8</v>
      </c>
      <c r="D2925" s="21" t="s">
        <v>944</v>
      </c>
      <c r="E2925" s="21" t="s">
        <v>61</v>
      </c>
      <c r="F2925" s="5812">
        <v>1</v>
      </c>
      <c r="G2925" s="5813">
        <v>0.12083333333333333</v>
      </c>
      <c r="H2925" s="21" t="s">
        <v>10</v>
      </c>
      <c r="I2925" s="21" t="s">
        <v>11</v>
      </c>
      <c r="J2925" s="21" t="s">
        <v>505</v>
      </c>
      <c r="K2925" s="5814" t="s">
        <v>9413</v>
      </c>
    </row>
    <row r="2926" spans="1:11">
      <c r="A2926" s="21" t="s">
        <v>2979</v>
      </c>
      <c r="B2926" s="21" t="s">
        <v>9414</v>
      </c>
      <c r="C2926" s="21" t="s">
        <v>8</v>
      </c>
      <c r="D2926" s="21" t="s">
        <v>944</v>
      </c>
      <c r="E2926" s="21" t="s">
        <v>61</v>
      </c>
      <c r="F2926" s="5812">
        <v>1</v>
      </c>
      <c r="G2926" s="5813">
        <v>0.12361111111111112</v>
      </c>
      <c r="H2926" s="21" t="s">
        <v>10</v>
      </c>
      <c r="I2926" s="21" t="s">
        <v>96</v>
      </c>
      <c r="J2926" s="21" t="s">
        <v>836</v>
      </c>
      <c r="K2926" s="5814" t="s">
        <v>9415</v>
      </c>
    </row>
    <row r="2927" spans="1:11">
      <c r="A2927" s="21" t="s">
        <v>2817</v>
      </c>
      <c r="B2927" s="21" t="s">
        <v>9416</v>
      </c>
      <c r="C2927" s="21" t="s">
        <v>22</v>
      </c>
      <c r="D2927" s="21" t="s">
        <v>944</v>
      </c>
      <c r="E2927" s="21" t="s">
        <v>61</v>
      </c>
      <c r="F2927" s="5812">
        <v>1</v>
      </c>
      <c r="G2927" s="5813">
        <v>0.12361111111111112</v>
      </c>
      <c r="H2927" s="21" t="s">
        <v>10</v>
      </c>
      <c r="I2927" s="21" t="s">
        <v>2297</v>
      </c>
      <c r="J2927" s="21" t="s">
        <v>67</v>
      </c>
      <c r="K2927" s="5814" t="s">
        <v>9417</v>
      </c>
    </row>
    <row r="2928" spans="1:11">
      <c r="A2928" s="21" t="s">
        <v>2461</v>
      </c>
      <c r="B2928" s="21" t="s">
        <v>9418</v>
      </c>
      <c r="C2928" s="21" t="s">
        <v>8</v>
      </c>
      <c r="D2928" s="21" t="s">
        <v>944</v>
      </c>
      <c r="E2928" s="21" t="s">
        <v>61</v>
      </c>
      <c r="F2928" s="5812">
        <v>1</v>
      </c>
      <c r="G2928" s="5813">
        <v>0.13402777777777777</v>
      </c>
      <c r="H2928" s="21" t="s">
        <v>10</v>
      </c>
      <c r="I2928" s="21" t="s">
        <v>47</v>
      </c>
      <c r="J2928" s="21" t="s">
        <v>5461</v>
      </c>
      <c r="K2928" s="5814" t="s">
        <v>9419</v>
      </c>
    </row>
    <row r="2929" spans="1:11">
      <c r="A2929" s="21" t="s">
        <v>2442</v>
      </c>
      <c r="B2929" s="21" t="s">
        <v>9420</v>
      </c>
      <c r="C2929" s="21" t="s">
        <v>22</v>
      </c>
      <c r="D2929" s="21" t="s">
        <v>944</v>
      </c>
      <c r="E2929" s="21" t="s">
        <v>61</v>
      </c>
      <c r="F2929" s="5812">
        <v>1</v>
      </c>
      <c r="G2929" s="5813">
        <v>0.15347222222222223</v>
      </c>
      <c r="H2929" s="21" t="s">
        <v>10</v>
      </c>
      <c r="I2929" s="21" t="s">
        <v>39</v>
      </c>
      <c r="J2929" s="21" t="s">
        <v>3350</v>
      </c>
      <c r="K2929" s="5814" t="s">
        <v>9421</v>
      </c>
    </row>
    <row r="2930" spans="1:11">
      <c r="A2930" s="21" t="s">
        <v>2135</v>
      </c>
      <c r="B2930" s="21" t="s">
        <v>9422</v>
      </c>
      <c r="C2930" s="21" t="s">
        <v>22</v>
      </c>
      <c r="D2930" s="21" t="s">
        <v>944</v>
      </c>
      <c r="E2930" s="21" t="s">
        <v>61</v>
      </c>
      <c r="F2930" s="5812">
        <v>1</v>
      </c>
      <c r="G2930" s="5813">
        <v>0.15347222222222223</v>
      </c>
      <c r="H2930" s="21" t="s">
        <v>10</v>
      </c>
      <c r="I2930" s="21" t="s">
        <v>23</v>
      </c>
      <c r="J2930" s="21" t="s">
        <v>3284</v>
      </c>
      <c r="K2930" s="5814" t="s">
        <v>9423</v>
      </c>
    </row>
    <row r="2931" spans="1:11">
      <c r="A2931" s="21" t="s">
        <v>2216</v>
      </c>
      <c r="B2931" s="21" t="s">
        <v>9424</v>
      </c>
      <c r="C2931" s="21" t="s">
        <v>22</v>
      </c>
      <c r="D2931" s="21" t="s">
        <v>944</v>
      </c>
      <c r="E2931" s="21" t="s">
        <v>61</v>
      </c>
      <c r="F2931" s="5812">
        <v>1</v>
      </c>
      <c r="G2931" s="5813">
        <v>0.15347222222222223</v>
      </c>
      <c r="H2931" s="21" t="s">
        <v>10</v>
      </c>
      <c r="I2931" s="21" t="s">
        <v>4853</v>
      </c>
      <c r="J2931" s="21" t="s">
        <v>67</v>
      </c>
      <c r="K2931" s="5814" t="s">
        <v>9425</v>
      </c>
    </row>
    <row r="2932" spans="1:11">
      <c r="A2932" s="21" t="s">
        <v>3783</v>
      </c>
      <c r="B2932" s="21" t="s">
        <v>9426</v>
      </c>
      <c r="C2932" s="21" t="s">
        <v>8</v>
      </c>
      <c r="D2932" s="21" t="s">
        <v>944</v>
      </c>
      <c r="E2932" s="21" t="s">
        <v>61</v>
      </c>
      <c r="F2932" s="5812">
        <v>1</v>
      </c>
      <c r="G2932" s="5813">
        <v>0.15347222222222223</v>
      </c>
      <c r="H2932" s="21" t="s">
        <v>10</v>
      </c>
      <c r="I2932" s="21" t="s">
        <v>226</v>
      </c>
      <c r="J2932" s="21" t="s">
        <v>6891</v>
      </c>
      <c r="K2932" s="5814" t="s">
        <v>9427</v>
      </c>
    </row>
    <row r="2933" spans="1:11">
      <c r="A2933" s="21" t="s">
        <v>2729</v>
      </c>
      <c r="B2933" s="21" t="s">
        <v>9428</v>
      </c>
      <c r="C2933" s="21" t="s">
        <v>22</v>
      </c>
      <c r="D2933" s="21" t="s">
        <v>944</v>
      </c>
      <c r="E2933" s="21" t="s">
        <v>61</v>
      </c>
      <c r="F2933" s="5812">
        <v>1</v>
      </c>
      <c r="G2933" s="5813">
        <v>0.16527777777777777</v>
      </c>
      <c r="H2933" s="21" t="s">
        <v>10</v>
      </c>
      <c r="I2933" s="21" t="s">
        <v>47</v>
      </c>
      <c r="J2933" s="21" t="s">
        <v>67</v>
      </c>
      <c r="K2933" s="5814" t="s">
        <v>9429</v>
      </c>
    </row>
    <row r="2934" spans="1:11">
      <c r="A2934" s="21" t="s">
        <v>3256</v>
      </c>
      <c r="B2934" s="21" t="s">
        <v>9430</v>
      </c>
      <c r="C2934" s="21" t="s">
        <v>22</v>
      </c>
      <c r="D2934" s="21" t="s">
        <v>944</v>
      </c>
      <c r="E2934" s="21" t="s">
        <v>61</v>
      </c>
      <c r="F2934" s="5812">
        <v>1</v>
      </c>
      <c r="G2934" s="5813">
        <v>0.16597222222222222</v>
      </c>
      <c r="H2934" s="21" t="s">
        <v>10</v>
      </c>
      <c r="I2934" s="21" t="s">
        <v>654</v>
      </c>
      <c r="J2934" s="21" t="s">
        <v>928</v>
      </c>
      <c r="K2934" s="5814" t="s">
        <v>9431</v>
      </c>
    </row>
    <row r="2935" spans="1:11">
      <c r="A2935" s="21" t="s">
        <v>2918</v>
      </c>
      <c r="B2935" s="21" t="s">
        <v>9432</v>
      </c>
      <c r="C2935" s="21" t="s">
        <v>8</v>
      </c>
      <c r="D2935" s="21" t="s">
        <v>944</v>
      </c>
      <c r="E2935" s="21" t="s">
        <v>61</v>
      </c>
      <c r="F2935" s="5812">
        <v>1</v>
      </c>
      <c r="G2935" s="5813">
        <v>0.1701388888888889</v>
      </c>
      <c r="H2935" s="21" t="s">
        <v>10</v>
      </c>
      <c r="I2935" s="21" t="s">
        <v>39</v>
      </c>
      <c r="J2935" s="21" t="s">
        <v>67</v>
      </c>
      <c r="K2935" s="5814" t="s">
        <v>9433</v>
      </c>
    </row>
    <row r="2936" spans="1:11">
      <c r="A2936" s="21" t="s">
        <v>4338</v>
      </c>
      <c r="B2936" s="21" t="s">
        <v>9434</v>
      </c>
      <c r="C2936" s="21" t="s">
        <v>22</v>
      </c>
      <c r="D2936" s="21" t="s">
        <v>944</v>
      </c>
      <c r="E2936" s="21" t="s">
        <v>61</v>
      </c>
      <c r="F2936" s="5812">
        <v>1</v>
      </c>
      <c r="G2936" s="5813">
        <v>0.17499999999999999</v>
      </c>
      <c r="H2936" s="21" t="s">
        <v>10</v>
      </c>
      <c r="I2936" s="21" t="s">
        <v>194</v>
      </c>
      <c r="J2936" s="21" t="s">
        <v>1327</v>
      </c>
      <c r="K2936" s="5814" t="s">
        <v>9435</v>
      </c>
    </row>
    <row r="2937" spans="1:11">
      <c r="A2937" s="21" t="s">
        <v>2383</v>
      </c>
      <c r="B2937" s="21" t="s">
        <v>9436</v>
      </c>
      <c r="C2937" s="21" t="s">
        <v>22</v>
      </c>
      <c r="D2937" s="21" t="s">
        <v>944</v>
      </c>
      <c r="E2937" s="21" t="s">
        <v>61</v>
      </c>
      <c r="F2937" s="5812">
        <v>1</v>
      </c>
      <c r="G2937" s="5813">
        <v>0.17847222222222223</v>
      </c>
      <c r="H2937" s="21" t="s">
        <v>10</v>
      </c>
      <c r="I2937" s="21" t="s">
        <v>73</v>
      </c>
      <c r="J2937" s="21" t="s">
        <v>67</v>
      </c>
      <c r="K2937" s="5814" t="s">
        <v>9437</v>
      </c>
    </row>
    <row r="2938" spans="1:11">
      <c r="A2938" s="21" t="s">
        <v>2547</v>
      </c>
      <c r="B2938" s="21" t="s">
        <v>9438</v>
      </c>
      <c r="C2938" s="21" t="s">
        <v>22</v>
      </c>
      <c r="D2938" s="21" t="s">
        <v>944</v>
      </c>
      <c r="E2938" s="21" t="s">
        <v>61</v>
      </c>
      <c r="F2938" s="5812">
        <v>1</v>
      </c>
      <c r="G2938" s="5813">
        <v>0.17847222222222223</v>
      </c>
      <c r="H2938" s="21" t="s">
        <v>10</v>
      </c>
      <c r="I2938" s="21" t="s">
        <v>226</v>
      </c>
      <c r="J2938" s="21" t="s">
        <v>67</v>
      </c>
      <c r="K2938" s="5814" t="s">
        <v>9439</v>
      </c>
    </row>
    <row r="2939" spans="1:11">
      <c r="A2939" s="21" t="s">
        <v>2663</v>
      </c>
      <c r="B2939" s="21" t="s">
        <v>9440</v>
      </c>
      <c r="C2939" s="21" t="s">
        <v>22</v>
      </c>
      <c r="D2939" s="21" t="s">
        <v>944</v>
      </c>
      <c r="E2939" s="21" t="s">
        <v>61</v>
      </c>
      <c r="F2939" s="5812">
        <v>1</v>
      </c>
      <c r="G2939" s="5813">
        <v>0.18402777777777779</v>
      </c>
      <c r="H2939" s="21" t="s">
        <v>10</v>
      </c>
      <c r="I2939" s="21" t="s">
        <v>2665</v>
      </c>
      <c r="J2939" s="21" t="s">
        <v>3313</v>
      </c>
      <c r="K2939" s="5814" t="s">
        <v>9441</v>
      </c>
    </row>
    <row r="2940" spans="1:11">
      <c r="A2940" s="21" t="s">
        <v>3217</v>
      </c>
      <c r="B2940" s="21" t="s">
        <v>9442</v>
      </c>
      <c r="C2940" s="21" t="s">
        <v>8</v>
      </c>
      <c r="D2940" s="21" t="s">
        <v>944</v>
      </c>
      <c r="E2940" s="21" t="s">
        <v>61</v>
      </c>
      <c r="F2940" s="5812">
        <v>1</v>
      </c>
      <c r="G2940" s="5813">
        <v>0.18611111111111112</v>
      </c>
      <c r="H2940" s="21" t="s">
        <v>10</v>
      </c>
      <c r="I2940" s="21" t="s">
        <v>788</v>
      </c>
      <c r="J2940" s="21" t="s">
        <v>67</v>
      </c>
      <c r="K2940" s="5814" t="s">
        <v>9443</v>
      </c>
    </row>
    <row r="2941" spans="1:11">
      <c r="A2941" s="21" t="s">
        <v>2724</v>
      </c>
      <c r="B2941" s="21" t="s">
        <v>9444</v>
      </c>
      <c r="C2941" s="21" t="s">
        <v>22</v>
      </c>
      <c r="D2941" s="21" t="s">
        <v>944</v>
      </c>
      <c r="E2941" s="21" t="s">
        <v>61</v>
      </c>
      <c r="F2941" s="5812">
        <v>1</v>
      </c>
      <c r="G2941" s="5813">
        <v>0.18611111111111112</v>
      </c>
      <c r="H2941" s="21" t="s">
        <v>10</v>
      </c>
      <c r="I2941" s="21" t="s">
        <v>55</v>
      </c>
      <c r="J2941" s="21" t="s">
        <v>67</v>
      </c>
      <c r="K2941" s="5814" t="s">
        <v>9445</v>
      </c>
    </row>
    <row r="2942" spans="1:11">
      <c r="A2942" s="21" t="s">
        <v>2761</v>
      </c>
      <c r="B2942" s="21" t="s">
        <v>9446</v>
      </c>
      <c r="C2942" s="21" t="s">
        <v>8</v>
      </c>
      <c r="D2942" s="21" t="s">
        <v>944</v>
      </c>
      <c r="E2942" s="21" t="s">
        <v>61</v>
      </c>
      <c r="F2942" s="5812">
        <v>1</v>
      </c>
      <c r="G2942" s="5813">
        <v>0.1875</v>
      </c>
      <c r="H2942" s="21" t="s">
        <v>10</v>
      </c>
      <c r="I2942" s="21" t="s">
        <v>233</v>
      </c>
      <c r="J2942" s="21" t="s">
        <v>67</v>
      </c>
      <c r="K2942" s="5814" t="s">
        <v>9447</v>
      </c>
    </row>
    <row r="2943" spans="1:11">
      <c r="A2943" s="21" t="s">
        <v>2932</v>
      </c>
      <c r="B2943" s="21" t="s">
        <v>9448</v>
      </c>
      <c r="C2943" s="21" t="s">
        <v>22</v>
      </c>
      <c r="D2943" s="21" t="s">
        <v>944</v>
      </c>
      <c r="E2943" s="21" t="s">
        <v>61</v>
      </c>
      <c r="F2943" s="5812">
        <v>1</v>
      </c>
      <c r="G2943" s="5813">
        <v>0.1875</v>
      </c>
      <c r="H2943" s="21" t="s">
        <v>10</v>
      </c>
      <c r="I2943" s="21" t="s">
        <v>226</v>
      </c>
      <c r="J2943" s="21" t="s">
        <v>3313</v>
      </c>
      <c r="K2943" s="5814" t="s">
        <v>9449</v>
      </c>
    </row>
    <row r="2944" spans="1:11">
      <c r="A2944" s="21" t="s">
        <v>3664</v>
      </c>
      <c r="B2944" s="21" t="s">
        <v>9450</v>
      </c>
      <c r="C2944" s="21" t="s">
        <v>8</v>
      </c>
      <c r="D2944" s="21" t="s">
        <v>944</v>
      </c>
      <c r="E2944" s="21" t="s">
        <v>61</v>
      </c>
      <c r="F2944" s="5812">
        <v>1</v>
      </c>
      <c r="G2944" s="5813">
        <v>0.19375000000000001</v>
      </c>
      <c r="H2944" s="21" t="s">
        <v>10</v>
      </c>
      <c r="I2944" s="21" t="s">
        <v>47</v>
      </c>
      <c r="J2944" s="21" t="s">
        <v>67</v>
      </c>
      <c r="K2944" s="5814" t="s">
        <v>9451</v>
      </c>
    </row>
    <row r="2945" spans="1:11">
      <c r="A2945" s="21" t="s">
        <v>3217</v>
      </c>
      <c r="B2945" s="21" t="s">
        <v>9452</v>
      </c>
      <c r="C2945" s="21" t="s">
        <v>8</v>
      </c>
      <c r="D2945" s="21" t="s">
        <v>944</v>
      </c>
      <c r="E2945" s="21" t="s">
        <v>61</v>
      </c>
      <c r="F2945" s="5812">
        <v>1</v>
      </c>
      <c r="G2945" s="5813">
        <v>0.19791666666666666</v>
      </c>
      <c r="H2945" s="21" t="s">
        <v>10</v>
      </c>
      <c r="I2945" s="21" t="s">
        <v>788</v>
      </c>
      <c r="J2945" s="21" t="s">
        <v>9453</v>
      </c>
      <c r="K2945" s="5814" t="s">
        <v>9454</v>
      </c>
    </row>
    <row r="2946" spans="1:11">
      <c r="A2946" s="21" t="s">
        <v>177</v>
      </c>
      <c r="B2946" s="21" t="s">
        <v>1054</v>
      </c>
      <c r="C2946" s="21" t="s">
        <v>8</v>
      </c>
      <c r="D2946" s="21" t="s">
        <v>944</v>
      </c>
      <c r="E2946" s="21" t="s">
        <v>61</v>
      </c>
      <c r="F2946" s="5812">
        <v>1</v>
      </c>
      <c r="G2946" s="5813">
        <v>0.2</v>
      </c>
      <c r="H2946" s="21" t="s">
        <v>10</v>
      </c>
      <c r="I2946" s="21" t="s">
        <v>39</v>
      </c>
      <c r="J2946" s="21" t="s">
        <v>836</v>
      </c>
      <c r="K2946" s="5814" t="s">
        <v>1055</v>
      </c>
    </row>
    <row r="2947" spans="1:11">
      <c r="A2947" s="21" t="s">
        <v>2935</v>
      </c>
      <c r="B2947" s="21" t="s">
        <v>9455</v>
      </c>
      <c r="C2947" s="21" t="s">
        <v>22</v>
      </c>
      <c r="D2947" s="21" t="s">
        <v>944</v>
      </c>
      <c r="E2947" s="21" t="s">
        <v>61</v>
      </c>
      <c r="F2947" s="5812">
        <v>1</v>
      </c>
      <c r="G2947" s="5813">
        <v>0.2048611111111111</v>
      </c>
      <c r="H2947" s="21" t="s">
        <v>10</v>
      </c>
      <c r="I2947" s="21" t="s">
        <v>226</v>
      </c>
      <c r="J2947" s="21" t="s">
        <v>9456</v>
      </c>
      <c r="K2947" s="5814" t="s">
        <v>9457</v>
      </c>
    </row>
    <row r="2948" spans="1:11">
      <c r="A2948" s="21" t="s">
        <v>2679</v>
      </c>
      <c r="B2948" s="21" t="s">
        <v>9458</v>
      </c>
      <c r="C2948" s="21" t="s">
        <v>22</v>
      </c>
      <c r="D2948" s="21" t="s">
        <v>944</v>
      </c>
      <c r="E2948" s="21" t="s">
        <v>61</v>
      </c>
      <c r="F2948" s="5812">
        <v>2</v>
      </c>
      <c r="G2948" s="5813">
        <v>2.9166666666666667E-2</v>
      </c>
      <c r="H2948" s="21" t="s">
        <v>10</v>
      </c>
      <c r="I2948" s="21" t="s">
        <v>47</v>
      </c>
      <c r="J2948" s="21" t="s">
        <v>505</v>
      </c>
      <c r="K2948" s="5814" t="s">
        <v>9459</v>
      </c>
    </row>
    <row r="2949" spans="1:11">
      <c r="A2949" s="21" t="s">
        <v>3338</v>
      </c>
      <c r="B2949" s="21" t="s">
        <v>9460</v>
      </c>
      <c r="C2949" s="21" t="s">
        <v>22</v>
      </c>
      <c r="D2949" s="21" t="s">
        <v>944</v>
      </c>
      <c r="E2949" s="21" t="s">
        <v>61</v>
      </c>
      <c r="F2949" s="5812">
        <v>2</v>
      </c>
      <c r="G2949" s="5813">
        <v>3.4027777777777775E-2</v>
      </c>
      <c r="H2949" s="21" t="s">
        <v>10</v>
      </c>
      <c r="I2949" s="21" t="s">
        <v>23</v>
      </c>
      <c r="J2949" s="21" t="s">
        <v>324</v>
      </c>
      <c r="K2949" s="5814" t="s">
        <v>9461</v>
      </c>
    </row>
    <row r="2950" spans="1:11">
      <c r="A2950" s="21" t="s">
        <v>2998</v>
      </c>
      <c r="B2950" s="21" t="s">
        <v>9462</v>
      </c>
      <c r="C2950" s="21" t="s">
        <v>8</v>
      </c>
      <c r="D2950" s="21" t="s">
        <v>944</v>
      </c>
      <c r="E2950" s="21" t="s">
        <v>61</v>
      </c>
      <c r="F2950" s="5812">
        <v>2</v>
      </c>
      <c r="G2950" s="5813">
        <v>4.6527777777777779E-2</v>
      </c>
      <c r="H2950" s="21" t="s">
        <v>10</v>
      </c>
      <c r="I2950" s="21" t="s">
        <v>2176</v>
      </c>
      <c r="J2950" s="21" t="s">
        <v>1327</v>
      </c>
      <c r="K2950" s="5814" t="s">
        <v>9463</v>
      </c>
    </row>
    <row r="2951" spans="1:11">
      <c r="A2951" s="21" t="s">
        <v>3387</v>
      </c>
      <c r="B2951" s="21" t="s">
        <v>9464</v>
      </c>
      <c r="C2951" s="21" t="s">
        <v>22</v>
      </c>
      <c r="D2951" s="21" t="s">
        <v>944</v>
      </c>
      <c r="E2951" s="21" t="s">
        <v>61</v>
      </c>
      <c r="F2951" s="5812">
        <v>2</v>
      </c>
      <c r="G2951" s="5813">
        <v>0.05</v>
      </c>
      <c r="H2951" s="21" t="s">
        <v>10</v>
      </c>
      <c r="I2951" s="21" t="s">
        <v>55</v>
      </c>
      <c r="J2951" s="21" t="s">
        <v>782</v>
      </c>
      <c r="K2951" s="5814" t="s">
        <v>9465</v>
      </c>
    </row>
    <row r="2952" spans="1:11">
      <c r="A2952" s="21" t="s">
        <v>3243</v>
      </c>
      <c r="B2952" s="21" t="s">
        <v>9466</v>
      </c>
      <c r="C2952" s="21" t="s">
        <v>8</v>
      </c>
      <c r="D2952" s="21" t="s">
        <v>944</v>
      </c>
      <c r="E2952" s="21" t="s">
        <v>61</v>
      </c>
      <c r="F2952" s="5812">
        <v>2</v>
      </c>
      <c r="G2952" s="5813">
        <v>6.1111111111111109E-2</v>
      </c>
      <c r="H2952" s="21" t="s">
        <v>10</v>
      </c>
      <c r="I2952" s="21" t="s">
        <v>39</v>
      </c>
      <c r="J2952" s="21" t="s">
        <v>836</v>
      </c>
      <c r="K2952" s="5814" t="s">
        <v>9467</v>
      </c>
    </row>
    <row r="2953" spans="1:11">
      <c r="A2953" s="21" t="s">
        <v>3559</v>
      </c>
      <c r="B2953" s="21" t="s">
        <v>9468</v>
      </c>
      <c r="C2953" s="21" t="s">
        <v>22</v>
      </c>
      <c r="D2953" s="21" t="s">
        <v>944</v>
      </c>
      <c r="E2953" s="21" t="s">
        <v>61</v>
      </c>
      <c r="F2953" s="5812">
        <v>2</v>
      </c>
      <c r="G2953" s="5813">
        <v>6.1805555555555558E-2</v>
      </c>
      <c r="H2953" s="21" t="s">
        <v>10</v>
      </c>
      <c r="I2953" s="21" t="s">
        <v>39</v>
      </c>
      <c r="J2953" s="21" t="s">
        <v>928</v>
      </c>
      <c r="K2953" s="5814" t="s">
        <v>9469</v>
      </c>
    </row>
    <row r="2954" spans="1:11">
      <c r="A2954" s="21" t="s">
        <v>3412</v>
      </c>
      <c r="B2954" s="21" t="s">
        <v>9470</v>
      </c>
      <c r="C2954" s="21" t="s">
        <v>8</v>
      </c>
      <c r="D2954" s="21" t="s">
        <v>944</v>
      </c>
      <c r="E2954" s="21" t="s">
        <v>61</v>
      </c>
      <c r="F2954" s="5812">
        <v>2</v>
      </c>
      <c r="G2954" s="5813">
        <v>7.013888888888889E-2</v>
      </c>
      <c r="H2954" s="21" t="s">
        <v>10</v>
      </c>
      <c r="I2954" s="21" t="s">
        <v>2313</v>
      </c>
      <c r="J2954" s="21" t="s">
        <v>505</v>
      </c>
      <c r="K2954" s="5814" t="s">
        <v>9471</v>
      </c>
    </row>
    <row r="2955" spans="1:11">
      <c r="A2955" s="21" t="s">
        <v>2079</v>
      </c>
      <c r="B2955" s="21" t="s">
        <v>9472</v>
      </c>
      <c r="C2955" s="21" t="s">
        <v>22</v>
      </c>
      <c r="D2955" s="21" t="s">
        <v>944</v>
      </c>
      <c r="E2955" s="21" t="s">
        <v>61</v>
      </c>
      <c r="F2955" s="5812">
        <v>2</v>
      </c>
      <c r="G2955" s="5813">
        <v>7.5694444444444439E-2</v>
      </c>
      <c r="H2955" s="21" t="s">
        <v>10</v>
      </c>
      <c r="I2955" s="21" t="s">
        <v>39</v>
      </c>
      <c r="J2955" s="21" t="s">
        <v>67</v>
      </c>
      <c r="K2955" s="5814" t="s">
        <v>9473</v>
      </c>
    </row>
    <row r="2956" spans="1:11">
      <c r="A2956" s="21" t="s">
        <v>3505</v>
      </c>
      <c r="B2956" s="21" t="s">
        <v>9474</v>
      </c>
      <c r="C2956" s="21" t="s">
        <v>22</v>
      </c>
      <c r="D2956" s="21" t="s">
        <v>944</v>
      </c>
      <c r="E2956" s="21" t="s">
        <v>61</v>
      </c>
      <c r="F2956" s="5812">
        <v>2</v>
      </c>
      <c r="G2956" s="5813">
        <v>7.8472222222222221E-2</v>
      </c>
      <c r="H2956" s="21" t="s">
        <v>10</v>
      </c>
      <c r="I2956" s="21" t="s">
        <v>11</v>
      </c>
      <c r="J2956" s="21" t="s">
        <v>3313</v>
      </c>
      <c r="K2956" s="5814" t="s">
        <v>9475</v>
      </c>
    </row>
    <row r="2957" spans="1:11">
      <c r="A2957" s="21" t="s">
        <v>3130</v>
      </c>
      <c r="B2957" s="21" t="s">
        <v>9476</v>
      </c>
      <c r="C2957" s="21" t="s">
        <v>8</v>
      </c>
      <c r="D2957" s="21" t="s">
        <v>944</v>
      </c>
      <c r="E2957" s="21" t="s">
        <v>61</v>
      </c>
      <c r="F2957" s="5812">
        <v>2</v>
      </c>
      <c r="G2957" s="5813">
        <v>8.1944444444444445E-2</v>
      </c>
      <c r="H2957" s="21" t="s">
        <v>10</v>
      </c>
      <c r="I2957" s="21" t="s">
        <v>263</v>
      </c>
      <c r="J2957" s="21" t="s">
        <v>67</v>
      </c>
      <c r="K2957" s="5814" t="s">
        <v>9477</v>
      </c>
    </row>
    <row r="2958" spans="1:11">
      <c r="A2958" s="21" t="s">
        <v>6</v>
      </c>
      <c r="B2958" s="21" t="s">
        <v>943</v>
      </c>
      <c r="C2958" s="21" t="s">
        <v>8</v>
      </c>
      <c r="D2958" s="21" t="s">
        <v>944</v>
      </c>
      <c r="E2958" s="21" t="s">
        <v>61</v>
      </c>
      <c r="F2958" s="5812">
        <v>2</v>
      </c>
      <c r="G2958" s="5813">
        <v>8.6805555555555552E-2</v>
      </c>
      <c r="H2958" s="21" t="s">
        <v>10</v>
      </c>
      <c r="I2958" s="21" t="s">
        <v>39</v>
      </c>
      <c r="J2958" s="21" t="s">
        <v>62</v>
      </c>
      <c r="K2958" s="5814" t="s">
        <v>9478</v>
      </c>
    </row>
    <row r="2959" spans="1:11">
      <c r="A2959" s="21" t="s">
        <v>2119</v>
      </c>
      <c r="B2959" s="21" t="s">
        <v>9479</v>
      </c>
      <c r="C2959" s="21" t="s">
        <v>22</v>
      </c>
      <c r="D2959" s="21" t="s">
        <v>944</v>
      </c>
      <c r="E2959" s="21" t="s">
        <v>61</v>
      </c>
      <c r="F2959" s="5812">
        <v>2</v>
      </c>
      <c r="G2959" s="5813">
        <v>8.819444444444445E-2</v>
      </c>
      <c r="H2959" s="21" t="s">
        <v>10</v>
      </c>
      <c r="I2959" s="21" t="s">
        <v>39</v>
      </c>
      <c r="J2959" s="21" t="s">
        <v>67</v>
      </c>
      <c r="K2959" s="5814" t="s">
        <v>9480</v>
      </c>
    </row>
    <row r="2960" spans="1:11">
      <c r="A2960" s="21" t="s">
        <v>3082</v>
      </c>
      <c r="B2960" s="21" t="s">
        <v>9481</v>
      </c>
      <c r="C2960" s="21" t="s">
        <v>8</v>
      </c>
      <c r="D2960" s="21" t="s">
        <v>944</v>
      </c>
      <c r="E2960" s="21" t="s">
        <v>61</v>
      </c>
      <c r="F2960" s="5812">
        <v>2</v>
      </c>
      <c r="G2960" s="5813">
        <v>9.0972222222222218E-2</v>
      </c>
      <c r="H2960" s="21" t="s">
        <v>10</v>
      </c>
      <c r="I2960" s="21" t="s">
        <v>788</v>
      </c>
      <c r="J2960" s="21" t="s">
        <v>505</v>
      </c>
      <c r="K2960" s="5814" t="s">
        <v>9482</v>
      </c>
    </row>
    <row r="2961" spans="1:11">
      <c r="A2961" s="21" t="s">
        <v>2079</v>
      </c>
      <c r="B2961" s="21" t="s">
        <v>9483</v>
      </c>
      <c r="C2961" s="21" t="s">
        <v>8</v>
      </c>
      <c r="D2961" s="21" t="s">
        <v>944</v>
      </c>
      <c r="E2961" s="21" t="s">
        <v>61</v>
      </c>
      <c r="F2961" s="5812">
        <v>2</v>
      </c>
      <c r="G2961" s="5813">
        <v>9.375E-2</v>
      </c>
      <c r="H2961" s="21" t="s">
        <v>2081</v>
      </c>
      <c r="I2961" s="21" t="s">
        <v>55</v>
      </c>
      <c r="J2961" s="21" t="s">
        <v>67</v>
      </c>
      <c r="K2961" s="5814" t="s">
        <v>9484</v>
      </c>
    </row>
    <row r="2962" spans="1:11">
      <c r="A2962" s="21" t="s">
        <v>3439</v>
      </c>
      <c r="B2962" s="21" t="s">
        <v>9485</v>
      </c>
      <c r="C2962" s="21" t="s">
        <v>22</v>
      </c>
      <c r="D2962" s="21" t="s">
        <v>944</v>
      </c>
      <c r="E2962" s="21" t="s">
        <v>61</v>
      </c>
      <c r="F2962" s="5812">
        <v>2</v>
      </c>
      <c r="G2962" s="5813">
        <v>0.10486111111111111</v>
      </c>
      <c r="H2962" s="21" t="s">
        <v>54</v>
      </c>
      <c r="I2962" s="21" t="s">
        <v>11</v>
      </c>
      <c r="J2962" s="21" t="s">
        <v>67</v>
      </c>
      <c r="K2962" s="5814" t="s">
        <v>9486</v>
      </c>
    </row>
    <row r="2963" spans="1:11">
      <c r="A2963" s="21" t="s">
        <v>4597</v>
      </c>
      <c r="B2963" s="21" t="s">
        <v>9487</v>
      </c>
      <c r="C2963" s="21" t="s">
        <v>8</v>
      </c>
      <c r="D2963" s="21" t="s">
        <v>944</v>
      </c>
      <c r="E2963" s="21" t="s">
        <v>61</v>
      </c>
      <c r="F2963" s="5812">
        <v>2</v>
      </c>
      <c r="G2963" s="5813">
        <v>0.1125</v>
      </c>
      <c r="H2963" s="21" t="s">
        <v>10</v>
      </c>
      <c r="I2963" s="21" t="s">
        <v>400</v>
      </c>
      <c r="J2963" s="21" t="s">
        <v>4808</v>
      </c>
      <c r="K2963" s="5814" t="s">
        <v>9488</v>
      </c>
    </row>
    <row r="2964" spans="1:11">
      <c r="A2964" s="21" t="s">
        <v>3243</v>
      </c>
      <c r="B2964" s="21" t="s">
        <v>9489</v>
      </c>
      <c r="C2964" s="21" t="s">
        <v>8</v>
      </c>
      <c r="D2964" s="21" t="s">
        <v>944</v>
      </c>
      <c r="E2964" s="21" t="s">
        <v>61</v>
      </c>
      <c r="F2964" s="5812">
        <v>2</v>
      </c>
      <c r="G2964" s="5813">
        <v>0.11736111111111111</v>
      </c>
      <c r="H2964" s="21" t="s">
        <v>10</v>
      </c>
      <c r="I2964" s="21" t="s">
        <v>96</v>
      </c>
      <c r="J2964" s="21" t="s">
        <v>67</v>
      </c>
      <c r="K2964" s="5814" t="s">
        <v>9490</v>
      </c>
    </row>
    <row r="2965" spans="1:11">
      <c r="A2965" s="21" t="s">
        <v>2088</v>
      </c>
      <c r="B2965" s="21" t="s">
        <v>9491</v>
      </c>
      <c r="C2965" s="21" t="s">
        <v>22</v>
      </c>
      <c r="D2965" s="21" t="s">
        <v>944</v>
      </c>
      <c r="E2965" s="21" t="s">
        <v>61</v>
      </c>
      <c r="F2965" s="5812">
        <v>2</v>
      </c>
      <c r="G2965" s="5813">
        <v>0.125</v>
      </c>
      <c r="H2965" s="21" t="s">
        <v>10</v>
      </c>
      <c r="I2965" s="21" t="s">
        <v>23</v>
      </c>
      <c r="J2965" s="21" t="s">
        <v>3456</v>
      </c>
      <c r="K2965" s="5814" t="s">
        <v>9492</v>
      </c>
    </row>
    <row r="2966" spans="1:11">
      <c r="A2966" s="21" t="s">
        <v>3338</v>
      </c>
      <c r="B2966" s="21" t="s">
        <v>9493</v>
      </c>
      <c r="C2966" s="21" t="s">
        <v>22</v>
      </c>
      <c r="D2966" s="21" t="s">
        <v>944</v>
      </c>
      <c r="E2966" s="21" t="s">
        <v>61</v>
      </c>
      <c r="F2966" s="5812">
        <v>2</v>
      </c>
      <c r="G2966" s="5813">
        <v>0.12777777777777777</v>
      </c>
      <c r="H2966" s="21" t="s">
        <v>10</v>
      </c>
      <c r="I2966" s="21" t="s">
        <v>23</v>
      </c>
      <c r="J2966" s="21" t="s">
        <v>67</v>
      </c>
      <c r="K2966" s="5814" t="s">
        <v>9494</v>
      </c>
    </row>
    <row r="2967" spans="1:11">
      <c r="A2967" s="21" t="s">
        <v>166</v>
      </c>
      <c r="B2967" s="21" t="s">
        <v>1042</v>
      </c>
      <c r="C2967" s="21" t="s">
        <v>8</v>
      </c>
      <c r="D2967" s="21" t="s">
        <v>944</v>
      </c>
      <c r="E2967" s="21" t="s">
        <v>61</v>
      </c>
      <c r="F2967" s="5812">
        <v>2</v>
      </c>
      <c r="G2967" s="5813">
        <v>0.14097222222222222</v>
      </c>
      <c r="H2967" s="21" t="s">
        <v>10</v>
      </c>
      <c r="I2967" s="21" t="s">
        <v>96</v>
      </c>
      <c r="J2967" s="21" t="s">
        <v>67</v>
      </c>
      <c r="K2967" s="5814" t="s">
        <v>1043</v>
      </c>
    </row>
    <row r="2968" spans="1:11">
      <c r="A2968" s="21" t="s">
        <v>103</v>
      </c>
      <c r="B2968" s="21" t="s">
        <v>986</v>
      </c>
      <c r="C2968" s="21" t="s">
        <v>8</v>
      </c>
      <c r="D2968" s="21" t="s">
        <v>944</v>
      </c>
      <c r="E2968" s="21" t="s">
        <v>61</v>
      </c>
      <c r="F2968" s="5812">
        <v>2</v>
      </c>
      <c r="G2968" s="5813">
        <v>0.15138888888888888</v>
      </c>
      <c r="H2968" s="21" t="s">
        <v>10</v>
      </c>
      <c r="I2968" s="21" t="s">
        <v>23</v>
      </c>
      <c r="J2968" s="21" t="s">
        <v>67</v>
      </c>
      <c r="K2968" s="5814" t="s">
        <v>987</v>
      </c>
    </row>
    <row r="2969" spans="1:11">
      <c r="A2969" s="21" t="s">
        <v>2992</v>
      </c>
      <c r="B2969" s="21" t="s">
        <v>9495</v>
      </c>
      <c r="C2969" s="21" t="s">
        <v>8</v>
      </c>
      <c r="D2969" s="21" t="s">
        <v>944</v>
      </c>
      <c r="E2969" s="21" t="s">
        <v>61</v>
      </c>
      <c r="F2969" s="5812">
        <v>2</v>
      </c>
      <c r="G2969" s="5813">
        <v>0.15138888888888888</v>
      </c>
      <c r="H2969" s="21" t="s">
        <v>10</v>
      </c>
      <c r="I2969" s="21" t="s">
        <v>4146</v>
      </c>
      <c r="J2969" s="21" t="s">
        <v>67</v>
      </c>
      <c r="K2969" s="5814" t="s">
        <v>9496</v>
      </c>
    </row>
    <row r="2970" spans="1:11">
      <c r="A2970" s="21" t="s">
        <v>2229</v>
      </c>
      <c r="B2970" s="21" t="s">
        <v>9497</v>
      </c>
      <c r="C2970" s="21" t="s">
        <v>8</v>
      </c>
      <c r="D2970" s="21" t="s">
        <v>944</v>
      </c>
      <c r="E2970" s="21" t="s">
        <v>61</v>
      </c>
      <c r="F2970" s="5812">
        <v>2</v>
      </c>
      <c r="G2970" s="5813">
        <v>0.15902777777777777</v>
      </c>
      <c r="H2970" s="21" t="s">
        <v>10</v>
      </c>
      <c r="I2970" s="21" t="s">
        <v>2297</v>
      </c>
      <c r="J2970" s="21" t="s">
        <v>67</v>
      </c>
      <c r="K2970" s="5814" t="s">
        <v>9498</v>
      </c>
    </row>
    <row r="2971" spans="1:11">
      <c r="A2971" s="21" t="s">
        <v>207</v>
      </c>
      <c r="B2971" s="21" t="s">
        <v>1067</v>
      </c>
      <c r="C2971" s="21" t="s">
        <v>22</v>
      </c>
      <c r="D2971" s="21" t="s">
        <v>944</v>
      </c>
      <c r="E2971" s="21" t="s">
        <v>61</v>
      </c>
      <c r="F2971" s="5812">
        <v>2</v>
      </c>
      <c r="G2971" s="5813">
        <v>0.1736111111111111</v>
      </c>
      <c r="H2971" s="21" t="s">
        <v>10</v>
      </c>
      <c r="I2971" s="21" t="s">
        <v>73</v>
      </c>
      <c r="J2971" s="21" t="s">
        <v>67</v>
      </c>
      <c r="K2971" s="5814" t="s">
        <v>1068</v>
      </c>
    </row>
    <row r="2972" spans="1:11">
      <c r="A2972" s="21" t="s">
        <v>20</v>
      </c>
      <c r="B2972" s="21" t="s">
        <v>1015</v>
      </c>
      <c r="C2972" s="21" t="s">
        <v>8</v>
      </c>
      <c r="D2972" s="21" t="s">
        <v>944</v>
      </c>
      <c r="E2972" s="21" t="s">
        <v>61</v>
      </c>
      <c r="F2972" s="5812">
        <v>2</v>
      </c>
      <c r="G2972" s="5813">
        <v>0.18263888888888888</v>
      </c>
      <c r="H2972" s="21" t="s">
        <v>10</v>
      </c>
      <c r="I2972" s="21" t="s">
        <v>55</v>
      </c>
      <c r="J2972" s="21" t="s">
        <v>67</v>
      </c>
      <c r="K2972" s="5814" t="s">
        <v>1016</v>
      </c>
    </row>
    <row r="2973" spans="1:11">
      <c r="A2973" s="21" t="s">
        <v>2174</v>
      </c>
      <c r="B2973" s="21" t="s">
        <v>9499</v>
      </c>
      <c r="C2973" s="21" t="s">
        <v>8</v>
      </c>
      <c r="D2973" s="21" t="s">
        <v>944</v>
      </c>
      <c r="E2973" s="21" t="s">
        <v>61</v>
      </c>
      <c r="F2973" s="5812">
        <v>2</v>
      </c>
      <c r="G2973" s="5813">
        <v>0.18472222222222223</v>
      </c>
      <c r="H2973" s="21" t="s">
        <v>10</v>
      </c>
      <c r="I2973" s="21" t="s">
        <v>233</v>
      </c>
      <c r="J2973" s="21" t="s">
        <v>62</v>
      </c>
      <c r="K2973" s="5814" t="s">
        <v>9500</v>
      </c>
    </row>
    <row r="2974" spans="1:11">
      <c r="A2974" s="21" t="s">
        <v>2579</v>
      </c>
      <c r="B2974" s="21" t="s">
        <v>9501</v>
      </c>
      <c r="C2974" s="21" t="s">
        <v>22</v>
      </c>
      <c r="D2974" s="21" t="s">
        <v>944</v>
      </c>
      <c r="E2974" s="21" t="s">
        <v>61</v>
      </c>
      <c r="F2974" s="5812">
        <v>2</v>
      </c>
      <c r="G2974" s="5813">
        <v>0.19375000000000001</v>
      </c>
      <c r="H2974" s="21" t="s">
        <v>10</v>
      </c>
      <c r="I2974" s="21" t="s">
        <v>2269</v>
      </c>
      <c r="J2974" s="21" t="s">
        <v>1327</v>
      </c>
      <c r="K2974" s="5814" t="s">
        <v>9502</v>
      </c>
    </row>
    <row r="2975" spans="1:11">
      <c r="A2975" s="21" t="s">
        <v>3855</v>
      </c>
      <c r="B2975" s="21" t="s">
        <v>9503</v>
      </c>
      <c r="C2975" s="21" t="s">
        <v>22</v>
      </c>
      <c r="D2975" s="21" t="s">
        <v>944</v>
      </c>
      <c r="E2975" s="21" t="s">
        <v>61</v>
      </c>
      <c r="F2975" s="5812">
        <v>2</v>
      </c>
      <c r="G2975" s="5813">
        <v>0.19791666666666666</v>
      </c>
      <c r="H2975" s="21" t="s">
        <v>10</v>
      </c>
      <c r="I2975" s="21" t="s">
        <v>39</v>
      </c>
      <c r="J2975" s="21" t="s">
        <v>67</v>
      </c>
      <c r="K2975" s="5814" t="s">
        <v>9504</v>
      </c>
    </row>
    <row r="2976" spans="1:11">
      <c r="A2976" s="21" t="s">
        <v>4671</v>
      </c>
      <c r="B2976" s="21" t="s">
        <v>9505</v>
      </c>
      <c r="C2976" s="21" t="s">
        <v>22</v>
      </c>
      <c r="D2976" s="21" t="s">
        <v>944</v>
      </c>
      <c r="E2976" s="21" t="s">
        <v>61</v>
      </c>
      <c r="F2976" s="5812">
        <v>2</v>
      </c>
      <c r="G2976" s="5813">
        <v>0.20416666666666666</v>
      </c>
      <c r="H2976" s="21" t="s">
        <v>10</v>
      </c>
      <c r="I2976" s="21" t="s">
        <v>2660</v>
      </c>
      <c r="J2976" s="21" t="s">
        <v>3313</v>
      </c>
      <c r="K2976" s="5814" t="s">
        <v>9506</v>
      </c>
    </row>
    <row r="2977" spans="1:11">
      <c r="A2977" s="21" t="s">
        <v>3647</v>
      </c>
      <c r="B2977" s="21" t="s">
        <v>9507</v>
      </c>
      <c r="C2977" s="21" t="s">
        <v>8</v>
      </c>
      <c r="D2977" s="21" t="s">
        <v>944</v>
      </c>
      <c r="E2977" s="21" t="s">
        <v>61</v>
      </c>
      <c r="F2977" s="5812">
        <v>2</v>
      </c>
      <c r="G2977" s="5813">
        <v>0.2048611111111111</v>
      </c>
      <c r="H2977" s="21" t="s">
        <v>10</v>
      </c>
      <c r="I2977" s="21" t="s">
        <v>23</v>
      </c>
      <c r="J2977" s="21" t="s">
        <v>67</v>
      </c>
      <c r="K2977" s="5814" t="s">
        <v>9508</v>
      </c>
    </row>
    <row r="2978" spans="1:11">
      <c r="A2978" s="21" t="s">
        <v>65</v>
      </c>
      <c r="B2978" s="21" t="s">
        <v>1072</v>
      </c>
      <c r="C2978" s="21" t="s">
        <v>8</v>
      </c>
      <c r="D2978" s="21" t="s">
        <v>944</v>
      </c>
      <c r="E2978" s="21" t="s">
        <v>61</v>
      </c>
      <c r="F2978" s="5812">
        <v>3</v>
      </c>
      <c r="G2978" s="5813">
        <v>2.6388888888888889E-2</v>
      </c>
      <c r="H2978" s="21" t="s">
        <v>54</v>
      </c>
      <c r="I2978" s="21" t="s">
        <v>39</v>
      </c>
      <c r="J2978" s="21" t="s">
        <v>67</v>
      </c>
      <c r="K2978" s="5814" t="s">
        <v>1073</v>
      </c>
    </row>
    <row r="2979" spans="1:11">
      <c r="A2979" s="21" t="s">
        <v>2053</v>
      </c>
      <c r="B2979" s="21" t="s">
        <v>9509</v>
      </c>
      <c r="C2979" s="21" t="s">
        <v>22</v>
      </c>
      <c r="D2979" s="21" t="s">
        <v>944</v>
      </c>
      <c r="E2979" s="21" t="s">
        <v>61</v>
      </c>
      <c r="F2979" s="5812">
        <v>3</v>
      </c>
      <c r="G2979" s="5813">
        <v>6.8750000000000006E-2</v>
      </c>
      <c r="H2979" s="21" t="s">
        <v>10</v>
      </c>
      <c r="I2979" s="21" t="s">
        <v>89</v>
      </c>
      <c r="J2979" s="21" t="s">
        <v>3313</v>
      </c>
      <c r="K2979" s="5814" t="s">
        <v>9510</v>
      </c>
    </row>
    <row r="2980" spans="1:11">
      <c r="A2980" s="21" t="s">
        <v>5387</v>
      </c>
      <c r="B2980" s="21" t="s">
        <v>9511</v>
      </c>
      <c r="C2980" s="21" t="s">
        <v>22</v>
      </c>
      <c r="D2980" s="21" t="s">
        <v>944</v>
      </c>
      <c r="E2980" s="21" t="s">
        <v>61</v>
      </c>
      <c r="F2980" s="5812">
        <v>3</v>
      </c>
      <c r="G2980" s="5813">
        <v>7.5694444444444439E-2</v>
      </c>
      <c r="H2980" s="21" t="s">
        <v>10</v>
      </c>
      <c r="I2980" s="21" t="s">
        <v>55</v>
      </c>
      <c r="J2980" s="21" t="s">
        <v>3313</v>
      </c>
      <c r="K2980" s="5814" t="s">
        <v>9512</v>
      </c>
    </row>
    <row r="2981" spans="1:11">
      <c r="A2981" s="21" t="s">
        <v>2387</v>
      </c>
      <c r="B2981" s="21" t="s">
        <v>9513</v>
      </c>
      <c r="C2981" s="21" t="s">
        <v>8</v>
      </c>
      <c r="D2981" s="21" t="s">
        <v>944</v>
      </c>
      <c r="E2981" s="21" t="s">
        <v>61</v>
      </c>
      <c r="F2981" s="5812">
        <v>3</v>
      </c>
      <c r="G2981" s="5813">
        <v>7.8472222222222221E-2</v>
      </c>
      <c r="H2981" s="21" t="s">
        <v>10</v>
      </c>
      <c r="I2981" s="21" t="s">
        <v>55</v>
      </c>
      <c r="J2981" s="21" t="s">
        <v>836</v>
      </c>
      <c r="K2981" s="5814" t="s">
        <v>9514</v>
      </c>
    </row>
    <row r="2982" spans="1:11">
      <c r="A2982" s="21" t="s">
        <v>2491</v>
      </c>
      <c r="B2982" s="21" t="s">
        <v>9515</v>
      </c>
      <c r="C2982" s="21" t="s">
        <v>8</v>
      </c>
      <c r="D2982" s="21" t="s">
        <v>944</v>
      </c>
      <c r="E2982" s="21" t="s">
        <v>61</v>
      </c>
      <c r="F2982" s="5812">
        <v>3</v>
      </c>
      <c r="G2982" s="5813">
        <v>7.9166666666666663E-2</v>
      </c>
      <c r="H2982" s="21" t="s">
        <v>10</v>
      </c>
      <c r="I2982" s="21" t="s">
        <v>55</v>
      </c>
      <c r="J2982" s="21" t="s">
        <v>67</v>
      </c>
      <c r="K2982" s="5814" t="s">
        <v>9516</v>
      </c>
    </row>
    <row r="2983" spans="1:11">
      <c r="A2983" s="21" t="s">
        <v>2478</v>
      </c>
      <c r="B2983" s="21" t="s">
        <v>9517</v>
      </c>
      <c r="C2983" s="21" t="s">
        <v>8</v>
      </c>
      <c r="D2983" s="21" t="s">
        <v>944</v>
      </c>
      <c r="E2983" s="21" t="s">
        <v>61</v>
      </c>
      <c r="F2983" s="5812">
        <v>3</v>
      </c>
      <c r="G2983" s="5813">
        <v>9.2361111111111116E-2</v>
      </c>
      <c r="H2983" s="21" t="s">
        <v>54</v>
      </c>
      <c r="I2983" s="21" t="s">
        <v>55</v>
      </c>
      <c r="J2983" s="21" t="s">
        <v>67</v>
      </c>
      <c r="K2983" s="5814" t="s">
        <v>9518</v>
      </c>
    </row>
    <row r="2984" spans="1:11">
      <c r="A2984" s="21" t="s">
        <v>2979</v>
      </c>
      <c r="B2984" s="21" t="s">
        <v>9519</v>
      </c>
      <c r="C2984" s="21" t="s">
        <v>8</v>
      </c>
      <c r="D2984" s="21" t="s">
        <v>944</v>
      </c>
      <c r="E2984" s="21" t="s">
        <v>61</v>
      </c>
      <c r="F2984" s="5812">
        <v>3</v>
      </c>
      <c r="G2984" s="5813">
        <v>9.2361111111111116E-2</v>
      </c>
      <c r="H2984" s="21" t="s">
        <v>10</v>
      </c>
      <c r="I2984" s="21" t="s">
        <v>11</v>
      </c>
      <c r="J2984" s="21" t="s">
        <v>67</v>
      </c>
      <c r="K2984" s="5814" t="s">
        <v>9520</v>
      </c>
    </row>
    <row r="2985" spans="1:11">
      <c r="A2985" s="21" t="s">
        <v>3230</v>
      </c>
      <c r="B2985" s="21" t="s">
        <v>9521</v>
      </c>
      <c r="C2985" s="21" t="s">
        <v>22</v>
      </c>
      <c r="D2985" s="21" t="s">
        <v>944</v>
      </c>
      <c r="E2985" s="21" t="s">
        <v>61</v>
      </c>
      <c r="F2985" s="5812">
        <v>3</v>
      </c>
      <c r="G2985" s="5813">
        <v>0.11319444444444444</v>
      </c>
      <c r="H2985" s="21" t="s">
        <v>10</v>
      </c>
      <c r="I2985" s="21" t="s">
        <v>39</v>
      </c>
      <c r="J2985" s="21" t="s">
        <v>897</v>
      </c>
      <c r="K2985" s="5814" t="s">
        <v>9522</v>
      </c>
    </row>
    <row r="2986" spans="1:11">
      <c r="A2986" s="21" t="s">
        <v>3116</v>
      </c>
      <c r="B2986" s="21" t="s">
        <v>9523</v>
      </c>
      <c r="C2986" s="21" t="s">
        <v>22</v>
      </c>
      <c r="D2986" s="21" t="s">
        <v>944</v>
      </c>
      <c r="E2986" s="21" t="s">
        <v>61</v>
      </c>
      <c r="F2986" s="5812">
        <v>3</v>
      </c>
      <c r="G2986" s="5813">
        <v>0.12361111111111112</v>
      </c>
      <c r="H2986" s="21" t="s">
        <v>10</v>
      </c>
      <c r="I2986" s="21" t="s">
        <v>39</v>
      </c>
      <c r="J2986" s="21" t="s">
        <v>67</v>
      </c>
      <c r="K2986" s="5814" t="s">
        <v>9524</v>
      </c>
    </row>
    <row r="2987" spans="1:11">
      <c r="A2987" s="21" t="s">
        <v>3828</v>
      </c>
      <c r="B2987" s="21" t="s">
        <v>9525</v>
      </c>
      <c r="C2987" s="21" t="s">
        <v>8</v>
      </c>
      <c r="D2987" s="21" t="s">
        <v>944</v>
      </c>
      <c r="E2987" s="21" t="s">
        <v>61</v>
      </c>
      <c r="F2987" s="5812">
        <v>3</v>
      </c>
      <c r="G2987" s="5813">
        <v>0.12361111111111112</v>
      </c>
      <c r="H2987" s="21" t="s">
        <v>10</v>
      </c>
      <c r="I2987" s="21" t="s">
        <v>226</v>
      </c>
      <c r="J2987" s="21" t="s">
        <v>67</v>
      </c>
      <c r="K2987" s="5814" t="s">
        <v>9526</v>
      </c>
    </row>
    <row r="2988" spans="1:11">
      <c r="A2988" s="21" t="s">
        <v>2768</v>
      </c>
      <c r="B2988" s="21" t="s">
        <v>9527</v>
      </c>
      <c r="C2988" s="21" t="s">
        <v>8</v>
      </c>
      <c r="D2988" s="21" t="s">
        <v>944</v>
      </c>
      <c r="E2988" s="21" t="s">
        <v>61</v>
      </c>
      <c r="F2988" s="5812">
        <v>3</v>
      </c>
      <c r="G2988" s="5813">
        <v>0.15625</v>
      </c>
      <c r="H2988" s="21" t="s">
        <v>54</v>
      </c>
      <c r="I2988" s="21" t="s">
        <v>2297</v>
      </c>
      <c r="J2988" s="21" t="s">
        <v>6161</v>
      </c>
      <c r="K2988" s="5814" t="s">
        <v>9528</v>
      </c>
    </row>
    <row r="2989" spans="1:11">
      <c r="A2989" s="21" t="s">
        <v>2160</v>
      </c>
      <c r="B2989" s="21" t="s">
        <v>9529</v>
      </c>
      <c r="C2989" s="21" t="s">
        <v>22</v>
      </c>
      <c r="D2989" s="21" t="s">
        <v>944</v>
      </c>
      <c r="E2989" s="21" t="s">
        <v>61</v>
      </c>
      <c r="F2989" s="5812">
        <v>3</v>
      </c>
      <c r="G2989" s="5813">
        <v>0.1673611111111111</v>
      </c>
      <c r="H2989" s="21" t="s">
        <v>10</v>
      </c>
      <c r="I2989" s="21" t="s">
        <v>2162</v>
      </c>
      <c r="J2989" s="21" t="s">
        <v>67</v>
      </c>
      <c r="K2989" s="5814" t="s">
        <v>9530</v>
      </c>
    </row>
    <row r="2990" spans="1:11">
      <c r="A2990" s="21" t="s">
        <v>4711</v>
      </c>
      <c r="B2990" s="21" t="s">
        <v>9531</v>
      </c>
      <c r="C2990" s="21" t="s">
        <v>8</v>
      </c>
      <c r="D2990" s="21" t="s">
        <v>944</v>
      </c>
      <c r="E2990" s="21" t="s">
        <v>61</v>
      </c>
      <c r="F2990" s="5812">
        <v>3</v>
      </c>
      <c r="G2990" s="5813">
        <v>0.1673611111111111</v>
      </c>
      <c r="H2990" s="21" t="s">
        <v>10</v>
      </c>
      <c r="I2990" s="21" t="s">
        <v>194</v>
      </c>
      <c r="J2990" s="21" t="s">
        <v>3313</v>
      </c>
      <c r="K2990" s="5814" t="s">
        <v>9532</v>
      </c>
    </row>
    <row r="2991" spans="1:11">
      <c r="A2991" s="21" t="s">
        <v>2188</v>
      </c>
      <c r="B2991" s="21" t="s">
        <v>9533</v>
      </c>
      <c r="C2991" s="21" t="s">
        <v>8</v>
      </c>
      <c r="D2991" s="21" t="s">
        <v>944</v>
      </c>
      <c r="E2991" s="21" t="s">
        <v>61</v>
      </c>
      <c r="F2991" s="5812">
        <v>3</v>
      </c>
      <c r="G2991" s="5813">
        <v>0.1701388888888889</v>
      </c>
      <c r="H2991" s="21" t="s">
        <v>10</v>
      </c>
      <c r="I2991" s="21" t="s">
        <v>2149</v>
      </c>
      <c r="J2991" s="21" t="s">
        <v>67</v>
      </c>
      <c r="K2991" s="5814" t="s">
        <v>9534</v>
      </c>
    </row>
    <row r="2992" spans="1:11">
      <c r="A2992" s="21" t="s">
        <v>3630</v>
      </c>
      <c r="B2992" s="21" t="s">
        <v>9535</v>
      </c>
      <c r="C2992" s="21" t="s">
        <v>22</v>
      </c>
      <c r="D2992" s="21" t="s">
        <v>944</v>
      </c>
      <c r="E2992" s="21" t="s">
        <v>61</v>
      </c>
      <c r="F2992" s="5812">
        <v>3</v>
      </c>
      <c r="G2992" s="5813">
        <v>0.1736111111111111</v>
      </c>
      <c r="H2992" s="21" t="s">
        <v>10</v>
      </c>
      <c r="I2992" s="21" t="s">
        <v>5159</v>
      </c>
      <c r="J2992" s="21" t="s">
        <v>3326</v>
      </c>
      <c r="K2992" s="5814" t="s">
        <v>9536</v>
      </c>
    </row>
    <row r="2993" spans="1:11">
      <c r="A2993" s="21" t="s">
        <v>3505</v>
      </c>
      <c r="B2993" s="21" t="s">
        <v>9537</v>
      </c>
      <c r="C2993" s="21" t="s">
        <v>22</v>
      </c>
      <c r="D2993" s="21" t="s">
        <v>944</v>
      </c>
      <c r="E2993" s="21" t="s">
        <v>61</v>
      </c>
      <c r="F2993" s="5812">
        <v>3</v>
      </c>
      <c r="G2993" s="5813">
        <v>0.17847222222222223</v>
      </c>
      <c r="H2993" s="21" t="s">
        <v>10</v>
      </c>
      <c r="I2993" s="21" t="s">
        <v>39</v>
      </c>
      <c r="J2993" s="21" t="s">
        <v>1327</v>
      </c>
      <c r="K2993" s="5814" t="s">
        <v>9538</v>
      </c>
    </row>
    <row r="2994" spans="1:11">
      <c r="A2994" s="21" t="s">
        <v>3474</v>
      </c>
      <c r="B2994" s="21" t="s">
        <v>9539</v>
      </c>
      <c r="C2994" s="21" t="s">
        <v>22</v>
      </c>
      <c r="D2994" s="21" t="s">
        <v>944</v>
      </c>
      <c r="E2994" s="21" t="s">
        <v>61</v>
      </c>
      <c r="F2994" s="5812">
        <v>3</v>
      </c>
      <c r="G2994" s="5813">
        <v>0.18402777777777779</v>
      </c>
      <c r="H2994" s="21" t="s">
        <v>10</v>
      </c>
      <c r="I2994" s="21" t="s">
        <v>96</v>
      </c>
      <c r="J2994" s="21" t="s">
        <v>67</v>
      </c>
      <c r="K2994" s="5814" t="s">
        <v>9540</v>
      </c>
    </row>
    <row r="2995" spans="1:11">
      <c r="A2995" s="21" t="s">
        <v>2886</v>
      </c>
      <c r="B2995" s="21" t="s">
        <v>9541</v>
      </c>
      <c r="C2995" s="21" t="s">
        <v>8</v>
      </c>
      <c r="D2995" s="21" t="s">
        <v>944</v>
      </c>
      <c r="E2995" s="21" t="s">
        <v>61</v>
      </c>
      <c r="F2995" s="5812">
        <v>3</v>
      </c>
      <c r="G2995" s="5813">
        <v>0.19236111111111112</v>
      </c>
      <c r="H2995" s="21" t="s">
        <v>10</v>
      </c>
      <c r="I2995" s="21" t="s">
        <v>5159</v>
      </c>
      <c r="J2995" s="21" t="s">
        <v>67</v>
      </c>
      <c r="K2995" s="5814" t="s">
        <v>9542</v>
      </c>
    </row>
    <row r="2996" spans="1:11">
      <c r="A2996" s="21" t="s">
        <v>3974</v>
      </c>
      <c r="B2996" s="21" t="s">
        <v>9543</v>
      </c>
      <c r="C2996" s="21" t="s">
        <v>22</v>
      </c>
      <c r="D2996" s="21" t="s">
        <v>944</v>
      </c>
      <c r="E2996" s="21" t="s">
        <v>61</v>
      </c>
      <c r="F2996" s="5812">
        <v>3</v>
      </c>
      <c r="G2996" s="5813">
        <v>0.1986111111111111</v>
      </c>
      <c r="H2996" s="21" t="s">
        <v>10</v>
      </c>
      <c r="I2996" s="21" t="s">
        <v>96</v>
      </c>
      <c r="J2996" s="21" t="s">
        <v>505</v>
      </c>
      <c r="K2996" s="5814" t="s">
        <v>9544</v>
      </c>
    </row>
    <row r="2997" spans="1:11">
      <c r="A2997" s="21" t="s">
        <v>2075</v>
      </c>
      <c r="B2997" s="21" t="s">
        <v>9545</v>
      </c>
      <c r="C2997" s="21" t="s">
        <v>8</v>
      </c>
      <c r="D2997" s="21" t="s">
        <v>944</v>
      </c>
      <c r="E2997" s="21" t="s">
        <v>61</v>
      </c>
      <c r="F2997" s="5812">
        <v>3</v>
      </c>
      <c r="G2997" s="5813">
        <v>0.1986111111111111</v>
      </c>
      <c r="H2997" s="21" t="s">
        <v>10</v>
      </c>
      <c r="I2997" s="21" t="s">
        <v>654</v>
      </c>
      <c r="J2997" s="21" t="s">
        <v>67</v>
      </c>
      <c r="K2997" s="5814" t="s">
        <v>9546</v>
      </c>
    </row>
    <row r="2998" spans="1:11">
      <c r="A2998" s="21" t="s">
        <v>2944</v>
      </c>
      <c r="B2998" s="21" t="s">
        <v>9547</v>
      </c>
      <c r="C2998" s="21" t="s">
        <v>8</v>
      </c>
      <c r="D2998" s="21" t="s">
        <v>944</v>
      </c>
      <c r="E2998" s="21" t="s">
        <v>244</v>
      </c>
      <c r="F2998" s="5812">
        <v>2</v>
      </c>
      <c r="G2998" s="5813">
        <v>0.20833333333333334</v>
      </c>
      <c r="H2998" s="21" t="s">
        <v>10</v>
      </c>
      <c r="I2998" s="21" t="s">
        <v>654</v>
      </c>
      <c r="J2998" s="21"/>
      <c r="K2998" s="5814" t="s">
        <v>9548</v>
      </c>
    </row>
    <row r="2999" spans="1:11">
      <c r="A2999" s="21" t="s">
        <v>3872</v>
      </c>
      <c r="B2999" s="21" t="s">
        <v>9549</v>
      </c>
      <c r="C2999" s="21" t="s">
        <v>8</v>
      </c>
      <c r="D2999" s="21" t="s">
        <v>1085</v>
      </c>
      <c r="E2999" s="21" t="s">
        <v>193</v>
      </c>
      <c r="F2999" s="5812">
        <v>5</v>
      </c>
      <c r="G2999" s="5813">
        <v>0.20833333333333334</v>
      </c>
      <c r="H2999" s="21" t="s">
        <v>54</v>
      </c>
      <c r="I2999" s="21" t="s">
        <v>55</v>
      </c>
      <c r="J2999" s="21" t="s">
        <v>9550</v>
      </c>
      <c r="K2999" s="5814" t="s">
        <v>9551</v>
      </c>
    </row>
    <row r="3000" spans="1:11">
      <c r="A3000" s="21" t="s">
        <v>2433</v>
      </c>
      <c r="B3000" s="21" t="s">
        <v>9552</v>
      </c>
      <c r="C3000" s="21" t="s">
        <v>8</v>
      </c>
      <c r="D3000" s="21" t="s">
        <v>1085</v>
      </c>
      <c r="E3000" s="21" t="s">
        <v>193</v>
      </c>
      <c r="F3000" s="5812">
        <v>5</v>
      </c>
      <c r="G3000" s="5813">
        <v>0.20833333333333334</v>
      </c>
      <c r="H3000" s="21" t="s">
        <v>54</v>
      </c>
      <c r="I3000" s="21" t="s">
        <v>11</v>
      </c>
      <c r="J3000" s="21" t="s">
        <v>9553</v>
      </c>
      <c r="K3000" s="5814" t="s">
        <v>9554</v>
      </c>
    </row>
    <row r="3001" spans="1:11">
      <c r="A3001" s="21" t="s">
        <v>3144</v>
      </c>
      <c r="B3001" s="21" t="s">
        <v>9555</v>
      </c>
      <c r="C3001" s="21" t="s">
        <v>22</v>
      </c>
      <c r="D3001" s="21" t="s">
        <v>1085</v>
      </c>
      <c r="E3001" s="21" t="s">
        <v>193</v>
      </c>
      <c r="F3001" s="5812">
        <v>5</v>
      </c>
      <c r="G3001" s="5813">
        <v>0.20833333333333334</v>
      </c>
      <c r="H3001" s="21" t="s">
        <v>54</v>
      </c>
      <c r="I3001" s="21" t="s">
        <v>55</v>
      </c>
      <c r="J3001" s="21" t="s">
        <v>9556</v>
      </c>
      <c r="K3001" s="5814" t="s">
        <v>9557</v>
      </c>
    </row>
    <row r="3002" spans="1:11">
      <c r="A3002" s="21" t="s">
        <v>135</v>
      </c>
      <c r="B3002" s="21" t="s">
        <v>1084</v>
      </c>
      <c r="C3002" s="21" t="s">
        <v>8</v>
      </c>
      <c r="D3002" s="21" t="s">
        <v>1085</v>
      </c>
      <c r="E3002" s="21" t="s">
        <v>9</v>
      </c>
      <c r="F3002" s="5812">
        <v>5</v>
      </c>
      <c r="G3002" s="5813">
        <v>0.20833333333333334</v>
      </c>
      <c r="H3002" s="21" t="s">
        <v>54</v>
      </c>
      <c r="I3002" s="21" t="s">
        <v>11</v>
      </c>
      <c r="J3002" s="21" t="s">
        <v>1086</v>
      </c>
      <c r="K3002" s="5814" t="s">
        <v>1087</v>
      </c>
    </row>
    <row r="3003" spans="1:11">
      <c r="A3003" s="21" t="s">
        <v>2800</v>
      </c>
      <c r="B3003" s="21" t="s">
        <v>9558</v>
      </c>
      <c r="C3003" s="21" t="s">
        <v>22</v>
      </c>
      <c r="D3003" s="21" t="s">
        <v>1085</v>
      </c>
      <c r="E3003" s="21" t="s">
        <v>9</v>
      </c>
      <c r="F3003" s="5812">
        <v>5</v>
      </c>
      <c r="G3003" s="5813">
        <v>0.20833333333333334</v>
      </c>
      <c r="H3003" s="21" t="s">
        <v>54</v>
      </c>
      <c r="I3003" s="21" t="s">
        <v>2297</v>
      </c>
      <c r="J3003" s="21" t="s">
        <v>9559</v>
      </c>
      <c r="K3003" s="5814" t="s">
        <v>9560</v>
      </c>
    </row>
    <row r="3004" spans="1:11">
      <c r="A3004" s="21" t="s">
        <v>4383</v>
      </c>
      <c r="B3004" s="21" t="s">
        <v>9561</v>
      </c>
      <c r="C3004" s="21" t="s">
        <v>8</v>
      </c>
      <c r="D3004" s="21" t="s">
        <v>1085</v>
      </c>
      <c r="E3004" s="21" t="s">
        <v>9</v>
      </c>
      <c r="F3004" s="5812">
        <v>5</v>
      </c>
      <c r="G3004" s="5813">
        <v>0.20833333333333334</v>
      </c>
      <c r="H3004" s="21" t="s">
        <v>54</v>
      </c>
      <c r="I3004" s="21" t="s">
        <v>55</v>
      </c>
      <c r="J3004" s="21" t="s">
        <v>9562</v>
      </c>
      <c r="K3004" s="5814" t="s">
        <v>9563</v>
      </c>
    </row>
    <row r="3005" spans="1:11">
      <c r="A3005" s="21" t="s">
        <v>2123</v>
      </c>
      <c r="B3005" s="21" t="s">
        <v>9564</v>
      </c>
      <c r="C3005" s="21" t="s">
        <v>22</v>
      </c>
      <c r="D3005" s="21" t="s">
        <v>1085</v>
      </c>
      <c r="E3005" s="21" t="s">
        <v>466</v>
      </c>
      <c r="F3005" s="5812">
        <v>4</v>
      </c>
      <c r="G3005" s="5813">
        <v>0.18680555555555556</v>
      </c>
      <c r="H3005" s="21" t="s">
        <v>54</v>
      </c>
      <c r="I3005" s="21" t="s">
        <v>39</v>
      </c>
      <c r="J3005" s="21" t="s">
        <v>9565</v>
      </c>
      <c r="K3005" s="5814" t="s">
        <v>9566</v>
      </c>
    </row>
    <row r="3006" spans="1:11">
      <c r="A3006" s="21" t="s">
        <v>2201</v>
      </c>
      <c r="B3006" s="21" t="s">
        <v>9567</v>
      </c>
      <c r="C3006" s="21" t="s">
        <v>8</v>
      </c>
      <c r="D3006" s="21" t="s">
        <v>1085</v>
      </c>
      <c r="E3006" s="21" t="s">
        <v>46</v>
      </c>
      <c r="F3006" s="5812">
        <v>1</v>
      </c>
      <c r="G3006" s="5813">
        <v>0.1736111111111111</v>
      </c>
      <c r="H3006" s="21" t="s">
        <v>54</v>
      </c>
      <c r="I3006" s="21" t="s">
        <v>55</v>
      </c>
      <c r="J3006" s="21" t="s">
        <v>97</v>
      </c>
      <c r="K3006" s="5814" t="s">
        <v>9568</v>
      </c>
    </row>
    <row r="3007" spans="1:11">
      <c r="A3007" s="21" t="s">
        <v>2300</v>
      </c>
      <c r="B3007" s="21" t="s">
        <v>9569</v>
      </c>
      <c r="C3007" s="21" t="s">
        <v>22</v>
      </c>
      <c r="D3007" s="21" t="s">
        <v>1085</v>
      </c>
      <c r="E3007" s="21" t="s">
        <v>46</v>
      </c>
      <c r="F3007" s="5812">
        <v>2</v>
      </c>
      <c r="G3007" s="5813">
        <v>3.5416666666666666E-2</v>
      </c>
      <c r="H3007" s="21" t="s">
        <v>54</v>
      </c>
      <c r="I3007" s="21" t="s">
        <v>47</v>
      </c>
      <c r="J3007" s="21" t="s">
        <v>127</v>
      </c>
      <c r="K3007" s="5814" t="s">
        <v>9570</v>
      </c>
    </row>
    <row r="3008" spans="1:11">
      <c r="A3008" s="21" t="s">
        <v>3195</v>
      </c>
      <c r="B3008" s="21" t="s">
        <v>9571</v>
      </c>
      <c r="C3008" s="21" t="s">
        <v>22</v>
      </c>
      <c r="D3008" s="21" t="s">
        <v>1085</v>
      </c>
      <c r="E3008" s="21" t="s">
        <v>46</v>
      </c>
      <c r="F3008" s="5812">
        <v>2</v>
      </c>
      <c r="G3008" s="5813">
        <v>0.11180555555555556</v>
      </c>
      <c r="H3008" s="21" t="s">
        <v>54</v>
      </c>
      <c r="I3008" s="21" t="s">
        <v>226</v>
      </c>
      <c r="J3008" s="21" t="s">
        <v>48</v>
      </c>
      <c r="K3008" s="5814" t="s">
        <v>9572</v>
      </c>
    </row>
    <row r="3009" spans="1:11">
      <c r="A3009" s="21" t="s">
        <v>2096</v>
      </c>
      <c r="B3009" s="21" t="s">
        <v>9573</v>
      </c>
      <c r="C3009" s="21" t="s">
        <v>8</v>
      </c>
      <c r="D3009" s="21" t="s">
        <v>1085</v>
      </c>
      <c r="E3009" s="21" t="s">
        <v>46</v>
      </c>
      <c r="F3009" s="5812">
        <v>2</v>
      </c>
      <c r="G3009" s="5813">
        <v>0.15555555555555556</v>
      </c>
      <c r="H3009" s="21" t="s">
        <v>54</v>
      </c>
      <c r="I3009" s="21" t="s">
        <v>47</v>
      </c>
      <c r="J3009" s="21" t="s">
        <v>258</v>
      </c>
      <c r="K3009" s="5814" t="s">
        <v>9574</v>
      </c>
    </row>
    <row r="3010" spans="1:11">
      <c r="A3010" s="21" t="s">
        <v>4116</v>
      </c>
      <c r="B3010" s="21" t="s">
        <v>9575</v>
      </c>
      <c r="C3010" s="21" t="s">
        <v>8</v>
      </c>
      <c r="D3010" s="21" t="s">
        <v>1085</v>
      </c>
      <c r="E3010" s="21" t="s">
        <v>46</v>
      </c>
      <c r="F3010" s="5812">
        <v>2</v>
      </c>
      <c r="G3010" s="5813">
        <v>0.20694444444444443</v>
      </c>
      <c r="H3010" s="21" t="s">
        <v>54</v>
      </c>
      <c r="I3010" s="21" t="s">
        <v>11</v>
      </c>
      <c r="J3010" s="21" t="s">
        <v>2953</v>
      </c>
      <c r="K3010" s="5814" t="s">
        <v>9576</v>
      </c>
    </row>
    <row r="3011" spans="1:11">
      <c r="A3011" s="21" t="s">
        <v>2609</v>
      </c>
      <c r="B3011" s="21" t="s">
        <v>9577</v>
      </c>
      <c r="C3011" s="21" t="s">
        <v>8</v>
      </c>
      <c r="D3011" s="21" t="s">
        <v>1085</v>
      </c>
      <c r="E3011" s="21" t="s">
        <v>46</v>
      </c>
      <c r="F3011" s="5812">
        <v>3</v>
      </c>
      <c r="G3011" s="5813">
        <v>0.20208333333333334</v>
      </c>
      <c r="H3011" s="21" t="s">
        <v>54</v>
      </c>
      <c r="I3011" s="21" t="s">
        <v>47</v>
      </c>
      <c r="J3011" s="21" t="s">
        <v>127</v>
      </c>
      <c r="K3011" s="5814" t="s">
        <v>9578</v>
      </c>
    </row>
    <row r="3012" spans="1:11">
      <c r="A3012" s="21" t="s">
        <v>2870</v>
      </c>
      <c r="B3012" s="21" t="s">
        <v>9579</v>
      </c>
      <c r="C3012" s="21" t="s">
        <v>8</v>
      </c>
      <c r="D3012" s="21" t="s">
        <v>1085</v>
      </c>
      <c r="E3012" s="21" t="s">
        <v>46</v>
      </c>
      <c r="F3012" s="5812">
        <v>4</v>
      </c>
      <c r="G3012" s="5813">
        <v>2.4305555555555556E-2</v>
      </c>
      <c r="H3012" s="21" t="s">
        <v>54</v>
      </c>
      <c r="I3012" s="21" t="s">
        <v>55</v>
      </c>
      <c r="J3012" s="21" t="s">
        <v>97</v>
      </c>
      <c r="K3012" s="5814" t="s">
        <v>9580</v>
      </c>
    </row>
    <row r="3013" spans="1:11">
      <c r="A3013" s="21" t="s">
        <v>3203</v>
      </c>
      <c r="B3013" s="21" t="s">
        <v>9581</v>
      </c>
      <c r="C3013" s="21" t="s">
        <v>8</v>
      </c>
      <c r="D3013" s="21" t="s">
        <v>1085</v>
      </c>
      <c r="E3013" s="21" t="s">
        <v>46</v>
      </c>
      <c r="F3013" s="5812">
        <v>5</v>
      </c>
      <c r="G3013" s="5813">
        <v>0.14166666666666666</v>
      </c>
      <c r="H3013" s="21" t="s">
        <v>54</v>
      </c>
      <c r="I3013" s="21" t="s">
        <v>2713</v>
      </c>
      <c r="J3013" s="21" t="s">
        <v>127</v>
      </c>
      <c r="K3013" s="5814" t="s">
        <v>9582</v>
      </c>
    </row>
    <row r="3014" spans="1:11">
      <c r="A3014" s="21" t="s">
        <v>3203</v>
      </c>
      <c r="B3014" s="21" t="s">
        <v>9583</v>
      </c>
      <c r="C3014" s="21" t="s">
        <v>8</v>
      </c>
      <c r="D3014" s="21" t="s">
        <v>1092</v>
      </c>
      <c r="E3014" s="21" t="s">
        <v>193</v>
      </c>
      <c r="F3014" s="5812">
        <v>5</v>
      </c>
      <c r="G3014" s="5813">
        <v>0.20833333333333334</v>
      </c>
      <c r="H3014" s="21" t="s">
        <v>54</v>
      </c>
      <c r="I3014" s="21" t="s">
        <v>55</v>
      </c>
      <c r="J3014" s="21" t="s">
        <v>9584</v>
      </c>
      <c r="K3014" s="5814" t="s">
        <v>9585</v>
      </c>
    </row>
    <row r="3015" spans="1:11">
      <c r="A3015" s="21" t="s">
        <v>2045</v>
      </c>
      <c r="B3015" s="21" t="s">
        <v>9583</v>
      </c>
      <c r="C3015" s="21" t="s">
        <v>8</v>
      </c>
      <c r="D3015" s="21" t="s">
        <v>1092</v>
      </c>
      <c r="E3015" s="21" t="s">
        <v>9</v>
      </c>
      <c r="F3015" s="5812">
        <v>5</v>
      </c>
      <c r="G3015" s="5813">
        <v>0.20833333333333334</v>
      </c>
      <c r="H3015" s="21" t="s">
        <v>54</v>
      </c>
      <c r="I3015" s="21" t="s">
        <v>47</v>
      </c>
      <c r="J3015" s="21" t="s">
        <v>9586</v>
      </c>
      <c r="K3015" s="5814" t="s">
        <v>9587</v>
      </c>
    </row>
    <row r="3016" spans="1:11">
      <c r="A3016" s="21" t="s">
        <v>3152</v>
      </c>
      <c r="B3016" s="21" t="s">
        <v>9588</v>
      </c>
      <c r="C3016" s="21" t="s">
        <v>8</v>
      </c>
      <c r="D3016" s="21" t="s">
        <v>1092</v>
      </c>
      <c r="E3016" s="21" t="s">
        <v>9</v>
      </c>
      <c r="F3016" s="5812">
        <v>5</v>
      </c>
      <c r="G3016" s="5813">
        <v>0.20833333333333334</v>
      </c>
      <c r="H3016" s="21" t="s">
        <v>54</v>
      </c>
      <c r="I3016" s="21" t="s">
        <v>55</v>
      </c>
      <c r="J3016" s="21" t="s">
        <v>9589</v>
      </c>
      <c r="K3016" s="5814" t="s">
        <v>9590</v>
      </c>
    </row>
    <row r="3017" spans="1:11">
      <c r="A3017" s="21" t="s">
        <v>2156</v>
      </c>
      <c r="B3017" s="21" t="s">
        <v>9591</v>
      </c>
      <c r="C3017" s="21" t="s">
        <v>22</v>
      </c>
      <c r="D3017" s="21" t="s">
        <v>1092</v>
      </c>
      <c r="E3017" s="21" t="s">
        <v>9</v>
      </c>
      <c r="F3017" s="5812">
        <v>5</v>
      </c>
      <c r="G3017" s="5813">
        <v>0.20833333333333334</v>
      </c>
      <c r="H3017" s="21" t="s">
        <v>54</v>
      </c>
      <c r="I3017" s="21" t="s">
        <v>96</v>
      </c>
      <c r="J3017" s="21" t="s">
        <v>9592</v>
      </c>
      <c r="K3017" s="5814" t="s">
        <v>9593</v>
      </c>
    </row>
    <row r="3018" spans="1:11">
      <c r="A3018" s="21" t="s">
        <v>4724</v>
      </c>
      <c r="B3018" s="21" t="s">
        <v>9594</v>
      </c>
      <c r="C3018" s="21" t="s">
        <v>8</v>
      </c>
      <c r="D3018" s="21" t="s">
        <v>1092</v>
      </c>
      <c r="E3018" s="21" t="s">
        <v>9</v>
      </c>
      <c r="F3018" s="5812">
        <v>5</v>
      </c>
      <c r="G3018" s="5813">
        <v>0.20833333333333334</v>
      </c>
      <c r="H3018" s="21" t="s">
        <v>54</v>
      </c>
      <c r="I3018" s="21" t="s">
        <v>55</v>
      </c>
      <c r="J3018" s="21" t="s">
        <v>9595</v>
      </c>
      <c r="K3018" s="5814" t="s">
        <v>9596</v>
      </c>
    </row>
    <row r="3019" spans="1:11">
      <c r="A3019" s="21" t="s">
        <v>2850</v>
      </c>
      <c r="B3019" s="21" t="s">
        <v>9597</v>
      </c>
      <c r="C3019" s="21" t="s">
        <v>22</v>
      </c>
      <c r="D3019" s="21" t="s">
        <v>1092</v>
      </c>
      <c r="E3019" s="21" t="s">
        <v>46</v>
      </c>
      <c r="F3019" s="5812">
        <v>1</v>
      </c>
      <c r="G3019" s="5813">
        <v>9.0277777777777769E-3</v>
      </c>
      <c r="H3019" s="21" t="s">
        <v>54</v>
      </c>
      <c r="I3019" s="21" t="s">
        <v>2297</v>
      </c>
      <c r="J3019" s="21" t="s">
        <v>48</v>
      </c>
      <c r="K3019" s="5814" t="s">
        <v>9598</v>
      </c>
    </row>
    <row r="3020" spans="1:11">
      <c r="A3020" s="21" t="s">
        <v>166</v>
      </c>
      <c r="B3020" s="21" t="s">
        <v>1091</v>
      </c>
      <c r="C3020" s="21" t="s">
        <v>22</v>
      </c>
      <c r="D3020" s="21" t="s">
        <v>1092</v>
      </c>
      <c r="E3020" s="21" t="s">
        <v>46</v>
      </c>
      <c r="F3020" s="5812">
        <v>2</v>
      </c>
      <c r="G3020" s="5813">
        <v>0.14722222222222223</v>
      </c>
      <c r="H3020" s="21" t="s">
        <v>54</v>
      </c>
      <c r="I3020" s="21" t="s">
        <v>96</v>
      </c>
      <c r="J3020" s="21" t="s">
        <v>48</v>
      </c>
      <c r="K3020" s="5814" t="s">
        <v>1093</v>
      </c>
    </row>
    <row r="3021" spans="1:11">
      <c r="A3021" s="21" t="s">
        <v>2229</v>
      </c>
      <c r="B3021" s="21" t="s">
        <v>9599</v>
      </c>
      <c r="C3021" s="21" t="s">
        <v>22</v>
      </c>
      <c r="D3021" s="21" t="s">
        <v>1092</v>
      </c>
      <c r="E3021" s="21" t="s">
        <v>46</v>
      </c>
      <c r="F3021" s="5812">
        <v>3</v>
      </c>
      <c r="G3021" s="5813">
        <v>0.17569444444444443</v>
      </c>
      <c r="H3021" s="21" t="s">
        <v>54</v>
      </c>
      <c r="I3021" s="21" t="s">
        <v>2297</v>
      </c>
      <c r="J3021" s="21" t="s">
        <v>258</v>
      </c>
      <c r="K3021" s="5814" t="s">
        <v>9600</v>
      </c>
    </row>
    <row r="3022" spans="1:11">
      <c r="A3022" s="21" t="s">
        <v>3029</v>
      </c>
      <c r="B3022" s="21" t="s">
        <v>9601</v>
      </c>
      <c r="C3022" s="21" t="s">
        <v>8</v>
      </c>
      <c r="D3022" s="21" t="s">
        <v>1092</v>
      </c>
      <c r="E3022" s="21" t="s">
        <v>46</v>
      </c>
      <c r="F3022" s="5812">
        <v>3</v>
      </c>
      <c r="G3022" s="5813">
        <v>0.17986111111111111</v>
      </c>
      <c r="H3022" s="21" t="s">
        <v>54</v>
      </c>
      <c r="I3022" s="21" t="s">
        <v>55</v>
      </c>
      <c r="J3022" s="21" t="s">
        <v>127</v>
      </c>
      <c r="K3022" s="5814" t="s">
        <v>9602</v>
      </c>
    </row>
    <row r="3023" spans="1:11">
      <c r="A3023" s="21" t="s">
        <v>5168</v>
      </c>
      <c r="B3023" s="21" t="s">
        <v>9603</v>
      </c>
      <c r="C3023" s="21" t="s">
        <v>8</v>
      </c>
      <c r="D3023" s="21" t="s">
        <v>1092</v>
      </c>
      <c r="E3023" s="21" t="s">
        <v>46</v>
      </c>
      <c r="F3023" s="5812">
        <v>3</v>
      </c>
      <c r="G3023" s="5813">
        <v>0.20208333333333334</v>
      </c>
      <c r="H3023" s="21" t="s">
        <v>54</v>
      </c>
      <c r="I3023" s="21" t="s">
        <v>55</v>
      </c>
      <c r="J3023" s="21" t="s">
        <v>127</v>
      </c>
      <c r="K3023" s="5814" t="s">
        <v>9604</v>
      </c>
    </row>
    <row r="3024" spans="1:11">
      <c r="A3024" s="21" t="s">
        <v>2433</v>
      </c>
      <c r="B3024" s="21" t="s">
        <v>9605</v>
      </c>
      <c r="C3024" s="21" t="s">
        <v>8</v>
      </c>
      <c r="D3024" s="21" t="s">
        <v>1092</v>
      </c>
      <c r="E3024" s="21" t="s">
        <v>46</v>
      </c>
      <c r="F3024" s="5812">
        <v>4</v>
      </c>
      <c r="G3024" s="5813">
        <v>3.125E-2</v>
      </c>
      <c r="H3024" s="21" t="s">
        <v>54</v>
      </c>
      <c r="I3024" s="21" t="s">
        <v>55</v>
      </c>
      <c r="J3024" s="21" t="s">
        <v>97</v>
      </c>
      <c r="K3024" s="5814" t="s">
        <v>9606</v>
      </c>
    </row>
    <row r="3025" spans="1:11">
      <c r="A3025" s="21" t="s">
        <v>2668</v>
      </c>
      <c r="B3025" s="21" t="s">
        <v>9607</v>
      </c>
      <c r="C3025" s="21" t="s">
        <v>8</v>
      </c>
      <c r="D3025" s="21" t="s">
        <v>1092</v>
      </c>
      <c r="E3025" s="21" t="s">
        <v>244</v>
      </c>
      <c r="F3025" s="5812">
        <v>4</v>
      </c>
      <c r="G3025" s="5813">
        <v>0.20833333333333334</v>
      </c>
      <c r="H3025" s="21" t="s">
        <v>54</v>
      </c>
      <c r="I3025" s="21" t="s">
        <v>2872</v>
      </c>
      <c r="J3025" s="21"/>
      <c r="K3025" s="5814" t="s">
        <v>9608</v>
      </c>
    </row>
    <row r="3026" spans="1:11">
      <c r="A3026" s="21" t="s">
        <v>4047</v>
      </c>
      <c r="B3026" s="21" t="s">
        <v>9609</v>
      </c>
      <c r="C3026" s="21" t="s">
        <v>709</v>
      </c>
      <c r="D3026" s="21" t="s">
        <v>1098</v>
      </c>
      <c r="E3026" s="21" t="s">
        <v>710</v>
      </c>
      <c r="F3026" s="5812">
        <v>5</v>
      </c>
      <c r="G3026" s="5813">
        <v>0.20833333333333334</v>
      </c>
      <c r="H3026" s="21" t="s">
        <v>54</v>
      </c>
      <c r="I3026" s="21" t="s">
        <v>96</v>
      </c>
      <c r="J3026" s="21" t="s">
        <v>9610</v>
      </c>
      <c r="K3026" s="5814" t="s">
        <v>9611</v>
      </c>
    </row>
    <row r="3027" spans="1:11">
      <c r="A3027" s="21" t="s">
        <v>3029</v>
      </c>
      <c r="B3027" s="21" t="s">
        <v>5152</v>
      </c>
      <c r="C3027" s="21" t="s">
        <v>22</v>
      </c>
      <c r="D3027" s="21" t="s">
        <v>1098</v>
      </c>
      <c r="E3027" s="21" t="s">
        <v>193</v>
      </c>
      <c r="F3027" s="5812">
        <v>5</v>
      </c>
      <c r="G3027" s="5813">
        <v>0.20833333333333334</v>
      </c>
      <c r="H3027" s="21" t="s">
        <v>54</v>
      </c>
      <c r="I3027" s="21" t="s">
        <v>96</v>
      </c>
      <c r="J3027" s="21" t="s">
        <v>9612</v>
      </c>
      <c r="K3027" s="5814" t="s">
        <v>9613</v>
      </c>
    </row>
    <row r="3028" spans="1:11">
      <c r="A3028" s="21" t="s">
        <v>2201</v>
      </c>
      <c r="B3028" s="21" t="s">
        <v>9614</v>
      </c>
      <c r="C3028" s="21" t="s">
        <v>22</v>
      </c>
      <c r="D3028" s="21" t="s">
        <v>1098</v>
      </c>
      <c r="E3028" s="21" t="s">
        <v>193</v>
      </c>
      <c r="F3028" s="5812">
        <v>5</v>
      </c>
      <c r="G3028" s="5813">
        <v>0.20833333333333334</v>
      </c>
      <c r="H3028" s="21" t="s">
        <v>54</v>
      </c>
      <c r="I3028" s="21" t="s">
        <v>89</v>
      </c>
      <c r="J3028" s="21" t="s">
        <v>9615</v>
      </c>
      <c r="K3028" s="5814" t="s">
        <v>9616</v>
      </c>
    </row>
    <row r="3029" spans="1:11">
      <c r="A3029" s="21" t="s">
        <v>87</v>
      </c>
      <c r="B3029" s="21" t="s">
        <v>1097</v>
      </c>
      <c r="C3029" s="21" t="s">
        <v>8</v>
      </c>
      <c r="D3029" s="21" t="s">
        <v>1098</v>
      </c>
      <c r="E3029" s="21" t="s">
        <v>9</v>
      </c>
      <c r="F3029" s="5812">
        <v>5</v>
      </c>
      <c r="G3029" s="5813">
        <v>0.20833333333333334</v>
      </c>
      <c r="H3029" s="21" t="s">
        <v>54</v>
      </c>
      <c r="I3029" s="21" t="s">
        <v>47</v>
      </c>
      <c r="J3029" s="21" t="s">
        <v>1099</v>
      </c>
      <c r="K3029" s="5814" t="s">
        <v>1100</v>
      </c>
    </row>
    <row r="3030" spans="1:11">
      <c r="A3030" s="21" t="s">
        <v>44</v>
      </c>
      <c r="B3030" s="21" t="s">
        <v>1101</v>
      </c>
      <c r="C3030" s="21" t="s">
        <v>8</v>
      </c>
      <c r="D3030" s="21" t="s">
        <v>1098</v>
      </c>
      <c r="E3030" s="21" t="s">
        <v>9</v>
      </c>
      <c r="F3030" s="5812">
        <v>5</v>
      </c>
      <c r="G3030" s="5813">
        <v>0.20833333333333334</v>
      </c>
      <c r="H3030" s="21" t="s">
        <v>54</v>
      </c>
      <c r="I3030" s="21" t="s">
        <v>47</v>
      </c>
      <c r="J3030" s="21" t="s">
        <v>1102</v>
      </c>
      <c r="K3030" s="5814" t="s">
        <v>1103</v>
      </c>
    </row>
    <row r="3031" spans="1:11">
      <c r="A3031" s="21" t="s">
        <v>2454</v>
      </c>
      <c r="B3031" s="21" t="s">
        <v>9617</v>
      </c>
      <c r="C3031" s="21" t="s">
        <v>22</v>
      </c>
      <c r="D3031" s="21" t="s">
        <v>1098</v>
      </c>
      <c r="E3031" s="21" t="s">
        <v>9</v>
      </c>
      <c r="F3031" s="5812">
        <v>5</v>
      </c>
      <c r="G3031" s="5813">
        <v>0.20833333333333334</v>
      </c>
      <c r="H3031" s="21" t="s">
        <v>54</v>
      </c>
      <c r="I3031" s="21" t="s">
        <v>96</v>
      </c>
      <c r="J3031" s="21" t="s">
        <v>9618</v>
      </c>
      <c r="K3031" s="5814" t="s">
        <v>9619</v>
      </c>
    </row>
    <row r="3032" spans="1:11">
      <c r="A3032" s="21" t="s">
        <v>3044</v>
      </c>
      <c r="B3032" s="21" t="s">
        <v>9620</v>
      </c>
      <c r="C3032" s="21" t="s">
        <v>8</v>
      </c>
      <c r="D3032" s="21" t="s">
        <v>1098</v>
      </c>
      <c r="E3032" s="21" t="s">
        <v>9</v>
      </c>
      <c r="F3032" s="5812">
        <v>5</v>
      </c>
      <c r="G3032" s="5813">
        <v>0.20833333333333334</v>
      </c>
      <c r="H3032" s="21" t="s">
        <v>54</v>
      </c>
      <c r="I3032" s="21" t="s">
        <v>55</v>
      </c>
      <c r="J3032" s="21" t="s">
        <v>9621</v>
      </c>
      <c r="K3032" s="5814" t="s">
        <v>9622</v>
      </c>
    </row>
    <row r="3033" spans="1:11">
      <c r="A3033" s="21" t="s">
        <v>3293</v>
      </c>
      <c r="B3033" s="21" t="s">
        <v>9623</v>
      </c>
      <c r="C3033" s="21" t="s">
        <v>8</v>
      </c>
      <c r="D3033" s="21" t="s">
        <v>1098</v>
      </c>
      <c r="E3033" s="21" t="s">
        <v>9</v>
      </c>
      <c r="F3033" s="5812">
        <v>5</v>
      </c>
      <c r="G3033" s="5813">
        <v>0.20833333333333334</v>
      </c>
      <c r="H3033" s="21" t="s">
        <v>54</v>
      </c>
      <c r="I3033" s="21" t="s">
        <v>55</v>
      </c>
      <c r="J3033" s="21" t="s">
        <v>9624</v>
      </c>
      <c r="K3033" s="5814" t="s">
        <v>9625</v>
      </c>
    </row>
    <row r="3034" spans="1:11">
      <c r="A3034" s="21" t="s">
        <v>3328</v>
      </c>
      <c r="B3034" s="21" t="s">
        <v>9626</v>
      </c>
      <c r="C3034" s="21" t="s">
        <v>8</v>
      </c>
      <c r="D3034" s="21" t="s">
        <v>1098</v>
      </c>
      <c r="E3034" s="21" t="s">
        <v>46</v>
      </c>
      <c r="F3034" s="5812">
        <v>1</v>
      </c>
      <c r="G3034" s="5813">
        <v>2.2222222222222223E-2</v>
      </c>
      <c r="H3034" s="21" t="s">
        <v>54</v>
      </c>
      <c r="I3034" s="21" t="s">
        <v>187</v>
      </c>
      <c r="J3034" s="21" t="s">
        <v>127</v>
      </c>
      <c r="K3034" s="5814" t="s">
        <v>9627</v>
      </c>
    </row>
    <row r="3035" spans="1:11">
      <c r="A3035" s="21" t="s">
        <v>4645</v>
      </c>
      <c r="B3035" s="21" t="s">
        <v>9614</v>
      </c>
      <c r="C3035" s="21" t="s">
        <v>8</v>
      </c>
      <c r="D3035" s="21" t="s">
        <v>1098</v>
      </c>
      <c r="E3035" s="21" t="s">
        <v>46</v>
      </c>
      <c r="F3035" s="5812">
        <v>1</v>
      </c>
      <c r="G3035" s="5813">
        <v>0.11736111111111111</v>
      </c>
      <c r="H3035" s="21" t="s">
        <v>54</v>
      </c>
      <c r="I3035" s="21" t="s">
        <v>2297</v>
      </c>
      <c r="J3035" s="21" t="s">
        <v>7866</v>
      </c>
      <c r="K3035" s="5814" t="s">
        <v>9628</v>
      </c>
    </row>
    <row r="3036" spans="1:11">
      <c r="A3036" s="21" t="s">
        <v>5335</v>
      </c>
      <c r="B3036" s="21" t="s">
        <v>9629</v>
      </c>
      <c r="C3036" s="21" t="s">
        <v>8</v>
      </c>
      <c r="D3036" s="21" t="s">
        <v>1098</v>
      </c>
      <c r="E3036" s="21" t="s">
        <v>61</v>
      </c>
      <c r="F3036" s="5812">
        <v>1</v>
      </c>
      <c r="G3036" s="5813">
        <v>8.1250000000000003E-2</v>
      </c>
      <c r="H3036" s="21" t="s">
        <v>54</v>
      </c>
      <c r="I3036" s="21" t="s">
        <v>47</v>
      </c>
      <c r="J3036" s="21" t="s">
        <v>3350</v>
      </c>
      <c r="K3036" s="5814" t="s">
        <v>9630</v>
      </c>
    </row>
    <row r="3037" spans="1:11">
      <c r="A3037" s="21" t="s">
        <v>2542</v>
      </c>
      <c r="B3037" s="21" t="s">
        <v>9631</v>
      </c>
      <c r="C3037" s="21" t="s">
        <v>8</v>
      </c>
      <c r="D3037" s="21" t="s">
        <v>1098</v>
      </c>
      <c r="E3037" s="21" t="s">
        <v>61</v>
      </c>
      <c r="F3037" s="5812">
        <v>1</v>
      </c>
      <c r="G3037" s="5813">
        <v>0.2</v>
      </c>
      <c r="H3037" s="21" t="s">
        <v>54</v>
      </c>
      <c r="I3037" s="21" t="s">
        <v>47</v>
      </c>
      <c r="J3037" s="21" t="s">
        <v>67</v>
      </c>
      <c r="K3037" s="5814" t="s">
        <v>9632</v>
      </c>
    </row>
    <row r="3038" spans="1:11">
      <c r="A3038" s="21" t="s">
        <v>3984</v>
      </c>
      <c r="B3038" s="21" t="s">
        <v>9609</v>
      </c>
      <c r="C3038" s="21" t="s">
        <v>22</v>
      </c>
      <c r="D3038" s="21" t="s">
        <v>1098</v>
      </c>
      <c r="E3038" s="21" t="s">
        <v>61</v>
      </c>
      <c r="F3038" s="5812">
        <v>3</v>
      </c>
      <c r="G3038" s="5813">
        <v>0.10138888888888889</v>
      </c>
      <c r="H3038" s="21" t="s">
        <v>54</v>
      </c>
      <c r="I3038" s="21" t="s">
        <v>89</v>
      </c>
      <c r="J3038" s="21" t="s">
        <v>67</v>
      </c>
      <c r="K3038" s="5814" t="s">
        <v>9633</v>
      </c>
    </row>
    <row r="3039" spans="1:11">
      <c r="A3039" s="21" t="s">
        <v>2784</v>
      </c>
      <c r="B3039" s="21" t="s">
        <v>9634</v>
      </c>
      <c r="C3039" s="21" t="s">
        <v>8</v>
      </c>
      <c r="D3039" s="21" t="s">
        <v>1098</v>
      </c>
      <c r="E3039" s="21" t="s">
        <v>61</v>
      </c>
      <c r="F3039" s="5812">
        <v>3</v>
      </c>
      <c r="G3039" s="5813">
        <v>0.20069444444444445</v>
      </c>
      <c r="H3039" s="21" t="s">
        <v>54</v>
      </c>
      <c r="I3039" s="21" t="s">
        <v>226</v>
      </c>
      <c r="J3039" s="21" t="s">
        <v>1444</v>
      </c>
      <c r="K3039" s="5814" t="s">
        <v>9635</v>
      </c>
    </row>
    <row r="3040" spans="1:11">
      <c r="A3040" s="21" t="s">
        <v>2221</v>
      </c>
      <c r="B3040" s="21" t="s">
        <v>9636</v>
      </c>
      <c r="C3040" s="21" t="s">
        <v>8</v>
      </c>
      <c r="D3040" s="21" t="s">
        <v>1098</v>
      </c>
      <c r="E3040" s="21" t="s">
        <v>61</v>
      </c>
      <c r="F3040" s="5812">
        <v>5</v>
      </c>
      <c r="G3040" s="5813">
        <v>0.13541666666666666</v>
      </c>
      <c r="H3040" s="21" t="s">
        <v>54</v>
      </c>
      <c r="I3040" s="21" t="s">
        <v>226</v>
      </c>
      <c r="J3040" s="21" t="s">
        <v>1379</v>
      </c>
      <c r="K3040" s="5814" t="s">
        <v>9637</v>
      </c>
    </row>
    <row r="3041" spans="1:11">
      <c r="A3041" s="21" t="s">
        <v>3056</v>
      </c>
      <c r="B3041" s="21" t="s">
        <v>9638</v>
      </c>
      <c r="C3041" s="21" t="s">
        <v>8</v>
      </c>
      <c r="D3041" s="21" t="s">
        <v>1098</v>
      </c>
      <c r="E3041" s="21" t="s">
        <v>61</v>
      </c>
      <c r="F3041" s="5812">
        <v>5</v>
      </c>
      <c r="G3041" s="5813">
        <v>0.2076388888888889</v>
      </c>
      <c r="H3041" s="21" t="s">
        <v>54</v>
      </c>
      <c r="I3041" s="21" t="s">
        <v>2872</v>
      </c>
      <c r="J3041" s="21" t="s">
        <v>1444</v>
      </c>
      <c r="K3041" s="5814" t="s">
        <v>9639</v>
      </c>
    </row>
    <row r="3042" spans="1:11">
      <c r="A3042" s="21" t="s">
        <v>2354</v>
      </c>
      <c r="B3042" s="21" t="s">
        <v>9609</v>
      </c>
      <c r="C3042" s="21" t="s">
        <v>22</v>
      </c>
      <c r="D3042" s="21" t="s">
        <v>1098</v>
      </c>
      <c r="E3042" s="21" t="s">
        <v>244</v>
      </c>
      <c r="F3042" s="5812">
        <v>3</v>
      </c>
      <c r="G3042" s="5813">
        <v>0.20833333333333334</v>
      </c>
      <c r="H3042" s="21" t="s">
        <v>54</v>
      </c>
      <c r="I3042" s="21" t="s">
        <v>55</v>
      </c>
      <c r="J3042" s="21" t="s">
        <v>3622</v>
      </c>
      <c r="K3042" s="5814" t="s">
        <v>9640</v>
      </c>
    </row>
    <row r="3043" spans="1:11">
      <c r="A3043" s="21" t="s">
        <v>2454</v>
      </c>
      <c r="B3043" s="21" t="s">
        <v>9641</v>
      </c>
      <c r="C3043" s="21" t="s">
        <v>8</v>
      </c>
      <c r="D3043" s="21" t="s">
        <v>9642</v>
      </c>
      <c r="E3043" s="21" t="s">
        <v>9</v>
      </c>
      <c r="F3043" s="5812">
        <v>5</v>
      </c>
      <c r="G3043" s="5813">
        <v>0.20833333333333334</v>
      </c>
      <c r="H3043" s="21" t="s">
        <v>54</v>
      </c>
      <c r="I3043" s="21" t="s">
        <v>55</v>
      </c>
      <c r="J3043" s="21" t="s">
        <v>9643</v>
      </c>
      <c r="K3043" s="5814" t="s">
        <v>9644</v>
      </c>
    </row>
    <row r="3044" spans="1:11">
      <c r="A3044" s="21" t="s">
        <v>2530</v>
      </c>
      <c r="B3044" s="21" t="s">
        <v>9645</v>
      </c>
      <c r="C3044" s="21" t="s">
        <v>8</v>
      </c>
      <c r="D3044" s="21" t="s">
        <v>9642</v>
      </c>
      <c r="E3044" s="21" t="s">
        <v>9</v>
      </c>
      <c r="F3044" s="5812">
        <v>5</v>
      </c>
      <c r="G3044" s="5813">
        <v>0.20833333333333334</v>
      </c>
      <c r="H3044" s="21" t="s">
        <v>54</v>
      </c>
      <c r="I3044" s="21" t="s">
        <v>47</v>
      </c>
      <c r="J3044" s="21" t="s">
        <v>9646</v>
      </c>
      <c r="K3044" s="5814" t="s">
        <v>9647</v>
      </c>
    </row>
    <row r="3045" spans="1:11">
      <c r="A3045" s="21" t="s">
        <v>3125</v>
      </c>
      <c r="B3045" s="21" t="s">
        <v>9648</v>
      </c>
      <c r="C3045" s="21" t="s">
        <v>8</v>
      </c>
      <c r="D3045" s="21" t="s">
        <v>9642</v>
      </c>
      <c r="E3045" s="21" t="s">
        <v>9</v>
      </c>
      <c r="F3045" s="5812">
        <v>5</v>
      </c>
      <c r="G3045" s="5813">
        <v>0.20833333333333334</v>
      </c>
      <c r="H3045" s="21" t="s">
        <v>54</v>
      </c>
      <c r="I3045" s="21" t="s">
        <v>55</v>
      </c>
      <c r="J3045" s="21" t="s">
        <v>9649</v>
      </c>
      <c r="K3045" s="5814" t="s">
        <v>9650</v>
      </c>
    </row>
    <row r="3046" spans="1:11">
      <c r="A3046" s="21" t="s">
        <v>4321</v>
      </c>
      <c r="B3046" s="21" t="s">
        <v>9651</v>
      </c>
      <c r="C3046" s="21" t="s">
        <v>8</v>
      </c>
      <c r="D3046" s="21" t="s">
        <v>9642</v>
      </c>
      <c r="E3046" s="21" t="s">
        <v>46</v>
      </c>
      <c r="F3046" s="5812">
        <v>1</v>
      </c>
      <c r="G3046" s="5813">
        <v>9.8611111111111108E-2</v>
      </c>
      <c r="H3046" s="21" t="s">
        <v>54</v>
      </c>
      <c r="I3046" s="21" t="s">
        <v>55</v>
      </c>
      <c r="J3046" s="21" t="s">
        <v>406</v>
      </c>
      <c r="K3046" s="5814" t="s">
        <v>9652</v>
      </c>
    </row>
    <row r="3047" spans="1:11">
      <c r="A3047" s="21" t="s">
        <v>2839</v>
      </c>
      <c r="B3047" s="21" t="s">
        <v>9653</v>
      </c>
      <c r="C3047" s="21" t="s">
        <v>22</v>
      </c>
      <c r="D3047" s="21" t="s">
        <v>9642</v>
      </c>
      <c r="E3047" s="21" t="s">
        <v>46</v>
      </c>
      <c r="F3047" s="5812">
        <v>1</v>
      </c>
      <c r="G3047" s="5813">
        <v>0.11597222222222223</v>
      </c>
      <c r="H3047" s="21" t="s">
        <v>54</v>
      </c>
      <c r="I3047" s="21" t="s">
        <v>226</v>
      </c>
      <c r="J3047" s="21" t="s">
        <v>406</v>
      </c>
      <c r="K3047" s="5814" t="s">
        <v>9654</v>
      </c>
    </row>
    <row r="3048" spans="1:11">
      <c r="A3048" s="21" t="s">
        <v>2824</v>
      </c>
      <c r="B3048" s="21" t="s">
        <v>9655</v>
      </c>
      <c r="C3048" s="21" t="s">
        <v>8</v>
      </c>
      <c r="D3048" s="21" t="s">
        <v>9642</v>
      </c>
      <c r="E3048" s="21" t="s">
        <v>46</v>
      </c>
      <c r="F3048" s="5812">
        <v>1</v>
      </c>
      <c r="G3048" s="5813">
        <v>0.18541666666666667</v>
      </c>
      <c r="H3048" s="21" t="s">
        <v>54</v>
      </c>
      <c r="I3048" s="21" t="s">
        <v>47</v>
      </c>
      <c r="J3048" s="21" t="s">
        <v>5326</v>
      </c>
      <c r="K3048" s="5814" t="s">
        <v>9656</v>
      </c>
    </row>
    <row r="3049" spans="1:11">
      <c r="A3049" s="21" t="s">
        <v>2707</v>
      </c>
      <c r="B3049" s="21" t="s">
        <v>9645</v>
      </c>
      <c r="C3049" s="21" t="s">
        <v>22</v>
      </c>
      <c r="D3049" s="21" t="s">
        <v>9642</v>
      </c>
      <c r="E3049" s="21" t="s">
        <v>46</v>
      </c>
      <c r="F3049" s="5812">
        <v>1</v>
      </c>
      <c r="G3049" s="5813">
        <v>0.18958333333333333</v>
      </c>
      <c r="H3049" s="21" t="s">
        <v>54</v>
      </c>
      <c r="I3049" s="21" t="s">
        <v>47</v>
      </c>
      <c r="J3049" s="21" t="s">
        <v>1076</v>
      </c>
      <c r="K3049" s="5814" t="s">
        <v>9657</v>
      </c>
    </row>
    <row r="3050" spans="1:11">
      <c r="A3050" s="21" t="s">
        <v>3224</v>
      </c>
      <c r="B3050" s="21" t="s">
        <v>9648</v>
      </c>
      <c r="C3050" s="21" t="s">
        <v>22</v>
      </c>
      <c r="D3050" s="21" t="s">
        <v>9642</v>
      </c>
      <c r="E3050" s="21" t="s">
        <v>46</v>
      </c>
      <c r="F3050" s="5812">
        <v>2</v>
      </c>
      <c r="G3050" s="5813">
        <v>3.6111111111111108E-2</v>
      </c>
      <c r="H3050" s="21" t="s">
        <v>54</v>
      </c>
      <c r="I3050" s="21" t="s">
        <v>55</v>
      </c>
      <c r="J3050" s="21" t="s">
        <v>48</v>
      </c>
      <c r="K3050" s="5814" t="s">
        <v>9658</v>
      </c>
    </row>
    <row r="3051" spans="1:11">
      <c r="A3051" s="21" t="s">
        <v>2169</v>
      </c>
      <c r="B3051" s="21" t="s">
        <v>9659</v>
      </c>
      <c r="C3051" s="21" t="s">
        <v>22</v>
      </c>
      <c r="D3051" s="21" t="s">
        <v>9642</v>
      </c>
      <c r="E3051" s="21" t="s">
        <v>46</v>
      </c>
      <c r="F3051" s="5812">
        <v>4</v>
      </c>
      <c r="G3051" s="5813">
        <v>0.17291666666666666</v>
      </c>
      <c r="H3051" s="21" t="s">
        <v>54</v>
      </c>
      <c r="I3051" s="21" t="s">
        <v>55</v>
      </c>
      <c r="J3051" s="21" t="s">
        <v>97</v>
      </c>
      <c r="K3051" s="5814" t="s">
        <v>9660</v>
      </c>
    </row>
    <row r="3052" spans="1:11">
      <c r="A3052" s="21" t="s">
        <v>2049</v>
      </c>
      <c r="B3052" s="21" t="s">
        <v>9661</v>
      </c>
      <c r="C3052" s="21" t="s">
        <v>8</v>
      </c>
      <c r="D3052" s="21" t="s">
        <v>9642</v>
      </c>
      <c r="E3052" s="21" t="s">
        <v>61</v>
      </c>
      <c r="F3052" s="5812">
        <v>1</v>
      </c>
      <c r="G3052" s="5813">
        <v>8.611111111111111E-2</v>
      </c>
      <c r="H3052" s="21" t="s">
        <v>54</v>
      </c>
      <c r="I3052" s="21" t="s">
        <v>47</v>
      </c>
      <c r="J3052" s="21" t="s">
        <v>3313</v>
      </c>
      <c r="K3052" s="5814" t="s">
        <v>9662</v>
      </c>
    </row>
    <row r="3053" spans="1:11">
      <c r="A3053" s="21" t="s">
        <v>3741</v>
      </c>
      <c r="B3053" s="21" t="s">
        <v>9663</v>
      </c>
      <c r="C3053" s="21" t="s">
        <v>8</v>
      </c>
      <c r="D3053" s="21" t="s">
        <v>9642</v>
      </c>
      <c r="E3053" s="21" t="s">
        <v>61</v>
      </c>
      <c r="F3053" s="5812">
        <v>2</v>
      </c>
      <c r="G3053" s="5813">
        <v>9.3055555555555558E-2</v>
      </c>
      <c r="H3053" s="21" t="s">
        <v>54</v>
      </c>
      <c r="I3053" s="21" t="s">
        <v>55</v>
      </c>
      <c r="J3053" s="21" t="s">
        <v>67</v>
      </c>
      <c r="K3053" s="5814" t="s">
        <v>9664</v>
      </c>
    </row>
    <row r="3054" spans="1:11">
      <c r="A3054" s="21" t="s">
        <v>3260</v>
      </c>
      <c r="B3054" s="21" t="s">
        <v>9665</v>
      </c>
      <c r="C3054" s="21" t="s">
        <v>22</v>
      </c>
      <c r="D3054" s="21" t="s">
        <v>9642</v>
      </c>
      <c r="E3054" s="21" t="s">
        <v>61</v>
      </c>
      <c r="F3054" s="5812">
        <v>3</v>
      </c>
      <c r="G3054" s="5813">
        <v>9.2361111111111116E-2</v>
      </c>
      <c r="H3054" s="21" t="s">
        <v>54</v>
      </c>
      <c r="I3054" s="21" t="s">
        <v>55</v>
      </c>
      <c r="J3054" s="21" t="s">
        <v>3313</v>
      </c>
      <c r="K3054" s="5814" t="s">
        <v>9666</v>
      </c>
    </row>
    <row r="3055" spans="1:11">
      <c r="A3055" s="21" t="s">
        <v>3974</v>
      </c>
      <c r="B3055" s="21" t="s">
        <v>9667</v>
      </c>
      <c r="C3055" s="21" t="s">
        <v>8</v>
      </c>
      <c r="D3055" s="21" t="s">
        <v>9668</v>
      </c>
      <c r="E3055" s="21" t="s">
        <v>9</v>
      </c>
      <c r="F3055" s="5812">
        <v>5</v>
      </c>
      <c r="G3055" s="5813">
        <v>0.20833333333333334</v>
      </c>
      <c r="H3055" s="21" t="s">
        <v>54</v>
      </c>
      <c r="I3055" s="21" t="s">
        <v>96</v>
      </c>
      <c r="J3055" s="21" t="s">
        <v>9669</v>
      </c>
      <c r="K3055" s="5814" t="s">
        <v>9670</v>
      </c>
    </row>
    <row r="3056" spans="1:11">
      <c r="A3056" s="21" t="s">
        <v>2835</v>
      </c>
      <c r="B3056" s="21" t="s">
        <v>9671</v>
      </c>
      <c r="C3056" s="21" t="s">
        <v>8</v>
      </c>
      <c r="D3056" s="21" t="s">
        <v>9672</v>
      </c>
      <c r="E3056" s="21" t="s">
        <v>9</v>
      </c>
      <c r="F3056" s="5812">
        <v>5</v>
      </c>
      <c r="G3056" s="5813">
        <v>0.20833333333333334</v>
      </c>
      <c r="H3056" s="21" t="s">
        <v>54</v>
      </c>
      <c r="I3056" s="21" t="s">
        <v>47</v>
      </c>
      <c r="J3056" s="21" t="s">
        <v>9673</v>
      </c>
      <c r="K3056" s="5814" t="s">
        <v>9674</v>
      </c>
    </row>
    <row r="3057" spans="1:11">
      <c r="A3057" s="21" t="s">
        <v>2882</v>
      </c>
      <c r="B3057" s="21" t="s">
        <v>9675</v>
      </c>
      <c r="C3057" s="21" t="s">
        <v>22</v>
      </c>
      <c r="D3057" s="21" t="s">
        <v>9672</v>
      </c>
      <c r="E3057" s="21" t="s">
        <v>46</v>
      </c>
      <c r="F3057" s="5812">
        <v>2</v>
      </c>
      <c r="G3057" s="5813">
        <v>0.20624999999999999</v>
      </c>
      <c r="H3057" s="21" t="s">
        <v>54</v>
      </c>
      <c r="I3057" s="21" t="s">
        <v>55</v>
      </c>
      <c r="J3057" s="21" t="s">
        <v>48</v>
      </c>
      <c r="K3057" s="5814" t="s">
        <v>9676</v>
      </c>
    </row>
    <row r="3058" spans="1:11">
      <c r="A3058" s="21" t="s">
        <v>2808</v>
      </c>
      <c r="B3058" s="21" t="s">
        <v>9677</v>
      </c>
      <c r="C3058" s="21" t="s">
        <v>8</v>
      </c>
      <c r="D3058" s="21" t="s">
        <v>9672</v>
      </c>
      <c r="E3058" s="21" t="s">
        <v>46</v>
      </c>
      <c r="F3058" s="5812">
        <v>3</v>
      </c>
      <c r="G3058" s="5813">
        <v>0.2013888888888889</v>
      </c>
      <c r="H3058" s="21" t="s">
        <v>54</v>
      </c>
      <c r="I3058" s="21" t="s">
        <v>2872</v>
      </c>
      <c r="J3058" s="21" t="s">
        <v>97</v>
      </c>
      <c r="K3058" s="5814" t="s">
        <v>9678</v>
      </c>
    </row>
    <row r="3059" spans="1:11">
      <c r="A3059" s="21" t="s">
        <v>3886</v>
      </c>
      <c r="B3059" s="21" t="s">
        <v>9679</v>
      </c>
      <c r="C3059" s="21" t="s">
        <v>8</v>
      </c>
      <c r="D3059" s="21" t="s">
        <v>9672</v>
      </c>
      <c r="E3059" s="21" t="s">
        <v>61</v>
      </c>
      <c r="F3059" s="5812">
        <v>2</v>
      </c>
      <c r="G3059" s="5813">
        <v>0.17986111111111111</v>
      </c>
      <c r="H3059" s="21" t="s">
        <v>54</v>
      </c>
      <c r="I3059" s="21" t="s">
        <v>96</v>
      </c>
      <c r="J3059" s="21" t="s">
        <v>3326</v>
      </c>
      <c r="K3059" s="5814" t="s">
        <v>9680</v>
      </c>
    </row>
    <row r="3060" spans="1:11">
      <c r="A3060" s="21" t="s">
        <v>5390</v>
      </c>
      <c r="B3060" s="21" t="s">
        <v>5121</v>
      </c>
      <c r="C3060" s="21" t="s">
        <v>8</v>
      </c>
      <c r="D3060" s="21" t="s">
        <v>9681</v>
      </c>
      <c r="E3060" s="21" t="s">
        <v>46</v>
      </c>
      <c r="F3060" s="5812">
        <v>3</v>
      </c>
      <c r="G3060" s="5813">
        <v>0.19027777777777777</v>
      </c>
      <c r="H3060" s="21" t="s">
        <v>54</v>
      </c>
      <c r="I3060" s="21" t="s">
        <v>55</v>
      </c>
      <c r="J3060" s="21" t="s">
        <v>3004</v>
      </c>
      <c r="K3060" s="5814" t="s">
        <v>9682</v>
      </c>
    </row>
    <row r="3061" spans="1:11">
      <c r="A3061" s="21" t="s">
        <v>223</v>
      </c>
      <c r="B3061" s="21" t="s">
        <v>1106</v>
      </c>
      <c r="C3061" s="21" t="s">
        <v>22</v>
      </c>
      <c r="D3061" s="21" t="s">
        <v>1107</v>
      </c>
      <c r="E3061" s="21" t="s">
        <v>46</v>
      </c>
      <c r="F3061" s="5812">
        <v>1</v>
      </c>
      <c r="G3061" s="5813">
        <v>4.791666666666667E-2</v>
      </c>
      <c r="H3061" s="21" t="s">
        <v>54</v>
      </c>
      <c r="I3061" s="21" t="s">
        <v>226</v>
      </c>
      <c r="J3061" s="21" t="s">
        <v>48</v>
      </c>
      <c r="K3061" s="5814" t="s">
        <v>1108</v>
      </c>
    </row>
    <row r="3062" spans="1:11">
      <c r="A3062" s="21" t="s">
        <v>2115</v>
      </c>
      <c r="B3062" s="21" t="s">
        <v>9683</v>
      </c>
      <c r="C3062" s="21" t="s">
        <v>22</v>
      </c>
      <c r="D3062" s="21" t="s">
        <v>1107</v>
      </c>
      <c r="E3062" s="21" t="s">
        <v>46</v>
      </c>
      <c r="F3062" s="5812">
        <v>3</v>
      </c>
      <c r="G3062" s="5813">
        <v>0.17430555555555555</v>
      </c>
      <c r="H3062" s="21" t="s">
        <v>54</v>
      </c>
      <c r="I3062" s="21" t="s">
        <v>226</v>
      </c>
      <c r="J3062" s="21" t="s">
        <v>127</v>
      </c>
      <c r="K3062" s="5814" t="s">
        <v>9684</v>
      </c>
    </row>
    <row r="3063" spans="1:11">
      <c r="A3063" s="21" t="s">
        <v>4645</v>
      </c>
      <c r="B3063" s="21" t="s">
        <v>9685</v>
      </c>
      <c r="C3063" s="21" t="s">
        <v>8</v>
      </c>
      <c r="D3063" s="21" t="s">
        <v>9686</v>
      </c>
      <c r="E3063" s="21" t="s">
        <v>9</v>
      </c>
      <c r="F3063" s="5812">
        <v>5</v>
      </c>
      <c r="G3063" s="5813">
        <v>0.20833333333333334</v>
      </c>
      <c r="H3063" s="21" t="s">
        <v>54</v>
      </c>
      <c r="I3063" s="21" t="s">
        <v>55</v>
      </c>
      <c r="J3063" s="21" t="s">
        <v>9687</v>
      </c>
      <c r="K3063" s="5814" t="s">
        <v>9688</v>
      </c>
    </row>
    <row r="3064" spans="1:11">
      <c r="A3064" s="21" t="s">
        <v>2626</v>
      </c>
      <c r="B3064" s="21" t="s">
        <v>9689</v>
      </c>
      <c r="C3064" s="21" t="s">
        <v>22</v>
      </c>
      <c r="D3064" s="21" t="s">
        <v>9690</v>
      </c>
      <c r="E3064" s="21" t="s">
        <v>9</v>
      </c>
      <c r="F3064" s="5812">
        <v>5</v>
      </c>
      <c r="G3064" s="5813">
        <v>0.20833333333333334</v>
      </c>
      <c r="H3064" s="21" t="s">
        <v>54</v>
      </c>
      <c r="I3064" s="21" t="s">
        <v>2692</v>
      </c>
      <c r="J3064" s="21" t="s">
        <v>9691</v>
      </c>
      <c r="K3064" s="5814" t="s">
        <v>9692</v>
      </c>
    </row>
    <row r="3065" spans="1:11">
      <c r="A3065" s="21" t="s">
        <v>4116</v>
      </c>
      <c r="B3065" s="21" t="s">
        <v>9693</v>
      </c>
      <c r="C3065" s="21" t="s">
        <v>22</v>
      </c>
      <c r="D3065" s="21" t="s">
        <v>9690</v>
      </c>
      <c r="E3065" s="21" t="s">
        <v>46</v>
      </c>
      <c r="F3065" s="5812">
        <v>5</v>
      </c>
      <c r="G3065" s="5813">
        <v>0.15208333333333332</v>
      </c>
      <c r="H3065" s="21" t="s">
        <v>54</v>
      </c>
      <c r="I3065" s="21" t="s">
        <v>55</v>
      </c>
      <c r="J3065" s="21" t="s">
        <v>48</v>
      </c>
      <c r="K3065" s="5814" t="s">
        <v>9694</v>
      </c>
    </row>
    <row r="3066" spans="1:11">
      <c r="A3066" s="21" t="s">
        <v>2221</v>
      </c>
      <c r="B3066" s="21" t="s">
        <v>9695</v>
      </c>
      <c r="C3066" s="21" t="s">
        <v>8</v>
      </c>
      <c r="D3066" s="21" t="s">
        <v>9690</v>
      </c>
      <c r="E3066" s="21" t="s">
        <v>61</v>
      </c>
      <c r="F3066" s="5812">
        <v>3</v>
      </c>
      <c r="G3066" s="5813">
        <v>0.16805555555555557</v>
      </c>
      <c r="H3066" s="21" t="s">
        <v>54</v>
      </c>
      <c r="I3066" s="21" t="s">
        <v>55</v>
      </c>
      <c r="J3066" s="21" t="s">
        <v>3326</v>
      </c>
      <c r="K3066" s="5814" t="s">
        <v>9696</v>
      </c>
    </row>
    <row r="3067" spans="1:11">
      <c r="A3067" s="21" t="s">
        <v>2626</v>
      </c>
      <c r="B3067" s="21" t="s">
        <v>9697</v>
      </c>
      <c r="C3067" s="21" t="s">
        <v>22</v>
      </c>
      <c r="D3067" s="21" t="s">
        <v>9698</v>
      </c>
      <c r="E3067" s="21" t="s">
        <v>9</v>
      </c>
      <c r="F3067" s="5812">
        <v>5</v>
      </c>
      <c r="G3067" s="5813">
        <v>0.20833333333333334</v>
      </c>
      <c r="H3067" s="21" t="s">
        <v>54</v>
      </c>
      <c r="I3067" s="21" t="s">
        <v>47</v>
      </c>
      <c r="J3067" s="21" t="s">
        <v>9699</v>
      </c>
      <c r="K3067" s="5814" t="s">
        <v>9700</v>
      </c>
    </row>
    <row r="3068" spans="1:11">
      <c r="A3068" s="21" t="s">
        <v>3430</v>
      </c>
      <c r="B3068" s="21" t="s">
        <v>9701</v>
      </c>
      <c r="C3068" s="21" t="s">
        <v>22</v>
      </c>
      <c r="D3068" s="21" t="s">
        <v>9698</v>
      </c>
      <c r="E3068" s="21" t="s">
        <v>9</v>
      </c>
      <c r="F3068" s="5812">
        <v>5</v>
      </c>
      <c r="G3068" s="5813">
        <v>0.20833333333333334</v>
      </c>
      <c r="H3068" s="21" t="s">
        <v>54</v>
      </c>
      <c r="I3068" s="21" t="s">
        <v>2297</v>
      </c>
      <c r="J3068" s="21" t="s">
        <v>9702</v>
      </c>
      <c r="K3068" s="5814" t="s">
        <v>9703</v>
      </c>
    </row>
    <row r="3069" spans="1:11">
      <c r="A3069" s="21" t="s">
        <v>2741</v>
      </c>
      <c r="B3069" s="21" t="s">
        <v>9704</v>
      </c>
      <c r="C3069" s="21" t="s">
        <v>8</v>
      </c>
      <c r="D3069" s="21" t="s">
        <v>9698</v>
      </c>
      <c r="E3069" s="21" t="s">
        <v>46</v>
      </c>
      <c r="F3069" s="5812">
        <v>3</v>
      </c>
      <c r="G3069" s="5813">
        <v>7.4999999999999997E-2</v>
      </c>
      <c r="H3069" s="21" t="s">
        <v>54</v>
      </c>
      <c r="I3069" s="21" t="s">
        <v>47</v>
      </c>
      <c r="J3069" s="21" t="s">
        <v>48</v>
      </c>
      <c r="K3069" s="5814" t="s">
        <v>9705</v>
      </c>
    </row>
    <row r="3070" spans="1:11">
      <c r="A3070" s="21" t="s">
        <v>3757</v>
      </c>
      <c r="B3070" s="21" t="s">
        <v>9706</v>
      </c>
      <c r="C3070" s="21" t="s">
        <v>22</v>
      </c>
      <c r="D3070" s="21" t="s">
        <v>9707</v>
      </c>
      <c r="E3070" s="21" t="s">
        <v>9</v>
      </c>
      <c r="F3070" s="5812">
        <v>5</v>
      </c>
      <c r="G3070" s="5813">
        <v>0.20833333333333334</v>
      </c>
      <c r="H3070" s="21" t="s">
        <v>54</v>
      </c>
      <c r="I3070" s="21" t="s">
        <v>55</v>
      </c>
      <c r="J3070" s="21" t="s">
        <v>9708</v>
      </c>
      <c r="K3070" s="5814" t="s">
        <v>9709</v>
      </c>
    </row>
    <row r="3071" spans="1:11">
      <c r="A3071" s="21" t="s">
        <v>3230</v>
      </c>
      <c r="B3071" s="21" t="s">
        <v>9710</v>
      </c>
      <c r="C3071" s="21" t="s">
        <v>709</v>
      </c>
      <c r="D3071" s="21" t="s">
        <v>1114</v>
      </c>
      <c r="E3071" s="21" t="s">
        <v>193</v>
      </c>
      <c r="F3071" s="5812">
        <v>5</v>
      </c>
      <c r="G3071" s="5813">
        <v>0.20833333333333334</v>
      </c>
      <c r="H3071" s="21" t="s">
        <v>54</v>
      </c>
      <c r="I3071" s="21" t="s">
        <v>47</v>
      </c>
      <c r="J3071" s="21" t="s">
        <v>9711</v>
      </c>
      <c r="K3071" s="5814" t="s">
        <v>9712</v>
      </c>
    </row>
    <row r="3072" spans="1:11">
      <c r="A3072" s="21" t="s">
        <v>2985</v>
      </c>
      <c r="B3072" s="21" t="s">
        <v>9713</v>
      </c>
      <c r="C3072" s="21" t="s">
        <v>8</v>
      </c>
      <c r="D3072" s="21" t="s">
        <v>1114</v>
      </c>
      <c r="E3072" s="21" t="s">
        <v>193</v>
      </c>
      <c r="F3072" s="5812">
        <v>5</v>
      </c>
      <c r="G3072" s="5813">
        <v>0.20833333333333334</v>
      </c>
      <c r="H3072" s="21" t="s">
        <v>54</v>
      </c>
      <c r="I3072" s="21" t="s">
        <v>55</v>
      </c>
      <c r="J3072" s="21" t="s">
        <v>9714</v>
      </c>
      <c r="K3072" s="5814" t="s">
        <v>9715</v>
      </c>
    </row>
    <row r="3073" spans="1:11">
      <c r="A3073" s="21" t="s">
        <v>4434</v>
      </c>
      <c r="B3073" s="21" t="s">
        <v>9716</v>
      </c>
      <c r="C3073" s="21" t="s">
        <v>8</v>
      </c>
      <c r="D3073" s="21" t="s">
        <v>1114</v>
      </c>
      <c r="E3073" s="21" t="s">
        <v>193</v>
      </c>
      <c r="F3073" s="5812">
        <v>5</v>
      </c>
      <c r="G3073" s="5813">
        <v>0.20833333333333334</v>
      </c>
      <c r="H3073" s="21" t="s">
        <v>54</v>
      </c>
      <c r="I3073" s="21" t="s">
        <v>55</v>
      </c>
      <c r="J3073" s="21" t="s">
        <v>9717</v>
      </c>
      <c r="K3073" s="5814" t="s">
        <v>9718</v>
      </c>
    </row>
    <row r="3074" spans="1:11">
      <c r="A3074" s="21" t="s">
        <v>2354</v>
      </c>
      <c r="B3074" s="21" t="s">
        <v>9719</v>
      </c>
      <c r="C3074" s="21" t="s">
        <v>22</v>
      </c>
      <c r="D3074" s="21" t="s">
        <v>1114</v>
      </c>
      <c r="E3074" s="21" t="s">
        <v>9</v>
      </c>
      <c r="F3074" s="5812">
        <v>5</v>
      </c>
      <c r="G3074" s="5813">
        <v>0.20833333333333334</v>
      </c>
      <c r="H3074" s="21" t="s">
        <v>54</v>
      </c>
      <c r="I3074" s="21" t="s">
        <v>47</v>
      </c>
      <c r="J3074" s="21" t="s">
        <v>9720</v>
      </c>
      <c r="K3074" s="5814" t="s">
        <v>9721</v>
      </c>
    </row>
    <row r="3075" spans="1:11">
      <c r="A3075" s="21" t="s">
        <v>2123</v>
      </c>
      <c r="B3075" s="21" t="s">
        <v>9722</v>
      </c>
      <c r="C3075" s="21" t="s">
        <v>8</v>
      </c>
      <c r="D3075" s="21" t="s">
        <v>1114</v>
      </c>
      <c r="E3075" s="21" t="s">
        <v>9</v>
      </c>
      <c r="F3075" s="5812">
        <v>5</v>
      </c>
      <c r="G3075" s="5813">
        <v>0.20833333333333334</v>
      </c>
      <c r="H3075" s="21" t="s">
        <v>54</v>
      </c>
      <c r="I3075" s="21" t="s">
        <v>55</v>
      </c>
      <c r="J3075" s="21" t="s">
        <v>9723</v>
      </c>
      <c r="K3075" s="5814" t="s">
        <v>9724</v>
      </c>
    </row>
    <row r="3076" spans="1:11">
      <c r="A3076" s="21" t="s">
        <v>2143</v>
      </c>
      <c r="B3076" s="21" t="s">
        <v>9725</v>
      </c>
      <c r="C3076" s="21" t="s">
        <v>8</v>
      </c>
      <c r="D3076" s="21" t="s">
        <v>1114</v>
      </c>
      <c r="E3076" s="21" t="s">
        <v>9</v>
      </c>
      <c r="F3076" s="5812">
        <v>5</v>
      </c>
      <c r="G3076" s="5813">
        <v>0.20833333333333334</v>
      </c>
      <c r="H3076" s="21" t="s">
        <v>54</v>
      </c>
      <c r="I3076" s="21" t="s">
        <v>226</v>
      </c>
      <c r="J3076" s="21" t="s">
        <v>9726</v>
      </c>
      <c r="K3076" s="5814" t="s">
        <v>9727</v>
      </c>
    </row>
    <row r="3077" spans="1:11">
      <c r="A3077" s="21" t="s">
        <v>2643</v>
      </c>
      <c r="B3077" s="21" t="s">
        <v>9728</v>
      </c>
      <c r="C3077" s="21" t="s">
        <v>8</v>
      </c>
      <c r="D3077" s="21" t="s">
        <v>1114</v>
      </c>
      <c r="E3077" s="21" t="s">
        <v>9</v>
      </c>
      <c r="F3077" s="5812">
        <v>5</v>
      </c>
      <c r="G3077" s="5813">
        <v>0.20833333333333334</v>
      </c>
      <c r="H3077" s="21" t="s">
        <v>54</v>
      </c>
      <c r="I3077" s="21" t="s">
        <v>55</v>
      </c>
      <c r="J3077" s="21" t="s">
        <v>9729</v>
      </c>
      <c r="K3077" s="5814" t="s">
        <v>9730</v>
      </c>
    </row>
    <row r="3078" spans="1:11">
      <c r="A3078" s="21" t="s">
        <v>103</v>
      </c>
      <c r="B3078" s="21" t="s">
        <v>1113</v>
      </c>
      <c r="C3078" s="21" t="s">
        <v>8</v>
      </c>
      <c r="D3078" s="21" t="s">
        <v>1114</v>
      </c>
      <c r="E3078" s="21" t="s">
        <v>46</v>
      </c>
      <c r="F3078" s="5812">
        <v>1</v>
      </c>
      <c r="G3078" s="5813">
        <v>0.13472222222222222</v>
      </c>
      <c r="H3078" s="21" t="s">
        <v>54</v>
      </c>
      <c r="I3078" s="21" t="s">
        <v>96</v>
      </c>
      <c r="J3078" s="21" t="s">
        <v>48</v>
      </c>
      <c r="K3078" s="5814" t="s">
        <v>1115</v>
      </c>
    </row>
    <row r="3079" spans="1:11">
      <c r="A3079" s="21" t="s">
        <v>3125</v>
      </c>
      <c r="B3079" s="21" t="s">
        <v>9731</v>
      </c>
      <c r="C3079" s="21" t="s">
        <v>8</v>
      </c>
      <c r="D3079" s="21" t="s">
        <v>1114</v>
      </c>
      <c r="E3079" s="21" t="s">
        <v>46</v>
      </c>
      <c r="F3079" s="5812">
        <v>2</v>
      </c>
      <c r="G3079" s="5813">
        <v>8.3333333333333329E-2</v>
      </c>
      <c r="H3079" s="21" t="s">
        <v>54</v>
      </c>
      <c r="I3079" s="21" t="s">
        <v>187</v>
      </c>
      <c r="J3079" s="21" t="s">
        <v>9732</v>
      </c>
      <c r="K3079" s="5814" t="s">
        <v>9733</v>
      </c>
    </row>
    <row r="3080" spans="1:11">
      <c r="A3080" s="21" t="s">
        <v>223</v>
      </c>
      <c r="B3080" s="21" t="s">
        <v>1116</v>
      </c>
      <c r="C3080" s="21" t="s">
        <v>22</v>
      </c>
      <c r="D3080" s="21" t="s">
        <v>1114</v>
      </c>
      <c r="E3080" s="21" t="s">
        <v>46</v>
      </c>
      <c r="F3080" s="5812">
        <v>2</v>
      </c>
      <c r="G3080" s="5813">
        <v>0.17222222222222222</v>
      </c>
      <c r="H3080" s="21" t="s">
        <v>54</v>
      </c>
      <c r="I3080" s="21" t="s">
        <v>47</v>
      </c>
      <c r="J3080" s="21" t="s">
        <v>1117</v>
      </c>
      <c r="K3080" s="5814" t="s">
        <v>1118</v>
      </c>
    </row>
    <row r="3081" spans="1:11">
      <c r="A3081" s="21" t="s">
        <v>3703</v>
      </c>
      <c r="B3081" s="21" t="s">
        <v>9734</v>
      </c>
      <c r="C3081" s="21" t="s">
        <v>22</v>
      </c>
      <c r="D3081" s="21" t="s">
        <v>1114</v>
      </c>
      <c r="E3081" s="21" t="s">
        <v>46</v>
      </c>
      <c r="F3081" s="5812">
        <v>2</v>
      </c>
      <c r="G3081" s="5813">
        <v>0.19166666666666668</v>
      </c>
      <c r="H3081" s="21" t="s">
        <v>54</v>
      </c>
      <c r="I3081" s="21" t="s">
        <v>2523</v>
      </c>
      <c r="J3081" s="21" t="s">
        <v>48</v>
      </c>
      <c r="K3081" s="5814" t="s">
        <v>9735</v>
      </c>
    </row>
    <row r="3082" spans="1:11">
      <c r="A3082" s="21" t="s">
        <v>3173</v>
      </c>
      <c r="B3082" s="21" t="s">
        <v>9736</v>
      </c>
      <c r="C3082" s="21" t="s">
        <v>8</v>
      </c>
      <c r="D3082" s="21" t="s">
        <v>1114</v>
      </c>
      <c r="E3082" s="21" t="s">
        <v>46</v>
      </c>
      <c r="F3082" s="5812">
        <v>3</v>
      </c>
      <c r="G3082" s="5813">
        <v>8.4722222222222227E-2</v>
      </c>
      <c r="H3082" s="21" t="s">
        <v>54</v>
      </c>
      <c r="I3082" s="21" t="s">
        <v>89</v>
      </c>
      <c r="J3082" s="21" t="s">
        <v>258</v>
      </c>
      <c r="K3082" s="5814" t="s">
        <v>9737</v>
      </c>
    </row>
    <row r="3083" spans="1:11">
      <c r="A3083" s="21" t="s">
        <v>3537</v>
      </c>
      <c r="B3083" s="21" t="s">
        <v>9738</v>
      </c>
      <c r="C3083" s="21" t="s">
        <v>179</v>
      </c>
      <c r="D3083" s="21" t="s">
        <v>1114</v>
      </c>
      <c r="E3083" s="21" t="s">
        <v>920</v>
      </c>
      <c r="F3083" s="5812">
        <v>3</v>
      </c>
      <c r="G3083" s="5813">
        <v>0.12569444444444444</v>
      </c>
      <c r="H3083" s="21" t="s">
        <v>54</v>
      </c>
      <c r="I3083" s="21" t="s">
        <v>2297</v>
      </c>
      <c r="J3083" s="21" t="s">
        <v>3588</v>
      </c>
      <c r="K3083" s="5814" t="s">
        <v>9739</v>
      </c>
    </row>
    <row r="3084" spans="1:11">
      <c r="A3084" s="21" t="s">
        <v>3974</v>
      </c>
      <c r="B3084" s="21" t="s">
        <v>9740</v>
      </c>
      <c r="C3084" s="21" t="s">
        <v>22</v>
      </c>
      <c r="D3084" s="21" t="s">
        <v>1114</v>
      </c>
      <c r="E3084" s="21" t="s">
        <v>61</v>
      </c>
      <c r="F3084" s="5812">
        <v>2</v>
      </c>
      <c r="G3084" s="5813">
        <v>0.12638888888888888</v>
      </c>
      <c r="H3084" s="21" t="s">
        <v>54</v>
      </c>
      <c r="I3084" s="21" t="s">
        <v>47</v>
      </c>
      <c r="J3084" s="21" t="s">
        <v>67</v>
      </c>
      <c r="K3084" s="5814" t="s">
        <v>9741</v>
      </c>
    </row>
    <row r="3085" spans="1:11">
      <c r="A3085" s="21" t="s">
        <v>4568</v>
      </c>
      <c r="B3085" s="21" t="s">
        <v>9742</v>
      </c>
      <c r="C3085" s="21" t="s">
        <v>8</v>
      </c>
      <c r="D3085" s="21" t="s">
        <v>1114</v>
      </c>
      <c r="E3085" s="21" t="s">
        <v>61</v>
      </c>
      <c r="F3085" s="5812">
        <v>2</v>
      </c>
      <c r="G3085" s="5813">
        <v>0.15069444444444444</v>
      </c>
      <c r="H3085" s="21" t="s">
        <v>54</v>
      </c>
      <c r="I3085" s="21" t="s">
        <v>2297</v>
      </c>
      <c r="J3085" s="21" t="s">
        <v>67</v>
      </c>
      <c r="K3085" s="5814" t="s">
        <v>9743</v>
      </c>
    </row>
    <row r="3086" spans="1:11">
      <c r="A3086" s="21" t="s">
        <v>5264</v>
      </c>
      <c r="B3086" s="21" t="s">
        <v>9744</v>
      </c>
      <c r="C3086" s="21" t="s">
        <v>22</v>
      </c>
      <c r="D3086" s="21" t="s">
        <v>1114</v>
      </c>
      <c r="E3086" s="21" t="s">
        <v>61</v>
      </c>
      <c r="F3086" s="5812">
        <v>3</v>
      </c>
      <c r="G3086" s="5813">
        <v>0.11041666666666666</v>
      </c>
      <c r="H3086" s="21" t="s">
        <v>54</v>
      </c>
      <c r="I3086" s="21" t="s">
        <v>2297</v>
      </c>
      <c r="J3086" s="21" t="s">
        <v>67</v>
      </c>
      <c r="K3086" s="5814" t="s">
        <v>9745</v>
      </c>
    </row>
    <row r="3087" spans="1:11">
      <c r="A3087" s="21" t="s">
        <v>2420</v>
      </c>
      <c r="B3087" s="21" t="s">
        <v>9746</v>
      </c>
      <c r="C3087" s="21" t="s">
        <v>22</v>
      </c>
      <c r="D3087" s="21" t="s">
        <v>1114</v>
      </c>
      <c r="E3087" s="21" t="s">
        <v>61</v>
      </c>
      <c r="F3087" s="5812">
        <v>5</v>
      </c>
      <c r="G3087" s="5813">
        <v>0.18888888888888888</v>
      </c>
      <c r="H3087" s="21" t="s">
        <v>54</v>
      </c>
      <c r="I3087" s="21" t="s">
        <v>47</v>
      </c>
      <c r="J3087" s="21" t="s">
        <v>67</v>
      </c>
      <c r="K3087" s="5814" t="s">
        <v>9747</v>
      </c>
    </row>
    <row r="3088" spans="1:11">
      <c r="A3088" s="21" t="s">
        <v>3886</v>
      </c>
      <c r="B3088" s="21" t="s">
        <v>9748</v>
      </c>
      <c r="C3088" s="21" t="s">
        <v>8</v>
      </c>
      <c r="D3088" s="21" t="s">
        <v>9749</v>
      </c>
      <c r="E3088" s="21" t="s">
        <v>9</v>
      </c>
      <c r="F3088" s="5812">
        <v>5</v>
      </c>
      <c r="G3088" s="5813">
        <v>0.20833333333333334</v>
      </c>
      <c r="H3088" s="21" t="s">
        <v>54</v>
      </c>
      <c r="I3088" s="21" t="s">
        <v>47</v>
      </c>
      <c r="J3088" s="21" t="s">
        <v>9750</v>
      </c>
      <c r="K3088" s="5814" t="s">
        <v>9751</v>
      </c>
    </row>
    <row r="3089" spans="1:11">
      <c r="A3089" s="21" t="s">
        <v>4249</v>
      </c>
      <c r="B3089" s="21" t="s">
        <v>9752</v>
      </c>
      <c r="C3089" s="21" t="s">
        <v>8</v>
      </c>
      <c r="D3089" s="21" t="s">
        <v>9749</v>
      </c>
      <c r="E3089" s="21" t="s">
        <v>9</v>
      </c>
      <c r="F3089" s="5812">
        <v>5</v>
      </c>
      <c r="G3089" s="5813">
        <v>0.20833333333333334</v>
      </c>
      <c r="H3089" s="21" t="s">
        <v>54</v>
      </c>
      <c r="I3089" s="21" t="s">
        <v>226</v>
      </c>
      <c r="J3089" s="21" t="s">
        <v>9753</v>
      </c>
      <c r="K3089" s="5814" t="s">
        <v>9754</v>
      </c>
    </row>
    <row r="3090" spans="1:11">
      <c r="A3090" s="21" t="s">
        <v>3630</v>
      </c>
      <c r="B3090" s="21" t="s">
        <v>9755</v>
      </c>
      <c r="C3090" s="21" t="s">
        <v>8</v>
      </c>
      <c r="D3090" s="21" t="s">
        <v>9749</v>
      </c>
      <c r="E3090" s="21" t="s">
        <v>46</v>
      </c>
      <c r="F3090" s="5812">
        <v>1</v>
      </c>
      <c r="G3090" s="5813">
        <v>4.583333333333333E-2</v>
      </c>
      <c r="H3090" s="21" t="s">
        <v>54</v>
      </c>
      <c r="I3090" s="21" t="s">
        <v>55</v>
      </c>
      <c r="J3090" s="21" t="s">
        <v>127</v>
      </c>
      <c r="K3090" s="5814" t="s">
        <v>9756</v>
      </c>
    </row>
    <row r="3091" spans="1:11">
      <c r="A3091" s="21" t="s">
        <v>2250</v>
      </c>
      <c r="B3091" s="21" t="s">
        <v>9757</v>
      </c>
      <c r="C3091" s="21" t="s">
        <v>22</v>
      </c>
      <c r="D3091" s="21" t="s">
        <v>9749</v>
      </c>
      <c r="E3091" s="21" t="s">
        <v>46</v>
      </c>
      <c r="F3091" s="5812">
        <v>1</v>
      </c>
      <c r="G3091" s="5813">
        <v>0.15902777777777777</v>
      </c>
      <c r="H3091" s="21" t="s">
        <v>54</v>
      </c>
      <c r="I3091" s="21" t="s">
        <v>55</v>
      </c>
      <c r="J3091" s="21" t="s">
        <v>1076</v>
      </c>
      <c r="K3091" s="5814" t="s">
        <v>9758</v>
      </c>
    </row>
    <row r="3092" spans="1:11">
      <c r="A3092" s="21" t="s">
        <v>3256</v>
      </c>
      <c r="B3092" s="21" t="s">
        <v>9759</v>
      </c>
      <c r="C3092" s="21" t="s">
        <v>8</v>
      </c>
      <c r="D3092" s="21" t="s">
        <v>9749</v>
      </c>
      <c r="E3092" s="21" t="s">
        <v>46</v>
      </c>
      <c r="F3092" s="5812">
        <v>2</v>
      </c>
      <c r="G3092" s="5813">
        <v>1.3194444444444444E-2</v>
      </c>
      <c r="H3092" s="21" t="s">
        <v>54</v>
      </c>
      <c r="I3092" s="21" t="s">
        <v>226</v>
      </c>
      <c r="J3092" s="21" t="s">
        <v>48</v>
      </c>
      <c r="K3092" s="5814" t="s">
        <v>9760</v>
      </c>
    </row>
    <row r="3093" spans="1:11">
      <c r="A3093" s="21" t="s">
        <v>3541</v>
      </c>
      <c r="B3093" s="21" t="s">
        <v>9761</v>
      </c>
      <c r="C3093" s="21" t="s">
        <v>22</v>
      </c>
      <c r="D3093" s="21" t="s">
        <v>9749</v>
      </c>
      <c r="E3093" s="21" t="s">
        <v>46</v>
      </c>
      <c r="F3093" s="5812">
        <v>2</v>
      </c>
      <c r="G3093" s="5813">
        <v>0.12777777777777777</v>
      </c>
      <c r="H3093" s="21" t="s">
        <v>54</v>
      </c>
      <c r="I3093" s="21" t="s">
        <v>2297</v>
      </c>
      <c r="J3093" s="21" t="s">
        <v>97</v>
      </c>
      <c r="K3093" s="5814" t="s">
        <v>9762</v>
      </c>
    </row>
    <row r="3094" spans="1:11">
      <c r="A3094" s="21" t="s">
        <v>3515</v>
      </c>
      <c r="B3094" s="21" t="s">
        <v>9763</v>
      </c>
      <c r="C3094" s="21" t="s">
        <v>8</v>
      </c>
      <c r="D3094" s="21" t="s">
        <v>9749</v>
      </c>
      <c r="E3094" s="21" t="s">
        <v>61</v>
      </c>
      <c r="F3094" s="5812">
        <v>2</v>
      </c>
      <c r="G3094" s="5813">
        <v>6.5277777777777782E-2</v>
      </c>
      <c r="H3094" s="21" t="s">
        <v>54</v>
      </c>
      <c r="I3094" s="21" t="s">
        <v>96</v>
      </c>
      <c r="J3094" s="21" t="s">
        <v>3326</v>
      </c>
      <c r="K3094" s="5814" t="s">
        <v>9764</v>
      </c>
    </row>
    <row r="3095" spans="1:11">
      <c r="A3095" s="21" t="s">
        <v>2096</v>
      </c>
      <c r="B3095" s="21" t="s">
        <v>9765</v>
      </c>
      <c r="C3095" s="21" t="s">
        <v>22</v>
      </c>
      <c r="D3095" s="21" t="s">
        <v>9749</v>
      </c>
      <c r="E3095" s="21" t="s">
        <v>61</v>
      </c>
      <c r="F3095" s="5812">
        <v>2</v>
      </c>
      <c r="G3095" s="5813">
        <v>0.1361111111111111</v>
      </c>
      <c r="H3095" s="21" t="s">
        <v>54</v>
      </c>
      <c r="I3095" s="21" t="s">
        <v>96</v>
      </c>
      <c r="J3095" s="21" t="s">
        <v>62</v>
      </c>
      <c r="K3095" s="5814" t="s">
        <v>9766</v>
      </c>
    </row>
    <row r="3096" spans="1:11">
      <c r="A3096" s="21" t="s">
        <v>2461</v>
      </c>
      <c r="B3096" s="21" t="s">
        <v>9767</v>
      </c>
      <c r="C3096" s="21" t="s">
        <v>8</v>
      </c>
      <c r="D3096" s="21" t="s">
        <v>9749</v>
      </c>
      <c r="E3096" s="21" t="s">
        <v>61</v>
      </c>
      <c r="F3096" s="5812">
        <v>3</v>
      </c>
      <c r="G3096" s="5813">
        <v>4.3055555555555555E-2</v>
      </c>
      <c r="H3096" s="21" t="s">
        <v>54</v>
      </c>
      <c r="I3096" s="21" t="s">
        <v>55</v>
      </c>
      <c r="J3096" s="21" t="s">
        <v>67</v>
      </c>
      <c r="K3096" s="5814" t="s">
        <v>9768</v>
      </c>
    </row>
    <row r="3097" spans="1:11">
      <c r="A3097" s="21" t="s">
        <v>3728</v>
      </c>
      <c r="B3097" s="21" t="s">
        <v>9769</v>
      </c>
      <c r="C3097" s="21" t="s">
        <v>8</v>
      </c>
      <c r="D3097" s="21" t="s">
        <v>9749</v>
      </c>
      <c r="E3097" s="21" t="s">
        <v>61</v>
      </c>
      <c r="F3097" s="5812">
        <v>3</v>
      </c>
      <c r="G3097" s="5813">
        <v>8.7499999999999994E-2</v>
      </c>
      <c r="H3097" s="21" t="s">
        <v>54</v>
      </c>
      <c r="I3097" s="21" t="s">
        <v>47</v>
      </c>
      <c r="J3097" s="21" t="s">
        <v>67</v>
      </c>
      <c r="K3097" s="5814" t="s">
        <v>9770</v>
      </c>
    </row>
    <row r="3098" spans="1:11">
      <c r="A3098" s="21" t="s">
        <v>5148</v>
      </c>
      <c r="B3098" s="21" t="s">
        <v>9771</v>
      </c>
      <c r="C3098" s="21" t="s">
        <v>8</v>
      </c>
      <c r="D3098" s="21" t="s">
        <v>9749</v>
      </c>
      <c r="E3098" s="21" t="s">
        <v>61</v>
      </c>
      <c r="F3098" s="5812">
        <v>4</v>
      </c>
      <c r="G3098" s="5813">
        <v>0.12708333333333333</v>
      </c>
      <c r="H3098" s="21" t="s">
        <v>54</v>
      </c>
      <c r="I3098" s="21" t="s">
        <v>55</v>
      </c>
      <c r="J3098" s="21" t="s">
        <v>897</v>
      </c>
      <c r="K3098" s="5814" t="s">
        <v>9772</v>
      </c>
    </row>
    <row r="3099" spans="1:11">
      <c r="A3099" s="21" t="s">
        <v>185</v>
      </c>
      <c r="B3099" s="21" t="s">
        <v>1121</v>
      </c>
      <c r="C3099" s="21" t="s">
        <v>22</v>
      </c>
      <c r="D3099" s="21" t="s">
        <v>1122</v>
      </c>
      <c r="E3099" s="21" t="s">
        <v>193</v>
      </c>
      <c r="F3099" s="5812">
        <v>5</v>
      </c>
      <c r="G3099" s="5813">
        <v>0.20833333333333334</v>
      </c>
      <c r="H3099" s="21" t="s">
        <v>54</v>
      </c>
      <c r="I3099" s="21" t="s">
        <v>47</v>
      </c>
      <c r="J3099" s="21" t="s">
        <v>1123</v>
      </c>
      <c r="K3099" s="5814" t="s">
        <v>1124</v>
      </c>
    </row>
    <row r="3100" spans="1:11">
      <c r="A3100" s="21" t="s">
        <v>4654</v>
      </c>
      <c r="B3100" s="21" t="s">
        <v>9773</v>
      </c>
      <c r="C3100" s="21" t="s">
        <v>22</v>
      </c>
      <c r="D3100" s="21" t="s">
        <v>1122</v>
      </c>
      <c r="E3100" s="21" t="s">
        <v>9</v>
      </c>
      <c r="F3100" s="5812">
        <v>5</v>
      </c>
      <c r="G3100" s="5813">
        <v>0.20833333333333334</v>
      </c>
      <c r="H3100" s="21" t="s">
        <v>54</v>
      </c>
      <c r="I3100" s="21" t="s">
        <v>47</v>
      </c>
      <c r="J3100" s="21" t="s">
        <v>9774</v>
      </c>
      <c r="K3100" s="5814" t="s">
        <v>9775</v>
      </c>
    </row>
    <row r="3101" spans="1:11">
      <c r="A3101" s="21" t="s">
        <v>2045</v>
      </c>
      <c r="B3101" s="21" t="s">
        <v>9776</v>
      </c>
      <c r="C3101" s="21" t="s">
        <v>8</v>
      </c>
      <c r="D3101" s="21" t="s">
        <v>1122</v>
      </c>
      <c r="E3101" s="21" t="s">
        <v>9</v>
      </c>
      <c r="F3101" s="5812">
        <v>5</v>
      </c>
      <c r="G3101" s="5813">
        <v>0.20833333333333334</v>
      </c>
      <c r="H3101" s="21" t="s">
        <v>54</v>
      </c>
      <c r="I3101" s="21" t="s">
        <v>55</v>
      </c>
      <c r="J3101" s="21" t="s">
        <v>9777</v>
      </c>
      <c r="K3101" s="5814" t="s">
        <v>9778</v>
      </c>
    </row>
    <row r="3102" spans="1:11">
      <c r="A3102" s="21" t="s">
        <v>2450</v>
      </c>
      <c r="B3102" s="21" t="s">
        <v>9779</v>
      </c>
      <c r="C3102" s="21" t="s">
        <v>8</v>
      </c>
      <c r="D3102" s="21" t="s">
        <v>1122</v>
      </c>
      <c r="E3102" s="21" t="s">
        <v>9</v>
      </c>
      <c r="F3102" s="5812">
        <v>5</v>
      </c>
      <c r="G3102" s="5813">
        <v>0.20833333333333334</v>
      </c>
      <c r="H3102" s="21" t="s">
        <v>54</v>
      </c>
      <c r="I3102" s="21" t="s">
        <v>55</v>
      </c>
      <c r="J3102" s="21" t="s">
        <v>9780</v>
      </c>
      <c r="K3102" s="5814" t="s">
        <v>9781</v>
      </c>
    </row>
    <row r="3103" spans="1:11">
      <c r="A3103" s="21" t="s">
        <v>3984</v>
      </c>
      <c r="B3103" s="21" t="s">
        <v>8554</v>
      </c>
      <c r="C3103" s="21" t="s">
        <v>8</v>
      </c>
      <c r="D3103" s="21" t="s">
        <v>1122</v>
      </c>
      <c r="E3103" s="21" t="s">
        <v>9</v>
      </c>
      <c r="F3103" s="5812">
        <v>5</v>
      </c>
      <c r="G3103" s="5813">
        <v>0.20833333333333334</v>
      </c>
      <c r="H3103" s="21" t="s">
        <v>54</v>
      </c>
      <c r="I3103" s="21" t="s">
        <v>47</v>
      </c>
      <c r="J3103" s="21" t="s">
        <v>9782</v>
      </c>
      <c r="K3103" s="5814" t="s">
        <v>9783</v>
      </c>
    </row>
    <row r="3104" spans="1:11">
      <c r="A3104" s="21" t="s">
        <v>2979</v>
      </c>
      <c r="B3104" s="21" t="s">
        <v>9784</v>
      </c>
      <c r="C3104" s="21" t="s">
        <v>8</v>
      </c>
      <c r="D3104" s="21" t="s">
        <v>1122</v>
      </c>
      <c r="E3104" s="21" t="s">
        <v>9</v>
      </c>
      <c r="F3104" s="5812">
        <v>5</v>
      </c>
      <c r="G3104" s="5813">
        <v>0.20833333333333334</v>
      </c>
      <c r="H3104" s="21" t="s">
        <v>54</v>
      </c>
      <c r="I3104" s="21" t="s">
        <v>226</v>
      </c>
      <c r="J3104" s="21" t="s">
        <v>9785</v>
      </c>
      <c r="K3104" s="5814" t="s">
        <v>9786</v>
      </c>
    </row>
    <row r="3105" spans="1:11">
      <c r="A3105" s="21" t="s">
        <v>3286</v>
      </c>
      <c r="B3105" s="21" t="s">
        <v>9787</v>
      </c>
      <c r="C3105" s="21" t="s">
        <v>8</v>
      </c>
      <c r="D3105" s="21" t="s">
        <v>1122</v>
      </c>
      <c r="E3105" s="21" t="s">
        <v>9</v>
      </c>
      <c r="F3105" s="5812">
        <v>5</v>
      </c>
      <c r="G3105" s="5813">
        <v>0.20833333333333334</v>
      </c>
      <c r="H3105" s="21" t="s">
        <v>54</v>
      </c>
      <c r="I3105" s="21" t="s">
        <v>2872</v>
      </c>
      <c r="J3105" s="21" t="s">
        <v>9788</v>
      </c>
      <c r="K3105" s="5814" t="s">
        <v>9789</v>
      </c>
    </row>
    <row r="3106" spans="1:11">
      <c r="A3106" s="21" t="s">
        <v>5264</v>
      </c>
      <c r="B3106" s="21" t="s">
        <v>9790</v>
      </c>
      <c r="C3106" s="21" t="s">
        <v>8</v>
      </c>
      <c r="D3106" s="21" t="s">
        <v>1122</v>
      </c>
      <c r="E3106" s="21" t="s">
        <v>46</v>
      </c>
      <c r="F3106" s="5812">
        <v>1</v>
      </c>
      <c r="G3106" s="5813">
        <v>0.12013888888888889</v>
      </c>
      <c r="H3106" s="21" t="s">
        <v>54</v>
      </c>
      <c r="I3106" s="21" t="s">
        <v>55</v>
      </c>
      <c r="J3106" s="21" t="s">
        <v>9791</v>
      </c>
      <c r="K3106" s="5814" t="s">
        <v>9792</v>
      </c>
    </row>
    <row r="3107" spans="1:11">
      <c r="A3107" s="21" t="s">
        <v>4383</v>
      </c>
      <c r="B3107" s="21" t="s">
        <v>9793</v>
      </c>
      <c r="C3107" s="21" t="s">
        <v>22</v>
      </c>
      <c r="D3107" s="21" t="s">
        <v>1122</v>
      </c>
      <c r="E3107" s="21" t="s">
        <v>46</v>
      </c>
      <c r="F3107" s="5812">
        <v>1</v>
      </c>
      <c r="G3107" s="5813">
        <v>0.15</v>
      </c>
      <c r="H3107" s="21" t="s">
        <v>54</v>
      </c>
      <c r="I3107" s="21" t="s">
        <v>2297</v>
      </c>
      <c r="J3107" s="21" t="s">
        <v>48</v>
      </c>
      <c r="K3107" s="5814" t="s">
        <v>9794</v>
      </c>
    </row>
    <row r="3108" spans="1:11">
      <c r="A3108" s="21" t="s">
        <v>3252</v>
      </c>
      <c r="B3108" s="21" t="s">
        <v>9795</v>
      </c>
      <c r="C3108" s="21" t="s">
        <v>22</v>
      </c>
      <c r="D3108" s="21" t="s">
        <v>1122</v>
      </c>
      <c r="E3108" s="21" t="s">
        <v>46</v>
      </c>
      <c r="F3108" s="5812">
        <v>2</v>
      </c>
      <c r="G3108" s="5813">
        <v>0.14791666666666667</v>
      </c>
      <c r="H3108" s="21" t="s">
        <v>54</v>
      </c>
      <c r="I3108" s="21" t="s">
        <v>47</v>
      </c>
      <c r="J3108" s="21" t="s">
        <v>48</v>
      </c>
      <c r="K3108" s="5814" t="s">
        <v>9796</v>
      </c>
    </row>
    <row r="3109" spans="1:11">
      <c r="A3109" s="21" t="s">
        <v>3703</v>
      </c>
      <c r="B3109" s="21" t="s">
        <v>9797</v>
      </c>
      <c r="C3109" s="21" t="s">
        <v>8</v>
      </c>
      <c r="D3109" s="21" t="s">
        <v>1122</v>
      </c>
      <c r="E3109" s="21" t="s">
        <v>46</v>
      </c>
      <c r="F3109" s="5812">
        <v>2</v>
      </c>
      <c r="G3109" s="5813">
        <v>0.16597222222222222</v>
      </c>
      <c r="H3109" s="21" t="s">
        <v>54</v>
      </c>
      <c r="I3109" s="21" t="s">
        <v>96</v>
      </c>
      <c r="J3109" s="21" t="s">
        <v>48</v>
      </c>
      <c r="K3109" s="5814" t="s">
        <v>9798</v>
      </c>
    </row>
    <row r="3110" spans="1:11">
      <c r="A3110" s="21" t="s">
        <v>2341</v>
      </c>
      <c r="B3110" s="21" t="s">
        <v>9799</v>
      </c>
      <c r="C3110" s="21" t="s">
        <v>22</v>
      </c>
      <c r="D3110" s="21" t="s">
        <v>1122</v>
      </c>
      <c r="E3110" s="21" t="s">
        <v>46</v>
      </c>
      <c r="F3110" s="5812">
        <v>2</v>
      </c>
      <c r="G3110" s="5813">
        <v>0.18124999999999999</v>
      </c>
      <c r="H3110" s="21" t="s">
        <v>54</v>
      </c>
      <c r="I3110" s="21" t="s">
        <v>226</v>
      </c>
      <c r="J3110" s="21" t="s">
        <v>48</v>
      </c>
      <c r="K3110" s="5814" t="s">
        <v>9800</v>
      </c>
    </row>
    <row r="3111" spans="1:11">
      <c r="A3111" s="21" t="s">
        <v>2850</v>
      </c>
      <c r="B3111" s="21" t="s">
        <v>9801</v>
      </c>
      <c r="C3111" s="21" t="s">
        <v>22</v>
      </c>
      <c r="D3111" s="21" t="s">
        <v>1122</v>
      </c>
      <c r="E3111" s="21" t="s">
        <v>46</v>
      </c>
      <c r="F3111" s="5812">
        <v>4</v>
      </c>
      <c r="G3111" s="5813">
        <v>0.13333333333333333</v>
      </c>
      <c r="H3111" s="21" t="s">
        <v>54</v>
      </c>
      <c r="I3111" s="21" t="s">
        <v>55</v>
      </c>
      <c r="J3111" s="21" t="s">
        <v>4586</v>
      </c>
      <c r="K3111" s="5814" t="s">
        <v>9802</v>
      </c>
    </row>
    <row r="3112" spans="1:11">
      <c r="A3112" s="21" t="s">
        <v>2372</v>
      </c>
      <c r="B3112" s="21" t="s">
        <v>9803</v>
      </c>
      <c r="C3112" s="21" t="s">
        <v>22</v>
      </c>
      <c r="D3112" s="21" t="s">
        <v>1122</v>
      </c>
      <c r="E3112" s="21" t="s">
        <v>46</v>
      </c>
      <c r="F3112" s="5812">
        <v>5</v>
      </c>
      <c r="G3112" s="5813">
        <v>8.4027777777777785E-2</v>
      </c>
      <c r="H3112" s="21" t="s">
        <v>54</v>
      </c>
      <c r="I3112" s="21" t="s">
        <v>47</v>
      </c>
      <c r="J3112" s="21" t="s">
        <v>97</v>
      </c>
      <c r="K3112" s="5814" t="s">
        <v>9804</v>
      </c>
    </row>
    <row r="3113" spans="1:11">
      <c r="A3113" s="21" t="s">
        <v>3195</v>
      </c>
      <c r="B3113" s="21" t="s">
        <v>9805</v>
      </c>
      <c r="C3113" s="21" t="s">
        <v>22</v>
      </c>
      <c r="D3113" s="21" t="s">
        <v>1122</v>
      </c>
      <c r="E3113" s="21" t="s">
        <v>61</v>
      </c>
      <c r="F3113" s="5812">
        <v>3</v>
      </c>
      <c r="G3113" s="5813">
        <v>0.18263888888888888</v>
      </c>
      <c r="H3113" s="21" t="s">
        <v>54</v>
      </c>
      <c r="I3113" s="21" t="s">
        <v>2297</v>
      </c>
      <c r="J3113" s="21" t="s">
        <v>5466</v>
      </c>
      <c r="K3113" s="5814" t="s">
        <v>9806</v>
      </c>
    </row>
    <row r="3114" spans="1:11">
      <c r="A3114" s="21" t="s">
        <v>3671</v>
      </c>
      <c r="B3114" s="21" t="s">
        <v>9807</v>
      </c>
      <c r="C3114" s="21" t="s">
        <v>8</v>
      </c>
      <c r="D3114" s="21" t="s">
        <v>1128</v>
      </c>
      <c r="E3114" s="21" t="s">
        <v>710</v>
      </c>
      <c r="F3114" s="5812">
        <v>5</v>
      </c>
      <c r="G3114" s="5813">
        <v>0.20833333333333334</v>
      </c>
      <c r="H3114" s="21" t="s">
        <v>54</v>
      </c>
      <c r="I3114" s="21" t="s">
        <v>55</v>
      </c>
      <c r="J3114" s="21" t="s">
        <v>9808</v>
      </c>
      <c r="K3114" s="5814" t="s">
        <v>9809</v>
      </c>
    </row>
    <row r="3115" spans="1:11">
      <c r="A3115" s="21" t="s">
        <v>2233</v>
      </c>
      <c r="B3115" s="21" t="s">
        <v>9810</v>
      </c>
      <c r="C3115" s="21" t="s">
        <v>8</v>
      </c>
      <c r="D3115" s="21" t="s">
        <v>1128</v>
      </c>
      <c r="E3115" s="21" t="s">
        <v>710</v>
      </c>
      <c r="F3115" s="5812">
        <v>5</v>
      </c>
      <c r="G3115" s="5813">
        <v>0.20833333333333334</v>
      </c>
      <c r="H3115" s="21" t="s">
        <v>54</v>
      </c>
      <c r="I3115" s="21" t="s">
        <v>2297</v>
      </c>
      <c r="J3115" s="21" t="s">
        <v>9811</v>
      </c>
      <c r="K3115" s="5814" t="s">
        <v>9812</v>
      </c>
    </row>
    <row r="3116" spans="1:11">
      <c r="A3116" s="21" t="s">
        <v>3541</v>
      </c>
      <c r="B3116" s="21" t="s">
        <v>9810</v>
      </c>
      <c r="C3116" s="21" t="s">
        <v>709</v>
      </c>
      <c r="D3116" s="21" t="s">
        <v>1128</v>
      </c>
      <c r="E3116" s="21" t="s">
        <v>710</v>
      </c>
      <c r="F3116" s="5812">
        <v>5</v>
      </c>
      <c r="G3116" s="5813">
        <v>0.20833333333333334</v>
      </c>
      <c r="H3116" s="21" t="s">
        <v>54</v>
      </c>
      <c r="I3116" s="21" t="s">
        <v>226</v>
      </c>
      <c r="J3116" s="21" t="s">
        <v>9813</v>
      </c>
      <c r="K3116" s="5814" t="s">
        <v>9814</v>
      </c>
    </row>
    <row r="3117" spans="1:11">
      <c r="A3117" s="21" t="s">
        <v>2263</v>
      </c>
      <c r="B3117" s="21" t="s">
        <v>9815</v>
      </c>
      <c r="C3117" s="21" t="s">
        <v>8</v>
      </c>
      <c r="D3117" s="21" t="s">
        <v>1128</v>
      </c>
      <c r="E3117" s="21" t="s">
        <v>193</v>
      </c>
      <c r="F3117" s="5812">
        <v>5</v>
      </c>
      <c r="G3117" s="5813">
        <v>0.20833333333333334</v>
      </c>
      <c r="H3117" s="21" t="s">
        <v>54</v>
      </c>
      <c r="I3117" s="21" t="s">
        <v>2297</v>
      </c>
      <c r="J3117" s="21" t="s">
        <v>9816</v>
      </c>
      <c r="K3117" s="5814" t="s">
        <v>9817</v>
      </c>
    </row>
    <row r="3118" spans="1:11">
      <c r="A3118" s="21" t="s">
        <v>44</v>
      </c>
      <c r="B3118" s="21" t="s">
        <v>1127</v>
      </c>
      <c r="C3118" s="21" t="s">
        <v>8</v>
      </c>
      <c r="D3118" s="21" t="s">
        <v>1128</v>
      </c>
      <c r="E3118" s="21" t="s">
        <v>9</v>
      </c>
      <c r="F3118" s="5812">
        <v>5</v>
      </c>
      <c r="G3118" s="5813">
        <v>0.20833333333333334</v>
      </c>
      <c r="H3118" s="21" t="s">
        <v>54</v>
      </c>
      <c r="I3118" s="21" t="s">
        <v>55</v>
      </c>
      <c r="J3118" s="21" t="s">
        <v>1129</v>
      </c>
      <c r="K3118" s="5814" t="s">
        <v>1130</v>
      </c>
    </row>
    <row r="3119" spans="1:11">
      <c r="A3119" s="21" t="s">
        <v>3220</v>
      </c>
      <c r="B3119" s="21" t="s">
        <v>9818</v>
      </c>
      <c r="C3119" s="21" t="s">
        <v>8</v>
      </c>
      <c r="D3119" s="21" t="s">
        <v>1128</v>
      </c>
      <c r="E3119" s="21" t="s">
        <v>9</v>
      </c>
      <c r="F3119" s="5812">
        <v>5</v>
      </c>
      <c r="G3119" s="5813">
        <v>0.20833333333333334</v>
      </c>
      <c r="H3119" s="21" t="s">
        <v>54</v>
      </c>
      <c r="I3119" s="21" t="s">
        <v>226</v>
      </c>
      <c r="J3119" s="21" t="s">
        <v>9819</v>
      </c>
      <c r="K3119" s="5814" t="s">
        <v>9820</v>
      </c>
    </row>
    <row r="3120" spans="1:11">
      <c r="A3120" s="21" t="s">
        <v>3203</v>
      </c>
      <c r="B3120" s="21" t="s">
        <v>9821</v>
      </c>
      <c r="C3120" s="21" t="s">
        <v>8</v>
      </c>
      <c r="D3120" s="21" t="s">
        <v>1128</v>
      </c>
      <c r="E3120" s="21" t="s">
        <v>9</v>
      </c>
      <c r="F3120" s="5812">
        <v>5</v>
      </c>
      <c r="G3120" s="5813">
        <v>0.20833333333333334</v>
      </c>
      <c r="H3120" s="21" t="s">
        <v>54</v>
      </c>
      <c r="I3120" s="21" t="s">
        <v>47</v>
      </c>
      <c r="J3120" s="21" t="s">
        <v>9822</v>
      </c>
      <c r="K3120" s="5814" t="s">
        <v>9823</v>
      </c>
    </row>
    <row r="3121" spans="1:11">
      <c r="A3121" s="21" t="s">
        <v>2643</v>
      </c>
      <c r="B3121" s="21" t="s">
        <v>9824</v>
      </c>
      <c r="C3121" s="21" t="s">
        <v>22</v>
      </c>
      <c r="D3121" s="21" t="s">
        <v>1128</v>
      </c>
      <c r="E3121" s="21" t="s">
        <v>9</v>
      </c>
      <c r="F3121" s="5812">
        <v>5</v>
      </c>
      <c r="G3121" s="5813">
        <v>0.20833333333333334</v>
      </c>
      <c r="H3121" s="21" t="s">
        <v>54</v>
      </c>
      <c r="I3121" s="21" t="s">
        <v>47</v>
      </c>
      <c r="J3121" s="21" t="s">
        <v>9825</v>
      </c>
      <c r="K3121" s="5814" t="s">
        <v>9826</v>
      </c>
    </row>
    <row r="3122" spans="1:11">
      <c r="A3122" s="21" t="s">
        <v>3537</v>
      </c>
      <c r="B3122" s="21" t="s">
        <v>9827</v>
      </c>
      <c r="C3122" s="21" t="s">
        <v>8</v>
      </c>
      <c r="D3122" s="21" t="s">
        <v>1128</v>
      </c>
      <c r="E3122" s="21" t="s">
        <v>9</v>
      </c>
      <c r="F3122" s="5812">
        <v>5</v>
      </c>
      <c r="G3122" s="5813">
        <v>0.20833333333333334</v>
      </c>
      <c r="H3122" s="21" t="s">
        <v>54</v>
      </c>
      <c r="I3122" s="21" t="s">
        <v>55</v>
      </c>
      <c r="J3122" s="21" t="s">
        <v>9828</v>
      </c>
      <c r="K3122" s="5814" t="s">
        <v>9829</v>
      </c>
    </row>
    <row r="3123" spans="1:11">
      <c r="A3123" s="21" t="s">
        <v>2831</v>
      </c>
      <c r="B3123" s="21" t="s">
        <v>9830</v>
      </c>
      <c r="C3123" s="21" t="s">
        <v>22</v>
      </c>
      <c r="D3123" s="21" t="s">
        <v>1128</v>
      </c>
      <c r="E3123" s="21" t="s">
        <v>46</v>
      </c>
      <c r="F3123" s="5812">
        <v>1</v>
      </c>
      <c r="G3123" s="5813">
        <v>9.166666666666666E-2</v>
      </c>
      <c r="H3123" s="21" t="s">
        <v>54</v>
      </c>
      <c r="I3123" s="21" t="s">
        <v>226</v>
      </c>
      <c r="J3123" s="21" t="s">
        <v>48</v>
      </c>
      <c r="K3123" s="5814" t="s">
        <v>9831</v>
      </c>
    </row>
    <row r="3124" spans="1:11">
      <c r="A3124" s="21" t="s">
        <v>2935</v>
      </c>
      <c r="B3124" s="21" t="s">
        <v>9821</v>
      </c>
      <c r="C3124" s="21" t="s">
        <v>8</v>
      </c>
      <c r="D3124" s="21" t="s">
        <v>1128</v>
      </c>
      <c r="E3124" s="21" t="s">
        <v>46</v>
      </c>
      <c r="F3124" s="5812">
        <v>2</v>
      </c>
      <c r="G3124" s="5813">
        <v>4.3055555555555555E-2</v>
      </c>
      <c r="H3124" s="21" t="s">
        <v>54</v>
      </c>
      <c r="I3124" s="21" t="s">
        <v>55</v>
      </c>
      <c r="J3124" s="21" t="s">
        <v>48</v>
      </c>
      <c r="K3124" s="5814" t="s">
        <v>9832</v>
      </c>
    </row>
    <row r="3125" spans="1:11">
      <c r="A3125" s="21" t="s">
        <v>3505</v>
      </c>
      <c r="B3125" s="21" t="s">
        <v>9833</v>
      </c>
      <c r="C3125" s="21" t="s">
        <v>8</v>
      </c>
      <c r="D3125" s="21" t="s">
        <v>1128</v>
      </c>
      <c r="E3125" s="21" t="s">
        <v>46</v>
      </c>
      <c r="F3125" s="5812">
        <v>3</v>
      </c>
      <c r="G3125" s="5813">
        <v>2.361111111111111E-2</v>
      </c>
      <c r="H3125" s="21" t="s">
        <v>54</v>
      </c>
      <c r="I3125" s="21" t="s">
        <v>55</v>
      </c>
      <c r="J3125" s="21" t="s">
        <v>127</v>
      </c>
      <c r="K3125" s="5814" t="s">
        <v>9834</v>
      </c>
    </row>
    <row r="3126" spans="1:11">
      <c r="A3126" s="21" t="s">
        <v>2882</v>
      </c>
      <c r="B3126" s="21" t="s">
        <v>9835</v>
      </c>
      <c r="C3126" s="21" t="s">
        <v>8</v>
      </c>
      <c r="D3126" s="21" t="s">
        <v>1128</v>
      </c>
      <c r="E3126" s="21" t="s">
        <v>46</v>
      </c>
      <c r="F3126" s="5812">
        <v>5</v>
      </c>
      <c r="G3126" s="5813">
        <v>4.1666666666666664E-2</v>
      </c>
      <c r="H3126" s="21" t="s">
        <v>54</v>
      </c>
      <c r="I3126" s="21" t="s">
        <v>2297</v>
      </c>
      <c r="J3126" s="21" t="s">
        <v>48</v>
      </c>
      <c r="K3126" s="5814" t="s">
        <v>9836</v>
      </c>
    </row>
    <row r="3127" spans="1:11">
      <c r="A3127" s="21" t="s">
        <v>2395</v>
      </c>
      <c r="B3127" s="21" t="s">
        <v>9837</v>
      </c>
      <c r="C3127" s="21" t="s">
        <v>22</v>
      </c>
      <c r="D3127" s="21" t="s">
        <v>1128</v>
      </c>
      <c r="E3127" s="21" t="s">
        <v>46</v>
      </c>
      <c r="F3127" s="5812">
        <v>5</v>
      </c>
      <c r="G3127" s="5813">
        <v>0.16944444444444445</v>
      </c>
      <c r="H3127" s="21" t="s">
        <v>54</v>
      </c>
      <c r="I3127" s="21" t="s">
        <v>55</v>
      </c>
      <c r="J3127" s="21" t="s">
        <v>722</v>
      </c>
      <c r="K3127" s="5814" t="s">
        <v>9838</v>
      </c>
    </row>
    <row r="3128" spans="1:11">
      <c r="A3128" s="21" t="s">
        <v>2156</v>
      </c>
      <c r="B3128" s="21" t="s">
        <v>9818</v>
      </c>
      <c r="C3128" s="21" t="s">
        <v>8</v>
      </c>
      <c r="D3128" s="21" t="s">
        <v>1128</v>
      </c>
      <c r="E3128" s="21" t="s">
        <v>46</v>
      </c>
      <c r="F3128" s="5812">
        <v>5</v>
      </c>
      <c r="G3128" s="5813">
        <v>0.1736111111111111</v>
      </c>
      <c r="H3128" s="21" t="s">
        <v>54</v>
      </c>
      <c r="I3128" s="21" t="s">
        <v>47</v>
      </c>
      <c r="J3128" s="21" t="s">
        <v>48</v>
      </c>
      <c r="K3128" s="5814" t="s">
        <v>9839</v>
      </c>
    </row>
    <row r="3129" spans="1:11">
      <c r="A3129" s="21" t="s">
        <v>2687</v>
      </c>
      <c r="B3129" s="21" t="s">
        <v>9840</v>
      </c>
      <c r="C3129" s="21" t="s">
        <v>8</v>
      </c>
      <c r="D3129" s="21" t="s">
        <v>1128</v>
      </c>
      <c r="E3129" s="21" t="s">
        <v>61</v>
      </c>
      <c r="F3129" s="5812">
        <v>2</v>
      </c>
      <c r="G3129" s="5813">
        <v>0.17986111111111111</v>
      </c>
      <c r="H3129" s="21" t="s">
        <v>54</v>
      </c>
      <c r="I3129" s="21" t="s">
        <v>226</v>
      </c>
      <c r="J3129" s="21" t="s">
        <v>3607</v>
      </c>
      <c r="K3129" s="5814" t="s">
        <v>9841</v>
      </c>
    </row>
    <row r="3130" spans="1:11">
      <c r="A3130" s="21" t="s">
        <v>4293</v>
      </c>
      <c r="B3130" s="21" t="s">
        <v>9842</v>
      </c>
      <c r="C3130" s="21" t="s">
        <v>8</v>
      </c>
      <c r="D3130" s="21" t="s">
        <v>1134</v>
      </c>
      <c r="E3130" s="21" t="s">
        <v>193</v>
      </c>
      <c r="F3130" s="5812">
        <v>5</v>
      </c>
      <c r="G3130" s="5813">
        <v>0.20833333333333334</v>
      </c>
      <c r="H3130" s="21" t="s">
        <v>54</v>
      </c>
      <c r="I3130" s="21" t="s">
        <v>2297</v>
      </c>
      <c r="J3130" s="21" t="s">
        <v>9843</v>
      </c>
      <c r="K3130" s="5814" t="s">
        <v>9844</v>
      </c>
    </row>
    <row r="3131" spans="1:11">
      <c r="A3131" s="21" t="s">
        <v>185</v>
      </c>
      <c r="B3131" s="21" t="s">
        <v>1133</v>
      </c>
      <c r="C3131" s="21" t="s">
        <v>8</v>
      </c>
      <c r="D3131" s="21" t="s">
        <v>1134</v>
      </c>
      <c r="E3131" s="21" t="s">
        <v>9</v>
      </c>
      <c r="F3131" s="5812">
        <v>5</v>
      </c>
      <c r="G3131" s="5813">
        <v>0.20833333333333334</v>
      </c>
      <c r="H3131" s="21" t="s">
        <v>54</v>
      </c>
      <c r="I3131" s="21" t="s">
        <v>400</v>
      </c>
      <c r="J3131" s="21" t="s">
        <v>1135</v>
      </c>
      <c r="K3131" s="5814" t="s">
        <v>1136</v>
      </c>
    </row>
    <row r="3132" spans="1:11">
      <c r="A3132" s="21" t="s">
        <v>2947</v>
      </c>
      <c r="B3132" s="21" t="s">
        <v>9845</v>
      </c>
      <c r="C3132" s="21" t="s">
        <v>8</v>
      </c>
      <c r="D3132" s="21" t="s">
        <v>1134</v>
      </c>
      <c r="E3132" s="21" t="s">
        <v>9</v>
      </c>
      <c r="F3132" s="5812">
        <v>5</v>
      </c>
      <c r="G3132" s="5813">
        <v>0.20833333333333334</v>
      </c>
      <c r="H3132" s="21" t="s">
        <v>54</v>
      </c>
      <c r="I3132" s="21" t="s">
        <v>226</v>
      </c>
      <c r="J3132" s="21" t="s">
        <v>9846</v>
      </c>
      <c r="K3132" s="5814" t="s">
        <v>9847</v>
      </c>
    </row>
    <row r="3133" spans="1:11">
      <c r="A3133" s="21" t="s">
        <v>5390</v>
      </c>
      <c r="B3133" s="21" t="s">
        <v>9848</v>
      </c>
      <c r="C3133" s="21" t="s">
        <v>22</v>
      </c>
      <c r="D3133" s="21" t="s">
        <v>1134</v>
      </c>
      <c r="E3133" s="21" t="s">
        <v>9</v>
      </c>
      <c r="F3133" s="5812">
        <v>5</v>
      </c>
      <c r="G3133" s="5813">
        <v>0.20833333333333334</v>
      </c>
      <c r="H3133" s="21" t="s">
        <v>54</v>
      </c>
      <c r="I3133" s="21" t="s">
        <v>89</v>
      </c>
      <c r="J3133" s="21" t="s">
        <v>9849</v>
      </c>
      <c r="K3133" s="5814" t="s">
        <v>9850</v>
      </c>
    </row>
    <row r="3134" spans="1:11">
      <c r="A3134" s="21" t="s">
        <v>2156</v>
      </c>
      <c r="B3134" s="21" t="s">
        <v>9851</v>
      </c>
      <c r="C3134" s="21" t="s">
        <v>8</v>
      </c>
      <c r="D3134" s="21" t="s">
        <v>1134</v>
      </c>
      <c r="E3134" s="21" t="s">
        <v>9</v>
      </c>
      <c r="F3134" s="5812">
        <v>5</v>
      </c>
      <c r="G3134" s="5813">
        <v>0.20833333333333334</v>
      </c>
      <c r="H3134" s="21" t="s">
        <v>54</v>
      </c>
      <c r="I3134" s="21" t="s">
        <v>11</v>
      </c>
      <c r="J3134" s="21" t="s">
        <v>9852</v>
      </c>
      <c r="K3134" s="5814" t="s">
        <v>9853</v>
      </c>
    </row>
    <row r="3135" spans="1:11">
      <c r="A3135" s="21" t="s">
        <v>2863</v>
      </c>
      <c r="B3135" s="21" t="s">
        <v>9854</v>
      </c>
      <c r="C3135" s="21" t="s">
        <v>8</v>
      </c>
      <c r="D3135" s="21" t="s">
        <v>1134</v>
      </c>
      <c r="E3135" s="21" t="s">
        <v>46</v>
      </c>
      <c r="F3135" s="5812">
        <v>1</v>
      </c>
      <c r="G3135" s="5813">
        <v>2.361111111111111E-2</v>
      </c>
      <c r="H3135" s="21" t="s">
        <v>54</v>
      </c>
      <c r="I3135" s="21" t="s">
        <v>2297</v>
      </c>
      <c r="J3135" s="21" t="s">
        <v>48</v>
      </c>
      <c r="K3135" s="5814" t="s">
        <v>9855</v>
      </c>
    </row>
    <row r="3136" spans="1:11">
      <c r="A3136" s="21" t="s">
        <v>2800</v>
      </c>
      <c r="B3136" s="21" t="s">
        <v>9856</v>
      </c>
      <c r="C3136" s="21" t="s">
        <v>8</v>
      </c>
      <c r="D3136" s="21" t="s">
        <v>1134</v>
      </c>
      <c r="E3136" s="21" t="s">
        <v>46</v>
      </c>
      <c r="F3136" s="5812">
        <v>1</v>
      </c>
      <c r="G3136" s="5813">
        <v>3.3333333333333333E-2</v>
      </c>
      <c r="H3136" s="21" t="s">
        <v>54</v>
      </c>
      <c r="I3136" s="21" t="s">
        <v>55</v>
      </c>
      <c r="J3136" s="21" t="s">
        <v>97</v>
      </c>
      <c r="K3136" s="5814" t="s">
        <v>9857</v>
      </c>
    </row>
    <row r="3137" spans="1:11">
      <c r="A3137" s="21" t="s">
        <v>2985</v>
      </c>
      <c r="B3137" s="21" t="s">
        <v>9858</v>
      </c>
      <c r="C3137" s="21" t="s">
        <v>8</v>
      </c>
      <c r="D3137" s="21" t="s">
        <v>1134</v>
      </c>
      <c r="E3137" s="21" t="s">
        <v>46</v>
      </c>
      <c r="F3137" s="5812">
        <v>1</v>
      </c>
      <c r="G3137" s="5813">
        <v>0.1736111111111111</v>
      </c>
      <c r="H3137" s="21" t="s">
        <v>54</v>
      </c>
      <c r="I3137" s="21" t="s">
        <v>47</v>
      </c>
      <c r="J3137" s="21" t="s">
        <v>722</v>
      </c>
      <c r="K3137" s="5814" t="s">
        <v>9859</v>
      </c>
    </row>
    <row r="3138" spans="1:11">
      <c r="A3138" s="21" t="s">
        <v>5235</v>
      </c>
      <c r="B3138" s="21" t="s">
        <v>9860</v>
      </c>
      <c r="C3138" s="21" t="s">
        <v>22</v>
      </c>
      <c r="D3138" s="21" t="s">
        <v>1134</v>
      </c>
      <c r="E3138" s="21" t="s">
        <v>46</v>
      </c>
      <c r="F3138" s="5812">
        <v>2</v>
      </c>
      <c r="G3138" s="5813">
        <v>4.0972222222222222E-2</v>
      </c>
      <c r="H3138" s="21" t="s">
        <v>54</v>
      </c>
      <c r="I3138" s="21" t="s">
        <v>55</v>
      </c>
      <c r="J3138" s="21" t="s">
        <v>722</v>
      </c>
      <c r="K3138" s="5814" t="s">
        <v>9861</v>
      </c>
    </row>
    <row r="3139" spans="1:11">
      <c r="A3139" s="21" t="s">
        <v>3217</v>
      </c>
      <c r="B3139" s="21" t="s">
        <v>9862</v>
      </c>
      <c r="C3139" s="21" t="s">
        <v>8</v>
      </c>
      <c r="D3139" s="21" t="s">
        <v>1134</v>
      </c>
      <c r="E3139" s="21" t="s">
        <v>46</v>
      </c>
      <c r="F3139" s="5812">
        <v>5</v>
      </c>
      <c r="G3139" s="5813">
        <v>0.10833333333333334</v>
      </c>
      <c r="H3139" s="21" t="s">
        <v>54</v>
      </c>
      <c r="I3139" s="21" t="s">
        <v>47</v>
      </c>
      <c r="J3139" s="21" t="s">
        <v>258</v>
      </c>
      <c r="K3139" s="5814" t="s">
        <v>9863</v>
      </c>
    </row>
    <row r="3140" spans="1:11">
      <c r="A3140" s="21" t="s">
        <v>2835</v>
      </c>
      <c r="B3140" s="21" t="s">
        <v>9864</v>
      </c>
      <c r="C3140" s="21" t="s">
        <v>22</v>
      </c>
      <c r="D3140" s="21" t="s">
        <v>1134</v>
      </c>
      <c r="E3140" s="21" t="s">
        <v>61</v>
      </c>
      <c r="F3140" s="5812">
        <v>1</v>
      </c>
      <c r="G3140" s="5813">
        <v>0.1361111111111111</v>
      </c>
      <c r="H3140" s="21" t="s">
        <v>54</v>
      </c>
      <c r="I3140" s="21" t="s">
        <v>55</v>
      </c>
      <c r="J3140" s="21" t="s">
        <v>67</v>
      </c>
      <c r="K3140" s="5814" t="s">
        <v>9865</v>
      </c>
    </row>
    <row r="3141" spans="1:11">
      <c r="A3141" s="21" t="s">
        <v>2461</v>
      </c>
      <c r="B3141" s="21" t="s">
        <v>9866</v>
      </c>
      <c r="C3141" s="21" t="s">
        <v>22</v>
      </c>
      <c r="D3141" s="21" t="s">
        <v>1134</v>
      </c>
      <c r="E3141" s="21" t="s">
        <v>61</v>
      </c>
      <c r="F3141" s="5812">
        <v>2</v>
      </c>
      <c r="G3141" s="5813">
        <v>0.14305555555555555</v>
      </c>
      <c r="H3141" s="21" t="s">
        <v>54</v>
      </c>
      <c r="I3141" s="21" t="s">
        <v>47</v>
      </c>
      <c r="J3141" s="21" t="s">
        <v>67</v>
      </c>
      <c r="K3141" s="5814" t="s">
        <v>9867</v>
      </c>
    </row>
    <row r="3142" spans="1:11">
      <c r="A3142" s="21" t="s">
        <v>4396</v>
      </c>
      <c r="B3142" s="21" t="s">
        <v>9868</v>
      </c>
      <c r="C3142" s="21" t="s">
        <v>22</v>
      </c>
      <c r="D3142" s="21" t="s">
        <v>1134</v>
      </c>
      <c r="E3142" s="21" t="s">
        <v>61</v>
      </c>
      <c r="F3142" s="5812">
        <v>5</v>
      </c>
      <c r="G3142" s="5813">
        <v>0.14583333333333334</v>
      </c>
      <c r="H3142" s="21" t="s">
        <v>54</v>
      </c>
      <c r="I3142" s="21" t="s">
        <v>2297</v>
      </c>
      <c r="J3142" s="21" t="s">
        <v>5466</v>
      </c>
      <c r="K3142" s="5814" t="s">
        <v>9869</v>
      </c>
    </row>
    <row r="3143" spans="1:11">
      <c r="A3143" s="21" t="s">
        <v>2966</v>
      </c>
      <c r="B3143" s="21" t="s">
        <v>9870</v>
      </c>
      <c r="C3143" s="21" t="s">
        <v>8</v>
      </c>
      <c r="D3143" s="21" t="s">
        <v>9871</v>
      </c>
      <c r="E3143" s="21" t="s">
        <v>9</v>
      </c>
      <c r="F3143" s="5812">
        <v>5</v>
      </c>
      <c r="G3143" s="5813">
        <v>0.20833333333333334</v>
      </c>
      <c r="H3143" s="21" t="s">
        <v>54</v>
      </c>
      <c r="I3143" s="21" t="s">
        <v>55</v>
      </c>
      <c r="J3143" s="21" t="s">
        <v>9872</v>
      </c>
      <c r="K3143" s="5814" t="s">
        <v>9873</v>
      </c>
    </row>
    <row r="3144" spans="1:11">
      <c r="A3144" s="21" t="s">
        <v>3369</v>
      </c>
      <c r="B3144" s="21" t="s">
        <v>9874</v>
      </c>
      <c r="C3144" s="21" t="s">
        <v>8</v>
      </c>
      <c r="D3144" s="21" t="s">
        <v>9871</v>
      </c>
      <c r="E3144" s="21" t="s">
        <v>9</v>
      </c>
      <c r="F3144" s="5812">
        <v>5</v>
      </c>
      <c r="G3144" s="5813">
        <v>0.20833333333333334</v>
      </c>
      <c r="H3144" s="21" t="s">
        <v>54</v>
      </c>
      <c r="I3144" s="21" t="s">
        <v>55</v>
      </c>
      <c r="J3144" s="21" t="s">
        <v>9875</v>
      </c>
      <c r="K3144" s="5814" t="s">
        <v>9876</v>
      </c>
    </row>
    <row r="3145" spans="1:11">
      <c r="A3145" s="21" t="s">
        <v>3783</v>
      </c>
      <c r="B3145" s="21" t="s">
        <v>9877</v>
      </c>
      <c r="C3145" s="21" t="s">
        <v>22</v>
      </c>
      <c r="D3145" s="21" t="s">
        <v>9871</v>
      </c>
      <c r="E3145" s="21" t="s">
        <v>9</v>
      </c>
      <c r="F3145" s="5812">
        <v>5</v>
      </c>
      <c r="G3145" s="5813">
        <v>0.20833333333333334</v>
      </c>
      <c r="H3145" s="21" t="s">
        <v>54</v>
      </c>
      <c r="I3145" s="21" t="s">
        <v>194</v>
      </c>
      <c r="J3145" s="21" t="s">
        <v>9878</v>
      </c>
      <c r="K3145" s="5814" t="s">
        <v>9879</v>
      </c>
    </row>
    <row r="3146" spans="1:11">
      <c r="A3146" s="21" t="s">
        <v>3173</v>
      </c>
      <c r="B3146" s="21" t="s">
        <v>9880</v>
      </c>
      <c r="C3146" s="21" t="s">
        <v>22</v>
      </c>
      <c r="D3146" s="21" t="s">
        <v>9871</v>
      </c>
      <c r="E3146" s="21" t="s">
        <v>46</v>
      </c>
      <c r="F3146" s="5812">
        <v>1</v>
      </c>
      <c r="G3146" s="5813">
        <v>3.5416666666666666E-2</v>
      </c>
      <c r="H3146" s="21" t="s">
        <v>54</v>
      </c>
      <c r="I3146" s="21" t="s">
        <v>47</v>
      </c>
      <c r="J3146" s="21" t="s">
        <v>97</v>
      </c>
      <c r="K3146" s="5814" t="s">
        <v>9881</v>
      </c>
    </row>
    <row r="3147" spans="1:11">
      <c r="A3147" s="21" t="s">
        <v>2205</v>
      </c>
      <c r="B3147" s="21" t="s">
        <v>9882</v>
      </c>
      <c r="C3147" s="21" t="s">
        <v>8</v>
      </c>
      <c r="D3147" s="21" t="s">
        <v>9871</v>
      </c>
      <c r="E3147" s="21" t="s">
        <v>46</v>
      </c>
      <c r="F3147" s="5812">
        <v>1</v>
      </c>
      <c r="G3147" s="5813">
        <v>0.1423611111111111</v>
      </c>
      <c r="H3147" s="21" t="s">
        <v>54</v>
      </c>
      <c r="I3147" s="21" t="s">
        <v>55</v>
      </c>
      <c r="J3147" s="21" t="s">
        <v>127</v>
      </c>
      <c r="K3147" s="5814" t="s">
        <v>9883</v>
      </c>
    </row>
    <row r="3148" spans="1:11">
      <c r="A3148" s="21" t="s">
        <v>3537</v>
      </c>
      <c r="B3148" s="21" t="s">
        <v>9884</v>
      </c>
      <c r="C3148" s="21" t="s">
        <v>8</v>
      </c>
      <c r="D3148" s="21" t="s">
        <v>9871</v>
      </c>
      <c r="E3148" s="21" t="s">
        <v>46</v>
      </c>
      <c r="F3148" s="5812">
        <v>3</v>
      </c>
      <c r="G3148" s="5813">
        <v>8.0555555555555561E-2</v>
      </c>
      <c r="H3148" s="21" t="s">
        <v>54</v>
      </c>
      <c r="I3148" s="21" t="s">
        <v>89</v>
      </c>
      <c r="J3148" s="21" t="s">
        <v>1203</v>
      </c>
      <c r="K3148" s="5814" t="s">
        <v>9885</v>
      </c>
    </row>
    <row r="3149" spans="1:11">
      <c r="A3149" s="21" t="s">
        <v>2123</v>
      </c>
      <c r="B3149" s="21" t="s">
        <v>9886</v>
      </c>
      <c r="C3149" s="21" t="s">
        <v>8</v>
      </c>
      <c r="D3149" s="21" t="s">
        <v>9871</v>
      </c>
      <c r="E3149" s="21" t="s">
        <v>61</v>
      </c>
      <c r="F3149" s="5812">
        <v>1</v>
      </c>
      <c r="G3149" s="5813">
        <v>8.5416666666666669E-2</v>
      </c>
      <c r="H3149" s="21" t="s">
        <v>54</v>
      </c>
      <c r="I3149" s="21" t="s">
        <v>96</v>
      </c>
      <c r="J3149" s="21" t="s">
        <v>3360</v>
      </c>
      <c r="K3149" s="5814" t="s">
        <v>9887</v>
      </c>
    </row>
    <row r="3150" spans="1:11">
      <c r="A3150" s="21" t="s">
        <v>2941</v>
      </c>
      <c r="B3150" s="21" t="s">
        <v>9888</v>
      </c>
      <c r="C3150" s="21" t="s">
        <v>709</v>
      </c>
      <c r="D3150" s="21" t="s">
        <v>9889</v>
      </c>
      <c r="E3150" s="21" t="s">
        <v>193</v>
      </c>
      <c r="F3150" s="5812">
        <v>5</v>
      </c>
      <c r="G3150" s="5813">
        <v>0.20833333333333334</v>
      </c>
      <c r="H3150" s="21" t="s">
        <v>54</v>
      </c>
      <c r="I3150" s="21" t="s">
        <v>55</v>
      </c>
      <c r="J3150" s="21" t="s">
        <v>9890</v>
      </c>
      <c r="K3150" s="5814" t="s">
        <v>9891</v>
      </c>
    </row>
    <row r="3151" spans="1:11">
      <c r="A3151" s="21" t="s">
        <v>2420</v>
      </c>
      <c r="B3151" s="21" t="s">
        <v>9892</v>
      </c>
      <c r="C3151" s="21" t="s">
        <v>8</v>
      </c>
      <c r="D3151" s="21" t="s">
        <v>9889</v>
      </c>
      <c r="E3151" s="21" t="s">
        <v>193</v>
      </c>
      <c r="F3151" s="5812">
        <v>5</v>
      </c>
      <c r="G3151" s="5813">
        <v>0.20833333333333334</v>
      </c>
      <c r="H3151" s="21" t="s">
        <v>54</v>
      </c>
      <c r="I3151" s="21" t="s">
        <v>96</v>
      </c>
      <c r="J3151" s="21" t="s">
        <v>9893</v>
      </c>
      <c r="K3151" s="5814" t="s">
        <v>9894</v>
      </c>
    </row>
    <row r="3152" spans="1:11">
      <c r="A3152" s="21" t="s">
        <v>5335</v>
      </c>
      <c r="B3152" s="21" t="s">
        <v>9895</v>
      </c>
      <c r="C3152" s="21" t="s">
        <v>8</v>
      </c>
      <c r="D3152" s="21" t="s">
        <v>9889</v>
      </c>
      <c r="E3152" s="21" t="s">
        <v>9</v>
      </c>
      <c r="F3152" s="5812">
        <v>5</v>
      </c>
      <c r="G3152" s="5813">
        <v>0.20833333333333334</v>
      </c>
      <c r="H3152" s="21" t="s">
        <v>54</v>
      </c>
      <c r="I3152" s="21" t="s">
        <v>55</v>
      </c>
      <c r="J3152" s="21" t="s">
        <v>9896</v>
      </c>
      <c r="K3152" s="5814" t="s">
        <v>9897</v>
      </c>
    </row>
    <row r="3153" spans="1:11">
      <c r="A3153" s="21" t="s">
        <v>2174</v>
      </c>
      <c r="B3153" s="21" t="s">
        <v>9898</v>
      </c>
      <c r="C3153" s="21" t="s">
        <v>8</v>
      </c>
      <c r="D3153" s="21" t="s">
        <v>9889</v>
      </c>
      <c r="E3153" s="21" t="s">
        <v>9</v>
      </c>
      <c r="F3153" s="5812">
        <v>5</v>
      </c>
      <c r="G3153" s="5813">
        <v>0.20833333333333334</v>
      </c>
      <c r="H3153" s="21" t="s">
        <v>54</v>
      </c>
      <c r="I3153" s="21" t="s">
        <v>11</v>
      </c>
      <c r="J3153" s="21" t="s">
        <v>9899</v>
      </c>
      <c r="K3153" s="5814" t="s">
        <v>9900</v>
      </c>
    </row>
    <row r="3154" spans="1:11">
      <c r="A3154" s="21" t="s">
        <v>2668</v>
      </c>
      <c r="B3154" s="21" t="s">
        <v>9901</v>
      </c>
      <c r="C3154" s="21" t="s">
        <v>8</v>
      </c>
      <c r="D3154" s="21" t="s">
        <v>9889</v>
      </c>
      <c r="E3154" s="21" t="s">
        <v>9</v>
      </c>
      <c r="F3154" s="5812">
        <v>5</v>
      </c>
      <c r="G3154" s="5813">
        <v>0.20833333333333334</v>
      </c>
      <c r="H3154" s="21" t="s">
        <v>54</v>
      </c>
      <c r="I3154" s="21" t="s">
        <v>194</v>
      </c>
      <c r="J3154" s="21" t="s">
        <v>9902</v>
      </c>
      <c r="K3154" s="5814" t="s">
        <v>9903</v>
      </c>
    </row>
    <row r="3155" spans="1:11">
      <c r="A3155" s="21" t="s">
        <v>2757</v>
      </c>
      <c r="B3155" s="21" t="s">
        <v>9904</v>
      </c>
      <c r="C3155" s="21" t="s">
        <v>8</v>
      </c>
      <c r="D3155" s="21" t="s">
        <v>9889</v>
      </c>
      <c r="E3155" s="21" t="s">
        <v>9</v>
      </c>
      <c r="F3155" s="5812">
        <v>5</v>
      </c>
      <c r="G3155" s="5813">
        <v>0.20833333333333334</v>
      </c>
      <c r="H3155" s="21" t="s">
        <v>54</v>
      </c>
      <c r="I3155" s="21" t="s">
        <v>2297</v>
      </c>
      <c r="J3155" s="21" t="s">
        <v>9905</v>
      </c>
      <c r="K3155" s="5814" t="s">
        <v>9906</v>
      </c>
    </row>
    <row r="3156" spans="1:11">
      <c r="A3156" s="21" t="s">
        <v>2609</v>
      </c>
      <c r="B3156" s="21" t="s">
        <v>9907</v>
      </c>
      <c r="C3156" s="21" t="s">
        <v>8</v>
      </c>
      <c r="D3156" s="21" t="s">
        <v>9889</v>
      </c>
      <c r="E3156" s="21" t="s">
        <v>46</v>
      </c>
      <c r="F3156" s="5812">
        <v>2</v>
      </c>
      <c r="G3156" s="5813">
        <v>1.8055555555555554E-2</v>
      </c>
      <c r="H3156" s="21" t="s">
        <v>54</v>
      </c>
      <c r="I3156" s="21" t="s">
        <v>2665</v>
      </c>
      <c r="J3156" s="21" t="s">
        <v>722</v>
      </c>
      <c r="K3156" s="5814" t="s">
        <v>9908</v>
      </c>
    </row>
    <row r="3157" spans="1:11">
      <c r="A3157" s="21" t="s">
        <v>2935</v>
      </c>
      <c r="B3157" s="21" t="s">
        <v>9909</v>
      </c>
      <c r="C3157" s="21" t="s">
        <v>8</v>
      </c>
      <c r="D3157" s="21" t="s">
        <v>9889</v>
      </c>
      <c r="E3157" s="21" t="s">
        <v>46</v>
      </c>
      <c r="F3157" s="5812">
        <v>2</v>
      </c>
      <c r="G3157" s="5813">
        <v>0.13819444444444445</v>
      </c>
      <c r="H3157" s="21" t="s">
        <v>54</v>
      </c>
      <c r="I3157" s="21" t="s">
        <v>226</v>
      </c>
      <c r="J3157" s="21" t="s">
        <v>4687</v>
      </c>
      <c r="K3157" s="5814" t="s">
        <v>9910</v>
      </c>
    </row>
    <row r="3158" spans="1:11">
      <c r="A3158" s="21" t="s">
        <v>2143</v>
      </c>
      <c r="B3158" s="21" t="s">
        <v>9911</v>
      </c>
      <c r="C3158" s="21" t="s">
        <v>8</v>
      </c>
      <c r="D3158" s="21" t="s">
        <v>9889</v>
      </c>
      <c r="E3158" s="21" t="s">
        <v>46</v>
      </c>
      <c r="F3158" s="5812">
        <v>3</v>
      </c>
      <c r="G3158" s="5813">
        <v>4.3749999999999997E-2</v>
      </c>
      <c r="H3158" s="21" t="s">
        <v>54</v>
      </c>
      <c r="I3158" s="21" t="s">
        <v>654</v>
      </c>
      <c r="J3158" s="21" t="s">
        <v>9732</v>
      </c>
      <c r="K3158" s="5814" t="s">
        <v>9912</v>
      </c>
    </row>
    <row r="3159" spans="1:11">
      <c r="A3159" s="21" t="s">
        <v>3152</v>
      </c>
      <c r="B3159" s="21" t="s">
        <v>9913</v>
      </c>
      <c r="C3159" s="21" t="s">
        <v>8</v>
      </c>
      <c r="D3159" s="21" t="s">
        <v>9889</v>
      </c>
      <c r="E3159" s="21" t="s">
        <v>46</v>
      </c>
      <c r="F3159" s="5812">
        <v>4</v>
      </c>
      <c r="G3159" s="5813">
        <v>0.16666666666666666</v>
      </c>
      <c r="H3159" s="21" t="s">
        <v>54</v>
      </c>
      <c r="I3159" s="21" t="s">
        <v>11</v>
      </c>
      <c r="J3159" s="21" t="s">
        <v>4586</v>
      </c>
      <c r="K3159" s="5814" t="s">
        <v>9914</v>
      </c>
    </row>
    <row r="3160" spans="1:11">
      <c r="A3160" s="21" t="s">
        <v>2049</v>
      </c>
      <c r="B3160" s="21" t="s">
        <v>9915</v>
      </c>
      <c r="C3160" s="21" t="s">
        <v>22</v>
      </c>
      <c r="D3160" s="21" t="s">
        <v>9889</v>
      </c>
      <c r="E3160" s="21" t="s">
        <v>61</v>
      </c>
      <c r="F3160" s="5812">
        <v>4</v>
      </c>
      <c r="G3160" s="5813">
        <v>0.19027777777777777</v>
      </c>
      <c r="H3160" s="21" t="s">
        <v>54</v>
      </c>
      <c r="I3160" s="21" t="s">
        <v>96</v>
      </c>
      <c r="J3160" s="21" t="s">
        <v>67</v>
      </c>
      <c r="K3160" s="5814" t="s">
        <v>9916</v>
      </c>
    </row>
    <row r="3161" spans="1:11">
      <c r="A3161" s="21" t="s">
        <v>2428</v>
      </c>
      <c r="B3161" s="21" t="s">
        <v>9917</v>
      </c>
      <c r="C3161" s="21" t="s">
        <v>22</v>
      </c>
      <c r="D3161" s="21" t="s">
        <v>1142</v>
      </c>
      <c r="E3161" s="21" t="s">
        <v>193</v>
      </c>
      <c r="F3161" s="5812">
        <v>5</v>
      </c>
      <c r="G3161" s="5813">
        <v>0.20833333333333334</v>
      </c>
      <c r="H3161" s="21" t="s">
        <v>54</v>
      </c>
      <c r="I3161" s="21" t="s">
        <v>11</v>
      </c>
      <c r="J3161" s="21" t="s">
        <v>9918</v>
      </c>
      <c r="K3161" s="5814" t="s">
        <v>9919</v>
      </c>
    </row>
    <row r="3162" spans="1:11">
      <c r="A3162" s="21" t="s">
        <v>3220</v>
      </c>
      <c r="B3162" s="21" t="s">
        <v>9920</v>
      </c>
      <c r="C3162" s="21" t="s">
        <v>8</v>
      </c>
      <c r="D3162" s="21" t="s">
        <v>1142</v>
      </c>
      <c r="E3162" s="21" t="s">
        <v>193</v>
      </c>
      <c r="F3162" s="5812">
        <v>5</v>
      </c>
      <c r="G3162" s="5813">
        <v>0.20833333333333334</v>
      </c>
      <c r="H3162" s="21" t="s">
        <v>54</v>
      </c>
      <c r="I3162" s="21" t="s">
        <v>47</v>
      </c>
      <c r="J3162" s="21" t="s">
        <v>9921</v>
      </c>
      <c r="K3162" s="5814" t="s">
        <v>9922</v>
      </c>
    </row>
    <row r="3163" spans="1:11">
      <c r="A3163" s="21" t="s">
        <v>2979</v>
      </c>
      <c r="B3163" s="21" t="s">
        <v>9923</v>
      </c>
      <c r="C3163" s="21" t="s">
        <v>8</v>
      </c>
      <c r="D3163" s="21" t="s">
        <v>1142</v>
      </c>
      <c r="E3163" s="21" t="s">
        <v>193</v>
      </c>
      <c r="F3163" s="5812">
        <v>5</v>
      </c>
      <c r="G3163" s="5813">
        <v>0.20833333333333334</v>
      </c>
      <c r="H3163" s="21" t="s">
        <v>54</v>
      </c>
      <c r="I3163" s="21" t="s">
        <v>11</v>
      </c>
      <c r="J3163" s="21" t="s">
        <v>9924</v>
      </c>
      <c r="K3163" s="5814" t="s">
        <v>9925</v>
      </c>
    </row>
    <row r="3164" spans="1:11">
      <c r="A3164" s="21" t="s">
        <v>103</v>
      </c>
      <c r="B3164" s="21" t="s">
        <v>1141</v>
      </c>
      <c r="C3164" s="21" t="s">
        <v>8</v>
      </c>
      <c r="D3164" s="21" t="s">
        <v>1142</v>
      </c>
      <c r="E3164" s="21" t="s">
        <v>9</v>
      </c>
      <c r="F3164" s="5812">
        <v>5</v>
      </c>
      <c r="G3164" s="5813">
        <v>0.20833333333333334</v>
      </c>
      <c r="H3164" s="21" t="s">
        <v>54</v>
      </c>
      <c r="I3164" s="21" t="s">
        <v>96</v>
      </c>
      <c r="J3164" s="21" t="s">
        <v>1143</v>
      </c>
      <c r="K3164" s="5814" t="s">
        <v>1144</v>
      </c>
    </row>
    <row r="3165" spans="1:11">
      <c r="A3165" s="21" t="s">
        <v>2300</v>
      </c>
      <c r="B3165" s="21" t="s">
        <v>9926</v>
      </c>
      <c r="C3165" s="21" t="s">
        <v>8</v>
      </c>
      <c r="D3165" s="21" t="s">
        <v>1142</v>
      </c>
      <c r="E3165" s="21" t="s">
        <v>9</v>
      </c>
      <c r="F3165" s="5812">
        <v>5</v>
      </c>
      <c r="G3165" s="5813">
        <v>0.20833333333333334</v>
      </c>
      <c r="H3165" s="21" t="s">
        <v>54</v>
      </c>
      <c r="I3165" s="21" t="s">
        <v>187</v>
      </c>
      <c r="J3165" s="21" t="s">
        <v>9927</v>
      </c>
      <c r="K3165" s="5814" t="s">
        <v>9928</v>
      </c>
    </row>
    <row r="3166" spans="1:11">
      <c r="A3166" s="21" t="s">
        <v>4249</v>
      </c>
      <c r="B3166" s="21" t="s">
        <v>9929</v>
      </c>
      <c r="C3166" s="21" t="s">
        <v>8</v>
      </c>
      <c r="D3166" s="21" t="s">
        <v>1142</v>
      </c>
      <c r="E3166" s="21" t="s">
        <v>9</v>
      </c>
      <c r="F3166" s="5812">
        <v>5</v>
      </c>
      <c r="G3166" s="5813">
        <v>0.20833333333333334</v>
      </c>
      <c r="H3166" s="21" t="s">
        <v>54</v>
      </c>
      <c r="I3166" s="21" t="s">
        <v>11</v>
      </c>
      <c r="J3166" s="21" t="s">
        <v>9930</v>
      </c>
      <c r="K3166" s="5814" t="s">
        <v>9931</v>
      </c>
    </row>
    <row r="3167" spans="1:11">
      <c r="A3167" s="21" t="s">
        <v>4321</v>
      </c>
      <c r="B3167" s="21" t="s">
        <v>9932</v>
      </c>
      <c r="C3167" s="21" t="s">
        <v>8</v>
      </c>
      <c r="D3167" s="21" t="s">
        <v>1142</v>
      </c>
      <c r="E3167" s="21" t="s">
        <v>9</v>
      </c>
      <c r="F3167" s="5812">
        <v>5</v>
      </c>
      <c r="G3167" s="5813">
        <v>0.20833333333333334</v>
      </c>
      <c r="H3167" s="21" t="s">
        <v>54</v>
      </c>
      <c r="I3167" s="21" t="s">
        <v>654</v>
      </c>
      <c r="J3167" s="21" t="s">
        <v>9933</v>
      </c>
      <c r="K3167" s="5814" t="s">
        <v>9934</v>
      </c>
    </row>
    <row r="3168" spans="1:11">
      <c r="A3168" s="21" t="s">
        <v>3541</v>
      </c>
      <c r="B3168" s="21" t="s">
        <v>9935</v>
      </c>
      <c r="C3168" s="21" t="s">
        <v>8</v>
      </c>
      <c r="D3168" s="21" t="s">
        <v>1142</v>
      </c>
      <c r="E3168" s="21" t="s">
        <v>9</v>
      </c>
      <c r="F3168" s="5812">
        <v>5</v>
      </c>
      <c r="G3168" s="5813">
        <v>0.20833333333333334</v>
      </c>
      <c r="H3168" s="21" t="s">
        <v>54</v>
      </c>
      <c r="I3168" s="21" t="s">
        <v>11</v>
      </c>
      <c r="J3168" s="21" t="s">
        <v>9936</v>
      </c>
      <c r="K3168" s="5814" t="s">
        <v>9937</v>
      </c>
    </row>
    <row r="3169" spans="1:11">
      <c r="A3169" s="21" t="s">
        <v>4379</v>
      </c>
      <c r="B3169" s="21" t="s">
        <v>9938</v>
      </c>
      <c r="C3169" s="21" t="s">
        <v>8</v>
      </c>
      <c r="D3169" s="21" t="s">
        <v>1142</v>
      </c>
      <c r="E3169" s="21" t="s">
        <v>9</v>
      </c>
      <c r="F3169" s="5812">
        <v>5</v>
      </c>
      <c r="G3169" s="5813">
        <v>0.20833333333333334</v>
      </c>
      <c r="H3169" s="21" t="s">
        <v>54</v>
      </c>
      <c r="I3169" s="21" t="s">
        <v>2297</v>
      </c>
      <c r="J3169" s="21" t="s">
        <v>9939</v>
      </c>
      <c r="K3169" s="5814" t="s">
        <v>9940</v>
      </c>
    </row>
    <row r="3170" spans="1:11">
      <c r="A3170" s="21" t="s">
        <v>5235</v>
      </c>
      <c r="B3170" s="21" t="s">
        <v>9941</v>
      </c>
      <c r="C3170" s="21" t="s">
        <v>8</v>
      </c>
      <c r="D3170" s="21" t="s">
        <v>1142</v>
      </c>
      <c r="E3170" s="21" t="s">
        <v>9</v>
      </c>
      <c r="F3170" s="5812">
        <v>5</v>
      </c>
      <c r="G3170" s="5813">
        <v>0.20833333333333334</v>
      </c>
      <c r="H3170" s="21" t="s">
        <v>54</v>
      </c>
      <c r="I3170" s="21" t="s">
        <v>2269</v>
      </c>
      <c r="J3170" s="21" t="s">
        <v>9942</v>
      </c>
      <c r="K3170" s="5814" t="s">
        <v>9943</v>
      </c>
    </row>
    <row r="3171" spans="1:11">
      <c r="A3171" s="21" t="s">
        <v>2579</v>
      </c>
      <c r="B3171" s="21" t="s">
        <v>9944</v>
      </c>
      <c r="C3171" s="21" t="s">
        <v>22</v>
      </c>
      <c r="D3171" s="21" t="s">
        <v>1142</v>
      </c>
      <c r="E3171" s="21" t="s">
        <v>46</v>
      </c>
      <c r="F3171" s="5812">
        <v>1</v>
      </c>
      <c r="G3171" s="5813">
        <v>2.9166666666666667E-2</v>
      </c>
      <c r="H3171" s="21" t="s">
        <v>54</v>
      </c>
      <c r="I3171" s="21" t="s">
        <v>2713</v>
      </c>
      <c r="J3171" s="21" t="s">
        <v>48</v>
      </c>
      <c r="K3171" s="5814" t="s">
        <v>9945</v>
      </c>
    </row>
    <row r="3172" spans="1:11">
      <c r="A3172" s="21" t="s">
        <v>2935</v>
      </c>
      <c r="B3172" s="21" t="s">
        <v>9946</v>
      </c>
      <c r="C3172" s="21" t="s">
        <v>22</v>
      </c>
      <c r="D3172" s="21" t="s">
        <v>1142</v>
      </c>
      <c r="E3172" s="21" t="s">
        <v>46</v>
      </c>
      <c r="F3172" s="5812">
        <v>1</v>
      </c>
      <c r="G3172" s="5813">
        <v>5.4166666666666669E-2</v>
      </c>
      <c r="H3172" s="21" t="s">
        <v>54</v>
      </c>
      <c r="I3172" s="21" t="s">
        <v>11</v>
      </c>
      <c r="J3172" s="21" t="s">
        <v>722</v>
      </c>
      <c r="K3172" s="5814" t="s">
        <v>9947</v>
      </c>
    </row>
    <row r="3173" spans="1:11">
      <c r="A3173" s="21" t="s">
        <v>3195</v>
      </c>
      <c r="B3173" s="21" t="s">
        <v>9948</v>
      </c>
      <c r="C3173" s="21" t="s">
        <v>22</v>
      </c>
      <c r="D3173" s="21" t="s">
        <v>1142</v>
      </c>
      <c r="E3173" s="21" t="s">
        <v>46</v>
      </c>
      <c r="F3173" s="5812">
        <v>1</v>
      </c>
      <c r="G3173" s="5813">
        <v>0.12708333333333333</v>
      </c>
      <c r="H3173" s="21" t="s">
        <v>54</v>
      </c>
      <c r="I3173" s="21" t="s">
        <v>2297</v>
      </c>
      <c r="J3173" s="21" t="s">
        <v>48</v>
      </c>
      <c r="K3173" s="5814" t="s">
        <v>9949</v>
      </c>
    </row>
    <row r="3174" spans="1:11">
      <c r="A3174" s="21" t="s">
        <v>3160</v>
      </c>
      <c r="B3174" s="21" t="s">
        <v>9950</v>
      </c>
      <c r="C3174" s="21" t="s">
        <v>22</v>
      </c>
      <c r="D3174" s="21" t="s">
        <v>1142</v>
      </c>
      <c r="E3174" s="21" t="s">
        <v>46</v>
      </c>
      <c r="F3174" s="5812">
        <v>2</v>
      </c>
      <c r="G3174" s="5813">
        <v>0.12361111111111112</v>
      </c>
      <c r="H3174" s="21" t="s">
        <v>54</v>
      </c>
      <c r="I3174" s="21" t="s">
        <v>47</v>
      </c>
      <c r="J3174" s="21" t="s">
        <v>774</v>
      </c>
      <c r="K3174" s="5814" t="s">
        <v>9951</v>
      </c>
    </row>
    <row r="3175" spans="1:11">
      <c r="A3175" s="21" t="s">
        <v>3098</v>
      </c>
      <c r="B3175" s="21" t="s">
        <v>9952</v>
      </c>
      <c r="C3175" s="21" t="s">
        <v>8</v>
      </c>
      <c r="D3175" s="21" t="s">
        <v>1142</v>
      </c>
      <c r="E3175" s="21" t="s">
        <v>46</v>
      </c>
      <c r="F3175" s="5812">
        <v>3</v>
      </c>
      <c r="G3175" s="5813">
        <v>0.18194444444444444</v>
      </c>
      <c r="H3175" s="21" t="s">
        <v>54</v>
      </c>
      <c r="I3175" s="21" t="s">
        <v>47</v>
      </c>
      <c r="J3175" s="21" t="s">
        <v>97</v>
      </c>
      <c r="K3175" s="5814" t="s">
        <v>9953</v>
      </c>
    </row>
    <row r="3176" spans="1:11">
      <c r="A3176" s="21" t="s">
        <v>2372</v>
      </c>
      <c r="B3176" s="21" t="s">
        <v>9954</v>
      </c>
      <c r="C3176" s="21" t="s">
        <v>22</v>
      </c>
      <c r="D3176" s="21" t="s">
        <v>1142</v>
      </c>
      <c r="E3176" s="21" t="s">
        <v>61</v>
      </c>
      <c r="F3176" s="5812">
        <v>2</v>
      </c>
      <c r="G3176" s="5813">
        <v>4.5138888888888888E-2</v>
      </c>
      <c r="H3176" s="21" t="s">
        <v>54</v>
      </c>
      <c r="I3176" s="21" t="s">
        <v>11</v>
      </c>
      <c r="J3176" s="21" t="s">
        <v>9955</v>
      </c>
      <c r="K3176" s="5814" t="s">
        <v>9956</v>
      </c>
    </row>
    <row r="3177" spans="1:11">
      <c r="A3177" s="21" t="s">
        <v>2878</v>
      </c>
      <c r="B3177" s="21" t="s">
        <v>9957</v>
      </c>
      <c r="C3177" s="21" t="s">
        <v>8</v>
      </c>
      <c r="D3177" s="21" t="s">
        <v>9958</v>
      </c>
      <c r="E3177" s="21" t="s">
        <v>61</v>
      </c>
      <c r="F3177" s="5812">
        <v>2</v>
      </c>
      <c r="G3177" s="5813">
        <v>5.486111111111111E-2</v>
      </c>
      <c r="H3177" s="21" t="s">
        <v>2081</v>
      </c>
      <c r="I3177" s="21" t="s">
        <v>55</v>
      </c>
      <c r="J3177" s="21" t="s">
        <v>836</v>
      </c>
      <c r="K3177" s="5814" t="s">
        <v>9959</v>
      </c>
    </row>
    <row r="3178" spans="1:11">
      <c r="A3178" s="21" t="s">
        <v>4423</v>
      </c>
      <c r="B3178" s="21" t="s">
        <v>9960</v>
      </c>
      <c r="C3178" s="21" t="s">
        <v>22</v>
      </c>
      <c r="D3178" s="21" t="s">
        <v>9961</v>
      </c>
      <c r="E3178" s="21" t="s">
        <v>9</v>
      </c>
      <c r="F3178" s="5812">
        <v>3</v>
      </c>
      <c r="G3178" s="5813">
        <v>0.20833333333333334</v>
      </c>
      <c r="H3178" s="21" t="s">
        <v>2081</v>
      </c>
      <c r="I3178" s="21" t="s">
        <v>55</v>
      </c>
      <c r="J3178" s="21" t="s">
        <v>9962</v>
      </c>
      <c r="K3178" s="5814" t="s">
        <v>9963</v>
      </c>
    </row>
    <row r="3179" spans="1:11">
      <c r="A3179" s="21" t="s">
        <v>4379</v>
      </c>
      <c r="B3179" s="21" t="s">
        <v>9964</v>
      </c>
      <c r="C3179" s="21" t="s">
        <v>8</v>
      </c>
      <c r="D3179" s="21" t="s">
        <v>9965</v>
      </c>
      <c r="E3179" s="21" t="s">
        <v>9</v>
      </c>
      <c r="F3179" s="5812">
        <v>3</v>
      </c>
      <c r="G3179" s="5813">
        <v>0.20833333333333334</v>
      </c>
      <c r="H3179" s="21" t="s">
        <v>2081</v>
      </c>
      <c r="I3179" s="21" t="s">
        <v>55</v>
      </c>
      <c r="J3179" s="21" t="s">
        <v>9966</v>
      </c>
      <c r="K3179" s="5814" t="s">
        <v>9967</v>
      </c>
    </row>
    <row r="3180" spans="1:11">
      <c r="A3180" s="21" t="s">
        <v>4379</v>
      </c>
      <c r="B3180" s="21" t="s">
        <v>9968</v>
      </c>
      <c r="C3180" s="21" t="s">
        <v>8</v>
      </c>
      <c r="D3180" s="21" t="s">
        <v>9969</v>
      </c>
      <c r="E3180" s="21" t="s">
        <v>61</v>
      </c>
      <c r="F3180" s="5812">
        <v>1</v>
      </c>
      <c r="G3180" s="5813">
        <v>0.15486111111111112</v>
      </c>
      <c r="H3180" s="21" t="s">
        <v>2081</v>
      </c>
      <c r="I3180" s="21" t="s">
        <v>2297</v>
      </c>
      <c r="J3180" s="21" t="s">
        <v>782</v>
      </c>
      <c r="K3180" s="5814" t="s">
        <v>9970</v>
      </c>
    </row>
    <row r="3181" spans="1:11">
      <c r="A3181" s="21" t="s">
        <v>4313</v>
      </c>
      <c r="B3181" s="21" t="s">
        <v>9971</v>
      </c>
      <c r="C3181" s="21" t="s">
        <v>22</v>
      </c>
      <c r="D3181" s="21" t="s">
        <v>9972</v>
      </c>
      <c r="E3181" s="21" t="s">
        <v>61</v>
      </c>
      <c r="F3181" s="5812">
        <v>2</v>
      </c>
      <c r="G3181" s="5813">
        <v>2.9861111111111113E-2</v>
      </c>
      <c r="H3181" s="21" t="s">
        <v>2081</v>
      </c>
      <c r="I3181" s="21" t="s">
        <v>96</v>
      </c>
      <c r="J3181" s="21" t="s">
        <v>67</v>
      </c>
      <c r="K3181" s="5814" t="s">
        <v>9973</v>
      </c>
    </row>
    <row r="3182" spans="1:11">
      <c r="A3182" s="21" t="s">
        <v>3647</v>
      </c>
      <c r="B3182" s="21" t="s">
        <v>9974</v>
      </c>
      <c r="C3182" s="21" t="s">
        <v>22</v>
      </c>
      <c r="D3182" s="21" t="s">
        <v>9975</v>
      </c>
      <c r="E3182" s="21" t="s">
        <v>9</v>
      </c>
      <c r="F3182" s="5812">
        <v>3</v>
      </c>
      <c r="G3182" s="5813">
        <v>0.20833333333333334</v>
      </c>
      <c r="H3182" s="21" t="s">
        <v>2081</v>
      </c>
      <c r="I3182" s="21" t="s">
        <v>55</v>
      </c>
      <c r="J3182" s="21" t="s">
        <v>9976</v>
      </c>
      <c r="K3182" s="5814" t="s">
        <v>9977</v>
      </c>
    </row>
    <row r="3183" spans="1:11">
      <c r="A3183" s="21" t="s">
        <v>3647</v>
      </c>
      <c r="B3183" s="21" t="s">
        <v>9978</v>
      </c>
      <c r="C3183" s="21" t="s">
        <v>8</v>
      </c>
      <c r="D3183" s="21" t="s">
        <v>9979</v>
      </c>
      <c r="E3183" s="21" t="s">
        <v>193</v>
      </c>
      <c r="F3183" s="5812">
        <v>3</v>
      </c>
      <c r="G3183" s="5813">
        <v>0.20833333333333334</v>
      </c>
      <c r="H3183" s="21" t="s">
        <v>2081</v>
      </c>
      <c r="I3183" s="21" t="s">
        <v>47</v>
      </c>
      <c r="J3183" s="21" t="s">
        <v>9980</v>
      </c>
      <c r="K3183" s="5814" t="s">
        <v>9981</v>
      </c>
    </row>
    <row r="3184" spans="1:11">
      <c r="A3184" s="21" t="s">
        <v>3002</v>
      </c>
      <c r="B3184" s="21" t="s">
        <v>9982</v>
      </c>
      <c r="C3184" s="21" t="s">
        <v>8</v>
      </c>
      <c r="D3184" s="21" t="s">
        <v>9983</v>
      </c>
      <c r="E3184" s="21" t="s">
        <v>61</v>
      </c>
      <c r="F3184" s="5812">
        <v>1</v>
      </c>
      <c r="G3184" s="5813">
        <v>0.15</v>
      </c>
      <c r="H3184" s="21" t="s">
        <v>2081</v>
      </c>
      <c r="I3184" s="21" t="s">
        <v>39</v>
      </c>
      <c r="J3184" s="21" t="s">
        <v>9984</v>
      </c>
      <c r="K3184" s="5814" t="s">
        <v>9985</v>
      </c>
    </row>
    <row r="3185" spans="1:11">
      <c r="A3185" s="21" t="s">
        <v>3002</v>
      </c>
      <c r="B3185" s="21" t="s">
        <v>1302</v>
      </c>
      <c r="C3185" s="21" t="s">
        <v>22</v>
      </c>
      <c r="D3185" s="21" t="s">
        <v>9986</v>
      </c>
      <c r="E3185" s="21" t="s">
        <v>61</v>
      </c>
      <c r="F3185" s="5812">
        <v>2</v>
      </c>
      <c r="G3185" s="5813">
        <v>9.0972222222222218E-2</v>
      </c>
      <c r="H3185" s="21" t="s">
        <v>2081</v>
      </c>
      <c r="I3185" s="21" t="s">
        <v>2872</v>
      </c>
      <c r="J3185" s="21" t="s">
        <v>67</v>
      </c>
      <c r="K3185" s="5814" t="s">
        <v>9987</v>
      </c>
    </row>
    <row r="3186" spans="1:11">
      <c r="A3186" s="21" t="s">
        <v>2863</v>
      </c>
      <c r="B3186" s="21" t="s">
        <v>9988</v>
      </c>
      <c r="C3186" s="21" t="s">
        <v>8</v>
      </c>
      <c r="D3186" s="21" t="s">
        <v>9989</v>
      </c>
      <c r="E3186" s="21" t="s">
        <v>9</v>
      </c>
      <c r="F3186" s="5812">
        <v>3</v>
      </c>
      <c r="G3186" s="5813">
        <v>0.20833333333333334</v>
      </c>
      <c r="H3186" s="21" t="s">
        <v>2081</v>
      </c>
      <c r="I3186" s="21" t="s">
        <v>233</v>
      </c>
      <c r="J3186" s="21" t="s">
        <v>9990</v>
      </c>
      <c r="K3186" s="5814" t="s">
        <v>9991</v>
      </c>
    </row>
    <row r="3187" spans="1:11">
      <c r="A3187" s="21" t="s">
        <v>2863</v>
      </c>
      <c r="B3187" s="21" t="s">
        <v>9992</v>
      </c>
      <c r="C3187" s="21" t="s">
        <v>8</v>
      </c>
      <c r="D3187" s="21" t="s">
        <v>9993</v>
      </c>
      <c r="E3187" s="21" t="s">
        <v>61</v>
      </c>
      <c r="F3187" s="5812">
        <v>3</v>
      </c>
      <c r="G3187" s="5813">
        <v>0.1986111111111111</v>
      </c>
      <c r="H3187" s="21" t="s">
        <v>2081</v>
      </c>
      <c r="I3187" s="21" t="s">
        <v>55</v>
      </c>
      <c r="J3187" s="21" t="s">
        <v>67</v>
      </c>
      <c r="K3187" s="5814" t="s">
        <v>9994</v>
      </c>
    </row>
    <row r="3188" spans="1:11">
      <c r="A3188" s="21" t="s">
        <v>2854</v>
      </c>
      <c r="B3188" s="21" t="s">
        <v>9995</v>
      </c>
      <c r="C3188" s="21" t="s">
        <v>22</v>
      </c>
      <c r="D3188" s="21" t="s">
        <v>9996</v>
      </c>
      <c r="E3188" s="21" t="s">
        <v>9</v>
      </c>
      <c r="F3188" s="5812">
        <v>3</v>
      </c>
      <c r="G3188" s="5813">
        <v>0.20833333333333334</v>
      </c>
      <c r="H3188" s="21" t="s">
        <v>2081</v>
      </c>
      <c r="I3188" s="21" t="s">
        <v>2247</v>
      </c>
      <c r="J3188" s="21" t="s">
        <v>9997</v>
      </c>
      <c r="K3188" s="5814" t="s">
        <v>9998</v>
      </c>
    </row>
    <row r="3189" spans="1:11">
      <c r="A3189" s="21" t="s">
        <v>2854</v>
      </c>
      <c r="B3189" s="21" t="s">
        <v>9999</v>
      </c>
      <c r="C3189" s="21" t="s">
        <v>8</v>
      </c>
      <c r="D3189" s="21" t="s">
        <v>10000</v>
      </c>
      <c r="E3189" s="21" t="s">
        <v>193</v>
      </c>
      <c r="F3189" s="5812">
        <v>3</v>
      </c>
      <c r="G3189" s="5813">
        <v>0.20833333333333334</v>
      </c>
      <c r="H3189" s="21" t="s">
        <v>2081</v>
      </c>
      <c r="I3189" s="21" t="s">
        <v>263</v>
      </c>
      <c r="J3189" s="21" t="s">
        <v>10001</v>
      </c>
      <c r="K3189" s="5814" t="s">
        <v>10002</v>
      </c>
    </row>
    <row r="3190" spans="1:11">
      <c r="A3190" s="21" t="s">
        <v>2245</v>
      </c>
      <c r="B3190" s="21" t="s">
        <v>10003</v>
      </c>
      <c r="C3190" s="21" t="s">
        <v>8</v>
      </c>
      <c r="D3190" s="21" t="s">
        <v>10004</v>
      </c>
      <c r="E3190" s="21" t="s">
        <v>46</v>
      </c>
      <c r="F3190" s="5812">
        <v>2</v>
      </c>
      <c r="G3190" s="5813">
        <v>7.9861111111111105E-2</v>
      </c>
      <c r="H3190" s="21" t="s">
        <v>2081</v>
      </c>
      <c r="I3190" s="21" t="s">
        <v>11</v>
      </c>
      <c r="J3190" s="21" t="s">
        <v>4734</v>
      </c>
      <c r="K3190" s="5814" t="s">
        <v>10005</v>
      </c>
    </row>
    <row r="3191" spans="1:11">
      <c r="A3191" s="21" t="s">
        <v>2800</v>
      </c>
      <c r="B3191" s="21" t="s">
        <v>10006</v>
      </c>
      <c r="C3191" s="21" t="s">
        <v>179</v>
      </c>
      <c r="D3191" s="21" t="s">
        <v>1147</v>
      </c>
      <c r="E3191" s="21" t="s">
        <v>180</v>
      </c>
      <c r="F3191" s="5812">
        <v>1</v>
      </c>
      <c r="G3191" s="5813">
        <v>0.14791666666666667</v>
      </c>
      <c r="H3191" s="21" t="s">
        <v>10</v>
      </c>
      <c r="I3191" s="21" t="s">
        <v>226</v>
      </c>
      <c r="J3191" s="21" t="s">
        <v>10007</v>
      </c>
      <c r="K3191" s="5814" t="s">
        <v>10008</v>
      </c>
    </row>
    <row r="3192" spans="1:11">
      <c r="A3192" s="21" t="s">
        <v>3134</v>
      </c>
      <c r="B3192" s="21" t="s">
        <v>10009</v>
      </c>
      <c r="C3192" s="21" t="s">
        <v>179</v>
      </c>
      <c r="D3192" s="21" t="s">
        <v>1147</v>
      </c>
      <c r="E3192" s="21" t="s">
        <v>180</v>
      </c>
      <c r="F3192" s="5812">
        <v>2</v>
      </c>
      <c r="G3192" s="5813">
        <v>1.2500000000000001E-2</v>
      </c>
      <c r="H3192" s="21" t="s">
        <v>54</v>
      </c>
      <c r="I3192" s="21" t="s">
        <v>55</v>
      </c>
      <c r="J3192" s="21" t="s">
        <v>10010</v>
      </c>
      <c r="K3192" s="5814" t="s">
        <v>10011</v>
      </c>
    </row>
    <row r="3193" spans="1:11">
      <c r="A3193" s="21" t="s">
        <v>20</v>
      </c>
      <c r="B3193" s="21" t="s">
        <v>1208</v>
      </c>
      <c r="C3193" s="21" t="s">
        <v>179</v>
      </c>
      <c r="D3193" s="21" t="s">
        <v>1147</v>
      </c>
      <c r="E3193" s="21" t="s">
        <v>180</v>
      </c>
      <c r="F3193" s="5812">
        <v>2</v>
      </c>
      <c r="G3193" s="5813">
        <v>4.1666666666666664E-2</v>
      </c>
      <c r="H3193" s="21" t="s">
        <v>10</v>
      </c>
      <c r="I3193" s="21" t="s">
        <v>89</v>
      </c>
      <c r="J3193" s="21" t="s">
        <v>1209</v>
      </c>
      <c r="K3193" s="5814" t="s">
        <v>1210</v>
      </c>
    </row>
    <row r="3194" spans="1:11">
      <c r="A3194" s="21" t="s">
        <v>231</v>
      </c>
      <c r="B3194" s="21" t="s">
        <v>1152</v>
      </c>
      <c r="C3194" s="21" t="s">
        <v>709</v>
      </c>
      <c r="D3194" s="21" t="s">
        <v>1147</v>
      </c>
      <c r="E3194" s="21" t="s">
        <v>710</v>
      </c>
      <c r="F3194" s="5812">
        <v>3</v>
      </c>
      <c r="G3194" s="5813">
        <v>0.20833333333333334</v>
      </c>
      <c r="H3194" s="21" t="s">
        <v>10</v>
      </c>
      <c r="I3194" s="21" t="s">
        <v>788</v>
      </c>
      <c r="J3194" s="21" t="s">
        <v>1153</v>
      </c>
      <c r="K3194" s="5814" t="s">
        <v>10012</v>
      </c>
    </row>
    <row r="3195" spans="1:11">
      <c r="A3195" s="21" t="s">
        <v>3643</v>
      </c>
      <c r="B3195" s="21" t="s">
        <v>10013</v>
      </c>
      <c r="C3195" s="21" t="s">
        <v>22</v>
      </c>
      <c r="D3195" s="21" t="s">
        <v>1147</v>
      </c>
      <c r="E3195" s="21" t="s">
        <v>710</v>
      </c>
      <c r="F3195" s="5812">
        <v>3</v>
      </c>
      <c r="G3195" s="5813">
        <v>0.20833333333333334</v>
      </c>
      <c r="H3195" s="21" t="s">
        <v>10</v>
      </c>
      <c r="I3195" s="21" t="s">
        <v>11</v>
      </c>
      <c r="J3195" s="21" t="s">
        <v>10014</v>
      </c>
      <c r="K3195" s="5814" t="s">
        <v>10015</v>
      </c>
    </row>
    <row r="3196" spans="1:11">
      <c r="A3196" s="21" t="s">
        <v>2600</v>
      </c>
      <c r="B3196" s="21" t="s">
        <v>10016</v>
      </c>
      <c r="C3196" s="21" t="s">
        <v>8</v>
      </c>
      <c r="D3196" s="21" t="s">
        <v>1147</v>
      </c>
      <c r="E3196" s="21" t="s">
        <v>710</v>
      </c>
      <c r="F3196" s="5812">
        <v>3</v>
      </c>
      <c r="G3196" s="5813">
        <v>0.20833333333333334</v>
      </c>
      <c r="H3196" s="21" t="s">
        <v>10</v>
      </c>
      <c r="I3196" s="21" t="s">
        <v>6604</v>
      </c>
      <c r="J3196" s="21" t="s">
        <v>10017</v>
      </c>
      <c r="K3196" s="5814" t="s">
        <v>10018</v>
      </c>
    </row>
    <row r="3197" spans="1:11">
      <c r="A3197" s="21" t="s">
        <v>2626</v>
      </c>
      <c r="B3197" s="21" t="s">
        <v>10019</v>
      </c>
      <c r="C3197" s="21" t="s">
        <v>8</v>
      </c>
      <c r="D3197" s="21" t="s">
        <v>1147</v>
      </c>
      <c r="E3197" s="21" t="s">
        <v>710</v>
      </c>
      <c r="F3197" s="5812">
        <v>3</v>
      </c>
      <c r="G3197" s="5813">
        <v>0.20833333333333334</v>
      </c>
      <c r="H3197" s="21" t="s">
        <v>10</v>
      </c>
      <c r="I3197" s="21" t="s">
        <v>2171</v>
      </c>
      <c r="J3197" s="21" t="s">
        <v>10020</v>
      </c>
      <c r="K3197" s="5814" t="s">
        <v>10021</v>
      </c>
    </row>
    <row r="3198" spans="1:11">
      <c r="A3198" s="21" t="s">
        <v>2831</v>
      </c>
      <c r="B3198" s="21" t="s">
        <v>10022</v>
      </c>
      <c r="C3198" s="21" t="s">
        <v>709</v>
      </c>
      <c r="D3198" s="21" t="s">
        <v>1147</v>
      </c>
      <c r="E3198" s="21" t="s">
        <v>710</v>
      </c>
      <c r="F3198" s="5812">
        <v>3</v>
      </c>
      <c r="G3198" s="5813">
        <v>0.20833333333333334</v>
      </c>
      <c r="H3198" s="21" t="s">
        <v>10</v>
      </c>
      <c r="I3198" s="21" t="s">
        <v>2171</v>
      </c>
      <c r="J3198" s="21" t="s">
        <v>10023</v>
      </c>
      <c r="K3198" s="5814" t="s">
        <v>10024</v>
      </c>
    </row>
    <row r="3199" spans="1:11">
      <c r="A3199" s="21" t="s">
        <v>4430</v>
      </c>
      <c r="B3199" s="21" t="s">
        <v>10025</v>
      </c>
      <c r="C3199" s="21" t="s">
        <v>709</v>
      </c>
      <c r="D3199" s="21" t="s">
        <v>1147</v>
      </c>
      <c r="E3199" s="21" t="s">
        <v>710</v>
      </c>
      <c r="F3199" s="5812">
        <v>3</v>
      </c>
      <c r="G3199" s="5813">
        <v>0.20833333333333334</v>
      </c>
      <c r="H3199" s="21" t="s">
        <v>10</v>
      </c>
      <c r="I3199" s="21" t="s">
        <v>47</v>
      </c>
      <c r="J3199" s="21" t="s">
        <v>10026</v>
      </c>
      <c r="K3199" s="5814" t="s">
        <v>10027</v>
      </c>
    </row>
    <row r="3200" spans="1:11">
      <c r="A3200" s="21" t="s">
        <v>2932</v>
      </c>
      <c r="B3200" s="21" t="s">
        <v>10028</v>
      </c>
      <c r="C3200" s="21" t="s">
        <v>22</v>
      </c>
      <c r="D3200" s="21" t="s">
        <v>1147</v>
      </c>
      <c r="E3200" s="21" t="s">
        <v>710</v>
      </c>
      <c r="F3200" s="5812">
        <v>5</v>
      </c>
      <c r="G3200" s="5813">
        <v>0.20833333333333334</v>
      </c>
      <c r="H3200" s="21" t="s">
        <v>54</v>
      </c>
      <c r="I3200" s="21" t="s">
        <v>2297</v>
      </c>
      <c r="J3200" s="21" t="s">
        <v>10029</v>
      </c>
      <c r="K3200" s="5814" t="s">
        <v>10030</v>
      </c>
    </row>
    <row r="3201" spans="1:11">
      <c r="A3201" s="21" t="s">
        <v>115</v>
      </c>
      <c r="B3201" s="21" t="s">
        <v>1223</v>
      </c>
      <c r="C3201" s="21" t="s">
        <v>8</v>
      </c>
      <c r="D3201" s="21" t="s">
        <v>1147</v>
      </c>
      <c r="E3201" s="21" t="s">
        <v>193</v>
      </c>
      <c r="F3201" s="5812">
        <v>3</v>
      </c>
      <c r="G3201" s="5813">
        <v>0.20833333333333334</v>
      </c>
      <c r="H3201" s="21" t="s">
        <v>10</v>
      </c>
      <c r="I3201" s="21" t="s">
        <v>11</v>
      </c>
      <c r="J3201" s="21" t="s">
        <v>1224</v>
      </c>
      <c r="K3201" s="5814" t="s">
        <v>1225</v>
      </c>
    </row>
    <row r="3202" spans="1:11">
      <c r="A3202" s="21" t="s">
        <v>166</v>
      </c>
      <c r="B3202" s="21" t="s">
        <v>1240</v>
      </c>
      <c r="C3202" s="21" t="s">
        <v>22</v>
      </c>
      <c r="D3202" s="21" t="s">
        <v>1147</v>
      </c>
      <c r="E3202" s="21" t="s">
        <v>193</v>
      </c>
      <c r="F3202" s="5812">
        <v>3</v>
      </c>
      <c r="G3202" s="5813">
        <v>0.20833333333333334</v>
      </c>
      <c r="H3202" s="21" t="s">
        <v>10</v>
      </c>
      <c r="I3202" s="21" t="s">
        <v>615</v>
      </c>
      <c r="J3202" s="21" t="s">
        <v>1241</v>
      </c>
      <c r="K3202" s="5814" t="s">
        <v>1242</v>
      </c>
    </row>
    <row r="3203" spans="1:11">
      <c r="A3203" s="21" t="s">
        <v>177</v>
      </c>
      <c r="B3203" s="21" t="s">
        <v>1170</v>
      </c>
      <c r="C3203" s="21" t="s">
        <v>8</v>
      </c>
      <c r="D3203" s="21" t="s">
        <v>1147</v>
      </c>
      <c r="E3203" s="21" t="s">
        <v>193</v>
      </c>
      <c r="F3203" s="5812">
        <v>3</v>
      </c>
      <c r="G3203" s="5813">
        <v>0.20833333333333334</v>
      </c>
      <c r="H3203" s="21" t="s">
        <v>10</v>
      </c>
      <c r="I3203" s="21" t="s">
        <v>23</v>
      </c>
      <c r="J3203" s="21" t="s">
        <v>1171</v>
      </c>
      <c r="K3203" s="5814" t="s">
        <v>1172</v>
      </c>
    </row>
    <row r="3204" spans="1:11">
      <c r="A3204" s="21" t="s">
        <v>2941</v>
      </c>
      <c r="B3204" s="21" t="s">
        <v>10031</v>
      </c>
      <c r="C3204" s="21" t="s">
        <v>22</v>
      </c>
      <c r="D3204" s="21" t="s">
        <v>1147</v>
      </c>
      <c r="E3204" s="21" t="s">
        <v>193</v>
      </c>
      <c r="F3204" s="5812">
        <v>3</v>
      </c>
      <c r="G3204" s="5813">
        <v>0.20833333333333334</v>
      </c>
      <c r="H3204" s="21" t="s">
        <v>10</v>
      </c>
      <c r="I3204" s="21" t="s">
        <v>96</v>
      </c>
      <c r="J3204" s="21" t="s">
        <v>10032</v>
      </c>
      <c r="K3204" s="5814" t="s">
        <v>10033</v>
      </c>
    </row>
    <row r="3205" spans="1:11">
      <c r="A3205" s="21" t="s">
        <v>3855</v>
      </c>
      <c r="B3205" s="21" t="s">
        <v>10034</v>
      </c>
      <c r="C3205" s="21" t="s">
        <v>8</v>
      </c>
      <c r="D3205" s="21" t="s">
        <v>1147</v>
      </c>
      <c r="E3205" s="21" t="s">
        <v>193</v>
      </c>
      <c r="F3205" s="5812">
        <v>3</v>
      </c>
      <c r="G3205" s="5813">
        <v>0.20833333333333334</v>
      </c>
      <c r="H3205" s="21" t="s">
        <v>10</v>
      </c>
      <c r="I3205" s="21" t="s">
        <v>39</v>
      </c>
      <c r="J3205" s="21" t="s">
        <v>10035</v>
      </c>
      <c r="K3205" s="5814" t="s">
        <v>10036</v>
      </c>
    </row>
    <row r="3206" spans="1:11">
      <c r="A3206" s="21" t="s">
        <v>3664</v>
      </c>
      <c r="B3206" s="21" t="s">
        <v>10037</v>
      </c>
      <c r="C3206" s="21" t="s">
        <v>8</v>
      </c>
      <c r="D3206" s="21" t="s">
        <v>1147</v>
      </c>
      <c r="E3206" s="21" t="s">
        <v>193</v>
      </c>
      <c r="F3206" s="5812">
        <v>3</v>
      </c>
      <c r="G3206" s="5813">
        <v>0.20833333333333334</v>
      </c>
      <c r="H3206" s="21" t="s">
        <v>10</v>
      </c>
      <c r="I3206" s="21" t="s">
        <v>226</v>
      </c>
      <c r="J3206" s="21" t="s">
        <v>10038</v>
      </c>
      <c r="K3206" s="5814" t="s">
        <v>10039</v>
      </c>
    </row>
    <row r="3207" spans="1:11">
      <c r="A3207" s="21" t="s">
        <v>2327</v>
      </c>
      <c r="B3207" s="21" t="s">
        <v>10040</v>
      </c>
      <c r="C3207" s="21" t="s">
        <v>22</v>
      </c>
      <c r="D3207" s="21" t="s">
        <v>1147</v>
      </c>
      <c r="E3207" s="21" t="s">
        <v>193</v>
      </c>
      <c r="F3207" s="5812">
        <v>3</v>
      </c>
      <c r="G3207" s="5813">
        <v>0.20833333333333334</v>
      </c>
      <c r="H3207" s="21" t="s">
        <v>10</v>
      </c>
      <c r="I3207" s="21" t="s">
        <v>226</v>
      </c>
      <c r="J3207" s="21" t="s">
        <v>10041</v>
      </c>
      <c r="K3207" s="5814" t="s">
        <v>10042</v>
      </c>
    </row>
    <row r="3208" spans="1:11">
      <c r="A3208" s="21" t="s">
        <v>3872</v>
      </c>
      <c r="B3208" s="21" t="s">
        <v>10043</v>
      </c>
      <c r="C3208" s="21" t="s">
        <v>8</v>
      </c>
      <c r="D3208" s="21" t="s">
        <v>1147</v>
      </c>
      <c r="E3208" s="21" t="s">
        <v>193</v>
      </c>
      <c r="F3208" s="5812">
        <v>3</v>
      </c>
      <c r="G3208" s="5813">
        <v>0.20833333333333334</v>
      </c>
      <c r="H3208" s="21" t="s">
        <v>10</v>
      </c>
      <c r="I3208" s="21" t="s">
        <v>11</v>
      </c>
      <c r="J3208" s="21" t="s">
        <v>10044</v>
      </c>
      <c r="K3208" s="5814" t="s">
        <v>10045</v>
      </c>
    </row>
    <row r="3209" spans="1:11">
      <c r="A3209" s="21" t="s">
        <v>3039</v>
      </c>
      <c r="B3209" s="21" t="s">
        <v>10046</v>
      </c>
      <c r="C3209" s="21" t="s">
        <v>8</v>
      </c>
      <c r="D3209" s="21" t="s">
        <v>1147</v>
      </c>
      <c r="E3209" s="21" t="s">
        <v>193</v>
      </c>
      <c r="F3209" s="5812">
        <v>3</v>
      </c>
      <c r="G3209" s="5813">
        <v>0.20833333333333334</v>
      </c>
      <c r="H3209" s="21" t="s">
        <v>10</v>
      </c>
      <c r="I3209" s="21" t="s">
        <v>47</v>
      </c>
      <c r="J3209" s="21" t="s">
        <v>10047</v>
      </c>
      <c r="K3209" s="5814" t="s">
        <v>10048</v>
      </c>
    </row>
    <row r="3210" spans="1:11">
      <c r="A3210" s="21" t="s">
        <v>2284</v>
      </c>
      <c r="B3210" s="21" t="s">
        <v>10049</v>
      </c>
      <c r="C3210" s="21" t="s">
        <v>8</v>
      </c>
      <c r="D3210" s="21" t="s">
        <v>1147</v>
      </c>
      <c r="E3210" s="21" t="s">
        <v>193</v>
      </c>
      <c r="F3210" s="5812">
        <v>3</v>
      </c>
      <c r="G3210" s="5813">
        <v>0.20833333333333334</v>
      </c>
      <c r="H3210" s="21" t="s">
        <v>10</v>
      </c>
      <c r="I3210" s="21" t="s">
        <v>73</v>
      </c>
      <c r="J3210" s="21" t="s">
        <v>10050</v>
      </c>
      <c r="K3210" s="5814" t="s">
        <v>10051</v>
      </c>
    </row>
    <row r="3211" spans="1:11">
      <c r="A3211" s="21" t="s">
        <v>2354</v>
      </c>
      <c r="B3211" s="21" t="s">
        <v>10052</v>
      </c>
      <c r="C3211" s="21" t="s">
        <v>22</v>
      </c>
      <c r="D3211" s="21" t="s">
        <v>1147</v>
      </c>
      <c r="E3211" s="21" t="s">
        <v>193</v>
      </c>
      <c r="F3211" s="5812">
        <v>3</v>
      </c>
      <c r="G3211" s="5813">
        <v>0.20833333333333334</v>
      </c>
      <c r="H3211" s="21" t="s">
        <v>10</v>
      </c>
      <c r="I3211" s="21" t="s">
        <v>55</v>
      </c>
      <c r="J3211" s="21" t="s">
        <v>10053</v>
      </c>
      <c r="K3211" s="5814" t="s">
        <v>10054</v>
      </c>
    </row>
    <row r="3212" spans="1:11">
      <c r="A3212" s="21" t="s">
        <v>3338</v>
      </c>
      <c r="B3212" s="21" t="s">
        <v>10055</v>
      </c>
      <c r="C3212" s="21" t="s">
        <v>22</v>
      </c>
      <c r="D3212" s="21" t="s">
        <v>1147</v>
      </c>
      <c r="E3212" s="21" t="s">
        <v>193</v>
      </c>
      <c r="F3212" s="5812">
        <v>3</v>
      </c>
      <c r="G3212" s="5813">
        <v>0.20833333333333334</v>
      </c>
      <c r="H3212" s="21" t="s">
        <v>10</v>
      </c>
      <c r="I3212" s="21" t="s">
        <v>226</v>
      </c>
      <c r="J3212" s="21" t="s">
        <v>10056</v>
      </c>
      <c r="K3212" s="5814" t="s">
        <v>10057</v>
      </c>
    </row>
    <row r="3213" spans="1:11">
      <c r="A3213" s="21" t="s">
        <v>2391</v>
      </c>
      <c r="B3213" s="21" t="s">
        <v>10058</v>
      </c>
      <c r="C3213" s="21" t="s">
        <v>22</v>
      </c>
      <c r="D3213" s="21" t="s">
        <v>1147</v>
      </c>
      <c r="E3213" s="21" t="s">
        <v>193</v>
      </c>
      <c r="F3213" s="5812">
        <v>3</v>
      </c>
      <c r="G3213" s="5813">
        <v>0.20833333333333334</v>
      </c>
      <c r="H3213" s="21" t="s">
        <v>10</v>
      </c>
      <c r="I3213" s="21" t="s">
        <v>89</v>
      </c>
      <c r="J3213" s="21" t="s">
        <v>10059</v>
      </c>
      <c r="K3213" s="5814" t="s">
        <v>10060</v>
      </c>
    </row>
    <row r="3214" spans="1:11">
      <c r="A3214" s="21" t="s">
        <v>2424</v>
      </c>
      <c r="B3214" s="21" t="s">
        <v>10061</v>
      </c>
      <c r="C3214" s="21" t="s">
        <v>22</v>
      </c>
      <c r="D3214" s="21" t="s">
        <v>1147</v>
      </c>
      <c r="E3214" s="21" t="s">
        <v>193</v>
      </c>
      <c r="F3214" s="5812">
        <v>3</v>
      </c>
      <c r="G3214" s="5813">
        <v>0.20833333333333334</v>
      </c>
      <c r="H3214" s="21" t="s">
        <v>10</v>
      </c>
      <c r="I3214" s="21" t="s">
        <v>55</v>
      </c>
      <c r="J3214" s="21" t="s">
        <v>10062</v>
      </c>
      <c r="K3214" s="5814" t="s">
        <v>10063</v>
      </c>
    </row>
    <row r="3215" spans="1:11">
      <c r="A3215" s="21" t="s">
        <v>2428</v>
      </c>
      <c r="B3215" s="21" t="s">
        <v>10064</v>
      </c>
      <c r="C3215" s="21" t="s">
        <v>8</v>
      </c>
      <c r="D3215" s="21" t="s">
        <v>1147</v>
      </c>
      <c r="E3215" s="21" t="s">
        <v>193</v>
      </c>
      <c r="F3215" s="5812">
        <v>3</v>
      </c>
      <c r="G3215" s="5813">
        <v>0.20833333333333334</v>
      </c>
      <c r="H3215" s="21" t="s">
        <v>10</v>
      </c>
      <c r="I3215" s="21" t="s">
        <v>96</v>
      </c>
      <c r="J3215" s="21" t="s">
        <v>10065</v>
      </c>
      <c r="K3215" s="5814" t="s">
        <v>10066</v>
      </c>
    </row>
    <row r="3216" spans="1:11">
      <c r="A3216" s="21" t="s">
        <v>3130</v>
      </c>
      <c r="B3216" s="21" t="s">
        <v>10067</v>
      </c>
      <c r="C3216" s="21" t="s">
        <v>22</v>
      </c>
      <c r="D3216" s="21" t="s">
        <v>1147</v>
      </c>
      <c r="E3216" s="21" t="s">
        <v>193</v>
      </c>
      <c r="F3216" s="5812">
        <v>3</v>
      </c>
      <c r="G3216" s="5813">
        <v>0.20833333333333334</v>
      </c>
      <c r="H3216" s="21" t="s">
        <v>10</v>
      </c>
      <c r="I3216" s="21" t="s">
        <v>11</v>
      </c>
      <c r="J3216" s="21" t="s">
        <v>10068</v>
      </c>
      <c r="K3216" s="5814" t="s">
        <v>10069</v>
      </c>
    </row>
    <row r="3217" spans="1:11">
      <c r="A3217" s="21" t="s">
        <v>3130</v>
      </c>
      <c r="B3217" s="21" t="s">
        <v>10070</v>
      </c>
      <c r="C3217" s="21" t="s">
        <v>8</v>
      </c>
      <c r="D3217" s="21" t="s">
        <v>1147</v>
      </c>
      <c r="E3217" s="21" t="s">
        <v>193</v>
      </c>
      <c r="F3217" s="5812">
        <v>3</v>
      </c>
      <c r="G3217" s="5813">
        <v>0.20833333333333334</v>
      </c>
      <c r="H3217" s="21" t="s">
        <v>10</v>
      </c>
      <c r="I3217" s="21" t="s">
        <v>11</v>
      </c>
      <c r="J3217" s="21" t="s">
        <v>10071</v>
      </c>
      <c r="K3217" s="5814" t="s">
        <v>10072</v>
      </c>
    </row>
    <row r="3218" spans="1:11">
      <c r="A3218" s="21" t="s">
        <v>2461</v>
      </c>
      <c r="B3218" s="21" t="s">
        <v>10073</v>
      </c>
      <c r="C3218" s="21" t="s">
        <v>8</v>
      </c>
      <c r="D3218" s="21" t="s">
        <v>1147</v>
      </c>
      <c r="E3218" s="21" t="s">
        <v>193</v>
      </c>
      <c r="F3218" s="5812">
        <v>3</v>
      </c>
      <c r="G3218" s="5813">
        <v>0.20833333333333334</v>
      </c>
      <c r="H3218" s="21" t="s">
        <v>10</v>
      </c>
      <c r="I3218" s="21" t="s">
        <v>39</v>
      </c>
      <c r="J3218" s="21" t="s">
        <v>10074</v>
      </c>
      <c r="K3218" s="5814" t="s">
        <v>10075</v>
      </c>
    </row>
    <row r="3219" spans="1:11">
      <c r="A3219" s="21" t="s">
        <v>2467</v>
      </c>
      <c r="B3219" s="21" t="s">
        <v>10076</v>
      </c>
      <c r="C3219" s="21" t="s">
        <v>8</v>
      </c>
      <c r="D3219" s="21" t="s">
        <v>1147</v>
      </c>
      <c r="E3219" s="21" t="s">
        <v>193</v>
      </c>
      <c r="F3219" s="5812">
        <v>3</v>
      </c>
      <c r="G3219" s="5813">
        <v>0.20833333333333334</v>
      </c>
      <c r="H3219" s="21" t="s">
        <v>10</v>
      </c>
      <c r="I3219" s="21" t="s">
        <v>23</v>
      </c>
      <c r="J3219" s="21" t="s">
        <v>10077</v>
      </c>
      <c r="K3219" s="5814" t="s">
        <v>10078</v>
      </c>
    </row>
    <row r="3220" spans="1:11">
      <c r="A3220" s="21" t="s">
        <v>2974</v>
      </c>
      <c r="B3220" s="21" t="s">
        <v>10079</v>
      </c>
      <c r="C3220" s="21" t="s">
        <v>8</v>
      </c>
      <c r="D3220" s="21" t="s">
        <v>1147</v>
      </c>
      <c r="E3220" s="21" t="s">
        <v>193</v>
      </c>
      <c r="F3220" s="5812">
        <v>3</v>
      </c>
      <c r="G3220" s="5813">
        <v>0.20833333333333334</v>
      </c>
      <c r="H3220" s="21" t="s">
        <v>10</v>
      </c>
      <c r="I3220" s="21" t="s">
        <v>39</v>
      </c>
      <c r="J3220" s="21" t="s">
        <v>10080</v>
      </c>
      <c r="K3220" s="5814" t="s">
        <v>10081</v>
      </c>
    </row>
    <row r="3221" spans="1:11">
      <c r="A3221" s="21" t="s">
        <v>2935</v>
      </c>
      <c r="B3221" s="21" t="s">
        <v>10082</v>
      </c>
      <c r="C3221" s="21" t="s">
        <v>8</v>
      </c>
      <c r="D3221" s="21" t="s">
        <v>1147</v>
      </c>
      <c r="E3221" s="21" t="s">
        <v>193</v>
      </c>
      <c r="F3221" s="5812">
        <v>3</v>
      </c>
      <c r="G3221" s="5813">
        <v>0.20833333333333334</v>
      </c>
      <c r="H3221" s="21" t="s">
        <v>10</v>
      </c>
      <c r="I3221" s="21" t="s">
        <v>10083</v>
      </c>
      <c r="J3221" s="21" t="s">
        <v>10084</v>
      </c>
      <c r="K3221" s="5814" t="s">
        <v>10085</v>
      </c>
    </row>
    <row r="3222" spans="1:11">
      <c r="A3222" s="21" t="s">
        <v>4043</v>
      </c>
      <c r="B3222" s="21" t="s">
        <v>10086</v>
      </c>
      <c r="C3222" s="21" t="s">
        <v>22</v>
      </c>
      <c r="D3222" s="21" t="s">
        <v>1147</v>
      </c>
      <c r="E3222" s="21" t="s">
        <v>193</v>
      </c>
      <c r="F3222" s="5812">
        <v>3</v>
      </c>
      <c r="G3222" s="5813">
        <v>0.20833333333333334</v>
      </c>
      <c r="H3222" s="21" t="s">
        <v>10</v>
      </c>
      <c r="I3222" s="21" t="s">
        <v>96</v>
      </c>
      <c r="J3222" s="21" t="s">
        <v>10087</v>
      </c>
      <c r="K3222" s="5814" t="s">
        <v>10088</v>
      </c>
    </row>
    <row r="3223" spans="1:11">
      <c r="A3223" s="21" t="s">
        <v>3203</v>
      </c>
      <c r="B3223" s="21" t="s">
        <v>10089</v>
      </c>
      <c r="C3223" s="21" t="s">
        <v>22</v>
      </c>
      <c r="D3223" s="21" t="s">
        <v>1147</v>
      </c>
      <c r="E3223" s="21" t="s">
        <v>193</v>
      </c>
      <c r="F3223" s="5812">
        <v>3</v>
      </c>
      <c r="G3223" s="5813">
        <v>0.20833333333333334</v>
      </c>
      <c r="H3223" s="21" t="s">
        <v>10</v>
      </c>
      <c r="I3223" s="21" t="s">
        <v>55</v>
      </c>
      <c r="J3223" s="21" t="s">
        <v>10090</v>
      </c>
      <c r="K3223" s="5814" t="s">
        <v>10091</v>
      </c>
    </row>
    <row r="3224" spans="1:11">
      <c r="A3224" s="21" t="s">
        <v>2979</v>
      </c>
      <c r="B3224" s="21" t="s">
        <v>10092</v>
      </c>
      <c r="C3224" s="21" t="s">
        <v>8</v>
      </c>
      <c r="D3224" s="21" t="s">
        <v>1147</v>
      </c>
      <c r="E3224" s="21" t="s">
        <v>193</v>
      </c>
      <c r="F3224" s="5812">
        <v>3</v>
      </c>
      <c r="G3224" s="5813">
        <v>0.20833333333333334</v>
      </c>
      <c r="H3224" s="21" t="s">
        <v>10</v>
      </c>
      <c r="I3224" s="21" t="s">
        <v>39</v>
      </c>
      <c r="J3224" s="21" t="s">
        <v>10093</v>
      </c>
      <c r="K3224" s="5814" t="s">
        <v>10094</v>
      </c>
    </row>
    <row r="3225" spans="1:11">
      <c r="A3225" s="21" t="s">
        <v>3252</v>
      </c>
      <c r="B3225" s="21" t="s">
        <v>10095</v>
      </c>
      <c r="C3225" s="21" t="s">
        <v>22</v>
      </c>
      <c r="D3225" s="21" t="s">
        <v>1147</v>
      </c>
      <c r="E3225" s="21" t="s">
        <v>193</v>
      </c>
      <c r="F3225" s="5812">
        <v>3</v>
      </c>
      <c r="G3225" s="5813">
        <v>0.20833333333333334</v>
      </c>
      <c r="H3225" s="21" t="s">
        <v>10</v>
      </c>
      <c r="I3225" s="21" t="s">
        <v>47</v>
      </c>
      <c r="J3225" s="21" t="s">
        <v>10096</v>
      </c>
      <c r="K3225" s="5814" t="s">
        <v>10097</v>
      </c>
    </row>
    <row r="3226" spans="1:11">
      <c r="A3226" s="21" t="s">
        <v>2174</v>
      </c>
      <c r="B3226" s="21" t="s">
        <v>10098</v>
      </c>
      <c r="C3226" s="21" t="s">
        <v>8</v>
      </c>
      <c r="D3226" s="21" t="s">
        <v>1147</v>
      </c>
      <c r="E3226" s="21" t="s">
        <v>193</v>
      </c>
      <c r="F3226" s="5812">
        <v>3</v>
      </c>
      <c r="G3226" s="5813">
        <v>0.20833333333333334</v>
      </c>
      <c r="H3226" s="21" t="s">
        <v>10</v>
      </c>
      <c r="I3226" s="21" t="s">
        <v>2176</v>
      </c>
      <c r="J3226" s="21" t="s">
        <v>10099</v>
      </c>
      <c r="K3226" s="5814" t="s">
        <v>10100</v>
      </c>
    </row>
    <row r="3227" spans="1:11">
      <c r="A3227" s="21" t="s">
        <v>2184</v>
      </c>
      <c r="B3227" s="21" t="s">
        <v>10101</v>
      </c>
      <c r="C3227" s="21" t="s">
        <v>22</v>
      </c>
      <c r="D3227" s="21" t="s">
        <v>1147</v>
      </c>
      <c r="E3227" s="21" t="s">
        <v>193</v>
      </c>
      <c r="F3227" s="5812">
        <v>3</v>
      </c>
      <c r="G3227" s="5813">
        <v>0.20833333333333334</v>
      </c>
      <c r="H3227" s="21" t="s">
        <v>10</v>
      </c>
      <c r="I3227" s="21" t="s">
        <v>226</v>
      </c>
      <c r="J3227" s="21" t="s">
        <v>10102</v>
      </c>
      <c r="K3227" s="5814" t="s">
        <v>10103</v>
      </c>
    </row>
    <row r="3228" spans="1:11">
      <c r="A3228" s="21" t="s">
        <v>2626</v>
      </c>
      <c r="B3228" s="21" t="s">
        <v>10104</v>
      </c>
      <c r="C3228" s="21" t="s">
        <v>22</v>
      </c>
      <c r="D3228" s="21" t="s">
        <v>1147</v>
      </c>
      <c r="E3228" s="21" t="s">
        <v>193</v>
      </c>
      <c r="F3228" s="5812">
        <v>3</v>
      </c>
      <c r="G3228" s="5813">
        <v>0.20833333333333334</v>
      </c>
      <c r="H3228" s="21" t="s">
        <v>10</v>
      </c>
      <c r="I3228" s="21" t="s">
        <v>2171</v>
      </c>
      <c r="J3228" s="21" t="s">
        <v>10105</v>
      </c>
      <c r="K3228" s="5814" t="s">
        <v>10106</v>
      </c>
    </row>
    <row r="3229" spans="1:11">
      <c r="A3229" s="21" t="s">
        <v>3395</v>
      </c>
      <c r="B3229" s="21" t="s">
        <v>10107</v>
      </c>
      <c r="C3229" s="21" t="s">
        <v>8</v>
      </c>
      <c r="D3229" s="21" t="s">
        <v>1147</v>
      </c>
      <c r="E3229" s="21" t="s">
        <v>193</v>
      </c>
      <c r="F3229" s="5812">
        <v>3</v>
      </c>
      <c r="G3229" s="5813">
        <v>0.20833333333333334</v>
      </c>
      <c r="H3229" s="21" t="s">
        <v>10</v>
      </c>
      <c r="I3229" s="21" t="s">
        <v>2523</v>
      </c>
      <c r="J3229" s="21" t="s">
        <v>10108</v>
      </c>
      <c r="K3229" s="5814" t="s">
        <v>10109</v>
      </c>
    </row>
    <row r="3230" spans="1:11">
      <c r="A3230" s="21" t="s">
        <v>2998</v>
      </c>
      <c r="B3230" s="21" t="s">
        <v>10110</v>
      </c>
      <c r="C3230" s="21" t="s">
        <v>8</v>
      </c>
      <c r="D3230" s="21" t="s">
        <v>1147</v>
      </c>
      <c r="E3230" s="21" t="s">
        <v>193</v>
      </c>
      <c r="F3230" s="5812">
        <v>3</v>
      </c>
      <c r="G3230" s="5813">
        <v>0.20833333333333334</v>
      </c>
      <c r="H3230" s="21" t="s">
        <v>10</v>
      </c>
      <c r="I3230" s="21" t="s">
        <v>96</v>
      </c>
      <c r="J3230" s="21" t="s">
        <v>10111</v>
      </c>
      <c r="K3230" s="5814" t="s">
        <v>10112</v>
      </c>
    </row>
    <row r="3231" spans="1:11">
      <c r="A3231" s="21" t="s">
        <v>2663</v>
      </c>
      <c r="B3231" s="21" t="s">
        <v>10113</v>
      </c>
      <c r="C3231" s="21" t="s">
        <v>8</v>
      </c>
      <c r="D3231" s="21" t="s">
        <v>1147</v>
      </c>
      <c r="E3231" s="21" t="s">
        <v>193</v>
      </c>
      <c r="F3231" s="5812">
        <v>3</v>
      </c>
      <c r="G3231" s="5813">
        <v>0.20833333333333334</v>
      </c>
      <c r="H3231" s="21" t="s">
        <v>10</v>
      </c>
      <c r="I3231" s="21" t="s">
        <v>4254</v>
      </c>
      <c r="J3231" s="21" t="s">
        <v>10114</v>
      </c>
      <c r="K3231" s="5814" t="s">
        <v>10115</v>
      </c>
    </row>
    <row r="3232" spans="1:11">
      <c r="A3232" s="21" t="s">
        <v>4527</v>
      </c>
      <c r="B3232" s="21" t="s">
        <v>10116</v>
      </c>
      <c r="C3232" s="21" t="s">
        <v>8</v>
      </c>
      <c r="D3232" s="21" t="s">
        <v>1147</v>
      </c>
      <c r="E3232" s="21" t="s">
        <v>193</v>
      </c>
      <c r="F3232" s="5812">
        <v>3</v>
      </c>
      <c r="G3232" s="5813">
        <v>0.20833333333333334</v>
      </c>
      <c r="H3232" s="21" t="s">
        <v>10</v>
      </c>
      <c r="I3232" s="21" t="s">
        <v>5887</v>
      </c>
      <c r="J3232" s="21" t="s">
        <v>10117</v>
      </c>
      <c r="K3232" s="5814" t="s">
        <v>10118</v>
      </c>
    </row>
    <row r="3233" spans="1:11">
      <c r="A3233" s="21" t="s">
        <v>2698</v>
      </c>
      <c r="B3233" s="21" t="s">
        <v>10119</v>
      </c>
      <c r="C3233" s="21" t="s">
        <v>8</v>
      </c>
      <c r="D3233" s="21" t="s">
        <v>1147</v>
      </c>
      <c r="E3233" s="21" t="s">
        <v>193</v>
      </c>
      <c r="F3233" s="5812">
        <v>3</v>
      </c>
      <c r="G3233" s="5813">
        <v>0.20833333333333334</v>
      </c>
      <c r="H3233" s="21" t="s">
        <v>10</v>
      </c>
      <c r="I3233" s="21" t="s">
        <v>2713</v>
      </c>
      <c r="J3233" s="21" t="s">
        <v>10120</v>
      </c>
      <c r="K3233" s="5814" t="s">
        <v>10121</v>
      </c>
    </row>
    <row r="3234" spans="1:11">
      <c r="A3234" s="21" t="s">
        <v>2707</v>
      </c>
      <c r="B3234" s="21" t="s">
        <v>10122</v>
      </c>
      <c r="C3234" s="21" t="s">
        <v>22</v>
      </c>
      <c r="D3234" s="21" t="s">
        <v>1147</v>
      </c>
      <c r="E3234" s="21" t="s">
        <v>193</v>
      </c>
      <c r="F3234" s="5812">
        <v>3</v>
      </c>
      <c r="G3234" s="5813">
        <v>0.20833333333333334</v>
      </c>
      <c r="H3234" s="21" t="s">
        <v>10</v>
      </c>
      <c r="I3234" s="21" t="s">
        <v>47</v>
      </c>
      <c r="J3234" s="21" t="s">
        <v>10123</v>
      </c>
      <c r="K3234" s="5814" t="s">
        <v>10124</v>
      </c>
    </row>
    <row r="3235" spans="1:11">
      <c r="A3235" s="21" t="s">
        <v>3761</v>
      </c>
      <c r="B3235" s="21" t="s">
        <v>10125</v>
      </c>
      <c r="C3235" s="21" t="s">
        <v>22</v>
      </c>
      <c r="D3235" s="21" t="s">
        <v>1147</v>
      </c>
      <c r="E3235" s="21" t="s">
        <v>193</v>
      </c>
      <c r="F3235" s="5812">
        <v>3</v>
      </c>
      <c r="G3235" s="5813">
        <v>0.20833333333333334</v>
      </c>
      <c r="H3235" s="21" t="s">
        <v>10</v>
      </c>
      <c r="I3235" s="21" t="s">
        <v>2713</v>
      </c>
      <c r="J3235" s="21" t="s">
        <v>10126</v>
      </c>
      <c r="K3235" s="5814" t="s">
        <v>10127</v>
      </c>
    </row>
    <row r="3236" spans="1:11">
      <c r="A3236" s="21" t="s">
        <v>2711</v>
      </c>
      <c r="B3236" s="21" t="s">
        <v>10128</v>
      </c>
      <c r="C3236" s="21" t="s">
        <v>22</v>
      </c>
      <c r="D3236" s="21" t="s">
        <v>1147</v>
      </c>
      <c r="E3236" s="21" t="s">
        <v>193</v>
      </c>
      <c r="F3236" s="5812">
        <v>3</v>
      </c>
      <c r="G3236" s="5813">
        <v>0.20833333333333334</v>
      </c>
      <c r="H3236" s="21" t="s">
        <v>10</v>
      </c>
      <c r="I3236" s="21"/>
      <c r="J3236" s="21" t="s">
        <v>10129</v>
      </c>
      <c r="K3236" s="5814" t="s">
        <v>10130</v>
      </c>
    </row>
    <row r="3237" spans="1:11">
      <c r="A3237" s="21" t="s">
        <v>2745</v>
      </c>
      <c r="B3237" s="21" t="s">
        <v>10131</v>
      </c>
      <c r="C3237" s="21" t="s">
        <v>8</v>
      </c>
      <c r="D3237" s="21" t="s">
        <v>1147</v>
      </c>
      <c r="E3237" s="21" t="s">
        <v>193</v>
      </c>
      <c r="F3237" s="5812">
        <v>3</v>
      </c>
      <c r="G3237" s="5813">
        <v>0.20833333333333334</v>
      </c>
      <c r="H3237" s="21" t="s">
        <v>10</v>
      </c>
      <c r="I3237" s="21" t="s">
        <v>2176</v>
      </c>
      <c r="J3237" s="21" t="s">
        <v>10132</v>
      </c>
      <c r="K3237" s="5814" t="s">
        <v>10133</v>
      </c>
    </row>
    <row r="3238" spans="1:11">
      <c r="A3238" s="21" t="s">
        <v>3532</v>
      </c>
      <c r="B3238" s="21" t="s">
        <v>10134</v>
      </c>
      <c r="C3238" s="21" t="s">
        <v>22</v>
      </c>
      <c r="D3238" s="21" t="s">
        <v>1147</v>
      </c>
      <c r="E3238" s="21" t="s">
        <v>193</v>
      </c>
      <c r="F3238" s="5812">
        <v>3</v>
      </c>
      <c r="G3238" s="5813">
        <v>0.20833333333333334</v>
      </c>
      <c r="H3238" s="21" t="s">
        <v>10</v>
      </c>
      <c r="I3238" s="21" t="s">
        <v>2269</v>
      </c>
      <c r="J3238" s="21" t="s">
        <v>10135</v>
      </c>
      <c r="K3238" s="5814" t="s">
        <v>10136</v>
      </c>
    </row>
    <row r="3239" spans="1:11">
      <c r="A3239" s="21" t="s">
        <v>3532</v>
      </c>
      <c r="B3239" s="21" t="s">
        <v>10137</v>
      </c>
      <c r="C3239" s="21" t="s">
        <v>8</v>
      </c>
      <c r="D3239" s="21" t="s">
        <v>1147</v>
      </c>
      <c r="E3239" s="21" t="s">
        <v>193</v>
      </c>
      <c r="F3239" s="5812">
        <v>3</v>
      </c>
      <c r="G3239" s="5813">
        <v>0.20833333333333334</v>
      </c>
      <c r="H3239" s="21" t="s">
        <v>10</v>
      </c>
      <c r="I3239" s="21" t="s">
        <v>5887</v>
      </c>
      <c r="J3239" s="21" t="s">
        <v>10138</v>
      </c>
      <c r="K3239" s="5814" t="s">
        <v>10139</v>
      </c>
    </row>
    <row r="3240" spans="1:11">
      <c r="A3240" s="21" t="s">
        <v>4289</v>
      </c>
      <c r="B3240" s="21" t="s">
        <v>10140</v>
      </c>
      <c r="C3240" s="21" t="s">
        <v>8</v>
      </c>
      <c r="D3240" s="21" t="s">
        <v>1147</v>
      </c>
      <c r="E3240" s="21" t="s">
        <v>193</v>
      </c>
      <c r="F3240" s="5812">
        <v>3</v>
      </c>
      <c r="G3240" s="5813">
        <v>0.20833333333333334</v>
      </c>
      <c r="H3240" s="21" t="s">
        <v>10</v>
      </c>
      <c r="I3240" s="21" t="s">
        <v>2660</v>
      </c>
      <c r="J3240" s="21" t="s">
        <v>10141</v>
      </c>
      <c r="K3240" s="5814" t="s">
        <v>10142</v>
      </c>
    </row>
    <row r="3241" spans="1:11">
      <c r="A3241" s="21" t="s">
        <v>2768</v>
      </c>
      <c r="B3241" s="21" t="s">
        <v>10143</v>
      </c>
      <c r="C3241" s="21" t="s">
        <v>22</v>
      </c>
      <c r="D3241" s="21" t="s">
        <v>1147</v>
      </c>
      <c r="E3241" s="21" t="s">
        <v>193</v>
      </c>
      <c r="F3241" s="5812">
        <v>3</v>
      </c>
      <c r="G3241" s="5813">
        <v>0.20833333333333334</v>
      </c>
      <c r="H3241" s="21" t="s">
        <v>10</v>
      </c>
      <c r="I3241" s="21" t="s">
        <v>194</v>
      </c>
      <c r="J3241" s="21" t="s">
        <v>10144</v>
      </c>
      <c r="K3241" s="5814" t="s">
        <v>10145</v>
      </c>
    </row>
    <row r="3242" spans="1:11">
      <c r="A3242" s="21" t="s">
        <v>4317</v>
      </c>
      <c r="B3242" s="21" t="s">
        <v>10146</v>
      </c>
      <c r="C3242" s="21" t="s">
        <v>22</v>
      </c>
      <c r="D3242" s="21" t="s">
        <v>1147</v>
      </c>
      <c r="E3242" s="21" t="s">
        <v>193</v>
      </c>
      <c r="F3242" s="5812">
        <v>3</v>
      </c>
      <c r="G3242" s="5813">
        <v>0.20833333333333334</v>
      </c>
      <c r="H3242" s="21" t="s">
        <v>10</v>
      </c>
      <c r="I3242" s="21" t="s">
        <v>3534</v>
      </c>
      <c r="J3242" s="21" t="s">
        <v>10147</v>
      </c>
      <c r="K3242" s="5814" t="s">
        <v>10148</v>
      </c>
    </row>
    <row r="3243" spans="1:11">
      <c r="A3243" s="21" t="s">
        <v>2776</v>
      </c>
      <c r="B3243" s="21" t="s">
        <v>10149</v>
      </c>
      <c r="C3243" s="21" t="s">
        <v>22</v>
      </c>
      <c r="D3243" s="21" t="s">
        <v>1147</v>
      </c>
      <c r="E3243" s="21" t="s">
        <v>193</v>
      </c>
      <c r="F3243" s="5812">
        <v>3</v>
      </c>
      <c r="G3243" s="5813">
        <v>0.20833333333333334</v>
      </c>
      <c r="H3243" s="21" t="s">
        <v>10</v>
      </c>
      <c r="I3243" s="21" t="s">
        <v>8174</v>
      </c>
      <c r="J3243" s="21" t="s">
        <v>10150</v>
      </c>
      <c r="K3243" s="5814" t="s">
        <v>10151</v>
      </c>
    </row>
    <row r="3244" spans="1:11">
      <c r="A3244" s="21" t="s">
        <v>4321</v>
      </c>
      <c r="B3244" s="21" t="s">
        <v>10152</v>
      </c>
      <c r="C3244" s="21" t="s">
        <v>8</v>
      </c>
      <c r="D3244" s="21" t="s">
        <v>1147</v>
      </c>
      <c r="E3244" s="21" t="s">
        <v>193</v>
      </c>
      <c r="F3244" s="5812">
        <v>3</v>
      </c>
      <c r="G3244" s="5813">
        <v>0.20833333333333334</v>
      </c>
      <c r="H3244" s="21" t="s">
        <v>10</v>
      </c>
      <c r="I3244" s="21" t="s">
        <v>73</v>
      </c>
      <c r="J3244" s="21" t="s">
        <v>10153</v>
      </c>
      <c r="K3244" s="5814" t="s">
        <v>10154</v>
      </c>
    </row>
    <row r="3245" spans="1:11">
      <c r="A3245" s="21" t="s">
        <v>2800</v>
      </c>
      <c r="B3245" s="21" t="s">
        <v>10155</v>
      </c>
      <c r="C3245" s="21" t="s">
        <v>8</v>
      </c>
      <c r="D3245" s="21" t="s">
        <v>1147</v>
      </c>
      <c r="E3245" s="21" t="s">
        <v>193</v>
      </c>
      <c r="F3245" s="5812">
        <v>3</v>
      </c>
      <c r="G3245" s="5813">
        <v>0.20833333333333334</v>
      </c>
      <c r="H3245" s="21" t="s">
        <v>10</v>
      </c>
      <c r="I3245" s="21" t="s">
        <v>2297</v>
      </c>
      <c r="J3245" s="21" t="s">
        <v>10156</v>
      </c>
      <c r="K3245" s="5814" t="s">
        <v>10157</v>
      </c>
    </row>
    <row r="3246" spans="1:11">
      <c r="A3246" s="21" t="s">
        <v>2804</v>
      </c>
      <c r="B3246" s="21" t="s">
        <v>10158</v>
      </c>
      <c r="C3246" s="21" t="s">
        <v>22</v>
      </c>
      <c r="D3246" s="21" t="s">
        <v>1147</v>
      </c>
      <c r="E3246" s="21" t="s">
        <v>193</v>
      </c>
      <c r="F3246" s="5812">
        <v>3</v>
      </c>
      <c r="G3246" s="5813">
        <v>0.20833333333333334</v>
      </c>
      <c r="H3246" s="21" t="s">
        <v>10</v>
      </c>
      <c r="I3246" s="21" t="s">
        <v>3024</v>
      </c>
      <c r="J3246" s="21" t="s">
        <v>10159</v>
      </c>
      <c r="K3246" s="5814" t="s">
        <v>10160</v>
      </c>
    </row>
    <row r="3247" spans="1:11">
      <c r="A3247" s="21" t="s">
        <v>3082</v>
      </c>
      <c r="B3247" s="21" t="s">
        <v>10161</v>
      </c>
      <c r="C3247" s="21" t="s">
        <v>8</v>
      </c>
      <c r="D3247" s="21" t="s">
        <v>1147</v>
      </c>
      <c r="E3247" s="21" t="s">
        <v>193</v>
      </c>
      <c r="F3247" s="5812">
        <v>3</v>
      </c>
      <c r="G3247" s="5813">
        <v>0.20833333333333334</v>
      </c>
      <c r="H3247" s="21" t="s">
        <v>10</v>
      </c>
      <c r="I3247" s="21" t="s">
        <v>2176</v>
      </c>
      <c r="J3247" s="21" t="s">
        <v>10162</v>
      </c>
      <c r="K3247" s="5814" t="s">
        <v>10163</v>
      </c>
    </row>
    <row r="3248" spans="1:11">
      <c r="A3248" s="21" t="s">
        <v>2295</v>
      </c>
      <c r="B3248" s="21" t="s">
        <v>10164</v>
      </c>
      <c r="C3248" s="21" t="s">
        <v>22</v>
      </c>
      <c r="D3248" s="21" t="s">
        <v>1147</v>
      </c>
      <c r="E3248" s="21" t="s">
        <v>193</v>
      </c>
      <c r="F3248" s="5812">
        <v>3</v>
      </c>
      <c r="G3248" s="5813">
        <v>0.20833333333333334</v>
      </c>
      <c r="H3248" s="21" t="s">
        <v>10</v>
      </c>
      <c r="I3248" s="21" t="s">
        <v>2297</v>
      </c>
      <c r="J3248" s="21" t="s">
        <v>10165</v>
      </c>
      <c r="K3248" s="5814" t="s">
        <v>10166</v>
      </c>
    </row>
    <row r="3249" spans="1:11">
      <c r="A3249" s="21" t="s">
        <v>2075</v>
      </c>
      <c r="B3249" s="21" t="s">
        <v>10167</v>
      </c>
      <c r="C3249" s="21" t="s">
        <v>8</v>
      </c>
      <c r="D3249" s="21" t="s">
        <v>1147</v>
      </c>
      <c r="E3249" s="21" t="s">
        <v>193</v>
      </c>
      <c r="F3249" s="5812">
        <v>3</v>
      </c>
      <c r="G3249" s="5813">
        <v>0.20833333333333334</v>
      </c>
      <c r="H3249" s="21" t="s">
        <v>10</v>
      </c>
      <c r="I3249" s="21" t="s">
        <v>73</v>
      </c>
      <c r="J3249" s="21" t="s">
        <v>10168</v>
      </c>
      <c r="K3249" s="5814" t="s">
        <v>10169</v>
      </c>
    </row>
    <row r="3250" spans="1:11">
      <c r="A3250" s="21" t="s">
        <v>2827</v>
      </c>
      <c r="B3250" s="21" t="s">
        <v>10170</v>
      </c>
      <c r="C3250" s="21" t="s">
        <v>8</v>
      </c>
      <c r="D3250" s="21" t="s">
        <v>1147</v>
      </c>
      <c r="E3250" s="21" t="s">
        <v>193</v>
      </c>
      <c r="F3250" s="5812">
        <v>3</v>
      </c>
      <c r="G3250" s="5813">
        <v>0.20833333333333334</v>
      </c>
      <c r="H3250" s="21" t="s">
        <v>10</v>
      </c>
      <c r="I3250" s="21" t="s">
        <v>47</v>
      </c>
      <c r="J3250" s="21" t="s">
        <v>10171</v>
      </c>
      <c r="K3250" s="5814" t="s">
        <v>10172</v>
      </c>
    </row>
    <row r="3251" spans="1:11">
      <c r="A3251" s="21" t="s">
        <v>4383</v>
      </c>
      <c r="B3251" s="21" t="s">
        <v>10173</v>
      </c>
      <c r="C3251" s="21" t="s">
        <v>8</v>
      </c>
      <c r="D3251" s="21" t="s">
        <v>1147</v>
      </c>
      <c r="E3251" s="21" t="s">
        <v>193</v>
      </c>
      <c r="F3251" s="5812">
        <v>3</v>
      </c>
      <c r="G3251" s="5813">
        <v>0.20833333333333334</v>
      </c>
      <c r="H3251" s="21" t="s">
        <v>10</v>
      </c>
      <c r="I3251" s="21" t="s">
        <v>55</v>
      </c>
      <c r="J3251" s="21" t="s">
        <v>10174</v>
      </c>
      <c r="K3251" s="5814" t="s">
        <v>10175</v>
      </c>
    </row>
    <row r="3252" spans="1:11">
      <c r="A3252" s="21" t="s">
        <v>2254</v>
      </c>
      <c r="B3252" s="21" t="s">
        <v>10176</v>
      </c>
      <c r="C3252" s="21" t="s">
        <v>22</v>
      </c>
      <c r="D3252" s="21" t="s">
        <v>1147</v>
      </c>
      <c r="E3252" s="21" t="s">
        <v>193</v>
      </c>
      <c r="F3252" s="5812">
        <v>3</v>
      </c>
      <c r="G3252" s="5813">
        <v>0.20833333333333334</v>
      </c>
      <c r="H3252" s="21" t="s">
        <v>10</v>
      </c>
      <c r="I3252" s="21" t="s">
        <v>96</v>
      </c>
      <c r="J3252" s="21" t="s">
        <v>10177</v>
      </c>
      <c r="K3252" s="5814" t="s">
        <v>10178</v>
      </c>
    </row>
    <row r="3253" spans="1:11">
      <c r="A3253" s="21" t="s">
        <v>2839</v>
      </c>
      <c r="B3253" s="21" t="s">
        <v>10179</v>
      </c>
      <c r="C3253" s="21" t="s">
        <v>709</v>
      </c>
      <c r="D3253" s="21" t="s">
        <v>1147</v>
      </c>
      <c r="E3253" s="21" t="s">
        <v>193</v>
      </c>
      <c r="F3253" s="5812">
        <v>3</v>
      </c>
      <c r="G3253" s="5813">
        <v>0.20833333333333334</v>
      </c>
      <c r="H3253" s="21" t="s">
        <v>10</v>
      </c>
      <c r="I3253" s="21" t="s">
        <v>233</v>
      </c>
      <c r="J3253" s="21" t="s">
        <v>10180</v>
      </c>
      <c r="K3253" s="5814" t="s">
        <v>10181</v>
      </c>
    </row>
    <row r="3254" spans="1:11">
      <c r="A3254" s="21" t="s">
        <v>2263</v>
      </c>
      <c r="B3254" s="21" t="s">
        <v>10182</v>
      </c>
      <c r="C3254" s="21" t="s">
        <v>22</v>
      </c>
      <c r="D3254" s="21" t="s">
        <v>1147</v>
      </c>
      <c r="E3254" s="21" t="s">
        <v>193</v>
      </c>
      <c r="F3254" s="5812">
        <v>3</v>
      </c>
      <c r="G3254" s="5813">
        <v>0.20833333333333334</v>
      </c>
      <c r="H3254" s="21" t="s">
        <v>10</v>
      </c>
      <c r="I3254" s="21" t="s">
        <v>2247</v>
      </c>
      <c r="J3254" s="21" t="s">
        <v>2113</v>
      </c>
      <c r="K3254" s="5814" t="s">
        <v>10183</v>
      </c>
    </row>
    <row r="3255" spans="1:11">
      <c r="A3255" s="21" t="s">
        <v>2263</v>
      </c>
      <c r="B3255" s="21" t="s">
        <v>10184</v>
      </c>
      <c r="C3255" s="21" t="s">
        <v>22</v>
      </c>
      <c r="D3255" s="21" t="s">
        <v>1147</v>
      </c>
      <c r="E3255" s="21" t="s">
        <v>193</v>
      </c>
      <c r="F3255" s="5812">
        <v>3</v>
      </c>
      <c r="G3255" s="5813">
        <v>0.20833333333333334</v>
      </c>
      <c r="H3255" s="21" t="s">
        <v>10</v>
      </c>
      <c r="I3255" s="21" t="s">
        <v>2297</v>
      </c>
      <c r="J3255" s="21" t="s">
        <v>10185</v>
      </c>
      <c r="K3255" s="5814" t="s">
        <v>10186</v>
      </c>
    </row>
    <row r="3256" spans="1:11">
      <c r="A3256" s="21" t="s">
        <v>2267</v>
      </c>
      <c r="B3256" s="21" t="s">
        <v>10187</v>
      </c>
      <c r="C3256" s="21" t="s">
        <v>22</v>
      </c>
      <c r="D3256" s="21" t="s">
        <v>1147</v>
      </c>
      <c r="E3256" s="21" t="s">
        <v>193</v>
      </c>
      <c r="F3256" s="5812">
        <v>3</v>
      </c>
      <c r="G3256" s="5813">
        <v>0.20833333333333334</v>
      </c>
      <c r="H3256" s="21" t="s">
        <v>10</v>
      </c>
      <c r="I3256" s="21" t="s">
        <v>2269</v>
      </c>
      <c r="J3256" s="21" t="s">
        <v>10188</v>
      </c>
      <c r="K3256" s="5814" t="s">
        <v>10189</v>
      </c>
    </row>
    <row r="3257" spans="1:11">
      <c r="A3257" s="21" t="s">
        <v>2870</v>
      </c>
      <c r="B3257" s="21" t="s">
        <v>10190</v>
      </c>
      <c r="C3257" s="21" t="s">
        <v>22</v>
      </c>
      <c r="D3257" s="21" t="s">
        <v>1147</v>
      </c>
      <c r="E3257" s="21" t="s">
        <v>193</v>
      </c>
      <c r="F3257" s="5812">
        <v>3</v>
      </c>
      <c r="G3257" s="5813">
        <v>0.20833333333333334</v>
      </c>
      <c r="H3257" s="21" t="s">
        <v>10</v>
      </c>
      <c r="I3257" s="21" t="s">
        <v>9052</v>
      </c>
      <c r="J3257" s="21" t="s">
        <v>10191</v>
      </c>
      <c r="K3257" s="5814" t="s">
        <v>10192</v>
      </c>
    </row>
    <row r="3258" spans="1:11">
      <c r="A3258" s="21" t="s">
        <v>2882</v>
      </c>
      <c r="B3258" s="21" t="s">
        <v>10193</v>
      </c>
      <c r="C3258" s="21" t="s">
        <v>22</v>
      </c>
      <c r="D3258" s="21" t="s">
        <v>1147</v>
      </c>
      <c r="E3258" s="21" t="s">
        <v>193</v>
      </c>
      <c r="F3258" s="5812">
        <v>3</v>
      </c>
      <c r="G3258" s="5813">
        <v>0.20833333333333334</v>
      </c>
      <c r="H3258" s="21" t="s">
        <v>10</v>
      </c>
      <c r="I3258" s="21" t="s">
        <v>2297</v>
      </c>
      <c r="J3258" s="21" t="s">
        <v>10194</v>
      </c>
      <c r="K3258" s="5814" t="s">
        <v>10195</v>
      </c>
    </row>
    <row r="3259" spans="1:11">
      <c r="A3259" s="21" t="s">
        <v>4621</v>
      </c>
      <c r="B3259" s="21" t="s">
        <v>10196</v>
      </c>
      <c r="C3259" s="21" t="s">
        <v>22</v>
      </c>
      <c r="D3259" s="21" t="s">
        <v>1147</v>
      </c>
      <c r="E3259" s="21" t="s">
        <v>193</v>
      </c>
      <c r="F3259" s="5812">
        <v>3</v>
      </c>
      <c r="G3259" s="5813">
        <v>0.20833333333333334</v>
      </c>
      <c r="H3259" s="21" t="s">
        <v>10</v>
      </c>
      <c r="I3259" s="21" t="s">
        <v>2568</v>
      </c>
      <c r="J3259" s="21" t="s">
        <v>10197</v>
      </c>
      <c r="K3259" s="5814" t="s">
        <v>10198</v>
      </c>
    </row>
    <row r="3260" spans="1:11">
      <c r="A3260" s="21" t="s">
        <v>4671</v>
      </c>
      <c r="B3260" s="21" t="s">
        <v>10199</v>
      </c>
      <c r="C3260" s="21" t="s">
        <v>8</v>
      </c>
      <c r="D3260" s="21" t="s">
        <v>1147</v>
      </c>
      <c r="E3260" s="21" t="s">
        <v>193</v>
      </c>
      <c r="F3260" s="5812">
        <v>3</v>
      </c>
      <c r="G3260" s="5813">
        <v>0.20833333333333334</v>
      </c>
      <c r="H3260" s="21" t="s">
        <v>10</v>
      </c>
      <c r="I3260" s="21" t="s">
        <v>2660</v>
      </c>
      <c r="J3260" s="21" t="s">
        <v>10200</v>
      </c>
      <c r="K3260" s="5814" t="s">
        <v>10201</v>
      </c>
    </row>
    <row r="3261" spans="1:11">
      <c r="A3261" s="21" t="s">
        <v>2267</v>
      </c>
      <c r="B3261" s="21" t="s">
        <v>10202</v>
      </c>
      <c r="C3261" s="21" t="s">
        <v>8</v>
      </c>
      <c r="D3261" s="21" t="s">
        <v>1147</v>
      </c>
      <c r="E3261" s="21" t="s">
        <v>193</v>
      </c>
      <c r="F3261" s="5812">
        <v>5</v>
      </c>
      <c r="G3261" s="5813">
        <v>0.20833333333333334</v>
      </c>
      <c r="H3261" s="21" t="s">
        <v>54</v>
      </c>
      <c r="I3261" s="21" t="s">
        <v>55</v>
      </c>
      <c r="J3261" s="21" t="s">
        <v>10203</v>
      </c>
      <c r="K3261" s="5814" t="s">
        <v>10204</v>
      </c>
    </row>
    <row r="3262" spans="1:11">
      <c r="A3262" s="21" t="s">
        <v>2854</v>
      </c>
      <c r="B3262" s="21" t="s">
        <v>10205</v>
      </c>
      <c r="C3262" s="21" t="s">
        <v>8</v>
      </c>
      <c r="D3262" s="21" t="s">
        <v>1147</v>
      </c>
      <c r="E3262" s="21" t="s">
        <v>193</v>
      </c>
      <c r="F3262" s="5812">
        <v>5</v>
      </c>
      <c r="G3262" s="5813">
        <v>0.20833333333333334</v>
      </c>
      <c r="H3262" s="21" t="s">
        <v>54</v>
      </c>
      <c r="I3262" s="21" t="s">
        <v>2297</v>
      </c>
      <c r="J3262" s="21" t="s">
        <v>10206</v>
      </c>
      <c r="K3262" s="5814" t="s">
        <v>10207</v>
      </c>
    </row>
    <row r="3263" spans="1:11">
      <c r="A3263" s="21" t="s">
        <v>339</v>
      </c>
      <c r="B3263" s="21" t="s">
        <v>1155</v>
      </c>
      <c r="C3263" s="21" t="s">
        <v>8</v>
      </c>
      <c r="D3263" s="21" t="s">
        <v>1147</v>
      </c>
      <c r="E3263" s="21" t="s">
        <v>9</v>
      </c>
      <c r="F3263" s="5812">
        <v>3</v>
      </c>
      <c r="G3263" s="5813">
        <v>0.20833333333333334</v>
      </c>
      <c r="H3263" s="21" t="s">
        <v>10</v>
      </c>
      <c r="I3263" s="21" t="s">
        <v>11</v>
      </c>
      <c r="J3263" s="21" t="s">
        <v>1156</v>
      </c>
      <c r="K3263" s="5814" t="s">
        <v>1157</v>
      </c>
    </row>
    <row r="3264" spans="1:11">
      <c r="A3264" s="21" t="s">
        <v>339</v>
      </c>
      <c r="B3264" s="21" t="s">
        <v>1161</v>
      </c>
      <c r="C3264" s="21" t="s">
        <v>22</v>
      </c>
      <c r="D3264" s="21" t="s">
        <v>1147</v>
      </c>
      <c r="E3264" s="21" t="s">
        <v>9</v>
      </c>
      <c r="F3264" s="5812">
        <v>3</v>
      </c>
      <c r="G3264" s="5813">
        <v>0.20833333333333334</v>
      </c>
      <c r="H3264" s="21" t="s">
        <v>10</v>
      </c>
      <c r="I3264" s="21" t="s">
        <v>572</v>
      </c>
      <c r="J3264" s="21" t="s">
        <v>1162</v>
      </c>
      <c r="K3264" s="5814" t="s">
        <v>1163</v>
      </c>
    </row>
    <row r="3265" spans="1:11">
      <c r="A3265" s="21" t="s">
        <v>79</v>
      </c>
      <c r="B3265" s="21" t="s">
        <v>1217</v>
      </c>
      <c r="C3265" s="21" t="s">
        <v>22</v>
      </c>
      <c r="D3265" s="21" t="s">
        <v>1147</v>
      </c>
      <c r="E3265" s="21" t="s">
        <v>9</v>
      </c>
      <c r="F3265" s="5812">
        <v>3</v>
      </c>
      <c r="G3265" s="5813">
        <v>0.20833333333333334</v>
      </c>
      <c r="H3265" s="21" t="s">
        <v>10</v>
      </c>
      <c r="I3265" s="21" t="s">
        <v>96</v>
      </c>
      <c r="J3265" s="21" t="s">
        <v>1218</v>
      </c>
      <c r="K3265" s="5814" t="s">
        <v>1219</v>
      </c>
    </row>
    <row r="3266" spans="1:11">
      <c r="A3266" s="21" t="s">
        <v>135</v>
      </c>
      <c r="B3266" s="21" t="s">
        <v>1229</v>
      </c>
      <c r="C3266" s="21" t="s">
        <v>22</v>
      </c>
      <c r="D3266" s="21" t="s">
        <v>1147</v>
      </c>
      <c r="E3266" s="21" t="s">
        <v>9</v>
      </c>
      <c r="F3266" s="5812">
        <v>3</v>
      </c>
      <c r="G3266" s="5813">
        <v>0.20833333333333334</v>
      </c>
      <c r="H3266" s="21" t="s">
        <v>10</v>
      </c>
      <c r="I3266" s="21" t="s">
        <v>226</v>
      </c>
      <c r="J3266" s="21" t="s">
        <v>1230</v>
      </c>
      <c r="K3266" s="5814" t="s">
        <v>1231</v>
      </c>
    </row>
    <row r="3267" spans="1:11">
      <c r="A3267" s="21" t="s">
        <v>166</v>
      </c>
      <c r="B3267" s="21" t="s">
        <v>1250</v>
      </c>
      <c r="C3267" s="21" t="s">
        <v>8</v>
      </c>
      <c r="D3267" s="21" t="s">
        <v>1147</v>
      </c>
      <c r="E3267" s="21" t="s">
        <v>9</v>
      </c>
      <c r="F3267" s="5812">
        <v>3</v>
      </c>
      <c r="G3267" s="5813">
        <v>0.20833333333333334</v>
      </c>
      <c r="H3267" s="21" t="s">
        <v>10</v>
      </c>
      <c r="I3267" s="21" t="s">
        <v>168</v>
      </c>
      <c r="J3267" s="21" t="s">
        <v>1251</v>
      </c>
      <c r="K3267" s="5814" t="s">
        <v>1252</v>
      </c>
    </row>
    <row r="3268" spans="1:11">
      <c r="A3268" s="21" t="s">
        <v>37</v>
      </c>
      <c r="B3268" s="21" t="s">
        <v>1188</v>
      </c>
      <c r="C3268" s="21" t="s">
        <v>22</v>
      </c>
      <c r="D3268" s="21" t="s">
        <v>1147</v>
      </c>
      <c r="E3268" s="21" t="s">
        <v>9</v>
      </c>
      <c r="F3268" s="5812">
        <v>3</v>
      </c>
      <c r="G3268" s="5813">
        <v>0.20833333333333334</v>
      </c>
      <c r="H3268" s="21" t="s">
        <v>10</v>
      </c>
      <c r="I3268" s="21" t="s">
        <v>226</v>
      </c>
      <c r="J3268" s="21" t="s">
        <v>1189</v>
      </c>
      <c r="K3268" s="5814" t="s">
        <v>1190</v>
      </c>
    </row>
    <row r="3269" spans="1:11">
      <c r="A3269" s="21" t="s">
        <v>52</v>
      </c>
      <c r="B3269" s="21" t="s">
        <v>1271</v>
      </c>
      <c r="C3269" s="21" t="s">
        <v>22</v>
      </c>
      <c r="D3269" s="21" t="s">
        <v>1147</v>
      </c>
      <c r="E3269" s="21" t="s">
        <v>9</v>
      </c>
      <c r="F3269" s="5812">
        <v>3</v>
      </c>
      <c r="G3269" s="5813">
        <v>0.20833333333333334</v>
      </c>
      <c r="H3269" s="21" t="s">
        <v>10</v>
      </c>
      <c r="I3269" s="21" t="s">
        <v>39</v>
      </c>
      <c r="J3269" s="21" t="s">
        <v>1272</v>
      </c>
      <c r="K3269" s="5814" t="s">
        <v>1273</v>
      </c>
    </row>
    <row r="3270" spans="1:11">
      <c r="A3270" s="21" t="s">
        <v>65</v>
      </c>
      <c r="B3270" s="21" t="s">
        <v>1280</v>
      </c>
      <c r="C3270" s="21" t="s">
        <v>8</v>
      </c>
      <c r="D3270" s="21" t="s">
        <v>1147</v>
      </c>
      <c r="E3270" s="21" t="s">
        <v>9</v>
      </c>
      <c r="F3270" s="5812">
        <v>3</v>
      </c>
      <c r="G3270" s="5813">
        <v>0.20833333333333334</v>
      </c>
      <c r="H3270" s="21" t="s">
        <v>10</v>
      </c>
      <c r="I3270" s="21" t="s">
        <v>55</v>
      </c>
      <c r="J3270" s="21" t="s">
        <v>1281</v>
      </c>
      <c r="K3270" s="5814" t="s">
        <v>1282</v>
      </c>
    </row>
    <row r="3271" spans="1:11">
      <c r="A3271" s="21" t="s">
        <v>6</v>
      </c>
      <c r="B3271" s="21" t="s">
        <v>1146</v>
      </c>
      <c r="C3271" s="21" t="s">
        <v>22</v>
      </c>
      <c r="D3271" s="21" t="s">
        <v>1147</v>
      </c>
      <c r="E3271" s="21" t="s">
        <v>9</v>
      </c>
      <c r="F3271" s="5812">
        <v>3</v>
      </c>
      <c r="G3271" s="5813">
        <v>0.20833333333333334</v>
      </c>
      <c r="H3271" s="21" t="s">
        <v>10</v>
      </c>
      <c r="I3271" s="21" t="s">
        <v>73</v>
      </c>
      <c r="J3271" s="21" t="s">
        <v>1148</v>
      </c>
      <c r="K3271" s="5814" t="s">
        <v>10208</v>
      </c>
    </row>
    <row r="3272" spans="1:11">
      <c r="A3272" s="21" t="s">
        <v>4654</v>
      </c>
      <c r="B3272" s="21" t="s">
        <v>10209</v>
      </c>
      <c r="C3272" s="21" t="s">
        <v>22</v>
      </c>
      <c r="D3272" s="21" t="s">
        <v>1147</v>
      </c>
      <c r="E3272" s="21" t="s">
        <v>9</v>
      </c>
      <c r="F3272" s="5812">
        <v>3</v>
      </c>
      <c r="G3272" s="5813">
        <v>0.20833333333333334</v>
      </c>
      <c r="H3272" s="21" t="s">
        <v>10</v>
      </c>
      <c r="I3272" s="21" t="s">
        <v>55</v>
      </c>
      <c r="J3272" s="21" t="s">
        <v>10210</v>
      </c>
      <c r="K3272" s="5814" t="s">
        <v>10211</v>
      </c>
    </row>
    <row r="3273" spans="1:11">
      <c r="A3273" s="21" t="s">
        <v>2311</v>
      </c>
      <c r="B3273" s="21" t="s">
        <v>10212</v>
      </c>
      <c r="C3273" s="21" t="s">
        <v>8</v>
      </c>
      <c r="D3273" s="21" t="s">
        <v>1147</v>
      </c>
      <c r="E3273" s="21" t="s">
        <v>9</v>
      </c>
      <c r="F3273" s="5812">
        <v>3</v>
      </c>
      <c r="G3273" s="5813">
        <v>0.20833333333333334</v>
      </c>
      <c r="H3273" s="21" t="s">
        <v>10</v>
      </c>
      <c r="I3273" s="21" t="s">
        <v>3343</v>
      </c>
      <c r="J3273" s="21" t="s">
        <v>10213</v>
      </c>
      <c r="K3273" s="5814" t="s">
        <v>10214</v>
      </c>
    </row>
    <row r="3274" spans="1:11">
      <c r="A3274" s="21" t="s">
        <v>2300</v>
      </c>
      <c r="B3274" s="21" t="s">
        <v>10215</v>
      </c>
      <c r="C3274" s="21" t="s">
        <v>22</v>
      </c>
      <c r="D3274" s="21" t="s">
        <v>1147</v>
      </c>
      <c r="E3274" s="21" t="s">
        <v>9</v>
      </c>
      <c r="F3274" s="5812">
        <v>3</v>
      </c>
      <c r="G3274" s="5813">
        <v>0.20833333333333334</v>
      </c>
      <c r="H3274" s="21" t="s">
        <v>10</v>
      </c>
      <c r="I3274" s="21" t="s">
        <v>11</v>
      </c>
      <c r="J3274" s="21" t="s">
        <v>10216</v>
      </c>
      <c r="K3274" s="5814" t="s">
        <v>10217</v>
      </c>
    </row>
    <row r="3275" spans="1:11">
      <c r="A3275" s="21" t="s">
        <v>4552</v>
      </c>
      <c r="B3275" s="21" t="s">
        <v>10218</v>
      </c>
      <c r="C3275" s="21" t="s">
        <v>22</v>
      </c>
      <c r="D3275" s="21" t="s">
        <v>1147</v>
      </c>
      <c r="E3275" s="21" t="s">
        <v>9</v>
      </c>
      <c r="F3275" s="5812">
        <v>3</v>
      </c>
      <c r="G3275" s="5813">
        <v>0.20833333333333334</v>
      </c>
      <c r="H3275" s="21" t="s">
        <v>10</v>
      </c>
      <c r="I3275" s="21" t="s">
        <v>73</v>
      </c>
      <c r="J3275" s="21" t="s">
        <v>10219</v>
      </c>
      <c r="K3275" s="5814" t="s">
        <v>10220</v>
      </c>
    </row>
    <row r="3276" spans="1:11">
      <c r="A3276" s="21" t="s">
        <v>3664</v>
      </c>
      <c r="B3276" s="21" t="s">
        <v>10221</v>
      </c>
      <c r="C3276" s="21" t="s">
        <v>8</v>
      </c>
      <c r="D3276" s="21" t="s">
        <v>1147</v>
      </c>
      <c r="E3276" s="21" t="s">
        <v>9</v>
      </c>
      <c r="F3276" s="5812">
        <v>3</v>
      </c>
      <c r="G3276" s="5813">
        <v>0.20833333333333334</v>
      </c>
      <c r="H3276" s="21" t="s">
        <v>10</v>
      </c>
      <c r="I3276" s="21" t="s">
        <v>609</v>
      </c>
      <c r="J3276" s="21" t="s">
        <v>10222</v>
      </c>
      <c r="K3276" s="5814" t="s">
        <v>10223</v>
      </c>
    </row>
    <row r="3277" spans="1:11">
      <c r="A3277" s="21" t="s">
        <v>3249</v>
      </c>
      <c r="B3277" s="21" t="s">
        <v>10224</v>
      </c>
      <c r="C3277" s="21" t="s">
        <v>8</v>
      </c>
      <c r="D3277" s="21" t="s">
        <v>1147</v>
      </c>
      <c r="E3277" s="21" t="s">
        <v>9</v>
      </c>
      <c r="F3277" s="5812">
        <v>3</v>
      </c>
      <c r="G3277" s="5813">
        <v>0.20833333333333334</v>
      </c>
      <c r="H3277" s="21" t="s">
        <v>10</v>
      </c>
      <c r="I3277" s="21" t="s">
        <v>39</v>
      </c>
      <c r="J3277" s="21" t="s">
        <v>10225</v>
      </c>
      <c r="K3277" s="5814" t="s">
        <v>10226</v>
      </c>
    </row>
    <row r="3278" spans="1:11">
      <c r="A3278" s="21" t="s">
        <v>3491</v>
      </c>
      <c r="B3278" s="21" t="s">
        <v>10227</v>
      </c>
      <c r="C3278" s="21" t="s">
        <v>22</v>
      </c>
      <c r="D3278" s="21" t="s">
        <v>1147</v>
      </c>
      <c r="E3278" s="21" t="s">
        <v>9</v>
      </c>
      <c r="F3278" s="5812">
        <v>3</v>
      </c>
      <c r="G3278" s="5813">
        <v>0.20833333333333334</v>
      </c>
      <c r="H3278" s="21" t="s">
        <v>10</v>
      </c>
      <c r="I3278" s="21" t="s">
        <v>23</v>
      </c>
      <c r="J3278" s="21" t="s">
        <v>10228</v>
      </c>
      <c r="K3278" s="5814" t="s">
        <v>10229</v>
      </c>
    </row>
    <row r="3279" spans="1:11">
      <c r="A3279" s="21" t="s">
        <v>3243</v>
      </c>
      <c r="B3279" s="21" t="s">
        <v>10230</v>
      </c>
      <c r="C3279" s="21" t="s">
        <v>22</v>
      </c>
      <c r="D3279" s="21" t="s">
        <v>1147</v>
      </c>
      <c r="E3279" s="21" t="s">
        <v>9</v>
      </c>
      <c r="F3279" s="5812">
        <v>3</v>
      </c>
      <c r="G3279" s="5813">
        <v>0.20833333333333334</v>
      </c>
      <c r="H3279" s="21" t="s">
        <v>10</v>
      </c>
      <c r="I3279" s="21" t="s">
        <v>96</v>
      </c>
      <c r="J3279" s="21" t="s">
        <v>5630</v>
      </c>
      <c r="K3279" s="5814" t="s">
        <v>10231</v>
      </c>
    </row>
    <row r="3280" spans="1:11">
      <c r="A3280" s="21" t="s">
        <v>2341</v>
      </c>
      <c r="B3280" s="21" t="s">
        <v>10232</v>
      </c>
      <c r="C3280" s="21" t="s">
        <v>8</v>
      </c>
      <c r="D3280" s="21" t="s">
        <v>1147</v>
      </c>
      <c r="E3280" s="21" t="s">
        <v>9</v>
      </c>
      <c r="F3280" s="5812">
        <v>3</v>
      </c>
      <c r="G3280" s="5813">
        <v>0.20833333333333334</v>
      </c>
      <c r="H3280" s="21" t="s">
        <v>10</v>
      </c>
      <c r="I3280" s="21" t="s">
        <v>47</v>
      </c>
      <c r="J3280" s="21" t="s">
        <v>10233</v>
      </c>
      <c r="K3280" s="5814" t="s">
        <v>10234</v>
      </c>
    </row>
    <row r="3281" spans="1:11">
      <c r="A3281" s="21" t="s">
        <v>2088</v>
      </c>
      <c r="B3281" s="21" t="s">
        <v>10235</v>
      </c>
      <c r="C3281" s="21" t="s">
        <v>8</v>
      </c>
      <c r="D3281" s="21" t="s">
        <v>1147</v>
      </c>
      <c r="E3281" s="21" t="s">
        <v>9</v>
      </c>
      <c r="F3281" s="5812">
        <v>3</v>
      </c>
      <c r="G3281" s="5813">
        <v>0.20833333333333334</v>
      </c>
      <c r="H3281" s="21" t="s">
        <v>10</v>
      </c>
      <c r="I3281" s="21" t="s">
        <v>11</v>
      </c>
      <c r="J3281" s="21" t="s">
        <v>10236</v>
      </c>
      <c r="K3281" s="5814" t="s">
        <v>10237</v>
      </c>
    </row>
    <row r="3282" spans="1:11">
      <c r="A3282" s="21" t="s">
        <v>2362</v>
      </c>
      <c r="B3282" s="21" t="s">
        <v>10238</v>
      </c>
      <c r="C3282" s="21" t="s">
        <v>22</v>
      </c>
      <c r="D3282" s="21" t="s">
        <v>1147</v>
      </c>
      <c r="E3282" s="21" t="s">
        <v>9</v>
      </c>
      <c r="F3282" s="5812">
        <v>3</v>
      </c>
      <c r="G3282" s="5813">
        <v>0.20833333333333334</v>
      </c>
      <c r="H3282" s="21" t="s">
        <v>10</v>
      </c>
      <c r="I3282" s="21" t="s">
        <v>55</v>
      </c>
      <c r="J3282" s="21" t="s">
        <v>10239</v>
      </c>
      <c r="K3282" s="5814" t="s">
        <v>10240</v>
      </c>
    </row>
    <row r="3283" spans="1:11">
      <c r="A3283" s="21" t="s">
        <v>2362</v>
      </c>
      <c r="B3283" s="21" t="s">
        <v>10241</v>
      </c>
      <c r="C3283" s="21" t="s">
        <v>22</v>
      </c>
      <c r="D3283" s="21" t="s">
        <v>1147</v>
      </c>
      <c r="E3283" s="21" t="s">
        <v>9</v>
      </c>
      <c r="F3283" s="5812">
        <v>3</v>
      </c>
      <c r="G3283" s="5813">
        <v>0.20833333333333334</v>
      </c>
      <c r="H3283" s="21" t="s">
        <v>10</v>
      </c>
      <c r="I3283" s="21" t="s">
        <v>55</v>
      </c>
      <c r="J3283" s="21" t="s">
        <v>10242</v>
      </c>
      <c r="K3283" s="5814" t="s">
        <v>10243</v>
      </c>
    </row>
    <row r="3284" spans="1:11">
      <c r="A3284" s="21" t="s">
        <v>2096</v>
      </c>
      <c r="B3284" s="21" t="s">
        <v>10244</v>
      </c>
      <c r="C3284" s="21" t="s">
        <v>8</v>
      </c>
      <c r="D3284" s="21" t="s">
        <v>1147</v>
      </c>
      <c r="E3284" s="21" t="s">
        <v>9</v>
      </c>
      <c r="F3284" s="5812">
        <v>3</v>
      </c>
      <c r="G3284" s="5813">
        <v>0.20833333333333334</v>
      </c>
      <c r="H3284" s="21" t="s">
        <v>10</v>
      </c>
      <c r="I3284" s="21" t="s">
        <v>2313</v>
      </c>
      <c r="J3284" s="21" t="s">
        <v>10245</v>
      </c>
      <c r="K3284" s="5814" t="s">
        <v>10246</v>
      </c>
    </row>
    <row r="3285" spans="1:11">
      <c r="A3285" s="21" t="s">
        <v>2383</v>
      </c>
      <c r="B3285" s="21" t="s">
        <v>10247</v>
      </c>
      <c r="C3285" s="21" t="s">
        <v>8</v>
      </c>
      <c r="D3285" s="21" t="s">
        <v>1147</v>
      </c>
      <c r="E3285" s="21" t="s">
        <v>9</v>
      </c>
      <c r="F3285" s="5812">
        <v>3</v>
      </c>
      <c r="G3285" s="5813">
        <v>0.20833333333333334</v>
      </c>
      <c r="H3285" s="21" t="s">
        <v>10</v>
      </c>
      <c r="I3285" s="21" t="s">
        <v>11</v>
      </c>
      <c r="J3285" s="21" t="s">
        <v>10248</v>
      </c>
      <c r="K3285" s="5814" t="s">
        <v>10249</v>
      </c>
    </row>
    <row r="3286" spans="1:11">
      <c r="A3286" s="21" t="s">
        <v>2387</v>
      </c>
      <c r="B3286" s="21" t="s">
        <v>10250</v>
      </c>
      <c r="C3286" s="21" t="s">
        <v>8</v>
      </c>
      <c r="D3286" s="21" t="s">
        <v>1147</v>
      </c>
      <c r="E3286" s="21" t="s">
        <v>9</v>
      </c>
      <c r="F3286" s="5812">
        <v>3</v>
      </c>
      <c r="G3286" s="5813">
        <v>0.20833333333333334</v>
      </c>
      <c r="H3286" s="21" t="s">
        <v>10</v>
      </c>
      <c r="I3286" s="21" t="s">
        <v>23</v>
      </c>
      <c r="J3286" s="21" t="s">
        <v>10251</v>
      </c>
      <c r="K3286" s="5814" t="s">
        <v>10252</v>
      </c>
    </row>
    <row r="3287" spans="1:11">
      <c r="A3287" s="21" t="s">
        <v>2395</v>
      </c>
      <c r="B3287" s="21" t="s">
        <v>10253</v>
      </c>
      <c r="C3287" s="21" t="s">
        <v>22</v>
      </c>
      <c r="D3287" s="21" t="s">
        <v>1147</v>
      </c>
      <c r="E3287" s="21" t="s">
        <v>9</v>
      </c>
      <c r="F3287" s="5812">
        <v>3</v>
      </c>
      <c r="G3287" s="5813">
        <v>0.20833333333333334</v>
      </c>
      <c r="H3287" s="21" t="s">
        <v>10</v>
      </c>
      <c r="I3287" s="21" t="s">
        <v>89</v>
      </c>
      <c r="J3287" s="21" t="s">
        <v>10254</v>
      </c>
      <c r="K3287" s="5814" t="s">
        <v>10255</v>
      </c>
    </row>
    <row r="3288" spans="1:11">
      <c r="A3288" s="21" t="s">
        <v>5390</v>
      </c>
      <c r="B3288" s="21" t="s">
        <v>10256</v>
      </c>
      <c r="C3288" s="21" t="s">
        <v>8</v>
      </c>
      <c r="D3288" s="21" t="s">
        <v>1147</v>
      </c>
      <c r="E3288" s="21" t="s">
        <v>9</v>
      </c>
      <c r="F3288" s="5812">
        <v>3</v>
      </c>
      <c r="G3288" s="5813">
        <v>0.20833333333333334</v>
      </c>
      <c r="H3288" s="21" t="s">
        <v>10</v>
      </c>
      <c r="I3288" s="21" t="s">
        <v>226</v>
      </c>
      <c r="J3288" s="21" t="s">
        <v>10257</v>
      </c>
      <c r="K3288" s="5814" t="s">
        <v>10258</v>
      </c>
    </row>
    <row r="3289" spans="1:11">
      <c r="A3289" s="21" t="s">
        <v>5390</v>
      </c>
      <c r="B3289" s="21" t="s">
        <v>10259</v>
      </c>
      <c r="C3289" s="21" t="s">
        <v>8</v>
      </c>
      <c r="D3289" s="21" t="s">
        <v>1147</v>
      </c>
      <c r="E3289" s="21" t="s">
        <v>9</v>
      </c>
      <c r="F3289" s="5812">
        <v>3</v>
      </c>
      <c r="G3289" s="5813">
        <v>0.20833333333333334</v>
      </c>
      <c r="H3289" s="21" t="s">
        <v>10</v>
      </c>
      <c r="I3289" s="21" t="s">
        <v>654</v>
      </c>
      <c r="J3289" s="21" t="s">
        <v>10260</v>
      </c>
      <c r="K3289" s="5814" t="s">
        <v>10261</v>
      </c>
    </row>
    <row r="3290" spans="1:11">
      <c r="A3290" s="21" t="s">
        <v>3909</v>
      </c>
      <c r="B3290" s="21" t="s">
        <v>10262</v>
      </c>
      <c r="C3290" s="21" t="s">
        <v>22</v>
      </c>
      <c r="D3290" s="21" t="s">
        <v>1147</v>
      </c>
      <c r="E3290" s="21" t="s">
        <v>9</v>
      </c>
      <c r="F3290" s="5812">
        <v>3</v>
      </c>
      <c r="G3290" s="5813">
        <v>0.20833333333333334</v>
      </c>
      <c r="H3290" s="21" t="s">
        <v>10</v>
      </c>
      <c r="I3290" s="21" t="s">
        <v>2313</v>
      </c>
      <c r="J3290" s="21" t="s">
        <v>10263</v>
      </c>
      <c r="K3290" s="5814" t="s">
        <v>10264</v>
      </c>
    </row>
    <row r="3291" spans="1:11">
      <c r="A3291" s="21" t="s">
        <v>2045</v>
      </c>
      <c r="B3291" s="21" t="s">
        <v>10265</v>
      </c>
      <c r="C3291" s="21" t="s">
        <v>8</v>
      </c>
      <c r="D3291" s="21" t="s">
        <v>1147</v>
      </c>
      <c r="E3291" s="21" t="s">
        <v>9</v>
      </c>
      <c r="F3291" s="5812">
        <v>3</v>
      </c>
      <c r="G3291" s="5813">
        <v>0.20833333333333334</v>
      </c>
      <c r="H3291" s="21" t="s">
        <v>10</v>
      </c>
      <c r="I3291" s="21" t="s">
        <v>23</v>
      </c>
      <c r="J3291" s="21" t="s">
        <v>10266</v>
      </c>
      <c r="K3291" s="5814" t="s">
        <v>10267</v>
      </c>
    </row>
    <row r="3292" spans="1:11">
      <c r="A3292" s="21" t="s">
        <v>2955</v>
      </c>
      <c r="B3292" s="21" t="s">
        <v>10268</v>
      </c>
      <c r="C3292" s="21" t="s">
        <v>8</v>
      </c>
      <c r="D3292" s="21" t="s">
        <v>1147</v>
      </c>
      <c r="E3292" s="21" t="s">
        <v>9</v>
      </c>
      <c r="F3292" s="5812">
        <v>3</v>
      </c>
      <c r="G3292" s="5813">
        <v>0.20833333333333334</v>
      </c>
      <c r="H3292" s="21" t="s">
        <v>10</v>
      </c>
      <c r="I3292" s="21" t="s">
        <v>39</v>
      </c>
      <c r="J3292" s="21" t="s">
        <v>10269</v>
      </c>
      <c r="K3292" s="5814" t="s">
        <v>10270</v>
      </c>
    </row>
    <row r="3293" spans="1:11">
      <c r="A3293" s="21" t="s">
        <v>2428</v>
      </c>
      <c r="B3293" s="21" t="s">
        <v>10271</v>
      </c>
      <c r="C3293" s="21" t="s">
        <v>8</v>
      </c>
      <c r="D3293" s="21" t="s">
        <v>1147</v>
      </c>
      <c r="E3293" s="21" t="s">
        <v>9</v>
      </c>
      <c r="F3293" s="5812">
        <v>3</v>
      </c>
      <c r="G3293" s="5813">
        <v>0.20833333333333334</v>
      </c>
      <c r="H3293" s="21" t="s">
        <v>10</v>
      </c>
      <c r="I3293" s="21" t="s">
        <v>2430</v>
      </c>
      <c r="J3293" s="21" t="s">
        <v>10272</v>
      </c>
      <c r="K3293" s="5814" t="s">
        <v>10273</v>
      </c>
    </row>
    <row r="3294" spans="1:11">
      <c r="A3294" s="21" t="s">
        <v>3012</v>
      </c>
      <c r="B3294" s="21" t="s">
        <v>10274</v>
      </c>
      <c r="C3294" s="21" t="s">
        <v>8</v>
      </c>
      <c r="D3294" s="21" t="s">
        <v>1147</v>
      </c>
      <c r="E3294" s="21" t="s">
        <v>9</v>
      </c>
      <c r="F3294" s="5812">
        <v>3</v>
      </c>
      <c r="G3294" s="5813">
        <v>0.20833333333333334</v>
      </c>
      <c r="H3294" s="21" t="s">
        <v>10</v>
      </c>
      <c r="I3294" s="21" t="s">
        <v>55</v>
      </c>
      <c r="J3294" s="21" t="s">
        <v>10275</v>
      </c>
      <c r="K3294" s="5814" t="s">
        <v>10276</v>
      </c>
    </row>
    <row r="3295" spans="1:11">
      <c r="A3295" s="21" t="s">
        <v>2929</v>
      </c>
      <c r="B3295" s="21" t="s">
        <v>10277</v>
      </c>
      <c r="C3295" s="21" t="s">
        <v>8</v>
      </c>
      <c r="D3295" s="21" t="s">
        <v>1147</v>
      </c>
      <c r="E3295" s="21" t="s">
        <v>9</v>
      </c>
      <c r="F3295" s="5812">
        <v>3</v>
      </c>
      <c r="G3295" s="5813">
        <v>0.20833333333333334</v>
      </c>
      <c r="H3295" s="21" t="s">
        <v>10</v>
      </c>
      <c r="I3295" s="21" t="s">
        <v>39</v>
      </c>
      <c r="J3295" s="21" t="s">
        <v>10278</v>
      </c>
      <c r="K3295" s="5814" t="s">
        <v>10279</v>
      </c>
    </row>
    <row r="3296" spans="1:11">
      <c r="A3296" s="21" t="s">
        <v>2433</v>
      </c>
      <c r="B3296" s="21" t="s">
        <v>10280</v>
      </c>
      <c r="C3296" s="21" t="s">
        <v>22</v>
      </c>
      <c r="D3296" s="21" t="s">
        <v>1147</v>
      </c>
      <c r="E3296" s="21" t="s">
        <v>9</v>
      </c>
      <c r="F3296" s="5812">
        <v>3</v>
      </c>
      <c r="G3296" s="5813">
        <v>0.20833333333333334</v>
      </c>
      <c r="H3296" s="21" t="s">
        <v>10</v>
      </c>
      <c r="I3296" s="21" t="s">
        <v>89</v>
      </c>
      <c r="J3296" s="21" t="s">
        <v>10281</v>
      </c>
      <c r="K3296" s="5814" t="s">
        <v>10282</v>
      </c>
    </row>
    <row r="3297" spans="1:11">
      <c r="A3297" s="21" t="s">
        <v>2433</v>
      </c>
      <c r="B3297" s="21" t="s">
        <v>10283</v>
      </c>
      <c r="C3297" s="21" t="s">
        <v>8</v>
      </c>
      <c r="D3297" s="21" t="s">
        <v>1147</v>
      </c>
      <c r="E3297" s="21" t="s">
        <v>9</v>
      </c>
      <c r="F3297" s="5812">
        <v>3</v>
      </c>
      <c r="G3297" s="5813">
        <v>0.20833333333333334</v>
      </c>
      <c r="H3297" s="21" t="s">
        <v>10</v>
      </c>
      <c r="I3297" s="21" t="s">
        <v>55</v>
      </c>
      <c r="J3297" s="21" t="s">
        <v>10284</v>
      </c>
      <c r="K3297" s="5814" t="s">
        <v>10285</v>
      </c>
    </row>
    <row r="3298" spans="1:11">
      <c r="A3298" s="21" t="s">
        <v>2438</v>
      </c>
      <c r="B3298" s="21" t="s">
        <v>10286</v>
      </c>
      <c r="C3298" s="21" t="s">
        <v>8</v>
      </c>
      <c r="D3298" s="21" t="s">
        <v>1147</v>
      </c>
      <c r="E3298" s="21" t="s">
        <v>9</v>
      </c>
      <c r="F3298" s="5812">
        <v>3</v>
      </c>
      <c r="G3298" s="5813">
        <v>0.20833333333333334</v>
      </c>
      <c r="H3298" s="21" t="s">
        <v>10</v>
      </c>
      <c r="I3298" s="21" t="s">
        <v>2814</v>
      </c>
      <c r="J3298" s="21" t="s">
        <v>10287</v>
      </c>
      <c r="K3298" s="5814" t="s">
        <v>10288</v>
      </c>
    </row>
    <row r="3299" spans="1:11">
      <c r="A3299" s="21" t="s">
        <v>2442</v>
      </c>
      <c r="B3299" s="21" t="s">
        <v>10289</v>
      </c>
      <c r="C3299" s="21" t="s">
        <v>8</v>
      </c>
      <c r="D3299" s="21" t="s">
        <v>1147</v>
      </c>
      <c r="E3299" s="21" t="s">
        <v>9</v>
      </c>
      <c r="F3299" s="5812">
        <v>3</v>
      </c>
      <c r="G3299" s="5813">
        <v>0.20833333333333334</v>
      </c>
      <c r="H3299" s="21" t="s">
        <v>10</v>
      </c>
      <c r="I3299" s="21" t="s">
        <v>55</v>
      </c>
      <c r="J3299" s="21" t="s">
        <v>10290</v>
      </c>
      <c r="K3299" s="5814" t="s">
        <v>10291</v>
      </c>
    </row>
    <row r="3300" spans="1:11">
      <c r="A3300" s="21" t="s">
        <v>2454</v>
      </c>
      <c r="B3300" s="21" t="s">
        <v>10292</v>
      </c>
      <c r="C3300" s="21" t="s">
        <v>8</v>
      </c>
      <c r="D3300" s="21" t="s">
        <v>1147</v>
      </c>
      <c r="E3300" s="21" t="s">
        <v>9</v>
      </c>
      <c r="F3300" s="5812">
        <v>3</v>
      </c>
      <c r="G3300" s="5813">
        <v>0.20833333333333334</v>
      </c>
      <c r="H3300" s="21" t="s">
        <v>10</v>
      </c>
      <c r="I3300" s="21" t="s">
        <v>89</v>
      </c>
      <c r="J3300" s="21" t="s">
        <v>10293</v>
      </c>
      <c r="K3300" s="5814" t="s">
        <v>10294</v>
      </c>
    </row>
    <row r="3301" spans="1:11">
      <c r="A3301" s="21" t="s">
        <v>3946</v>
      </c>
      <c r="B3301" s="21" t="s">
        <v>10295</v>
      </c>
      <c r="C3301" s="21" t="s">
        <v>8</v>
      </c>
      <c r="D3301" s="21" t="s">
        <v>1147</v>
      </c>
      <c r="E3301" s="21" t="s">
        <v>9</v>
      </c>
      <c r="F3301" s="5812">
        <v>3</v>
      </c>
      <c r="G3301" s="5813">
        <v>0.20833333333333334</v>
      </c>
      <c r="H3301" s="21" t="s">
        <v>10</v>
      </c>
      <c r="I3301" s="21" t="s">
        <v>23</v>
      </c>
      <c r="J3301" s="21" t="s">
        <v>10228</v>
      </c>
      <c r="K3301" s="5814" t="s">
        <v>10296</v>
      </c>
    </row>
    <row r="3302" spans="1:11">
      <c r="A3302" s="21" t="s">
        <v>3116</v>
      </c>
      <c r="B3302" s="21" t="s">
        <v>10297</v>
      </c>
      <c r="C3302" s="21" t="s">
        <v>22</v>
      </c>
      <c r="D3302" s="21" t="s">
        <v>1147</v>
      </c>
      <c r="E3302" s="21" t="s">
        <v>9</v>
      </c>
      <c r="F3302" s="5812">
        <v>3</v>
      </c>
      <c r="G3302" s="5813">
        <v>0.20833333333333334</v>
      </c>
      <c r="H3302" s="21" t="s">
        <v>10</v>
      </c>
      <c r="I3302" s="21" t="s">
        <v>55</v>
      </c>
      <c r="J3302" s="21" t="s">
        <v>10298</v>
      </c>
      <c r="K3302" s="5814" t="s">
        <v>10299</v>
      </c>
    </row>
    <row r="3303" spans="1:11">
      <c r="A3303" s="21" t="s">
        <v>2897</v>
      </c>
      <c r="B3303" s="21" t="s">
        <v>10300</v>
      </c>
      <c r="C3303" s="21" t="s">
        <v>8</v>
      </c>
      <c r="D3303" s="21" t="s">
        <v>1147</v>
      </c>
      <c r="E3303" s="21" t="s">
        <v>9</v>
      </c>
      <c r="F3303" s="5812">
        <v>3</v>
      </c>
      <c r="G3303" s="5813">
        <v>0.20833333333333334</v>
      </c>
      <c r="H3303" s="21" t="s">
        <v>10</v>
      </c>
      <c r="I3303" s="21" t="s">
        <v>23</v>
      </c>
      <c r="J3303" s="21" t="s">
        <v>10301</v>
      </c>
      <c r="K3303" s="5814" t="s">
        <v>10302</v>
      </c>
    </row>
    <row r="3304" spans="1:11">
      <c r="A3304" s="21" t="s">
        <v>2897</v>
      </c>
      <c r="B3304" s="21" t="s">
        <v>10303</v>
      </c>
      <c r="C3304" s="21" t="s">
        <v>8</v>
      </c>
      <c r="D3304" s="21" t="s">
        <v>1147</v>
      </c>
      <c r="E3304" s="21" t="s">
        <v>9</v>
      </c>
      <c r="F3304" s="5812">
        <v>3</v>
      </c>
      <c r="G3304" s="5813">
        <v>0.20833333333333334</v>
      </c>
      <c r="H3304" s="21" t="s">
        <v>10</v>
      </c>
      <c r="I3304" s="21" t="s">
        <v>55</v>
      </c>
      <c r="J3304" s="21" t="s">
        <v>5063</v>
      </c>
      <c r="K3304" s="5814" t="s">
        <v>10304</v>
      </c>
    </row>
    <row r="3305" spans="1:11">
      <c r="A3305" s="21" t="s">
        <v>2104</v>
      </c>
      <c r="B3305" s="21" t="s">
        <v>10305</v>
      </c>
      <c r="C3305" s="21" t="s">
        <v>22</v>
      </c>
      <c r="D3305" s="21" t="s">
        <v>1147</v>
      </c>
      <c r="E3305" s="21" t="s">
        <v>9</v>
      </c>
      <c r="F3305" s="5812">
        <v>3</v>
      </c>
      <c r="G3305" s="5813">
        <v>0.20833333333333334</v>
      </c>
      <c r="H3305" s="21" t="s">
        <v>10</v>
      </c>
      <c r="I3305" s="21" t="s">
        <v>55</v>
      </c>
      <c r="J3305" s="21" t="s">
        <v>10306</v>
      </c>
      <c r="K3305" s="5814" t="s">
        <v>10307</v>
      </c>
    </row>
    <row r="3306" spans="1:11">
      <c r="A3306" s="21" t="s">
        <v>3974</v>
      </c>
      <c r="B3306" s="21" t="s">
        <v>10308</v>
      </c>
      <c r="C3306" s="21" t="s">
        <v>8</v>
      </c>
      <c r="D3306" s="21" t="s">
        <v>1147</v>
      </c>
      <c r="E3306" s="21" t="s">
        <v>9</v>
      </c>
      <c r="F3306" s="5812">
        <v>3</v>
      </c>
      <c r="G3306" s="5813">
        <v>0.20833333333333334</v>
      </c>
      <c r="H3306" s="21" t="s">
        <v>10</v>
      </c>
      <c r="I3306" s="21" t="s">
        <v>2162</v>
      </c>
      <c r="J3306" s="21" t="s">
        <v>10309</v>
      </c>
      <c r="K3306" s="5814" t="s">
        <v>10310</v>
      </c>
    </row>
    <row r="3307" spans="1:11">
      <c r="A3307" s="21" t="s">
        <v>2108</v>
      </c>
      <c r="B3307" s="21" t="s">
        <v>10311</v>
      </c>
      <c r="C3307" s="21" t="s">
        <v>8</v>
      </c>
      <c r="D3307" s="21" t="s">
        <v>1147</v>
      </c>
      <c r="E3307" s="21" t="s">
        <v>9</v>
      </c>
      <c r="F3307" s="5812">
        <v>3</v>
      </c>
      <c r="G3307" s="5813">
        <v>0.20833333333333334</v>
      </c>
      <c r="H3307" s="21" t="s">
        <v>10</v>
      </c>
      <c r="I3307" s="21" t="s">
        <v>55</v>
      </c>
      <c r="J3307" s="21" t="s">
        <v>10312</v>
      </c>
      <c r="K3307" s="5814" t="s">
        <v>10313</v>
      </c>
    </row>
    <row r="3308" spans="1:11">
      <c r="A3308" s="21" t="s">
        <v>2982</v>
      </c>
      <c r="B3308" s="21" t="s">
        <v>10314</v>
      </c>
      <c r="C3308" s="21" t="s">
        <v>22</v>
      </c>
      <c r="D3308" s="21" t="s">
        <v>1147</v>
      </c>
      <c r="E3308" s="21" t="s">
        <v>9</v>
      </c>
      <c r="F3308" s="5812">
        <v>3</v>
      </c>
      <c r="G3308" s="5813">
        <v>0.20833333333333334</v>
      </c>
      <c r="H3308" s="21" t="s">
        <v>10</v>
      </c>
      <c r="I3308" s="21" t="s">
        <v>39</v>
      </c>
      <c r="J3308" s="21" t="s">
        <v>6353</v>
      </c>
      <c r="K3308" s="5814" t="s">
        <v>10315</v>
      </c>
    </row>
    <row r="3309" spans="1:11">
      <c r="A3309" s="21" t="s">
        <v>2478</v>
      </c>
      <c r="B3309" s="21" t="s">
        <v>10316</v>
      </c>
      <c r="C3309" s="21" t="s">
        <v>8</v>
      </c>
      <c r="D3309" s="21" t="s">
        <v>1147</v>
      </c>
      <c r="E3309" s="21" t="s">
        <v>9</v>
      </c>
      <c r="F3309" s="5812">
        <v>3</v>
      </c>
      <c r="G3309" s="5813">
        <v>0.20833333333333334</v>
      </c>
      <c r="H3309" s="21" t="s">
        <v>10</v>
      </c>
      <c r="I3309" s="21" t="s">
        <v>96</v>
      </c>
      <c r="J3309" s="21" t="s">
        <v>10317</v>
      </c>
      <c r="K3309" s="5814" t="s">
        <v>10318</v>
      </c>
    </row>
    <row r="3310" spans="1:11">
      <c r="A3310" s="21" t="s">
        <v>2079</v>
      </c>
      <c r="B3310" s="21" t="s">
        <v>10319</v>
      </c>
      <c r="C3310" s="21" t="s">
        <v>22</v>
      </c>
      <c r="D3310" s="21" t="s">
        <v>1147</v>
      </c>
      <c r="E3310" s="21" t="s">
        <v>9</v>
      </c>
      <c r="F3310" s="5812">
        <v>3</v>
      </c>
      <c r="G3310" s="5813">
        <v>0.20833333333333334</v>
      </c>
      <c r="H3310" s="21" t="s">
        <v>10</v>
      </c>
      <c r="I3310" s="21" t="s">
        <v>55</v>
      </c>
      <c r="J3310" s="21" t="s">
        <v>10320</v>
      </c>
      <c r="K3310" s="5814" t="s">
        <v>10321</v>
      </c>
    </row>
    <row r="3311" spans="1:11">
      <c r="A3311" s="21" t="s">
        <v>3235</v>
      </c>
      <c r="B3311" s="21" t="s">
        <v>10322</v>
      </c>
      <c r="C3311" s="21" t="s">
        <v>8</v>
      </c>
      <c r="D3311" s="21" t="s">
        <v>1147</v>
      </c>
      <c r="E3311" s="21" t="s">
        <v>9</v>
      </c>
      <c r="F3311" s="5812">
        <v>3</v>
      </c>
      <c r="G3311" s="5813">
        <v>0.20833333333333334</v>
      </c>
      <c r="H3311" s="21" t="s">
        <v>10</v>
      </c>
      <c r="I3311" s="21" t="s">
        <v>47</v>
      </c>
      <c r="J3311" s="21" t="s">
        <v>10323</v>
      </c>
      <c r="K3311" s="5814" t="s">
        <v>10324</v>
      </c>
    </row>
    <row r="3312" spans="1:11">
      <c r="A3312" s="21" t="s">
        <v>3235</v>
      </c>
      <c r="B3312" s="21" t="s">
        <v>10325</v>
      </c>
      <c r="C3312" s="21" t="s">
        <v>22</v>
      </c>
      <c r="D3312" s="21" t="s">
        <v>1147</v>
      </c>
      <c r="E3312" s="21" t="s">
        <v>9</v>
      </c>
      <c r="F3312" s="5812">
        <v>3</v>
      </c>
      <c r="G3312" s="5813">
        <v>0.20833333333333334</v>
      </c>
      <c r="H3312" s="21" t="s">
        <v>10</v>
      </c>
      <c r="I3312" s="21" t="s">
        <v>47</v>
      </c>
      <c r="J3312" s="21" t="s">
        <v>10326</v>
      </c>
      <c r="K3312" s="5814" t="s">
        <v>10327</v>
      </c>
    </row>
    <row r="3313" spans="1:11">
      <c r="A3313" s="21" t="s">
        <v>3235</v>
      </c>
      <c r="B3313" s="21" t="s">
        <v>10328</v>
      </c>
      <c r="C3313" s="21" t="s">
        <v>22</v>
      </c>
      <c r="D3313" s="21" t="s">
        <v>1147</v>
      </c>
      <c r="E3313" s="21" t="s">
        <v>9</v>
      </c>
      <c r="F3313" s="5812">
        <v>3</v>
      </c>
      <c r="G3313" s="5813">
        <v>0.20833333333333334</v>
      </c>
      <c r="H3313" s="21" t="s">
        <v>10</v>
      </c>
      <c r="I3313" s="21" t="s">
        <v>39</v>
      </c>
      <c r="J3313" s="21" t="s">
        <v>10329</v>
      </c>
      <c r="K3313" s="5814" t="s">
        <v>10330</v>
      </c>
    </row>
    <row r="3314" spans="1:11">
      <c r="A3314" s="21" t="s">
        <v>2061</v>
      </c>
      <c r="B3314" s="21" t="s">
        <v>10331</v>
      </c>
      <c r="C3314" s="21" t="s">
        <v>8</v>
      </c>
      <c r="D3314" s="21" t="s">
        <v>1147</v>
      </c>
      <c r="E3314" s="21" t="s">
        <v>9</v>
      </c>
      <c r="F3314" s="5812">
        <v>3</v>
      </c>
      <c r="G3314" s="5813">
        <v>0.20833333333333334</v>
      </c>
      <c r="H3314" s="21" t="s">
        <v>10</v>
      </c>
      <c r="I3314" s="21" t="s">
        <v>96</v>
      </c>
      <c r="J3314" s="21" t="s">
        <v>10332</v>
      </c>
      <c r="K3314" s="5814" t="s">
        <v>10333</v>
      </c>
    </row>
    <row r="3315" spans="1:11">
      <c r="A3315" s="21" t="s">
        <v>2495</v>
      </c>
      <c r="B3315" s="21" t="s">
        <v>10334</v>
      </c>
      <c r="C3315" s="21" t="s">
        <v>8</v>
      </c>
      <c r="D3315" s="21" t="s">
        <v>1147</v>
      </c>
      <c r="E3315" s="21" t="s">
        <v>9</v>
      </c>
      <c r="F3315" s="5812">
        <v>3</v>
      </c>
      <c r="G3315" s="5813">
        <v>0.20833333333333334</v>
      </c>
      <c r="H3315" s="21" t="s">
        <v>10</v>
      </c>
      <c r="I3315" s="21" t="s">
        <v>55</v>
      </c>
      <c r="J3315" s="21" t="s">
        <v>10335</v>
      </c>
      <c r="K3315" s="5814" t="s">
        <v>10336</v>
      </c>
    </row>
    <row r="3316" spans="1:11">
      <c r="A3316" s="21" t="s">
        <v>3984</v>
      </c>
      <c r="B3316" s="21" t="s">
        <v>10337</v>
      </c>
      <c r="C3316" s="21" t="s">
        <v>22</v>
      </c>
      <c r="D3316" s="21" t="s">
        <v>1147</v>
      </c>
      <c r="E3316" s="21" t="s">
        <v>9</v>
      </c>
      <c r="F3316" s="5812">
        <v>3</v>
      </c>
      <c r="G3316" s="5813">
        <v>0.20833333333333334</v>
      </c>
      <c r="H3316" s="21" t="s">
        <v>10</v>
      </c>
      <c r="I3316" s="21" t="s">
        <v>96</v>
      </c>
      <c r="J3316" s="21" t="s">
        <v>10338</v>
      </c>
      <c r="K3316" s="5814" t="s">
        <v>10339</v>
      </c>
    </row>
    <row r="3317" spans="1:11">
      <c r="A3317" s="21" t="s">
        <v>3690</v>
      </c>
      <c r="B3317" s="21" t="s">
        <v>10340</v>
      </c>
      <c r="C3317" s="21" t="s">
        <v>8</v>
      </c>
      <c r="D3317" s="21" t="s">
        <v>1147</v>
      </c>
      <c r="E3317" s="21" t="s">
        <v>9</v>
      </c>
      <c r="F3317" s="5812">
        <v>3</v>
      </c>
      <c r="G3317" s="5813">
        <v>0.20833333333333334</v>
      </c>
      <c r="H3317" s="21" t="s">
        <v>10</v>
      </c>
      <c r="I3317" s="21" t="s">
        <v>55</v>
      </c>
      <c r="J3317" s="21" t="s">
        <v>10290</v>
      </c>
      <c r="K3317" s="5814" t="s">
        <v>10341</v>
      </c>
    </row>
    <row r="3318" spans="1:11">
      <c r="A3318" s="21" t="s">
        <v>3690</v>
      </c>
      <c r="B3318" s="21" t="s">
        <v>10342</v>
      </c>
      <c r="C3318" s="21" t="s">
        <v>22</v>
      </c>
      <c r="D3318" s="21" t="s">
        <v>1147</v>
      </c>
      <c r="E3318" s="21" t="s">
        <v>9</v>
      </c>
      <c r="F3318" s="5812">
        <v>3</v>
      </c>
      <c r="G3318" s="5813">
        <v>0.20833333333333334</v>
      </c>
      <c r="H3318" s="21" t="s">
        <v>10</v>
      </c>
      <c r="I3318" s="21" t="s">
        <v>39</v>
      </c>
      <c r="J3318" s="21" t="s">
        <v>5041</v>
      </c>
      <c r="K3318" s="5814" t="s">
        <v>10343</v>
      </c>
    </row>
    <row r="3319" spans="1:11">
      <c r="A3319" s="21" t="s">
        <v>2901</v>
      </c>
      <c r="B3319" s="21" t="s">
        <v>10344</v>
      </c>
      <c r="C3319" s="21" t="s">
        <v>8</v>
      </c>
      <c r="D3319" s="21" t="s">
        <v>1147</v>
      </c>
      <c r="E3319" s="21" t="s">
        <v>9</v>
      </c>
      <c r="F3319" s="5812">
        <v>3</v>
      </c>
      <c r="G3319" s="5813">
        <v>0.20833333333333334</v>
      </c>
      <c r="H3319" s="21" t="s">
        <v>10</v>
      </c>
      <c r="I3319" s="21" t="s">
        <v>11</v>
      </c>
      <c r="J3319" s="21" t="s">
        <v>10345</v>
      </c>
      <c r="K3319" s="5814" t="s">
        <v>10346</v>
      </c>
    </row>
    <row r="3320" spans="1:11">
      <c r="A3320" s="21" t="s">
        <v>4003</v>
      </c>
      <c r="B3320" s="21" t="s">
        <v>10347</v>
      </c>
      <c r="C3320" s="21" t="s">
        <v>8</v>
      </c>
      <c r="D3320" s="21" t="s">
        <v>1147</v>
      </c>
      <c r="E3320" s="21" t="s">
        <v>9</v>
      </c>
      <c r="F3320" s="5812">
        <v>3</v>
      </c>
      <c r="G3320" s="5813">
        <v>0.20833333333333334</v>
      </c>
      <c r="H3320" s="21" t="s">
        <v>10</v>
      </c>
      <c r="I3320" s="21" t="s">
        <v>39</v>
      </c>
      <c r="J3320" s="21" t="s">
        <v>10348</v>
      </c>
      <c r="K3320" s="5814" t="s">
        <v>10349</v>
      </c>
    </row>
    <row r="3321" spans="1:11">
      <c r="A3321" s="21" t="s">
        <v>2119</v>
      </c>
      <c r="B3321" s="21" t="s">
        <v>10350</v>
      </c>
      <c r="C3321" s="21" t="s">
        <v>22</v>
      </c>
      <c r="D3321" s="21" t="s">
        <v>1147</v>
      </c>
      <c r="E3321" s="21" t="s">
        <v>9</v>
      </c>
      <c r="F3321" s="5812">
        <v>3</v>
      </c>
      <c r="G3321" s="5813">
        <v>0.20833333333333334</v>
      </c>
      <c r="H3321" s="21" t="s">
        <v>10</v>
      </c>
      <c r="I3321" s="21" t="s">
        <v>89</v>
      </c>
      <c r="J3321" s="21" t="s">
        <v>10351</v>
      </c>
      <c r="K3321" s="5814" t="s">
        <v>10352</v>
      </c>
    </row>
    <row r="3322" spans="1:11">
      <c r="A3322" s="21" t="s">
        <v>3224</v>
      </c>
      <c r="B3322" s="21" t="s">
        <v>10353</v>
      </c>
      <c r="C3322" s="21" t="s">
        <v>22</v>
      </c>
      <c r="D3322" s="21" t="s">
        <v>1147</v>
      </c>
      <c r="E3322" s="21" t="s">
        <v>9</v>
      </c>
      <c r="F3322" s="5812">
        <v>3</v>
      </c>
      <c r="G3322" s="5813">
        <v>0.20833333333333334</v>
      </c>
      <c r="H3322" s="21" t="s">
        <v>10</v>
      </c>
      <c r="I3322" s="21" t="s">
        <v>39</v>
      </c>
      <c r="J3322" s="21" t="s">
        <v>10354</v>
      </c>
      <c r="K3322" s="5814" t="s">
        <v>10355</v>
      </c>
    </row>
    <row r="3323" spans="1:11">
      <c r="A3323" s="21" t="s">
        <v>3505</v>
      </c>
      <c r="B3323" s="21" t="s">
        <v>10356</v>
      </c>
      <c r="C3323" s="21" t="s">
        <v>8</v>
      </c>
      <c r="D3323" s="21" t="s">
        <v>1147</v>
      </c>
      <c r="E3323" s="21" t="s">
        <v>9</v>
      </c>
      <c r="F3323" s="5812">
        <v>3</v>
      </c>
      <c r="G3323" s="5813">
        <v>0.20833333333333334</v>
      </c>
      <c r="H3323" s="21" t="s">
        <v>10</v>
      </c>
      <c r="I3323" s="21" t="s">
        <v>55</v>
      </c>
      <c r="J3323" s="21" t="s">
        <v>10357</v>
      </c>
      <c r="K3323" s="5814" t="s">
        <v>10358</v>
      </c>
    </row>
    <row r="3324" spans="1:11">
      <c r="A3324" s="21" t="s">
        <v>3505</v>
      </c>
      <c r="B3324" s="21" t="s">
        <v>10359</v>
      </c>
      <c r="C3324" s="21" t="s">
        <v>8</v>
      </c>
      <c r="D3324" s="21" t="s">
        <v>1147</v>
      </c>
      <c r="E3324" s="21" t="s">
        <v>9</v>
      </c>
      <c r="F3324" s="5812">
        <v>3</v>
      </c>
      <c r="G3324" s="5813">
        <v>0.20833333333333334</v>
      </c>
      <c r="H3324" s="21" t="s">
        <v>10</v>
      </c>
      <c r="I3324" s="21" t="s">
        <v>39</v>
      </c>
      <c r="J3324" s="21" t="s">
        <v>10360</v>
      </c>
      <c r="K3324" s="5814" t="s">
        <v>10361</v>
      </c>
    </row>
    <row r="3325" spans="1:11">
      <c r="A3325" s="21" t="s">
        <v>4043</v>
      </c>
      <c r="B3325" s="21" t="s">
        <v>10362</v>
      </c>
      <c r="C3325" s="21" t="s">
        <v>8</v>
      </c>
      <c r="D3325" s="21" t="s">
        <v>1147</v>
      </c>
      <c r="E3325" s="21" t="s">
        <v>9</v>
      </c>
      <c r="F3325" s="5812">
        <v>3</v>
      </c>
      <c r="G3325" s="5813">
        <v>0.20833333333333334</v>
      </c>
      <c r="H3325" s="21" t="s">
        <v>10</v>
      </c>
      <c r="I3325" s="21" t="s">
        <v>47</v>
      </c>
      <c r="J3325" s="21" t="s">
        <v>10363</v>
      </c>
      <c r="K3325" s="5814" t="s">
        <v>10364</v>
      </c>
    </row>
    <row r="3326" spans="1:11">
      <c r="A3326" s="21" t="s">
        <v>2509</v>
      </c>
      <c r="B3326" s="21" t="s">
        <v>10365</v>
      </c>
      <c r="C3326" s="21" t="s">
        <v>8</v>
      </c>
      <c r="D3326" s="21" t="s">
        <v>1147</v>
      </c>
      <c r="E3326" s="21" t="s">
        <v>9</v>
      </c>
      <c r="F3326" s="5812">
        <v>3</v>
      </c>
      <c r="G3326" s="5813">
        <v>0.20833333333333334</v>
      </c>
      <c r="H3326" s="21" t="s">
        <v>10</v>
      </c>
      <c r="I3326" s="21" t="s">
        <v>39</v>
      </c>
      <c r="J3326" s="21" t="s">
        <v>10366</v>
      </c>
      <c r="K3326" s="5814" t="s">
        <v>10367</v>
      </c>
    </row>
    <row r="3327" spans="1:11">
      <c r="A3327" s="21" t="s">
        <v>2509</v>
      </c>
      <c r="B3327" s="21" t="s">
        <v>10368</v>
      </c>
      <c r="C3327" s="21" t="s">
        <v>8</v>
      </c>
      <c r="D3327" s="21" t="s">
        <v>1147</v>
      </c>
      <c r="E3327" s="21" t="s">
        <v>9</v>
      </c>
      <c r="F3327" s="5812">
        <v>3</v>
      </c>
      <c r="G3327" s="5813">
        <v>0.20833333333333334</v>
      </c>
      <c r="H3327" s="21" t="s">
        <v>10</v>
      </c>
      <c r="I3327" s="21" t="s">
        <v>47</v>
      </c>
      <c r="J3327" s="21" t="s">
        <v>10369</v>
      </c>
      <c r="K3327" s="5814" t="s">
        <v>10370</v>
      </c>
    </row>
    <row r="3328" spans="1:11">
      <c r="A3328" s="21" t="s">
        <v>5335</v>
      </c>
      <c r="B3328" s="21" t="s">
        <v>10371</v>
      </c>
      <c r="C3328" s="21" t="s">
        <v>22</v>
      </c>
      <c r="D3328" s="21" t="s">
        <v>1147</v>
      </c>
      <c r="E3328" s="21" t="s">
        <v>9</v>
      </c>
      <c r="F3328" s="5812">
        <v>3</v>
      </c>
      <c r="G3328" s="5813">
        <v>0.20833333333333334</v>
      </c>
      <c r="H3328" s="21" t="s">
        <v>10</v>
      </c>
      <c r="I3328" s="21" t="s">
        <v>47</v>
      </c>
      <c r="J3328" s="21" t="s">
        <v>10372</v>
      </c>
      <c r="K3328" s="5814" t="s">
        <v>10373</v>
      </c>
    </row>
    <row r="3329" spans="1:11">
      <c r="A3329" s="21" t="s">
        <v>5335</v>
      </c>
      <c r="B3329" s="21" t="s">
        <v>10374</v>
      </c>
      <c r="C3329" s="21" t="s">
        <v>22</v>
      </c>
      <c r="D3329" s="21" t="s">
        <v>1147</v>
      </c>
      <c r="E3329" s="21" t="s">
        <v>9</v>
      </c>
      <c r="F3329" s="5812">
        <v>3</v>
      </c>
      <c r="G3329" s="5813">
        <v>0.20833333333333334</v>
      </c>
      <c r="H3329" s="21" t="s">
        <v>10</v>
      </c>
      <c r="I3329" s="21" t="s">
        <v>39</v>
      </c>
      <c r="J3329" s="21" t="s">
        <v>10375</v>
      </c>
      <c r="K3329" s="5814" t="s">
        <v>10376</v>
      </c>
    </row>
    <row r="3330" spans="1:11">
      <c r="A3330" s="21" t="s">
        <v>5335</v>
      </c>
      <c r="B3330" s="21" t="s">
        <v>10377</v>
      </c>
      <c r="C3330" s="21" t="s">
        <v>8</v>
      </c>
      <c r="D3330" s="21" t="s">
        <v>1147</v>
      </c>
      <c r="E3330" s="21" t="s">
        <v>9</v>
      </c>
      <c r="F3330" s="5812">
        <v>3</v>
      </c>
      <c r="G3330" s="5813">
        <v>0.20833333333333334</v>
      </c>
      <c r="H3330" s="21" t="s">
        <v>10</v>
      </c>
      <c r="I3330" s="21" t="s">
        <v>23</v>
      </c>
      <c r="J3330" s="21" t="s">
        <v>10378</v>
      </c>
      <c r="K3330" s="5814" t="s">
        <v>10379</v>
      </c>
    </row>
    <row r="3331" spans="1:11">
      <c r="A3331" s="21" t="s">
        <v>2127</v>
      </c>
      <c r="B3331" s="21" t="s">
        <v>10380</v>
      </c>
      <c r="C3331" s="21" t="s">
        <v>8</v>
      </c>
      <c r="D3331" s="21" t="s">
        <v>1147</v>
      </c>
      <c r="E3331" s="21" t="s">
        <v>9</v>
      </c>
      <c r="F3331" s="5812">
        <v>3</v>
      </c>
      <c r="G3331" s="5813">
        <v>0.20833333333333334</v>
      </c>
      <c r="H3331" s="21" t="s">
        <v>10</v>
      </c>
      <c r="I3331" s="21" t="s">
        <v>96</v>
      </c>
      <c r="J3331" s="21" t="s">
        <v>10381</v>
      </c>
      <c r="K3331" s="5814" t="s">
        <v>10382</v>
      </c>
    </row>
    <row r="3332" spans="1:11">
      <c r="A3332" s="21" t="s">
        <v>2938</v>
      </c>
      <c r="B3332" s="21" t="s">
        <v>10383</v>
      </c>
      <c r="C3332" s="21" t="s">
        <v>22</v>
      </c>
      <c r="D3332" s="21" t="s">
        <v>1147</v>
      </c>
      <c r="E3332" s="21" t="s">
        <v>9</v>
      </c>
      <c r="F3332" s="5812">
        <v>3</v>
      </c>
      <c r="G3332" s="5813">
        <v>0.20833333333333334</v>
      </c>
      <c r="H3332" s="21" t="s">
        <v>10</v>
      </c>
      <c r="I3332" s="21" t="s">
        <v>2313</v>
      </c>
      <c r="J3332" s="21" t="s">
        <v>7268</v>
      </c>
      <c r="K3332" s="5814" t="s">
        <v>10384</v>
      </c>
    </row>
    <row r="3333" spans="1:11">
      <c r="A3333" s="21" t="s">
        <v>2521</v>
      </c>
      <c r="B3333" s="21" t="s">
        <v>10385</v>
      </c>
      <c r="C3333" s="21" t="s">
        <v>8</v>
      </c>
      <c r="D3333" s="21" t="s">
        <v>1147</v>
      </c>
      <c r="E3333" s="21" t="s">
        <v>9</v>
      </c>
      <c r="F3333" s="5812">
        <v>3</v>
      </c>
      <c r="G3333" s="5813">
        <v>0.20833333333333334</v>
      </c>
      <c r="H3333" s="21" t="s">
        <v>10</v>
      </c>
      <c r="I3333" s="21" t="s">
        <v>47</v>
      </c>
      <c r="J3333" s="21" t="s">
        <v>10386</v>
      </c>
      <c r="K3333" s="5814" t="s">
        <v>10387</v>
      </c>
    </row>
    <row r="3334" spans="1:11">
      <c r="A3334" s="21" t="s">
        <v>3703</v>
      </c>
      <c r="B3334" s="21" t="s">
        <v>10388</v>
      </c>
      <c r="C3334" s="21" t="s">
        <v>22</v>
      </c>
      <c r="D3334" s="21" t="s">
        <v>1147</v>
      </c>
      <c r="E3334" s="21" t="s">
        <v>9</v>
      </c>
      <c r="F3334" s="5812">
        <v>3</v>
      </c>
      <c r="G3334" s="5813">
        <v>0.20833333333333334</v>
      </c>
      <c r="H3334" s="21" t="s">
        <v>10</v>
      </c>
      <c r="I3334" s="21" t="s">
        <v>96</v>
      </c>
      <c r="J3334" s="21" t="s">
        <v>10389</v>
      </c>
      <c r="K3334" s="5814" t="s">
        <v>10390</v>
      </c>
    </row>
    <row r="3335" spans="1:11">
      <c r="A3335" s="21" t="s">
        <v>3613</v>
      </c>
      <c r="B3335" s="21" t="s">
        <v>10391</v>
      </c>
      <c r="C3335" s="21" t="s">
        <v>8</v>
      </c>
      <c r="D3335" s="21" t="s">
        <v>1147</v>
      </c>
      <c r="E3335" s="21" t="s">
        <v>9</v>
      </c>
      <c r="F3335" s="5812">
        <v>3</v>
      </c>
      <c r="G3335" s="5813">
        <v>0.20833333333333334</v>
      </c>
      <c r="H3335" s="21" t="s">
        <v>10</v>
      </c>
      <c r="I3335" s="21" t="s">
        <v>23</v>
      </c>
      <c r="J3335" s="21" t="s">
        <v>10392</v>
      </c>
      <c r="K3335" s="5814" t="s">
        <v>10393</v>
      </c>
    </row>
    <row r="3336" spans="1:11">
      <c r="A3336" s="21" t="s">
        <v>4068</v>
      </c>
      <c r="B3336" s="21" t="s">
        <v>10394</v>
      </c>
      <c r="C3336" s="21" t="s">
        <v>22</v>
      </c>
      <c r="D3336" s="21" t="s">
        <v>1147</v>
      </c>
      <c r="E3336" s="21" t="s">
        <v>9</v>
      </c>
      <c r="F3336" s="5812">
        <v>3</v>
      </c>
      <c r="G3336" s="5813">
        <v>0.20833333333333334</v>
      </c>
      <c r="H3336" s="21" t="s">
        <v>10</v>
      </c>
      <c r="I3336" s="21" t="s">
        <v>96</v>
      </c>
      <c r="J3336" s="21" t="s">
        <v>10395</v>
      </c>
      <c r="K3336" s="5814" t="s">
        <v>10396</v>
      </c>
    </row>
    <row r="3337" spans="1:11">
      <c r="A3337" s="21" t="s">
        <v>2291</v>
      </c>
      <c r="B3337" s="21" t="s">
        <v>10397</v>
      </c>
      <c r="C3337" s="21" t="s">
        <v>22</v>
      </c>
      <c r="D3337" s="21" t="s">
        <v>1147</v>
      </c>
      <c r="E3337" s="21" t="s">
        <v>9</v>
      </c>
      <c r="F3337" s="5812">
        <v>3</v>
      </c>
      <c r="G3337" s="5813">
        <v>0.20833333333333334</v>
      </c>
      <c r="H3337" s="21" t="s">
        <v>10</v>
      </c>
      <c r="I3337" s="21" t="s">
        <v>39</v>
      </c>
      <c r="J3337" s="21" t="s">
        <v>10398</v>
      </c>
      <c r="K3337" s="5814" t="s">
        <v>10399</v>
      </c>
    </row>
    <row r="3338" spans="1:11">
      <c r="A3338" s="21" t="s">
        <v>2135</v>
      </c>
      <c r="B3338" s="21" t="s">
        <v>10400</v>
      </c>
      <c r="C3338" s="21" t="s">
        <v>8</v>
      </c>
      <c r="D3338" s="21" t="s">
        <v>1147</v>
      </c>
      <c r="E3338" s="21" t="s">
        <v>9</v>
      </c>
      <c r="F3338" s="5812">
        <v>3</v>
      </c>
      <c r="G3338" s="5813">
        <v>0.20833333333333334</v>
      </c>
      <c r="H3338" s="21" t="s">
        <v>10</v>
      </c>
      <c r="I3338" s="21" t="s">
        <v>96</v>
      </c>
      <c r="J3338" s="21" t="s">
        <v>10401</v>
      </c>
      <c r="K3338" s="5814" t="s">
        <v>10402</v>
      </c>
    </row>
    <row r="3339" spans="1:11">
      <c r="A3339" s="21" t="s">
        <v>2538</v>
      </c>
      <c r="B3339" s="21" t="s">
        <v>10403</v>
      </c>
      <c r="C3339" s="21" t="s">
        <v>8</v>
      </c>
      <c r="D3339" s="21" t="s">
        <v>1147</v>
      </c>
      <c r="E3339" s="21" t="s">
        <v>9</v>
      </c>
      <c r="F3339" s="5812">
        <v>3</v>
      </c>
      <c r="G3339" s="5813">
        <v>0.20833333333333334</v>
      </c>
      <c r="H3339" s="21" t="s">
        <v>10</v>
      </c>
      <c r="I3339" s="21" t="s">
        <v>2544</v>
      </c>
      <c r="J3339" s="21" t="s">
        <v>10404</v>
      </c>
      <c r="K3339" s="5814" t="s">
        <v>10405</v>
      </c>
    </row>
    <row r="3340" spans="1:11">
      <c r="A3340" s="21" t="s">
        <v>2538</v>
      </c>
      <c r="B3340" s="21" t="s">
        <v>10406</v>
      </c>
      <c r="C3340" s="21" t="s">
        <v>8</v>
      </c>
      <c r="D3340" s="21" t="s">
        <v>1147</v>
      </c>
      <c r="E3340" s="21" t="s">
        <v>9</v>
      </c>
      <c r="F3340" s="5812">
        <v>3</v>
      </c>
      <c r="G3340" s="5813">
        <v>0.20833333333333334</v>
      </c>
      <c r="H3340" s="21" t="s">
        <v>10</v>
      </c>
      <c r="I3340" s="21" t="s">
        <v>2544</v>
      </c>
      <c r="J3340" s="21" t="s">
        <v>10407</v>
      </c>
      <c r="K3340" s="5814" t="s">
        <v>10408</v>
      </c>
    </row>
    <row r="3341" spans="1:11">
      <c r="A3341" s="21" t="s">
        <v>3387</v>
      </c>
      <c r="B3341" s="21" t="s">
        <v>10409</v>
      </c>
      <c r="C3341" s="21" t="s">
        <v>22</v>
      </c>
      <c r="D3341" s="21" t="s">
        <v>1147</v>
      </c>
      <c r="E3341" s="21" t="s">
        <v>9</v>
      </c>
      <c r="F3341" s="5812">
        <v>3</v>
      </c>
      <c r="G3341" s="5813">
        <v>0.20833333333333334</v>
      </c>
      <c r="H3341" s="21" t="s">
        <v>10</v>
      </c>
      <c r="I3341" s="21" t="s">
        <v>2544</v>
      </c>
      <c r="J3341" s="21" t="s">
        <v>10410</v>
      </c>
      <c r="K3341" s="5814" t="s">
        <v>10411</v>
      </c>
    </row>
    <row r="3342" spans="1:11">
      <c r="A3342" s="21" t="s">
        <v>3616</v>
      </c>
      <c r="B3342" s="21" t="s">
        <v>10412</v>
      </c>
      <c r="C3342" s="21" t="s">
        <v>8</v>
      </c>
      <c r="D3342" s="21" t="s">
        <v>1147</v>
      </c>
      <c r="E3342" s="21" t="s">
        <v>9</v>
      </c>
      <c r="F3342" s="5812">
        <v>3</v>
      </c>
      <c r="G3342" s="5813">
        <v>0.20833333333333334</v>
      </c>
      <c r="H3342" s="21" t="s">
        <v>10</v>
      </c>
      <c r="I3342" s="21" t="s">
        <v>11</v>
      </c>
      <c r="J3342" s="21" t="s">
        <v>10290</v>
      </c>
      <c r="K3342" s="5814" t="s">
        <v>10413</v>
      </c>
    </row>
    <row r="3343" spans="1:11">
      <c r="A3343" s="21" t="s">
        <v>3597</v>
      </c>
      <c r="B3343" s="21" t="s">
        <v>10414</v>
      </c>
      <c r="C3343" s="21" t="s">
        <v>8</v>
      </c>
      <c r="D3343" s="21" t="s">
        <v>1147</v>
      </c>
      <c r="E3343" s="21" t="s">
        <v>9</v>
      </c>
      <c r="F3343" s="5812">
        <v>3</v>
      </c>
      <c r="G3343" s="5813">
        <v>0.20833333333333334</v>
      </c>
      <c r="H3343" s="21" t="s">
        <v>10</v>
      </c>
      <c r="I3343" s="21" t="s">
        <v>23</v>
      </c>
      <c r="J3343" s="21" t="s">
        <v>10415</v>
      </c>
      <c r="K3343" s="5814" t="s">
        <v>10416</v>
      </c>
    </row>
    <row r="3344" spans="1:11">
      <c r="A3344" s="21" t="s">
        <v>2966</v>
      </c>
      <c r="B3344" s="21" t="s">
        <v>10417</v>
      </c>
      <c r="C3344" s="21" t="s">
        <v>8</v>
      </c>
      <c r="D3344" s="21" t="s">
        <v>1147</v>
      </c>
      <c r="E3344" s="21" t="s">
        <v>9</v>
      </c>
      <c r="F3344" s="5812">
        <v>3</v>
      </c>
      <c r="G3344" s="5813">
        <v>0.20833333333333334</v>
      </c>
      <c r="H3344" s="21" t="s">
        <v>10</v>
      </c>
      <c r="I3344" s="21" t="s">
        <v>39</v>
      </c>
      <c r="J3344" s="21" t="s">
        <v>10418</v>
      </c>
      <c r="K3344" s="5814" t="s">
        <v>10419</v>
      </c>
    </row>
    <row r="3345" spans="1:11">
      <c r="A3345" s="21" t="s">
        <v>3315</v>
      </c>
      <c r="B3345" s="21" t="s">
        <v>10420</v>
      </c>
      <c r="C3345" s="21" t="s">
        <v>8</v>
      </c>
      <c r="D3345" s="21" t="s">
        <v>1147</v>
      </c>
      <c r="E3345" s="21" t="s">
        <v>9</v>
      </c>
      <c r="F3345" s="5812">
        <v>3</v>
      </c>
      <c r="G3345" s="5813">
        <v>0.20833333333333334</v>
      </c>
      <c r="H3345" s="21" t="s">
        <v>10</v>
      </c>
      <c r="I3345" s="21" t="s">
        <v>39</v>
      </c>
      <c r="J3345" s="21" t="s">
        <v>8622</v>
      </c>
      <c r="K3345" s="5814" t="s">
        <v>10421</v>
      </c>
    </row>
    <row r="3346" spans="1:11">
      <c r="A3346" s="21" t="s">
        <v>4116</v>
      </c>
      <c r="B3346" s="21" t="s">
        <v>10422</v>
      </c>
      <c r="C3346" s="21" t="s">
        <v>8</v>
      </c>
      <c r="D3346" s="21" t="s">
        <v>1147</v>
      </c>
      <c r="E3346" s="21" t="s">
        <v>9</v>
      </c>
      <c r="F3346" s="5812">
        <v>3</v>
      </c>
      <c r="G3346" s="5813">
        <v>0.20833333333333334</v>
      </c>
      <c r="H3346" s="21" t="s">
        <v>10</v>
      </c>
      <c r="I3346" s="21" t="s">
        <v>11</v>
      </c>
      <c r="J3346" s="21" t="s">
        <v>10423</v>
      </c>
      <c r="K3346" s="5814" t="s">
        <v>10424</v>
      </c>
    </row>
    <row r="3347" spans="1:11">
      <c r="A3347" s="21" t="s">
        <v>2065</v>
      </c>
      <c r="B3347" s="21" t="s">
        <v>10425</v>
      </c>
      <c r="C3347" s="21" t="s">
        <v>8</v>
      </c>
      <c r="D3347" s="21" t="s">
        <v>1147</v>
      </c>
      <c r="E3347" s="21" t="s">
        <v>9</v>
      </c>
      <c r="F3347" s="5812">
        <v>3</v>
      </c>
      <c r="G3347" s="5813">
        <v>0.20833333333333334</v>
      </c>
      <c r="H3347" s="21" t="s">
        <v>10</v>
      </c>
      <c r="I3347" s="21" t="s">
        <v>233</v>
      </c>
      <c r="J3347" s="21" t="s">
        <v>10426</v>
      </c>
      <c r="K3347" s="5814" t="s">
        <v>10427</v>
      </c>
    </row>
    <row r="3348" spans="1:11">
      <c r="A3348" s="21" t="s">
        <v>2979</v>
      </c>
      <c r="B3348" s="21" t="s">
        <v>10428</v>
      </c>
      <c r="C3348" s="21" t="s">
        <v>8</v>
      </c>
      <c r="D3348" s="21" t="s">
        <v>1147</v>
      </c>
      <c r="E3348" s="21" t="s">
        <v>9</v>
      </c>
      <c r="F3348" s="5812">
        <v>3</v>
      </c>
      <c r="G3348" s="5813">
        <v>0.20833333333333334</v>
      </c>
      <c r="H3348" s="21" t="s">
        <v>10</v>
      </c>
      <c r="I3348" s="21" t="s">
        <v>11</v>
      </c>
      <c r="J3348" s="21" t="s">
        <v>10429</v>
      </c>
      <c r="K3348" s="5814" t="s">
        <v>10430</v>
      </c>
    </row>
    <row r="3349" spans="1:11">
      <c r="A3349" s="21" t="s">
        <v>2551</v>
      </c>
      <c r="B3349" s="21" t="s">
        <v>10431</v>
      </c>
      <c r="C3349" s="21" t="s">
        <v>8</v>
      </c>
      <c r="D3349" s="21" t="s">
        <v>1147</v>
      </c>
      <c r="E3349" s="21" t="s">
        <v>9</v>
      </c>
      <c r="F3349" s="5812">
        <v>3</v>
      </c>
      <c r="G3349" s="5813">
        <v>0.20833333333333334</v>
      </c>
      <c r="H3349" s="21" t="s">
        <v>10</v>
      </c>
      <c r="I3349" s="21" t="s">
        <v>4510</v>
      </c>
      <c r="J3349" s="21" t="s">
        <v>10432</v>
      </c>
      <c r="K3349" s="5814" t="s">
        <v>10433</v>
      </c>
    </row>
    <row r="3350" spans="1:11">
      <c r="A3350" s="21" t="s">
        <v>4565</v>
      </c>
      <c r="B3350" s="21" t="s">
        <v>10434</v>
      </c>
      <c r="C3350" s="21" t="s">
        <v>8</v>
      </c>
      <c r="D3350" s="21" t="s">
        <v>1147</v>
      </c>
      <c r="E3350" s="21" t="s">
        <v>9</v>
      </c>
      <c r="F3350" s="5812">
        <v>3</v>
      </c>
      <c r="G3350" s="5813">
        <v>0.20833333333333334</v>
      </c>
      <c r="H3350" s="21" t="s">
        <v>10</v>
      </c>
      <c r="I3350" s="21" t="s">
        <v>3534</v>
      </c>
      <c r="J3350" s="21" t="s">
        <v>10435</v>
      </c>
      <c r="K3350" s="5814" t="s">
        <v>10436</v>
      </c>
    </row>
    <row r="3351" spans="1:11">
      <c r="A3351" s="21" t="s">
        <v>2560</v>
      </c>
      <c r="B3351" s="21" t="s">
        <v>10437</v>
      </c>
      <c r="C3351" s="21" t="s">
        <v>22</v>
      </c>
      <c r="D3351" s="21" t="s">
        <v>1147</v>
      </c>
      <c r="E3351" s="21" t="s">
        <v>9</v>
      </c>
      <c r="F3351" s="5812">
        <v>3</v>
      </c>
      <c r="G3351" s="5813">
        <v>0.20833333333333334</v>
      </c>
      <c r="H3351" s="21" t="s">
        <v>10</v>
      </c>
      <c r="I3351" s="21" t="s">
        <v>187</v>
      </c>
      <c r="J3351" s="21" t="s">
        <v>10438</v>
      </c>
      <c r="K3351" s="5814" t="s">
        <v>10439</v>
      </c>
    </row>
    <row r="3352" spans="1:11">
      <c r="A3352" s="21" t="s">
        <v>2160</v>
      </c>
      <c r="B3352" s="21" t="s">
        <v>10440</v>
      </c>
      <c r="C3352" s="21" t="s">
        <v>22</v>
      </c>
      <c r="D3352" s="21" t="s">
        <v>1147</v>
      </c>
      <c r="E3352" s="21" t="s">
        <v>9</v>
      </c>
      <c r="F3352" s="5812">
        <v>3</v>
      </c>
      <c r="G3352" s="5813">
        <v>0.20833333333333334</v>
      </c>
      <c r="H3352" s="21" t="s">
        <v>10</v>
      </c>
      <c r="I3352" s="21" t="s">
        <v>47</v>
      </c>
      <c r="J3352" s="21" t="s">
        <v>10441</v>
      </c>
      <c r="K3352" s="5814" t="s">
        <v>10442</v>
      </c>
    </row>
    <row r="3353" spans="1:11">
      <c r="A3353" s="21" t="s">
        <v>2160</v>
      </c>
      <c r="B3353" s="21" t="s">
        <v>10443</v>
      </c>
      <c r="C3353" s="21" t="s">
        <v>8</v>
      </c>
      <c r="D3353" s="21" t="s">
        <v>1147</v>
      </c>
      <c r="E3353" s="21" t="s">
        <v>9</v>
      </c>
      <c r="F3353" s="5812">
        <v>3</v>
      </c>
      <c r="G3353" s="5813">
        <v>0.20833333333333334</v>
      </c>
      <c r="H3353" s="21" t="s">
        <v>10</v>
      </c>
      <c r="I3353" s="21" t="s">
        <v>2814</v>
      </c>
      <c r="J3353" s="21" t="s">
        <v>10444</v>
      </c>
      <c r="K3353" s="5814" t="s">
        <v>10445</v>
      </c>
    </row>
    <row r="3354" spans="1:11">
      <c r="A3354" s="21" t="s">
        <v>3720</v>
      </c>
      <c r="B3354" s="21" t="s">
        <v>10446</v>
      </c>
      <c r="C3354" s="21" t="s">
        <v>8</v>
      </c>
      <c r="D3354" s="21" t="s">
        <v>1147</v>
      </c>
      <c r="E3354" s="21" t="s">
        <v>9</v>
      </c>
      <c r="F3354" s="5812">
        <v>3</v>
      </c>
      <c r="G3354" s="5813">
        <v>0.20833333333333334</v>
      </c>
      <c r="H3354" s="21" t="s">
        <v>10</v>
      </c>
      <c r="I3354" s="21" t="s">
        <v>11</v>
      </c>
      <c r="J3354" s="21" t="s">
        <v>10447</v>
      </c>
      <c r="K3354" s="5814" t="s">
        <v>10448</v>
      </c>
    </row>
    <row r="3355" spans="1:11">
      <c r="A3355" s="21" t="s">
        <v>4139</v>
      </c>
      <c r="B3355" s="21" t="s">
        <v>10449</v>
      </c>
      <c r="C3355" s="21" t="s">
        <v>8</v>
      </c>
      <c r="D3355" s="21" t="s">
        <v>1147</v>
      </c>
      <c r="E3355" s="21" t="s">
        <v>9</v>
      </c>
      <c r="F3355" s="5812">
        <v>3</v>
      </c>
      <c r="G3355" s="5813">
        <v>0.20833333333333334</v>
      </c>
      <c r="H3355" s="21" t="s">
        <v>10</v>
      </c>
      <c r="I3355" s="21" t="s">
        <v>2153</v>
      </c>
      <c r="J3355" s="21" t="s">
        <v>10450</v>
      </c>
      <c r="K3355" s="5814" t="s">
        <v>10451</v>
      </c>
    </row>
    <row r="3356" spans="1:11">
      <c r="A3356" s="21" t="s">
        <v>2992</v>
      </c>
      <c r="B3356" s="21" t="s">
        <v>10452</v>
      </c>
      <c r="C3356" s="21" t="s">
        <v>22</v>
      </c>
      <c r="D3356" s="21" t="s">
        <v>1147</v>
      </c>
      <c r="E3356" s="21" t="s">
        <v>9</v>
      </c>
      <c r="F3356" s="5812">
        <v>3</v>
      </c>
      <c r="G3356" s="5813">
        <v>0.20833333333333334</v>
      </c>
      <c r="H3356" s="21" t="s">
        <v>10</v>
      </c>
      <c r="I3356" s="21" t="s">
        <v>2317</v>
      </c>
      <c r="J3356" s="21" t="s">
        <v>10453</v>
      </c>
      <c r="K3356" s="5814" t="s">
        <v>10454</v>
      </c>
    </row>
    <row r="3357" spans="1:11">
      <c r="A3357" s="21" t="s">
        <v>3208</v>
      </c>
      <c r="B3357" s="21" t="s">
        <v>10455</v>
      </c>
      <c r="C3357" s="21" t="s">
        <v>22</v>
      </c>
      <c r="D3357" s="21" t="s">
        <v>1147</v>
      </c>
      <c r="E3357" s="21" t="s">
        <v>9</v>
      </c>
      <c r="F3357" s="5812">
        <v>3</v>
      </c>
      <c r="G3357" s="5813">
        <v>0.20833333333333334</v>
      </c>
      <c r="H3357" s="21" t="s">
        <v>10</v>
      </c>
      <c r="I3357" s="21" t="s">
        <v>55</v>
      </c>
      <c r="J3357" s="21" t="s">
        <v>10456</v>
      </c>
      <c r="K3357" s="5814" t="s">
        <v>10457</v>
      </c>
    </row>
    <row r="3358" spans="1:11">
      <c r="A3358" s="21" t="s">
        <v>3252</v>
      </c>
      <c r="B3358" s="21" t="s">
        <v>10458</v>
      </c>
      <c r="C3358" s="21" t="s">
        <v>8</v>
      </c>
      <c r="D3358" s="21" t="s">
        <v>1147</v>
      </c>
      <c r="E3358" s="21" t="s">
        <v>9</v>
      </c>
      <c r="F3358" s="5812">
        <v>3</v>
      </c>
      <c r="G3358" s="5813">
        <v>0.20833333333333334</v>
      </c>
      <c r="H3358" s="21" t="s">
        <v>10</v>
      </c>
      <c r="I3358" s="21" t="s">
        <v>2660</v>
      </c>
      <c r="J3358" s="21" t="s">
        <v>10459</v>
      </c>
      <c r="K3358" s="5814" t="s">
        <v>10460</v>
      </c>
    </row>
    <row r="3359" spans="1:11">
      <c r="A3359" s="21" t="s">
        <v>3252</v>
      </c>
      <c r="B3359" s="21" t="s">
        <v>10461</v>
      </c>
      <c r="C3359" s="21" t="s">
        <v>8</v>
      </c>
      <c r="D3359" s="21" t="s">
        <v>1147</v>
      </c>
      <c r="E3359" s="21" t="s">
        <v>9</v>
      </c>
      <c r="F3359" s="5812">
        <v>3</v>
      </c>
      <c r="G3359" s="5813">
        <v>0.20833333333333334</v>
      </c>
      <c r="H3359" s="21" t="s">
        <v>10</v>
      </c>
      <c r="I3359" s="21" t="s">
        <v>2269</v>
      </c>
      <c r="J3359" s="21" t="s">
        <v>10462</v>
      </c>
      <c r="K3359" s="5814" t="s">
        <v>10463</v>
      </c>
    </row>
    <row r="3360" spans="1:11">
      <c r="A3360" s="21" t="s">
        <v>3446</v>
      </c>
      <c r="B3360" s="21" t="s">
        <v>10464</v>
      </c>
      <c r="C3360" s="21" t="s">
        <v>22</v>
      </c>
      <c r="D3360" s="21" t="s">
        <v>1147</v>
      </c>
      <c r="E3360" s="21" t="s">
        <v>9</v>
      </c>
      <c r="F3360" s="5812">
        <v>3</v>
      </c>
      <c r="G3360" s="5813">
        <v>0.20833333333333334</v>
      </c>
      <c r="H3360" s="21" t="s">
        <v>10</v>
      </c>
      <c r="I3360" s="21" t="s">
        <v>2260</v>
      </c>
      <c r="J3360" s="21" t="s">
        <v>10465</v>
      </c>
      <c r="K3360" s="5814" t="s">
        <v>10466</v>
      </c>
    </row>
    <row r="3361" spans="1:11">
      <c r="A3361" s="21" t="s">
        <v>3446</v>
      </c>
      <c r="B3361" s="21" t="s">
        <v>10467</v>
      </c>
      <c r="C3361" s="21" t="s">
        <v>8</v>
      </c>
      <c r="D3361" s="21" t="s">
        <v>1147</v>
      </c>
      <c r="E3361" s="21" t="s">
        <v>9</v>
      </c>
      <c r="F3361" s="5812">
        <v>3</v>
      </c>
      <c r="G3361" s="5813">
        <v>0.20833333333333334</v>
      </c>
      <c r="H3361" s="21" t="s">
        <v>10</v>
      </c>
      <c r="I3361" s="21" t="s">
        <v>3725</v>
      </c>
      <c r="J3361" s="21" t="s">
        <v>8798</v>
      </c>
      <c r="K3361" s="5814" t="s">
        <v>10468</v>
      </c>
    </row>
    <row r="3362" spans="1:11">
      <c r="A3362" s="21" t="s">
        <v>3446</v>
      </c>
      <c r="B3362" s="21" t="s">
        <v>10469</v>
      </c>
      <c r="C3362" s="21" t="s">
        <v>22</v>
      </c>
      <c r="D3362" s="21" t="s">
        <v>1147</v>
      </c>
      <c r="E3362" s="21" t="s">
        <v>9</v>
      </c>
      <c r="F3362" s="5812">
        <v>3</v>
      </c>
      <c r="G3362" s="5813">
        <v>0.20833333333333334</v>
      </c>
      <c r="H3362" s="21" t="s">
        <v>10</v>
      </c>
      <c r="I3362" s="21" t="s">
        <v>47</v>
      </c>
      <c r="J3362" s="21" t="s">
        <v>10470</v>
      </c>
      <c r="K3362" s="5814" t="s">
        <v>10471</v>
      </c>
    </row>
    <row r="3363" spans="1:11">
      <c r="A3363" s="21" t="s">
        <v>2165</v>
      </c>
      <c r="B3363" s="21" t="s">
        <v>10472</v>
      </c>
      <c r="C3363" s="21" t="s">
        <v>22</v>
      </c>
      <c r="D3363" s="21" t="s">
        <v>1147</v>
      </c>
      <c r="E3363" s="21" t="s">
        <v>9</v>
      </c>
      <c r="F3363" s="5812">
        <v>3</v>
      </c>
      <c r="G3363" s="5813">
        <v>0.20833333333333334</v>
      </c>
      <c r="H3363" s="21" t="s">
        <v>10</v>
      </c>
      <c r="I3363" s="21" t="s">
        <v>96</v>
      </c>
      <c r="J3363" s="21" t="s">
        <v>10473</v>
      </c>
      <c r="K3363" s="5814" t="s">
        <v>10474</v>
      </c>
    </row>
    <row r="3364" spans="1:11">
      <c r="A3364" s="21" t="s">
        <v>2579</v>
      </c>
      <c r="B3364" s="21" t="s">
        <v>10475</v>
      </c>
      <c r="C3364" s="21" t="s">
        <v>8</v>
      </c>
      <c r="D3364" s="21" t="s">
        <v>1147</v>
      </c>
      <c r="E3364" s="21" t="s">
        <v>9</v>
      </c>
      <c r="F3364" s="5812">
        <v>3</v>
      </c>
      <c r="G3364" s="5813">
        <v>0.20833333333333334</v>
      </c>
      <c r="H3364" s="21" t="s">
        <v>10</v>
      </c>
      <c r="I3364" s="21" t="s">
        <v>3534</v>
      </c>
      <c r="J3364" s="21" t="s">
        <v>10476</v>
      </c>
      <c r="K3364" s="5814" t="s">
        <v>10477</v>
      </c>
    </row>
    <row r="3365" spans="1:11">
      <c r="A3365" s="21" t="s">
        <v>2169</v>
      </c>
      <c r="B3365" s="21" t="s">
        <v>10478</v>
      </c>
      <c r="C3365" s="21" t="s">
        <v>22</v>
      </c>
      <c r="D3365" s="21" t="s">
        <v>1147</v>
      </c>
      <c r="E3365" s="21" t="s">
        <v>9</v>
      </c>
      <c r="F3365" s="5812">
        <v>3</v>
      </c>
      <c r="G3365" s="5813">
        <v>0.20833333333333334</v>
      </c>
      <c r="H3365" s="21" t="s">
        <v>10</v>
      </c>
      <c r="I3365" s="21" t="s">
        <v>89</v>
      </c>
      <c r="J3365" s="21" t="s">
        <v>10479</v>
      </c>
      <c r="K3365" s="5814" t="s">
        <v>10480</v>
      </c>
    </row>
    <row r="3366" spans="1:11">
      <c r="A3366" s="21" t="s">
        <v>2174</v>
      </c>
      <c r="B3366" s="21" t="s">
        <v>10481</v>
      </c>
      <c r="C3366" s="21" t="s">
        <v>8</v>
      </c>
      <c r="D3366" s="21" t="s">
        <v>1147</v>
      </c>
      <c r="E3366" s="21" t="s">
        <v>9</v>
      </c>
      <c r="F3366" s="5812">
        <v>3</v>
      </c>
      <c r="G3366" s="5813">
        <v>0.20833333333333334</v>
      </c>
      <c r="H3366" s="21" t="s">
        <v>10</v>
      </c>
      <c r="I3366" s="21" t="s">
        <v>11</v>
      </c>
      <c r="J3366" s="21" t="s">
        <v>10482</v>
      </c>
      <c r="K3366" s="5814" t="s">
        <v>10483</v>
      </c>
    </row>
    <row r="3367" spans="1:11">
      <c r="A3367" s="21" t="s">
        <v>5387</v>
      </c>
      <c r="B3367" s="21" t="s">
        <v>10484</v>
      </c>
      <c r="C3367" s="21" t="s">
        <v>8</v>
      </c>
      <c r="D3367" s="21" t="s">
        <v>1147</v>
      </c>
      <c r="E3367" s="21" t="s">
        <v>9</v>
      </c>
      <c r="F3367" s="5812">
        <v>3</v>
      </c>
      <c r="G3367" s="5813">
        <v>0.20833333333333334</v>
      </c>
      <c r="H3367" s="21" t="s">
        <v>10</v>
      </c>
      <c r="I3367" s="21" t="s">
        <v>263</v>
      </c>
      <c r="J3367" s="21" t="s">
        <v>10485</v>
      </c>
      <c r="K3367" s="5814" t="s">
        <v>10486</v>
      </c>
    </row>
    <row r="3368" spans="1:11">
      <c r="A3368" s="21" t="s">
        <v>4724</v>
      </c>
      <c r="B3368" s="21" t="s">
        <v>10487</v>
      </c>
      <c r="C3368" s="21" t="s">
        <v>8</v>
      </c>
      <c r="D3368" s="21" t="s">
        <v>1147</v>
      </c>
      <c r="E3368" s="21" t="s">
        <v>9</v>
      </c>
      <c r="F3368" s="5812">
        <v>3</v>
      </c>
      <c r="G3368" s="5813">
        <v>0.20833333333333334</v>
      </c>
      <c r="H3368" s="21" t="s">
        <v>10</v>
      </c>
      <c r="I3368" s="21" t="s">
        <v>47</v>
      </c>
      <c r="J3368" s="21" t="s">
        <v>10488</v>
      </c>
      <c r="K3368" s="5814" t="s">
        <v>10489</v>
      </c>
    </row>
    <row r="3369" spans="1:11">
      <c r="A3369" s="21" t="s">
        <v>2985</v>
      </c>
      <c r="B3369" s="21" t="s">
        <v>10490</v>
      </c>
      <c r="C3369" s="21" t="s">
        <v>22</v>
      </c>
      <c r="D3369" s="21" t="s">
        <v>1147</v>
      </c>
      <c r="E3369" s="21" t="s">
        <v>9</v>
      </c>
      <c r="F3369" s="5812">
        <v>3</v>
      </c>
      <c r="G3369" s="5813">
        <v>0.20833333333333334</v>
      </c>
      <c r="H3369" s="21" t="s">
        <v>10</v>
      </c>
      <c r="I3369" s="21" t="s">
        <v>39</v>
      </c>
      <c r="J3369" s="21" t="s">
        <v>10491</v>
      </c>
      <c r="K3369" s="5814" t="s">
        <v>10492</v>
      </c>
    </row>
    <row r="3370" spans="1:11">
      <c r="A3370" s="21" t="s">
        <v>2985</v>
      </c>
      <c r="B3370" s="21" t="s">
        <v>10493</v>
      </c>
      <c r="C3370" s="21" t="s">
        <v>22</v>
      </c>
      <c r="D3370" s="21" t="s">
        <v>1147</v>
      </c>
      <c r="E3370" s="21" t="s">
        <v>9</v>
      </c>
      <c r="F3370" s="5812">
        <v>3</v>
      </c>
      <c r="G3370" s="5813">
        <v>0.20833333333333334</v>
      </c>
      <c r="H3370" s="21" t="s">
        <v>10</v>
      </c>
      <c r="I3370" s="21" t="s">
        <v>39</v>
      </c>
      <c r="J3370" s="21" t="s">
        <v>10494</v>
      </c>
      <c r="K3370" s="5814" t="s">
        <v>10495</v>
      </c>
    </row>
    <row r="3371" spans="1:11">
      <c r="A3371" s="21" t="s">
        <v>4170</v>
      </c>
      <c r="B3371" s="21" t="s">
        <v>10496</v>
      </c>
      <c r="C3371" s="21" t="s">
        <v>22</v>
      </c>
      <c r="D3371" s="21" t="s">
        <v>1147</v>
      </c>
      <c r="E3371" s="21" t="s">
        <v>9</v>
      </c>
      <c r="F3371" s="5812">
        <v>3</v>
      </c>
      <c r="G3371" s="5813">
        <v>0.20833333333333334</v>
      </c>
      <c r="H3371" s="21" t="s">
        <v>10</v>
      </c>
      <c r="I3371" s="21" t="s">
        <v>2713</v>
      </c>
      <c r="J3371" s="21" t="s">
        <v>10497</v>
      </c>
      <c r="K3371" s="5814" t="s">
        <v>10498</v>
      </c>
    </row>
    <row r="3372" spans="1:11">
      <c r="A3372" s="21" t="s">
        <v>3160</v>
      </c>
      <c r="B3372" s="21" t="s">
        <v>10499</v>
      </c>
      <c r="C3372" s="21" t="s">
        <v>22</v>
      </c>
      <c r="D3372" s="21" t="s">
        <v>1147</v>
      </c>
      <c r="E3372" s="21" t="s">
        <v>9</v>
      </c>
      <c r="F3372" s="5812">
        <v>3</v>
      </c>
      <c r="G3372" s="5813">
        <v>0.20833333333333334</v>
      </c>
      <c r="H3372" s="21" t="s">
        <v>10</v>
      </c>
      <c r="I3372" s="21" t="s">
        <v>233</v>
      </c>
      <c r="J3372" s="21" t="s">
        <v>10500</v>
      </c>
      <c r="K3372" s="5814" t="s">
        <v>10501</v>
      </c>
    </row>
    <row r="3373" spans="1:11">
      <c r="A3373" s="21" t="s">
        <v>2616</v>
      </c>
      <c r="B3373" s="21" t="s">
        <v>10502</v>
      </c>
      <c r="C3373" s="21" t="s">
        <v>8</v>
      </c>
      <c r="D3373" s="21" t="s">
        <v>1147</v>
      </c>
      <c r="E3373" s="21" t="s">
        <v>9</v>
      </c>
      <c r="F3373" s="5812">
        <v>3</v>
      </c>
      <c r="G3373" s="5813">
        <v>0.20833333333333334</v>
      </c>
      <c r="H3373" s="21" t="s">
        <v>10</v>
      </c>
      <c r="I3373" s="21" t="s">
        <v>400</v>
      </c>
      <c r="J3373" s="21" t="s">
        <v>10503</v>
      </c>
      <c r="K3373" s="5814" t="s">
        <v>10504</v>
      </c>
    </row>
    <row r="3374" spans="1:11">
      <c r="A3374" s="21" t="s">
        <v>2184</v>
      </c>
      <c r="B3374" s="21" t="s">
        <v>10505</v>
      </c>
      <c r="C3374" s="21" t="s">
        <v>22</v>
      </c>
      <c r="D3374" s="21" t="s">
        <v>1147</v>
      </c>
      <c r="E3374" s="21" t="s">
        <v>9</v>
      </c>
      <c r="F3374" s="5812">
        <v>3</v>
      </c>
      <c r="G3374" s="5813">
        <v>0.20833333333333334</v>
      </c>
      <c r="H3374" s="21" t="s">
        <v>10</v>
      </c>
      <c r="I3374" s="21" t="s">
        <v>8259</v>
      </c>
      <c r="J3374" s="21" t="s">
        <v>10506</v>
      </c>
      <c r="K3374" s="5814" t="s">
        <v>10507</v>
      </c>
    </row>
    <row r="3375" spans="1:11">
      <c r="A3375" s="21" t="s">
        <v>4177</v>
      </c>
      <c r="B3375" s="21" t="s">
        <v>10508</v>
      </c>
      <c r="C3375" s="21" t="s">
        <v>8</v>
      </c>
      <c r="D3375" s="21" t="s">
        <v>1147</v>
      </c>
      <c r="E3375" s="21" t="s">
        <v>9</v>
      </c>
      <c r="F3375" s="5812">
        <v>3</v>
      </c>
      <c r="G3375" s="5813">
        <v>0.20833333333333334</v>
      </c>
      <c r="H3375" s="21" t="s">
        <v>10</v>
      </c>
      <c r="I3375" s="21" t="s">
        <v>2713</v>
      </c>
      <c r="J3375" s="21" t="s">
        <v>10509</v>
      </c>
      <c r="K3375" s="5814" t="s">
        <v>10510</v>
      </c>
    </row>
    <row r="3376" spans="1:11">
      <c r="A3376" s="21" t="s">
        <v>2626</v>
      </c>
      <c r="B3376" s="21" t="s">
        <v>10511</v>
      </c>
      <c r="C3376" s="21" t="s">
        <v>22</v>
      </c>
      <c r="D3376" s="21" t="s">
        <v>1147</v>
      </c>
      <c r="E3376" s="21" t="s">
        <v>9</v>
      </c>
      <c r="F3376" s="5812">
        <v>3</v>
      </c>
      <c r="G3376" s="5813">
        <v>0.20833333333333334</v>
      </c>
      <c r="H3376" s="21" t="s">
        <v>10</v>
      </c>
      <c r="I3376" s="21" t="s">
        <v>47</v>
      </c>
      <c r="J3376" s="21" t="s">
        <v>10512</v>
      </c>
      <c r="K3376" s="5814" t="s">
        <v>10513</v>
      </c>
    </row>
    <row r="3377" spans="1:11">
      <c r="A3377" s="21" t="s">
        <v>3323</v>
      </c>
      <c r="B3377" s="21" t="s">
        <v>10514</v>
      </c>
      <c r="C3377" s="21" t="s">
        <v>8</v>
      </c>
      <c r="D3377" s="21" t="s">
        <v>1147</v>
      </c>
      <c r="E3377" s="21" t="s">
        <v>9</v>
      </c>
      <c r="F3377" s="5812">
        <v>3</v>
      </c>
      <c r="G3377" s="5813">
        <v>0.20833333333333334</v>
      </c>
      <c r="H3377" s="21" t="s">
        <v>10</v>
      </c>
      <c r="I3377" s="21" t="s">
        <v>4254</v>
      </c>
      <c r="J3377" s="21" t="s">
        <v>10515</v>
      </c>
      <c r="K3377" s="5814" t="s">
        <v>10516</v>
      </c>
    </row>
    <row r="3378" spans="1:11">
      <c r="A3378" s="21" t="s">
        <v>2647</v>
      </c>
      <c r="B3378" s="21" t="s">
        <v>10517</v>
      </c>
      <c r="C3378" s="21" t="s">
        <v>22</v>
      </c>
      <c r="D3378" s="21" t="s">
        <v>1147</v>
      </c>
      <c r="E3378" s="21" t="s">
        <v>9</v>
      </c>
      <c r="F3378" s="5812">
        <v>3</v>
      </c>
      <c r="G3378" s="5813">
        <v>0.20833333333333334</v>
      </c>
      <c r="H3378" s="21" t="s">
        <v>10</v>
      </c>
      <c r="I3378" s="21" t="s">
        <v>47</v>
      </c>
      <c r="J3378" s="21" t="s">
        <v>10518</v>
      </c>
      <c r="K3378" s="5814" t="s">
        <v>10519</v>
      </c>
    </row>
    <row r="3379" spans="1:11">
      <c r="A3379" s="21" t="s">
        <v>3328</v>
      </c>
      <c r="B3379" s="21" t="s">
        <v>10520</v>
      </c>
      <c r="C3379" s="21" t="s">
        <v>22</v>
      </c>
      <c r="D3379" s="21" t="s">
        <v>1147</v>
      </c>
      <c r="E3379" s="21" t="s">
        <v>9</v>
      </c>
      <c r="F3379" s="5812">
        <v>3</v>
      </c>
      <c r="G3379" s="5813">
        <v>0.20833333333333334</v>
      </c>
      <c r="H3379" s="21" t="s">
        <v>10</v>
      </c>
      <c r="I3379" s="21" t="s">
        <v>194</v>
      </c>
      <c r="J3379" s="21" t="s">
        <v>10521</v>
      </c>
      <c r="K3379" s="5814" t="s">
        <v>10522</v>
      </c>
    </row>
    <row r="3380" spans="1:11">
      <c r="A3380" s="21" t="s">
        <v>3173</v>
      </c>
      <c r="B3380" s="21" t="s">
        <v>10523</v>
      </c>
      <c r="C3380" s="21" t="s">
        <v>8</v>
      </c>
      <c r="D3380" s="21" t="s">
        <v>1147</v>
      </c>
      <c r="E3380" s="21" t="s">
        <v>9</v>
      </c>
      <c r="F3380" s="5812">
        <v>3</v>
      </c>
      <c r="G3380" s="5813">
        <v>0.20833333333333334</v>
      </c>
      <c r="H3380" s="21" t="s">
        <v>10</v>
      </c>
      <c r="I3380" s="21" t="s">
        <v>89</v>
      </c>
      <c r="J3380" s="21" t="s">
        <v>10524</v>
      </c>
      <c r="K3380" s="5814" t="s">
        <v>10525</v>
      </c>
    </row>
    <row r="3381" spans="1:11">
      <c r="A3381" s="21" t="s">
        <v>4527</v>
      </c>
      <c r="B3381" s="21" t="s">
        <v>10526</v>
      </c>
      <c r="C3381" s="21" t="s">
        <v>22</v>
      </c>
      <c r="D3381" s="21" t="s">
        <v>1147</v>
      </c>
      <c r="E3381" s="21" t="s">
        <v>9</v>
      </c>
      <c r="F3381" s="5812">
        <v>3</v>
      </c>
      <c r="G3381" s="5813">
        <v>0.20833333333333334</v>
      </c>
      <c r="H3381" s="21" t="s">
        <v>10</v>
      </c>
      <c r="I3381" s="21" t="s">
        <v>2860</v>
      </c>
      <c r="J3381" s="21" t="s">
        <v>10527</v>
      </c>
      <c r="K3381" s="5814" t="s">
        <v>10528</v>
      </c>
    </row>
    <row r="3382" spans="1:11">
      <c r="A3382" s="21" t="s">
        <v>2188</v>
      </c>
      <c r="B3382" s="21" t="s">
        <v>10529</v>
      </c>
      <c r="C3382" s="21" t="s">
        <v>22</v>
      </c>
      <c r="D3382" s="21" t="s">
        <v>1147</v>
      </c>
      <c r="E3382" s="21" t="s">
        <v>9</v>
      </c>
      <c r="F3382" s="5812">
        <v>3</v>
      </c>
      <c r="G3382" s="5813">
        <v>0.20833333333333334</v>
      </c>
      <c r="H3382" s="21" t="s">
        <v>10</v>
      </c>
      <c r="I3382" s="21" t="s">
        <v>47</v>
      </c>
      <c r="J3382" s="21" t="s">
        <v>10530</v>
      </c>
      <c r="K3382" s="5814" t="s">
        <v>10531</v>
      </c>
    </row>
    <row r="3383" spans="1:11">
      <c r="A3383" s="21" t="s">
        <v>3364</v>
      </c>
      <c r="B3383" s="21" t="s">
        <v>10532</v>
      </c>
      <c r="C3383" s="21" t="s">
        <v>8</v>
      </c>
      <c r="D3383" s="21" t="s">
        <v>1147</v>
      </c>
      <c r="E3383" s="21" t="s">
        <v>9</v>
      </c>
      <c r="F3383" s="5812">
        <v>3</v>
      </c>
      <c r="G3383" s="5813">
        <v>0.20833333333333334</v>
      </c>
      <c r="H3383" s="21" t="s">
        <v>10</v>
      </c>
      <c r="I3383" s="21" t="s">
        <v>788</v>
      </c>
      <c r="J3383" s="21" t="s">
        <v>10533</v>
      </c>
      <c r="K3383" s="5814" t="s">
        <v>10534</v>
      </c>
    </row>
    <row r="3384" spans="1:11">
      <c r="A3384" s="21" t="s">
        <v>2675</v>
      </c>
      <c r="B3384" s="21" t="s">
        <v>10535</v>
      </c>
      <c r="C3384" s="21" t="s">
        <v>22</v>
      </c>
      <c r="D3384" s="21" t="s">
        <v>1147</v>
      </c>
      <c r="E3384" s="21" t="s">
        <v>9</v>
      </c>
      <c r="F3384" s="5812">
        <v>3</v>
      </c>
      <c r="G3384" s="5813">
        <v>0.20833333333333334</v>
      </c>
      <c r="H3384" s="21" t="s">
        <v>10</v>
      </c>
      <c r="I3384" s="21" t="s">
        <v>400</v>
      </c>
      <c r="J3384" s="21" t="s">
        <v>10536</v>
      </c>
      <c r="K3384" s="5814" t="s">
        <v>10537</v>
      </c>
    </row>
    <row r="3385" spans="1:11">
      <c r="A3385" s="21" t="s">
        <v>2679</v>
      </c>
      <c r="B3385" s="21" t="s">
        <v>10538</v>
      </c>
      <c r="C3385" s="21" t="s">
        <v>8</v>
      </c>
      <c r="D3385" s="21" t="s">
        <v>1147</v>
      </c>
      <c r="E3385" s="21" t="s">
        <v>9</v>
      </c>
      <c r="F3385" s="5812">
        <v>3</v>
      </c>
      <c r="G3385" s="5813">
        <v>0.20833333333333334</v>
      </c>
      <c r="H3385" s="21" t="s">
        <v>10</v>
      </c>
      <c r="I3385" s="21" t="s">
        <v>47</v>
      </c>
      <c r="J3385" s="21" t="s">
        <v>10539</v>
      </c>
      <c r="K3385" s="5814" t="s">
        <v>10540</v>
      </c>
    </row>
    <row r="3386" spans="1:11">
      <c r="A3386" s="21" t="s">
        <v>2679</v>
      </c>
      <c r="B3386" s="21" t="s">
        <v>10541</v>
      </c>
      <c r="C3386" s="21" t="s">
        <v>8</v>
      </c>
      <c r="D3386" s="21" t="s">
        <v>1147</v>
      </c>
      <c r="E3386" s="21" t="s">
        <v>9</v>
      </c>
      <c r="F3386" s="5812">
        <v>3</v>
      </c>
      <c r="G3386" s="5813">
        <v>0.20833333333333334</v>
      </c>
      <c r="H3386" s="21" t="s">
        <v>10</v>
      </c>
      <c r="I3386" s="21" t="s">
        <v>2713</v>
      </c>
      <c r="J3386" s="21" t="s">
        <v>10542</v>
      </c>
      <c r="K3386" s="5814" t="s">
        <v>10543</v>
      </c>
    </row>
    <row r="3387" spans="1:11">
      <c r="A3387" s="21" t="s">
        <v>2687</v>
      </c>
      <c r="B3387" s="21" t="s">
        <v>10544</v>
      </c>
      <c r="C3387" s="21" t="s">
        <v>8</v>
      </c>
      <c r="D3387" s="21" t="s">
        <v>1147</v>
      </c>
      <c r="E3387" s="21" t="s">
        <v>9</v>
      </c>
      <c r="F3387" s="5812">
        <v>3</v>
      </c>
      <c r="G3387" s="5813">
        <v>0.20833333333333334</v>
      </c>
      <c r="H3387" s="21" t="s">
        <v>10</v>
      </c>
      <c r="I3387" s="21" t="s">
        <v>73</v>
      </c>
      <c r="J3387" s="21" t="s">
        <v>10545</v>
      </c>
      <c r="K3387" s="5814" t="s">
        <v>10546</v>
      </c>
    </row>
    <row r="3388" spans="1:11">
      <c r="A3388" s="21" t="s">
        <v>4233</v>
      </c>
      <c r="B3388" s="21" t="s">
        <v>10547</v>
      </c>
      <c r="C3388" s="21" t="s">
        <v>8</v>
      </c>
      <c r="D3388" s="21" t="s">
        <v>1147</v>
      </c>
      <c r="E3388" s="21" t="s">
        <v>9</v>
      </c>
      <c r="F3388" s="5812">
        <v>3</v>
      </c>
      <c r="G3388" s="5813">
        <v>0.20833333333333334</v>
      </c>
      <c r="H3388" s="21" t="s">
        <v>10</v>
      </c>
      <c r="I3388" s="21" t="s">
        <v>11</v>
      </c>
      <c r="J3388" s="21" t="s">
        <v>10548</v>
      </c>
      <c r="K3388" s="5814" t="s">
        <v>10549</v>
      </c>
    </row>
    <row r="3389" spans="1:11">
      <c r="A3389" s="21" t="s">
        <v>2698</v>
      </c>
      <c r="B3389" s="21" t="s">
        <v>10550</v>
      </c>
      <c r="C3389" s="21" t="s">
        <v>22</v>
      </c>
      <c r="D3389" s="21" t="s">
        <v>1147</v>
      </c>
      <c r="E3389" s="21" t="s">
        <v>9</v>
      </c>
      <c r="F3389" s="5812">
        <v>3</v>
      </c>
      <c r="G3389" s="5813">
        <v>0.20833333333333334</v>
      </c>
      <c r="H3389" s="21" t="s">
        <v>10</v>
      </c>
      <c r="I3389" s="21" t="s">
        <v>2523</v>
      </c>
      <c r="J3389" s="21" t="s">
        <v>10551</v>
      </c>
      <c r="K3389" s="5814" t="s">
        <v>10552</v>
      </c>
    </row>
    <row r="3390" spans="1:11">
      <c r="A3390" s="21" t="s">
        <v>2707</v>
      </c>
      <c r="B3390" s="21" t="s">
        <v>10553</v>
      </c>
      <c r="C3390" s="21" t="s">
        <v>8</v>
      </c>
      <c r="D3390" s="21" t="s">
        <v>1147</v>
      </c>
      <c r="E3390" s="21" t="s">
        <v>9</v>
      </c>
      <c r="F3390" s="5812">
        <v>3</v>
      </c>
      <c r="G3390" s="5813">
        <v>0.20833333333333334</v>
      </c>
      <c r="H3390" s="21" t="s">
        <v>10</v>
      </c>
      <c r="I3390" s="21" t="s">
        <v>96</v>
      </c>
      <c r="J3390" s="21" t="s">
        <v>10554</v>
      </c>
      <c r="K3390" s="5814" t="s">
        <v>10555</v>
      </c>
    </row>
    <row r="3391" spans="1:11">
      <c r="A3391" s="21" t="s">
        <v>3036</v>
      </c>
      <c r="B3391" s="21" t="s">
        <v>10556</v>
      </c>
      <c r="C3391" s="21" t="s">
        <v>8</v>
      </c>
      <c r="D3391" s="21" t="s">
        <v>1147</v>
      </c>
      <c r="E3391" s="21" t="s">
        <v>9</v>
      </c>
      <c r="F3391" s="5812">
        <v>3</v>
      </c>
      <c r="G3391" s="5813">
        <v>0.20833333333333334</v>
      </c>
      <c r="H3391" s="21" t="s">
        <v>10</v>
      </c>
      <c r="I3391" s="21" t="s">
        <v>2713</v>
      </c>
      <c r="J3391" s="21" t="s">
        <v>10557</v>
      </c>
      <c r="K3391" s="5814" t="s">
        <v>10558</v>
      </c>
    </row>
    <row r="3392" spans="1:11">
      <c r="A3392" s="21" t="s">
        <v>2915</v>
      </c>
      <c r="B3392" s="21" t="s">
        <v>10559</v>
      </c>
      <c r="C3392" s="21" t="s">
        <v>8</v>
      </c>
      <c r="D3392" s="21" t="s">
        <v>1147</v>
      </c>
      <c r="E3392" s="21" t="s">
        <v>9</v>
      </c>
      <c r="F3392" s="5812">
        <v>3</v>
      </c>
      <c r="G3392" s="5813">
        <v>0.20833333333333334</v>
      </c>
      <c r="H3392" s="21" t="s">
        <v>10</v>
      </c>
      <c r="I3392" s="21" t="s">
        <v>187</v>
      </c>
      <c r="J3392" s="21" t="s">
        <v>10560</v>
      </c>
      <c r="K3392" s="5814" t="s">
        <v>10561</v>
      </c>
    </row>
    <row r="3393" spans="1:11">
      <c r="A3393" s="21" t="s">
        <v>3217</v>
      </c>
      <c r="B3393" s="21" t="s">
        <v>10562</v>
      </c>
      <c r="C3393" s="21" t="s">
        <v>22</v>
      </c>
      <c r="D3393" s="21" t="s">
        <v>1147</v>
      </c>
      <c r="E3393" s="21" t="s">
        <v>9</v>
      </c>
      <c r="F3393" s="5812">
        <v>3</v>
      </c>
      <c r="G3393" s="5813">
        <v>0.20833333333333334</v>
      </c>
      <c r="H3393" s="21" t="s">
        <v>10</v>
      </c>
      <c r="I3393" s="21" t="s">
        <v>2176</v>
      </c>
      <c r="J3393" s="21" t="s">
        <v>10563</v>
      </c>
      <c r="K3393" s="5814" t="s">
        <v>10564</v>
      </c>
    </row>
    <row r="3394" spans="1:11">
      <c r="A3394" s="21" t="s">
        <v>2719</v>
      </c>
      <c r="B3394" s="21" t="s">
        <v>10565</v>
      </c>
      <c r="C3394" s="21" t="s">
        <v>8</v>
      </c>
      <c r="D3394" s="21" t="s">
        <v>1147</v>
      </c>
      <c r="E3394" s="21" t="s">
        <v>9</v>
      </c>
      <c r="F3394" s="5812">
        <v>3</v>
      </c>
      <c r="G3394" s="5813">
        <v>0.20833333333333334</v>
      </c>
      <c r="H3394" s="21" t="s">
        <v>10</v>
      </c>
      <c r="I3394" s="21" t="s">
        <v>47</v>
      </c>
      <c r="J3394" s="21" t="s">
        <v>10566</v>
      </c>
      <c r="K3394" s="5814" t="s">
        <v>10567</v>
      </c>
    </row>
    <row r="3395" spans="1:11">
      <c r="A3395" s="21" t="s">
        <v>2719</v>
      </c>
      <c r="B3395" s="21" t="s">
        <v>10568</v>
      </c>
      <c r="C3395" s="21" t="s">
        <v>8</v>
      </c>
      <c r="D3395" s="21" t="s">
        <v>1147</v>
      </c>
      <c r="E3395" s="21" t="s">
        <v>9</v>
      </c>
      <c r="F3395" s="5812">
        <v>3</v>
      </c>
      <c r="G3395" s="5813">
        <v>0.20833333333333334</v>
      </c>
      <c r="H3395" s="21" t="s">
        <v>10</v>
      </c>
      <c r="I3395" s="21" t="s">
        <v>2721</v>
      </c>
      <c r="J3395" s="21" t="s">
        <v>10569</v>
      </c>
      <c r="K3395" s="5814" t="s">
        <v>10570</v>
      </c>
    </row>
    <row r="3396" spans="1:11">
      <c r="A3396" s="21" t="s">
        <v>2724</v>
      </c>
      <c r="B3396" s="21" t="s">
        <v>10571</v>
      </c>
      <c r="C3396" s="21" t="s">
        <v>22</v>
      </c>
      <c r="D3396" s="21" t="s">
        <v>1147</v>
      </c>
      <c r="E3396" s="21" t="s">
        <v>9</v>
      </c>
      <c r="F3396" s="5812">
        <v>3</v>
      </c>
      <c r="G3396" s="5813">
        <v>0.20833333333333334</v>
      </c>
      <c r="H3396" s="21" t="s">
        <v>10</v>
      </c>
      <c r="I3396" s="21" t="s">
        <v>3138</v>
      </c>
      <c r="J3396" s="21" t="s">
        <v>10572</v>
      </c>
      <c r="K3396" s="5814" t="s">
        <v>10573</v>
      </c>
    </row>
    <row r="3397" spans="1:11">
      <c r="A3397" s="21" t="s">
        <v>2737</v>
      </c>
      <c r="B3397" s="21" t="s">
        <v>10574</v>
      </c>
      <c r="C3397" s="21" t="s">
        <v>22</v>
      </c>
      <c r="D3397" s="21" t="s">
        <v>1147</v>
      </c>
      <c r="E3397" s="21" t="s">
        <v>9</v>
      </c>
      <c r="F3397" s="5812">
        <v>3</v>
      </c>
      <c r="G3397" s="5813">
        <v>0.20833333333333334</v>
      </c>
      <c r="H3397" s="21" t="s">
        <v>10</v>
      </c>
      <c r="I3397" s="21" t="s">
        <v>609</v>
      </c>
      <c r="J3397" s="21" t="s">
        <v>10575</v>
      </c>
      <c r="K3397" s="5814" t="s">
        <v>10576</v>
      </c>
    </row>
    <row r="3398" spans="1:11">
      <c r="A3398" s="21" t="s">
        <v>2741</v>
      </c>
      <c r="B3398" s="21" t="s">
        <v>10577</v>
      </c>
      <c r="C3398" s="21" t="s">
        <v>8</v>
      </c>
      <c r="D3398" s="21" t="s">
        <v>1147</v>
      </c>
      <c r="E3398" s="21" t="s">
        <v>9</v>
      </c>
      <c r="F3398" s="5812">
        <v>3</v>
      </c>
      <c r="G3398" s="5813">
        <v>0.20833333333333334</v>
      </c>
      <c r="H3398" s="21" t="s">
        <v>10</v>
      </c>
      <c r="I3398" s="21" t="s">
        <v>10578</v>
      </c>
      <c r="J3398" s="21" t="s">
        <v>10579</v>
      </c>
      <c r="K3398" s="5814" t="s">
        <v>10580</v>
      </c>
    </row>
    <row r="3399" spans="1:11">
      <c r="A3399" s="21" t="s">
        <v>2741</v>
      </c>
      <c r="B3399" s="21" t="s">
        <v>10581</v>
      </c>
      <c r="C3399" s="21" t="s">
        <v>8</v>
      </c>
      <c r="D3399" s="21" t="s">
        <v>1147</v>
      </c>
      <c r="E3399" s="21" t="s">
        <v>9</v>
      </c>
      <c r="F3399" s="5812">
        <v>3</v>
      </c>
      <c r="G3399" s="5813">
        <v>0.20833333333333334</v>
      </c>
      <c r="H3399" s="21" t="s">
        <v>10</v>
      </c>
      <c r="I3399" s="21" t="s">
        <v>10578</v>
      </c>
      <c r="J3399" s="21" t="s">
        <v>10582</v>
      </c>
      <c r="K3399" s="5814" t="s">
        <v>10583</v>
      </c>
    </row>
    <row r="3400" spans="1:11">
      <c r="A3400" s="21" t="s">
        <v>3765</v>
      </c>
      <c r="B3400" s="21" t="s">
        <v>10584</v>
      </c>
      <c r="C3400" s="21" t="s">
        <v>8</v>
      </c>
      <c r="D3400" s="21" t="s">
        <v>1147</v>
      </c>
      <c r="E3400" s="21" t="s">
        <v>9</v>
      </c>
      <c r="F3400" s="5812">
        <v>3</v>
      </c>
      <c r="G3400" s="5813">
        <v>0.20833333333333334</v>
      </c>
      <c r="H3400" s="21" t="s">
        <v>10</v>
      </c>
      <c r="I3400" s="21" t="s">
        <v>4663</v>
      </c>
      <c r="J3400" s="21" t="s">
        <v>10585</v>
      </c>
      <c r="K3400" s="5814" t="s">
        <v>10586</v>
      </c>
    </row>
    <row r="3401" spans="1:11">
      <c r="A3401" s="21" t="s">
        <v>3354</v>
      </c>
      <c r="B3401" s="21" t="s">
        <v>10587</v>
      </c>
      <c r="C3401" s="21" t="s">
        <v>8</v>
      </c>
      <c r="D3401" s="21" t="s">
        <v>1147</v>
      </c>
      <c r="E3401" s="21" t="s">
        <v>9</v>
      </c>
      <c r="F3401" s="5812">
        <v>3</v>
      </c>
      <c r="G3401" s="5813">
        <v>0.20833333333333334</v>
      </c>
      <c r="H3401" s="21" t="s">
        <v>10</v>
      </c>
      <c r="I3401" s="21" t="s">
        <v>11</v>
      </c>
      <c r="J3401" s="21" t="s">
        <v>10588</v>
      </c>
      <c r="K3401" s="5814" t="s">
        <v>10589</v>
      </c>
    </row>
    <row r="3402" spans="1:11">
      <c r="A3402" s="21" t="s">
        <v>3369</v>
      </c>
      <c r="B3402" s="21" t="s">
        <v>10590</v>
      </c>
      <c r="C3402" s="21" t="s">
        <v>22</v>
      </c>
      <c r="D3402" s="21" t="s">
        <v>1147</v>
      </c>
      <c r="E3402" s="21" t="s">
        <v>9</v>
      </c>
      <c r="F3402" s="5812">
        <v>3</v>
      </c>
      <c r="G3402" s="5813">
        <v>0.20833333333333334</v>
      </c>
      <c r="H3402" s="21" t="s">
        <v>10</v>
      </c>
      <c r="I3402" s="21" t="s">
        <v>2297</v>
      </c>
      <c r="J3402" s="21" t="s">
        <v>10591</v>
      </c>
      <c r="K3402" s="5814" t="s">
        <v>10592</v>
      </c>
    </row>
    <row r="3403" spans="1:11">
      <c r="A3403" s="21" t="s">
        <v>4597</v>
      </c>
      <c r="B3403" s="21" t="s">
        <v>10593</v>
      </c>
      <c r="C3403" s="21" t="s">
        <v>8</v>
      </c>
      <c r="D3403" s="21" t="s">
        <v>1147</v>
      </c>
      <c r="E3403" s="21" t="s">
        <v>9</v>
      </c>
      <c r="F3403" s="5812">
        <v>3</v>
      </c>
      <c r="G3403" s="5813">
        <v>0.20833333333333334</v>
      </c>
      <c r="H3403" s="21" t="s">
        <v>10</v>
      </c>
      <c r="I3403" s="21" t="s">
        <v>2872</v>
      </c>
      <c r="J3403" s="21" t="s">
        <v>10594</v>
      </c>
      <c r="K3403" s="5814" t="s">
        <v>10595</v>
      </c>
    </row>
    <row r="3404" spans="1:11">
      <c r="A3404" s="21" t="s">
        <v>4597</v>
      </c>
      <c r="B3404" s="21" t="s">
        <v>10596</v>
      </c>
      <c r="C3404" s="21" t="s">
        <v>8</v>
      </c>
      <c r="D3404" s="21" t="s">
        <v>1147</v>
      </c>
      <c r="E3404" s="21" t="s">
        <v>9</v>
      </c>
      <c r="F3404" s="5812">
        <v>3</v>
      </c>
      <c r="G3404" s="5813">
        <v>0.20833333333333334</v>
      </c>
      <c r="H3404" s="21" t="s">
        <v>10</v>
      </c>
      <c r="I3404" s="21" t="s">
        <v>2872</v>
      </c>
      <c r="J3404" s="21" t="s">
        <v>10597</v>
      </c>
      <c r="K3404" s="5814" t="s">
        <v>10598</v>
      </c>
    </row>
    <row r="3405" spans="1:11">
      <c r="A3405" s="21" t="s">
        <v>2216</v>
      </c>
      <c r="B3405" s="21" t="s">
        <v>10599</v>
      </c>
      <c r="C3405" s="21" t="s">
        <v>22</v>
      </c>
      <c r="D3405" s="21" t="s">
        <v>1147</v>
      </c>
      <c r="E3405" s="21" t="s">
        <v>9</v>
      </c>
      <c r="F3405" s="5812">
        <v>3</v>
      </c>
      <c r="G3405" s="5813">
        <v>0.20833333333333334</v>
      </c>
      <c r="H3405" s="21" t="s">
        <v>10</v>
      </c>
      <c r="I3405" s="21" t="s">
        <v>10600</v>
      </c>
      <c r="J3405" s="21" t="s">
        <v>10601</v>
      </c>
      <c r="K3405" s="5814" t="s">
        <v>10602</v>
      </c>
    </row>
    <row r="3406" spans="1:11">
      <c r="A3406" s="21" t="s">
        <v>3195</v>
      </c>
      <c r="B3406" s="21" t="s">
        <v>10603</v>
      </c>
      <c r="C3406" s="21" t="s">
        <v>8</v>
      </c>
      <c r="D3406" s="21" t="s">
        <v>1147</v>
      </c>
      <c r="E3406" s="21" t="s">
        <v>9</v>
      </c>
      <c r="F3406" s="5812">
        <v>3</v>
      </c>
      <c r="G3406" s="5813">
        <v>0.20833333333333334</v>
      </c>
      <c r="H3406" s="21" t="s">
        <v>10</v>
      </c>
      <c r="I3406" s="21" t="s">
        <v>226</v>
      </c>
      <c r="J3406" s="21" t="s">
        <v>10604</v>
      </c>
      <c r="K3406" s="5814" t="s">
        <v>10605</v>
      </c>
    </row>
    <row r="3407" spans="1:11">
      <c r="A3407" s="21" t="s">
        <v>3195</v>
      </c>
      <c r="B3407" s="21" t="s">
        <v>10606</v>
      </c>
      <c r="C3407" s="21" t="s">
        <v>8</v>
      </c>
      <c r="D3407" s="21" t="s">
        <v>1147</v>
      </c>
      <c r="E3407" s="21" t="s">
        <v>9</v>
      </c>
      <c r="F3407" s="5812">
        <v>3</v>
      </c>
      <c r="G3407" s="5813">
        <v>0.20833333333333334</v>
      </c>
      <c r="H3407" s="21" t="s">
        <v>10</v>
      </c>
      <c r="I3407" s="21" t="s">
        <v>194</v>
      </c>
      <c r="J3407" s="21" t="s">
        <v>10607</v>
      </c>
      <c r="K3407" s="5814" t="s">
        <v>10608</v>
      </c>
    </row>
    <row r="3408" spans="1:11">
      <c r="A3408" s="21" t="s">
        <v>2761</v>
      </c>
      <c r="B3408" s="21" t="s">
        <v>10609</v>
      </c>
      <c r="C3408" s="21" t="s">
        <v>22</v>
      </c>
      <c r="D3408" s="21" t="s">
        <v>1147</v>
      </c>
      <c r="E3408" s="21" t="s">
        <v>9</v>
      </c>
      <c r="F3408" s="5812">
        <v>3</v>
      </c>
      <c r="G3408" s="5813">
        <v>0.20833333333333334</v>
      </c>
      <c r="H3408" s="21" t="s">
        <v>10</v>
      </c>
      <c r="I3408" s="21" t="s">
        <v>400</v>
      </c>
      <c r="J3408" s="21" t="s">
        <v>10610</v>
      </c>
      <c r="K3408" s="5814" t="s">
        <v>10611</v>
      </c>
    </row>
    <row r="3409" spans="1:11">
      <c r="A3409" s="21" t="s">
        <v>2761</v>
      </c>
      <c r="B3409" s="21" t="s">
        <v>10612</v>
      </c>
      <c r="C3409" s="21" t="s">
        <v>8</v>
      </c>
      <c r="D3409" s="21" t="s">
        <v>1147</v>
      </c>
      <c r="E3409" s="21" t="s">
        <v>9</v>
      </c>
      <c r="F3409" s="5812">
        <v>3</v>
      </c>
      <c r="G3409" s="5813">
        <v>0.20833333333333334</v>
      </c>
      <c r="H3409" s="21" t="s">
        <v>10</v>
      </c>
      <c r="I3409" s="21" t="s">
        <v>400</v>
      </c>
      <c r="J3409" s="21" t="s">
        <v>10613</v>
      </c>
      <c r="K3409" s="5814" t="s">
        <v>10614</v>
      </c>
    </row>
    <row r="3410" spans="1:11">
      <c r="A3410" s="21" t="s">
        <v>3213</v>
      </c>
      <c r="B3410" s="21" t="s">
        <v>10615</v>
      </c>
      <c r="C3410" s="21" t="s">
        <v>22</v>
      </c>
      <c r="D3410" s="21" t="s">
        <v>1147</v>
      </c>
      <c r="E3410" s="21" t="s">
        <v>9</v>
      </c>
      <c r="F3410" s="5812">
        <v>3</v>
      </c>
      <c r="G3410" s="5813">
        <v>0.20833333333333334</v>
      </c>
      <c r="H3410" s="21" t="s">
        <v>10</v>
      </c>
      <c r="I3410" s="21" t="s">
        <v>4286</v>
      </c>
      <c r="J3410" s="21" t="s">
        <v>10616</v>
      </c>
      <c r="K3410" s="5814" t="s">
        <v>10617</v>
      </c>
    </row>
    <row r="3411" spans="1:11">
      <c r="A3411" s="21" t="s">
        <v>4289</v>
      </c>
      <c r="B3411" s="21" t="s">
        <v>10618</v>
      </c>
      <c r="C3411" s="21" t="s">
        <v>8</v>
      </c>
      <c r="D3411" s="21" t="s">
        <v>1147</v>
      </c>
      <c r="E3411" s="21" t="s">
        <v>9</v>
      </c>
      <c r="F3411" s="5812">
        <v>3</v>
      </c>
      <c r="G3411" s="5813">
        <v>0.20833333333333334</v>
      </c>
      <c r="H3411" s="21" t="s">
        <v>10</v>
      </c>
      <c r="I3411" s="21" t="s">
        <v>3534</v>
      </c>
      <c r="J3411" s="21" t="s">
        <v>10619</v>
      </c>
      <c r="K3411" s="5814" t="s">
        <v>10620</v>
      </c>
    </row>
    <row r="3412" spans="1:11">
      <c r="A3412" s="21" t="s">
        <v>4289</v>
      </c>
      <c r="B3412" s="21" t="s">
        <v>10621</v>
      </c>
      <c r="C3412" s="21" t="s">
        <v>8</v>
      </c>
      <c r="D3412" s="21" t="s">
        <v>1147</v>
      </c>
      <c r="E3412" s="21" t="s">
        <v>9</v>
      </c>
      <c r="F3412" s="5812">
        <v>3</v>
      </c>
      <c r="G3412" s="5813">
        <v>0.20833333333333334</v>
      </c>
      <c r="H3412" s="21" t="s">
        <v>10</v>
      </c>
      <c r="I3412" s="21" t="s">
        <v>2660</v>
      </c>
      <c r="J3412" s="21" t="s">
        <v>5786</v>
      </c>
      <c r="K3412" s="5814" t="s">
        <v>10622</v>
      </c>
    </row>
    <row r="3413" spans="1:11">
      <c r="A3413" s="21" t="s">
        <v>4863</v>
      </c>
      <c r="B3413" s="21" t="s">
        <v>10623</v>
      </c>
      <c r="C3413" s="21" t="s">
        <v>8</v>
      </c>
      <c r="D3413" s="21" t="s">
        <v>1147</v>
      </c>
      <c r="E3413" s="21" t="s">
        <v>9</v>
      </c>
      <c r="F3413" s="5812">
        <v>3</v>
      </c>
      <c r="G3413" s="5813">
        <v>0.20833333333333334</v>
      </c>
      <c r="H3413" s="21" t="s">
        <v>10</v>
      </c>
      <c r="I3413" s="21" t="s">
        <v>2260</v>
      </c>
      <c r="J3413" s="21" t="s">
        <v>10624</v>
      </c>
      <c r="K3413" s="5814" t="s">
        <v>10625</v>
      </c>
    </row>
    <row r="3414" spans="1:11">
      <c r="A3414" s="21" t="s">
        <v>4863</v>
      </c>
      <c r="B3414" s="21" t="s">
        <v>10626</v>
      </c>
      <c r="C3414" s="21" t="s">
        <v>8</v>
      </c>
      <c r="D3414" s="21" t="s">
        <v>1147</v>
      </c>
      <c r="E3414" s="21" t="s">
        <v>9</v>
      </c>
      <c r="F3414" s="5812">
        <v>3</v>
      </c>
      <c r="G3414" s="5813">
        <v>0.20833333333333334</v>
      </c>
      <c r="H3414" s="21" t="s">
        <v>10</v>
      </c>
      <c r="I3414" s="21" t="s">
        <v>47</v>
      </c>
      <c r="J3414" s="21" t="s">
        <v>6470</v>
      </c>
      <c r="K3414" s="5814" t="s">
        <v>10627</v>
      </c>
    </row>
    <row r="3415" spans="1:11">
      <c r="A3415" s="21" t="s">
        <v>3537</v>
      </c>
      <c r="B3415" s="21" t="s">
        <v>10628</v>
      </c>
      <c r="C3415" s="21" t="s">
        <v>8</v>
      </c>
      <c r="D3415" s="21" t="s">
        <v>1147</v>
      </c>
      <c r="E3415" s="21" t="s">
        <v>9</v>
      </c>
      <c r="F3415" s="5812">
        <v>3</v>
      </c>
      <c r="G3415" s="5813">
        <v>0.20833333333333334</v>
      </c>
      <c r="H3415" s="21" t="s">
        <v>10</v>
      </c>
      <c r="I3415" s="21" t="s">
        <v>2297</v>
      </c>
      <c r="J3415" s="21" t="s">
        <v>10629</v>
      </c>
      <c r="K3415" s="5814" t="s">
        <v>10630</v>
      </c>
    </row>
    <row r="3416" spans="1:11">
      <c r="A3416" s="21" t="s">
        <v>3430</v>
      </c>
      <c r="B3416" s="21" t="s">
        <v>10631</v>
      </c>
      <c r="C3416" s="21" t="s">
        <v>22</v>
      </c>
      <c r="D3416" s="21" t="s">
        <v>1147</v>
      </c>
      <c r="E3416" s="21" t="s">
        <v>9</v>
      </c>
      <c r="F3416" s="5812">
        <v>3</v>
      </c>
      <c r="G3416" s="5813">
        <v>0.20833333333333334</v>
      </c>
      <c r="H3416" s="21" t="s">
        <v>10</v>
      </c>
      <c r="I3416" s="21" t="s">
        <v>39</v>
      </c>
      <c r="J3416" s="21" t="s">
        <v>10632</v>
      </c>
      <c r="K3416" s="5814" t="s">
        <v>10633</v>
      </c>
    </row>
    <row r="3417" spans="1:11">
      <c r="A3417" s="21" t="s">
        <v>4313</v>
      </c>
      <c r="B3417" s="21" t="s">
        <v>10634</v>
      </c>
      <c r="C3417" s="21" t="s">
        <v>8</v>
      </c>
      <c r="D3417" s="21" t="s">
        <v>1147</v>
      </c>
      <c r="E3417" s="21" t="s">
        <v>9</v>
      </c>
      <c r="F3417" s="5812">
        <v>3</v>
      </c>
      <c r="G3417" s="5813">
        <v>0.20833333333333334</v>
      </c>
      <c r="H3417" s="21" t="s">
        <v>10</v>
      </c>
      <c r="I3417" s="21" t="s">
        <v>23</v>
      </c>
      <c r="J3417" s="21" t="s">
        <v>10635</v>
      </c>
      <c r="K3417" s="5814" t="s">
        <v>10636</v>
      </c>
    </row>
    <row r="3418" spans="1:11">
      <c r="A3418" s="21" t="s">
        <v>3651</v>
      </c>
      <c r="B3418" s="21" t="s">
        <v>10637</v>
      </c>
      <c r="C3418" s="21" t="s">
        <v>8</v>
      </c>
      <c r="D3418" s="21" t="s">
        <v>1147</v>
      </c>
      <c r="E3418" s="21" t="s">
        <v>9</v>
      </c>
      <c r="F3418" s="5812">
        <v>3</v>
      </c>
      <c r="G3418" s="5813">
        <v>0.20833333333333334</v>
      </c>
      <c r="H3418" s="21" t="s">
        <v>10</v>
      </c>
      <c r="I3418" s="21" t="s">
        <v>2247</v>
      </c>
      <c r="J3418" s="21" t="s">
        <v>10638</v>
      </c>
      <c r="K3418" s="5814" t="s">
        <v>10639</v>
      </c>
    </row>
    <row r="3419" spans="1:11">
      <c r="A3419" s="21" t="s">
        <v>3053</v>
      </c>
      <c r="B3419" s="21" t="s">
        <v>10640</v>
      </c>
      <c r="C3419" s="21" t="s">
        <v>22</v>
      </c>
      <c r="D3419" s="21" t="s">
        <v>1147</v>
      </c>
      <c r="E3419" s="21" t="s">
        <v>9</v>
      </c>
      <c r="F3419" s="5812">
        <v>3</v>
      </c>
      <c r="G3419" s="5813">
        <v>0.20833333333333334</v>
      </c>
      <c r="H3419" s="21" t="s">
        <v>10</v>
      </c>
      <c r="I3419" s="21" t="s">
        <v>2269</v>
      </c>
      <c r="J3419" s="21" t="s">
        <v>10641</v>
      </c>
      <c r="K3419" s="5814" t="s">
        <v>10642</v>
      </c>
    </row>
    <row r="3420" spans="1:11">
      <c r="A3420" s="21" t="s">
        <v>3053</v>
      </c>
      <c r="B3420" s="21" t="s">
        <v>10643</v>
      </c>
      <c r="C3420" s="21" t="s">
        <v>22</v>
      </c>
      <c r="D3420" s="21" t="s">
        <v>1147</v>
      </c>
      <c r="E3420" s="21" t="s">
        <v>9</v>
      </c>
      <c r="F3420" s="5812">
        <v>3</v>
      </c>
      <c r="G3420" s="5813">
        <v>0.20833333333333334</v>
      </c>
      <c r="H3420" s="21" t="s">
        <v>10</v>
      </c>
      <c r="I3420" s="21" t="s">
        <v>2660</v>
      </c>
      <c r="J3420" s="21" t="s">
        <v>10644</v>
      </c>
      <c r="K3420" s="5814" t="s">
        <v>10645</v>
      </c>
    </row>
    <row r="3421" spans="1:11">
      <c r="A3421" s="21" t="s">
        <v>3053</v>
      </c>
      <c r="B3421" s="21" t="s">
        <v>10646</v>
      </c>
      <c r="C3421" s="21" t="s">
        <v>8</v>
      </c>
      <c r="D3421" s="21" t="s">
        <v>1147</v>
      </c>
      <c r="E3421" s="21" t="s">
        <v>9</v>
      </c>
      <c r="F3421" s="5812">
        <v>3</v>
      </c>
      <c r="G3421" s="5813">
        <v>0.20833333333333334</v>
      </c>
      <c r="H3421" s="21" t="s">
        <v>10</v>
      </c>
      <c r="I3421" s="21" t="s">
        <v>3534</v>
      </c>
      <c r="J3421" s="21" t="s">
        <v>10647</v>
      </c>
      <c r="K3421" s="5814" t="s">
        <v>10648</v>
      </c>
    </row>
    <row r="3422" spans="1:11">
      <c r="A3422" s="21" t="s">
        <v>4317</v>
      </c>
      <c r="B3422" s="21" t="s">
        <v>10649</v>
      </c>
      <c r="C3422" s="21" t="s">
        <v>8</v>
      </c>
      <c r="D3422" s="21" t="s">
        <v>1147</v>
      </c>
      <c r="E3422" s="21" t="s">
        <v>9</v>
      </c>
      <c r="F3422" s="5812">
        <v>3</v>
      </c>
      <c r="G3422" s="5813">
        <v>0.20833333333333334</v>
      </c>
      <c r="H3422" s="21" t="s">
        <v>10</v>
      </c>
      <c r="I3422" s="21" t="s">
        <v>2860</v>
      </c>
      <c r="J3422" s="21" t="s">
        <v>10650</v>
      </c>
      <c r="K3422" s="5814" t="s">
        <v>10651</v>
      </c>
    </row>
    <row r="3423" spans="1:11">
      <c r="A3423" s="21" t="s">
        <v>2776</v>
      </c>
      <c r="B3423" s="21" t="s">
        <v>10652</v>
      </c>
      <c r="C3423" s="21" t="s">
        <v>22</v>
      </c>
      <c r="D3423" s="21" t="s">
        <v>1147</v>
      </c>
      <c r="E3423" s="21" t="s">
        <v>9</v>
      </c>
      <c r="F3423" s="5812">
        <v>3</v>
      </c>
      <c r="G3423" s="5813">
        <v>0.20833333333333334</v>
      </c>
      <c r="H3423" s="21" t="s">
        <v>10</v>
      </c>
      <c r="I3423" s="21" t="s">
        <v>47</v>
      </c>
      <c r="J3423" s="21" t="s">
        <v>10653</v>
      </c>
      <c r="K3423" s="5814" t="s">
        <v>10654</v>
      </c>
    </row>
    <row r="3424" spans="1:11">
      <c r="A3424" s="21" t="s">
        <v>2776</v>
      </c>
      <c r="B3424" s="21" t="s">
        <v>10655</v>
      </c>
      <c r="C3424" s="21" t="s">
        <v>8</v>
      </c>
      <c r="D3424" s="21" t="s">
        <v>1147</v>
      </c>
      <c r="E3424" s="21" t="s">
        <v>9</v>
      </c>
      <c r="F3424" s="5812">
        <v>3</v>
      </c>
      <c r="G3424" s="5813">
        <v>0.20833333333333334</v>
      </c>
      <c r="H3424" s="21" t="s">
        <v>10</v>
      </c>
      <c r="I3424" s="21" t="s">
        <v>2260</v>
      </c>
      <c r="J3424" s="21" t="s">
        <v>10656</v>
      </c>
      <c r="K3424" s="5814" t="s">
        <v>10657</v>
      </c>
    </row>
    <row r="3425" spans="1:11">
      <c r="A3425" s="21" t="s">
        <v>4568</v>
      </c>
      <c r="B3425" s="21" t="s">
        <v>10658</v>
      </c>
      <c r="C3425" s="21" t="s">
        <v>8</v>
      </c>
      <c r="D3425" s="21" t="s">
        <v>1147</v>
      </c>
      <c r="E3425" s="21" t="s">
        <v>9</v>
      </c>
      <c r="F3425" s="5812">
        <v>3</v>
      </c>
      <c r="G3425" s="5813">
        <v>0.20833333333333334</v>
      </c>
      <c r="H3425" s="21" t="s">
        <v>10</v>
      </c>
      <c r="I3425" s="21" t="s">
        <v>194</v>
      </c>
      <c r="J3425" s="21" t="s">
        <v>10659</v>
      </c>
      <c r="K3425" s="5814" t="s">
        <v>10660</v>
      </c>
    </row>
    <row r="3426" spans="1:11">
      <c r="A3426" s="21" t="s">
        <v>4568</v>
      </c>
      <c r="B3426" s="21" t="s">
        <v>10661</v>
      </c>
      <c r="C3426" s="21" t="s">
        <v>8</v>
      </c>
      <c r="D3426" s="21" t="s">
        <v>1147</v>
      </c>
      <c r="E3426" s="21" t="s">
        <v>9</v>
      </c>
      <c r="F3426" s="5812">
        <v>3</v>
      </c>
      <c r="G3426" s="5813">
        <v>0.20833333333333334</v>
      </c>
      <c r="H3426" s="21" t="s">
        <v>10</v>
      </c>
      <c r="I3426" s="21" t="s">
        <v>11</v>
      </c>
      <c r="J3426" s="21" t="s">
        <v>10662</v>
      </c>
      <c r="K3426" s="5814" t="s">
        <v>10663</v>
      </c>
    </row>
    <row r="3427" spans="1:11">
      <c r="A3427" s="21" t="s">
        <v>3584</v>
      </c>
      <c r="B3427" s="21" t="s">
        <v>10664</v>
      </c>
      <c r="C3427" s="21" t="s">
        <v>8</v>
      </c>
      <c r="D3427" s="21" t="s">
        <v>1147</v>
      </c>
      <c r="E3427" s="21" t="s">
        <v>9</v>
      </c>
      <c r="F3427" s="5812">
        <v>3</v>
      </c>
      <c r="G3427" s="5813">
        <v>0.20833333333333334</v>
      </c>
      <c r="H3427" s="21" t="s">
        <v>10</v>
      </c>
      <c r="I3427" s="21" t="s">
        <v>2731</v>
      </c>
      <c r="J3427" s="21" t="s">
        <v>10665</v>
      </c>
      <c r="K3427" s="5814" t="s">
        <v>10666</v>
      </c>
    </row>
    <row r="3428" spans="1:11">
      <c r="A3428" s="21" t="s">
        <v>2788</v>
      </c>
      <c r="B3428" s="21" t="s">
        <v>10667</v>
      </c>
      <c r="C3428" s="21" t="s">
        <v>8</v>
      </c>
      <c r="D3428" s="21" t="s">
        <v>1147</v>
      </c>
      <c r="E3428" s="21" t="s">
        <v>9</v>
      </c>
      <c r="F3428" s="5812">
        <v>3</v>
      </c>
      <c r="G3428" s="5813">
        <v>0.20833333333333334</v>
      </c>
      <c r="H3428" s="21" t="s">
        <v>10</v>
      </c>
      <c r="I3428" s="21" t="s">
        <v>233</v>
      </c>
      <c r="J3428" s="21" t="s">
        <v>10668</v>
      </c>
      <c r="K3428" s="5814" t="s">
        <v>10669</v>
      </c>
    </row>
    <row r="3429" spans="1:11">
      <c r="A3429" s="21" t="s">
        <v>2792</v>
      </c>
      <c r="B3429" s="21" t="s">
        <v>10670</v>
      </c>
      <c r="C3429" s="21" t="s">
        <v>22</v>
      </c>
      <c r="D3429" s="21" t="s">
        <v>1147</v>
      </c>
      <c r="E3429" s="21" t="s">
        <v>9</v>
      </c>
      <c r="F3429" s="5812">
        <v>3</v>
      </c>
      <c r="G3429" s="5813">
        <v>0.20833333333333334</v>
      </c>
      <c r="H3429" s="21" t="s">
        <v>10</v>
      </c>
      <c r="I3429" s="21" t="s">
        <v>4329</v>
      </c>
      <c r="J3429" s="21" t="s">
        <v>10671</v>
      </c>
      <c r="K3429" s="5814" t="s">
        <v>10672</v>
      </c>
    </row>
    <row r="3430" spans="1:11">
      <c r="A3430" s="21" t="s">
        <v>3783</v>
      </c>
      <c r="B3430" s="21" t="s">
        <v>10673</v>
      </c>
      <c r="C3430" s="21" t="s">
        <v>22</v>
      </c>
      <c r="D3430" s="21" t="s">
        <v>1147</v>
      </c>
      <c r="E3430" s="21" t="s">
        <v>9</v>
      </c>
      <c r="F3430" s="5812">
        <v>3</v>
      </c>
      <c r="G3430" s="5813">
        <v>0.20833333333333334</v>
      </c>
      <c r="H3430" s="21" t="s">
        <v>10</v>
      </c>
      <c r="I3430" s="21" t="s">
        <v>2872</v>
      </c>
      <c r="J3430" s="21" t="s">
        <v>10674</v>
      </c>
      <c r="K3430" s="5814" t="s">
        <v>10675</v>
      </c>
    </row>
    <row r="3431" spans="1:11">
      <c r="A3431" s="21" t="s">
        <v>3783</v>
      </c>
      <c r="B3431" s="21" t="s">
        <v>10676</v>
      </c>
      <c r="C3431" s="21" t="s">
        <v>8</v>
      </c>
      <c r="D3431" s="21" t="s">
        <v>1147</v>
      </c>
      <c r="E3431" s="21" t="s">
        <v>9</v>
      </c>
      <c r="F3431" s="5812">
        <v>3</v>
      </c>
      <c r="G3431" s="5813">
        <v>0.20833333333333334</v>
      </c>
      <c r="H3431" s="21" t="s">
        <v>10</v>
      </c>
      <c r="I3431" s="21" t="s">
        <v>226</v>
      </c>
      <c r="J3431" s="21" t="s">
        <v>10677</v>
      </c>
      <c r="K3431" s="5814" t="s">
        <v>10678</v>
      </c>
    </row>
    <row r="3432" spans="1:11">
      <c r="A3432" s="21" t="s">
        <v>2241</v>
      </c>
      <c r="B3432" s="21" t="s">
        <v>10679</v>
      </c>
      <c r="C3432" s="21" t="s">
        <v>22</v>
      </c>
      <c r="D3432" s="21" t="s">
        <v>1147</v>
      </c>
      <c r="E3432" s="21" t="s">
        <v>9</v>
      </c>
      <c r="F3432" s="5812">
        <v>3</v>
      </c>
      <c r="G3432" s="5813">
        <v>0.20833333333333334</v>
      </c>
      <c r="H3432" s="21" t="s">
        <v>10</v>
      </c>
      <c r="I3432" s="21" t="s">
        <v>2297</v>
      </c>
      <c r="J3432" s="21" t="s">
        <v>10680</v>
      </c>
      <c r="K3432" s="5814" t="s">
        <v>10681</v>
      </c>
    </row>
    <row r="3433" spans="1:11">
      <c r="A3433" s="21" t="s">
        <v>2800</v>
      </c>
      <c r="B3433" s="21" t="s">
        <v>10682</v>
      </c>
      <c r="C3433" s="21" t="s">
        <v>22</v>
      </c>
      <c r="D3433" s="21" t="s">
        <v>1147</v>
      </c>
      <c r="E3433" s="21" t="s">
        <v>9</v>
      </c>
      <c r="F3433" s="5812">
        <v>3</v>
      </c>
      <c r="G3433" s="5813">
        <v>0.20833333333333334</v>
      </c>
      <c r="H3433" s="21" t="s">
        <v>10</v>
      </c>
      <c r="I3433" s="21" t="s">
        <v>2297</v>
      </c>
      <c r="J3433" s="21" t="s">
        <v>10683</v>
      </c>
      <c r="K3433" s="5814" t="s">
        <v>10684</v>
      </c>
    </row>
    <row r="3434" spans="1:11">
      <c r="A3434" s="21" t="s">
        <v>2804</v>
      </c>
      <c r="B3434" s="21" t="s">
        <v>10685</v>
      </c>
      <c r="C3434" s="21" t="s">
        <v>8</v>
      </c>
      <c r="D3434" s="21" t="s">
        <v>1147</v>
      </c>
      <c r="E3434" s="21" t="s">
        <v>9</v>
      </c>
      <c r="F3434" s="5812">
        <v>3</v>
      </c>
      <c r="G3434" s="5813">
        <v>0.20833333333333334</v>
      </c>
      <c r="H3434" s="21" t="s">
        <v>10</v>
      </c>
      <c r="I3434" s="21" t="s">
        <v>55</v>
      </c>
      <c r="J3434" s="21" t="s">
        <v>10686</v>
      </c>
      <c r="K3434" s="5814" t="s">
        <v>10687</v>
      </c>
    </row>
    <row r="3435" spans="1:11">
      <c r="A3435" s="21" t="s">
        <v>2804</v>
      </c>
      <c r="B3435" s="21" t="s">
        <v>10688</v>
      </c>
      <c r="C3435" s="21" t="s">
        <v>22</v>
      </c>
      <c r="D3435" s="21" t="s">
        <v>1147</v>
      </c>
      <c r="E3435" s="21" t="s">
        <v>9</v>
      </c>
      <c r="F3435" s="5812">
        <v>3</v>
      </c>
      <c r="G3435" s="5813">
        <v>0.20833333333333334</v>
      </c>
      <c r="H3435" s="21" t="s">
        <v>10</v>
      </c>
      <c r="I3435" s="21" t="s">
        <v>89</v>
      </c>
      <c r="J3435" s="21" t="s">
        <v>10689</v>
      </c>
      <c r="K3435" s="5814" t="s">
        <v>10690</v>
      </c>
    </row>
    <row r="3436" spans="1:11">
      <c r="A3436" s="21" t="s">
        <v>2804</v>
      </c>
      <c r="B3436" s="21" t="s">
        <v>10691</v>
      </c>
      <c r="C3436" s="21" t="s">
        <v>22</v>
      </c>
      <c r="D3436" s="21" t="s">
        <v>1147</v>
      </c>
      <c r="E3436" s="21" t="s">
        <v>9</v>
      </c>
      <c r="F3436" s="5812">
        <v>3</v>
      </c>
      <c r="G3436" s="5813">
        <v>0.20833333333333334</v>
      </c>
      <c r="H3436" s="21" t="s">
        <v>10</v>
      </c>
      <c r="I3436" s="21" t="s">
        <v>2297</v>
      </c>
      <c r="J3436" s="21" t="s">
        <v>10692</v>
      </c>
      <c r="K3436" s="5814" t="s">
        <v>10693</v>
      </c>
    </row>
    <row r="3437" spans="1:11">
      <c r="A3437" s="21" t="s">
        <v>2808</v>
      </c>
      <c r="B3437" s="21" t="s">
        <v>10694</v>
      </c>
      <c r="C3437" s="21" t="s">
        <v>22</v>
      </c>
      <c r="D3437" s="21" t="s">
        <v>1147</v>
      </c>
      <c r="E3437" s="21" t="s">
        <v>9</v>
      </c>
      <c r="F3437" s="5812">
        <v>3</v>
      </c>
      <c r="G3437" s="5813">
        <v>0.20833333333333334</v>
      </c>
      <c r="H3437" s="21" t="s">
        <v>10</v>
      </c>
      <c r="I3437" s="21" t="s">
        <v>226</v>
      </c>
      <c r="J3437" s="21" t="s">
        <v>10695</v>
      </c>
      <c r="K3437" s="5814" t="s">
        <v>10696</v>
      </c>
    </row>
    <row r="3438" spans="1:11">
      <c r="A3438" s="21" t="s">
        <v>4345</v>
      </c>
      <c r="B3438" s="21" t="s">
        <v>10697</v>
      </c>
      <c r="C3438" s="21" t="s">
        <v>22</v>
      </c>
      <c r="D3438" s="21" t="s">
        <v>1147</v>
      </c>
      <c r="E3438" s="21" t="s">
        <v>9</v>
      </c>
      <c r="F3438" s="5812">
        <v>3</v>
      </c>
      <c r="G3438" s="5813">
        <v>0.20833333333333334</v>
      </c>
      <c r="H3438" s="21" t="s">
        <v>10</v>
      </c>
      <c r="I3438" s="21" t="s">
        <v>2269</v>
      </c>
      <c r="J3438" s="21" t="s">
        <v>10698</v>
      </c>
      <c r="K3438" s="5814" t="s">
        <v>10699</v>
      </c>
    </row>
    <row r="3439" spans="1:11">
      <c r="A3439" s="21" t="s">
        <v>4345</v>
      </c>
      <c r="B3439" s="21" t="s">
        <v>10700</v>
      </c>
      <c r="C3439" s="21" t="s">
        <v>22</v>
      </c>
      <c r="D3439" s="21" t="s">
        <v>1147</v>
      </c>
      <c r="E3439" s="21" t="s">
        <v>9</v>
      </c>
      <c r="F3439" s="5812">
        <v>3</v>
      </c>
      <c r="G3439" s="5813">
        <v>0.20833333333333334</v>
      </c>
      <c r="H3439" s="21" t="s">
        <v>10</v>
      </c>
      <c r="I3439" s="21" t="s">
        <v>2269</v>
      </c>
      <c r="J3439" s="21" t="s">
        <v>10701</v>
      </c>
      <c r="K3439" s="5814" t="s">
        <v>10702</v>
      </c>
    </row>
    <row r="3440" spans="1:11">
      <c r="A3440" s="21" t="s">
        <v>3082</v>
      </c>
      <c r="B3440" s="21" t="s">
        <v>10703</v>
      </c>
      <c r="C3440" s="21" t="s">
        <v>22</v>
      </c>
      <c r="D3440" s="21" t="s">
        <v>1147</v>
      </c>
      <c r="E3440" s="21" t="s">
        <v>9</v>
      </c>
      <c r="F3440" s="5812">
        <v>3</v>
      </c>
      <c r="G3440" s="5813">
        <v>0.20833333333333334</v>
      </c>
      <c r="H3440" s="21" t="s">
        <v>10</v>
      </c>
      <c r="I3440" s="21" t="s">
        <v>117</v>
      </c>
      <c r="J3440" s="21" t="s">
        <v>10704</v>
      </c>
      <c r="K3440" s="5814" t="s">
        <v>10705</v>
      </c>
    </row>
    <row r="3441" spans="1:11">
      <c r="A3441" s="21" t="s">
        <v>2295</v>
      </c>
      <c r="B3441" s="21" t="s">
        <v>10706</v>
      </c>
      <c r="C3441" s="21" t="s">
        <v>22</v>
      </c>
      <c r="D3441" s="21" t="s">
        <v>1147</v>
      </c>
      <c r="E3441" s="21" t="s">
        <v>9</v>
      </c>
      <c r="F3441" s="5812">
        <v>3</v>
      </c>
      <c r="G3441" s="5813">
        <v>0.20833333333333334</v>
      </c>
      <c r="H3441" s="21" t="s">
        <v>10</v>
      </c>
      <c r="I3441" s="21" t="s">
        <v>6019</v>
      </c>
      <c r="J3441" s="21" t="s">
        <v>10707</v>
      </c>
      <c r="K3441" s="5814" t="s">
        <v>10708</v>
      </c>
    </row>
    <row r="3442" spans="1:11">
      <c r="A3442" s="21" t="s">
        <v>2827</v>
      </c>
      <c r="B3442" s="21" t="s">
        <v>10709</v>
      </c>
      <c r="C3442" s="21" t="s">
        <v>8</v>
      </c>
      <c r="D3442" s="21" t="s">
        <v>1147</v>
      </c>
      <c r="E3442" s="21" t="s">
        <v>9</v>
      </c>
      <c r="F3442" s="5812">
        <v>3</v>
      </c>
      <c r="G3442" s="5813">
        <v>0.20833333333333334</v>
      </c>
      <c r="H3442" s="21" t="s">
        <v>10</v>
      </c>
      <c r="I3442" s="21" t="s">
        <v>2713</v>
      </c>
      <c r="J3442" s="21" t="s">
        <v>10710</v>
      </c>
      <c r="K3442" s="5814" t="s">
        <v>10711</v>
      </c>
    </row>
    <row r="3443" spans="1:11">
      <c r="A3443" s="21" t="s">
        <v>3828</v>
      </c>
      <c r="B3443" s="21" t="s">
        <v>10712</v>
      </c>
      <c r="C3443" s="21" t="s">
        <v>8</v>
      </c>
      <c r="D3443" s="21" t="s">
        <v>1147</v>
      </c>
      <c r="E3443" s="21" t="s">
        <v>9</v>
      </c>
      <c r="F3443" s="5812">
        <v>3</v>
      </c>
      <c r="G3443" s="5813">
        <v>0.20833333333333334</v>
      </c>
      <c r="H3443" s="21" t="s">
        <v>10</v>
      </c>
      <c r="I3443" s="21" t="s">
        <v>55</v>
      </c>
      <c r="J3443" s="21" t="s">
        <v>10713</v>
      </c>
      <c r="K3443" s="5814" t="s">
        <v>10714</v>
      </c>
    </row>
    <row r="3444" spans="1:11">
      <c r="A3444" s="21" t="s">
        <v>3828</v>
      </c>
      <c r="B3444" s="21" t="s">
        <v>10715</v>
      </c>
      <c r="C3444" s="21" t="s">
        <v>8</v>
      </c>
      <c r="D3444" s="21" t="s">
        <v>1147</v>
      </c>
      <c r="E3444" s="21" t="s">
        <v>9</v>
      </c>
      <c r="F3444" s="5812">
        <v>3</v>
      </c>
      <c r="G3444" s="5813">
        <v>0.20833333333333334</v>
      </c>
      <c r="H3444" s="21" t="s">
        <v>10</v>
      </c>
      <c r="I3444" s="21" t="s">
        <v>226</v>
      </c>
      <c r="J3444" s="21" t="s">
        <v>10716</v>
      </c>
      <c r="K3444" s="5814" t="s">
        <v>10717</v>
      </c>
    </row>
    <row r="3445" spans="1:11">
      <c r="A3445" s="21" t="s">
        <v>2831</v>
      </c>
      <c r="B3445" s="21" t="s">
        <v>10718</v>
      </c>
      <c r="C3445" s="21" t="s">
        <v>22</v>
      </c>
      <c r="D3445" s="21" t="s">
        <v>1147</v>
      </c>
      <c r="E3445" s="21" t="s">
        <v>9</v>
      </c>
      <c r="F3445" s="5812">
        <v>3</v>
      </c>
      <c r="G3445" s="5813">
        <v>0.20833333333333334</v>
      </c>
      <c r="H3445" s="21" t="s">
        <v>10</v>
      </c>
      <c r="I3445" s="21" t="s">
        <v>2692</v>
      </c>
      <c r="J3445" s="21" t="s">
        <v>10719</v>
      </c>
      <c r="K3445" s="5814" t="s">
        <v>10720</v>
      </c>
    </row>
    <row r="3446" spans="1:11">
      <c r="A3446" s="21" t="s">
        <v>3192</v>
      </c>
      <c r="B3446" s="21" t="s">
        <v>10721</v>
      </c>
      <c r="C3446" s="21" t="s">
        <v>8</v>
      </c>
      <c r="D3446" s="21" t="s">
        <v>1147</v>
      </c>
      <c r="E3446" s="21" t="s">
        <v>9</v>
      </c>
      <c r="F3446" s="5812">
        <v>3</v>
      </c>
      <c r="G3446" s="5813">
        <v>0.20833333333333334</v>
      </c>
      <c r="H3446" s="21" t="s">
        <v>10</v>
      </c>
      <c r="I3446" s="21" t="s">
        <v>2297</v>
      </c>
      <c r="J3446" s="21" t="s">
        <v>10722</v>
      </c>
      <c r="K3446" s="5814" t="s">
        <v>10723</v>
      </c>
    </row>
    <row r="3447" spans="1:11">
      <c r="A3447" s="21" t="s">
        <v>3192</v>
      </c>
      <c r="B3447" s="21" t="s">
        <v>10724</v>
      </c>
      <c r="C3447" s="21" t="s">
        <v>8</v>
      </c>
      <c r="D3447" s="21" t="s">
        <v>1147</v>
      </c>
      <c r="E3447" s="21" t="s">
        <v>9</v>
      </c>
      <c r="F3447" s="5812">
        <v>3</v>
      </c>
      <c r="G3447" s="5813">
        <v>0.20833333333333334</v>
      </c>
      <c r="H3447" s="21" t="s">
        <v>10</v>
      </c>
      <c r="I3447" s="21" t="s">
        <v>55</v>
      </c>
      <c r="J3447" s="21" t="s">
        <v>10725</v>
      </c>
      <c r="K3447" s="5814" t="s">
        <v>10726</v>
      </c>
    </row>
    <row r="3448" spans="1:11">
      <c r="A3448" s="21" t="s">
        <v>2835</v>
      </c>
      <c r="B3448" s="21" t="s">
        <v>10727</v>
      </c>
      <c r="C3448" s="21" t="s">
        <v>22</v>
      </c>
      <c r="D3448" s="21" t="s">
        <v>1147</v>
      </c>
      <c r="E3448" s="21" t="s">
        <v>9</v>
      </c>
      <c r="F3448" s="5812">
        <v>3</v>
      </c>
      <c r="G3448" s="5813">
        <v>0.20833333333333334</v>
      </c>
      <c r="H3448" s="21" t="s">
        <v>10</v>
      </c>
      <c r="I3448" s="21" t="s">
        <v>226</v>
      </c>
      <c r="J3448" s="21" t="s">
        <v>10728</v>
      </c>
      <c r="K3448" s="5814" t="s">
        <v>10729</v>
      </c>
    </row>
    <row r="3449" spans="1:11">
      <c r="A3449" s="21" t="s">
        <v>2250</v>
      </c>
      <c r="B3449" s="21" t="s">
        <v>10730</v>
      </c>
      <c r="C3449" s="21" t="s">
        <v>8</v>
      </c>
      <c r="D3449" s="21" t="s">
        <v>1147</v>
      </c>
      <c r="E3449" s="21" t="s">
        <v>9</v>
      </c>
      <c r="F3449" s="5812">
        <v>3</v>
      </c>
      <c r="G3449" s="5813">
        <v>0.20833333333333334</v>
      </c>
      <c r="H3449" s="21" t="s">
        <v>10</v>
      </c>
      <c r="I3449" s="21" t="s">
        <v>55</v>
      </c>
      <c r="J3449" s="21" t="s">
        <v>10731</v>
      </c>
      <c r="K3449" s="5814" t="s">
        <v>10732</v>
      </c>
    </row>
    <row r="3450" spans="1:11">
      <c r="A3450" s="21" t="s">
        <v>2254</v>
      </c>
      <c r="B3450" s="21" t="s">
        <v>10733</v>
      </c>
      <c r="C3450" s="21" t="s">
        <v>22</v>
      </c>
      <c r="D3450" s="21" t="s">
        <v>1147</v>
      </c>
      <c r="E3450" s="21" t="s">
        <v>9</v>
      </c>
      <c r="F3450" s="5812">
        <v>3</v>
      </c>
      <c r="G3450" s="5813">
        <v>0.20833333333333334</v>
      </c>
      <c r="H3450" s="21" t="s">
        <v>10</v>
      </c>
      <c r="I3450" s="21" t="s">
        <v>2297</v>
      </c>
      <c r="J3450" s="21" t="s">
        <v>10734</v>
      </c>
      <c r="K3450" s="5814" t="s">
        <v>10735</v>
      </c>
    </row>
    <row r="3451" spans="1:11">
      <c r="A3451" s="21" t="s">
        <v>2839</v>
      </c>
      <c r="B3451" s="21" t="s">
        <v>10736</v>
      </c>
      <c r="C3451" s="21" t="s">
        <v>22</v>
      </c>
      <c r="D3451" s="21" t="s">
        <v>1147</v>
      </c>
      <c r="E3451" s="21" t="s">
        <v>9</v>
      </c>
      <c r="F3451" s="5812">
        <v>3</v>
      </c>
      <c r="G3451" s="5813">
        <v>0.20833333333333334</v>
      </c>
      <c r="H3451" s="21" t="s">
        <v>10</v>
      </c>
      <c r="I3451" s="21" t="s">
        <v>2713</v>
      </c>
      <c r="J3451" s="21" t="s">
        <v>10737</v>
      </c>
      <c r="K3451" s="5814" t="s">
        <v>10738</v>
      </c>
    </row>
    <row r="3452" spans="1:11">
      <c r="A3452" s="21" t="s">
        <v>5220</v>
      </c>
      <c r="B3452" s="21" t="s">
        <v>10739</v>
      </c>
      <c r="C3452" s="21" t="s">
        <v>8</v>
      </c>
      <c r="D3452" s="21" t="s">
        <v>1147</v>
      </c>
      <c r="E3452" s="21" t="s">
        <v>9</v>
      </c>
      <c r="F3452" s="5812">
        <v>3</v>
      </c>
      <c r="G3452" s="5813">
        <v>0.20833333333333334</v>
      </c>
      <c r="H3452" s="21" t="s">
        <v>10</v>
      </c>
      <c r="I3452" s="21" t="s">
        <v>2313</v>
      </c>
      <c r="J3452" s="21" t="s">
        <v>10740</v>
      </c>
      <c r="K3452" s="5814" t="s">
        <v>10741</v>
      </c>
    </row>
    <row r="3453" spans="1:11">
      <c r="A3453" s="21" t="s">
        <v>4645</v>
      </c>
      <c r="B3453" s="21" t="s">
        <v>10742</v>
      </c>
      <c r="C3453" s="21" t="s">
        <v>8</v>
      </c>
      <c r="D3453" s="21" t="s">
        <v>1147</v>
      </c>
      <c r="E3453" s="21" t="s">
        <v>9</v>
      </c>
      <c r="F3453" s="5812">
        <v>3</v>
      </c>
      <c r="G3453" s="5813">
        <v>0.20833333333333334</v>
      </c>
      <c r="H3453" s="21" t="s">
        <v>10</v>
      </c>
      <c r="I3453" s="21" t="s">
        <v>55</v>
      </c>
      <c r="J3453" s="21" t="s">
        <v>10743</v>
      </c>
      <c r="K3453" s="5814" t="s">
        <v>10744</v>
      </c>
    </row>
    <row r="3454" spans="1:11">
      <c r="A3454" s="21" t="s">
        <v>3049</v>
      </c>
      <c r="B3454" s="21" t="s">
        <v>10745</v>
      </c>
      <c r="C3454" s="21" t="s">
        <v>22</v>
      </c>
      <c r="D3454" s="21" t="s">
        <v>1147</v>
      </c>
      <c r="E3454" s="21" t="s">
        <v>9</v>
      </c>
      <c r="F3454" s="5812">
        <v>3</v>
      </c>
      <c r="G3454" s="5813">
        <v>0.20833333333333334</v>
      </c>
      <c r="H3454" s="21" t="s">
        <v>10</v>
      </c>
      <c r="I3454" s="21" t="s">
        <v>47</v>
      </c>
      <c r="J3454" s="21" t="s">
        <v>10746</v>
      </c>
      <c r="K3454" s="5814" t="s">
        <v>10747</v>
      </c>
    </row>
    <row r="3455" spans="1:11">
      <c r="A3455" s="21" t="s">
        <v>4768</v>
      </c>
      <c r="B3455" s="21" t="s">
        <v>10748</v>
      </c>
      <c r="C3455" s="21" t="s">
        <v>22</v>
      </c>
      <c r="D3455" s="21" t="s">
        <v>1147</v>
      </c>
      <c r="E3455" s="21" t="s">
        <v>9</v>
      </c>
      <c r="F3455" s="5812">
        <v>3</v>
      </c>
      <c r="G3455" s="5813">
        <v>0.20833333333333334</v>
      </c>
      <c r="H3455" s="21" t="s">
        <v>10</v>
      </c>
      <c r="I3455" s="21" t="s">
        <v>47</v>
      </c>
      <c r="J3455" s="21" t="s">
        <v>10749</v>
      </c>
      <c r="K3455" s="5814" t="s">
        <v>10750</v>
      </c>
    </row>
    <row r="3456" spans="1:11">
      <c r="A3456" s="21" t="s">
        <v>2258</v>
      </c>
      <c r="B3456" s="21" t="s">
        <v>10751</v>
      </c>
      <c r="C3456" s="21" t="s">
        <v>8</v>
      </c>
      <c r="D3456" s="21" t="s">
        <v>1147</v>
      </c>
      <c r="E3456" s="21" t="s">
        <v>9</v>
      </c>
      <c r="F3456" s="5812">
        <v>3</v>
      </c>
      <c r="G3456" s="5813">
        <v>0.20833333333333334</v>
      </c>
      <c r="H3456" s="21" t="s">
        <v>10</v>
      </c>
      <c r="I3456" s="21" t="s">
        <v>2713</v>
      </c>
      <c r="J3456" s="21" t="s">
        <v>10752</v>
      </c>
      <c r="K3456" s="5814" t="s">
        <v>10753</v>
      </c>
    </row>
    <row r="3457" spans="1:11">
      <c r="A3457" s="21" t="s">
        <v>3565</v>
      </c>
      <c r="B3457" s="21" t="s">
        <v>10754</v>
      </c>
      <c r="C3457" s="21" t="s">
        <v>22</v>
      </c>
      <c r="D3457" s="21" t="s">
        <v>1147</v>
      </c>
      <c r="E3457" s="21" t="s">
        <v>9</v>
      </c>
      <c r="F3457" s="5812">
        <v>3</v>
      </c>
      <c r="G3457" s="5813">
        <v>0.20833333333333334</v>
      </c>
      <c r="H3457" s="21" t="s">
        <v>10</v>
      </c>
      <c r="I3457" s="21" t="s">
        <v>11</v>
      </c>
      <c r="J3457" s="21" t="s">
        <v>10755</v>
      </c>
      <c r="K3457" s="5814" t="s">
        <v>10756</v>
      </c>
    </row>
    <row r="3458" spans="1:11">
      <c r="A3458" s="21" t="s">
        <v>2846</v>
      </c>
      <c r="B3458" s="21" t="s">
        <v>10757</v>
      </c>
      <c r="C3458" s="21" t="s">
        <v>8</v>
      </c>
      <c r="D3458" s="21" t="s">
        <v>1147</v>
      </c>
      <c r="E3458" s="21" t="s">
        <v>9</v>
      </c>
      <c r="F3458" s="5812">
        <v>3</v>
      </c>
      <c r="G3458" s="5813">
        <v>0.20833333333333334</v>
      </c>
      <c r="H3458" s="21" t="s">
        <v>10</v>
      </c>
      <c r="I3458" s="21" t="s">
        <v>3441</v>
      </c>
      <c r="J3458" s="21" t="s">
        <v>10758</v>
      </c>
      <c r="K3458" s="5814" t="s">
        <v>10759</v>
      </c>
    </row>
    <row r="3459" spans="1:11">
      <c r="A3459" s="21" t="s">
        <v>2846</v>
      </c>
      <c r="B3459" s="21" t="s">
        <v>10760</v>
      </c>
      <c r="C3459" s="21" t="s">
        <v>22</v>
      </c>
      <c r="D3459" s="21" t="s">
        <v>1147</v>
      </c>
      <c r="E3459" s="21" t="s">
        <v>9</v>
      </c>
      <c r="F3459" s="5812">
        <v>3</v>
      </c>
      <c r="G3459" s="5813">
        <v>0.20833333333333334</v>
      </c>
      <c r="H3459" s="21" t="s">
        <v>10</v>
      </c>
      <c r="I3459" s="21" t="s">
        <v>2721</v>
      </c>
      <c r="J3459" s="21" t="s">
        <v>7816</v>
      </c>
      <c r="K3459" s="5814" t="s">
        <v>10761</v>
      </c>
    </row>
    <row r="3460" spans="1:11">
      <c r="A3460" s="21" t="s">
        <v>3630</v>
      </c>
      <c r="B3460" s="21" t="s">
        <v>9837</v>
      </c>
      <c r="C3460" s="21" t="s">
        <v>8</v>
      </c>
      <c r="D3460" s="21" t="s">
        <v>1147</v>
      </c>
      <c r="E3460" s="21" t="s">
        <v>9</v>
      </c>
      <c r="F3460" s="5812">
        <v>3</v>
      </c>
      <c r="G3460" s="5813">
        <v>0.20833333333333334</v>
      </c>
      <c r="H3460" s="21" t="s">
        <v>10</v>
      </c>
      <c r="I3460" s="21" t="s">
        <v>226</v>
      </c>
      <c r="J3460" s="21" t="s">
        <v>10762</v>
      </c>
      <c r="K3460" s="5814" t="s">
        <v>10763</v>
      </c>
    </row>
    <row r="3461" spans="1:11">
      <c r="A3461" s="21" t="s">
        <v>2850</v>
      </c>
      <c r="B3461" s="21" t="s">
        <v>10764</v>
      </c>
      <c r="C3461" s="21" t="s">
        <v>8</v>
      </c>
      <c r="D3461" s="21" t="s">
        <v>1147</v>
      </c>
      <c r="E3461" s="21" t="s">
        <v>9</v>
      </c>
      <c r="F3461" s="5812">
        <v>3</v>
      </c>
      <c r="G3461" s="5813">
        <v>0.20833333333333334</v>
      </c>
      <c r="H3461" s="21" t="s">
        <v>10</v>
      </c>
      <c r="I3461" s="21" t="s">
        <v>2297</v>
      </c>
      <c r="J3461" s="21" t="s">
        <v>10765</v>
      </c>
      <c r="K3461" s="5814" t="s">
        <v>10766</v>
      </c>
    </row>
    <row r="3462" spans="1:11">
      <c r="A3462" s="21" t="s">
        <v>2850</v>
      </c>
      <c r="B3462" s="21" t="s">
        <v>10767</v>
      </c>
      <c r="C3462" s="21" t="s">
        <v>8</v>
      </c>
      <c r="D3462" s="21" t="s">
        <v>1147</v>
      </c>
      <c r="E3462" s="21" t="s">
        <v>9</v>
      </c>
      <c r="F3462" s="5812">
        <v>3</v>
      </c>
      <c r="G3462" s="5813">
        <v>0.20833333333333334</v>
      </c>
      <c r="H3462" s="21" t="s">
        <v>10</v>
      </c>
      <c r="I3462" s="21" t="s">
        <v>39</v>
      </c>
      <c r="J3462" s="21" t="s">
        <v>10768</v>
      </c>
      <c r="K3462" s="5814" t="s">
        <v>10769</v>
      </c>
    </row>
    <row r="3463" spans="1:11">
      <c r="A3463" s="21" t="s">
        <v>4423</v>
      </c>
      <c r="B3463" s="21" t="s">
        <v>10770</v>
      </c>
      <c r="C3463" s="21" t="s">
        <v>8</v>
      </c>
      <c r="D3463" s="21" t="s">
        <v>1147</v>
      </c>
      <c r="E3463" s="21" t="s">
        <v>9</v>
      </c>
      <c r="F3463" s="5812">
        <v>3</v>
      </c>
      <c r="G3463" s="5813">
        <v>0.20833333333333334</v>
      </c>
      <c r="H3463" s="21" t="s">
        <v>10</v>
      </c>
      <c r="I3463" s="21" t="s">
        <v>96</v>
      </c>
      <c r="J3463" s="21" t="s">
        <v>10771</v>
      </c>
      <c r="K3463" s="5814" t="s">
        <v>10772</v>
      </c>
    </row>
    <row r="3464" spans="1:11">
      <c r="A3464" s="21" t="s">
        <v>2854</v>
      </c>
      <c r="B3464" s="21" t="s">
        <v>10773</v>
      </c>
      <c r="C3464" s="21" t="s">
        <v>22</v>
      </c>
      <c r="D3464" s="21" t="s">
        <v>1147</v>
      </c>
      <c r="E3464" s="21" t="s">
        <v>9</v>
      </c>
      <c r="F3464" s="5812">
        <v>3</v>
      </c>
      <c r="G3464" s="5813">
        <v>0.20833333333333334</v>
      </c>
      <c r="H3464" s="21" t="s">
        <v>10</v>
      </c>
      <c r="I3464" s="21" t="s">
        <v>2247</v>
      </c>
      <c r="J3464" s="21" t="s">
        <v>10774</v>
      </c>
      <c r="K3464" s="5814" t="s">
        <v>10775</v>
      </c>
    </row>
    <row r="3465" spans="1:11">
      <c r="A3465" s="21" t="s">
        <v>5235</v>
      </c>
      <c r="B3465" s="21" t="s">
        <v>10776</v>
      </c>
      <c r="C3465" s="21" t="s">
        <v>8</v>
      </c>
      <c r="D3465" s="21" t="s">
        <v>1147</v>
      </c>
      <c r="E3465" s="21" t="s">
        <v>9</v>
      </c>
      <c r="F3465" s="5812">
        <v>3</v>
      </c>
      <c r="G3465" s="5813">
        <v>0.20833333333333334</v>
      </c>
      <c r="H3465" s="21" t="s">
        <v>10</v>
      </c>
      <c r="I3465" s="21" t="s">
        <v>3534</v>
      </c>
      <c r="J3465" s="21" t="s">
        <v>10777</v>
      </c>
      <c r="K3465" s="5814" t="s">
        <v>10778</v>
      </c>
    </row>
    <row r="3466" spans="1:11">
      <c r="A3466" s="21" t="s">
        <v>2272</v>
      </c>
      <c r="B3466" s="21" t="s">
        <v>10779</v>
      </c>
      <c r="C3466" s="21" t="s">
        <v>8</v>
      </c>
      <c r="D3466" s="21" t="s">
        <v>1147</v>
      </c>
      <c r="E3466" s="21" t="s">
        <v>9</v>
      </c>
      <c r="F3466" s="5812">
        <v>3</v>
      </c>
      <c r="G3466" s="5813">
        <v>0.20833333333333334</v>
      </c>
      <c r="H3466" s="21" t="s">
        <v>10</v>
      </c>
      <c r="I3466" s="21" t="s">
        <v>2176</v>
      </c>
      <c r="J3466" s="21" t="s">
        <v>10780</v>
      </c>
      <c r="K3466" s="5814" t="s">
        <v>10781</v>
      </c>
    </row>
    <row r="3467" spans="1:11">
      <c r="A3467" s="21" t="s">
        <v>3345</v>
      </c>
      <c r="B3467" s="21" t="s">
        <v>10782</v>
      </c>
      <c r="C3467" s="21" t="s">
        <v>8</v>
      </c>
      <c r="D3467" s="21" t="s">
        <v>1147</v>
      </c>
      <c r="E3467" s="21" t="s">
        <v>9</v>
      </c>
      <c r="F3467" s="5812">
        <v>3</v>
      </c>
      <c r="G3467" s="5813">
        <v>0.20833333333333334</v>
      </c>
      <c r="H3467" s="21" t="s">
        <v>10</v>
      </c>
      <c r="I3467" s="21" t="s">
        <v>2872</v>
      </c>
      <c r="J3467" s="21" t="s">
        <v>10783</v>
      </c>
      <c r="K3467" s="5814" t="s">
        <v>10784</v>
      </c>
    </row>
    <row r="3468" spans="1:11">
      <c r="A3468" s="21" t="s">
        <v>2961</v>
      </c>
      <c r="B3468" s="21" t="s">
        <v>10785</v>
      </c>
      <c r="C3468" s="21" t="s">
        <v>8</v>
      </c>
      <c r="D3468" s="21" t="s">
        <v>1147</v>
      </c>
      <c r="E3468" s="21" t="s">
        <v>9</v>
      </c>
      <c r="F3468" s="5812">
        <v>3</v>
      </c>
      <c r="G3468" s="5813">
        <v>0.20833333333333334</v>
      </c>
      <c r="H3468" s="21" t="s">
        <v>10</v>
      </c>
      <c r="I3468" s="21" t="s">
        <v>2713</v>
      </c>
      <c r="J3468" s="21" t="s">
        <v>10786</v>
      </c>
      <c r="K3468" s="5814" t="s">
        <v>10787</v>
      </c>
    </row>
    <row r="3469" spans="1:11">
      <c r="A3469" s="21" t="s">
        <v>2280</v>
      </c>
      <c r="B3469" s="21" t="s">
        <v>10788</v>
      </c>
      <c r="C3469" s="21" t="s">
        <v>8</v>
      </c>
      <c r="D3469" s="21" t="s">
        <v>1147</v>
      </c>
      <c r="E3469" s="21" t="s">
        <v>9</v>
      </c>
      <c r="F3469" s="5812">
        <v>3</v>
      </c>
      <c r="G3469" s="5813">
        <v>0.20833333333333334</v>
      </c>
      <c r="H3469" s="21" t="s">
        <v>10</v>
      </c>
      <c r="I3469" s="21" t="s">
        <v>55</v>
      </c>
      <c r="J3469" s="21" t="s">
        <v>10789</v>
      </c>
      <c r="K3469" s="5814" t="s">
        <v>10790</v>
      </c>
    </row>
    <row r="3470" spans="1:11">
      <c r="A3470" s="21" t="s">
        <v>2280</v>
      </c>
      <c r="B3470" s="21" t="s">
        <v>10791</v>
      </c>
      <c r="C3470" s="21" t="s">
        <v>22</v>
      </c>
      <c r="D3470" s="21" t="s">
        <v>1147</v>
      </c>
      <c r="E3470" s="21" t="s">
        <v>9</v>
      </c>
      <c r="F3470" s="5812">
        <v>3</v>
      </c>
      <c r="G3470" s="5813">
        <v>0.20833333333333334</v>
      </c>
      <c r="H3470" s="21" t="s">
        <v>10</v>
      </c>
      <c r="I3470" s="21" t="s">
        <v>2297</v>
      </c>
      <c r="J3470" s="21" t="s">
        <v>10792</v>
      </c>
      <c r="K3470" s="5814" t="s">
        <v>10793</v>
      </c>
    </row>
    <row r="3471" spans="1:11">
      <c r="A3471" s="21" t="s">
        <v>2878</v>
      </c>
      <c r="B3471" s="21" t="s">
        <v>10794</v>
      </c>
      <c r="C3471" s="21" t="s">
        <v>8</v>
      </c>
      <c r="D3471" s="21" t="s">
        <v>1147</v>
      </c>
      <c r="E3471" s="21" t="s">
        <v>9</v>
      </c>
      <c r="F3471" s="5812">
        <v>3</v>
      </c>
      <c r="G3471" s="5813">
        <v>0.20833333333333334</v>
      </c>
      <c r="H3471" s="21" t="s">
        <v>10</v>
      </c>
      <c r="I3471" s="21" t="s">
        <v>2872</v>
      </c>
      <c r="J3471" s="21" t="s">
        <v>10795</v>
      </c>
      <c r="K3471" s="5814" t="s">
        <v>10796</v>
      </c>
    </row>
    <row r="3472" spans="1:11">
      <c r="A3472" s="21" t="s">
        <v>2878</v>
      </c>
      <c r="B3472" s="21" t="s">
        <v>10797</v>
      </c>
      <c r="C3472" s="21" t="s">
        <v>8</v>
      </c>
      <c r="D3472" s="21" t="s">
        <v>1147</v>
      </c>
      <c r="E3472" s="21" t="s">
        <v>9</v>
      </c>
      <c r="F3472" s="5812">
        <v>3</v>
      </c>
      <c r="G3472" s="5813">
        <v>0.20833333333333334</v>
      </c>
      <c r="H3472" s="21" t="s">
        <v>10</v>
      </c>
      <c r="I3472" s="21" t="s">
        <v>2872</v>
      </c>
      <c r="J3472" s="21" t="s">
        <v>10798</v>
      </c>
      <c r="K3472" s="5814" t="s">
        <v>10799</v>
      </c>
    </row>
    <row r="3473" spans="1:11">
      <c r="A3473" s="21" t="s">
        <v>2882</v>
      </c>
      <c r="B3473" s="21" t="s">
        <v>10800</v>
      </c>
      <c r="C3473" s="21" t="s">
        <v>22</v>
      </c>
      <c r="D3473" s="21" t="s">
        <v>1147</v>
      </c>
      <c r="E3473" s="21" t="s">
        <v>9</v>
      </c>
      <c r="F3473" s="5812">
        <v>3</v>
      </c>
      <c r="G3473" s="5813">
        <v>0.20833333333333334</v>
      </c>
      <c r="H3473" s="21" t="s">
        <v>10</v>
      </c>
      <c r="I3473" s="21" t="s">
        <v>55</v>
      </c>
      <c r="J3473" s="21" t="s">
        <v>10801</v>
      </c>
      <c r="K3473" s="5814" t="s">
        <v>10802</v>
      </c>
    </row>
    <row r="3474" spans="1:11">
      <c r="A3474" s="21" t="s">
        <v>2886</v>
      </c>
      <c r="B3474" s="21" t="s">
        <v>10803</v>
      </c>
      <c r="C3474" s="21" t="s">
        <v>8</v>
      </c>
      <c r="D3474" s="21" t="s">
        <v>1147</v>
      </c>
      <c r="E3474" s="21" t="s">
        <v>9</v>
      </c>
      <c r="F3474" s="5812">
        <v>3</v>
      </c>
      <c r="G3474" s="5813">
        <v>0.20833333333333334</v>
      </c>
      <c r="H3474" s="21" t="s">
        <v>10</v>
      </c>
      <c r="I3474" s="21" t="s">
        <v>55</v>
      </c>
      <c r="J3474" s="21" t="s">
        <v>10804</v>
      </c>
      <c r="K3474" s="5814" t="s">
        <v>10805</v>
      </c>
    </row>
    <row r="3475" spans="1:11">
      <c r="A3475" s="21" t="s">
        <v>2886</v>
      </c>
      <c r="B3475" s="21" t="s">
        <v>10806</v>
      </c>
      <c r="C3475" s="21" t="s">
        <v>8</v>
      </c>
      <c r="D3475" s="21" t="s">
        <v>1147</v>
      </c>
      <c r="E3475" s="21" t="s">
        <v>9</v>
      </c>
      <c r="F3475" s="5812">
        <v>3</v>
      </c>
      <c r="G3475" s="5813">
        <v>0.20833333333333334</v>
      </c>
      <c r="H3475" s="21" t="s">
        <v>10</v>
      </c>
      <c r="I3475" s="21" t="s">
        <v>5159</v>
      </c>
      <c r="J3475" s="21" t="s">
        <v>10807</v>
      </c>
      <c r="K3475" s="5814" t="s">
        <v>10808</v>
      </c>
    </row>
    <row r="3476" spans="1:11">
      <c r="A3476" s="21" t="s">
        <v>3260</v>
      </c>
      <c r="B3476" s="21" t="s">
        <v>10809</v>
      </c>
      <c r="C3476" s="21" t="s">
        <v>22</v>
      </c>
      <c r="D3476" s="21" t="s">
        <v>1147</v>
      </c>
      <c r="E3476" s="21" t="s">
        <v>9</v>
      </c>
      <c r="F3476" s="5812">
        <v>3</v>
      </c>
      <c r="G3476" s="5813">
        <v>0.20833333333333334</v>
      </c>
      <c r="H3476" s="21" t="s">
        <v>10</v>
      </c>
      <c r="I3476" s="21" t="s">
        <v>55</v>
      </c>
      <c r="J3476" s="21" t="s">
        <v>10810</v>
      </c>
      <c r="K3476" s="5814" t="s">
        <v>10811</v>
      </c>
    </row>
    <row r="3477" spans="1:11">
      <c r="A3477" s="21" t="s">
        <v>5264</v>
      </c>
      <c r="B3477" s="21" t="s">
        <v>10812</v>
      </c>
      <c r="C3477" s="21" t="s">
        <v>22</v>
      </c>
      <c r="D3477" s="21" t="s">
        <v>1147</v>
      </c>
      <c r="E3477" s="21" t="s">
        <v>9</v>
      </c>
      <c r="F3477" s="5812">
        <v>3</v>
      </c>
      <c r="G3477" s="5813">
        <v>0.20833333333333334</v>
      </c>
      <c r="H3477" s="21" t="s">
        <v>10</v>
      </c>
      <c r="I3477" s="21" t="s">
        <v>55</v>
      </c>
      <c r="J3477" s="21" t="s">
        <v>10813</v>
      </c>
      <c r="K3477" s="5814" t="s">
        <v>10814</v>
      </c>
    </row>
    <row r="3478" spans="1:11">
      <c r="A3478" s="21" t="s">
        <v>4671</v>
      </c>
      <c r="B3478" s="21" t="s">
        <v>10815</v>
      </c>
      <c r="C3478" s="21" t="s">
        <v>22</v>
      </c>
      <c r="D3478" s="21" t="s">
        <v>1147</v>
      </c>
      <c r="E3478" s="21" t="s">
        <v>9</v>
      </c>
      <c r="F3478" s="5812">
        <v>3</v>
      </c>
      <c r="G3478" s="5813">
        <v>0.20833333333333334</v>
      </c>
      <c r="H3478" s="21" t="s">
        <v>10</v>
      </c>
      <c r="I3478" s="21" t="s">
        <v>3534</v>
      </c>
      <c r="J3478" s="21" t="s">
        <v>10816</v>
      </c>
      <c r="K3478" s="5814" t="s">
        <v>10817</v>
      </c>
    </row>
    <row r="3479" spans="1:11">
      <c r="A3479" s="21" t="s">
        <v>3056</v>
      </c>
      <c r="B3479" s="21" t="s">
        <v>10818</v>
      </c>
      <c r="C3479" s="21" t="s">
        <v>8</v>
      </c>
      <c r="D3479" s="21" t="s">
        <v>1147</v>
      </c>
      <c r="E3479" s="21" t="s">
        <v>9</v>
      </c>
      <c r="F3479" s="5812">
        <v>3</v>
      </c>
      <c r="G3479" s="5813">
        <v>0.20833333333333334</v>
      </c>
      <c r="H3479" s="21" t="s">
        <v>10</v>
      </c>
      <c r="I3479" s="21" t="s">
        <v>47</v>
      </c>
      <c r="J3479" s="21" t="s">
        <v>10819</v>
      </c>
      <c r="K3479" s="5814" t="s">
        <v>10820</v>
      </c>
    </row>
    <row r="3480" spans="1:11">
      <c r="A3480" s="21" t="s">
        <v>3056</v>
      </c>
      <c r="B3480" s="21" t="s">
        <v>10821</v>
      </c>
      <c r="C3480" s="21" t="s">
        <v>8</v>
      </c>
      <c r="D3480" s="21" t="s">
        <v>1147</v>
      </c>
      <c r="E3480" s="21" t="s">
        <v>9</v>
      </c>
      <c r="F3480" s="5812">
        <v>3</v>
      </c>
      <c r="G3480" s="5813">
        <v>0.20833333333333334</v>
      </c>
      <c r="H3480" s="21" t="s">
        <v>10</v>
      </c>
      <c r="I3480" s="21" t="s">
        <v>47</v>
      </c>
      <c r="J3480" s="21" t="s">
        <v>10822</v>
      </c>
      <c r="K3480" s="5814" t="s">
        <v>10823</v>
      </c>
    </row>
    <row r="3481" spans="1:11">
      <c r="A3481" s="21" t="s">
        <v>2995</v>
      </c>
      <c r="B3481" s="21" t="s">
        <v>10824</v>
      </c>
      <c r="C3481" s="21" t="s">
        <v>8</v>
      </c>
      <c r="D3481" s="21" t="s">
        <v>1147</v>
      </c>
      <c r="E3481" s="21" t="s">
        <v>9</v>
      </c>
      <c r="F3481" s="5812">
        <v>5</v>
      </c>
      <c r="G3481" s="5813">
        <v>0.20833333333333334</v>
      </c>
      <c r="H3481" s="21" t="s">
        <v>54</v>
      </c>
      <c r="I3481" s="21" t="s">
        <v>39</v>
      </c>
      <c r="J3481" s="21" t="s">
        <v>10825</v>
      </c>
      <c r="K3481" s="5814" t="s">
        <v>10826</v>
      </c>
    </row>
    <row r="3482" spans="1:11">
      <c r="A3482" s="21" t="s">
        <v>3872</v>
      </c>
      <c r="B3482" s="21" t="s">
        <v>10827</v>
      </c>
      <c r="C3482" s="21" t="s">
        <v>8</v>
      </c>
      <c r="D3482" s="21" t="s">
        <v>1147</v>
      </c>
      <c r="E3482" s="21" t="s">
        <v>9</v>
      </c>
      <c r="F3482" s="5812">
        <v>5</v>
      </c>
      <c r="G3482" s="5813">
        <v>0.20833333333333334</v>
      </c>
      <c r="H3482" s="21" t="s">
        <v>54</v>
      </c>
      <c r="I3482" s="21" t="s">
        <v>11</v>
      </c>
      <c r="J3482" s="21" t="s">
        <v>10828</v>
      </c>
      <c r="K3482" s="5814" t="s">
        <v>10829</v>
      </c>
    </row>
    <row r="3483" spans="1:11">
      <c r="A3483" s="21" t="s">
        <v>2929</v>
      </c>
      <c r="B3483" s="21" t="s">
        <v>10830</v>
      </c>
      <c r="C3483" s="21" t="s">
        <v>22</v>
      </c>
      <c r="D3483" s="21" t="s">
        <v>1147</v>
      </c>
      <c r="E3483" s="21" t="s">
        <v>9</v>
      </c>
      <c r="F3483" s="5812">
        <v>5</v>
      </c>
      <c r="G3483" s="5813">
        <v>0.20833333333333334</v>
      </c>
      <c r="H3483" s="21" t="s">
        <v>54</v>
      </c>
      <c r="I3483" s="21" t="s">
        <v>55</v>
      </c>
      <c r="J3483" s="21" t="s">
        <v>10831</v>
      </c>
      <c r="K3483" s="5814" t="s">
        <v>10832</v>
      </c>
    </row>
    <row r="3484" spans="1:11">
      <c r="A3484" s="21" t="s">
        <v>3551</v>
      </c>
      <c r="B3484" s="21" t="s">
        <v>10833</v>
      </c>
      <c r="C3484" s="21" t="s">
        <v>8</v>
      </c>
      <c r="D3484" s="21" t="s">
        <v>1147</v>
      </c>
      <c r="E3484" s="21" t="s">
        <v>9</v>
      </c>
      <c r="F3484" s="5812">
        <v>5</v>
      </c>
      <c r="G3484" s="5813">
        <v>0.20833333333333334</v>
      </c>
      <c r="H3484" s="21" t="s">
        <v>54</v>
      </c>
      <c r="I3484" s="21" t="s">
        <v>55</v>
      </c>
      <c r="J3484" s="21" t="s">
        <v>10834</v>
      </c>
      <c r="K3484" s="5814" t="s">
        <v>10835</v>
      </c>
    </row>
    <row r="3485" spans="1:11">
      <c r="A3485" s="21" t="s">
        <v>3984</v>
      </c>
      <c r="B3485" s="21" t="s">
        <v>10836</v>
      </c>
      <c r="C3485" s="21" t="s">
        <v>8</v>
      </c>
      <c r="D3485" s="21" t="s">
        <v>1147</v>
      </c>
      <c r="E3485" s="21" t="s">
        <v>9</v>
      </c>
      <c r="F3485" s="5812">
        <v>5</v>
      </c>
      <c r="G3485" s="5813">
        <v>0.20833333333333334</v>
      </c>
      <c r="H3485" s="21" t="s">
        <v>54</v>
      </c>
      <c r="I3485" s="21" t="s">
        <v>55</v>
      </c>
      <c r="J3485" s="21" t="s">
        <v>10837</v>
      </c>
      <c r="K3485" s="5814" t="s">
        <v>10838</v>
      </c>
    </row>
    <row r="3486" spans="1:11">
      <c r="A3486" s="21" t="s">
        <v>3412</v>
      </c>
      <c r="B3486" s="21" t="s">
        <v>10839</v>
      </c>
      <c r="C3486" s="21" t="s">
        <v>8</v>
      </c>
      <c r="D3486" s="21" t="s">
        <v>1147</v>
      </c>
      <c r="E3486" s="21" t="s">
        <v>9</v>
      </c>
      <c r="F3486" s="5812">
        <v>5</v>
      </c>
      <c r="G3486" s="5813">
        <v>0.20833333333333334</v>
      </c>
      <c r="H3486" s="21" t="s">
        <v>54</v>
      </c>
      <c r="I3486" s="21" t="s">
        <v>47</v>
      </c>
      <c r="J3486" s="21" t="s">
        <v>10840</v>
      </c>
      <c r="K3486" s="5814" t="s">
        <v>10841</v>
      </c>
    </row>
    <row r="3487" spans="1:11">
      <c r="A3487" s="21" t="s">
        <v>2509</v>
      </c>
      <c r="B3487" s="21" t="s">
        <v>10842</v>
      </c>
      <c r="C3487" s="21" t="s">
        <v>8</v>
      </c>
      <c r="D3487" s="21" t="s">
        <v>1147</v>
      </c>
      <c r="E3487" s="21" t="s">
        <v>9</v>
      </c>
      <c r="F3487" s="5812">
        <v>5</v>
      </c>
      <c r="G3487" s="5813">
        <v>0.20833333333333334</v>
      </c>
      <c r="H3487" s="21" t="s">
        <v>54</v>
      </c>
      <c r="I3487" s="21" t="s">
        <v>47</v>
      </c>
      <c r="J3487" s="21" t="s">
        <v>5805</v>
      </c>
      <c r="K3487" s="5814" t="s">
        <v>10843</v>
      </c>
    </row>
    <row r="3488" spans="1:11">
      <c r="A3488" s="21" t="s">
        <v>3315</v>
      </c>
      <c r="B3488" s="21" t="s">
        <v>10844</v>
      </c>
      <c r="C3488" s="21" t="s">
        <v>22</v>
      </c>
      <c r="D3488" s="21" t="s">
        <v>1147</v>
      </c>
      <c r="E3488" s="21" t="s">
        <v>9</v>
      </c>
      <c r="F3488" s="5812">
        <v>5</v>
      </c>
      <c r="G3488" s="5813">
        <v>0.20833333333333334</v>
      </c>
      <c r="H3488" s="21" t="s">
        <v>54</v>
      </c>
      <c r="I3488" s="21" t="s">
        <v>55</v>
      </c>
      <c r="J3488" s="21" t="s">
        <v>10845</v>
      </c>
      <c r="K3488" s="5814" t="s">
        <v>10846</v>
      </c>
    </row>
    <row r="3489" spans="1:11">
      <c r="A3489" s="21" t="s">
        <v>5387</v>
      </c>
      <c r="B3489" s="21" t="s">
        <v>10847</v>
      </c>
      <c r="C3489" s="21" t="s">
        <v>8</v>
      </c>
      <c r="D3489" s="21" t="s">
        <v>1147</v>
      </c>
      <c r="E3489" s="21" t="s">
        <v>9</v>
      </c>
      <c r="F3489" s="5812">
        <v>5</v>
      </c>
      <c r="G3489" s="5813">
        <v>0.20833333333333334</v>
      </c>
      <c r="H3489" s="21" t="s">
        <v>54</v>
      </c>
      <c r="I3489" s="21" t="s">
        <v>11</v>
      </c>
      <c r="J3489" s="21" t="s">
        <v>10848</v>
      </c>
      <c r="K3489" s="5814" t="s">
        <v>10849</v>
      </c>
    </row>
    <row r="3490" spans="1:11">
      <c r="A3490" s="21" t="s">
        <v>2179</v>
      </c>
      <c r="B3490" s="21" t="s">
        <v>10850</v>
      </c>
      <c r="C3490" s="21" t="s">
        <v>22</v>
      </c>
      <c r="D3490" s="21" t="s">
        <v>1147</v>
      </c>
      <c r="E3490" s="21" t="s">
        <v>9</v>
      </c>
      <c r="F3490" s="5812">
        <v>5</v>
      </c>
      <c r="G3490" s="5813">
        <v>0.20833333333333334</v>
      </c>
      <c r="H3490" s="21" t="s">
        <v>54</v>
      </c>
      <c r="I3490" s="21" t="s">
        <v>226</v>
      </c>
      <c r="J3490" s="21" t="s">
        <v>10851</v>
      </c>
      <c r="K3490" s="5814" t="s">
        <v>10852</v>
      </c>
    </row>
    <row r="3491" spans="1:11">
      <c r="A3491" s="21" t="s">
        <v>3002</v>
      </c>
      <c r="B3491" s="21" t="s">
        <v>10853</v>
      </c>
      <c r="C3491" s="21" t="s">
        <v>22</v>
      </c>
      <c r="D3491" s="21" t="s">
        <v>1147</v>
      </c>
      <c r="E3491" s="21" t="s">
        <v>9</v>
      </c>
      <c r="F3491" s="5812">
        <v>5</v>
      </c>
      <c r="G3491" s="5813">
        <v>0.20833333333333334</v>
      </c>
      <c r="H3491" s="21" t="s">
        <v>54</v>
      </c>
      <c r="I3491" s="21" t="s">
        <v>2872</v>
      </c>
      <c r="J3491" s="21" t="s">
        <v>10854</v>
      </c>
      <c r="K3491" s="5814" t="s">
        <v>10855</v>
      </c>
    </row>
    <row r="3492" spans="1:11">
      <c r="A3492" s="21" t="s">
        <v>3036</v>
      </c>
      <c r="B3492" s="21" t="s">
        <v>10856</v>
      </c>
      <c r="C3492" s="21" t="s">
        <v>22</v>
      </c>
      <c r="D3492" s="21" t="s">
        <v>1147</v>
      </c>
      <c r="E3492" s="21" t="s">
        <v>9</v>
      </c>
      <c r="F3492" s="5812">
        <v>5</v>
      </c>
      <c r="G3492" s="5813">
        <v>0.20833333333333334</v>
      </c>
      <c r="H3492" s="21" t="s">
        <v>54</v>
      </c>
      <c r="I3492" s="21" t="s">
        <v>2713</v>
      </c>
      <c r="J3492" s="21" t="s">
        <v>10857</v>
      </c>
      <c r="K3492" s="5814" t="s">
        <v>10858</v>
      </c>
    </row>
    <row r="3493" spans="1:11">
      <c r="A3493" s="21" t="s">
        <v>3761</v>
      </c>
      <c r="B3493" s="21" t="s">
        <v>10859</v>
      </c>
      <c r="C3493" s="21" t="s">
        <v>22</v>
      </c>
      <c r="D3493" s="21" t="s">
        <v>1147</v>
      </c>
      <c r="E3493" s="21" t="s">
        <v>9</v>
      </c>
      <c r="F3493" s="5812">
        <v>5</v>
      </c>
      <c r="G3493" s="5813">
        <v>0.20833333333333334</v>
      </c>
      <c r="H3493" s="21" t="s">
        <v>54</v>
      </c>
      <c r="I3493" s="21" t="s">
        <v>47</v>
      </c>
      <c r="J3493" s="21" t="s">
        <v>10860</v>
      </c>
      <c r="K3493" s="5814" t="s">
        <v>10861</v>
      </c>
    </row>
    <row r="3494" spans="1:11">
      <c r="A3494" s="21" t="s">
        <v>2711</v>
      </c>
      <c r="B3494" s="21" t="s">
        <v>10862</v>
      </c>
      <c r="C3494" s="21" t="s">
        <v>22</v>
      </c>
      <c r="D3494" s="21" t="s">
        <v>1147</v>
      </c>
      <c r="E3494" s="21" t="s">
        <v>9</v>
      </c>
      <c r="F3494" s="5812">
        <v>5</v>
      </c>
      <c r="G3494" s="5813">
        <v>0.20833333333333334</v>
      </c>
      <c r="H3494" s="21" t="s">
        <v>54</v>
      </c>
      <c r="I3494" s="21" t="s">
        <v>2713</v>
      </c>
      <c r="J3494" s="21" t="s">
        <v>10863</v>
      </c>
      <c r="K3494" s="5814" t="s">
        <v>10864</v>
      </c>
    </row>
    <row r="3495" spans="1:11">
      <c r="A3495" s="21" t="s">
        <v>4597</v>
      </c>
      <c r="B3495" s="21" t="s">
        <v>10865</v>
      </c>
      <c r="C3495" s="21" t="s">
        <v>22</v>
      </c>
      <c r="D3495" s="21" t="s">
        <v>1147</v>
      </c>
      <c r="E3495" s="21" t="s">
        <v>9</v>
      </c>
      <c r="F3495" s="5812">
        <v>5</v>
      </c>
      <c r="G3495" s="5813">
        <v>0.20833333333333334</v>
      </c>
      <c r="H3495" s="21" t="s">
        <v>54</v>
      </c>
      <c r="I3495" s="21" t="s">
        <v>55</v>
      </c>
      <c r="J3495" s="21" t="s">
        <v>10866</v>
      </c>
      <c r="K3495" s="5814" t="s">
        <v>10867</v>
      </c>
    </row>
    <row r="3496" spans="1:11">
      <c r="A3496" s="21" t="s">
        <v>3458</v>
      </c>
      <c r="B3496" s="21" t="s">
        <v>10868</v>
      </c>
      <c r="C3496" s="21" t="s">
        <v>22</v>
      </c>
      <c r="D3496" s="21" t="s">
        <v>1147</v>
      </c>
      <c r="E3496" s="21" t="s">
        <v>9</v>
      </c>
      <c r="F3496" s="5812">
        <v>5</v>
      </c>
      <c r="G3496" s="5813">
        <v>0.20833333333333334</v>
      </c>
      <c r="H3496" s="21" t="s">
        <v>54</v>
      </c>
      <c r="I3496" s="21" t="s">
        <v>2297</v>
      </c>
      <c r="J3496" s="21" t="s">
        <v>10869</v>
      </c>
      <c r="K3496" s="5814" t="s">
        <v>10870</v>
      </c>
    </row>
    <row r="3497" spans="1:11">
      <c r="A3497" s="21" t="s">
        <v>3012</v>
      </c>
      <c r="B3497" s="21" t="s">
        <v>10871</v>
      </c>
      <c r="C3497" s="21" t="s">
        <v>22</v>
      </c>
      <c r="D3497" s="21" t="s">
        <v>1147</v>
      </c>
      <c r="E3497" s="21" t="s">
        <v>466</v>
      </c>
      <c r="F3497" s="5812">
        <v>1</v>
      </c>
      <c r="G3497" s="5813">
        <v>0.16111111111111112</v>
      </c>
      <c r="H3497" s="21" t="s">
        <v>10</v>
      </c>
      <c r="I3497" s="21" t="s">
        <v>23</v>
      </c>
      <c r="J3497" s="21" t="s">
        <v>3628</v>
      </c>
      <c r="K3497" s="5814" t="s">
        <v>10872</v>
      </c>
    </row>
    <row r="3498" spans="1:11">
      <c r="A3498" s="21" t="s">
        <v>2555</v>
      </c>
      <c r="B3498" s="21" t="s">
        <v>10873</v>
      </c>
      <c r="C3498" s="21" t="s">
        <v>8</v>
      </c>
      <c r="D3498" s="21" t="s">
        <v>1147</v>
      </c>
      <c r="E3498" s="21" t="s">
        <v>466</v>
      </c>
      <c r="F3498" s="5812">
        <v>3</v>
      </c>
      <c r="G3498" s="5813">
        <v>0.13125000000000001</v>
      </c>
      <c r="H3498" s="21" t="s">
        <v>10</v>
      </c>
      <c r="I3498" s="21" t="s">
        <v>96</v>
      </c>
      <c r="J3498" s="21" t="s">
        <v>7837</v>
      </c>
      <c r="K3498" s="5814" t="s">
        <v>10874</v>
      </c>
    </row>
    <row r="3499" spans="1:11">
      <c r="A3499" s="21" t="s">
        <v>2985</v>
      </c>
      <c r="B3499" s="21" t="s">
        <v>10875</v>
      </c>
      <c r="C3499" s="21" t="s">
        <v>8</v>
      </c>
      <c r="D3499" s="21" t="s">
        <v>1147</v>
      </c>
      <c r="E3499" s="21" t="s">
        <v>46</v>
      </c>
      <c r="F3499" s="5812">
        <v>1</v>
      </c>
      <c r="G3499" s="5813">
        <v>3.472222222222222E-3</v>
      </c>
      <c r="H3499" s="21" t="s">
        <v>10</v>
      </c>
      <c r="I3499" s="21" t="s">
        <v>96</v>
      </c>
      <c r="J3499" s="21" t="s">
        <v>154</v>
      </c>
      <c r="K3499" s="5814" t="s">
        <v>10876</v>
      </c>
    </row>
    <row r="3500" spans="1:11">
      <c r="A3500" s="21" t="s">
        <v>3495</v>
      </c>
      <c r="B3500" s="21" t="s">
        <v>10877</v>
      </c>
      <c r="C3500" s="21" t="s">
        <v>8</v>
      </c>
      <c r="D3500" s="21" t="s">
        <v>1147</v>
      </c>
      <c r="E3500" s="21" t="s">
        <v>46</v>
      </c>
      <c r="F3500" s="5812">
        <v>1</v>
      </c>
      <c r="G3500" s="5813">
        <v>9.7222222222222224E-3</v>
      </c>
      <c r="H3500" s="21" t="s">
        <v>10</v>
      </c>
      <c r="I3500" s="21" t="s">
        <v>3451</v>
      </c>
      <c r="J3500" s="21" t="s">
        <v>48</v>
      </c>
      <c r="K3500" s="5814" t="s">
        <v>10878</v>
      </c>
    </row>
    <row r="3501" spans="1:11">
      <c r="A3501" s="21" t="s">
        <v>3152</v>
      </c>
      <c r="B3501" s="21" t="s">
        <v>10879</v>
      </c>
      <c r="C3501" s="21" t="s">
        <v>8</v>
      </c>
      <c r="D3501" s="21" t="s">
        <v>1147</v>
      </c>
      <c r="E3501" s="21" t="s">
        <v>46</v>
      </c>
      <c r="F3501" s="5812">
        <v>1</v>
      </c>
      <c r="G3501" s="5813">
        <v>1.0416666666666666E-2</v>
      </c>
      <c r="H3501" s="21" t="s">
        <v>10</v>
      </c>
      <c r="I3501" s="21" t="s">
        <v>39</v>
      </c>
      <c r="J3501" s="21" t="s">
        <v>48</v>
      </c>
      <c r="K3501" s="5814" t="s">
        <v>10880</v>
      </c>
    </row>
    <row r="3502" spans="1:11">
      <c r="A3502" s="21" t="s">
        <v>3769</v>
      </c>
      <c r="B3502" s="21" t="s">
        <v>10881</v>
      </c>
      <c r="C3502" s="21" t="s">
        <v>8</v>
      </c>
      <c r="D3502" s="21" t="s">
        <v>1147</v>
      </c>
      <c r="E3502" s="21" t="s">
        <v>46</v>
      </c>
      <c r="F3502" s="5812">
        <v>1</v>
      </c>
      <c r="G3502" s="5813">
        <v>1.0416666666666666E-2</v>
      </c>
      <c r="H3502" s="21" t="s">
        <v>10</v>
      </c>
      <c r="I3502" s="21" t="s">
        <v>55</v>
      </c>
      <c r="J3502" s="21" t="s">
        <v>97</v>
      </c>
      <c r="K3502" s="5814" t="s">
        <v>10882</v>
      </c>
    </row>
    <row r="3503" spans="1:11">
      <c r="A3503" s="21" t="s">
        <v>3134</v>
      </c>
      <c r="B3503" s="21" t="s">
        <v>10883</v>
      </c>
      <c r="C3503" s="21" t="s">
        <v>8</v>
      </c>
      <c r="D3503" s="21" t="s">
        <v>1147</v>
      </c>
      <c r="E3503" s="21" t="s">
        <v>46</v>
      </c>
      <c r="F3503" s="5812">
        <v>1</v>
      </c>
      <c r="G3503" s="5813">
        <v>1.1111111111111112E-2</v>
      </c>
      <c r="H3503" s="21" t="s">
        <v>10</v>
      </c>
      <c r="I3503" s="21" t="s">
        <v>23</v>
      </c>
      <c r="J3503" s="21" t="s">
        <v>48</v>
      </c>
      <c r="K3503" s="5814" t="s">
        <v>10884</v>
      </c>
    </row>
    <row r="3504" spans="1:11">
      <c r="A3504" s="21" t="s">
        <v>2143</v>
      </c>
      <c r="B3504" s="21" t="s">
        <v>10885</v>
      </c>
      <c r="C3504" s="21" t="s">
        <v>22</v>
      </c>
      <c r="D3504" s="21" t="s">
        <v>1147</v>
      </c>
      <c r="E3504" s="21" t="s">
        <v>46</v>
      </c>
      <c r="F3504" s="5812">
        <v>1</v>
      </c>
      <c r="G3504" s="5813">
        <v>1.8749999999999999E-2</v>
      </c>
      <c r="H3504" s="21" t="s">
        <v>10</v>
      </c>
      <c r="I3504" s="21" t="s">
        <v>73</v>
      </c>
      <c r="J3504" s="21" t="s">
        <v>48</v>
      </c>
      <c r="K3504" s="5814" t="s">
        <v>10886</v>
      </c>
    </row>
    <row r="3505" spans="1:11">
      <c r="A3505" s="21" t="s">
        <v>2127</v>
      </c>
      <c r="B3505" s="21" t="s">
        <v>10887</v>
      </c>
      <c r="C3505" s="21" t="s">
        <v>22</v>
      </c>
      <c r="D3505" s="21" t="s">
        <v>1147</v>
      </c>
      <c r="E3505" s="21" t="s">
        <v>46</v>
      </c>
      <c r="F3505" s="5812">
        <v>1</v>
      </c>
      <c r="G3505" s="5813">
        <v>2.0833333333333332E-2</v>
      </c>
      <c r="H3505" s="21" t="s">
        <v>10</v>
      </c>
      <c r="I3505" s="21" t="s">
        <v>39</v>
      </c>
      <c r="J3505" s="21" t="s">
        <v>48</v>
      </c>
      <c r="K3505" s="5814" t="s">
        <v>10888</v>
      </c>
    </row>
    <row r="3506" spans="1:11">
      <c r="A3506" s="21" t="s">
        <v>2854</v>
      </c>
      <c r="B3506" s="21" t="s">
        <v>10889</v>
      </c>
      <c r="C3506" s="21" t="s">
        <v>22</v>
      </c>
      <c r="D3506" s="21" t="s">
        <v>1147</v>
      </c>
      <c r="E3506" s="21" t="s">
        <v>46</v>
      </c>
      <c r="F3506" s="5812">
        <v>1</v>
      </c>
      <c r="G3506" s="5813">
        <v>2.0833333333333332E-2</v>
      </c>
      <c r="H3506" s="21" t="s">
        <v>10</v>
      </c>
      <c r="I3506" s="21" t="s">
        <v>226</v>
      </c>
      <c r="J3506" s="21" t="s">
        <v>97</v>
      </c>
      <c r="K3506" s="5814" t="s">
        <v>10890</v>
      </c>
    </row>
    <row r="3507" spans="1:11">
      <c r="A3507" s="21" t="s">
        <v>311</v>
      </c>
      <c r="B3507" s="21" t="s">
        <v>1179</v>
      </c>
      <c r="C3507" s="21" t="s">
        <v>8</v>
      </c>
      <c r="D3507" s="21" t="s">
        <v>1147</v>
      </c>
      <c r="E3507" s="21" t="s">
        <v>46</v>
      </c>
      <c r="F3507" s="5812">
        <v>1</v>
      </c>
      <c r="G3507" s="5813">
        <v>2.2222222222222223E-2</v>
      </c>
      <c r="H3507" s="21" t="s">
        <v>10</v>
      </c>
      <c r="I3507" s="21" t="s">
        <v>55</v>
      </c>
      <c r="J3507" s="21" t="s">
        <v>48</v>
      </c>
      <c r="K3507" s="5814" t="s">
        <v>1180</v>
      </c>
    </row>
    <row r="3508" spans="1:11">
      <c r="A3508" s="21" t="s">
        <v>3029</v>
      </c>
      <c r="B3508" s="21" t="s">
        <v>10891</v>
      </c>
      <c r="C3508" s="21" t="s">
        <v>8</v>
      </c>
      <c r="D3508" s="21" t="s">
        <v>1147</v>
      </c>
      <c r="E3508" s="21" t="s">
        <v>46</v>
      </c>
      <c r="F3508" s="5812">
        <v>1</v>
      </c>
      <c r="G3508" s="5813">
        <v>2.6388888888888889E-2</v>
      </c>
      <c r="H3508" s="21" t="s">
        <v>10</v>
      </c>
      <c r="I3508" s="21" t="s">
        <v>47</v>
      </c>
      <c r="J3508" s="21" t="s">
        <v>1076</v>
      </c>
      <c r="K3508" s="5814" t="s">
        <v>10892</v>
      </c>
    </row>
    <row r="3509" spans="1:11">
      <c r="A3509" s="21" t="s">
        <v>2197</v>
      </c>
      <c r="B3509" s="21" t="s">
        <v>10893</v>
      </c>
      <c r="C3509" s="21" t="s">
        <v>8</v>
      </c>
      <c r="D3509" s="21" t="s">
        <v>1147</v>
      </c>
      <c r="E3509" s="21" t="s">
        <v>46</v>
      </c>
      <c r="F3509" s="5812">
        <v>1</v>
      </c>
      <c r="G3509" s="5813">
        <v>2.7083333333333334E-2</v>
      </c>
      <c r="H3509" s="21" t="s">
        <v>10</v>
      </c>
      <c r="I3509" s="21" t="s">
        <v>400</v>
      </c>
      <c r="J3509" s="21" t="s">
        <v>406</v>
      </c>
      <c r="K3509" s="5814" t="s">
        <v>10894</v>
      </c>
    </row>
    <row r="3510" spans="1:11">
      <c r="A3510" s="21" t="s">
        <v>3311</v>
      </c>
      <c r="B3510" s="21" t="s">
        <v>10895</v>
      </c>
      <c r="C3510" s="21" t="s">
        <v>8</v>
      </c>
      <c r="D3510" s="21" t="s">
        <v>1147</v>
      </c>
      <c r="E3510" s="21" t="s">
        <v>46</v>
      </c>
      <c r="F3510" s="5812">
        <v>1</v>
      </c>
      <c r="G3510" s="5813">
        <v>2.7777777777777776E-2</v>
      </c>
      <c r="H3510" s="21" t="s">
        <v>54</v>
      </c>
      <c r="I3510" s="21" t="s">
        <v>55</v>
      </c>
      <c r="J3510" s="21" t="s">
        <v>127</v>
      </c>
      <c r="K3510" s="5814" t="s">
        <v>10896</v>
      </c>
    </row>
    <row r="3511" spans="1:11">
      <c r="A3511" s="21" t="s">
        <v>2687</v>
      </c>
      <c r="B3511" s="21" t="s">
        <v>10897</v>
      </c>
      <c r="C3511" s="21" t="s">
        <v>8</v>
      </c>
      <c r="D3511" s="21" t="s">
        <v>1147</v>
      </c>
      <c r="E3511" s="21" t="s">
        <v>46</v>
      </c>
      <c r="F3511" s="5812">
        <v>1</v>
      </c>
      <c r="G3511" s="5813">
        <v>2.9861111111111113E-2</v>
      </c>
      <c r="H3511" s="21" t="s">
        <v>10</v>
      </c>
      <c r="I3511" s="21" t="s">
        <v>654</v>
      </c>
      <c r="J3511" s="21" t="s">
        <v>97</v>
      </c>
      <c r="K3511" s="5814" t="s">
        <v>10898</v>
      </c>
    </row>
    <row r="3512" spans="1:11">
      <c r="A3512" s="21" t="s">
        <v>5984</v>
      </c>
      <c r="B3512" s="21" t="s">
        <v>10899</v>
      </c>
      <c r="C3512" s="21" t="s">
        <v>8</v>
      </c>
      <c r="D3512" s="21" t="s">
        <v>1147</v>
      </c>
      <c r="E3512" s="21" t="s">
        <v>46</v>
      </c>
      <c r="F3512" s="5812">
        <v>1</v>
      </c>
      <c r="G3512" s="5813">
        <v>3.0555555555555555E-2</v>
      </c>
      <c r="H3512" s="21" t="s">
        <v>10</v>
      </c>
      <c r="I3512" s="21" t="s">
        <v>39</v>
      </c>
      <c r="J3512" s="21" t="s">
        <v>722</v>
      </c>
      <c r="K3512" s="5814" t="s">
        <v>10900</v>
      </c>
    </row>
    <row r="3513" spans="1:11">
      <c r="A3513" s="21" t="s">
        <v>3616</v>
      </c>
      <c r="B3513" s="21" t="s">
        <v>10901</v>
      </c>
      <c r="C3513" s="21" t="s">
        <v>8</v>
      </c>
      <c r="D3513" s="21" t="s">
        <v>1147</v>
      </c>
      <c r="E3513" s="21" t="s">
        <v>46</v>
      </c>
      <c r="F3513" s="5812">
        <v>1</v>
      </c>
      <c r="G3513" s="5813">
        <v>3.3333333333333333E-2</v>
      </c>
      <c r="H3513" s="21" t="s">
        <v>10</v>
      </c>
      <c r="I3513" s="21" t="s">
        <v>23</v>
      </c>
      <c r="J3513" s="21" t="s">
        <v>127</v>
      </c>
      <c r="K3513" s="5814" t="s">
        <v>10902</v>
      </c>
    </row>
    <row r="3514" spans="1:11">
      <c r="A3514" s="21" t="s">
        <v>2812</v>
      </c>
      <c r="B3514" s="21" t="s">
        <v>10903</v>
      </c>
      <c r="C3514" s="21" t="s">
        <v>22</v>
      </c>
      <c r="D3514" s="21" t="s">
        <v>1147</v>
      </c>
      <c r="E3514" s="21" t="s">
        <v>46</v>
      </c>
      <c r="F3514" s="5812">
        <v>1</v>
      </c>
      <c r="G3514" s="5813">
        <v>3.6805555555555557E-2</v>
      </c>
      <c r="H3514" s="21" t="s">
        <v>10</v>
      </c>
      <c r="I3514" s="21" t="s">
        <v>47</v>
      </c>
      <c r="J3514" s="21" t="s">
        <v>406</v>
      </c>
      <c r="K3514" s="5814" t="s">
        <v>10904</v>
      </c>
    </row>
    <row r="3515" spans="1:11">
      <c r="A3515" s="21" t="s">
        <v>2245</v>
      </c>
      <c r="B3515" s="21" t="s">
        <v>10905</v>
      </c>
      <c r="C3515" s="21" t="s">
        <v>22</v>
      </c>
      <c r="D3515" s="21" t="s">
        <v>1147</v>
      </c>
      <c r="E3515" s="21" t="s">
        <v>46</v>
      </c>
      <c r="F3515" s="5812">
        <v>1</v>
      </c>
      <c r="G3515" s="5813">
        <v>3.7499999999999999E-2</v>
      </c>
      <c r="H3515" s="21" t="s">
        <v>10</v>
      </c>
      <c r="I3515" s="21" t="s">
        <v>400</v>
      </c>
      <c r="J3515" s="21" t="s">
        <v>48</v>
      </c>
      <c r="K3515" s="5814" t="s">
        <v>10906</v>
      </c>
    </row>
    <row r="3516" spans="1:11">
      <c r="A3516" s="21" t="s">
        <v>2547</v>
      </c>
      <c r="B3516" s="21" t="s">
        <v>10907</v>
      </c>
      <c r="C3516" s="21" t="s">
        <v>22</v>
      </c>
      <c r="D3516" s="21" t="s">
        <v>1147</v>
      </c>
      <c r="E3516" s="21" t="s">
        <v>46</v>
      </c>
      <c r="F3516" s="5812">
        <v>1</v>
      </c>
      <c r="G3516" s="5813">
        <v>4.0972222222222222E-2</v>
      </c>
      <c r="H3516" s="21" t="s">
        <v>10</v>
      </c>
      <c r="I3516" s="21" t="s">
        <v>226</v>
      </c>
      <c r="J3516" s="21" t="s">
        <v>97</v>
      </c>
      <c r="K3516" s="5814" t="s">
        <v>10908</v>
      </c>
    </row>
    <row r="3517" spans="1:11">
      <c r="A3517" s="21" t="s">
        <v>4597</v>
      </c>
      <c r="B3517" s="21" t="s">
        <v>10909</v>
      </c>
      <c r="C3517" s="21" t="s">
        <v>8</v>
      </c>
      <c r="D3517" s="21" t="s">
        <v>1147</v>
      </c>
      <c r="E3517" s="21" t="s">
        <v>46</v>
      </c>
      <c r="F3517" s="5812">
        <v>1</v>
      </c>
      <c r="G3517" s="5813">
        <v>4.0972222222222222E-2</v>
      </c>
      <c r="H3517" s="21" t="s">
        <v>10</v>
      </c>
      <c r="I3517" s="21" t="s">
        <v>400</v>
      </c>
      <c r="J3517" s="21" t="s">
        <v>722</v>
      </c>
      <c r="K3517" s="5814" t="s">
        <v>10910</v>
      </c>
    </row>
    <row r="3518" spans="1:11">
      <c r="A3518" s="21" t="s">
        <v>2817</v>
      </c>
      <c r="B3518" s="21" t="s">
        <v>10911</v>
      </c>
      <c r="C3518" s="21" t="s">
        <v>8</v>
      </c>
      <c r="D3518" s="21" t="s">
        <v>1147</v>
      </c>
      <c r="E3518" s="21" t="s">
        <v>46</v>
      </c>
      <c r="F3518" s="5812">
        <v>1</v>
      </c>
      <c r="G3518" s="5813">
        <v>4.1666666666666664E-2</v>
      </c>
      <c r="H3518" s="21" t="s">
        <v>10</v>
      </c>
      <c r="I3518" s="21" t="s">
        <v>788</v>
      </c>
      <c r="J3518" s="21" t="s">
        <v>48</v>
      </c>
      <c r="K3518" s="5814" t="s">
        <v>10912</v>
      </c>
    </row>
    <row r="3519" spans="1:11">
      <c r="A3519" s="21" t="s">
        <v>3643</v>
      </c>
      <c r="B3519" s="21" t="s">
        <v>10913</v>
      </c>
      <c r="C3519" s="21" t="s">
        <v>22</v>
      </c>
      <c r="D3519" s="21" t="s">
        <v>1147</v>
      </c>
      <c r="E3519" s="21" t="s">
        <v>46</v>
      </c>
      <c r="F3519" s="5812">
        <v>1</v>
      </c>
      <c r="G3519" s="5813">
        <v>4.7222222222222221E-2</v>
      </c>
      <c r="H3519" s="21" t="s">
        <v>10</v>
      </c>
      <c r="I3519" s="21" t="s">
        <v>55</v>
      </c>
      <c r="J3519" s="21" t="s">
        <v>48</v>
      </c>
      <c r="K3519" s="5814" t="s">
        <v>10914</v>
      </c>
    </row>
    <row r="3520" spans="1:11">
      <c r="A3520" s="21" t="s">
        <v>3002</v>
      </c>
      <c r="B3520" s="21" t="s">
        <v>10915</v>
      </c>
      <c r="C3520" s="21" t="s">
        <v>8</v>
      </c>
      <c r="D3520" s="21" t="s">
        <v>1147</v>
      </c>
      <c r="E3520" s="21" t="s">
        <v>46</v>
      </c>
      <c r="F3520" s="5812">
        <v>1</v>
      </c>
      <c r="G3520" s="5813">
        <v>5.4166666666666669E-2</v>
      </c>
      <c r="H3520" s="21" t="s">
        <v>10</v>
      </c>
      <c r="I3520" s="21" t="s">
        <v>39</v>
      </c>
      <c r="J3520" s="21" t="s">
        <v>127</v>
      </c>
      <c r="K3520" s="5814" t="s">
        <v>10916</v>
      </c>
    </row>
    <row r="3521" spans="1:11">
      <c r="A3521" s="21" t="s">
        <v>5554</v>
      </c>
      <c r="B3521" s="21" t="s">
        <v>10917</v>
      </c>
      <c r="C3521" s="21" t="s">
        <v>8</v>
      </c>
      <c r="D3521" s="21" t="s">
        <v>1147</v>
      </c>
      <c r="E3521" s="21" t="s">
        <v>46</v>
      </c>
      <c r="F3521" s="5812">
        <v>1</v>
      </c>
      <c r="G3521" s="5813">
        <v>5.486111111111111E-2</v>
      </c>
      <c r="H3521" s="21" t="s">
        <v>10</v>
      </c>
      <c r="I3521" s="21" t="s">
        <v>11</v>
      </c>
      <c r="J3521" s="21" t="s">
        <v>940</v>
      </c>
      <c r="K3521" s="5814" t="s">
        <v>10918</v>
      </c>
    </row>
    <row r="3522" spans="1:11">
      <c r="A3522" s="21" t="s">
        <v>3541</v>
      </c>
      <c r="B3522" s="21" t="s">
        <v>10830</v>
      </c>
      <c r="C3522" s="21" t="s">
        <v>8</v>
      </c>
      <c r="D3522" s="21" t="s">
        <v>1147</v>
      </c>
      <c r="E3522" s="21" t="s">
        <v>46</v>
      </c>
      <c r="F3522" s="5812">
        <v>1</v>
      </c>
      <c r="G3522" s="5813">
        <v>5.486111111111111E-2</v>
      </c>
      <c r="H3522" s="21" t="s">
        <v>10</v>
      </c>
      <c r="I3522" s="21" t="s">
        <v>2297</v>
      </c>
      <c r="J3522" s="21" t="s">
        <v>97</v>
      </c>
      <c r="K3522" s="5814" t="s">
        <v>10919</v>
      </c>
    </row>
    <row r="3523" spans="1:11">
      <c r="A3523" s="21" t="s">
        <v>2772</v>
      </c>
      <c r="B3523" s="21" t="s">
        <v>10920</v>
      </c>
      <c r="C3523" s="21" t="s">
        <v>22</v>
      </c>
      <c r="D3523" s="21" t="s">
        <v>1147</v>
      </c>
      <c r="E3523" s="21" t="s">
        <v>46</v>
      </c>
      <c r="F3523" s="5812">
        <v>1</v>
      </c>
      <c r="G3523" s="5813">
        <v>5.6944444444444443E-2</v>
      </c>
      <c r="H3523" s="21" t="s">
        <v>54</v>
      </c>
      <c r="I3523" s="21" t="s">
        <v>2713</v>
      </c>
      <c r="J3523" s="21" t="s">
        <v>97</v>
      </c>
      <c r="K3523" s="5814" t="s">
        <v>10921</v>
      </c>
    </row>
    <row r="3524" spans="1:11">
      <c r="A3524" s="21" t="s">
        <v>3170</v>
      </c>
      <c r="B3524" s="21" t="s">
        <v>10922</v>
      </c>
      <c r="C3524" s="21" t="s">
        <v>8</v>
      </c>
      <c r="D3524" s="21" t="s">
        <v>1147</v>
      </c>
      <c r="E3524" s="21" t="s">
        <v>46</v>
      </c>
      <c r="F3524" s="5812">
        <v>1</v>
      </c>
      <c r="G3524" s="5813">
        <v>5.9027777777777776E-2</v>
      </c>
      <c r="H3524" s="21" t="s">
        <v>10</v>
      </c>
      <c r="I3524" s="21" t="s">
        <v>3822</v>
      </c>
      <c r="J3524" s="21" t="s">
        <v>97</v>
      </c>
      <c r="K3524" s="5814" t="s">
        <v>10923</v>
      </c>
    </row>
    <row r="3525" spans="1:11">
      <c r="A3525" s="21" t="s">
        <v>2156</v>
      </c>
      <c r="B3525" s="21" t="s">
        <v>10924</v>
      </c>
      <c r="C3525" s="21" t="s">
        <v>8</v>
      </c>
      <c r="D3525" s="21" t="s">
        <v>1147</v>
      </c>
      <c r="E3525" s="21" t="s">
        <v>46</v>
      </c>
      <c r="F3525" s="5812">
        <v>1</v>
      </c>
      <c r="G3525" s="5813">
        <v>6.25E-2</v>
      </c>
      <c r="H3525" s="21" t="s">
        <v>10</v>
      </c>
      <c r="I3525" s="21" t="s">
        <v>23</v>
      </c>
      <c r="J3525" s="21" t="s">
        <v>97</v>
      </c>
      <c r="K3525" s="5814" t="s">
        <v>10925</v>
      </c>
    </row>
    <row r="3526" spans="1:11">
      <c r="A3526" s="21" t="s">
        <v>3741</v>
      </c>
      <c r="B3526" s="21" t="s">
        <v>10926</v>
      </c>
      <c r="C3526" s="21" t="s">
        <v>8</v>
      </c>
      <c r="D3526" s="21" t="s">
        <v>1147</v>
      </c>
      <c r="E3526" s="21" t="s">
        <v>46</v>
      </c>
      <c r="F3526" s="5812">
        <v>1</v>
      </c>
      <c r="G3526" s="5813">
        <v>6.3888888888888884E-2</v>
      </c>
      <c r="H3526" s="21" t="s">
        <v>10</v>
      </c>
      <c r="I3526" s="21" t="s">
        <v>55</v>
      </c>
      <c r="J3526" s="21" t="s">
        <v>1076</v>
      </c>
      <c r="K3526" s="5814" t="s">
        <v>10927</v>
      </c>
    </row>
    <row r="3527" spans="1:11">
      <c r="A3527" s="21" t="s">
        <v>2100</v>
      </c>
      <c r="B3527" s="21" t="s">
        <v>10928</v>
      </c>
      <c r="C3527" s="21" t="s">
        <v>22</v>
      </c>
      <c r="D3527" s="21" t="s">
        <v>1147</v>
      </c>
      <c r="E3527" s="21" t="s">
        <v>46</v>
      </c>
      <c r="F3527" s="5812">
        <v>1</v>
      </c>
      <c r="G3527" s="5813">
        <v>6.458333333333334E-2</v>
      </c>
      <c r="H3527" s="21" t="s">
        <v>10</v>
      </c>
      <c r="I3527" s="21" t="s">
        <v>23</v>
      </c>
      <c r="J3527" s="21" t="s">
        <v>2953</v>
      </c>
      <c r="K3527" s="5814" t="s">
        <v>10929</v>
      </c>
    </row>
    <row r="3528" spans="1:11">
      <c r="A3528" s="21" t="s">
        <v>2944</v>
      </c>
      <c r="B3528" s="21" t="s">
        <v>10930</v>
      </c>
      <c r="C3528" s="21" t="s">
        <v>22</v>
      </c>
      <c r="D3528" s="21" t="s">
        <v>1147</v>
      </c>
      <c r="E3528" s="21" t="s">
        <v>46</v>
      </c>
      <c r="F3528" s="5812">
        <v>1</v>
      </c>
      <c r="G3528" s="5813">
        <v>6.5277777777777782E-2</v>
      </c>
      <c r="H3528" s="21" t="s">
        <v>10</v>
      </c>
      <c r="I3528" s="21" t="s">
        <v>55</v>
      </c>
      <c r="J3528" s="21" t="s">
        <v>48</v>
      </c>
      <c r="K3528" s="5814" t="s">
        <v>10931</v>
      </c>
    </row>
    <row r="3529" spans="1:11">
      <c r="A3529" s="21" t="s">
        <v>2668</v>
      </c>
      <c r="B3529" s="21" t="s">
        <v>10932</v>
      </c>
      <c r="C3529" s="21" t="s">
        <v>22</v>
      </c>
      <c r="D3529" s="21" t="s">
        <v>1147</v>
      </c>
      <c r="E3529" s="21" t="s">
        <v>46</v>
      </c>
      <c r="F3529" s="5812">
        <v>1</v>
      </c>
      <c r="G3529" s="5813">
        <v>6.7361111111111108E-2</v>
      </c>
      <c r="H3529" s="21" t="s">
        <v>10</v>
      </c>
      <c r="I3529" s="21" t="s">
        <v>10933</v>
      </c>
      <c r="J3529" s="21" t="s">
        <v>48</v>
      </c>
      <c r="K3529" s="5814" t="s">
        <v>10934</v>
      </c>
    </row>
    <row r="3530" spans="1:11">
      <c r="A3530" s="21" t="s">
        <v>3208</v>
      </c>
      <c r="B3530" s="21" t="s">
        <v>10935</v>
      </c>
      <c r="C3530" s="21" t="s">
        <v>8</v>
      </c>
      <c r="D3530" s="21" t="s">
        <v>1147</v>
      </c>
      <c r="E3530" s="21" t="s">
        <v>46</v>
      </c>
      <c r="F3530" s="5812">
        <v>1</v>
      </c>
      <c r="G3530" s="5813">
        <v>7.2222222222222215E-2</v>
      </c>
      <c r="H3530" s="21" t="s">
        <v>10</v>
      </c>
      <c r="I3530" s="21" t="s">
        <v>55</v>
      </c>
      <c r="J3530" s="21" t="s">
        <v>10936</v>
      </c>
      <c r="K3530" s="5814" t="s">
        <v>10937</v>
      </c>
    </row>
    <row r="3531" spans="1:11">
      <c r="A3531" s="21" t="s">
        <v>2225</v>
      </c>
      <c r="B3531" s="21" t="s">
        <v>10938</v>
      </c>
      <c r="C3531" s="21" t="s">
        <v>22</v>
      </c>
      <c r="D3531" s="21" t="s">
        <v>1147</v>
      </c>
      <c r="E3531" s="21" t="s">
        <v>46</v>
      </c>
      <c r="F3531" s="5812">
        <v>1</v>
      </c>
      <c r="G3531" s="5813">
        <v>7.2222222222222215E-2</v>
      </c>
      <c r="H3531" s="21" t="s">
        <v>10</v>
      </c>
      <c r="I3531" s="21" t="s">
        <v>263</v>
      </c>
      <c r="J3531" s="21" t="s">
        <v>406</v>
      </c>
      <c r="K3531" s="5814" t="s">
        <v>10939</v>
      </c>
    </row>
    <row r="3532" spans="1:11">
      <c r="A3532" s="21" t="s">
        <v>2831</v>
      </c>
      <c r="B3532" s="21" t="s">
        <v>10940</v>
      </c>
      <c r="C3532" s="21" t="s">
        <v>22</v>
      </c>
      <c r="D3532" s="21" t="s">
        <v>1147</v>
      </c>
      <c r="E3532" s="21" t="s">
        <v>46</v>
      </c>
      <c r="F3532" s="5812">
        <v>1</v>
      </c>
      <c r="G3532" s="5813">
        <v>7.3611111111111113E-2</v>
      </c>
      <c r="H3532" s="21" t="s">
        <v>10</v>
      </c>
      <c r="I3532" s="21" t="s">
        <v>47</v>
      </c>
      <c r="J3532" s="21" t="s">
        <v>3004</v>
      </c>
      <c r="K3532" s="5814" t="s">
        <v>10941</v>
      </c>
    </row>
    <row r="3533" spans="1:11">
      <c r="A3533" s="21" t="s">
        <v>4711</v>
      </c>
      <c r="B3533" s="21" t="s">
        <v>10942</v>
      </c>
      <c r="C3533" s="21" t="s">
        <v>22</v>
      </c>
      <c r="D3533" s="21" t="s">
        <v>1147</v>
      </c>
      <c r="E3533" s="21" t="s">
        <v>46</v>
      </c>
      <c r="F3533" s="5812">
        <v>1</v>
      </c>
      <c r="G3533" s="5813">
        <v>7.4305555555555555E-2</v>
      </c>
      <c r="H3533" s="21" t="s">
        <v>10</v>
      </c>
      <c r="I3533" s="21" t="s">
        <v>194</v>
      </c>
      <c r="J3533" s="21" t="s">
        <v>154</v>
      </c>
      <c r="K3533" s="5814" t="s">
        <v>10943</v>
      </c>
    </row>
    <row r="3534" spans="1:11">
      <c r="A3534" s="21" t="s">
        <v>2915</v>
      </c>
      <c r="B3534" s="21" t="s">
        <v>10944</v>
      </c>
      <c r="C3534" s="21" t="s">
        <v>22</v>
      </c>
      <c r="D3534" s="21" t="s">
        <v>1147</v>
      </c>
      <c r="E3534" s="21" t="s">
        <v>46</v>
      </c>
      <c r="F3534" s="5812">
        <v>1</v>
      </c>
      <c r="G3534" s="5813">
        <v>8.0555555555555561E-2</v>
      </c>
      <c r="H3534" s="21" t="s">
        <v>10</v>
      </c>
      <c r="I3534" s="21" t="s">
        <v>226</v>
      </c>
      <c r="J3534" s="21" t="s">
        <v>1321</v>
      </c>
      <c r="K3534" s="5814" t="s">
        <v>10945</v>
      </c>
    </row>
    <row r="3535" spans="1:11">
      <c r="A3535" s="21" t="s">
        <v>5235</v>
      </c>
      <c r="B3535" s="21" t="s">
        <v>10946</v>
      </c>
      <c r="C3535" s="21" t="s">
        <v>8</v>
      </c>
      <c r="D3535" s="21" t="s">
        <v>1147</v>
      </c>
      <c r="E3535" s="21" t="s">
        <v>46</v>
      </c>
      <c r="F3535" s="5812">
        <v>1</v>
      </c>
      <c r="G3535" s="5813">
        <v>8.4027777777777785E-2</v>
      </c>
      <c r="H3535" s="21" t="s">
        <v>10</v>
      </c>
      <c r="I3535" s="21" t="s">
        <v>2269</v>
      </c>
      <c r="J3535" s="21" t="s">
        <v>3004</v>
      </c>
      <c r="K3535" s="5814" t="s">
        <v>10947</v>
      </c>
    </row>
    <row r="3536" spans="1:11">
      <c r="A3536" s="21" t="s">
        <v>94</v>
      </c>
      <c r="B3536" s="21" t="s">
        <v>1212</v>
      </c>
      <c r="C3536" s="21" t="s">
        <v>22</v>
      </c>
      <c r="D3536" s="21" t="s">
        <v>1147</v>
      </c>
      <c r="E3536" s="21" t="s">
        <v>46</v>
      </c>
      <c r="F3536" s="5812">
        <v>1</v>
      </c>
      <c r="G3536" s="5813">
        <v>8.9583333333333334E-2</v>
      </c>
      <c r="H3536" s="21" t="s">
        <v>10</v>
      </c>
      <c r="I3536" s="21" t="s">
        <v>55</v>
      </c>
      <c r="J3536" s="21" t="s">
        <v>48</v>
      </c>
      <c r="K3536" s="5814" t="s">
        <v>1213</v>
      </c>
    </row>
    <row r="3537" spans="1:11">
      <c r="A3537" s="21" t="s">
        <v>2772</v>
      </c>
      <c r="B3537" s="21" t="s">
        <v>10948</v>
      </c>
      <c r="C3537" s="21" t="s">
        <v>22</v>
      </c>
      <c r="D3537" s="21" t="s">
        <v>1147</v>
      </c>
      <c r="E3537" s="21" t="s">
        <v>46</v>
      </c>
      <c r="F3537" s="5812">
        <v>1</v>
      </c>
      <c r="G3537" s="5813">
        <v>9.0277777777777776E-2</v>
      </c>
      <c r="H3537" s="21" t="s">
        <v>10</v>
      </c>
      <c r="I3537" s="21" t="s">
        <v>47</v>
      </c>
      <c r="J3537" s="21" t="s">
        <v>774</v>
      </c>
      <c r="K3537" s="5814" t="s">
        <v>10949</v>
      </c>
    </row>
    <row r="3538" spans="1:11">
      <c r="A3538" s="21" t="s">
        <v>2729</v>
      </c>
      <c r="B3538" s="21" t="s">
        <v>10950</v>
      </c>
      <c r="C3538" s="21" t="s">
        <v>8</v>
      </c>
      <c r="D3538" s="21" t="s">
        <v>1147</v>
      </c>
      <c r="E3538" s="21" t="s">
        <v>46</v>
      </c>
      <c r="F3538" s="5812">
        <v>1</v>
      </c>
      <c r="G3538" s="5813">
        <v>9.166666666666666E-2</v>
      </c>
      <c r="H3538" s="21" t="s">
        <v>10</v>
      </c>
      <c r="I3538" s="21" t="s">
        <v>2713</v>
      </c>
      <c r="J3538" s="21" t="s">
        <v>48</v>
      </c>
      <c r="K3538" s="5814" t="s">
        <v>10951</v>
      </c>
    </row>
    <row r="3539" spans="1:11">
      <c r="A3539" s="21" t="s">
        <v>4768</v>
      </c>
      <c r="B3539" s="21" t="s">
        <v>10952</v>
      </c>
      <c r="C3539" s="21" t="s">
        <v>22</v>
      </c>
      <c r="D3539" s="21" t="s">
        <v>1147</v>
      </c>
      <c r="E3539" s="21" t="s">
        <v>46</v>
      </c>
      <c r="F3539" s="5812">
        <v>1</v>
      </c>
      <c r="G3539" s="5813">
        <v>9.375E-2</v>
      </c>
      <c r="H3539" s="21" t="s">
        <v>10</v>
      </c>
      <c r="I3539" s="21" t="s">
        <v>3534</v>
      </c>
      <c r="J3539" s="21" t="s">
        <v>3168</v>
      </c>
      <c r="K3539" s="5814" t="s">
        <v>10953</v>
      </c>
    </row>
    <row r="3540" spans="1:11">
      <c r="A3540" s="21" t="s">
        <v>2969</v>
      </c>
      <c r="B3540" s="21" t="s">
        <v>10954</v>
      </c>
      <c r="C3540" s="21" t="s">
        <v>22</v>
      </c>
      <c r="D3540" s="21" t="s">
        <v>1147</v>
      </c>
      <c r="E3540" s="21" t="s">
        <v>46</v>
      </c>
      <c r="F3540" s="5812">
        <v>1</v>
      </c>
      <c r="G3540" s="5813">
        <v>9.7222222222222224E-2</v>
      </c>
      <c r="H3540" s="21" t="s">
        <v>10</v>
      </c>
      <c r="I3540" s="21" t="s">
        <v>11</v>
      </c>
      <c r="J3540" s="21" t="s">
        <v>48</v>
      </c>
      <c r="K3540" s="5814" t="s">
        <v>10955</v>
      </c>
    </row>
    <row r="3541" spans="1:11">
      <c r="A3541" s="21" t="s">
        <v>4565</v>
      </c>
      <c r="B3541" s="21" t="s">
        <v>10956</v>
      </c>
      <c r="C3541" s="21" t="s">
        <v>22</v>
      </c>
      <c r="D3541" s="21" t="s">
        <v>1147</v>
      </c>
      <c r="E3541" s="21" t="s">
        <v>46</v>
      </c>
      <c r="F3541" s="5812">
        <v>1</v>
      </c>
      <c r="G3541" s="5813">
        <v>9.7222222222222224E-2</v>
      </c>
      <c r="H3541" s="21" t="s">
        <v>10</v>
      </c>
      <c r="I3541" s="21" t="s">
        <v>2860</v>
      </c>
      <c r="J3541" s="21" t="s">
        <v>48</v>
      </c>
      <c r="K3541" s="5814" t="s">
        <v>10957</v>
      </c>
    </row>
    <row r="3542" spans="1:11">
      <c r="A3542" s="21" t="s">
        <v>2291</v>
      </c>
      <c r="B3542" s="21" t="s">
        <v>10958</v>
      </c>
      <c r="C3542" s="21" t="s">
        <v>8</v>
      </c>
      <c r="D3542" s="21" t="s">
        <v>1147</v>
      </c>
      <c r="E3542" s="21" t="s">
        <v>46</v>
      </c>
      <c r="F3542" s="5812">
        <v>1</v>
      </c>
      <c r="G3542" s="5813">
        <v>0.1</v>
      </c>
      <c r="H3542" s="21" t="s">
        <v>10</v>
      </c>
      <c r="I3542" s="21" t="s">
        <v>23</v>
      </c>
      <c r="J3542" s="21" t="s">
        <v>1076</v>
      </c>
      <c r="K3542" s="5814" t="s">
        <v>10959</v>
      </c>
    </row>
    <row r="3543" spans="1:11">
      <c r="A3543" s="21" t="s">
        <v>3089</v>
      </c>
      <c r="B3543" s="21" t="s">
        <v>10960</v>
      </c>
      <c r="C3543" s="21" t="s">
        <v>22</v>
      </c>
      <c r="D3543" s="21" t="s">
        <v>1147</v>
      </c>
      <c r="E3543" s="21" t="s">
        <v>46</v>
      </c>
      <c r="F3543" s="5812">
        <v>1</v>
      </c>
      <c r="G3543" s="5813">
        <v>0.10138888888888889</v>
      </c>
      <c r="H3543" s="21" t="s">
        <v>10</v>
      </c>
      <c r="I3543" s="21" t="s">
        <v>2317</v>
      </c>
      <c r="J3543" s="21" t="s">
        <v>406</v>
      </c>
      <c r="K3543" s="5814" t="s">
        <v>10961</v>
      </c>
    </row>
    <row r="3544" spans="1:11">
      <c r="A3544" s="21" t="s">
        <v>2420</v>
      </c>
      <c r="B3544" s="21" t="s">
        <v>10962</v>
      </c>
      <c r="C3544" s="21" t="s">
        <v>8</v>
      </c>
      <c r="D3544" s="21" t="s">
        <v>1147</v>
      </c>
      <c r="E3544" s="21" t="s">
        <v>46</v>
      </c>
      <c r="F3544" s="5812">
        <v>1</v>
      </c>
      <c r="G3544" s="5813">
        <v>0.10555555555555556</v>
      </c>
      <c r="H3544" s="21" t="s">
        <v>10</v>
      </c>
      <c r="I3544" s="21" t="s">
        <v>3534</v>
      </c>
      <c r="J3544" s="21" t="s">
        <v>518</v>
      </c>
      <c r="K3544" s="5814" t="s">
        <v>10963</v>
      </c>
    </row>
    <row r="3545" spans="1:11">
      <c r="A3545" s="21" t="s">
        <v>2065</v>
      </c>
      <c r="B3545" s="21" t="s">
        <v>10964</v>
      </c>
      <c r="C3545" s="21" t="s">
        <v>22</v>
      </c>
      <c r="D3545" s="21" t="s">
        <v>1147</v>
      </c>
      <c r="E3545" s="21" t="s">
        <v>46</v>
      </c>
      <c r="F3545" s="5812">
        <v>1</v>
      </c>
      <c r="G3545" s="5813">
        <v>0.10694444444444444</v>
      </c>
      <c r="H3545" s="21" t="s">
        <v>10</v>
      </c>
      <c r="I3545" s="21" t="s">
        <v>233</v>
      </c>
      <c r="J3545" s="21" t="s">
        <v>48</v>
      </c>
      <c r="K3545" s="5814" t="s">
        <v>10965</v>
      </c>
    </row>
    <row r="3546" spans="1:11">
      <c r="A3546" s="21" t="s">
        <v>2205</v>
      </c>
      <c r="B3546" s="21" t="s">
        <v>10966</v>
      </c>
      <c r="C3546" s="21" t="s">
        <v>22</v>
      </c>
      <c r="D3546" s="21" t="s">
        <v>1147</v>
      </c>
      <c r="E3546" s="21" t="s">
        <v>46</v>
      </c>
      <c r="F3546" s="5812">
        <v>1</v>
      </c>
      <c r="G3546" s="5813">
        <v>0.10694444444444444</v>
      </c>
      <c r="H3546" s="21" t="s">
        <v>10</v>
      </c>
      <c r="I3546" s="21" t="s">
        <v>55</v>
      </c>
      <c r="J3546" s="21" t="s">
        <v>4586</v>
      </c>
      <c r="K3546" s="5814" t="s">
        <v>10967</v>
      </c>
    </row>
    <row r="3547" spans="1:11">
      <c r="A3547" s="21" t="s">
        <v>2428</v>
      </c>
      <c r="B3547" s="21" t="s">
        <v>10968</v>
      </c>
      <c r="C3547" s="21" t="s">
        <v>8</v>
      </c>
      <c r="D3547" s="21" t="s">
        <v>1147</v>
      </c>
      <c r="E3547" s="21" t="s">
        <v>46</v>
      </c>
      <c r="F3547" s="5812">
        <v>1</v>
      </c>
      <c r="G3547" s="5813">
        <v>0.1076388888888889</v>
      </c>
      <c r="H3547" s="21" t="s">
        <v>10</v>
      </c>
      <c r="I3547" s="21" t="s">
        <v>47</v>
      </c>
      <c r="J3547" s="21" t="s">
        <v>48</v>
      </c>
      <c r="K3547" s="5814" t="s">
        <v>10969</v>
      </c>
    </row>
    <row r="3548" spans="1:11">
      <c r="A3548" s="21" t="s">
        <v>3412</v>
      </c>
      <c r="B3548" s="21" t="s">
        <v>10970</v>
      </c>
      <c r="C3548" s="21" t="s">
        <v>8</v>
      </c>
      <c r="D3548" s="21" t="s">
        <v>1147</v>
      </c>
      <c r="E3548" s="21" t="s">
        <v>46</v>
      </c>
      <c r="F3548" s="5812">
        <v>1</v>
      </c>
      <c r="G3548" s="5813">
        <v>0.1076388888888889</v>
      </c>
      <c r="H3548" s="21" t="s">
        <v>10</v>
      </c>
      <c r="I3548" s="21" t="s">
        <v>55</v>
      </c>
      <c r="J3548" s="21" t="s">
        <v>3004</v>
      </c>
      <c r="K3548" s="5814" t="s">
        <v>10971</v>
      </c>
    </row>
    <row r="3549" spans="1:11">
      <c r="A3549" s="21" t="s">
        <v>2471</v>
      </c>
      <c r="B3549" s="21" t="s">
        <v>10972</v>
      </c>
      <c r="C3549" s="21" t="s">
        <v>22</v>
      </c>
      <c r="D3549" s="21" t="s">
        <v>1147</v>
      </c>
      <c r="E3549" s="21" t="s">
        <v>46</v>
      </c>
      <c r="F3549" s="5812">
        <v>1</v>
      </c>
      <c r="G3549" s="5813">
        <v>0.10972222222222222</v>
      </c>
      <c r="H3549" s="21" t="s">
        <v>10</v>
      </c>
      <c r="I3549" s="21" t="s">
        <v>39</v>
      </c>
      <c r="J3549" s="21" t="s">
        <v>127</v>
      </c>
      <c r="K3549" s="5814" t="s">
        <v>10973</v>
      </c>
    </row>
    <row r="3550" spans="1:11">
      <c r="A3550" s="21" t="s">
        <v>2886</v>
      </c>
      <c r="B3550" s="21" t="s">
        <v>10974</v>
      </c>
      <c r="C3550" s="21" t="s">
        <v>22</v>
      </c>
      <c r="D3550" s="21" t="s">
        <v>1147</v>
      </c>
      <c r="E3550" s="21" t="s">
        <v>46</v>
      </c>
      <c r="F3550" s="5812">
        <v>1</v>
      </c>
      <c r="G3550" s="5813">
        <v>0.11319444444444444</v>
      </c>
      <c r="H3550" s="21" t="s">
        <v>10</v>
      </c>
      <c r="I3550" s="21" t="s">
        <v>2923</v>
      </c>
      <c r="J3550" s="21" t="s">
        <v>48</v>
      </c>
      <c r="K3550" s="5814" t="s">
        <v>10975</v>
      </c>
    </row>
    <row r="3551" spans="1:11">
      <c r="A3551" s="21" t="s">
        <v>4379</v>
      </c>
      <c r="B3551" s="21" t="s">
        <v>10976</v>
      </c>
      <c r="C3551" s="21" t="s">
        <v>8</v>
      </c>
      <c r="D3551" s="21" t="s">
        <v>1147</v>
      </c>
      <c r="E3551" s="21" t="s">
        <v>46</v>
      </c>
      <c r="F3551" s="5812">
        <v>1</v>
      </c>
      <c r="G3551" s="5813">
        <v>0.11527777777777778</v>
      </c>
      <c r="H3551" s="21" t="s">
        <v>10</v>
      </c>
      <c r="I3551" s="21" t="s">
        <v>23</v>
      </c>
      <c r="J3551" s="21" t="s">
        <v>417</v>
      </c>
      <c r="K3551" s="5814" t="s">
        <v>10977</v>
      </c>
    </row>
    <row r="3552" spans="1:11">
      <c r="A3552" s="21" t="s">
        <v>5554</v>
      </c>
      <c r="B3552" s="21" t="s">
        <v>10978</v>
      </c>
      <c r="C3552" s="21" t="s">
        <v>8</v>
      </c>
      <c r="D3552" s="21" t="s">
        <v>1147</v>
      </c>
      <c r="E3552" s="21" t="s">
        <v>46</v>
      </c>
      <c r="F3552" s="5812">
        <v>1</v>
      </c>
      <c r="G3552" s="5813">
        <v>0.11666666666666667</v>
      </c>
      <c r="H3552" s="21" t="s">
        <v>10</v>
      </c>
      <c r="I3552" s="21" t="s">
        <v>226</v>
      </c>
      <c r="J3552" s="21" t="s">
        <v>48</v>
      </c>
      <c r="K3552" s="5814" t="s">
        <v>10979</v>
      </c>
    </row>
    <row r="3553" spans="1:11">
      <c r="A3553" s="21" t="s">
        <v>4434</v>
      </c>
      <c r="B3553" s="21" t="s">
        <v>10980</v>
      </c>
      <c r="C3553" s="21" t="s">
        <v>22</v>
      </c>
      <c r="D3553" s="21" t="s">
        <v>1147</v>
      </c>
      <c r="E3553" s="21" t="s">
        <v>46</v>
      </c>
      <c r="F3553" s="5812">
        <v>1</v>
      </c>
      <c r="G3553" s="5813">
        <v>0.12152777777777778</v>
      </c>
      <c r="H3553" s="21" t="s">
        <v>10</v>
      </c>
      <c r="I3553" s="21" t="s">
        <v>2181</v>
      </c>
      <c r="J3553" s="21" t="s">
        <v>97</v>
      </c>
      <c r="K3553" s="5814" t="s">
        <v>10981</v>
      </c>
    </row>
    <row r="3554" spans="1:11">
      <c r="A3554" s="21" t="s">
        <v>3495</v>
      </c>
      <c r="B3554" s="21" t="s">
        <v>10982</v>
      </c>
      <c r="C3554" s="21" t="s">
        <v>22</v>
      </c>
      <c r="D3554" s="21" t="s">
        <v>1147</v>
      </c>
      <c r="E3554" s="21" t="s">
        <v>46</v>
      </c>
      <c r="F3554" s="5812">
        <v>1</v>
      </c>
      <c r="G3554" s="5813">
        <v>0.12291666666666666</v>
      </c>
      <c r="H3554" s="21" t="s">
        <v>10</v>
      </c>
      <c r="I3554" s="21" t="s">
        <v>226</v>
      </c>
      <c r="J3554" s="21" t="s">
        <v>722</v>
      </c>
      <c r="K3554" s="5814" t="s">
        <v>10983</v>
      </c>
    </row>
    <row r="3555" spans="1:11">
      <c r="A3555" s="21" t="s">
        <v>3769</v>
      </c>
      <c r="B3555" s="21" t="s">
        <v>10984</v>
      </c>
      <c r="C3555" s="21" t="s">
        <v>8</v>
      </c>
      <c r="D3555" s="21" t="s">
        <v>1147</v>
      </c>
      <c r="E3555" s="21" t="s">
        <v>46</v>
      </c>
      <c r="F3555" s="5812">
        <v>1</v>
      </c>
      <c r="G3555" s="5813">
        <v>0.12291666666666666</v>
      </c>
      <c r="H3555" s="21" t="s">
        <v>10</v>
      </c>
      <c r="I3555" s="21" t="s">
        <v>55</v>
      </c>
      <c r="J3555" s="21" t="s">
        <v>97</v>
      </c>
      <c r="K3555" s="5814" t="s">
        <v>10985</v>
      </c>
    </row>
    <row r="3556" spans="1:11">
      <c r="A3556" s="21" t="s">
        <v>2454</v>
      </c>
      <c r="B3556" s="21" t="s">
        <v>10986</v>
      </c>
      <c r="C3556" s="21" t="s">
        <v>8</v>
      </c>
      <c r="D3556" s="21" t="s">
        <v>1147</v>
      </c>
      <c r="E3556" s="21" t="s">
        <v>46</v>
      </c>
      <c r="F3556" s="5812">
        <v>1</v>
      </c>
      <c r="G3556" s="5813">
        <v>0.12430555555555556</v>
      </c>
      <c r="H3556" s="21" t="s">
        <v>10</v>
      </c>
      <c r="I3556" s="21" t="s">
        <v>615</v>
      </c>
      <c r="J3556" s="21" t="s">
        <v>48</v>
      </c>
      <c r="K3556" s="5814" t="s">
        <v>10987</v>
      </c>
    </row>
    <row r="3557" spans="1:11">
      <c r="A3557" s="21" t="s">
        <v>2538</v>
      </c>
      <c r="B3557" s="21" t="s">
        <v>10988</v>
      </c>
      <c r="C3557" s="21" t="s">
        <v>8</v>
      </c>
      <c r="D3557" s="21" t="s">
        <v>1147</v>
      </c>
      <c r="E3557" s="21" t="s">
        <v>46</v>
      </c>
      <c r="F3557" s="5812">
        <v>1</v>
      </c>
      <c r="G3557" s="5813">
        <v>0.13125000000000001</v>
      </c>
      <c r="H3557" s="21" t="s">
        <v>10</v>
      </c>
      <c r="I3557" s="21" t="s">
        <v>2814</v>
      </c>
      <c r="J3557" s="21" t="s">
        <v>430</v>
      </c>
      <c r="K3557" s="5814" t="s">
        <v>10989</v>
      </c>
    </row>
    <row r="3558" spans="1:11">
      <c r="A3558" s="21" t="s">
        <v>2267</v>
      </c>
      <c r="B3558" s="21" t="s">
        <v>10990</v>
      </c>
      <c r="C3558" s="21" t="s">
        <v>8</v>
      </c>
      <c r="D3558" s="21" t="s">
        <v>1147</v>
      </c>
      <c r="E3558" s="21" t="s">
        <v>46</v>
      </c>
      <c r="F3558" s="5812">
        <v>1</v>
      </c>
      <c r="G3558" s="5813">
        <v>0.13263888888888889</v>
      </c>
      <c r="H3558" s="21" t="s">
        <v>10</v>
      </c>
      <c r="I3558" s="21" t="s">
        <v>2713</v>
      </c>
      <c r="J3558" s="21" t="s">
        <v>9732</v>
      </c>
      <c r="K3558" s="5814" t="s">
        <v>10991</v>
      </c>
    </row>
    <row r="3559" spans="1:11">
      <c r="A3559" s="21" t="s">
        <v>2263</v>
      </c>
      <c r="B3559" s="21" t="s">
        <v>10992</v>
      </c>
      <c r="C3559" s="21" t="s">
        <v>8</v>
      </c>
      <c r="D3559" s="21" t="s">
        <v>1147</v>
      </c>
      <c r="E3559" s="21" t="s">
        <v>46</v>
      </c>
      <c r="F3559" s="5812">
        <v>1</v>
      </c>
      <c r="G3559" s="5813">
        <v>0.13333333333333333</v>
      </c>
      <c r="H3559" s="21" t="s">
        <v>10</v>
      </c>
      <c r="I3559" s="21" t="s">
        <v>23</v>
      </c>
      <c r="J3559" s="21" t="s">
        <v>258</v>
      </c>
      <c r="K3559" s="5814" t="s">
        <v>10993</v>
      </c>
    </row>
    <row r="3560" spans="1:11">
      <c r="A3560" s="21" t="s">
        <v>311</v>
      </c>
      <c r="B3560" s="21" t="s">
        <v>1259</v>
      </c>
      <c r="C3560" s="21" t="s">
        <v>8</v>
      </c>
      <c r="D3560" s="21" t="s">
        <v>1147</v>
      </c>
      <c r="E3560" s="21" t="s">
        <v>46</v>
      </c>
      <c r="F3560" s="5812">
        <v>1</v>
      </c>
      <c r="G3560" s="5813">
        <v>0.13680555555555557</v>
      </c>
      <c r="H3560" s="21" t="s">
        <v>10</v>
      </c>
      <c r="I3560" s="21" t="s">
        <v>73</v>
      </c>
      <c r="J3560" s="21" t="s">
        <v>48</v>
      </c>
      <c r="K3560" s="5814" t="s">
        <v>1260</v>
      </c>
    </row>
    <row r="3561" spans="1:11">
      <c r="A3561" s="21" t="s">
        <v>2092</v>
      </c>
      <c r="B3561" s="21" t="s">
        <v>10994</v>
      </c>
      <c r="C3561" s="21" t="s">
        <v>8</v>
      </c>
      <c r="D3561" s="21" t="s">
        <v>1147</v>
      </c>
      <c r="E3561" s="21" t="s">
        <v>46</v>
      </c>
      <c r="F3561" s="5812">
        <v>1</v>
      </c>
      <c r="G3561" s="5813">
        <v>0.14166666666666666</v>
      </c>
      <c r="H3561" s="21" t="s">
        <v>10</v>
      </c>
      <c r="I3561" s="21" t="s">
        <v>39</v>
      </c>
      <c r="J3561" s="21" t="s">
        <v>97</v>
      </c>
      <c r="K3561" s="5814" t="s">
        <v>10995</v>
      </c>
    </row>
    <row r="3562" spans="1:11">
      <c r="A3562" s="21" t="s">
        <v>2780</v>
      </c>
      <c r="B3562" s="21" t="s">
        <v>10996</v>
      </c>
      <c r="C3562" s="21" t="s">
        <v>8</v>
      </c>
      <c r="D3562" s="21" t="s">
        <v>1147</v>
      </c>
      <c r="E3562" s="21" t="s">
        <v>46</v>
      </c>
      <c r="F3562" s="5812">
        <v>1</v>
      </c>
      <c r="G3562" s="5813">
        <v>0.14583333333333334</v>
      </c>
      <c r="H3562" s="21" t="s">
        <v>10</v>
      </c>
      <c r="I3562" s="21" t="s">
        <v>226</v>
      </c>
      <c r="J3562" s="21" t="s">
        <v>48</v>
      </c>
      <c r="K3562" s="5814" t="s">
        <v>10997</v>
      </c>
    </row>
    <row r="3563" spans="1:11">
      <c r="A3563" s="21" t="s">
        <v>4409</v>
      </c>
      <c r="B3563" s="21" t="s">
        <v>10998</v>
      </c>
      <c r="C3563" s="21" t="s">
        <v>22</v>
      </c>
      <c r="D3563" s="21" t="s">
        <v>1147</v>
      </c>
      <c r="E3563" s="21" t="s">
        <v>46</v>
      </c>
      <c r="F3563" s="5812">
        <v>1</v>
      </c>
      <c r="G3563" s="5813">
        <v>0.14652777777777778</v>
      </c>
      <c r="H3563" s="21" t="s">
        <v>54</v>
      </c>
      <c r="I3563" s="21" t="s">
        <v>2297</v>
      </c>
      <c r="J3563" s="21" t="s">
        <v>406</v>
      </c>
      <c r="K3563" s="5814" t="s">
        <v>10999</v>
      </c>
    </row>
    <row r="3564" spans="1:11">
      <c r="A3564" s="21" t="s">
        <v>3323</v>
      </c>
      <c r="B3564" s="21" t="s">
        <v>11000</v>
      </c>
      <c r="C3564" s="21" t="s">
        <v>8</v>
      </c>
      <c r="D3564" s="21" t="s">
        <v>1147</v>
      </c>
      <c r="E3564" s="21" t="s">
        <v>46</v>
      </c>
      <c r="F3564" s="5812">
        <v>1</v>
      </c>
      <c r="G3564" s="5813">
        <v>0.14861111111111111</v>
      </c>
      <c r="H3564" s="21" t="s">
        <v>10</v>
      </c>
      <c r="I3564" s="21" t="s">
        <v>4254</v>
      </c>
      <c r="J3564" s="21" t="s">
        <v>3080</v>
      </c>
      <c r="K3564" s="5814" t="s">
        <v>11001</v>
      </c>
    </row>
    <row r="3565" spans="1:11">
      <c r="A3565" s="21" t="s">
        <v>2800</v>
      </c>
      <c r="B3565" s="21" t="s">
        <v>11002</v>
      </c>
      <c r="C3565" s="21" t="s">
        <v>22</v>
      </c>
      <c r="D3565" s="21" t="s">
        <v>1147</v>
      </c>
      <c r="E3565" s="21" t="s">
        <v>46</v>
      </c>
      <c r="F3565" s="5812">
        <v>1</v>
      </c>
      <c r="G3565" s="5813">
        <v>0.14861111111111111</v>
      </c>
      <c r="H3565" s="21" t="s">
        <v>10</v>
      </c>
      <c r="I3565" s="21" t="s">
        <v>226</v>
      </c>
      <c r="J3565" s="21" t="s">
        <v>48</v>
      </c>
      <c r="K3565" s="5814" t="s">
        <v>11003</v>
      </c>
    </row>
    <row r="3566" spans="1:11">
      <c r="A3566" s="21" t="s">
        <v>2932</v>
      </c>
      <c r="B3566" s="21" t="s">
        <v>11004</v>
      </c>
      <c r="C3566" s="21" t="s">
        <v>22</v>
      </c>
      <c r="D3566" s="21" t="s">
        <v>1147</v>
      </c>
      <c r="E3566" s="21" t="s">
        <v>46</v>
      </c>
      <c r="F3566" s="5812">
        <v>1</v>
      </c>
      <c r="G3566" s="5813">
        <v>0.15138888888888888</v>
      </c>
      <c r="H3566" s="21" t="s">
        <v>10</v>
      </c>
      <c r="I3566" s="21" t="s">
        <v>2297</v>
      </c>
      <c r="J3566" s="21" t="s">
        <v>48</v>
      </c>
      <c r="K3566" s="5814" t="s">
        <v>11005</v>
      </c>
    </row>
    <row r="3567" spans="1:11">
      <c r="A3567" s="21" t="s">
        <v>3217</v>
      </c>
      <c r="B3567" s="21" t="s">
        <v>11006</v>
      </c>
      <c r="C3567" s="21" t="s">
        <v>8</v>
      </c>
      <c r="D3567" s="21" t="s">
        <v>1147</v>
      </c>
      <c r="E3567" s="21" t="s">
        <v>46</v>
      </c>
      <c r="F3567" s="5812">
        <v>1</v>
      </c>
      <c r="G3567" s="5813">
        <v>0.15277777777777779</v>
      </c>
      <c r="H3567" s="21" t="s">
        <v>10</v>
      </c>
      <c r="I3567" s="21" t="s">
        <v>788</v>
      </c>
      <c r="J3567" s="21" t="s">
        <v>3094</v>
      </c>
      <c r="K3567" s="5814" t="s">
        <v>11007</v>
      </c>
    </row>
    <row r="3568" spans="1:11">
      <c r="A3568" s="21" t="s">
        <v>2433</v>
      </c>
      <c r="B3568" s="21" t="s">
        <v>11008</v>
      </c>
      <c r="C3568" s="21" t="s">
        <v>22</v>
      </c>
      <c r="D3568" s="21" t="s">
        <v>1147</v>
      </c>
      <c r="E3568" s="21" t="s">
        <v>46</v>
      </c>
      <c r="F3568" s="5812">
        <v>1</v>
      </c>
      <c r="G3568" s="5813">
        <v>0.15347222222222223</v>
      </c>
      <c r="H3568" s="21" t="s">
        <v>10</v>
      </c>
      <c r="I3568" s="21" t="s">
        <v>2435</v>
      </c>
      <c r="J3568" s="21" t="s">
        <v>48</v>
      </c>
      <c r="K3568" s="5814" t="s">
        <v>11009</v>
      </c>
    </row>
    <row r="3569" spans="1:11">
      <c r="A3569" s="21" t="s">
        <v>2216</v>
      </c>
      <c r="B3569" s="21" t="s">
        <v>11010</v>
      </c>
      <c r="C3569" s="21" t="s">
        <v>8</v>
      </c>
      <c r="D3569" s="21" t="s">
        <v>1147</v>
      </c>
      <c r="E3569" s="21" t="s">
        <v>46</v>
      </c>
      <c r="F3569" s="5812">
        <v>1</v>
      </c>
      <c r="G3569" s="5813">
        <v>0.15555555555555556</v>
      </c>
      <c r="H3569" s="21" t="s">
        <v>10</v>
      </c>
      <c r="I3569" s="21" t="s">
        <v>226</v>
      </c>
      <c r="J3569" s="21" t="s">
        <v>4652</v>
      </c>
      <c r="K3569" s="5814" t="s">
        <v>11011</v>
      </c>
    </row>
    <row r="3570" spans="1:11">
      <c r="A3570" s="21" t="s">
        <v>2491</v>
      </c>
      <c r="B3570" s="21" t="s">
        <v>11012</v>
      </c>
      <c r="C3570" s="21" t="s">
        <v>8</v>
      </c>
      <c r="D3570" s="21" t="s">
        <v>1147</v>
      </c>
      <c r="E3570" s="21" t="s">
        <v>46</v>
      </c>
      <c r="F3570" s="5812">
        <v>1</v>
      </c>
      <c r="G3570" s="5813">
        <v>0.15763888888888888</v>
      </c>
      <c r="H3570" s="21" t="s">
        <v>10</v>
      </c>
      <c r="I3570" s="21" t="s">
        <v>89</v>
      </c>
      <c r="J3570" s="21" t="s">
        <v>127</v>
      </c>
      <c r="K3570" s="5814" t="s">
        <v>11013</v>
      </c>
    </row>
    <row r="3571" spans="1:11">
      <c r="A3571" s="21" t="s">
        <v>3125</v>
      </c>
      <c r="B3571" s="21" t="s">
        <v>11014</v>
      </c>
      <c r="C3571" s="21" t="s">
        <v>22</v>
      </c>
      <c r="D3571" s="21" t="s">
        <v>1147</v>
      </c>
      <c r="E3571" s="21" t="s">
        <v>46</v>
      </c>
      <c r="F3571" s="5812">
        <v>1</v>
      </c>
      <c r="G3571" s="5813">
        <v>0.15763888888888888</v>
      </c>
      <c r="H3571" s="21" t="s">
        <v>10</v>
      </c>
      <c r="I3571" s="21" t="s">
        <v>4146</v>
      </c>
      <c r="J3571" s="21" t="s">
        <v>48</v>
      </c>
      <c r="K3571" s="5814" t="s">
        <v>11015</v>
      </c>
    </row>
    <row r="3572" spans="1:11">
      <c r="A3572" s="21" t="s">
        <v>4711</v>
      </c>
      <c r="B3572" s="21" t="s">
        <v>11016</v>
      </c>
      <c r="C3572" s="21" t="s">
        <v>8</v>
      </c>
      <c r="D3572" s="21" t="s">
        <v>1147</v>
      </c>
      <c r="E3572" s="21" t="s">
        <v>46</v>
      </c>
      <c r="F3572" s="5812">
        <v>1</v>
      </c>
      <c r="G3572" s="5813">
        <v>0.16111111111111112</v>
      </c>
      <c r="H3572" s="21" t="s">
        <v>10</v>
      </c>
      <c r="I3572" s="21" t="s">
        <v>226</v>
      </c>
      <c r="J3572" s="21" t="s">
        <v>48</v>
      </c>
      <c r="K3572" s="5814" t="s">
        <v>11017</v>
      </c>
    </row>
    <row r="3573" spans="1:11">
      <c r="A3573" s="21" t="s">
        <v>5148</v>
      </c>
      <c r="B3573" s="21" t="s">
        <v>11018</v>
      </c>
      <c r="C3573" s="21" t="s">
        <v>8</v>
      </c>
      <c r="D3573" s="21" t="s">
        <v>1147</v>
      </c>
      <c r="E3573" s="21" t="s">
        <v>46</v>
      </c>
      <c r="F3573" s="5812">
        <v>1</v>
      </c>
      <c r="G3573" s="5813">
        <v>0.16111111111111112</v>
      </c>
      <c r="H3573" s="21" t="s">
        <v>10</v>
      </c>
      <c r="I3573" s="21" t="s">
        <v>226</v>
      </c>
      <c r="J3573" s="21" t="s">
        <v>417</v>
      </c>
      <c r="K3573" s="5814" t="s">
        <v>11019</v>
      </c>
    </row>
    <row r="3574" spans="1:11">
      <c r="A3574" s="21" t="s">
        <v>2846</v>
      </c>
      <c r="B3574" s="21" t="s">
        <v>11020</v>
      </c>
      <c r="C3574" s="21" t="s">
        <v>22</v>
      </c>
      <c r="D3574" s="21" t="s">
        <v>1147</v>
      </c>
      <c r="E3574" s="21" t="s">
        <v>46</v>
      </c>
      <c r="F3574" s="5812">
        <v>1</v>
      </c>
      <c r="G3574" s="5813">
        <v>0.16597222222222222</v>
      </c>
      <c r="H3574" s="21" t="s">
        <v>10</v>
      </c>
      <c r="I3574" s="21" t="s">
        <v>3441</v>
      </c>
      <c r="J3574" s="21" t="s">
        <v>97</v>
      </c>
      <c r="K3574" s="5814" t="s">
        <v>11021</v>
      </c>
    </row>
    <row r="3575" spans="1:11">
      <c r="A3575" s="21" t="s">
        <v>3044</v>
      </c>
      <c r="B3575" s="21" t="s">
        <v>11022</v>
      </c>
      <c r="C3575" s="21" t="s">
        <v>22</v>
      </c>
      <c r="D3575" s="21" t="s">
        <v>1147</v>
      </c>
      <c r="E3575" s="21" t="s">
        <v>46</v>
      </c>
      <c r="F3575" s="5812">
        <v>1</v>
      </c>
      <c r="G3575" s="5813">
        <v>0.1701388888888889</v>
      </c>
      <c r="H3575" s="21" t="s">
        <v>10</v>
      </c>
      <c r="I3575" s="21" t="s">
        <v>55</v>
      </c>
      <c r="J3575" s="21" t="s">
        <v>127</v>
      </c>
      <c r="K3575" s="5814" t="s">
        <v>11023</v>
      </c>
    </row>
    <row r="3576" spans="1:11">
      <c r="A3576" s="21" t="s">
        <v>2454</v>
      </c>
      <c r="B3576" s="21" t="s">
        <v>11024</v>
      </c>
      <c r="C3576" s="21" t="s">
        <v>8</v>
      </c>
      <c r="D3576" s="21" t="s">
        <v>1147</v>
      </c>
      <c r="E3576" s="21" t="s">
        <v>46</v>
      </c>
      <c r="F3576" s="5812">
        <v>1</v>
      </c>
      <c r="G3576" s="5813">
        <v>0.17083333333333334</v>
      </c>
      <c r="H3576" s="21" t="s">
        <v>10</v>
      </c>
      <c r="I3576" s="21" t="s">
        <v>89</v>
      </c>
      <c r="J3576" s="21" t="s">
        <v>127</v>
      </c>
      <c r="K3576" s="5814" t="s">
        <v>11025</v>
      </c>
    </row>
    <row r="3577" spans="1:11">
      <c r="A3577" s="21" t="s">
        <v>2932</v>
      </c>
      <c r="B3577" s="21" t="s">
        <v>11026</v>
      </c>
      <c r="C3577" s="21" t="s">
        <v>22</v>
      </c>
      <c r="D3577" s="21" t="s">
        <v>1147</v>
      </c>
      <c r="E3577" s="21" t="s">
        <v>46</v>
      </c>
      <c r="F3577" s="5812">
        <v>1</v>
      </c>
      <c r="G3577" s="5813">
        <v>0.17222222222222222</v>
      </c>
      <c r="H3577" s="21" t="s">
        <v>10</v>
      </c>
      <c r="I3577" s="21" t="s">
        <v>226</v>
      </c>
      <c r="J3577" s="21" t="s">
        <v>997</v>
      </c>
      <c r="K3577" s="5814" t="s">
        <v>11027</v>
      </c>
    </row>
    <row r="3578" spans="1:11">
      <c r="A3578" s="21" t="s">
        <v>3495</v>
      </c>
      <c r="B3578" s="21" t="s">
        <v>11028</v>
      </c>
      <c r="C3578" s="21" t="s">
        <v>8</v>
      </c>
      <c r="D3578" s="21" t="s">
        <v>1147</v>
      </c>
      <c r="E3578" s="21" t="s">
        <v>46</v>
      </c>
      <c r="F3578" s="5812">
        <v>1</v>
      </c>
      <c r="G3578" s="5813">
        <v>0.17291666666666666</v>
      </c>
      <c r="H3578" s="21" t="s">
        <v>10</v>
      </c>
      <c r="I3578" s="21" t="s">
        <v>226</v>
      </c>
      <c r="J3578" s="21" t="s">
        <v>48</v>
      </c>
      <c r="K3578" s="5814" t="s">
        <v>11029</v>
      </c>
    </row>
    <row r="3579" spans="1:11">
      <c r="A3579" s="21" t="s">
        <v>3434</v>
      </c>
      <c r="B3579" s="21" t="s">
        <v>11030</v>
      </c>
      <c r="C3579" s="21" t="s">
        <v>8</v>
      </c>
      <c r="D3579" s="21" t="s">
        <v>1147</v>
      </c>
      <c r="E3579" s="21" t="s">
        <v>46</v>
      </c>
      <c r="F3579" s="5812">
        <v>1</v>
      </c>
      <c r="G3579" s="5813">
        <v>0.1736111111111111</v>
      </c>
      <c r="H3579" s="21" t="s">
        <v>10</v>
      </c>
      <c r="I3579" s="21" t="s">
        <v>89</v>
      </c>
      <c r="J3579" s="21" t="s">
        <v>8195</v>
      </c>
      <c r="K3579" s="5814" t="s">
        <v>11031</v>
      </c>
    </row>
    <row r="3580" spans="1:11">
      <c r="A3580" s="21" t="s">
        <v>4597</v>
      </c>
      <c r="B3580" s="21" t="s">
        <v>11032</v>
      </c>
      <c r="C3580" s="21" t="s">
        <v>8</v>
      </c>
      <c r="D3580" s="21" t="s">
        <v>1147</v>
      </c>
      <c r="E3580" s="21" t="s">
        <v>46</v>
      </c>
      <c r="F3580" s="5812">
        <v>1</v>
      </c>
      <c r="G3580" s="5813">
        <v>0.1736111111111111</v>
      </c>
      <c r="H3580" s="21" t="s">
        <v>10</v>
      </c>
      <c r="I3580" s="21" t="s">
        <v>2872</v>
      </c>
      <c r="J3580" s="21" t="s">
        <v>430</v>
      </c>
      <c r="K3580" s="5814" t="s">
        <v>11033</v>
      </c>
    </row>
    <row r="3581" spans="1:11">
      <c r="A3581" s="21" t="s">
        <v>2921</v>
      </c>
      <c r="B3581" s="21" t="s">
        <v>11034</v>
      </c>
      <c r="C3581" s="21" t="s">
        <v>22</v>
      </c>
      <c r="D3581" s="21" t="s">
        <v>1147</v>
      </c>
      <c r="E3581" s="21" t="s">
        <v>46</v>
      </c>
      <c r="F3581" s="5812">
        <v>1</v>
      </c>
      <c r="G3581" s="5813">
        <v>0.17708333333333334</v>
      </c>
      <c r="H3581" s="21" t="s">
        <v>10</v>
      </c>
      <c r="I3581" s="21" t="s">
        <v>55</v>
      </c>
      <c r="J3581" s="21" t="s">
        <v>406</v>
      </c>
      <c r="K3581" s="5814" t="s">
        <v>11035</v>
      </c>
    </row>
    <row r="3582" spans="1:11">
      <c r="A3582" s="21" t="s">
        <v>2711</v>
      </c>
      <c r="B3582" s="21" t="s">
        <v>11036</v>
      </c>
      <c r="C3582" s="21" t="s">
        <v>8</v>
      </c>
      <c r="D3582" s="21" t="s">
        <v>1147</v>
      </c>
      <c r="E3582" s="21" t="s">
        <v>46</v>
      </c>
      <c r="F3582" s="5812">
        <v>1</v>
      </c>
      <c r="G3582" s="5813">
        <v>0.17777777777777778</v>
      </c>
      <c r="H3582" s="21" t="s">
        <v>10</v>
      </c>
      <c r="I3582" s="21" t="s">
        <v>47</v>
      </c>
      <c r="J3582" s="21" t="s">
        <v>406</v>
      </c>
      <c r="K3582" s="5814" t="s">
        <v>11037</v>
      </c>
    </row>
    <row r="3583" spans="1:11">
      <c r="A3583" s="21" t="s">
        <v>3213</v>
      </c>
      <c r="B3583" s="21" t="s">
        <v>11038</v>
      </c>
      <c r="C3583" s="21" t="s">
        <v>22</v>
      </c>
      <c r="D3583" s="21" t="s">
        <v>1147</v>
      </c>
      <c r="E3583" s="21" t="s">
        <v>46</v>
      </c>
      <c r="F3583" s="5812">
        <v>1</v>
      </c>
      <c r="G3583" s="5813">
        <v>0.18055555555555555</v>
      </c>
      <c r="H3583" s="21" t="s">
        <v>54</v>
      </c>
      <c r="I3583" s="21" t="s">
        <v>47</v>
      </c>
      <c r="J3583" s="21" t="s">
        <v>406</v>
      </c>
      <c r="K3583" s="5814" t="s">
        <v>11039</v>
      </c>
    </row>
    <row r="3584" spans="1:11">
      <c r="A3584" s="21" t="s">
        <v>5168</v>
      </c>
      <c r="B3584" s="21" t="s">
        <v>11014</v>
      </c>
      <c r="C3584" s="21" t="s">
        <v>22</v>
      </c>
      <c r="D3584" s="21" t="s">
        <v>1147</v>
      </c>
      <c r="E3584" s="21" t="s">
        <v>46</v>
      </c>
      <c r="F3584" s="5812">
        <v>1</v>
      </c>
      <c r="G3584" s="5813">
        <v>0.18124999999999999</v>
      </c>
      <c r="H3584" s="21" t="s">
        <v>10</v>
      </c>
      <c r="I3584" s="21" t="s">
        <v>55</v>
      </c>
      <c r="J3584" s="21" t="s">
        <v>97</v>
      </c>
      <c r="K3584" s="5814" t="s">
        <v>11040</v>
      </c>
    </row>
    <row r="3585" spans="1:11">
      <c r="A3585" s="21" t="s">
        <v>2878</v>
      </c>
      <c r="B3585" s="21" t="s">
        <v>11041</v>
      </c>
      <c r="C3585" s="21" t="s">
        <v>8</v>
      </c>
      <c r="D3585" s="21" t="s">
        <v>1147</v>
      </c>
      <c r="E3585" s="21" t="s">
        <v>46</v>
      </c>
      <c r="F3585" s="5812">
        <v>1</v>
      </c>
      <c r="G3585" s="5813">
        <v>0.18194444444444444</v>
      </c>
      <c r="H3585" s="21" t="s">
        <v>10</v>
      </c>
      <c r="I3585" s="21" t="s">
        <v>2297</v>
      </c>
      <c r="J3585" s="21" t="s">
        <v>3168</v>
      </c>
      <c r="K3585" s="5814" t="s">
        <v>11042</v>
      </c>
    </row>
    <row r="3586" spans="1:11">
      <c r="A3586" s="21" t="s">
        <v>4043</v>
      </c>
      <c r="B3586" s="21" t="s">
        <v>11043</v>
      </c>
      <c r="C3586" s="21" t="s">
        <v>22</v>
      </c>
      <c r="D3586" s="21" t="s">
        <v>1147</v>
      </c>
      <c r="E3586" s="21" t="s">
        <v>46</v>
      </c>
      <c r="F3586" s="5812">
        <v>1</v>
      </c>
      <c r="G3586" s="5813">
        <v>0.18402777777777779</v>
      </c>
      <c r="H3586" s="21" t="s">
        <v>10</v>
      </c>
      <c r="I3586" s="21" t="s">
        <v>96</v>
      </c>
      <c r="J3586" s="21" t="s">
        <v>48</v>
      </c>
      <c r="K3586" s="5814" t="s">
        <v>11044</v>
      </c>
    </row>
    <row r="3587" spans="1:11">
      <c r="A3587" s="21" t="s">
        <v>3427</v>
      </c>
      <c r="B3587" s="21" t="s">
        <v>11045</v>
      </c>
      <c r="C3587" s="21" t="s">
        <v>8</v>
      </c>
      <c r="D3587" s="21" t="s">
        <v>1147</v>
      </c>
      <c r="E3587" s="21" t="s">
        <v>46</v>
      </c>
      <c r="F3587" s="5812">
        <v>1</v>
      </c>
      <c r="G3587" s="5813">
        <v>0.18402777777777779</v>
      </c>
      <c r="H3587" s="21" t="s">
        <v>10</v>
      </c>
      <c r="I3587" s="21" t="s">
        <v>55</v>
      </c>
      <c r="J3587" s="21" t="s">
        <v>48</v>
      </c>
      <c r="K3587" s="5814" t="s">
        <v>11046</v>
      </c>
    </row>
    <row r="3588" spans="1:11">
      <c r="A3588" s="21" t="s">
        <v>3728</v>
      </c>
      <c r="B3588" s="21" t="s">
        <v>11047</v>
      </c>
      <c r="C3588" s="21" t="s">
        <v>22</v>
      </c>
      <c r="D3588" s="21" t="s">
        <v>1147</v>
      </c>
      <c r="E3588" s="21" t="s">
        <v>46</v>
      </c>
      <c r="F3588" s="5812">
        <v>1</v>
      </c>
      <c r="G3588" s="5813">
        <v>0.18472222222222223</v>
      </c>
      <c r="H3588" s="21" t="s">
        <v>10</v>
      </c>
      <c r="I3588" s="21" t="s">
        <v>55</v>
      </c>
      <c r="J3588" s="21" t="s">
        <v>48</v>
      </c>
      <c r="K3588" s="5814" t="s">
        <v>11048</v>
      </c>
    </row>
    <row r="3589" spans="1:11">
      <c r="A3589" s="21" t="s">
        <v>2878</v>
      </c>
      <c r="B3589" s="21" t="s">
        <v>11049</v>
      </c>
      <c r="C3589" s="21" t="s">
        <v>22</v>
      </c>
      <c r="D3589" s="21" t="s">
        <v>1147</v>
      </c>
      <c r="E3589" s="21" t="s">
        <v>46</v>
      </c>
      <c r="F3589" s="5812">
        <v>1</v>
      </c>
      <c r="G3589" s="5813">
        <v>0.18680555555555556</v>
      </c>
      <c r="H3589" s="21" t="s">
        <v>54</v>
      </c>
      <c r="I3589" s="21" t="s">
        <v>2297</v>
      </c>
      <c r="J3589" s="21" t="s">
        <v>3094</v>
      </c>
      <c r="K3589" s="5814" t="s">
        <v>11050</v>
      </c>
    </row>
    <row r="3590" spans="1:11">
      <c r="A3590" s="21" t="s">
        <v>3761</v>
      </c>
      <c r="B3590" s="21" t="s">
        <v>11051</v>
      </c>
      <c r="C3590" s="21" t="s">
        <v>8</v>
      </c>
      <c r="D3590" s="21" t="s">
        <v>1147</v>
      </c>
      <c r="E3590" s="21" t="s">
        <v>46</v>
      </c>
      <c r="F3590" s="5812">
        <v>1</v>
      </c>
      <c r="G3590" s="5813">
        <v>0.18888888888888888</v>
      </c>
      <c r="H3590" s="21" t="s">
        <v>10</v>
      </c>
      <c r="I3590" s="21" t="s">
        <v>2713</v>
      </c>
      <c r="J3590" s="21" t="s">
        <v>940</v>
      </c>
      <c r="K3590" s="5814" t="s">
        <v>11052</v>
      </c>
    </row>
    <row r="3591" spans="1:11">
      <c r="A3591" s="21" t="s">
        <v>2918</v>
      </c>
      <c r="B3591" s="21" t="s">
        <v>11053</v>
      </c>
      <c r="C3591" s="21" t="s">
        <v>22</v>
      </c>
      <c r="D3591" s="21" t="s">
        <v>1147</v>
      </c>
      <c r="E3591" s="21" t="s">
        <v>46</v>
      </c>
      <c r="F3591" s="5812">
        <v>1</v>
      </c>
      <c r="G3591" s="5813">
        <v>0.19166666666666668</v>
      </c>
      <c r="H3591" s="21" t="s">
        <v>10</v>
      </c>
      <c r="I3591" s="21" t="s">
        <v>11</v>
      </c>
      <c r="J3591" s="21" t="s">
        <v>907</v>
      </c>
      <c r="K3591" s="5814" t="s">
        <v>11054</v>
      </c>
    </row>
    <row r="3592" spans="1:11">
      <c r="A3592" s="21" t="s">
        <v>5235</v>
      </c>
      <c r="B3592" s="21" t="s">
        <v>11055</v>
      </c>
      <c r="C3592" s="21" t="s">
        <v>8</v>
      </c>
      <c r="D3592" s="21" t="s">
        <v>1147</v>
      </c>
      <c r="E3592" s="21" t="s">
        <v>46</v>
      </c>
      <c r="F3592" s="5812">
        <v>1</v>
      </c>
      <c r="G3592" s="5813">
        <v>0.19166666666666668</v>
      </c>
      <c r="H3592" s="21" t="s">
        <v>10</v>
      </c>
      <c r="I3592" s="21" t="s">
        <v>2269</v>
      </c>
      <c r="J3592" s="21" t="s">
        <v>3000</v>
      </c>
      <c r="K3592" s="5814" t="s">
        <v>11056</v>
      </c>
    </row>
    <row r="3593" spans="1:11">
      <c r="A3593" s="21" t="s">
        <v>4430</v>
      </c>
      <c r="B3593" s="21" t="s">
        <v>11057</v>
      </c>
      <c r="C3593" s="21" t="s">
        <v>22</v>
      </c>
      <c r="D3593" s="21" t="s">
        <v>1147</v>
      </c>
      <c r="E3593" s="21" t="s">
        <v>46</v>
      </c>
      <c r="F3593" s="5812">
        <v>1</v>
      </c>
      <c r="G3593" s="5813">
        <v>0.19236111111111112</v>
      </c>
      <c r="H3593" s="21" t="s">
        <v>10</v>
      </c>
      <c r="I3593" s="21" t="s">
        <v>2713</v>
      </c>
      <c r="J3593" s="21" t="s">
        <v>97</v>
      </c>
      <c r="K3593" s="5814" t="s">
        <v>11058</v>
      </c>
    </row>
    <row r="3594" spans="1:11">
      <c r="A3594" s="21" t="s">
        <v>2929</v>
      </c>
      <c r="B3594" s="21" t="s">
        <v>11059</v>
      </c>
      <c r="C3594" s="21" t="s">
        <v>22</v>
      </c>
      <c r="D3594" s="21" t="s">
        <v>1147</v>
      </c>
      <c r="E3594" s="21" t="s">
        <v>46</v>
      </c>
      <c r="F3594" s="5812">
        <v>1</v>
      </c>
      <c r="G3594" s="5813">
        <v>0.19375000000000001</v>
      </c>
      <c r="H3594" s="21" t="s">
        <v>10</v>
      </c>
      <c r="I3594" s="21" t="s">
        <v>39</v>
      </c>
      <c r="J3594" s="21" t="s">
        <v>97</v>
      </c>
      <c r="K3594" s="5814" t="s">
        <v>11060</v>
      </c>
    </row>
    <row r="3595" spans="1:11">
      <c r="A3595" s="21" t="s">
        <v>4003</v>
      </c>
      <c r="B3595" s="21" t="s">
        <v>11061</v>
      </c>
      <c r="C3595" s="21" t="s">
        <v>22</v>
      </c>
      <c r="D3595" s="21" t="s">
        <v>1147</v>
      </c>
      <c r="E3595" s="21" t="s">
        <v>46</v>
      </c>
      <c r="F3595" s="5812">
        <v>1</v>
      </c>
      <c r="G3595" s="5813">
        <v>0.19444444444444445</v>
      </c>
      <c r="H3595" s="21" t="s">
        <v>10</v>
      </c>
      <c r="I3595" s="21" t="s">
        <v>47</v>
      </c>
      <c r="J3595" s="21" t="s">
        <v>97</v>
      </c>
      <c r="K3595" s="5814" t="s">
        <v>11062</v>
      </c>
    </row>
    <row r="3596" spans="1:11">
      <c r="A3596" s="21" t="s">
        <v>311</v>
      </c>
      <c r="B3596" s="21" t="s">
        <v>1175</v>
      </c>
      <c r="C3596" s="21" t="s">
        <v>22</v>
      </c>
      <c r="D3596" s="21" t="s">
        <v>1147</v>
      </c>
      <c r="E3596" s="21" t="s">
        <v>46</v>
      </c>
      <c r="F3596" s="5812">
        <v>1</v>
      </c>
      <c r="G3596" s="5813">
        <v>0.19930555555555557</v>
      </c>
      <c r="H3596" s="21" t="s">
        <v>10</v>
      </c>
      <c r="I3596" s="21" t="s">
        <v>39</v>
      </c>
      <c r="J3596" s="21" t="s">
        <v>48</v>
      </c>
      <c r="K3596" s="5814" t="s">
        <v>1176</v>
      </c>
    </row>
    <row r="3597" spans="1:11">
      <c r="A3597" s="21" t="s">
        <v>3323</v>
      </c>
      <c r="B3597" s="21" t="s">
        <v>11063</v>
      </c>
      <c r="C3597" s="21" t="s">
        <v>22</v>
      </c>
      <c r="D3597" s="21" t="s">
        <v>1147</v>
      </c>
      <c r="E3597" s="21" t="s">
        <v>46</v>
      </c>
      <c r="F3597" s="5812">
        <v>1</v>
      </c>
      <c r="G3597" s="5813">
        <v>0.2013888888888889</v>
      </c>
      <c r="H3597" s="21" t="s">
        <v>10</v>
      </c>
      <c r="I3597" s="21" t="s">
        <v>4254</v>
      </c>
      <c r="J3597" s="21" t="s">
        <v>48</v>
      </c>
      <c r="K3597" s="5814" t="s">
        <v>11064</v>
      </c>
    </row>
    <row r="3598" spans="1:11">
      <c r="A3598" s="21" t="s">
        <v>4257</v>
      </c>
      <c r="B3598" s="21" t="s">
        <v>11065</v>
      </c>
      <c r="C3598" s="21" t="s">
        <v>8</v>
      </c>
      <c r="D3598" s="21" t="s">
        <v>1147</v>
      </c>
      <c r="E3598" s="21" t="s">
        <v>46</v>
      </c>
      <c r="F3598" s="5812">
        <v>1</v>
      </c>
      <c r="G3598" s="5813">
        <v>0.20694444444444443</v>
      </c>
      <c r="H3598" s="21" t="s">
        <v>54</v>
      </c>
      <c r="I3598" s="21" t="s">
        <v>55</v>
      </c>
      <c r="J3598" s="21" t="s">
        <v>406</v>
      </c>
      <c r="K3598" s="5814" t="s">
        <v>11066</v>
      </c>
    </row>
    <row r="3599" spans="1:11">
      <c r="A3599" s="21" t="s">
        <v>4621</v>
      </c>
      <c r="B3599" s="21" t="s">
        <v>11067</v>
      </c>
      <c r="C3599" s="21" t="s">
        <v>22</v>
      </c>
      <c r="D3599" s="21" t="s">
        <v>1147</v>
      </c>
      <c r="E3599" s="21" t="s">
        <v>46</v>
      </c>
      <c r="F3599" s="5812">
        <v>1</v>
      </c>
      <c r="G3599" s="5813">
        <v>0.20694444444444443</v>
      </c>
      <c r="H3599" s="21" t="s">
        <v>10</v>
      </c>
      <c r="I3599" s="21" t="s">
        <v>2568</v>
      </c>
      <c r="J3599" s="21" t="s">
        <v>97</v>
      </c>
      <c r="K3599" s="5814" t="s">
        <v>11068</v>
      </c>
    </row>
    <row r="3600" spans="1:11">
      <c r="A3600" s="21" t="s">
        <v>3220</v>
      </c>
      <c r="B3600" s="21" t="s">
        <v>11069</v>
      </c>
      <c r="C3600" s="21" t="s">
        <v>8</v>
      </c>
      <c r="D3600" s="21" t="s">
        <v>1147</v>
      </c>
      <c r="E3600" s="21" t="s">
        <v>46</v>
      </c>
      <c r="F3600" s="5812">
        <v>1</v>
      </c>
      <c r="G3600" s="5813">
        <v>0.2076388888888889</v>
      </c>
      <c r="H3600" s="21" t="s">
        <v>10</v>
      </c>
      <c r="I3600" s="21" t="s">
        <v>89</v>
      </c>
      <c r="J3600" s="21" t="s">
        <v>48</v>
      </c>
      <c r="K3600" s="5814" t="s">
        <v>11070</v>
      </c>
    </row>
    <row r="3601" spans="1:11">
      <c r="A3601" s="21" t="s">
        <v>2647</v>
      </c>
      <c r="B3601" s="21" t="s">
        <v>11071</v>
      </c>
      <c r="C3601" s="21" t="s">
        <v>8</v>
      </c>
      <c r="D3601" s="21" t="s">
        <v>1147</v>
      </c>
      <c r="E3601" s="21" t="s">
        <v>46</v>
      </c>
      <c r="F3601" s="5812">
        <v>1</v>
      </c>
      <c r="G3601" s="5813">
        <v>0.2076388888888889</v>
      </c>
      <c r="H3601" s="21" t="s">
        <v>10</v>
      </c>
      <c r="I3601" s="21" t="s">
        <v>47</v>
      </c>
      <c r="J3601" s="21" t="s">
        <v>48</v>
      </c>
      <c r="K3601" s="5814" t="s">
        <v>11072</v>
      </c>
    </row>
    <row r="3602" spans="1:11">
      <c r="A3602" s="21" t="s">
        <v>2905</v>
      </c>
      <c r="B3602" s="21" t="s">
        <v>11073</v>
      </c>
      <c r="C3602" s="21" t="s">
        <v>22</v>
      </c>
      <c r="D3602" s="21" t="s">
        <v>1147</v>
      </c>
      <c r="E3602" s="21" t="s">
        <v>46</v>
      </c>
      <c r="F3602" s="5812">
        <v>1</v>
      </c>
      <c r="G3602" s="5813">
        <v>0.20833333333333334</v>
      </c>
      <c r="H3602" s="21" t="s">
        <v>10</v>
      </c>
      <c r="I3602" s="21" t="s">
        <v>8588</v>
      </c>
      <c r="J3602" s="21" t="s">
        <v>5834</v>
      </c>
      <c r="K3602" s="5814" t="s">
        <v>11074</v>
      </c>
    </row>
    <row r="3603" spans="1:11">
      <c r="A3603" s="21" t="s">
        <v>3710</v>
      </c>
      <c r="B3603" s="21" t="s">
        <v>11075</v>
      </c>
      <c r="C3603" s="21" t="s">
        <v>22</v>
      </c>
      <c r="D3603" s="21" t="s">
        <v>1147</v>
      </c>
      <c r="E3603" s="21" t="s">
        <v>46</v>
      </c>
      <c r="F3603" s="5812">
        <v>2</v>
      </c>
      <c r="G3603" s="5813">
        <v>1.2500000000000001E-2</v>
      </c>
      <c r="H3603" s="21" t="s">
        <v>10</v>
      </c>
      <c r="I3603" s="21" t="s">
        <v>96</v>
      </c>
      <c r="J3603" s="21" t="s">
        <v>48</v>
      </c>
      <c r="K3603" s="5814" t="s">
        <v>11076</v>
      </c>
    </row>
    <row r="3604" spans="1:11">
      <c r="A3604" s="21" t="s">
        <v>3427</v>
      </c>
      <c r="B3604" s="21" t="s">
        <v>11077</v>
      </c>
      <c r="C3604" s="21" t="s">
        <v>8</v>
      </c>
      <c r="D3604" s="21" t="s">
        <v>1147</v>
      </c>
      <c r="E3604" s="21" t="s">
        <v>46</v>
      </c>
      <c r="F3604" s="5812">
        <v>2</v>
      </c>
      <c r="G3604" s="5813">
        <v>1.4583333333333334E-2</v>
      </c>
      <c r="H3604" s="21" t="s">
        <v>10</v>
      </c>
      <c r="I3604" s="21" t="s">
        <v>55</v>
      </c>
      <c r="J3604" s="21" t="s">
        <v>48</v>
      </c>
      <c r="K3604" s="5814" t="s">
        <v>11078</v>
      </c>
    </row>
    <row r="3605" spans="1:11">
      <c r="A3605" s="21" t="s">
        <v>2061</v>
      </c>
      <c r="B3605" s="21" t="s">
        <v>11079</v>
      </c>
      <c r="C3605" s="21" t="s">
        <v>22</v>
      </c>
      <c r="D3605" s="21" t="s">
        <v>1147</v>
      </c>
      <c r="E3605" s="21" t="s">
        <v>46</v>
      </c>
      <c r="F3605" s="5812">
        <v>2</v>
      </c>
      <c r="G3605" s="5813">
        <v>2.0833333333333332E-2</v>
      </c>
      <c r="H3605" s="21" t="s">
        <v>10</v>
      </c>
      <c r="I3605" s="21" t="s">
        <v>23</v>
      </c>
      <c r="J3605" s="21" t="s">
        <v>48</v>
      </c>
      <c r="K3605" s="5814" t="s">
        <v>11080</v>
      </c>
    </row>
    <row r="3606" spans="1:11">
      <c r="A3606" s="21" t="s">
        <v>3551</v>
      </c>
      <c r="B3606" s="21" t="s">
        <v>11081</v>
      </c>
      <c r="C3606" s="21" t="s">
        <v>8</v>
      </c>
      <c r="D3606" s="21" t="s">
        <v>1147</v>
      </c>
      <c r="E3606" s="21" t="s">
        <v>46</v>
      </c>
      <c r="F3606" s="5812">
        <v>2</v>
      </c>
      <c r="G3606" s="5813">
        <v>2.6388888888888889E-2</v>
      </c>
      <c r="H3606" s="21" t="s">
        <v>10</v>
      </c>
      <c r="I3606" s="21" t="s">
        <v>23</v>
      </c>
      <c r="J3606" s="21" t="s">
        <v>3148</v>
      </c>
      <c r="K3606" s="5814" t="s">
        <v>11082</v>
      </c>
    </row>
    <row r="3607" spans="1:11">
      <c r="A3607" s="21" t="s">
        <v>2237</v>
      </c>
      <c r="B3607" s="21" t="s">
        <v>11083</v>
      </c>
      <c r="C3607" s="21" t="s">
        <v>22</v>
      </c>
      <c r="D3607" s="21" t="s">
        <v>1147</v>
      </c>
      <c r="E3607" s="21" t="s">
        <v>46</v>
      </c>
      <c r="F3607" s="5812">
        <v>2</v>
      </c>
      <c r="G3607" s="5813">
        <v>4.1666666666666664E-2</v>
      </c>
      <c r="H3607" s="21" t="s">
        <v>10</v>
      </c>
      <c r="I3607" s="21" t="s">
        <v>55</v>
      </c>
      <c r="J3607" s="21" t="s">
        <v>4589</v>
      </c>
      <c r="K3607" s="5814" t="s">
        <v>11084</v>
      </c>
    </row>
    <row r="3608" spans="1:11">
      <c r="A3608" s="21" t="s">
        <v>2780</v>
      </c>
      <c r="B3608" s="21" t="s">
        <v>11085</v>
      </c>
      <c r="C3608" s="21" t="s">
        <v>22</v>
      </c>
      <c r="D3608" s="21" t="s">
        <v>1147</v>
      </c>
      <c r="E3608" s="21" t="s">
        <v>46</v>
      </c>
      <c r="F3608" s="5812">
        <v>2</v>
      </c>
      <c r="G3608" s="5813">
        <v>4.5138888888888888E-2</v>
      </c>
      <c r="H3608" s="21" t="s">
        <v>10</v>
      </c>
      <c r="I3608" s="21" t="s">
        <v>3382</v>
      </c>
      <c r="J3608" s="21" t="s">
        <v>3168</v>
      </c>
      <c r="K3608" s="5814" t="s">
        <v>11086</v>
      </c>
    </row>
    <row r="3609" spans="1:11">
      <c r="A3609" s="21" t="s">
        <v>2702</v>
      </c>
      <c r="B3609" s="21" t="s">
        <v>11087</v>
      </c>
      <c r="C3609" s="21" t="s">
        <v>22</v>
      </c>
      <c r="D3609" s="21" t="s">
        <v>1147</v>
      </c>
      <c r="E3609" s="21" t="s">
        <v>46</v>
      </c>
      <c r="F3609" s="5812">
        <v>2</v>
      </c>
      <c r="G3609" s="5813">
        <v>4.791666666666667E-2</v>
      </c>
      <c r="H3609" s="21" t="s">
        <v>10</v>
      </c>
      <c r="I3609" s="21" t="s">
        <v>55</v>
      </c>
      <c r="J3609" s="21" t="s">
        <v>9084</v>
      </c>
      <c r="K3609" s="5814" t="s">
        <v>11088</v>
      </c>
    </row>
    <row r="3610" spans="1:11">
      <c r="A3610" s="21" t="s">
        <v>3144</v>
      </c>
      <c r="B3610" s="21" t="s">
        <v>11089</v>
      </c>
      <c r="C3610" s="21" t="s">
        <v>8</v>
      </c>
      <c r="D3610" s="21" t="s">
        <v>1147</v>
      </c>
      <c r="E3610" s="21" t="s">
        <v>46</v>
      </c>
      <c r="F3610" s="5812">
        <v>2</v>
      </c>
      <c r="G3610" s="5813">
        <v>5.1388888888888887E-2</v>
      </c>
      <c r="H3610" s="21" t="s">
        <v>10</v>
      </c>
      <c r="I3610" s="21" t="s">
        <v>4146</v>
      </c>
      <c r="J3610" s="21" t="s">
        <v>1076</v>
      </c>
      <c r="K3610" s="5814" t="s">
        <v>11090</v>
      </c>
    </row>
    <row r="3611" spans="1:11">
      <c r="A3611" s="21" t="s">
        <v>2250</v>
      </c>
      <c r="B3611" s="21" t="s">
        <v>11091</v>
      </c>
      <c r="C3611" s="21" t="s">
        <v>22</v>
      </c>
      <c r="D3611" s="21" t="s">
        <v>1147</v>
      </c>
      <c r="E3611" s="21" t="s">
        <v>46</v>
      </c>
      <c r="F3611" s="5812">
        <v>2</v>
      </c>
      <c r="G3611" s="5813">
        <v>5.347222222222222E-2</v>
      </c>
      <c r="H3611" s="21" t="s">
        <v>10</v>
      </c>
      <c r="I3611" s="21" t="s">
        <v>96</v>
      </c>
      <c r="J3611" s="21" t="s">
        <v>154</v>
      </c>
      <c r="K3611" s="5814" t="s">
        <v>11092</v>
      </c>
    </row>
    <row r="3612" spans="1:11">
      <c r="A3612" s="21" t="s">
        <v>2184</v>
      </c>
      <c r="B3612" s="21" t="s">
        <v>11093</v>
      </c>
      <c r="C3612" s="21" t="s">
        <v>22</v>
      </c>
      <c r="D3612" s="21" t="s">
        <v>1147</v>
      </c>
      <c r="E3612" s="21" t="s">
        <v>46</v>
      </c>
      <c r="F3612" s="5812">
        <v>2</v>
      </c>
      <c r="G3612" s="5813">
        <v>5.4166666666666669E-2</v>
      </c>
      <c r="H3612" s="21" t="s">
        <v>10</v>
      </c>
      <c r="I3612" s="21" t="s">
        <v>8259</v>
      </c>
      <c r="J3612" s="21" t="s">
        <v>3063</v>
      </c>
      <c r="K3612" s="5814" t="s">
        <v>11094</v>
      </c>
    </row>
    <row r="3613" spans="1:11">
      <c r="A3613" s="21" t="s">
        <v>2197</v>
      </c>
      <c r="B3613" s="21" t="s">
        <v>11095</v>
      </c>
      <c r="C3613" s="21" t="s">
        <v>8</v>
      </c>
      <c r="D3613" s="21" t="s">
        <v>1147</v>
      </c>
      <c r="E3613" s="21" t="s">
        <v>46</v>
      </c>
      <c r="F3613" s="5812">
        <v>2</v>
      </c>
      <c r="G3613" s="5813">
        <v>5.5555555555555552E-2</v>
      </c>
      <c r="H3613" s="21" t="s">
        <v>10</v>
      </c>
      <c r="I3613" s="21" t="s">
        <v>788</v>
      </c>
      <c r="J3613" s="21" t="s">
        <v>154</v>
      </c>
      <c r="K3613" s="5814" t="s">
        <v>11096</v>
      </c>
    </row>
    <row r="3614" spans="1:11">
      <c r="A3614" s="21" t="s">
        <v>2687</v>
      </c>
      <c r="B3614" s="21" t="s">
        <v>11097</v>
      </c>
      <c r="C3614" s="21" t="s">
        <v>8</v>
      </c>
      <c r="D3614" s="21" t="s">
        <v>1147</v>
      </c>
      <c r="E3614" s="21" t="s">
        <v>46</v>
      </c>
      <c r="F3614" s="5812">
        <v>2</v>
      </c>
      <c r="G3614" s="5813">
        <v>5.7638888888888892E-2</v>
      </c>
      <c r="H3614" s="21" t="s">
        <v>10</v>
      </c>
      <c r="I3614" s="21" t="s">
        <v>226</v>
      </c>
      <c r="J3614" s="21" t="s">
        <v>722</v>
      </c>
      <c r="K3614" s="5814" t="s">
        <v>11098</v>
      </c>
    </row>
    <row r="3615" spans="1:11">
      <c r="A3615" s="21" t="s">
        <v>3170</v>
      </c>
      <c r="B3615" s="21" t="s">
        <v>11099</v>
      </c>
      <c r="C3615" s="21" t="s">
        <v>22</v>
      </c>
      <c r="D3615" s="21" t="s">
        <v>1147</v>
      </c>
      <c r="E3615" s="21" t="s">
        <v>46</v>
      </c>
      <c r="F3615" s="5812">
        <v>2</v>
      </c>
      <c r="G3615" s="5813">
        <v>5.8333333333333334E-2</v>
      </c>
      <c r="H3615" s="21" t="s">
        <v>10</v>
      </c>
      <c r="I3615" s="21" t="s">
        <v>2269</v>
      </c>
      <c r="J3615" s="21" t="s">
        <v>7972</v>
      </c>
      <c r="K3615" s="5814" t="s">
        <v>11100</v>
      </c>
    </row>
    <row r="3616" spans="1:11">
      <c r="A3616" s="21" t="s">
        <v>4338</v>
      </c>
      <c r="B3616" s="21" t="s">
        <v>11101</v>
      </c>
      <c r="C3616" s="21" t="s">
        <v>8</v>
      </c>
      <c r="D3616" s="21" t="s">
        <v>1147</v>
      </c>
      <c r="E3616" s="21" t="s">
        <v>46</v>
      </c>
      <c r="F3616" s="5812">
        <v>2</v>
      </c>
      <c r="G3616" s="5813">
        <v>5.9027777777777776E-2</v>
      </c>
      <c r="H3616" s="21" t="s">
        <v>10</v>
      </c>
      <c r="I3616" s="21" t="s">
        <v>2297</v>
      </c>
      <c r="J3616" s="21" t="s">
        <v>940</v>
      </c>
      <c r="K3616" s="5814" t="s">
        <v>11102</v>
      </c>
    </row>
    <row r="3617" spans="1:11">
      <c r="A3617" s="21" t="s">
        <v>4396</v>
      </c>
      <c r="B3617" s="21" t="s">
        <v>11103</v>
      </c>
      <c r="C3617" s="21" t="s">
        <v>22</v>
      </c>
      <c r="D3617" s="21" t="s">
        <v>1147</v>
      </c>
      <c r="E3617" s="21" t="s">
        <v>46</v>
      </c>
      <c r="F3617" s="5812">
        <v>2</v>
      </c>
      <c r="G3617" s="5813">
        <v>6.5277777777777782E-2</v>
      </c>
      <c r="H3617" s="21" t="s">
        <v>10</v>
      </c>
      <c r="I3617" s="21" t="s">
        <v>55</v>
      </c>
      <c r="J3617" s="21" t="s">
        <v>48</v>
      </c>
      <c r="K3617" s="5814" t="s">
        <v>11104</v>
      </c>
    </row>
    <row r="3618" spans="1:11">
      <c r="A3618" s="21" t="s">
        <v>4621</v>
      </c>
      <c r="B3618" s="21" t="s">
        <v>11105</v>
      </c>
      <c r="C3618" s="21" t="s">
        <v>22</v>
      </c>
      <c r="D3618" s="21" t="s">
        <v>1147</v>
      </c>
      <c r="E3618" s="21" t="s">
        <v>46</v>
      </c>
      <c r="F3618" s="5812">
        <v>2</v>
      </c>
      <c r="G3618" s="5813">
        <v>6.7361111111111108E-2</v>
      </c>
      <c r="H3618" s="21" t="s">
        <v>10</v>
      </c>
      <c r="I3618" s="21" t="s">
        <v>2568</v>
      </c>
      <c r="J3618" s="21" t="s">
        <v>3148</v>
      </c>
      <c r="K3618" s="5814" t="s">
        <v>11106</v>
      </c>
    </row>
    <row r="3619" spans="1:11">
      <c r="A3619" s="21" t="s">
        <v>2768</v>
      </c>
      <c r="B3619" s="21" t="s">
        <v>11107</v>
      </c>
      <c r="C3619" s="21" t="s">
        <v>22</v>
      </c>
      <c r="D3619" s="21" t="s">
        <v>1147</v>
      </c>
      <c r="E3619" s="21" t="s">
        <v>46</v>
      </c>
      <c r="F3619" s="5812">
        <v>2</v>
      </c>
      <c r="G3619" s="5813">
        <v>7.6388888888888895E-2</v>
      </c>
      <c r="H3619" s="21" t="s">
        <v>10</v>
      </c>
      <c r="I3619" s="21" t="s">
        <v>2297</v>
      </c>
      <c r="J3619" s="21" t="s">
        <v>48</v>
      </c>
      <c r="K3619" s="5814" t="s">
        <v>11108</v>
      </c>
    </row>
    <row r="3620" spans="1:11">
      <c r="A3620" s="21" t="s">
        <v>2229</v>
      </c>
      <c r="B3620" s="21" t="s">
        <v>11109</v>
      </c>
      <c r="C3620" s="21" t="s">
        <v>22</v>
      </c>
      <c r="D3620" s="21" t="s">
        <v>1147</v>
      </c>
      <c r="E3620" s="21" t="s">
        <v>46</v>
      </c>
      <c r="F3620" s="5812">
        <v>2</v>
      </c>
      <c r="G3620" s="5813">
        <v>8.4027777777777785E-2</v>
      </c>
      <c r="H3620" s="21" t="s">
        <v>10</v>
      </c>
      <c r="I3620" s="21" t="s">
        <v>2176</v>
      </c>
      <c r="J3620" s="21" t="s">
        <v>48</v>
      </c>
      <c r="K3620" s="5814" t="s">
        <v>11110</v>
      </c>
    </row>
    <row r="3621" spans="1:11">
      <c r="A3621" s="21" t="s">
        <v>2932</v>
      </c>
      <c r="B3621" s="21" t="s">
        <v>11111</v>
      </c>
      <c r="C3621" s="21" t="s">
        <v>22</v>
      </c>
      <c r="D3621" s="21" t="s">
        <v>1147</v>
      </c>
      <c r="E3621" s="21" t="s">
        <v>46</v>
      </c>
      <c r="F3621" s="5812">
        <v>2</v>
      </c>
      <c r="G3621" s="5813">
        <v>8.4722222222222227E-2</v>
      </c>
      <c r="H3621" s="21" t="s">
        <v>10</v>
      </c>
      <c r="I3621" s="21" t="s">
        <v>55</v>
      </c>
      <c r="J3621" s="21" t="s">
        <v>3127</v>
      </c>
      <c r="K3621" s="5814" t="s">
        <v>11112</v>
      </c>
    </row>
    <row r="3622" spans="1:11">
      <c r="A3622" s="21" t="s">
        <v>3434</v>
      </c>
      <c r="B3622" s="21" t="s">
        <v>11113</v>
      </c>
      <c r="C3622" s="21" t="s">
        <v>22</v>
      </c>
      <c r="D3622" s="21" t="s">
        <v>1147</v>
      </c>
      <c r="E3622" s="21" t="s">
        <v>46</v>
      </c>
      <c r="F3622" s="5812">
        <v>2</v>
      </c>
      <c r="G3622" s="5813">
        <v>9.375E-2</v>
      </c>
      <c r="H3622" s="21" t="s">
        <v>10</v>
      </c>
      <c r="I3622" s="21" t="s">
        <v>23</v>
      </c>
      <c r="J3622" s="21" t="s">
        <v>97</v>
      </c>
      <c r="K3622" s="5814" t="s">
        <v>11114</v>
      </c>
    </row>
    <row r="3623" spans="1:11">
      <c r="A3623" s="21" t="s">
        <v>2420</v>
      </c>
      <c r="B3623" s="21" t="s">
        <v>11115</v>
      </c>
      <c r="C3623" s="21" t="s">
        <v>22</v>
      </c>
      <c r="D3623" s="21" t="s">
        <v>1147</v>
      </c>
      <c r="E3623" s="21" t="s">
        <v>46</v>
      </c>
      <c r="F3623" s="5812">
        <v>2</v>
      </c>
      <c r="G3623" s="5813">
        <v>0.1</v>
      </c>
      <c r="H3623" s="21" t="s">
        <v>10</v>
      </c>
      <c r="I3623" s="21" t="s">
        <v>96</v>
      </c>
      <c r="J3623" s="21" t="s">
        <v>48</v>
      </c>
      <c r="K3623" s="5814" t="s">
        <v>11116</v>
      </c>
    </row>
    <row r="3624" spans="1:11">
      <c r="A3624" s="21" t="s">
        <v>3089</v>
      </c>
      <c r="B3624" s="21" t="s">
        <v>11117</v>
      </c>
      <c r="C3624" s="21" t="s">
        <v>8</v>
      </c>
      <c r="D3624" s="21" t="s">
        <v>1147</v>
      </c>
      <c r="E3624" s="21" t="s">
        <v>46</v>
      </c>
      <c r="F3624" s="5812">
        <v>2</v>
      </c>
      <c r="G3624" s="5813">
        <v>0.10277777777777777</v>
      </c>
      <c r="H3624" s="21" t="s">
        <v>10</v>
      </c>
      <c r="I3624" s="21" t="s">
        <v>187</v>
      </c>
      <c r="J3624" s="21" t="s">
        <v>154</v>
      </c>
      <c r="K3624" s="5814" t="s">
        <v>11118</v>
      </c>
    </row>
    <row r="3625" spans="1:11">
      <c r="A3625" s="21" t="s">
        <v>2776</v>
      </c>
      <c r="B3625" s="21" t="s">
        <v>11119</v>
      </c>
      <c r="C3625" s="21" t="s">
        <v>8</v>
      </c>
      <c r="D3625" s="21" t="s">
        <v>1147</v>
      </c>
      <c r="E3625" s="21" t="s">
        <v>46</v>
      </c>
      <c r="F3625" s="5812">
        <v>2</v>
      </c>
      <c r="G3625" s="5813">
        <v>0.10347222222222222</v>
      </c>
      <c r="H3625" s="21" t="s">
        <v>10</v>
      </c>
      <c r="I3625" s="21" t="s">
        <v>2260</v>
      </c>
      <c r="J3625" s="21" t="s">
        <v>940</v>
      </c>
      <c r="K3625" s="5814" t="s">
        <v>11120</v>
      </c>
    </row>
    <row r="3626" spans="1:11">
      <c r="A3626" s="21" t="s">
        <v>3208</v>
      </c>
      <c r="B3626" s="21" t="s">
        <v>11121</v>
      </c>
      <c r="C3626" s="21" t="s">
        <v>8</v>
      </c>
      <c r="D3626" s="21" t="s">
        <v>1147</v>
      </c>
      <c r="E3626" s="21" t="s">
        <v>46</v>
      </c>
      <c r="F3626" s="5812">
        <v>2</v>
      </c>
      <c r="G3626" s="5813">
        <v>0.10555555555555556</v>
      </c>
      <c r="H3626" s="21" t="s">
        <v>10</v>
      </c>
      <c r="I3626" s="21" t="s">
        <v>5994</v>
      </c>
      <c r="J3626" s="21" t="s">
        <v>616</v>
      </c>
      <c r="K3626" s="5814" t="s">
        <v>11122</v>
      </c>
    </row>
    <row r="3627" spans="1:11">
      <c r="A3627" s="21" t="s">
        <v>2737</v>
      </c>
      <c r="B3627" s="21" t="s">
        <v>11123</v>
      </c>
      <c r="C3627" s="21" t="s">
        <v>22</v>
      </c>
      <c r="D3627" s="21" t="s">
        <v>1147</v>
      </c>
      <c r="E3627" s="21" t="s">
        <v>46</v>
      </c>
      <c r="F3627" s="5812">
        <v>2</v>
      </c>
      <c r="G3627" s="5813">
        <v>0.10972222222222222</v>
      </c>
      <c r="H3627" s="21" t="s">
        <v>10</v>
      </c>
      <c r="I3627" s="21" t="s">
        <v>609</v>
      </c>
      <c r="J3627" s="21" t="s">
        <v>406</v>
      </c>
      <c r="K3627" s="5814" t="s">
        <v>11124</v>
      </c>
    </row>
    <row r="3628" spans="1:11">
      <c r="A3628" s="21" t="s">
        <v>4724</v>
      </c>
      <c r="B3628" s="21" t="s">
        <v>11125</v>
      </c>
      <c r="C3628" s="21" t="s">
        <v>8</v>
      </c>
      <c r="D3628" s="21" t="s">
        <v>1147</v>
      </c>
      <c r="E3628" s="21" t="s">
        <v>46</v>
      </c>
      <c r="F3628" s="5812">
        <v>2</v>
      </c>
      <c r="G3628" s="5813">
        <v>0.11041666666666666</v>
      </c>
      <c r="H3628" s="21" t="s">
        <v>10</v>
      </c>
      <c r="I3628" s="21" t="s">
        <v>226</v>
      </c>
      <c r="J3628" s="21" t="s">
        <v>417</v>
      </c>
      <c r="K3628" s="5814" t="s">
        <v>11126</v>
      </c>
    </row>
    <row r="3629" spans="1:11">
      <c r="A3629" s="21" t="s">
        <v>2719</v>
      </c>
      <c r="B3629" s="21" t="s">
        <v>11127</v>
      </c>
      <c r="C3629" s="21" t="s">
        <v>8</v>
      </c>
      <c r="D3629" s="21" t="s">
        <v>1147</v>
      </c>
      <c r="E3629" s="21" t="s">
        <v>46</v>
      </c>
      <c r="F3629" s="5812">
        <v>2</v>
      </c>
      <c r="G3629" s="5813">
        <v>0.1111111111111111</v>
      </c>
      <c r="H3629" s="21" t="s">
        <v>10</v>
      </c>
      <c r="I3629" s="21" t="s">
        <v>263</v>
      </c>
      <c r="J3629" s="21" t="s">
        <v>3004</v>
      </c>
      <c r="K3629" s="5814" t="s">
        <v>11128</v>
      </c>
    </row>
    <row r="3630" spans="1:11">
      <c r="A3630" s="21" t="s">
        <v>3491</v>
      </c>
      <c r="B3630" s="21" t="s">
        <v>11129</v>
      </c>
      <c r="C3630" s="21" t="s">
        <v>22</v>
      </c>
      <c r="D3630" s="21" t="s">
        <v>1147</v>
      </c>
      <c r="E3630" s="21" t="s">
        <v>46</v>
      </c>
      <c r="F3630" s="5812">
        <v>2</v>
      </c>
      <c r="G3630" s="5813">
        <v>0.12152777777777778</v>
      </c>
      <c r="H3630" s="21" t="s">
        <v>10</v>
      </c>
      <c r="I3630" s="21" t="s">
        <v>73</v>
      </c>
      <c r="J3630" s="21" t="s">
        <v>3004</v>
      </c>
      <c r="K3630" s="5814" t="s">
        <v>11130</v>
      </c>
    </row>
    <row r="3631" spans="1:11">
      <c r="A3631" s="21" t="s">
        <v>2932</v>
      </c>
      <c r="B3631" s="21" t="s">
        <v>11131</v>
      </c>
      <c r="C3631" s="21" t="s">
        <v>8</v>
      </c>
      <c r="D3631" s="21" t="s">
        <v>1147</v>
      </c>
      <c r="E3631" s="21" t="s">
        <v>46</v>
      </c>
      <c r="F3631" s="5812">
        <v>2</v>
      </c>
      <c r="G3631" s="5813">
        <v>0.12222222222222222</v>
      </c>
      <c r="H3631" s="21" t="s">
        <v>10</v>
      </c>
      <c r="I3631" s="21" t="s">
        <v>55</v>
      </c>
      <c r="J3631" s="21" t="s">
        <v>1076</v>
      </c>
      <c r="K3631" s="5814" t="s">
        <v>11132</v>
      </c>
    </row>
    <row r="3632" spans="1:11">
      <c r="A3632" s="21" t="s">
        <v>2495</v>
      </c>
      <c r="B3632" s="21" t="s">
        <v>11133</v>
      </c>
      <c r="C3632" s="21" t="s">
        <v>8</v>
      </c>
      <c r="D3632" s="21" t="s">
        <v>1147</v>
      </c>
      <c r="E3632" s="21" t="s">
        <v>46</v>
      </c>
      <c r="F3632" s="5812">
        <v>2</v>
      </c>
      <c r="G3632" s="5813">
        <v>0.12638888888888888</v>
      </c>
      <c r="H3632" s="21" t="s">
        <v>10</v>
      </c>
      <c r="I3632" s="21" t="s">
        <v>55</v>
      </c>
      <c r="J3632" s="21" t="s">
        <v>48</v>
      </c>
      <c r="K3632" s="5814" t="s">
        <v>11134</v>
      </c>
    </row>
    <row r="3633" spans="1:11">
      <c r="A3633" s="21" t="s">
        <v>3395</v>
      </c>
      <c r="B3633" s="21" t="s">
        <v>11135</v>
      </c>
      <c r="C3633" s="21" t="s">
        <v>22</v>
      </c>
      <c r="D3633" s="21" t="s">
        <v>1147</v>
      </c>
      <c r="E3633" s="21" t="s">
        <v>46</v>
      </c>
      <c r="F3633" s="5812">
        <v>2</v>
      </c>
      <c r="G3633" s="5813">
        <v>0.12847222222222221</v>
      </c>
      <c r="H3633" s="21" t="s">
        <v>54</v>
      </c>
      <c r="I3633" s="21" t="s">
        <v>47</v>
      </c>
      <c r="J3633" s="21" t="s">
        <v>48</v>
      </c>
      <c r="K3633" s="5814" t="s">
        <v>11136</v>
      </c>
    </row>
    <row r="3634" spans="1:11">
      <c r="A3634" s="21" t="s">
        <v>2886</v>
      </c>
      <c r="B3634" s="21" t="s">
        <v>11137</v>
      </c>
      <c r="C3634" s="21" t="s">
        <v>22</v>
      </c>
      <c r="D3634" s="21" t="s">
        <v>1147</v>
      </c>
      <c r="E3634" s="21" t="s">
        <v>46</v>
      </c>
      <c r="F3634" s="5812">
        <v>2</v>
      </c>
      <c r="G3634" s="5813">
        <v>0.12986111111111112</v>
      </c>
      <c r="H3634" s="21" t="s">
        <v>10</v>
      </c>
      <c r="I3634" s="21" t="s">
        <v>55</v>
      </c>
      <c r="J3634" s="21" t="s">
        <v>1076</v>
      </c>
      <c r="K3634" s="5814" t="s">
        <v>11138</v>
      </c>
    </row>
    <row r="3635" spans="1:11">
      <c r="A3635" s="21" t="s">
        <v>2675</v>
      </c>
      <c r="B3635" s="21" t="s">
        <v>11139</v>
      </c>
      <c r="C3635" s="21" t="s">
        <v>22</v>
      </c>
      <c r="D3635" s="21" t="s">
        <v>1147</v>
      </c>
      <c r="E3635" s="21" t="s">
        <v>46</v>
      </c>
      <c r="F3635" s="5812">
        <v>2</v>
      </c>
      <c r="G3635" s="5813">
        <v>0.13194444444444445</v>
      </c>
      <c r="H3635" s="21" t="s">
        <v>10</v>
      </c>
      <c r="I3635" s="21" t="s">
        <v>5712</v>
      </c>
      <c r="J3635" s="21" t="s">
        <v>3226</v>
      </c>
      <c r="K3635" s="5814" t="s">
        <v>11140</v>
      </c>
    </row>
    <row r="3636" spans="1:11">
      <c r="A3636" s="21" t="s">
        <v>2702</v>
      </c>
      <c r="B3636" s="21" t="s">
        <v>11141</v>
      </c>
      <c r="C3636" s="21" t="s">
        <v>8</v>
      </c>
      <c r="D3636" s="21" t="s">
        <v>1147</v>
      </c>
      <c r="E3636" s="21" t="s">
        <v>46</v>
      </c>
      <c r="F3636" s="5812">
        <v>2</v>
      </c>
      <c r="G3636" s="5813">
        <v>0.13402777777777777</v>
      </c>
      <c r="H3636" s="21" t="s">
        <v>10</v>
      </c>
      <c r="I3636" s="21" t="s">
        <v>96</v>
      </c>
      <c r="J3636" s="21" t="s">
        <v>3226</v>
      </c>
      <c r="K3636" s="5814" t="s">
        <v>11142</v>
      </c>
    </row>
    <row r="3637" spans="1:11">
      <c r="A3637" s="21" t="s">
        <v>115</v>
      </c>
      <c r="B3637" s="21" t="s">
        <v>1166</v>
      </c>
      <c r="C3637" s="21" t="s">
        <v>22</v>
      </c>
      <c r="D3637" s="21" t="s">
        <v>1147</v>
      </c>
      <c r="E3637" s="21" t="s">
        <v>46</v>
      </c>
      <c r="F3637" s="5812">
        <v>2</v>
      </c>
      <c r="G3637" s="5813">
        <v>0.13680555555555557</v>
      </c>
      <c r="H3637" s="21" t="s">
        <v>10</v>
      </c>
      <c r="I3637" s="21" t="s">
        <v>11</v>
      </c>
      <c r="J3637" s="21" t="s">
        <v>417</v>
      </c>
      <c r="K3637" s="5814" t="s">
        <v>1167</v>
      </c>
    </row>
    <row r="3638" spans="1:11">
      <c r="A3638" s="21" t="s">
        <v>2280</v>
      </c>
      <c r="B3638" s="21" t="s">
        <v>11143</v>
      </c>
      <c r="C3638" s="21" t="s">
        <v>22</v>
      </c>
      <c r="D3638" s="21" t="s">
        <v>1147</v>
      </c>
      <c r="E3638" s="21" t="s">
        <v>46</v>
      </c>
      <c r="F3638" s="5812">
        <v>2</v>
      </c>
      <c r="G3638" s="5813">
        <v>0.15069444444444444</v>
      </c>
      <c r="H3638" s="21" t="s">
        <v>10</v>
      </c>
      <c r="I3638" s="21" t="s">
        <v>96</v>
      </c>
      <c r="J3638" s="21" t="s">
        <v>406</v>
      </c>
      <c r="K3638" s="5814" t="s">
        <v>11144</v>
      </c>
    </row>
    <row r="3639" spans="1:11">
      <c r="A3639" s="21" t="s">
        <v>2772</v>
      </c>
      <c r="B3639" s="21" t="s">
        <v>11145</v>
      </c>
      <c r="C3639" s="21" t="s">
        <v>8</v>
      </c>
      <c r="D3639" s="21" t="s">
        <v>1147</v>
      </c>
      <c r="E3639" s="21" t="s">
        <v>46</v>
      </c>
      <c r="F3639" s="5812">
        <v>2</v>
      </c>
      <c r="G3639" s="5813">
        <v>0.16597222222222222</v>
      </c>
      <c r="H3639" s="21" t="s">
        <v>10</v>
      </c>
      <c r="I3639" s="21" t="s">
        <v>2814</v>
      </c>
      <c r="J3639" s="21" t="s">
        <v>48</v>
      </c>
      <c r="K3639" s="5814" t="s">
        <v>11146</v>
      </c>
    </row>
    <row r="3640" spans="1:11">
      <c r="A3640" s="21" t="s">
        <v>2893</v>
      </c>
      <c r="B3640" s="21" t="s">
        <v>11147</v>
      </c>
      <c r="C3640" s="21" t="s">
        <v>8</v>
      </c>
      <c r="D3640" s="21" t="s">
        <v>1147</v>
      </c>
      <c r="E3640" s="21" t="s">
        <v>46</v>
      </c>
      <c r="F3640" s="5812">
        <v>2</v>
      </c>
      <c r="G3640" s="5813">
        <v>0.16805555555555557</v>
      </c>
      <c r="H3640" s="21" t="s">
        <v>10</v>
      </c>
      <c r="I3640" s="21" t="s">
        <v>55</v>
      </c>
      <c r="J3640" s="21" t="s">
        <v>127</v>
      </c>
      <c r="K3640" s="5814" t="s">
        <v>11148</v>
      </c>
    </row>
    <row r="3641" spans="1:11">
      <c r="A3641" s="21" t="s">
        <v>177</v>
      </c>
      <c r="B3641" s="21" t="s">
        <v>1255</v>
      </c>
      <c r="C3641" s="21" t="s">
        <v>22</v>
      </c>
      <c r="D3641" s="21" t="s">
        <v>1147</v>
      </c>
      <c r="E3641" s="21" t="s">
        <v>46</v>
      </c>
      <c r="F3641" s="5812">
        <v>2</v>
      </c>
      <c r="G3641" s="5813">
        <v>0.16875000000000001</v>
      </c>
      <c r="H3641" s="21" t="s">
        <v>10</v>
      </c>
      <c r="I3641" s="21" t="s">
        <v>89</v>
      </c>
      <c r="J3641" s="21" t="s">
        <v>48</v>
      </c>
      <c r="K3641" s="5814" t="s">
        <v>1256</v>
      </c>
    </row>
    <row r="3642" spans="1:11">
      <c r="A3642" s="21" t="s">
        <v>2724</v>
      </c>
      <c r="B3642" s="21" t="s">
        <v>11149</v>
      </c>
      <c r="C3642" s="21" t="s">
        <v>8</v>
      </c>
      <c r="D3642" s="21" t="s">
        <v>1147</v>
      </c>
      <c r="E3642" s="21" t="s">
        <v>46</v>
      </c>
      <c r="F3642" s="5812">
        <v>2</v>
      </c>
      <c r="G3642" s="5813">
        <v>0.17499999999999999</v>
      </c>
      <c r="H3642" s="21" t="s">
        <v>10</v>
      </c>
      <c r="I3642" s="21" t="s">
        <v>23</v>
      </c>
      <c r="J3642" s="21" t="s">
        <v>48</v>
      </c>
      <c r="K3642" s="5814" t="s">
        <v>11150</v>
      </c>
    </row>
    <row r="3643" spans="1:11">
      <c r="A3643" s="21" t="s">
        <v>2643</v>
      </c>
      <c r="B3643" s="21" t="s">
        <v>11151</v>
      </c>
      <c r="C3643" s="21" t="s">
        <v>8</v>
      </c>
      <c r="D3643" s="21" t="s">
        <v>1147</v>
      </c>
      <c r="E3643" s="21" t="s">
        <v>46</v>
      </c>
      <c r="F3643" s="5812">
        <v>2</v>
      </c>
      <c r="G3643" s="5813">
        <v>0.17569444444444443</v>
      </c>
      <c r="H3643" s="21" t="s">
        <v>10</v>
      </c>
      <c r="I3643" s="21" t="s">
        <v>47</v>
      </c>
      <c r="J3643" s="21" t="s">
        <v>258</v>
      </c>
      <c r="K3643" s="5814" t="s">
        <v>11152</v>
      </c>
    </row>
    <row r="3644" spans="1:11">
      <c r="A3644" s="21" t="s">
        <v>3491</v>
      </c>
      <c r="B3644" s="21" t="s">
        <v>11153</v>
      </c>
      <c r="C3644" s="21" t="s">
        <v>22</v>
      </c>
      <c r="D3644" s="21" t="s">
        <v>1147</v>
      </c>
      <c r="E3644" s="21" t="s">
        <v>46</v>
      </c>
      <c r="F3644" s="5812">
        <v>2</v>
      </c>
      <c r="G3644" s="5813">
        <v>0.17708333333333334</v>
      </c>
      <c r="H3644" s="21" t="s">
        <v>10</v>
      </c>
      <c r="I3644" s="21" t="s">
        <v>73</v>
      </c>
      <c r="J3644" s="21" t="s">
        <v>722</v>
      </c>
      <c r="K3644" s="5814" t="s">
        <v>11154</v>
      </c>
    </row>
    <row r="3645" spans="1:11">
      <c r="A3645" s="21" t="s">
        <v>3012</v>
      </c>
      <c r="B3645" s="21" t="s">
        <v>11155</v>
      </c>
      <c r="C3645" s="21" t="s">
        <v>22</v>
      </c>
      <c r="D3645" s="21" t="s">
        <v>1147</v>
      </c>
      <c r="E3645" s="21" t="s">
        <v>46</v>
      </c>
      <c r="F3645" s="5812">
        <v>2</v>
      </c>
      <c r="G3645" s="5813">
        <v>0.17708333333333334</v>
      </c>
      <c r="H3645" s="21" t="s">
        <v>10</v>
      </c>
      <c r="I3645" s="21" t="s">
        <v>23</v>
      </c>
      <c r="J3645" s="21" t="s">
        <v>97</v>
      </c>
      <c r="K3645" s="5814" t="s">
        <v>11156</v>
      </c>
    </row>
    <row r="3646" spans="1:11">
      <c r="A3646" s="21" t="s">
        <v>4257</v>
      </c>
      <c r="B3646" s="21" t="s">
        <v>11157</v>
      </c>
      <c r="C3646" s="21" t="s">
        <v>22</v>
      </c>
      <c r="D3646" s="21" t="s">
        <v>1147</v>
      </c>
      <c r="E3646" s="21" t="s">
        <v>46</v>
      </c>
      <c r="F3646" s="5812">
        <v>2</v>
      </c>
      <c r="G3646" s="5813">
        <v>0.17847222222222223</v>
      </c>
      <c r="H3646" s="21" t="s">
        <v>10</v>
      </c>
      <c r="I3646" s="21" t="s">
        <v>654</v>
      </c>
      <c r="J3646" s="21" t="s">
        <v>940</v>
      </c>
      <c r="K3646" s="5814" t="s">
        <v>11158</v>
      </c>
    </row>
    <row r="3647" spans="1:11">
      <c r="A3647" s="21" t="s">
        <v>3643</v>
      </c>
      <c r="B3647" s="21" t="s">
        <v>11159</v>
      </c>
      <c r="C3647" s="21" t="s">
        <v>8</v>
      </c>
      <c r="D3647" s="21" t="s">
        <v>1147</v>
      </c>
      <c r="E3647" s="21" t="s">
        <v>46</v>
      </c>
      <c r="F3647" s="5812">
        <v>2</v>
      </c>
      <c r="G3647" s="5813">
        <v>0.18124999999999999</v>
      </c>
      <c r="H3647" s="21" t="s">
        <v>10</v>
      </c>
      <c r="I3647" s="21" t="s">
        <v>23</v>
      </c>
      <c r="J3647" s="21" t="s">
        <v>97</v>
      </c>
      <c r="K3647" s="5814" t="s">
        <v>11160</v>
      </c>
    </row>
    <row r="3648" spans="1:11">
      <c r="A3648" s="21" t="s">
        <v>231</v>
      </c>
      <c r="B3648" s="21" t="s">
        <v>1202</v>
      </c>
      <c r="C3648" s="21" t="s">
        <v>22</v>
      </c>
      <c r="D3648" s="21" t="s">
        <v>1147</v>
      </c>
      <c r="E3648" s="21" t="s">
        <v>46</v>
      </c>
      <c r="F3648" s="5812">
        <v>2</v>
      </c>
      <c r="G3648" s="5813">
        <v>0.18958333333333333</v>
      </c>
      <c r="H3648" s="21" t="s">
        <v>10</v>
      </c>
      <c r="I3648" s="21" t="s">
        <v>96</v>
      </c>
      <c r="J3648" s="21" t="s">
        <v>1203</v>
      </c>
      <c r="K3648" s="5814" t="s">
        <v>11161</v>
      </c>
    </row>
    <row r="3649" spans="1:11">
      <c r="A3649" s="21" t="s">
        <v>3409</v>
      </c>
      <c r="B3649" s="21" t="s">
        <v>11162</v>
      </c>
      <c r="C3649" s="21" t="s">
        <v>8</v>
      </c>
      <c r="D3649" s="21" t="s">
        <v>1147</v>
      </c>
      <c r="E3649" s="21" t="s">
        <v>46</v>
      </c>
      <c r="F3649" s="5812">
        <v>2</v>
      </c>
      <c r="G3649" s="5813">
        <v>0.19305555555555556</v>
      </c>
      <c r="H3649" s="21" t="s">
        <v>10</v>
      </c>
      <c r="I3649" s="21" t="s">
        <v>226</v>
      </c>
      <c r="J3649" s="21" t="s">
        <v>97</v>
      </c>
      <c r="K3649" s="5814" t="s">
        <v>11163</v>
      </c>
    </row>
    <row r="3650" spans="1:11">
      <c r="A3650" s="21" t="s">
        <v>3036</v>
      </c>
      <c r="B3650" s="21" t="s">
        <v>11164</v>
      </c>
      <c r="C3650" s="21" t="s">
        <v>8</v>
      </c>
      <c r="D3650" s="21" t="s">
        <v>1147</v>
      </c>
      <c r="E3650" s="21" t="s">
        <v>46</v>
      </c>
      <c r="F3650" s="5812">
        <v>2</v>
      </c>
      <c r="G3650" s="5813">
        <v>0.19791666666666666</v>
      </c>
      <c r="H3650" s="21" t="s">
        <v>10</v>
      </c>
      <c r="I3650" s="21" t="s">
        <v>2153</v>
      </c>
      <c r="J3650" s="21" t="s">
        <v>48</v>
      </c>
      <c r="K3650" s="5814" t="s">
        <v>11165</v>
      </c>
    </row>
    <row r="3651" spans="1:11">
      <c r="A3651" s="21" t="s">
        <v>2237</v>
      </c>
      <c r="B3651" s="21" t="s">
        <v>11166</v>
      </c>
      <c r="C3651" s="21" t="s">
        <v>22</v>
      </c>
      <c r="D3651" s="21" t="s">
        <v>1147</v>
      </c>
      <c r="E3651" s="21" t="s">
        <v>46</v>
      </c>
      <c r="F3651" s="5812">
        <v>2</v>
      </c>
      <c r="G3651" s="5813">
        <v>0.19791666666666666</v>
      </c>
      <c r="H3651" s="21" t="s">
        <v>10</v>
      </c>
      <c r="I3651" s="21" t="s">
        <v>5894</v>
      </c>
      <c r="J3651" s="21" t="s">
        <v>48</v>
      </c>
      <c r="K3651" s="5814" t="s">
        <v>11167</v>
      </c>
    </row>
    <row r="3652" spans="1:11">
      <c r="A3652" s="21" t="s">
        <v>2096</v>
      </c>
      <c r="B3652" s="21" t="s">
        <v>11168</v>
      </c>
      <c r="C3652" s="21" t="s">
        <v>8</v>
      </c>
      <c r="D3652" s="21" t="s">
        <v>1147</v>
      </c>
      <c r="E3652" s="21" t="s">
        <v>46</v>
      </c>
      <c r="F3652" s="5812">
        <v>2</v>
      </c>
      <c r="G3652" s="5813">
        <v>0.19930555555555557</v>
      </c>
      <c r="H3652" s="21" t="s">
        <v>10</v>
      </c>
      <c r="I3652" s="21" t="s">
        <v>2313</v>
      </c>
      <c r="J3652" s="21" t="s">
        <v>97</v>
      </c>
      <c r="K3652" s="5814" t="s">
        <v>11169</v>
      </c>
    </row>
    <row r="3653" spans="1:11">
      <c r="A3653" s="21" t="s">
        <v>2045</v>
      </c>
      <c r="B3653" s="21" t="s">
        <v>11170</v>
      </c>
      <c r="C3653" s="21" t="s">
        <v>22</v>
      </c>
      <c r="D3653" s="21" t="s">
        <v>1147</v>
      </c>
      <c r="E3653" s="21" t="s">
        <v>46</v>
      </c>
      <c r="F3653" s="5812">
        <v>2</v>
      </c>
      <c r="G3653" s="5813">
        <v>0.19930555555555557</v>
      </c>
      <c r="H3653" s="21" t="s">
        <v>10</v>
      </c>
      <c r="I3653" s="21" t="s">
        <v>39</v>
      </c>
      <c r="J3653" s="21" t="s">
        <v>97</v>
      </c>
      <c r="K3653" s="5814" t="s">
        <v>11171</v>
      </c>
    </row>
    <row r="3654" spans="1:11">
      <c r="A3654" s="21" t="s">
        <v>2160</v>
      </c>
      <c r="B3654" s="21" t="s">
        <v>11172</v>
      </c>
      <c r="C3654" s="21" t="s">
        <v>22</v>
      </c>
      <c r="D3654" s="21" t="s">
        <v>1147</v>
      </c>
      <c r="E3654" s="21" t="s">
        <v>46</v>
      </c>
      <c r="F3654" s="5812">
        <v>2</v>
      </c>
      <c r="G3654" s="5813">
        <v>0.20416666666666666</v>
      </c>
      <c r="H3654" s="21" t="s">
        <v>10</v>
      </c>
      <c r="I3654" s="21" t="s">
        <v>2814</v>
      </c>
      <c r="J3654" s="21" t="s">
        <v>48</v>
      </c>
      <c r="K3654" s="5814" t="s">
        <v>11173</v>
      </c>
    </row>
    <row r="3655" spans="1:11">
      <c r="A3655" s="21" t="s">
        <v>2638</v>
      </c>
      <c r="B3655" s="21" t="s">
        <v>11174</v>
      </c>
      <c r="C3655" s="21" t="s">
        <v>22</v>
      </c>
      <c r="D3655" s="21" t="s">
        <v>1147</v>
      </c>
      <c r="E3655" s="21" t="s">
        <v>46</v>
      </c>
      <c r="F3655" s="5812">
        <v>2</v>
      </c>
      <c r="G3655" s="5813">
        <v>0.2048611111111111</v>
      </c>
      <c r="H3655" s="21" t="s">
        <v>54</v>
      </c>
      <c r="I3655" s="21" t="s">
        <v>55</v>
      </c>
      <c r="J3655" s="21" t="s">
        <v>48</v>
      </c>
      <c r="K3655" s="5814" t="s">
        <v>11175</v>
      </c>
    </row>
    <row r="3656" spans="1:11">
      <c r="A3656" s="21" t="s">
        <v>2156</v>
      </c>
      <c r="B3656" s="21" t="s">
        <v>11176</v>
      </c>
      <c r="C3656" s="21" t="s">
        <v>8</v>
      </c>
      <c r="D3656" s="21" t="s">
        <v>1147</v>
      </c>
      <c r="E3656" s="21" t="s">
        <v>46</v>
      </c>
      <c r="F3656" s="5812">
        <v>2</v>
      </c>
      <c r="G3656" s="5813">
        <v>0.2048611111111111</v>
      </c>
      <c r="H3656" s="21" t="s">
        <v>10</v>
      </c>
      <c r="I3656" s="21" t="s">
        <v>11</v>
      </c>
      <c r="J3656" s="21" t="s">
        <v>417</v>
      </c>
      <c r="K3656" s="5814" t="s">
        <v>11177</v>
      </c>
    </row>
    <row r="3657" spans="1:11">
      <c r="A3657" s="21" t="s">
        <v>2534</v>
      </c>
      <c r="B3657" s="21" t="s">
        <v>11178</v>
      </c>
      <c r="C3657" s="21" t="s">
        <v>8</v>
      </c>
      <c r="D3657" s="21" t="s">
        <v>1147</v>
      </c>
      <c r="E3657" s="21" t="s">
        <v>46</v>
      </c>
      <c r="F3657" s="5812">
        <v>2</v>
      </c>
      <c r="G3657" s="5813">
        <v>0.20555555555555555</v>
      </c>
      <c r="H3657" s="21" t="s">
        <v>10</v>
      </c>
      <c r="I3657" s="21" t="s">
        <v>39</v>
      </c>
      <c r="J3657" s="21" t="s">
        <v>940</v>
      </c>
      <c r="K3657" s="5814" t="s">
        <v>11179</v>
      </c>
    </row>
    <row r="3658" spans="1:11">
      <c r="A3658" s="21" t="s">
        <v>2084</v>
      </c>
      <c r="B3658" s="21" t="s">
        <v>11180</v>
      </c>
      <c r="C3658" s="21" t="s">
        <v>22</v>
      </c>
      <c r="D3658" s="21" t="s">
        <v>1147</v>
      </c>
      <c r="E3658" s="21" t="s">
        <v>46</v>
      </c>
      <c r="F3658" s="5812">
        <v>2</v>
      </c>
      <c r="G3658" s="5813">
        <v>0.20624999999999999</v>
      </c>
      <c r="H3658" s="21" t="s">
        <v>10</v>
      </c>
      <c r="I3658" s="21" t="s">
        <v>96</v>
      </c>
      <c r="J3658" s="21" t="s">
        <v>97</v>
      </c>
      <c r="K3658" s="5814" t="s">
        <v>11181</v>
      </c>
    </row>
    <row r="3659" spans="1:11">
      <c r="A3659" s="21" t="s">
        <v>2267</v>
      </c>
      <c r="B3659" s="21" t="s">
        <v>11182</v>
      </c>
      <c r="C3659" s="21" t="s">
        <v>8</v>
      </c>
      <c r="D3659" s="21" t="s">
        <v>1147</v>
      </c>
      <c r="E3659" s="21" t="s">
        <v>46</v>
      </c>
      <c r="F3659" s="5812">
        <v>3</v>
      </c>
      <c r="G3659" s="5813">
        <v>1.8749999999999999E-2</v>
      </c>
      <c r="H3659" s="21" t="s">
        <v>10</v>
      </c>
      <c r="I3659" s="21" t="s">
        <v>2713</v>
      </c>
      <c r="J3659" s="21" t="s">
        <v>774</v>
      </c>
      <c r="K3659" s="5814" t="s">
        <v>11183</v>
      </c>
    </row>
    <row r="3660" spans="1:11">
      <c r="A3660" s="21" t="s">
        <v>2808</v>
      </c>
      <c r="B3660" s="21" t="s">
        <v>11184</v>
      </c>
      <c r="C3660" s="21" t="s">
        <v>8</v>
      </c>
      <c r="D3660" s="21" t="s">
        <v>1147</v>
      </c>
      <c r="E3660" s="21" t="s">
        <v>46</v>
      </c>
      <c r="F3660" s="5812">
        <v>3</v>
      </c>
      <c r="G3660" s="5813">
        <v>2.361111111111111E-2</v>
      </c>
      <c r="H3660" s="21" t="s">
        <v>10</v>
      </c>
      <c r="I3660" s="21" t="s">
        <v>2297</v>
      </c>
      <c r="J3660" s="21" t="s">
        <v>722</v>
      </c>
      <c r="K3660" s="5814" t="s">
        <v>11185</v>
      </c>
    </row>
    <row r="3661" spans="1:11">
      <c r="A3661" s="21" t="s">
        <v>4768</v>
      </c>
      <c r="B3661" s="21" t="s">
        <v>11186</v>
      </c>
      <c r="C3661" s="21" t="s">
        <v>22</v>
      </c>
      <c r="D3661" s="21" t="s">
        <v>1147</v>
      </c>
      <c r="E3661" s="21" t="s">
        <v>46</v>
      </c>
      <c r="F3661" s="5812">
        <v>3</v>
      </c>
      <c r="G3661" s="5813">
        <v>3.1944444444444442E-2</v>
      </c>
      <c r="H3661" s="21" t="s">
        <v>10</v>
      </c>
      <c r="I3661" s="21" t="s">
        <v>2269</v>
      </c>
      <c r="J3661" s="21" t="s">
        <v>430</v>
      </c>
      <c r="K3661" s="5814" t="s">
        <v>11187</v>
      </c>
    </row>
    <row r="3662" spans="1:11">
      <c r="A3662" s="21" t="s">
        <v>5148</v>
      </c>
      <c r="B3662" s="21" t="s">
        <v>11188</v>
      </c>
      <c r="C3662" s="21" t="s">
        <v>22</v>
      </c>
      <c r="D3662" s="21" t="s">
        <v>1147</v>
      </c>
      <c r="E3662" s="21" t="s">
        <v>46</v>
      </c>
      <c r="F3662" s="5812">
        <v>3</v>
      </c>
      <c r="G3662" s="5813">
        <v>4.1666666666666664E-2</v>
      </c>
      <c r="H3662" s="21" t="s">
        <v>10</v>
      </c>
      <c r="I3662" s="21" t="s">
        <v>23</v>
      </c>
      <c r="J3662" s="21" t="s">
        <v>722</v>
      </c>
      <c r="K3662" s="5814" t="s">
        <v>11189</v>
      </c>
    </row>
    <row r="3663" spans="1:11">
      <c r="A3663" s="21" t="s">
        <v>3105</v>
      </c>
      <c r="B3663" s="21" t="s">
        <v>11190</v>
      </c>
      <c r="C3663" s="21" t="s">
        <v>22</v>
      </c>
      <c r="D3663" s="21" t="s">
        <v>1147</v>
      </c>
      <c r="E3663" s="21" t="s">
        <v>46</v>
      </c>
      <c r="F3663" s="5812">
        <v>3</v>
      </c>
      <c r="G3663" s="5813">
        <v>4.3055555555555555E-2</v>
      </c>
      <c r="H3663" s="21" t="s">
        <v>10</v>
      </c>
      <c r="I3663" s="21" t="s">
        <v>23</v>
      </c>
      <c r="J3663" s="21" t="s">
        <v>48</v>
      </c>
      <c r="K3663" s="5814" t="s">
        <v>11191</v>
      </c>
    </row>
    <row r="3664" spans="1:11">
      <c r="A3664" s="21" t="s">
        <v>2092</v>
      </c>
      <c r="B3664" s="21" t="s">
        <v>11192</v>
      </c>
      <c r="C3664" s="21" t="s">
        <v>22</v>
      </c>
      <c r="D3664" s="21" t="s">
        <v>1147</v>
      </c>
      <c r="E3664" s="21" t="s">
        <v>46</v>
      </c>
      <c r="F3664" s="5812">
        <v>3</v>
      </c>
      <c r="G3664" s="5813">
        <v>4.3749999999999997E-2</v>
      </c>
      <c r="H3664" s="21" t="s">
        <v>10</v>
      </c>
      <c r="I3664" s="21" t="s">
        <v>23</v>
      </c>
      <c r="J3664" s="21" t="s">
        <v>3094</v>
      </c>
      <c r="K3664" s="5814" t="s">
        <v>11193</v>
      </c>
    </row>
    <row r="3665" spans="1:11">
      <c r="A3665" s="21" t="s">
        <v>5390</v>
      </c>
      <c r="B3665" s="21" t="s">
        <v>11194</v>
      </c>
      <c r="C3665" s="21" t="s">
        <v>8</v>
      </c>
      <c r="D3665" s="21" t="s">
        <v>1147</v>
      </c>
      <c r="E3665" s="21" t="s">
        <v>46</v>
      </c>
      <c r="F3665" s="5812">
        <v>3</v>
      </c>
      <c r="G3665" s="5813">
        <v>4.791666666666667E-2</v>
      </c>
      <c r="H3665" s="21" t="s">
        <v>10</v>
      </c>
      <c r="I3665" s="21" t="s">
        <v>55</v>
      </c>
      <c r="J3665" s="21" t="s">
        <v>48</v>
      </c>
      <c r="K3665" s="5814" t="s">
        <v>11195</v>
      </c>
    </row>
    <row r="3666" spans="1:11">
      <c r="A3666" s="21" t="s">
        <v>2307</v>
      </c>
      <c r="B3666" s="21" t="s">
        <v>11196</v>
      </c>
      <c r="C3666" s="21" t="s">
        <v>8</v>
      </c>
      <c r="D3666" s="21" t="s">
        <v>1147</v>
      </c>
      <c r="E3666" s="21" t="s">
        <v>46</v>
      </c>
      <c r="F3666" s="5812">
        <v>3</v>
      </c>
      <c r="G3666" s="5813">
        <v>5.2083333333333336E-2</v>
      </c>
      <c r="H3666" s="21" t="s">
        <v>10</v>
      </c>
      <c r="I3666" s="21" t="s">
        <v>226</v>
      </c>
      <c r="J3666" s="21" t="s">
        <v>97</v>
      </c>
      <c r="K3666" s="5814" t="s">
        <v>11197</v>
      </c>
    </row>
    <row r="3667" spans="1:11">
      <c r="A3667" s="21" t="s">
        <v>166</v>
      </c>
      <c r="B3667" s="21" t="s">
        <v>1246</v>
      </c>
      <c r="C3667" s="21" t="s">
        <v>22</v>
      </c>
      <c r="D3667" s="21" t="s">
        <v>1147</v>
      </c>
      <c r="E3667" s="21" t="s">
        <v>46</v>
      </c>
      <c r="F3667" s="5812">
        <v>3</v>
      </c>
      <c r="G3667" s="5813">
        <v>5.4166666666666669E-2</v>
      </c>
      <c r="H3667" s="21" t="s">
        <v>10</v>
      </c>
      <c r="I3667" s="21" t="s">
        <v>96</v>
      </c>
      <c r="J3667" s="21" t="s">
        <v>97</v>
      </c>
      <c r="K3667" s="5814" t="s">
        <v>1247</v>
      </c>
    </row>
    <row r="3668" spans="1:11">
      <c r="A3668" s="21" t="s">
        <v>3345</v>
      </c>
      <c r="B3668" s="21" t="s">
        <v>11198</v>
      </c>
      <c r="C3668" s="21" t="s">
        <v>8</v>
      </c>
      <c r="D3668" s="21" t="s">
        <v>1147</v>
      </c>
      <c r="E3668" s="21" t="s">
        <v>46</v>
      </c>
      <c r="F3668" s="5812">
        <v>3</v>
      </c>
      <c r="G3668" s="5813">
        <v>5.9722222222222225E-2</v>
      </c>
      <c r="H3668" s="21" t="s">
        <v>10</v>
      </c>
      <c r="I3668" s="21" t="s">
        <v>400</v>
      </c>
      <c r="J3668" s="21" t="s">
        <v>97</v>
      </c>
      <c r="K3668" s="5814" t="s">
        <v>11199</v>
      </c>
    </row>
    <row r="3669" spans="1:11">
      <c r="A3669" s="21" t="s">
        <v>3430</v>
      </c>
      <c r="B3669" s="21" t="s">
        <v>11200</v>
      </c>
      <c r="C3669" s="21" t="s">
        <v>8</v>
      </c>
      <c r="D3669" s="21" t="s">
        <v>1147</v>
      </c>
      <c r="E3669" s="21" t="s">
        <v>46</v>
      </c>
      <c r="F3669" s="5812">
        <v>3</v>
      </c>
      <c r="G3669" s="5813">
        <v>6.0416666666666667E-2</v>
      </c>
      <c r="H3669" s="21" t="s">
        <v>10</v>
      </c>
      <c r="I3669" s="21" t="s">
        <v>55</v>
      </c>
      <c r="J3669" s="21" t="s">
        <v>518</v>
      </c>
      <c r="K3669" s="5814" t="s">
        <v>11201</v>
      </c>
    </row>
    <row r="3670" spans="1:11">
      <c r="A3670" s="21" t="s">
        <v>5984</v>
      </c>
      <c r="B3670" s="21" t="s">
        <v>11202</v>
      </c>
      <c r="C3670" s="21" t="s">
        <v>22</v>
      </c>
      <c r="D3670" s="21" t="s">
        <v>1147</v>
      </c>
      <c r="E3670" s="21" t="s">
        <v>46</v>
      </c>
      <c r="F3670" s="5812">
        <v>3</v>
      </c>
      <c r="G3670" s="5813">
        <v>8.4027777777777785E-2</v>
      </c>
      <c r="H3670" s="21" t="s">
        <v>10</v>
      </c>
      <c r="I3670" s="21" t="s">
        <v>11</v>
      </c>
      <c r="J3670" s="21" t="s">
        <v>97</v>
      </c>
      <c r="K3670" s="5814" t="s">
        <v>11203</v>
      </c>
    </row>
    <row r="3671" spans="1:11">
      <c r="A3671" s="21" t="s">
        <v>5168</v>
      </c>
      <c r="B3671" s="21" t="s">
        <v>11204</v>
      </c>
      <c r="C3671" s="21" t="s">
        <v>22</v>
      </c>
      <c r="D3671" s="21" t="s">
        <v>1147</v>
      </c>
      <c r="E3671" s="21" t="s">
        <v>46</v>
      </c>
      <c r="F3671" s="5812">
        <v>3</v>
      </c>
      <c r="G3671" s="5813">
        <v>8.4722222222222227E-2</v>
      </c>
      <c r="H3671" s="21" t="s">
        <v>10</v>
      </c>
      <c r="I3671" s="21" t="s">
        <v>3464</v>
      </c>
      <c r="J3671" s="21" t="s">
        <v>97</v>
      </c>
      <c r="K3671" s="5814" t="s">
        <v>11205</v>
      </c>
    </row>
    <row r="3672" spans="1:11">
      <c r="A3672" s="21" t="s">
        <v>2513</v>
      </c>
      <c r="B3672" s="21" t="s">
        <v>11206</v>
      </c>
      <c r="C3672" s="21" t="s">
        <v>8</v>
      </c>
      <c r="D3672" s="21" t="s">
        <v>1147</v>
      </c>
      <c r="E3672" s="21" t="s">
        <v>46</v>
      </c>
      <c r="F3672" s="5812">
        <v>3</v>
      </c>
      <c r="G3672" s="5813">
        <v>8.5416666666666669E-2</v>
      </c>
      <c r="H3672" s="21" t="s">
        <v>10</v>
      </c>
      <c r="I3672" s="21" t="s">
        <v>39</v>
      </c>
      <c r="J3672" s="21" t="s">
        <v>11207</v>
      </c>
      <c r="K3672" s="5814" t="s">
        <v>11208</v>
      </c>
    </row>
    <row r="3673" spans="1:11">
      <c r="A3673" s="21" t="s">
        <v>3720</v>
      </c>
      <c r="B3673" s="21" t="s">
        <v>11209</v>
      </c>
      <c r="C3673" s="21" t="s">
        <v>8</v>
      </c>
      <c r="D3673" s="21" t="s">
        <v>1147</v>
      </c>
      <c r="E3673" s="21" t="s">
        <v>46</v>
      </c>
      <c r="F3673" s="5812">
        <v>3</v>
      </c>
      <c r="G3673" s="5813">
        <v>8.5416666666666669E-2</v>
      </c>
      <c r="H3673" s="21" t="s">
        <v>10</v>
      </c>
      <c r="I3673" s="21" t="s">
        <v>11</v>
      </c>
      <c r="J3673" s="21" t="s">
        <v>48</v>
      </c>
      <c r="K3673" s="5814" t="s">
        <v>11210</v>
      </c>
    </row>
    <row r="3674" spans="1:11">
      <c r="A3674" s="21" t="s">
        <v>2932</v>
      </c>
      <c r="B3674" s="21" t="s">
        <v>11211</v>
      </c>
      <c r="C3674" s="21" t="s">
        <v>8</v>
      </c>
      <c r="D3674" s="21" t="s">
        <v>1147</v>
      </c>
      <c r="E3674" s="21" t="s">
        <v>46</v>
      </c>
      <c r="F3674" s="5812">
        <v>3</v>
      </c>
      <c r="G3674" s="5813">
        <v>9.583333333333334E-2</v>
      </c>
      <c r="H3674" s="21" t="s">
        <v>10</v>
      </c>
      <c r="I3674" s="21" t="s">
        <v>39</v>
      </c>
      <c r="J3674" s="21" t="s">
        <v>127</v>
      </c>
      <c r="K3674" s="5814" t="s">
        <v>11212</v>
      </c>
    </row>
    <row r="3675" spans="1:11">
      <c r="A3675" s="21" t="s">
        <v>3427</v>
      </c>
      <c r="B3675" s="21" t="s">
        <v>11213</v>
      </c>
      <c r="C3675" s="21" t="s">
        <v>22</v>
      </c>
      <c r="D3675" s="21" t="s">
        <v>1147</v>
      </c>
      <c r="E3675" s="21" t="s">
        <v>46</v>
      </c>
      <c r="F3675" s="5812">
        <v>3</v>
      </c>
      <c r="G3675" s="5813">
        <v>9.583333333333334E-2</v>
      </c>
      <c r="H3675" s="21" t="s">
        <v>10</v>
      </c>
      <c r="I3675" s="21" t="s">
        <v>96</v>
      </c>
      <c r="J3675" s="21" t="s">
        <v>97</v>
      </c>
      <c r="K3675" s="5814" t="s">
        <v>11214</v>
      </c>
    </row>
    <row r="3676" spans="1:11">
      <c r="A3676" s="21" t="s">
        <v>3458</v>
      </c>
      <c r="B3676" s="21" t="s">
        <v>11215</v>
      </c>
      <c r="C3676" s="21" t="s">
        <v>8</v>
      </c>
      <c r="D3676" s="21" t="s">
        <v>1147</v>
      </c>
      <c r="E3676" s="21" t="s">
        <v>46</v>
      </c>
      <c r="F3676" s="5812">
        <v>3</v>
      </c>
      <c r="G3676" s="5813">
        <v>0.1076388888888889</v>
      </c>
      <c r="H3676" s="21" t="s">
        <v>10</v>
      </c>
      <c r="I3676" s="21" t="s">
        <v>2872</v>
      </c>
      <c r="J3676" s="21" t="s">
        <v>97</v>
      </c>
      <c r="K3676" s="5814" t="s">
        <v>11216</v>
      </c>
    </row>
    <row r="3677" spans="1:11">
      <c r="A3677" s="21" t="s">
        <v>5015</v>
      </c>
      <c r="B3677" s="21" t="s">
        <v>11217</v>
      </c>
      <c r="C3677" s="21" t="s">
        <v>22</v>
      </c>
      <c r="D3677" s="21" t="s">
        <v>1147</v>
      </c>
      <c r="E3677" s="21" t="s">
        <v>46</v>
      </c>
      <c r="F3677" s="5812">
        <v>3</v>
      </c>
      <c r="G3677" s="5813">
        <v>0.10833333333333334</v>
      </c>
      <c r="H3677" s="21" t="s">
        <v>10</v>
      </c>
      <c r="I3677" s="21" t="s">
        <v>2400</v>
      </c>
      <c r="J3677" s="21" t="s">
        <v>4505</v>
      </c>
      <c r="K3677" s="5814" t="s">
        <v>11218</v>
      </c>
    </row>
    <row r="3678" spans="1:11">
      <c r="A3678" s="21" t="s">
        <v>5335</v>
      </c>
      <c r="B3678" s="21" t="s">
        <v>11219</v>
      </c>
      <c r="C3678" s="21" t="s">
        <v>22</v>
      </c>
      <c r="D3678" s="21" t="s">
        <v>1147</v>
      </c>
      <c r="E3678" s="21" t="s">
        <v>46</v>
      </c>
      <c r="F3678" s="5812">
        <v>3</v>
      </c>
      <c r="G3678" s="5813">
        <v>0.11597222222222223</v>
      </c>
      <c r="H3678" s="21" t="s">
        <v>10</v>
      </c>
      <c r="I3678" s="21" t="s">
        <v>23</v>
      </c>
      <c r="J3678" s="21" t="s">
        <v>127</v>
      </c>
      <c r="K3678" s="5814" t="s">
        <v>11220</v>
      </c>
    </row>
    <row r="3679" spans="1:11">
      <c r="A3679" s="21" t="s">
        <v>2605</v>
      </c>
      <c r="B3679" s="21" t="s">
        <v>11221</v>
      </c>
      <c r="C3679" s="21" t="s">
        <v>22</v>
      </c>
      <c r="D3679" s="21" t="s">
        <v>1147</v>
      </c>
      <c r="E3679" s="21" t="s">
        <v>46</v>
      </c>
      <c r="F3679" s="5812">
        <v>3</v>
      </c>
      <c r="G3679" s="5813">
        <v>0.12083333333333333</v>
      </c>
      <c r="H3679" s="21" t="s">
        <v>10</v>
      </c>
      <c r="I3679" s="21" t="s">
        <v>226</v>
      </c>
      <c r="J3679" s="21" t="s">
        <v>3004</v>
      </c>
      <c r="K3679" s="5814" t="s">
        <v>11222</v>
      </c>
    </row>
    <row r="3680" spans="1:11">
      <c r="A3680" s="21" t="s">
        <v>2921</v>
      </c>
      <c r="B3680" s="21" t="s">
        <v>11223</v>
      </c>
      <c r="C3680" s="21" t="s">
        <v>8</v>
      </c>
      <c r="D3680" s="21" t="s">
        <v>1147</v>
      </c>
      <c r="E3680" s="21" t="s">
        <v>46</v>
      </c>
      <c r="F3680" s="5812">
        <v>3</v>
      </c>
      <c r="G3680" s="5813">
        <v>0.12708333333333333</v>
      </c>
      <c r="H3680" s="21" t="s">
        <v>10</v>
      </c>
      <c r="I3680" s="21" t="s">
        <v>226</v>
      </c>
      <c r="J3680" s="21" t="s">
        <v>940</v>
      </c>
      <c r="K3680" s="5814" t="s">
        <v>11224</v>
      </c>
    </row>
    <row r="3681" spans="1:11">
      <c r="A3681" s="21" t="s">
        <v>2341</v>
      </c>
      <c r="B3681" s="21" t="s">
        <v>11225</v>
      </c>
      <c r="C3681" s="21" t="s">
        <v>8</v>
      </c>
      <c r="D3681" s="21" t="s">
        <v>1147</v>
      </c>
      <c r="E3681" s="21" t="s">
        <v>46</v>
      </c>
      <c r="F3681" s="5812">
        <v>3</v>
      </c>
      <c r="G3681" s="5813">
        <v>0.1361111111111111</v>
      </c>
      <c r="H3681" s="21" t="s">
        <v>10</v>
      </c>
      <c r="I3681" s="21" t="s">
        <v>226</v>
      </c>
      <c r="J3681" s="21" t="s">
        <v>48</v>
      </c>
      <c r="K3681" s="5814" t="s">
        <v>11226</v>
      </c>
    </row>
    <row r="3682" spans="1:11">
      <c r="A3682" s="21" t="s">
        <v>3896</v>
      </c>
      <c r="B3682" s="21" t="s">
        <v>11227</v>
      </c>
      <c r="C3682" s="21" t="s">
        <v>22</v>
      </c>
      <c r="D3682" s="21" t="s">
        <v>1147</v>
      </c>
      <c r="E3682" s="21" t="s">
        <v>46</v>
      </c>
      <c r="F3682" s="5812">
        <v>3</v>
      </c>
      <c r="G3682" s="5813">
        <v>0.14305555555555555</v>
      </c>
      <c r="H3682" s="21" t="s">
        <v>10</v>
      </c>
      <c r="I3682" s="21" t="s">
        <v>47</v>
      </c>
      <c r="J3682" s="21" t="s">
        <v>97</v>
      </c>
      <c r="K3682" s="5814" t="s">
        <v>11228</v>
      </c>
    </row>
    <row r="3683" spans="1:11">
      <c r="A3683" s="21" t="s">
        <v>135</v>
      </c>
      <c r="B3683" s="21" t="s">
        <v>1236</v>
      </c>
      <c r="C3683" s="21" t="s">
        <v>22</v>
      </c>
      <c r="D3683" s="21" t="s">
        <v>1147</v>
      </c>
      <c r="E3683" s="21" t="s">
        <v>46</v>
      </c>
      <c r="F3683" s="5812">
        <v>3</v>
      </c>
      <c r="G3683" s="5813">
        <v>0.15486111111111112</v>
      </c>
      <c r="H3683" s="21" t="s">
        <v>10</v>
      </c>
      <c r="I3683" s="21" t="s">
        <v>226</v>
      </c>
      <c r="J3683" s="21" t="s">
        <v>1117</v>
      </c>
      <c r="K3683" s="5814" t="s">
        <v>1237</v>
      </c>
    </row>
    <row r="3684" spans="1:11">
      <c r="A3684" s="21" t="s">
        <v>2188</v>
      </c>
      <c r="B3684" s="21" t="s">
        <v>11229</v>
      </c>
      <c r="C3684" s="21" t="s">
        <v>8</v>
      </c>
      <c r="D3684" s="21" t="s">
        <v>1147</v>
      </c>
      <c r="E3684" s="21" t="s">
        <v>46</v>
      </c>
      <c r="F3684" s="5812">
        <v>3</v>
      </c>
      <c r="G3684" s="5813">
        <v>0.17152777777777778</v>
      </c>
      <c r="H3684" s="21" t="s">
        <v>10</v>
      </c>
      <c r="I3684" s="21" t="s">
        <v>2149</v>
      </c>
      <c r="J3684" s="21" t="s">
        <v>3004</v>
      </c>
      <c r="K3684" s="5814" t="s">
        <v>11230</v>
      </c>
    </row>
    <row r="3685" spans="1:11">
      <c r="A3685" s="21" t="s">
        <v>3160</v>
      </c>
      <c r="B3685" s="21" t="s">
        <v>11231</v>
      </c>
      <c r="C3685" s="21" t="s">
        <v>8</v>
      </c>
      <c r="D3685" s="21" t="s">
        <v>1147</v>
      </c>
      <c r="E3685" s="21" t="s">
        <v>46</v>
      </c>
      <c r="F3685" s="5812">
        <v>3</v>
      </c>
      <c r="G3685" s="5813">
        <v>0.17569444444444443</v>
      </c>
      <c r="H3685" s="21" t="s">
        <v>10</v>
      </c>
      <c r="I3685" s="21" t="s">
        <v>233</v>
      </c>
      <c r="J3685" s="21" t="s">
        <v>48</v>
      </c>
      <c r="K3685" s="5814" t="s">
        <v>11232</v>
      </c>
    </row>
    <row r="3686" spans="1:11">
      <c r="A3686" s="21" t="s">
        <v>4132</v>
      </c>
      <c r="B3686" s="21" t="s">
        <v>11233</v>
      </c>
      <c r="C3686" s="21" t="s">
        <v>22</v>
      </c>
      <c r="D3686" s="21" t="s">
        <v>1147</v>
      </c>
      <c r="E3686" s="21" t="s">
        <v>46</v>
      </c>
      <c r="F3686" s="5812">
        <v>3</v>
      </c>
      <c r="G3686" s="5813">
        <v>0.17986111111111111</v>
      </c>
      <c r="H3686" s="21" t="s">
        <v>10</v>
      </c>
      <c r="I3686" s="21" t="s">
        <v>788</v>
      </c>
      <c r="J3686" s="21" t="s">
        <v>48</v>
      </c>
      <c r="K3686" s="5814" t="s">
        <v>11234</v>
      </c>
    </row>
    <row r="3687" spans="1:11">
      <c r="A3687" s="21" t="s">
        <v>2075</v>
      </c>
      <c r="B3687" s="21" t="s">
        <v>11235</v>
      </c>
      <c r="C3687" s="21" t="s">
        <v>22</v>
      </c>
      <c r="D3687" s="21" t="s">
        <v>1147</v>
      </c>
      <c r="E3687" s="21" t="s">
        <v>46</v>
      </c>
      <c r="F3687" s="5812">
        <v>3</v>
      </c>
      <c r="G3687" s="5813">
        <v>0.17986111111111111</v>
      </c>
      <c r="H3687" s="21" t="s">
        <v>10</v>
      </c>
      <c r="I3687" s="21" t="s">
        <v>55</v>
      </c>
      <c r="J3687" s="21" t="s">
        <v>258</v>
      </c>
      <c r="K3687" s="5814" t="s">
        <v>11236</v>
      </c>
    </row>
    <row r="3688" spans="1:11">
      <c r="A3688" s="21" t="s">
        <v>2049</v>
      </c>
      <c r="B3688" s="21" t="s">
        <v>11237</v>
      </c>
      <c r="C3688" s="21" t="s">
        <v>8</v>
      </c>
      <c r="D3688" s="21" t="s">
        <v>1147</v>
      </c>
      <c r="E3688" s="21" t="s">
        <v>46</v>
      </c>
      <c r="F3688" s="5812">
        <v>3</v>
      </c>
      <c r="G3688" s="5813">
        <v>0.18194444444444444</v>
      </c>
      <c r="H3688" s="21" t="s">
        <v>10</v>
      </c>
      <c r="I3688" s="21" t="s">
        <v>47</v>
      </c>
      <c r="J3688" s="21" t="s">
        <v>127</v>
      </c>
      <c r="K3688" s="5814" t="s">
        <v>11238</v>
      </c>
    </row>
    <row r="3689" spans="1:11">
      <c r="A3689" s="21" t="s">
        <v>3565</v>
      </c>
      <c r="B3689" s="21" t="s">
        <v>11239</v>
      </c>
      <c r="C3689" s="21" t="s">
        <v>22</v>
      </c>
      <c r="D3689" s="21" t="s">
        <v>1147</v>
      </c>
      <c r="E3689" s="21" t="s">
        <v>46</v>
      </c>
      <c r="F3689" s="5812">
        <v>3</v>
      </c>
      <c r="G3689" s="5813">
        <v>0.18402777777777779</v>
      </c>
      <c r="H3689" s="21" t="s">
        <v>10</v>
      </c>
      <c r="I3689" s="21" t="s">
        <v>2218</v>
      </c>
      <c r="J3689" s="21" t="s">
        <v>97</v>
      </c>
      <c r="K3689" s="5814" t="s">
        <v>11240</v>
      </c>
    </row>
    <row r="3690" spans="1:11">
      <c r="A3690" s="21" t="s">
        <v>4409</v>
      </c>
      <c r="B3690" s="21" t="s">
        <v>11241</v>
      </c>
      <c r="C3690" s="21" t="s">
        <v>8</v>
      </c>
      <c r="D3690" s="21" t="s">
        <v>1147</v>
      </c>
      <c r="E3690" s="21" t="s">
        <v>46</v>
      </c>
      <c r="F3690" s="5812">
        <v>3</v>
      </c>
      <c r="G3690" s="5813">
        <v>0.18402777777777779</v>
      </c>
      <c r="H3690" s="21" t="s">
        <v>10</v>
      </c>
      <c r="I3690" s="21" t="s">
        <v>2872</v>
      </c>
      <c r="J3690" s="21" t="s">
        <v>3168</v>
      </c>
      <c r="K3690" s="5814" t="s">
        <v>11242</v>
      </c>
    </row>
    <row r="3691" spans="1:11">
      <c r="A3691" s="21" t="s">
        <v>2776</v>
      </c>
      <c r="B3691" s="21" t="s">
        <v>11243</v>
      </c>
      <c r="C3691" s="21" t="s">
        <v>22</v>
      </c>
      <c r="D3691" s="21" t="s">
        <v>1147</v>
      </c>
      <c r="E3691" s="21" t="s">
        <v>46</v>
      </c>
      <c r="F3691" s="5812">
        <v>3</v>
      </c>
      <c r="G3691" s="5813">
        <v>0.19236111111111112</v>
      </c>
      <c r="H3691" s="21" t="s">
        <v>10</v>
      </c>
      <c r="I3691" s="21" t="s">
        <v>2523</v>
      </c>
      <c r="J3691" s="21" t="s">
        <v>48</v>
      </c>
      <c r="K3691" s="5814" t="s">
        <v>11244</v>
      </c>
    </row>
    <row r="3692" spans="1:11">
      <c r="A3692" s="21" t="s">
        <v>3286</v>
      </c>
      <c r="B3692" s="21" t="s">
        <v>11245</v>
      </c>
      <c r="C3692" s="21" t="s">
        <v>22</v>
      </c>
      <c r="D3692" s="21" t="s">
        <v>1147</v>
      </c>
      <c r="E3692" s="21" t="s">
        <v>46</v>
      </c>
      <c r="F3692" s="5812">
        <v>3</v>
      </c>
      <c r="G3692" s="5813">
        <v>0.19444444444444445</v>
      </c>
      <c r="H3692" s="21" t="s">
        <v>10</v>
      </c>
      <c r="I3692" s="21" t="s">
        <v>47</v>
      </c>
      <c r="J3692" s="21" t="s">
        <v>940</v>
      </c>
      <c r="K3692" s="5814" t="s">
        <v>11246</v>
      </c>
    </row>
    <row r="3693" spans="1:11">
      <c r="A3693" s="21" t="s">
        <v>185</v>
      </c>
      <c r="B3693" s="21" t="s">
        <v>1263</v>
      </c>
      <c r="C3693" s="21" t="s">
        <v>8</v>
      </c>
      <c r="D3693" s="21" t="s">
        <v>1147</v>
      </c>
      <c r="E3693" s="21" t="s">
        <v>46</v>
      </c>
      <c r="F3693" s="5812">
        <v>3</v>
      </c>
      <c r="G3693" s="5813">
        <v>0.19791666666666666</v>
      </c>
      <c r="H3693" s="21" t="s">
        <v>10</v>
      </c>
      <c r="I3693" s="21" t="s">
        <v>187</v>
      </c>
      <c r="J3693" s="21" t="s">
        <v>430</v>
      </c>
      <c r="K3693" s="5814" t="s">
        <v>1264</v>
      </c>
    </row>
    <row r="3694" spans="1:11">
      <c r="A3694" s="21" t="s">
        <v>2579</v>
      </c>
      <c r="B3694" s="21" t="s">
        <v>11247</v>
      </c>
      <c r="C3694" s="21" t="s">
        <v>8</v>
      </c>
      <c r="D3694" s="21" t="s">
        <v>1147</v>
      </c>
      <c r="E3694" s="21" t="s">
        <v>46</v>
      </c>
      <c r="F3694" s="5812">
        <v>3</v>
      </c>
      <c r="G3694" s="5813">
        <v>0.20208333333333334</v>
      </c>
      <c r="H3694" s="21" t="s">
        <v>10</v>
      </c>
      <c r="I3694" s="21" t="s">
        <v>3534</v>
      </c>
      <c r="J3694" s="21" t="s">
        <v>97</v>
      </c>
      <c r="K3694" s="5814" t="s">
        <v>11248</v>
      </c>
    </row>
    <row r="3695" spans="1:11">
      <c r="A3695" s="21" t="s">
        <v>2651</v>
      </c>
      <c r="B3695" s="21" t="s">
        <v>11249</v>
      </c>
      <c r="C3695" s="21" t="s">
        <v>8</v>
      </c>
      <c r="D3695" s="21" t="s">
        <v>1147</v>
      </c>
      <c r="E3695" s="21" t="s">
        <v>46</v>
      </c>
      <c r="F3695" s="5812">
        <v>3</v>
      </c>
      <c r="G3695" s="5813">
        <v>0.20416666666666666</v>
      </c>
      <c r="H3695" s="21" t="s">
        <v>10</v>
      </c>
      <c r="I3695" s="21" t="s">
        <v>96</v>
      </c>
      <c r="J3695" s="21" t="s">
        <v>940</v>
      </c>
      <c r="K3695" s="5814" t="s">
        <v>11250</v>
      </c>
    </row>
    <row r="3696" spans="1:11">
      <c r="A3696" s="21" t="s">
        <v>2729</v>
      </c>
      <c r="B3696" s="21" t="s">
        <v>11251</v>
      </c>
      <c r="C3696" s="21" t="s">
        <v>8</v>
      </c>
      <c r="D3696" s="21" t="s">
        <v>1147</v>
      </c>
      <c r="E3696" s="21" t="s">
        <v>46</v>
      </c>
      <c r="F3696" s="5812">
        <v>3</v>
      </c>
      <c r="G3696" s="5813">
        <v>0.2076388888888889</v>
      </c>
      <c r="H3696" s="21" t="s">
        <v>10</v>
      </c>
      <c r="I3696" s="21" t="s">
        <v>2814</v>
      </c>
      <c r="J3696" s="21" t="s">
        <v>3226</v>
      </c>
      <c r="K3696" s="5814" t="s">
        <v>11252</v>
      </c>
    </row>
    <row r="3697" spans="1:11">
      <c r="A3697" s="21" t="s">
        <v>3364</v>
      </c>
      <c r="B3697" s="21" t="s">
        <v>11253</v>
      </c>
      <c r="C3697" s="21" t="s">
        <v>22</v>
      </c>
      <c r="D3697" s="21" t="s">
        <v>1147</v>
      </c>
      <c r="E3697" s="21" t="s">
        <v>46</v>
      </c>
      <c r="F3697" s="5812">
        <v>4</v>
      </c>
      <c r="G3697" s="5813">
        <v>0.10833333333333334</v>
      </c>
      <c r="H3697" s="21" t="s">
        <v>54</v>
      </c>
      <c r="I3697" s="21" t="s">
        <v>55</v>
      </c>
      <c r="J3697" s="21" t="s">
        <v>48</v>
      </c>
      <c r="K3697" s="5814" t="s">
        <v>11254</v>
      </c>
    </row>
    <row r="3698" spans="1:11">
      <c r="A3698" s="21" t="s">
        <v>3896</v>
      </c>
      <c r="B3698" s="21" t="s">
        <v>11255</v>
      </c>
      <c r="C3698" s="21" t="s">
        <v>8</v>
      </c>
      <c r="D3698" s="21" t="s">
        <v>1147</v>
      </c>
      <c r="E3698" s="21" t="s">
        <v>46</v>
      </c>
      <c r="F3698" s="5812">
        <v>4</v>
      </c>
      <c r="G3698" s="5813">
        <v>0.20833333333333334</v>
      </c>
      <c r="H3698" s="21" t="s">
        <v>54</v>
      </c>
      <c r="I3698" s="21" t="s">
        <v>226</v>
      </c>
      <c r="J3698" s="21" t="s">
        <v>3175</v>
      </c>
      <c r="K3698" s="5814" t="s">
        <v>11256</v>
      </c>
    </row>
    <row r="3699" spans="1:11">
      <c r="A3699" s="21" t="s">
        <v>2131</v>
      </c>
      <c r="B3699" s="21" t="s">
        <v>11257</v>
      </c>
      <c r="C3699" s="21" t="s">
        <v>8</v>
      </c>
      <c r="D3699" s="21" t="s">
        <v>1147</v>
      </c>
      <c r="E3699" s="21" t="s">
        <v>46</v>
      </c>
      <c r="F3699" s="5812">
        <v>5</v>
      </c>
      <c r="G3699" s="5813">
        <v>5.486111111111111E-2</v>
      </c>
      <c r="H3699" s="21" t="s">
        <v>54</v>
      </c>
      <c r="I3699" s="21" t="s">
        <v>226</v>
      </c>
      <c r="J3699" s="21" t="s">
        <v>11258</v>
      </c>
      <c r="K3699" s="5814" t="s">
        <v>11259</v>
      </c>
    </row>
    <row r="3700" spans="1:11">
      <c r="A3700" s="21" t="s">
        <v>2538</v>
      </c>
      <c r="B3700" s="21" t="s">
        <v>11260</v>
      </c>
      <c r="C3700" s="21" t="s">
        <v>179</v>
      </c>
      <c r="D3700" s="21" t="s">
        <v>1147</v>
      </c>
      <c r="E3700" s="21" t="s">
        <v>920</v>
      </c>
      <c r="F3700" s="5812">
        <v>1</v>
      </c>
      <c r="G3700" s="5813">
        <v>0.11666666666666667</v>
      </c>
      <c r="H3700" s="21" t="s">
        <v>10</v>
      </c>
      <c r="I3700" s="21" t="s">
        <v>47</v>
      </c>
      <c r="J3700" s="21" t="s">
        <v>11261</v>
      </c>
      <c r="K3700" s="5814" t="s">
        <v>11262</v>
      </c>
    </row>
    <row r="3701" spans="1:11">
      <c r="A3701" s="21" t="s">
        <v>2796</v>
      </c>
      <c r="B3701" s="21" t="s">
        <v>11263</v>
      </c>
      <c r="C3701" s="21" t="s">
        <v>179</v>
      </c>
      <c r="D3701" s="21" t="s">
        <v>1147</v>
      </c>
      <c r="E3701" s="21" t="s">
        <v>920</v>
      </c>
      <c r="F3701" s="5812">
        <v>2</v>
      </c>
      <c r="G3701" s="5813">
        <v>0.20833333333333334</v>
      </c>
      <c r="H3701" s="21" t="s">
        <v>10</v>
      </c>
      <c r="I3701" s="21" t="s">
        <v>73</v>
      </c>
      <c r="J3701" s="21" t="s">
        <v>11264</v>
      </c>
      <c r="K3701" s="5814" t="s">
        <v>11265</v>
      </c>
    </row>
    <row r="3702" spans="1:11">
      <c r="A3702" s="21" t="s">
        <v>2131</v>
      </c>
      <c r="B3702" s="21" t="s">
        <v>11266</v>
      </c>
      <c r="C3702" s="21" t="s">
        <v>179</v>
      </c>
      <c r="D3702" s="21" t="s">
        <v>1147</v>
      </c>
      <c r="E3702" s="21" t="s">
        <v>920</v>
      </c>
      <c r="F3702" s="5812">
        <v>3</v>
      </c>
      <c r="G3702" s="5813">
        <v>0.20833333333333334</v>
      </c>
      <c r="H3702" s="21" t="s">
        <v>10</v>
      </c>
      <c r="I3702" s="21" t="s">
        <v>96</v>
      </c>
      <c r="J3702" s="21" t="s">
        <v>11267</v>
      </c>
      <c r="K3702" s="5814" t="s">
        <v>11268</v>
      </c>
    </row>
    <row r="3703" spans="1:11">
      <c r="A3703" s="21" t="s">
        <v>3757</v>
      </c>
      <c r="B3703" s="21" t="s">
        <v>11269</v>
      </c>
      <c r="C3703" s="21" t="s">
        <v>179</v>
      </c>
      <c r="D3703" s="21" t="s">
        <v>1147</v>
      </c>
      <c r="E3703" s="21" t="s">
        <v>920</v>
      </c>
      <c r="F3703" s="5812">
        <v>3</v>
      </c>
      <c r="G3703" s="5813">
        <v>0.20833333333333334</v>
      </c>
      <c r="H3703" s="21" t="s">
        <v>10</v>
      </c>
      <c r="I3703" s="21" t="s">
        <v>187</v>
      </c>
      <c r="J3703" s="21" t="s">
        <v>11270</v>
      </c>
      <c r="K3703" s="5814" t="s">
        <v>11271</v>
      </c>
    </row>
    <row r="3704" spans="1:11">
      <c r="A3704" s="21" t="s">
        <v>4409</v>
      </c>
      <c r="B3704" s="21" t="s">
        <v>11272</v>
      </c>
      <c r="C3704" s="21" t="s">
        <v>8</v>
      </c>
      <c r="D3704" s="21" t="s">
        <v>1147</v>
      </c>
      <c r="E3704" s="21" t="s">
        <v>61</v>
      </c>
      <c r="F3704" s="5812">
        <v>1</v>
      </c>
      <c r="G3704" s="5813">
        <v>3.125E-2</v>
      </c>
      <c r="H3704" s="21" t="s">
        <v>10</v>
      </c>
      <c r="I3704" s="21" t="s">
        <v>2872</v>
      </c>
      <c r="J3704" s="21" t="s">
        <v>67</v>
      </c>
      <c r="K3704" s="5814" t="s">
        <v>11273</v>
      </c>
    </row>
    <row r="3705" spans="1:11">
      <c r="A3705" s="21" t="s">
        <v>2354</v>
      </c>
      <c r="B3705" s="21" t="s">
        <v>11274</v>
      </c>
      <c r="C3705" s="21" t="s">
        <v>8</v>
      </c>
      <c r="D3705" s="21" t="s">
        <v>1147</v>
      </c>
      <c r="E3705" s="21" t="s">
        <v>61</v>
      </c>
      <c r="F3705" s="5812">
        <v>1</v>
      </c>
      <c r="G3705" s="5813">
        <v>3.4027777777777775E-2</v>
      </c>
      <c r="H3705" s="21" t="s">
        <v>10</v>
      </c>
      <c r="I3705" s="21" t="s">
        <v>55</v>
      </c>
      <c r="J3705" s="21" t="s">
        <v>110</v>
      </c>
      <c r="K3705" s="5814" t="s">
        <v>11275</v>
      </c>
    </row>
    <row r="3706" spans="1:11">
      <c r="A3706" s="21" t="s">
        <v>4552</v>
      </c>
      <c r="B3706" s="21" t="s">
        <v>11276</v>
      </c>
      <c r="C3706" s="21" t="s">
        <v>22</v>
      </c>
      <c r="D3706" s="21" t="s">
        <v>1147</v>
      </c>
      <c r="E3706" s="21" t="s">
        <v>61</v>
      </c>
      <c r="F3706" s="5812">
        <v>1</v>
      </c>
      <c r="G3706" s="5813">
        <v>3.8194444444444448E-2</v>
      </c>
      <c r="H3706" s="21" t="s">
        <v>10</v>
      </c>
      <c r="I3706" s="21" t="s">
        <v>55</v>
      </c>
      <c r="J3706" s="21" t="s">
        <v>3313</v>
      </c>
      <c r="K3706" s="5814" t="s">
        <v>11277</v>
      </c>
    </row>
    <row r="3707" spans="1:11">
      <c r="A3707" s="21" t="s">
        <v>3364</v>
      </c>
      <c r="B3707" s="21" t="s">
        <v>11278</v>
      </c>
      <c r="C3707" s="21" t="s">
        <v>8</v>
      </c>
      <c r="D3707" s="21" t="s">
        <v>1147</v>
      </c>
      <c r="E3707" s="21" t="s">
        <v>61</v>
      </c>
      <c r="F3707" s="5812">
        <v>1</v>
      </c>
      <c r="G3707" s="5813">
        <v>4.3055555555555555E-2</v>
      </c>
      <c r="H3707" s="21" t="s">
        <v>10</v>
      </c>
      <c r="I3707" s="21" t="s">
        <v>233</v>
      </c>
      <c r="J3707" s="21" t="s">
        <v>3391</v>
      </c>
      <c r="K3707" s="5814" t="s">
        <v>11279</v>
      </c>
    </row>
    <row r="3708" spans="1:11">
      <c r="A3708" s="21" t="s">
        <v>3089</v>
      </c>
      <c r="B3708" s="21" t="s">
        <v>11280</v>
      </c>
      <c r="C3708" s="21" t="s">
        <v>8</v>
      </c>
      <c r="D3708" s="21" t="s">
        <v>1147</v>
      </c>
      <c r="E3708" s="21" t="s">
        <v>61</v>
      </c>
      <c r="F3708" s="5812">
        <v>1</v>
      </c>
      <c r="G3708" s="5813">
        <v>4.791666666666667E-2</v>
      </c>
      <c r="H3708" s="21" t="s">
        <v>10</v>
      </c>
      <c r="I3708" s="21" t="s">
        <v>2317</v>
      </c>
      <c r="J3708" s="21" t="s">
        <v>67</v>
      </c>
      <c r="K3708" s="5814" t="s">
        <v>11281</v>
      </c>
    </row>
    <row r="3709" spans="1:11">
      <c r="A3709" s="21" t="s">
        <v>5015</v>
      </c>
      <c r="B3709" s="21" t="s">
        <v>11282</v>
      </c>
      <c r="C3709" s="21" t="s">
        <v>8</v>
      </c>
      <c r="D3709" s="21" t="s">
        <v>1147</v>
      </c>
      <c r="E3709" s="21" t="s">
        <v>61</v>
      </c>
      <c r="F3709" s="5812">
        <v>1</v>
      </c>
      <c r="G3709" s="5813">
        <v>5.0694444444444445E-2</v>
      </c>
      <c r="H3709" s="21" t="s">
        <v>10</v>
      </c>
      <c r="I3709" s="21" t="s">
        <v>55</v>
      </c>
      <c r="J3709" s="21" t="s">
        <v>110</v>
      </c>
      <c r="K3709" s="5814" t="s">
        <v>11283</v>
      </c>
    </row>
    <row r="3710" spans="1:11">
      <c r="A3710" s="21" t="s">
        <v>2850</v>
      </c>
      <c r="B3710" s="21" t="s">
        <v>11284</v>
      </c>
      <c r="C3710" s="21" t="s">
        <v>8</v>
      </c>
      <c r="D3710" s="21" t="s">
        <v>1147</v>
      </c>
      <c r="E3710" s="21" t="s">
        <v>61</v>
      </c>
      <c r="F3710" s="5812">
        <v>1</v>
      </c>
      <c r="G3710" s="5813">
        <v>5.9722222222222225E-2</v>
      </c>
      <c r="H3710" s="21" t="s">
        <v>10</v>
      </c>
      <c r="I3710" s="21" t="s">
        <v>39</v>
      </c>
      <c r="J3710" s="21" t="s">
        <v>974</v>
      </c>
      <c r="K3710" s="5814" t="s">
        <v>11285</v>
      </c>
    </row>
    <row r="3711" spans="1:11">
      <c r="A3711" s="21" t="s">
        <v>3787</v>
      </c>
      <c r="B3711" s="21" t="s">
        <v>11286</v>
      </c>
      <c r="C3711" s="21" t="s">
        <v>8</v>
      </c>
      <c r="D3711" s="21" t="s">
        <v>1147</v>
      </c>
      <c r="E3711" s="21" t="s">
        <v>61</v>
      </c>
      <c r="F3711" s="5812">
        <v>1</v>
      </c>
      <c r="G3711" s="5813">
        <v>7.7777777777777779E-2</v>
      </c>
      <c r="H3711" s="21" t="s">
        <v>54</v>
      </c>
      <c r="I3711" s="21" t="s">
        <v>2297</v>
      </c>
      <c r="J3711" s="21" t="s">
        <v>67</v>
      </c>
      <c r="K3711" s="5814" t="s">
        <v>11287</v>
      </c>
    </row>
    <row r="3712" spans="1:11">
      <c r="A3712" s="21" t="s">
        <v>3559</v>
      </c>
      <c r="B3712" s="21" t="s">
        <v>11288</v>
      </c>
      <c r="C3712" s="21" t="s">
        <v>8</v>
      </c>
      <c r="D3712" s="21" t="s">
        <v>1147</v>
      </c>
      <c r="E3712" s="21" t="s">
        <v>61</v>
      </c>
      <c r="F3712" s="5812">
        <v>1</v>
      </c>
      <c r="G3712" s="5813">
        <v>8.4722222222222227E-2</v>
      </c>
      <c r="H3712" s="21" t="s">
        <v>10</v>
      </c>
      <c r="I3712" s="21" t="s">
        <v>39</v>
      </c>
      <c r="J3712" s="21" t="s">
        <v>67</v>
      </c>
      <c r="K3712" s="5814" t="s">
        <v>11289</v>
      </c>
    </row>
    <row r="3713" spans="1:11">
      <c r="A3713" s="21" t="s">
        <v>185</v>
      </c>
      <c r="B3713" s="21" t="s">
        <v>1183</v>
      </c>
      <c r="C3713" s="21" t="s">
        <v>22</v>
      </c>
      <c r="D3713" s="21" t="s">
        <v>1147</v>
      </c>
      <c r="E3713" s="21" t="s">
        <v>61</v>
      </c>
      <c r="F3713" s="5812">
        <v>1</v>
      </c>
      <c r="G3713" s="5813">
        <v>8.5416666666666669E-2</v>
      </c>
      <c r="H3713" s="21" t="s">
        <v>10</v>
      </c>
      <c r="I3713" s="21" t="s">
        <v>1184</v>
      </c>
      <c r="J3713" s="21" t="s">
        <v>67</v>
      </c>
      <c r="K3713" s="5814" t="s">
        <v>1185</v>
      </c>
    </row>
    <row r="3714" spans="1:11">
      <c r="A3714" s="21" t="s">
        <v>4257</v>
      </c>
      <c r="B3714" s="21" t="s">
        <v>11290</v>
      </c>
      <c r="C3714" s="21" t="s">
        <v>22</v>
      </c>
      <c r="D3714" s="21" t="s">
        <v>1147</v>
      </c>
      <c r="E3714" s="21" t="s">
        <v>61</v>
      </c>
      <c r="F3714" s="5812">
        <v>1</v>
      </c>
      <c r="G3714" s="5813">
        <v>9.166666666666666E-2</v>
      </c>
      <c r="H3714" s="21" t="s">
        <v>10</v>
      </c>
      <c r="I3714" s="21" t="s">
        <v>55</v>
      </c>
      <c r="J3714" s="21" t="s">
        <v>110</v>
      </c>
      <c r="K3714" s="5814" t="s">
        <v>11291</v>
      </c>
    </row>
    <row r="3715" spans="1:11">
      <c r="A3715" s="21" t="s">
        <v>3886</v>
      </c>
      <c r="B3715" s="21" t="s">
        <v>11292</v>
      </c>
      <c r="C3715" s="21" t="s">
        <v>8</v>
      </c>
      <c r="D3715" s="21" t="s">
        <v>1147</v>
      </c>
      <c r="E3715" s="21" t="s">
        <v>61</v>
      </c>
      <c r="F3715" s="5812">
        <v>1</v>
      </c>
      <c r="G3715" s="5813">
        <v>9.2361111111111116E-2</v>
      </c>
      <c r="H3715" s="21" t="s">
        <v>10</v>
      </c>
      <c r="I3715" s="21" t="s">
        <v>47</v>
      </c>
      <c r="J3715" s="21" t="s">
        <v>67</v>
      </c>
      <c r="K3715" s="5814" t="s">
        <v>11293</v>
      </c>
    </row>
    <row r="3716" spans="1:11">
      <c r="A3716" s="21" t="s">
        <v>3630</v>
      </c>
      <c r="B3716" s="21" t="s">
        <v>11294</v>
      </c>
      <c r="C3716" s="21" t="s">
        <v>22</v>
      </c>
      <c r="D3716" s="21" t="s">
        <v>1147</v>
      </c>
      <c r="E3716" s="21" t="s">
        <v>61</v>
      </c>
      <c r="F3716" s="5812">
        <v>1</v>
      </c>
      <c r="G3716" s="5813">
        <v>9.2361111111111116E-2</v>
      </c>
      <c r="H3716" s="21" t="s">
        <v>10</v>
      </c>
      <c r="I3716" s="21" t="s">
        <v>5159</v>
      </c>
      <c r="J3716" s="21" t="s">
        <v>11295</v>
      </c>
      <c r="K3716" s="5814" t="s">
        <v>11296</v>
      </c>
    </row>
    <row r="3717" spans="1:11">
      <c r="A3717" s="21" t="s">
        <v>2824</v>
      </c>
      <c r="B3717" s="21" t="s">
        <v>11297</v>
      </c>
      <c r="C3717" s="21" t="s">
        <v>22</v>
      </c>
      <c r="D3717" s="21" t="s">
        <v>1147</v>
      </c>
      <c r="E3717" s="21" t="s">
        <v>61</v>
      </c>
      <c r="F3717" s="5812">
        <v>1</v>
      </c>
      <c r="G3717" s="5813">
        <v>9.3055555555555558E-2</v>
      </c>
      <c r="H3717" s="21" t="s">
        <v>10</v>
      </c>
      <c r="I3717" s="21" t="s">
        <v>11</v>
      </c>
      <c r="J3717" s="21" t="s">
        <v>67</v>
      </c>
      <c r="K3717" s="5814" t="s">
        <v>11298</v>
      </c>
    </row>
    <row r="3718" spans="1:11">
      <c r="A3718" s="21" t="s">
        <v>3328</v>
      </c>
      <c r="B3718" s="21" t="s">
        <v>11299</v>
      </c>
      <c r="C3718" s="21" t="s">
        <v>22</v>
      </c>
      <c r="D3718" s="21" t="s">
        <v>1147</v>
      </c>
      <c r="E3718" s="21" t="s">
        <v>61</v>
      </c>
      <c r="F3718" s="5812">
        <v>1</v>
      </c>
      <c r="G3718" s="5813">
        <v>0.10069444444444445</v>
      </c>
      <c r="H3718" s="21" t="s">
        <v>10</v>
      </c>
      <c r="I3718" s="21" t="s">
        <v>226</v>
      </c>
      <c r="J3718" s="21" t="s">
        <v>67</v>
      </c>
      <c r="K3718" s="5814" t="s">
        <v>11300</v>
      </c>
    </row>
    <row r="3719" spans="1:11">
      <c r="A3719" s="21" t="s">
        <v>3565</v>
      </c>
      <c r="B3719" s="21" t="s">
        <v>11301</v>
      </c>
      <c r="C3719" s="21" t="s">
        <v>8</v>
      </c>
      <c r="D3719" s="21" t="s">
        <v>1147</v>
      </c>
      <c r="E3719" s="21" t="s">
        <v>61</v>
      </c>
      <c r="F3719" s="5812">
        <v>1</v>
      </c>
      <c r="G3719" s="5813">
        <v>0.10625</v>
      </c>
      <c r="H3719" s="21" t="s">
        <v>54</v>
      </c>
      <c r="I3719" s="21" t="s">
        <v>2247</v>
      </c>
      <c r="J3719" s="21" t="s">
        <v>11302</v>
      </c>
      <c r="K3719" s="5814" t="s">
        <v>11303</v>
      </c>
    </row>
    <row r="3720" spans="1:11">
      <c r="A3720" s="21" t="s">
        <v>2481</v>
      </c>
      <c r="B3720" s="21" t="s">
        <v>11304</v>
      </c>
      <c r="C3720" s="21" t="s">
        <v>22</v>
      </c>
      <c r="D3720" s="21" t="s">
        <v>1147</v>
      </c>
      <c r="E3720" s="21" t="s">
        <v>61</v>
      </c>
      <c r="F3720" s="5812">
        <v>1</v>
      </c>
      <c r="G3720" s="5813">
        <v>0.10625</v>
      </c>
      <c r="H3720" s="21" t="s">
        <v>10</v>
      </c>
      <c r="I3720" s="21" t="s">
        <v>23</v>
      </c>
      <c r="J3720" s="21" t="s">
        <v>67</v>
      </c>
      <c r="K3720" s="5814" t="s">
        <v>11305</v>
      </c>
    </row>
    <row r="3721" spans="1:11">
      <c r="A3721" s="21" t="s">
        <v>5387</v>
      </c>
      <c r="B3721" s="21" t="s">
        <v>11306</v>
      </c>
      <c r="C3721" s="21" t="s">
        <v>8</v>
      </c>
      <c r="D3721" s="21" t="s">
        <v>1147</v>
      </c>
      <c r="E3721" s="21" t="s">
        <v>61</v>
      </c>
      <c r="F3721" s="5812">
        <v>1</v>
      </c>
      <c r="G3721" s="5813">
        <v>0.1076388888888889</v>
      </c>
      <c r="H3721" s="21" t="s">
        <v>10</v>
      </c>
      <c r="I3721" s="21" t="s">
        <v>263</v>
      </c>
      <c r="J3721" s="21" t="s">
        <v>897</v>
      </c>
      <c r="K3721" s="5814" t="s">
        <v>11307</v>
      </c>
    </row>
    <row r="3722" spans="1:11">
      <c r="A3722" s="21" t="s">
        <v>3323</v>
      </c>
      <c r="B3722" s="21" t="s">
        <v>11308</v>
      </c>
      <c r="C3722" s="21" t="s">
        <v>8</v>
      </c>
      <c r="D3722" s="21" t="s">
        <v>1147</v>
      </c>
      <c r="E3722" s="21" t="s">
        <v>61</v>
      </c>
      <c r="F3722" s="5812">
        <v>1</v>
      </c>
      <c r="G3722" s="5813">
        <v>0.1076388888888889</v>
      </c>
      <c r="H3722" s="21" t="s">
        <v>10</v>
      </c>
      <c r="I3722" s="21" t="s">
        <v>4254</v>
      </c>
      <c r="J3722" s="21" t="s">
        <v>67</v>
      </c>
      <c r="K3722" s="5814" t="s">
        <v>11309</v>
      </c>
    </row>
    <row r="3723" spans="1:11">
      <c r="A3723" s="21" t="s">
        <v>2070</v>
      </c>
      <c r="B3723" s="21" t="s">
        <v>11310</v>
      </c>
      <c r="C3723" s="21" t="s">
        <v>22</v>
      </c>
      <c r="D3723" s="21" t="s">
        <v>1147</v>
      </c>
      <c r="E3723" s="21" t="s">
        <v>61</v>
      </c>
      <c r="F3723" s="5812">
        <v>1</v>
      </c>
      <c r="G3723" s="5813">
        <v>0.10972222222222222</v>
      </c>
      <c r="H3723" s="21" t="s">
        <v>10</v>
      </c>
      <c r="I3723" s="21" t="s">
        <v>11</v>
      </c>
      <c r="J3723" s="21" t="s">
        <v>3313</v>
      </c>
      <c r="K3723" s="5814" t="s">
        <v>11311</v>
      </c>
    </row>
    <row r="3724" spans="1:11">
      <c r="A3724" s="21" t="s">
        <v>2998</v>
      </c>
      <c r="B3724" s="21" t="s">
        <v>11312</v>
      </c>
      <c r="C3724" s="21" t="s">
        <v>8</v>
      </c>
      <c r="D3724" s="21" t="s">
        <v>1147</v>
      </c>
      <c r="E3724" s="21" t="s">
        <v>61</v>
      </c>
      <c r="F3724" s="5812">
        <v>1</v>
      </c>
      <c r="G3724" s="5813">
        <v>0.10972222222222222</v>
      </c>
      <c r="H3724" s="21" t="s">
        <v>10</v>
      </c>
      <c r="I3724" s="21" t="s">
        <v>233</v>
      </c>
      <c r="J3724" s="21" t="s">
        <v>67</v>
      </c>
      <c r="K3724" s="5814" t="s">
        <v>11313</v>
      </c>
    </row>
    <row r="3725" spans="1:11">
      <c r="A3725" s="21" t="s">
        <v>5015</v>
      </c>
      <c r="B3725" s="21" t="s">
        <v>11314</v>
      </c>
      <c r="C3725" s="21" t="s">
        <v>22</v>
      </c>
      <c r="D3725" s="21" t="s">
        <v>1147</v>
      </c>
      <c r="E3725" s="21" t="s">
        <v>61</v>
      </c>
      <c r="F3725" s="5812">
        <v>1</v>
      </c>
      <c r="G3725" s="5813">
        <v>0.11041666666666666</v>
      </c>
      <c r="H3725" s="21" t="s">
        <v>10</v>
      </c>
      <c r="I3725" s="21" t="s">
        <v>47</v>
      </c>
      <c r="J3725" s="21" t="s">
        <v>782</v>
      </c>
      <c r="K3725" s="5814" t="s">
        <v>11315</v>
      </c>
    </row>
    <row r="3726" spans="1:11">
      <c r="A3726" s="21" t="s">
        <v>3036</v>
      </c>
      <c r="B3726" s="21" t="s">
        <v>11316</v>
      </c>
      <c r="C3726" s="21" t="s">
        <v>22</v>
      </c>
      <c r="D3726" s="21" t="s">
        <v>1147</v>
      </c>
      <c r="E3726" s="21" t="s">
        <v>61</v>
      </c>
      <c r="F3726" s="5812">
        <v>1</v>
      </c>
      <c r="G3726" s="5813">
        <v>0.11388888888888889</v>
      </c>
      <c r="H3726" s="21" t="s">
        <v>10</v>
      </c>
      <c r="I3726" s="21" t="s">
        <v>2713</v>
      </c>
      <c r="J3726" s="21" t="s">
        <v>5466</v>
      </c>
      <c r="K3726" s="5814" t="s">
        <v>11317</v>
      </c>
    </row>
    <row r="3727" spans="1:11">
      <c r="A3727" s="21" t="s">
        <v>3427</v>
      </c>
      <c r="B3727" s="21" t="s">
        <v>11318</v>
      </c>
      <c r="C3727" s="21" t="s">
        <v>8</v>
      </c>
      <c r="D3727" s="21" t="s">
        <v>1147</v>
      </c>
      <c r="E3727" s="21" t="s">
        <v>61</v>
      </c>
      <c r="F3727" s="5812">
        <v>1</v>
      </c>
      <c r="G3727" s="5813">
        <v>0.11527777777777778</v>
      </c>
      <c r="H3727" s="21" t="s">
        <v>10</v>
      </c>
      <c r="I3727" s="21" t="s">
        <v>96</v>
      </c>
      <c r="J3727" s="21" t="s">
        <v>11319</v>
      </c>
      <c r="K3727" s="5814" t="s">
        <v>11320</v>
      </c>
    </row>
    <row r="3728" spans="1:11">
      <c r="A3728" s="21" t="s">
        <v>4257</v>
      </c>
      <c r="B3728" s="21" t="s">
        <v>11321</v>
      </c>
      <c r="C3728" s="21" t="s">
        <v>8</v>
      </c>
      <c r="D3728" s="21" t="s">
        <v>1147</v>
      </c>
      <c r="E3728" s="21" t="s">
        <v>61</v>
      </c>
      <c r="F3728" s="5812">
        <v>1</v>
      </c>
      <c r="G3728" s="5813">
        <v>0.11666666666666667</v>
      </c>
      <c r="H3728" s="21" t="s">
        <v>10</v>
      </c>
      <c r="I3728" s="21" t="s">
        <v>654</v>
      </c>
      <c r="J3728" s="21" t="s">
        <v>67</v>
      </c>
      <c r="K3728" s="5814" t="s">
        <v>11322</v>
      </c>
    </row>
    <row r="3729" spans="1:11">
      <c r="A3729" s="21" t="s">
        <v>2935</v>
      </c>
      <c r="B3729" s="21" t="s">
        <v>11323</v>
      </c>
      <c r="C3729" s="21" t="s">
        <v>22</v>
      </c>
      <c r="D3729" s="21" t="s">
        <v>1147</v>
      </c>
      <c r="E3729" s="21" t="s">
        <v>61</v>
      </c>
      <c r="F3729" s="5812">
        <v>1</v>
      </c>
      <c r="G3729" s="5813">
        <v>0.11805555555555555</v>
      </c>
      <c r="H3729" s="21" t="s">
        <v>10</v>
      </c>
      <c r="I3729" s="21" t="s">
        <v>226</v>
      </c>
      <c r="J3729" s="21" t="s">
        <v>11324</v>
      </c>
      <c r="K3729" s="5814" t="s">
        <v>11325</v>
      </c>
    </row>
    <row r="3730" spans="1:11">
      <c r="A3730" s="21" t="s">
        <v>2160</v>
      </c>
      <c r="B3730" s="21" t="s">
        <v>11326</v>
      </c>
      <c r="C3730" s="21" t="s">
        <v>22</v>
      </c>
      <c r="D3730" s="21" t="s">
        <v>1147</v>
      </c>
      <c r="E3730" s="21" t="s">
        <v>61</v>
      </c>
      <c r="F3730" s="5812">
        <v>1</v>
      </c>
      <c r="G3730" s="5813">
        <v>0.11805555555555555</v>
      </c>
      <c r="H3730" s="21" t="s">
        <v>10</v>
      </c>
      <c r="I3730" s="21" t="s">
        <v>47</v>
      </c>
      <c r="J3730" s="21" t="s">
        <v>3326</v>
      </c>
      <c r="K3730" s="5814" t="s">
        <v>11327</v>
      </c>
    </row>
    <row r="3731" spans="1:11">
      <c r="A3731" s="21" t="s">
        <v>4621</v>
      </c>
      <c r="B3731" s="21" t="s">
        <v>11328</v>
      </c>
      <c r="C3731" s="21" t="s">
        <v>22</v>
      </c>
      <c r="D3731" s="21" t="s">
        <v>1147</v>
      </c>
      <c r="E3731" s="21" t="s">
        <v>61</v>
      </c>
      <c r="F3731" s="5812">
        <v>1</v>
      </c>
      <c r="G3731" s="5813">
        <v>0.11874999999999999</v>
      </c>
      <c r="H3731" s="21" t="s">
        <v>10</v>
      </c>
      <c r="I3731" s="21" t="s">
        <v>2247</v>
      </c>
      <c r="J3731" s="21" t="s">
        <v>67</v>
      </c>
      <c r="K3731" s="5814" t="s">
        <v>11329</v>
      </c>
    </row>
    <row r="3732" spans="1:11">
      <c r="A3732" s="21" t="s">
        <v>4003</v>
      </c>
      <c r="B3732" s="21" t="s">
        <v>11330</v>
      </c>
      <c r="C3732" s="21" t="s">
        <v>22</v>
      </c>
      <c r="D3732" s="21" t="s">
        <v>1147</v>
      </c>
      <c r="E3732" s="21" t="s">
        <v>61</v>
      </c>
      <c r="F3732" s="5812">
        <v>1</v>
      </c>
      <c r="G3732" s="5813">
        <v>0.11944444444444445</v>
      </c>
      <c r="H3732" s="21" t="s">
        <v>10</v>
      </c>
      <c r="I3732" s="21" t="s">
        <v>47</v>
      </c>
      <c r="J3732" s="21" t="s">
        <v>1327</v>
      </c>
      <c r="K3732" s="5814" t="s">
        <v>11331</v>
      </c>
    </row>
    <row r="3733" spans="1:11">
      <c r="A3733" s="21" t="s">
        <v>2882</v>
      </c>
      <c r="B3733" s="21" t="s">
        <v>11332</v>
      </c>
      <c r="C3733" s="21" t="s">
        <v>8</v>
      </c>
      <c r="D3733" s="21" t="s">
        <v>1147</v>
      </c>
      <c r="E3733" s="21" t="s">
        <v>61</v>
      </c>
      <c r="F3733" s="5812">
        <v>1</v>
      </c>
      <c r="G3733" s="5813">
        <v>0.12083333333333333</v>
      </c>
      <c r="H3733" s="21" t="s">
        <v>10</v>
      </c>
      <c r="I3733" s="21" t="s">
        <v>55</v>
      </c>
      <c r="J3733" s="21" t="s">
        <v>67</v>
      </c>
      <c r="K3733" s="5814" t="s">
        <v>11333</v>
      </c>
    </row>
    <row r="3734" spans="1:11">
      <c r="A3734" s="21" t="s">
        <v>2057</v>
      </c>
      <c r="B3734" s="21" t="s">
        <v>11334</v>
      </c>
      <c r="C3734" s="21" t="s">
        <v>8</v>
      </c>
      <c r="D3734" s="21" t="s">
        <v>1147</v>
      </c>
      <c r="E3734" s="21" t="s">
        <v>61</v>
      </c>
      <c r="F3734" s="5812">
        <v>1</v>
      </c>
      <c r="G3734" s="5813">
        <v>0.12291666666666666</v>
      </c>
      <c r="H3734" s="21" t="s">
        <v>10</v>
      </c>
      <c r="I3734" s="21" t="s">
        <v>55</v>
      </c>
      <c r="J3734" s="21" t="s">
        <v>67</v>
      </c>
      <c r="K3734" s="5814" t="s">
        <v>11335</v>
      </c>
    </row>
    <row r="3735" spans="1:11">
      <c r="A3735" s="21" t="s">
        <v>3098</v>
      </c>
      <c r="B3735" s="21" t="s">
        <v>11336</v>
      </c>
      <c r="C3735" s="21" t="s">
        <v>8</v>
      </c>
      <c r="D3735" s="21" t="s">
        <v>1147</v>
      </c>
      <c r="E3735" s="21" t="s">
        <v>61</v>
      </c>
      <c r="F3735" s="5812">
        <v>1</v>
      </c>
      <c r="G3735" s="5813">
        <v>0.12291666666666666</v>
      </c>
      <c r="H3735" s="21" t="s">
        <v>10</v>
      </c>
      <c r="I3735" s="21" t="s">
        <v>3100</v>
      </c>
      <c r="J3735" s="21" t="s">
        <v>67</v>
      </c>
      <c r="K3735" s="5814" t="s">
        <v>11337</v>
      </c>
    </row>
    <row r="3736" spans="1:11">
      <c r="A3736" s="21" t="s">
        <v>3974</v>
      </c>
      <c r="B3736" s="21" t="s">
        <v>11338</v>
      </c>
      <c r="C3736" s="21" t="s">
        <v>22</v>
      </c>
      <c r="D3736" s="21" t="s">
        <v>1147</v>
      </c>
      <c r="E3736" s="21" t="s">
        <v>61</v>
      </c>
      <c r="F3736" s="5812">
        <v>1</v>
      </c>
      <c r="G3736" s="5813">
        <v>0.1361111111111111</v>
      </c>
      <c r="H3736" s="21" t="s">
        <v>10</v>
      </c>
      <c r="I3736" s="21" t="s">
        <v>96</v>
      </c>
      <c r="J3736" s="21" t="s">
        <v>67</v>
      </c>
      <c r="K3736" s="5814" t="s">
        <v>11339</v>
      </c>
    </row>
    <row r="3737" spans="1:11">
      <c r="A3737" s="21" t="s">
        <v>2643</v>
      </c>
      <c r="B3737" s="21" t="s">
        <v>11340</v>
      </c>
      <c r="C3737" s="21" t="s">
        <v>22</v>
      </c>
      <c r="D3737" s="21" t="s">
        <v>1147</v>
      </c>
      <c r="E3737" s="21" t="s">
        <v>61</v>
      </c>
      <c r="F3737" s="5812">
        <v>1</v>
      </c>
      <c r="G3737" s="5813">
        <v>0.1388888888888889</v>
      </c>
      <c r="H3737" s="21" t="s">
        <v>10</v>
      </c>
      <c r="I3737" s="21" t="s">
        <v>55</v>
      </c>
      <c r="J3737" s="21" t="s">
        <v>11341</v>
      </c>
      <c r="K3737" s="5814" t="s">
        <v>11342</v>
      </c>
    </row>
    <row r="3738" spans="1:11">
      <c r="A3738" s="21" t="s">
        <v>2115</v>
      </c>
      <c r="B3738" s="21" t="s">
        <v>11343</v>
      </c>
      <c r="C3738" s="21" t="s">
        <v>22</v>
      </c>
      <c r="D3738" s="21" t="s">
        <v>1147</v>
      </c>
      <c r="E3738" s="21" t="s">
        <v>61</v>
      </c>
      <c r="F3738" s="5812">
        <v>1</v>
      </c>
      <c r="G3738" s="5813">
        <v>0.1423611111111111</v>
      </c>
      <c r="H3738" s="21" t="s">
        <v>10</v>
      </c>
      <c r="I3738" s="21" t="s">
        <v>73</v>
      </c>
      <c r="J3738" s="21" t="s">
        <v>782</v>
      </c>
      <c r="K3738" s="5814" t="s">
        <v>11344</v>
      </c>
    </row>
    <row r="3739" spans="1:11">
      <c r="A3739" s="21" t="s">
        <v>4293</v>
      </c>
      <c r="B3739" s="21" t="s">
        <v>11345</v>
      </c>
      <c r="C3739" s="21" t="s">
        <v>22</v>
      </c>
      <c r="D3739" s="21" t="s">
        <v>1147</v>
      </c>
      <c r="E3739" s="21" t="s">
        <v>61</v>
      </c>
      <c r="F3739" s="5812">
        <v>1</v>
      </c>
      <c r="G3739" s="5813">
        <v>0.15486111111111112</v>
      </c>
      <c r="H3739" s="21" t="s">
        <v>10</v>
      </c>
      <c r="I3739" s="21" t="s">
        <v>2872</v>
      </c>
      <c r="J3739" s="21" t="s">
        <v>6161</v>
      </c>
      <c r="K3739" s="5814" t="s">
        <v>11346</v>
      </c>
    </row>
    <row r="3740" spans="1:11">
      <c r="A3740" s="21" t="s">
        <v>3224</v>
      </c>
      <c r="B3740" s="21" t="s">
        <v>11347</v>
      </c>
      <c r="C3740" s="21" t="s">
        <v>22</v>
      </c>
      <c r="D3740" s="21" t="s">
        <v>1147</v>
      </c>
      <c r="E3740" s="21" t="s">
        <v>61</v>
      </c>
      <c r="F3740" s="5812">
        <v>1</v>
      </c>
      <c r="G3740" s="5813">
        <v>0.16388888888888889</v>
      </c>
      <c r="H3740" s="21" t="s">
        <v>10</v>
      </c>
      <c r="I3740" s="21" t="s">
        <v>96</v>
      </c>
      <c r="J3740" s="21" t="s">
        <v>782</v>
      </c>
      <c r="K3740" s="5814" t="s">
        <v>11348</v>
      </c>
    </row>
    <row r="3741" spans="1:11">
      <c r="A3741" s="21" t="s">
        <v>3474</v>
      </c>
      <c r="B3741" s="21" t="s">
        <v>11349</v>
      </c>
      <c r="C3741" s="21" t="s">
        <v>8</v>
      </c>
      <c r="D3741" s="21" t="s">
        <v>1147</v>
      </c>
      <c r="E3741" s="21" t="s">
        <v>61</v>
      </c>
      <c r="F3741" s="5812">
        <v>1</v>
      </c>
      <c r="G3741" s="5813">
        <v>0.17708333333333334</v>
      </c>
      <c r="H3741" s="21" t="s">
        <v>10</v>
      </c>
      <c r="I3741" s="21" t="s">
        <v>39</v>
      </c>
      <c r="J3741" s="21" t="s">
        <v>505</v>
      </c>
      <c r="K3741" s="5814" t="s">
        <v>11350</v>
      </c>
    </row>
    <row r="3742" spans="1:11">
      <c r="A3742" s="21" t="s">
        <v>2354</v>
      </c>
      <c r="B3742" s="21" t="s">
        <v>11351</v>
      </c>
      <c r="C3742" s="21" t="s">
        <v>8</v>
      </c>
      <c r="D3742" s="21" t="s">
        <v>1147</v>
      </c>
      <c r="E3742" s="21" t="s">
        <v>61</v>
      </c>
      <c r="F3742" s="5812">
        <v>1</v>
      </c>
      <c r="G3742" s="5813">
        <v>0.17708333333333334</v>
      </c>
      <c r="H3742" s="21" t="s">
        <v>10</v>
      </c>
      <c r="I3742" s="21" t="s">
        <v>788</v>
      </c>
      <c r="J3742" s="21" t="s">
        <v>836</v>
      </c>
      <c r="K3742" s="5814" t="s">
        <v>11352</v>
      </c>
    </row>
    <row r="3743" spans="1:11">
      <c r="A3743" s="21" t="s">
        <v>2784</v>
      </c>
      <c r="B3743" s="21" t="s">
        <v>11353</v>
      </c>
      <c r="C3743" s="21" t="s">
        <v>8</v>
      </c>
      <c r="D3743" s="21" t="s">
        <v>1147</v>
      </c>
      <c r="E3743" s="21" t="s">
        <v>61</v>
      </c>
      <c r="F3743" s="5812">
        <v>1</v>
      </c>
      <c r="G3743" s="5813">
        <v>0.18124999999999999</v>
      </c>
      <c r="H3743" s="21" t="s">
        <v>10</v>
      </c>
      <c r="I3743" s="21" t="s">
        <v>3777</v>
      </c>
      <c r="J3743" s="21" t="s">
        <v>3391</v>
      </c>
      <c r="K3743" s="5814" t="s">
        <v>11354</v>
      </c>
    </row>
    <row r="3744" spans="1:11">
      <c r="A3744" s="21" t="s">
        <v>2800</v>
      </c>
      <c r="B3744" s="21" t="s">
        <v>11355</v>
      </c>
      <c r="C3744" s="21" t="s">
        <v>22</v>
      </c>
      <c r="D3744" s="21" t="s">
        <v>1147</v>
      </c>
      <c r="E3744" s="21" t="s">
        <v>61</v>
      </c>
      <c r="F3744" s="5812">
        <v>1</v>
      </c>
      <c r="G3744" s="5813">
        <v>0.1875</v>
      </c>
      <c r="H3744" s="21" t="s">
        <v>10</v>
      </c>
      <c r="I3744" s="21" t="s">
        <v>39</v>
      </c>
      <c r="J3744" s="21" t="s">
        <v>6161</v>
      </c>
      <c r="K3744" s="5814" t="s">
        <v>11356</v>
      </c>
    </row>
    <row r="3745" spans="1:11">
      <c r="A3745" s="21" t="s">
        <v>3761</v>
      </c>
      <c r="B3745" s="21" t="s">
        <v>11357</v>
      </c>
      <c r="C3745" s="21" t="s">
        <v>8</v>
      </c>
      <c r="D3745" s="21" t="s">
        <v>1147</v>
      </c>
      <c r="E3745" s="21" t="s">
        <v>61</v>
      </c>
      <c r="F3745" s="5812">
        <v>1</v>
      </c>
      <c r="G3745" s="5813">
        <v>0.18819444444444444</v>
      </c>
      <c r="H3745" s="21" t="s">
        <v>10</v>
      </c>
      <c r="I3745" s="21" t="s">
        <v>2260</v>
      </c>
      <c r="J3745" s="21" t="s">
        <v>67</v>
      </c>
      <c r="K3745" s="5814" t="s">
        <v>11358</v>
      </c>
    </row>
    <row r="3746" spans="1:11">
      <c r="A3746" s="21" t="s">
        <v>2450</v>
      </c>
      <c r="B3746" s="21" t="s">
        <v>11359</v>
      </c>
      <c r="C3746" s="21" t="s">
        <v>8</v>
      </c>
      <c r="D3746" s="21" t="s">
        <v>1147</v>
      </c>
      <c r="E3746" s="21" t="s">
        <v>61</v>
      </c>
      <c r="F3746" s="5812">
        <v>1</v>
      </c>
      <c r="G3746" s="5813">
        <v>0.19305555555555556</v>
      </c>
      <c r="H3746" s="21" t="s">
        <v>10</v>
      </c>
      <c r="I3746" s="21" t="s">
        <v>654</v>
      </c>
      <c r="J3746" s="21" t="s">
        <v>67</v>
      </c>
      <c r="K3746" s="5814" t="s">
        <v>11360</v>
      </c>
    </row>
    <row r="3747" spans="1:11">
      <c r="A3747" s="21" t="s">
        <v>3515</v>
      </c>
      <c r="B3747" s="21" t="s">
        <v>11361</v>
      </c>
      <c r="C3747" s="21" t="s">
        <v>22</v>
      </c>
      <c r="D3747" s="21" t="s">
        <v>1147</v>
      </c>
      <c r="E3747" s="21" t="s">
        <v>61</v>
      </c>
      <c r="F3747" s="5812">
        <v>1</v>
      </c>
      <c r="G3747" s="5813">
        <v>0.19444444444444445</v>
      </c>
      <c r="H3747" s="21" t="s">
        <v>10</v>
      </c>
      <c r="I3747" s="21" t="s">
        <v>2313</v>
      </c>
      <c r="J3747" s="21" t="s">
        <v>110</v>
      </c>
      <c r="K3747" s="5814" t="s">
        <v>11362</v>
      </c>
    </row>
    <row r="3748" spans="1:11">
      <c r="A3748" s="21" t="s">
        <v>2882</v>
      </c>
      <c r="B3748" s="21" t="s">
        <v>11363</v>
      </c>
      <c r="C3748" s="21" t="s">
        <v>8</v>
      </c>
      <c r="D3748" s="21" t="s">
        <v>1147</v>
      </c>
      <c r="E3748" s="21" t="s">
        <v>61</v>
      </c>
      <c r="F3748" s="5812">
        <v>1</v>
      </c>
      <c r="G3748" s="5813">
        <v>0.19722222222222222</v>
      </c>
      <c r="H3748" s="21" t="s">
        <v>10</v>
      </c>
      <c r="I3748" s="21" t="s">
        <v>47</v>
      </c>
      <c r="J3748" s="21" t="s">
        <v>3313</v>
      </c>
      <c r="K3748" s="5814" t="s">
        <v>11364</v>
      </c>
    </row>
    <row r="3749" spans="1:11">
      <c r="A3749" s="21" t="s">
        <v>2192</v>
      </c>
      <c r="B3749" s="21" t="s">
        <v>11365</v>
      </c>
      <c r="C3749" s="21" t="s">
        <v>8</v>
      </c>
      <c r="D3749" s="21" t="s">
        <v>1147</v>
      </c>
      <c r="E3749" s="21" t="s">
        <v>61</v>
      </c>
      <c r="F3749" s="5812">
        <v>1</v>
      </c>
      <c r="G3749" s="5813">
        <v>0.1986111111111111</v>
      </c>
      <c r="H3749" s="21" t="s">
        <v>10</v>
      </c>
      <c r="I3749" s="21" t="s">
        <v>11</v>
      </c>
      <c r="J3749" s="21" t="s">
        <v>928</v>
      </c>
      <c r="K3749" s="5814" t="s">
        <v>11366</v>
      </c>
    </row>
    <row r="3750" spans="1:11">
      <c r="A3750" s="21" t="s">
        <v>4654</v>
      </c>
      <c r="B3750" s="21" t="s">
        <v>11367</v>
      </c>
      <c r="C3750" s="21" t="s">
        <v>8</v>
      </c>
      <c r="D3750" s="21" t="s">
        <v>1147</v>
      </c>
      <c r="E3750" s="21" t="s">
        <v>61</v>
      </c>
      <c r="F3750" s="5812">
        <v>1</v>
      </c>
      <c r="G3750" s="5813">
        <v>0.20069444444444445</v>
      </c>
      <c r="H3750" s="21" t="s">
        <v>10</v>
      </c>
      <c r="I3750" s="21" t="s">
        <v>5887</v>
      </c>
      <c r="J3750" s="21" t="s">
        <v>67</v>
      </c>
      <c r="K3750" s="5814" t="s">
        <v>11368</v>
      </c>
    </row>
    <row r="3751" spans="1:11">
      <c r="A3751" s="21" t="s">
        <v>3671</v>
      </c>
      <c r="B3751" s="21" t="s">
        <v>11369</v>
      </c>
      <c r="C3751" s="21" t="s">
        <v>8</v>
      </c>
      <c r="D3751" s="21" t="s">
        <v>1147</v>
      </c>
      <c r="E3751" s="21" t="s">
        <v>61</v>
      </c>
      <c r="F3751" s="5812">
        <v>1</v>
      </c>
      <c r="G3751" s="5813">
        <v>0.20208333333333334</v>
      </c>
      <c r="H3751" s="21" t="s">
        <v>10</v>
      </c>
      <c r="I3751" s="21" t="s">
        <v>2814</v>
      </c>
      <c r="J3751" s="21" t="s">
        <v>1444</v>
      </c>
      <c r="K3751" s="5814" t="s">
        <v>11370</v>
      </c>
    </row>
    <row r="3752" spans="1:11">
      <c r="A3752" s="21" t="s">
        <v>2119</v>
      </c>
      <c r="B3752" s="21" t="s">
        <v>11371</v>
      </c>
      <c r="C3752" s="21" t="s">
        <v>8</v>
      </c>
      <c r="D3752" s="21" t="s">
        <v>1147</v>
      </c>
      <c r="E3752" s="21" t="s">
        <v>61</v>
      </c>
      <c r="F3752" s="5812">
        <v>2</v>
      </c>
      <c r="G3752" s="5813">
        <v>1.8055555555555554E-2</v>
      </c>
      <c r="H3752" s="21" t="s">
        <v>10</v>
      </c>
      <c r="I3752" s="21" t="s">
        <v>23</v>
      </c>
      <c r="J3752" s="21" t="s">
        <v>67</v>
      </c>
      <c r="K3752" s="5814" t="s">
        <v>11372</v>
      </c>
    </row>
    <row r="3753" spans="1:11">
      <c r="A3753" s="21" t="s">
        <v>3584</v>
      </c>
      <c r="B3753" s="21" t="s">
        <v>11373</v>
      </c>
      <c r="C3753" s="21" t="s">
        <v>8</v>
      </c>
      <c r="D3753" s="21" t="s">
        <v>1147</v>
      </c>
      <c r="E3753" s="21" t="s">
        <v>61</v>
      </c>
      <c r="F3753" s="5812">
        <v>2</v>
      </c>
      <c r="G3753" s="5813">
        <v>3.1944444444444442E-2</v>
      </c>
      <c r="H3753" s="21" t="s">
        <v>10</v>
      </c>
      <c r="I3753" s="21" t="s">
        <v>47</v>
      </c>
      <c r="J3753" s="21" t="s">
        <v>3313</v>
      </c>
      <c r="K3753" s="5814" t="s">
        <v>11374</v>
      </c>
    </row>
    <row r="3754" spans="1:11">
      <c r="A3754" s="21" t="s">
        <v>2824</v>
      </c>
      <c r="B3754" s="21" t="s">
        <v>11375</v>
      </c>
      <c r="C3754" s="21" t="s">
        <v>8</v>
      </c>
      <c r="D3754" s="21" t="s">
        <v>1147</v>
      </c>
      <c r="E3754" s="21" t="s">
        <v>61</v>
      </c>
      <c r="F3754" s="5812">
        <v>2</v>
      </c>
      <c r="G3754" s="5813">
        <v>3.4027777777777775E-2</v>
      </c>
      <c r="H3754" s="21" t="s">
        <v>10</v>
      </c>
      <c r="I3754" s="21" t="s">
        <v>47</v>
      </c>
      <c r="J3754" s="21" t="s">
        <v>67</v>
      </c>
      <c r="K3754" s="5814" t="s">
        <v>11376</v>
      </c>
    </row>
    <row r="3755" spans="1:11">
      <c r="A3755" s="21" t="s">
        <v>3173</v>
      </c>
      <c r="B3755" s="21" t="s">
        <v>11377</v>
      </c>
      <c r="C3755" s="21" t="s">
        <v>22</v>
      </c>
      <c r="D3755" s="21" t="s">
        <v>1147</v>
      </c>
      <c r="E3755" s="21" t="s">
        <v>61</v>
      </c>
      <c r="F3755" s="5812">
        <v>2</v>
      </c>
      <c r="G3755" s="5813">
        <v>3.888888888888889E-2</v>
      </c>
      <c r="H3755" s="21" t="s">
        <v>10</v>
      </c>
      <c r="I3755" s="21" t="s">
        <v>89</v>
      </c>
      <c r="J3755" s="21" t="s">
        <v>6955</v>
      </c>
      <c r="K3755" s="5814" t="s">
        <v>11378</v>
      </c>
    </row>
    <row r="3756" spans="1:11">
      <c r="A3756" s="21" t="s">
        <v>2947</v>
      </c>
      <c r="B3756" s="21" t="s">
        <v>11379</v>
      </c>
      <c r="C3756" s="21" t="s">
        <v>8</v>
      </c>
      <c r="D3756" s="21" t="s">
        <v>1147</v>
      </c>
      <c r="E3756" s="21" t="s">
        <v>61</v>
      </c>
      <c r="F3756" s="5812">
        <v>2</v>
      </c>
      <c r="G3756" s="5813">
        <v>4.583333333333333E-2</v>
      </c>
      <c r="H3756" s="21" t="s">
        <v>10</v>
      </c>
      <c r="I3756" s="21" t="s">
        <v>226</v>
      </c>
      <c r="J3756" s="21" t="s">
        <v>3313</v>
      </c>
      <c r="K3756" s="5814" t="s">
        <v>11380</v>
      </c>
    </row>
    <row r="3757" spans="1:11">
      <c r="A3757" s="21" t="s">
        <v>207</v>
      </c>
      <c r="B3757" s="21" t="s">
        <v>1276</v>
      </c>
      <c r="C3757" s="21" t="s">
        <v>22</v>
      </c>
      <c r="D3757" s="21" t="s">
        <v>1147</v>
      </c>
      <c r="E3757" s="21" t="s">
        <v>61</v>
      </c>
      <c r="F3757" s="5812">
        <v>2</v>
      </c>
      <c r="G3757" s="5813">
        <v>4.9305555555555554E-2</v>
      </c>
      <c r="H3757" s="21" t="s">
        <v>10</v>
      </c>
      <c r="I3757" s="21" t="s">
        <v>209</v>
      </c>
      <c r="J3757" s="21" t="s">
        <v>67</v>
      </c>
      <c r="K3757" s="5814" t="s">
        <v>1277</v>
      </c>
    </row>
    <row r="3758" spans="1:11">
      <c r="A3758" s="21" t="s">
        <v>4132</v>
      </c>
      <c r="B3758" s="21" t="s">
        <v>11381</v>
      </c>
      <c r="C3758" s="21" t="s">
        <v>22</v>
      </c>
      <c r="D3758" s="21" t="s">
        <v>1147</v>
      </c>
      <c r="E3758" s="21" t="s">
        <v>61</v>
      </c>
      <c r="F3758" s="5812">
        <v>2</v>
      </c>
      <c r="G3758" s="5813">
        <v>5.6944444444444443E-2</v>
      </c>
      <c r="H3758" s="21" t="s">
        <v>10</v>
      </c>
      <c r="I3758" s="21" t="s">
        <v>187</v>
      </c>
      <c r="J3758" s="21" t="s">
        <v>3326</v>
      </c>
      <c r="K3758" s="5814" t="s">
        <v>11382</v>
      </c>
    </row>
    <row r="3759" spans="1:11">
      <c r="A3759" s="21" t="s">
        <v>2944</v>
      </c>
      <c r="B3759" s="21" t="s">
        <v>11383</v>
      </c>
      <c r="C3759" s="21" t="s">
        <v>22</v>
      </c>
      <c r="D3759" s="21" t="s">
        <v>1147</v>
      </c>
      <c r="E3759" s="21" t="s">
        <v>61</v>
      </c>
      <c r="F3759" s="5812">
        <v>2</v>
      </c>
      <c r="G3759" s="5813">
        <v>6.1111111111111109E-2</v>
      </c>
      <c r="H3759" s="21" t="s">
        <v>10</v>
      </c>
      <c r="I3759" s="21" t="s">
        <v>73</v>
      </c>
      <c r="J3759" s="21" t="s">
        <v>782</v>
      </c>
      <c r="K3759" s="5814" t="s">
        <v>11384</v>
      </c>
    </row>
    <row r="3760" spans="1:11">
      <c r="A3760" s="21" t="s">
        <v>2045</v>
      </c>
      <c r="B3760" s="21" t="s">
        <v>11385</v>
      </c>
      <c r="C3760" s="21" t="s">
        <v>8</v>
      </c>
      <c r="D3760" s="21" t="s">
        <v>1147</v>
      </c>
      <c r="E3760" s="21" t="s">
        <v>61</v>
      </c>
      <c r="F3760" s="5812">
        <v>2</v>
      </c>
      <c r="G3760" s="5813">
        <v>6.3888888888888884E-2</v>
      </c>
      <c r="H3760" s="21" t="s">
        <v>10</v>
      </c>
      <c r="I3760" s="21" t="s">
        <v>39</v>
      </c>
      <c r="J3760" s="21" t="s">
        <v>110</v>
      </c>
      <c r="K3760" s="5814" t="s">
        <v>11386</v>
      </c>
    </row>
    <row r="3761" spans="1:11">
      <c r="A3761" s="21" t="s">
        <v>3882</v>
      </c>
      <c r="B3761" s="21" t="s">
        <v>11387</v>
      </c>
      <c r="C3761" s="21" t="s">
        <v>8</v>
      </c>
      <c r="D3761" s="21" t="s">
        <v>1147</v>
      </c>
      <c r="E3761" s="21" t="s">
        <v>61</v>
      </c>
      <c r="F3761" s="5812">
        <v>2</v>
      </c>
      <c r="G3761" s="5813">
        <v>6.7361111111111108E-2</v>
      </c>
      <c r="H3761" s="21" t="s">
        <v>10</v>
      </c>
      <c r="I3761" s="21" t="s">
        <v>654</v>
      </c>
      <c r="J3761" s="21" t="s">
        <v>3350</v>
      </c>
      <c r="K3761" s="5814" t="s">
        <v>11388</v>
      </c>
    </row>
    <row r="3762" spans="1:11">
      <c r="A3762" s="21" t="s">
        <v>2804</v>
      </c>
      <c r="B3762" s="21" t="s">
        <v>11389</v>
      </c>
      <c r="C3762" s="21" t="s">
        <v>22</v>
      </c>
      <c r="D3762" s="21" t="s">
        <v>1147</v>
      </c>
      <c r="E3762" s="21" t="s">
        <v>61</v>
      </c>
      <c r="F3762" s="5812">
        <v>2</v>
      </c>
      <c r="G3762" s="5813">
        <v>6.9444444444444448E-2</v>
      </c>
      <c r="H3762" s="21" t="s">
        <v>10</v>
      </c>
      <c r="I3762" s="21" t="s">
        <v>55</v>
      </c>
      <c r="J3762" s="21" t="s">
        <v>67</v>
      </c>
      <c r="K3762" s="5814" t="s">
        <v>11390</v>
      </c>
    </row>
    <row r="3763" spans="1:11">
      <c r="A3763" s="21" t="s">
        <v>4068</v>
      </c>
      <c r="B3763" s="21" t="s">
        <v>11391</v>
      </c>
      <c r="C3763" s="21" t="s">
        <v>8</v>
      </c>
      <c r="D3763" s="21" t="s">
        <v>1147</v>
      </c>
      <c r="E3763" s="21" t="s">
        <v>61</v>
      </c>
      <c r="F3763" s="5812">
        <v>2</v>
      </c>
      <c r="G3763" s="5813">
        <v>7.4305555555555555E-2</v>
      </c>
      <c r="H3763" s="21" t="s">
        <v>10</v>
      </c>
      <c r="I3763" s="21" t="s">
        <v>55</v>
      </c>
      <c r="J3763" s="21" t="s">
        <v>4770</v>
      </c>
      <c r="K3763" s="5814" t="s">
        <v>11392</v>
      </c>
    </row>
    <row r="3764" spans="1:11">
      <c r="A3764" s="21" t="s">
        <v>3495</v>
      </c>
      <c r="B3764" s="21" t="s">
        <v>11393</v>
      </c>
      <c r="C3764" s="21" t="s">
        <v>22</v>
      </c>
      <c r="D3764" s="21" t="s">
        <v>1147</v>
      </c>
      <c r="E3764" s="21" t="s">
        <v>61</v>
      </c>
      <c r="F3764" s="5812">
        <v>2</v>
      </c>
      <c r="G3764" s="5813">
        <v>8.9583333333333334E-2</v>
      </c>
      <c r="H3764" s="21" t="s">
        <v>10</v>
      </c>
      <c r="I3764" s="21" t="s">
        <v>3451</v>
      </c>
      <c r="J3764" s="21" t="s">
        <v>3350</v>
      </c>
      <c r="K3764" s="5814" t="s">
        <v>11394</v>
      </c>
    </row>
    <row r="3765" spans="1:11">
      <c r="A3765" s="21" t="s">
        <v>3009</v>
      </c>
      <c r="B3765" s="21" t="s">
        <v>11395</v>
      </c>
      <c r="C3765" s="21" t="s">
        <v>22</v>
      </c>
      <c r="D3765" s="21" t="s">
        <v>1147</v>
      </c>
      <c r="E3765" s="21" t="s">
        <v>61</v>
      </c>
      <c r="F3765" s="5812">
        <v>2</v>
      </c>
      <c r="G3765" s="5813">
        <v>8.9583333333333334E-2</v>
      </c>
      <c r="H3765" s="21" t="s">
        <v>10</v>
      </c>
      <c r="I3765" s="21" t="s">
        <v>39</v>
      </c>
      <c r="J3765" s="21" t="s">
        <v>836</v>
      </c>
      <c r="K3765" s="5814" t="s">
        <v>11396</v>
      </c>
    </row>
    <row r="3766" spans="1:11">
      <c r="A3766" s="21" t="s">
        <v>2061</v>
      </c>
      <c r="B3766" s="21" t="s">
        <v>11397</v>
      </c>
      <c r="C3766" s="21" t="s">
        <v>8</v>
      </c>
      <c r="D3766" s="21" t="s">
        <v>1147</v>
      </c>
      <c r="E3766" s="21" t="s">
        <v>61</v>
      </c>
      <c r="F3766" s="5812">
        <v>2</v>
      </c>
      <c r="G3766" s="5813">
        <v>9.0277777777777776E-2</v>
      </c>
      <c r="H3766" s="21" t="s">
        <v>10</v>
      </c>
      <c r="I3766" s="21" t="s">
        <v>89</v>
      </c>
      <c r="J3766" s="21" t="s">
        <v>67</v>
      </c>
      <c r="K3766" s="5814" t="s">
        <v>11398</v>
      </c>
    </row>
    <row r="3767" spans="1:11">
      <c r="A3767" s="21" t="s">
        <v>2921</v>
      </c>
      <c r="B3767" s="21" t="s">
        <v>11399</v>
      </c>
      <c r="C3767" s="21" t="s">
        <v>22</v>
      </c>
      <c r="D3767" s="21" t="s">
        <v>1147</v>
      </c>
      <c r="E3767" s="21" t="s">
        <v>61</v>
      </c>
      <c r="F3767" s="5812">
        <v>2</v>
      </c>
      <c r="G3767" s="5813">
        <v>0.10486111111111111</v>
      </c>
      <c r="H3767" s="21" t="s">
        <v>10</v>
      </c>
      <c r="I3767" s="21" t="s">
        <v>226</v>
      </c>
      <c r="J3767" s="21" t="s">
        <v>67</v>
      </c>
      <c r="K3767" s="5814" t="s">
        <v>11400</v>
      </c>
    </row>
    <row r="3768" spans="1:11">
      <c r="A3768" s="21" t="s">
        <v>5015</v>
      </c>
      <c r="B3768" s="21" t="s">
        <v>11401</v>
      </c>
      <c r="C3768" s="21" t="s">
        <v>8</v>
      </c>
      <c r="D3768" s="21" t="s">
        <v>1147</v>
      </c>
      <c r="E3768" s="21" t="s">
        <v>61</v>
      </c>
      <c r="F3768" s="5812">
        <v>2</v>
      </c>
      <c r="G3768" s="5813">
        <v>0.10902777777777778</v>
      </c>
      <c r="H3768" s="21" t="s">
        <v>10</v>
      </c>
      <c r="I3768" s="21" t="s">
        <v>2400</v>
      </c>
      <c r="J3768" s="21" t="s">
        <v>67</v>
      </c>
      <c r="K3768" s="5814" t="s">
        <v>11402</v>
      </c>
    </row>
    <row r="3769" spans="1:11">
      <c r="A3769" s="21" t="s">
        <v>2788</v>
      </c>
      <c r="B3769" s="21" t="s">
        <v>10006</v>
      </c>
      <c r="C3769" s="21" t="s">
        <v>8</v>
      </c>
      <c r="D3769" s="21" t="s">
        <v>1147</v>
      </c>
      <c r="E3769" s="21" t="s">
        <v>61</v>
      </c>
      <c r="F3769" s="5812">
        <v>2</v>
      </c>
      <c r="G3769" s="5813">
        <v>0.10972222222222222</v>
      </c>
      <c r="H3769" s="21" t="s">
        <v>10</v>
      </c>
      <c r="I3769" s="21" t="s">
        <v>2297</v>
      </c>
      <c r="J3769" s="21" t="s">
        <v>67</v>
      </c>
      <c r="K3769" s="5814" t="s">
        <v>11403</v>
      </c>
    </row>
    <row r="3770" spans="1:11">
      <c r="A3770" s="21" t="s">
        <v>2863</v>
      </c>
      <c r="B3770" s="21" t="s">
        <v>11404</v>
      </c>
      <c r="C3770" s="21" t="s">
        <v>8</v>
      </c>
      <c r="D3770" s="21" t="s">
        <v>1147</v>
      </c>
      <c r="E3770" s="21" t="s">
        <v>61</v>
      </c>
      <c r="F3770" s="5812">
        <v>2</v>
      </c>
      <c r="G3770" s="5813">
        <v>0.11944444444444445</v>
      </c>
      <c r="H3770" s="21" t="s">
        <v>10</v>
      </c>
      <c r="I3770" s="21" t="s">
        <v>55</v>
      </c>
      <c r="J3770" s="21" t="s">
        <v>67</v>
      </c>
      <c r="K3770" s="5814" t="s">
        <v>11405</v>
      </c>
    </row>
    <row r="3771" spans="1:11">
      <c r="A3771" s="21" t="s">
        <v>2846</v>
      </c>
      <c r="B3771" s="21" t="s">
        <v>11406</v>
      </c>
      <c r="C3771" s="21" t="s">
        <v>22</v>
      </c>
      <c r="D3771" s="21" t="s">
        <v>1147</v>
      </c>
      <c r="E3771" s="21" t="s">
        <v>61</v>
      </c>
      <c r="F3771" s="5812">
        <v>2</v>
      </c>
      <c r="G3771" s="5813">
        <v>0.12916666666666668</v>
      </c>
      <c r="H3771" s="21" t="s">
        <v>10</v>
      </c>
      <c r="I3771" s="21" t="s">
        <v>11</v>
      </c>
      <c r="J3771" s="21" t="s">
        <v>505</v>
      </c>
      <c r="K3771" s="5814" t="s">
        <v>11407</v>
      </c>
    </row>
    <row r="3772" spans="1:11">
      <c r="A3772" s="21" t="s">
        <v>5220</v>
      </c>
      <c r="B3772" s="21" t="s">
        <v>11408</v>
      </c>
      <c r="C3772" s="21" t="s">
        <v>22</v>
      </c>
      <c r="D3772" s="21" t="s">
        <v>1147</v>
      </c>
      <c r="E3772" s="21" t="s">
        <v>61</v>
      </c>
      <c r="F3772" s="5812">
        <v>2</v>
      </c>
      <c r="G3772" s="5813">
        <v>0.13541666666666666</v>
      </c>
      <c r="H3772" s="21" t="s">
        <v>10</v>
      </c>
      <c r="I3772" s="21" t="s">
        <v>47</v>
      </c>
      <c r="J3772" s="21" t="s">
        <v>67</v>
      </c>
      <c r="K3772" s="5814" t="s">
        <v>11409</v>
      </c>
    </row>
    <row r="3773" spans="1:11">
      <c r="A3773" s="21" t="s">
        <v>2724</v>
      </c>
      <c r="B3773" s="21" t="s">
        <v>11410</v>
      </c>
      <c r="C3773" s="21" t="s">
        <v>22</v>
      </c>
      <c r="D3773" s="21" t="s">
        <v>1147</v>
      </c>
      <c r="E3773" s="21" t="s">
        <v>61</v>
      </c>
      <c r="F3773" s="5812">
        <v>2</v>
      </c>
      <c r="G3773" s="5813">
        <v>0.13680555555555557</v>
      </c>
      <c r="H3773" s="21" t="s">
        <v>10</v>
      </c>
      <c r="I3773" s="21" t="s">
        <v>23</v>
      </c>
      <c r="J3773" s="21" t="s">
        <v>3391</v>
      </c>
      <c r="K3773" s="5814" t="s">
        <v>11411</v>
      </c>
    </row>
    <row r="3774" spans="1:11">
      <c r="A3774" s="21" t="s">
        <v>3896</v>
      </c>
      <c r="B3774" s="21" t="s">
        <v>11412</v>
      </c>
      <c r="C3774" s="21" t="s">
        <v>22</v>
      </c>
      <c r="D3774" s="21" t="s">
        <v>1147</v>
      </c>
      <c r="E3774" s="21" t="s">
        <v>61</v>
      </c>
      <c r="F3774" s="5812">
        <v>2</v>
      </c>
      <c r="G3774" s="5813">
        <v>0.1388888888888889</v>
      </c>
      <c r="H3774" s="21" t="s">
        <v>10</v>
      </c>
      <c r="I3774" s="21" t="s">
        <v>47</v>
      </c>
      <c r="J3774" s="21" t="s">
        <v>67</v>
      </c>
      <c r="K3774" s="5814" t="s">
        <v>11413</v>
      </c>
    </row>
    <row r="3775" spans="1:11">
      <c r="A3775" s="21" t="s">
        <v>3769</v>
      </c>
      <c r="B3775" s="21" t="s">
        <v>11414</v>
      </c>
      <c r="C3775" s="21" t="s">
        <v>22</v>
      </c>
      <c r="D3775" s="21" t="s">
        <v>1147</v>
      </c>
      <c r="E3775" s="21" t="s">
        <v>61</v>
      </c>
      <c r="F3775" s="5812">
        <v>2</v>
      </c>
      <c r="G3775" s="5813">
        <v>0.14027777777777778</v>
      </c>
      <c r="H3775" s="21" t="s">
        <v>10</v>
      </c>
      <c r="I3775" s="21" t="s">
        <v>3534</v>
      </c>
      <c r="J3775" s="21" t="s">
        <v>67</v>
      </c>
      <c r="K3775" s="5814" t="s">
        <v>11415</v>
      </c>
    </row>
    <row r="3776" spans="1:11">
      <c r="A3776" s="21" t="s">
        <v>2555</v>
      </c>
      <c r="B3776" s="21" t="s">
        <v>11416</v>
      </c>
      <c r="C3776" s="21" t="s">
        <v>22</v>
      </c>
      <c r="D3776" s="21" t="s">
        <v>1147</v>
      </c>
      <c r="E3776" s="21" t="s">
        <v>61</v>
      </c>
      <c r="F3776" s="5812">
        <v>2</v>
      </c>
      <c r="G3776" s="5813">
        <v>0.15069444444444444</v>
      </c>
      <c r="H3776" s="21" t="s">
        <v>10</v>
      </c>
      <c r="I3776" s="21" t="s">
        <v>55</v>
      </c>
      <c r="J3776" s="21" t="s">
        <v>324</v>
      </c>
      <c r="K3776" s="5814" t="s">
        <v>11417</v>
      </c>
    </row>
    <row r="3777" spans="1:11">
      <c r="A3777" s="21" t="s">
        <v>2250</v>
      </c>
      <c r="B3777" s="21" t="s">
        <v>11418</v>
      </c>
      <c r="C3777" s="21" t="s">
        <v>8</v>
      </c>
      <c r="D3777" s="21" t="s">
        <v>1147</v>
      </c>
      <c r="E3777" s="21" t="s">
        <v>61</v>
      </c>
      <c r="F3777" s="5812">
        <v>2</v>
      </c>
      <c r="G3777" s="5813">
        <v>0.16111111111111112</v>
      </c>
      <c r="H3777" s="21" t="s">
        <v>10</v>
      </c>
      <c r="I3777" s="21" t="s">
        <v>23</v>
      </c>
      <c r="J3777" s="21" t="s">
        <v>3607</v>
      </c>
      <c r="K3777" s="5814" t="s">
        <v>11419</v>
      </c>
    </row>
    <row r="3778" spans="1:11">
      <c r="A3778" s="21" t="s">
        <v>2812</v>
      </c>
      <c r="B3778" s="21" t="s">
        <v>11420</v>
      </c>
      <c r="C3778" s="21" t="s">
        <v>8</v>
      </c>
      <c r="D3778" s="21" t="s">
        <v>1147</v>
      </c>
      <c r="E3778" s="21" t="s">
        <v>61</v>
      </c>
      <c r="F3778" s="5812">
        <v>2</v>
      </c>
      <c r="G3778" s="5813">
        <v>0.16805555555555557</v>
      </c>
      <c r="H3778" s="21" t="s">
        <v>10</v>
      </c>
      <c r="I3778" s="21" t="s">
        <v>2713</v>
      </c>
      <c r="J3778" s="21" t="s">
        <v>3425</v>
      </c>
      <c r="K3778" s="5814" t="s">
        <v>11421</v>
      </c>
    </row>
    <row r="3779" spans="1:11">
      <c r="A3779" s="21" t="s">
        <v>2761</v>
      </c>
      <c r="B3779" s="21" t="s">
        <v>11422</v>
      </c>
      <c r="C3779" s="21" t="s">
        <v>8</v>
      </c>
      <c r="D3779" s="21" t="s">
        <v>1147</v>
      </c>
      <c r="E3779" s="21" t="s">
        <v>61</v>
      </c>
      <c r="F3779" s="5812">
        <v>2</v>
      </c>
      <c r="G3779" s="5813">
        <v>0.17222222222222222</v>
      </c>
      <c r="H3779" s="21" t="s">
        <v>10</v>
      </c>
      <c r="I3779" s="21" t="s">
        <v>788</v>
      </c>
      <c r="J3779" s="21" t="s">
        <v>8353</v>
      </c>
      <c r="K3779" s="5814" t="s">
        <v>11423</v>
      </c>
    </row>
    <row r="3780" spans="1:11">
      <c r="A3780" s="21" t="s">
        <v>2863</v>
      </c>
      <c r="B3780" s="21" t="s">
        <v>11424</v>
      </c>
      <c r="C3780" s="21" t="s">
        <v>8</v>
      </c>
      <c r="D3780" s="21" t="s">
        <v>1147</v>
      </c>
      <c r="E3780" s="21" t="s">
        <v>61</v>
      </c>
      <c r="F3780" s="5812">
        <v>2</v>
      </c>
      <c r="G3780" s="5813">
        <v>0.17430555555555555</v>
      </c>
      <c r="H3780" s="21" t="s">
        <v>10</v>
      </c>
      <c r="I3780" s="21" t="s">
        <v>2297</v>
      </c>
      <c r="J3780" s="21" t="s">
        <v>110</v>
      </c>
      <c r="K3780" s="5814" t="s">
        <v>11425</v>
      </c>
    </row>
    <row r="3781" spans="1:11">
      <c r="A3781" s="21" t="s">
        <v>4396</v>
      </c>
      <c r="B3781" s="21" t="s">
        <v>11426</v>
      </c>
      <c r="C3781" s="21" t="s">
        <v>22</v>
      </c>
      <c r="D3781" s="21" t="s">
        <v>1147</v>
      </c>
      <c r="E3781" s="21" t="s">
        <v>61</v>
      </c>
      <c r="F3781" s="5812">
        <v>2</v>
      </c>
      <c r="G3781" s="5813">
        <v>0.17499999999999999</v>
      </c>
      <c r="H3781" s="21" t="s">
        <v>54</v>
      </c>
      <c r="I3781" s="21" t="s">
        <v>55</v>
      </c>
      <c r="J3781" s="21" t="s">
        <v>67</v>
      </c>
      <c r="K3781" s="5814" t="s">
        <v>11427</v>
      </c>
    </row>
    <row r="3782" spans="1:11">
      <c r="A3782" s="21" t="s">
        <v>65</v>
      </c>
      <c r="B3782" s="21" t="s">
        <v>1198</v>
      </c>
      <c r="C3782" s="21" t="s">
        <v>22</v>
      </c>
      <c r="D3782" s="21" t="s">
        <v>1147</v>
      </c>
      <c r="E3782" s="21" t="s">
        <v>61</v>
      </c>
      <c r="F3782" s="5812">
        <v>2</v>
      </c>
      <c r="G3782" s="5813">
        <v>0.17499999999999999</v>
      </c>
      <c r="H3782" s="21" t="s">
        <v>10</v>
      </c>
      <c r="I3782" s="21" t="s">
        <v>89</v>
      </c>
      <c r="J3782" s="21" t="s">
        <v>897</v>
      </c>
      <c r="K3782" s="5814" t="s">
        <v>1199</v>
      </c>
    </row>
    <row r="3783" spans="1:11">
      <c r="A3783" s="21" t="s">
        <v>2668</v>
      </c>
      <c r="B3783" s="21" t="s">
        <v>11428</v>
      </c>
      <c r="C3783" s="21" t="s">
        <v>22</v>
      </c>
      <c r="D3783" s="21" t="s">
        <v>1147</v>
      </c>
      <c r="E3783" s="21" t="s">
        <v>61</v>
      </c>
      <c r="F3783" s="5812">
        <v>2</v>
      </c>
      <c r="G3783" s="5813">
        <v>0.17847222222222223</v>
      </c>
      <c r="H3783" s="21" t="s">
        <v>10</v>
      </c>
      <c r="I3783" s="21" t="s">
        <v>400</v>
      </c>
      <c r="J3783" s="21" t="s">
        <v>67</v>
      </c>
      <c r="K3783" s="5814" t="s">
        <v>11429</v>
      </c>
    </row>
    <row r="3784" spans="1:11">
      <c r="A3784" s="21" t="s">
        <v>3765</v>
      </c>
      <c r="B3784" s="21" t="s">
        <v>11430</v>
      </c>
      <c r="C3784" s="21" t="s">
        <v>8</v>
      </c>
      <c r="D3784" s="21" t="s">
        <v>1147</v>
      </c>
      <c r="E3784" s="21" t="s">
        <v>61</v>
      </c>
      <c r="F3784" s="5812">
        <v>2</v>
      </c>
      <c r="G3784" s="5813">
        <v>0.18124999999999999</v>
      </c>
      <c r="H3784" s="21" t="s">
        <v>10</v>
      </c>
      <c r="I3784" s="21" t="s">
        <v>8047</v>
      </c>
      <c r="J3784" s="21" t="s">
        <v>67</v>
      </c>
      <c r="K3784" s="5814" t="s">
        <v>11431</v>
      </c>
    </row>
    <row r="3785" spans="1:11">
      <c r="A3785" s="21" t="s">
        <v>3348</v>
      </c>
      <c r="B3785" s="21" t="s">
        <v>11432</v>
      </c>
      <c r="C3785" s="21" t="s">
        <v>8</v>
      </c>
      <c r="D3785" s="21" t="s">
        <v>1147</v>
      </c>
      <c r="E3785" s="21" t="s">
        <v>61</v>
      </c>
      <c r="F3785" s="5812">
        <v>2</v>
      </c>
      <c r="G3785" s="5813">
        <v>0.18611111111111112</v>
      </c>
      <c r="H3785" s="21" t="s">
        <v>10</v>
      </c>
      <c r="I3785" s="21" t="s">
        <v>226</v>
      </c>
      <c r="J3785" s="21" t="s">
        <v>62</v>
      </c>
      <c r="K3785" s="5814" t="s">
        <v>11433</v>
      </c>
    </row>
    <row r="3786" spans="1:11">
      <c r="A3786" s="21" t="s">
        <v>2307</v>
      </c>
      <c r="B3786" s="21" t="s">
        <v>11434</v>
      </c>
      <c r="C3786" s="21" t="s">
        <v>8</v>
      </c>
      <c r="D3786" s="21" t="s">
        <v>1147</v>
      </c>
      <c r="E3786" s="21" t="s">
        <v>61</v>
      </c>
      <c r="F3786" s="5812">
        <v>2</v>
      </c>
      <c r="G3786" s="5813">
        <v>0.18888888888888888</v>
      </c>
      <c r="H3786" s="21" t="s">
        <v>10</v>
      </c>
      <c r="I3786" s="21" t="s">
        <v>226</v>
      </c>
      <c r="J3786" s="21" t="s">
        <v>67</v>
      </c>
      <c r="K3786" s="5814" t="s">
        <v>11435</v>
      </c>
    </row>
    <row r="3787" spans="1:11">
      <c r="A3787" s="21" t="s">
        <v>2197</v>
      </c>
      <c r="B3787" s="21" t="s">
        <v>11436</v>
      </c>
      <c r="C3787" s="21" t="s">
        <v>8</v>
      </c>
      <c r="D3787" s="21" t="s">
        <v>1147</v>
      </c>
      <c r="E3787" s="21" t="s">
        <v>61</v>
      </c>
      <c r="F3787" s="5812">
        <v>2</v>
      </c>
      <c r="G3787" s="5813">
        <v>0.19583333333333333</v>
      </c>
      <c r="H3787" s="21" t="s">
        <v>10</v>
      </c>
      <c r="I3787" s="21" t="s">
        <v>400</v>
      </c>
      <c r="J3787" s="21" t="s">
        <v>836</v>
      </c>
      <c r="K3787" s="5814" t="s">
        <v>11437</v>
      </c>
    </row>
    <row r="3788" spans="1:11">
      <c r="A3788" s="21" t="s">
        <v>2229</v>
      </c>
      <c r="B3788" s="21" t="s">
        <v>11438</v>
      </c>
      <c r="C3788" s="21" t="s">
        <v>8</v>
      </c>
      <c r="D3788" s="21" t="s">
        <v>1147</v>
      </c>
      <c r="E3788" s="21" t="s">
        <v>61</v>
      </c>
      <c r="F3788" s="5812">
        <v>2</v>
      </c>
      <c r="G3788" s="5813">
        <v>0.2</v>
      </c>
      <c r="H3788" s="21" t="s">
        <v>10</v>
      </c>
      <c r="I3788" s="21" t="s">
        <v>2176</v>
      </c>
      <c r="J3788" s="21" t="s">
        <v>67</v>
      </c>
      <c r="K3788" s="5814" t="s">
        <v>11439</v>
      </c>
    </row>
    <row r="3789" spans="1:11">
      <c r="A3789" s="21" t="s">
        <v>44</v>
      </c>
      <c r="B3789" s="21" t="s">
        <v>1267</v>
      </c>
      <c r="C3789" s="21" t="s">
        <v>8</v>
      </c>
      <c r="D3789" s="21" t="s">
        <v>1147</v>
      </c>
      <c r="E3789" s="21" t="s">
        <v>61</v>
      </c>
      <c r="F3789" s="5812">
        <v>2</v>
      </c>
      <c r="G3789" s="5813">
        <v>0.20555555555555555</v>
      </c>
      <c r="H3789" s="21" t="s">
        <v>10</v>
      </c>
      <c r="I3789" s="21" t="s">
        <v>96</v>
      </c>
      <c r="J3789" s="21" t="s">
        <v>67</v>
      </c>
      <c r="K3789" s="5814" t="s">
        <v>1268</v>
      </c>
    </row>
    <row r="3790" spans="1:11">
      <c r="A3790" s="21" t="s">
        <v>2413</v>
      </c>
      <c r="B3790" s="21" t="s">
        <v>11440</v>
      </c>
      <c r="C3790" s="21" t="s">
        <v>22</v>
      </c>
      <c r="D3790" s="21" t="s">
        <v>1147</v>
      </c>
      <c r="E3790" s="21" t="s">
        <v>61</v>
      </c>
      <c r="F3790" s="5812">
        <v>2</v>
      </c>
      <c r="G3790" s="5813">
        <v>0.20694444444444443</v>
      </c>
      <c r="H3790" s="21" t="s">
        <v>10</v>
      </c>
      <c r="I3790" s="21" t="s">
        <v>23</v>
      </c>
      <c r="J3790" s="21" t="s">
        <v>3313</v>
      </c>
      <c r="K3790" s="5814" t="s">
        <v>11441</v>
      </c>
    </row>
    <row r="3791" spans="1:11">
      <c r="A3791" s="21" t="s">
        <v>3006</v>
      </c>
      <c r="B3791" s="21" t="s">
        <v>11442</v>
      </c>
      <c r="C3791" s="21" t="s">
        <v>22</v>
      </c>
      <c r="D3791" s="21" t="s">
        <v>1147</v>
      </c>
      <c r="E3791" s="21" t="s">
        <v>61</v>
      </c>
      <c r="F3791" s="5812">
        <v>2</v>
      </c>
      <c r="G3791" s="5813">
        <v>0.2076388888888889</v>
      </c>
      <c r="H3791" s="21" t="s">
        <v>10</v>
      </c>
      <c r="I3791" s="21" t="s">
        <v>55</v>
      </c>
      <c r="J3791" s="21" t="s">
        <v>67</v>
      </c>
      <c r="K3791" s="5814" t="s">
        <v>11443</v>
      </c>
    </row>
    <row r="3792" spans="1:11">
      <c r="A3792" s="21" t="s">
        <v>2075</v>
      </c>
      <c r="B3792" s="21" t="s">
        <v>11444</v>
      </c>
      <c r="C3792" s="21" t="s">
        <v>22</v>
      </c>
      <c r="D3792" s="21" t="s">
        <v>1147</v>
      </c>
      <c r="E3792" s="21" t="s">
        <v>61</v>
      </c>
      <c r="F3792" s="5812">
        <v>3</v>
      </c>
      <c r="G3792" s="5813">
        <v>1.2500000000000001E-2</v>
      </c>
      <c r="H3792" s="21" t="s">
        <v>10</v>
      </c>
      <c r="I3792" s="21" t="s">
        <v>654</v>
      </c>
      <c r="J3792" s="21" t="s">
        <v>110</v>
      </c>
      <c r="K3792" s="5814" t="s">
        <v>11445</v>
      </c>
    </row>
    <row r="3793" spans="1:11">
      <c r="A3793" s="21" t="s">
        <v>3458</v>
      </c>
      <c r="B3793" s="21" t="s">
        <v>11446</v>
      </c>
      <c r="C3793" s="21" t="s">
        <v>8</v>
      </c>
      <c r="D3793" s="21" t="s">
        <v>1147</v>
      </c>
      <c r="E3793" s="21" t="s">
        <v>61</v>
      </c>
      <c r="F3793" s="5812">
        <v>3</v>
      </c>
      <c r="G3793" s="5813">
        <v>3.7499999999999999E-2</v>
      </c>
      <c r="H3793" s="21" t="s">
        <v>10</v>
      </c>
      <c r="I3793" s="21" t="s">
        <v>2872</v>
      </c>
      <c r="J3793" s="21" t="s">
        <v>67</v>
      </c>
      <c r="K3793" s="5814" t="s">
        <v>11447</v>
      </c>
    </row>
    <row r="3794" spans="1:11">
      <c r="A3794" s="21" t="s">
        <v>4527</v>
      </c>
      <c r="B3794" s="21" t="s">
        <v>11448</v>
      </c>
      <c r="C3794" s="21" t="s">
        <v>22</v>
      </c>
      <c r="D3794" s="21" t="s">
        <v>1147</v>
      </c>
      <c r="E3794" s="21" t="s">
        <v>61</v>
      </c>
      <c r="F3794" s="5812">
        <v>3</v>
      </c>
      <c r="G3794" s="5813">
        <v>5.486111111111111E-2</v>
      </c>
      <c r="H3794" s="21" t="s">
        <v>10</v>
      </c>
      <c r="I3794" s="21" t="s">
        <v>5887</v>
      </c>
      <c r="J3794" s="21" t="s">
        <v>1327</v>
      </c>
      <c r="K3794" s="5814" t="s">
        <v>11449</v>
      </c>
    </row>
    <row r="3795" spans="1:11">
      <c r="A3795" s="21" t="s">
        <v>207</v>
      </c>
      <c r="B3795" s="21" t="s">
        <v>1193</v>
      </c>
      <c r="C3795" s="21" t="s">
        <v>8</v>
      </c>
      <c r="D3795" s="21" t="s">
        <v>1147</v>
      </c>
      <c r="E3795" s="21" t="s">
        <v>61</v>
      </c>
      <c r="F3795" s="5812">
        <v>3</v>
      </c>
      <c r="G3795" s="5813">
        <v>7.1527777777777773E-2</v>
      </c>
      <c r="H3795" s="21" t="s">
        <v>10</v>
      </c>
      <c r="I3795" s="21" t="s">
        <v>654</v>
      </c>
      <c r="J3795" s="21" t="s">
        <v>1194</v>
      </c>
      <c r="K3795" s="5814" t="s">
        <v>1195</v>
      </c>
    </row>
    <row r="3796" spans="1:11">
      <c r="A3796" s="21" t="s">
        <v>2323</v>
      </c>
      <c r="B3796" s="21" t="s">
        <v>11450</v>
      </c>
      <c r="C3796" s="21" t="s">
        <v>22</v>
      </c>
      <c r="D3796" s="21" t="s">
        <v>1147</v>
      </c>
      <c r="E3796" s="21" t="s">
        <v>61</v>
      </c>
      <c r="F3796" s="5812">
        <v>3</v>
      </c>
      <c r="G3796" s="5813">
        <v>7.6388888888888895E-2</v>
      </c>
      <c r="H3796" s="21" t="s">
        <v>10</v>
      </c>
      <c r="I3796" s="21" t="s">
        <v>96</v>
      </c>
      <c r="J3796" s="21" t="s">
        <v>1327</v>
      </c>
      <c r="K3796" s="5814" t="s">
        <v>11451</v>
      </c>
    </row>
    <row r="3797" spans="1:11">
      <c r="A3797" s="21" t="s">
        <v>3728</v>
      </c>
      <c r="B3797" s="21" t="s">
        <v>11452</v>
      </c>
      <c r="C3797" s="21" t="s">
        <v>8</v>
      </c>
      <c r="D3797" s="21" t="s">
        <v>1147</v>
      </c>
      <c r="E3797" s="21" t="s">
        <v>61</v>
      </c>
      <c r="F3797" s="5812">
        <v>3</v>
      </c>
      <c r="G3797" s="5813">
        <v>7.9861111111111105E-2</v>
      </c>
      <c r="H3797" s="21" t="s">
        <v>10</v>
      </c>
      <c r="I3797" s="21" t="s">
        <v>4179</v>
      </c>
      <c r="J3797" s="21" t="s">
        <v>67</v>
      </c>
      <c r="K3797" s="5814" t="s">
        <v>11453</v>
      </c>
    </row>
    <row r="3798" spans="1:11">
      <c r="A3798" s="21" t="s">
        <v>5264</v>
      </c>
      <c r="B3798" s="21" t="s">
        <v>11454</v>
      </c>
      <c r="C3798" s="21" t="s">
        <v>8</v>
      </c>
      <c r="D3798" s="21" t="s">
        <v>1147</v>
      </c>
      <c r="E3798" s="21" t="s">
        <v>61</v>
      </c>
      <c r="F3798" s="5812">
        <v>3</v>
      </c>
      <c r="G3798" s="5813">
        <v>9.2361111111111116E-2</v>
      </c>
      <c r="H3798" s="21" t="s">
        <v>10</v>
      </c>
      <c r="I3798" s="21" t="s">
        <v>96</v>
      </c>
      <c r="J3798" s="21" t="s">
        <v>62</v>
      </c>
      <c r="K3798" s="5814" t="s">
        <v>11455</v>
      </c>
    </row>
    <row r="3799" spans="1:11">
      <c r="A3799" s="21" t="s">
        <v>2858</v>
      </c>
      <c r="B3799" s="21" t="s">
        <v>11456</v>
      </c>
      <c r="C3799" s="21" t="s">
        <v>8</v>
      </c>
      <c r="D3799" s="21" t="s">
        <v>1147</v>
      </c>
      <c r="E3799" s="21" t="s">
        <v>61</v>
      </c>
      <c r="F3799" s="5812">
        <v>3</v>
      </c>
      <c r="G3799" s="5813">
        <v>9.5138888888888884E-2</v>
      </c>
      <c r="H3799" s="21" t="s">
        <v>10</v>
      </c>
      <c r="I3799" s="21" t="s">
        <v>2860</v>
      </c>
      <c r="J3799" s="21" t="s">
        <v>5466</v>
      </c>
      <c r="K3799" s="5814" t="s">
        <v>11457</v>
      </c>
    </row>
    <row r="3800" spans="1:11">
      <c r="A3800" s="21" t="s">
        <v>3395</v>
      </c>
      <c r="B3800" s="21" t="s">
        <v>11458</v>
      </c>
      <c r="C3800" s="21" t="s">
        <v>22</v>
      </c>
      <c r="D3800" s="21" t="s">
        <v>1147</v>
      </c>
      <c r="E3800" s="21" t="s">
        <v>61</v>
      </c>
      <c r="F3800" s="5812">
        <v>3</v>
      </c>
      <c r="G3800" s="5813">
        <v>0.10902777777777778</v>
      </c>
      <c r="H3800" s="21" t="s">
        <v>10</v>
      </c>
      <c r="I3800" s="21" t="s">
        <v>2523</v>
      </c>
      <c r="J3800" s="21" t="s">
        <v>928</v>
      </c>
      <c r="K3800" s="5814" t="s">
        <v>11459</v>
      </c>
    </row>
    <row r="3801" spans="1:11">
      <c r="A3801" s="21" t="s">
        <v>3286</v>
      </c>
      <c r="B3801" s="21" t="s">
        <v>11460</v>
      </c>
      <c r="C3801" s="21" t="s">
        <v>8</v>
      </c>
      <c r="D3801" s="21" t="s">
        <v>1147</v>
      </c>
      <c r="E3801" s="21" t="s">
        <v>61</v>
      </c>
      <c r="F3801" s="5812">
        <v>3</v>
      </c>
      <c r="G3801" s="5813">
        <v>0.12569444444444444</v>
      </c>
      <c r="H3801" s="21" t="s">
        <v>10</v>
      </c>
      <c r="I3801" s="21" t="s">
        <v>2872</v>
      </c>
      <c r="J3801" s="21" t="s">
        <v>67</v>
      </c>
      <c r="K3801" s="5814" t="s">
        <v>11461</v>
      </c>
    </row>
    <row r="3802" spans="1:11">
      <c r="A3802" s="21" t="s">
        <v>2123</v>
      </c>
      <c r="B3802" s="21" t="s">
        <v>11462</v>
      </c>
      <c r="C3802" s="21" t="s">
        <v>8</v>
      </c>
      <c r="D3802" s="21" t="s">
        <v>1147</v>
      </c>
      <c r="E3802" s="21" t="s">
        <v>61</v>
      </c>
      <c r="F3802" s="5812">
        <v>3</v>
      </c>
      <c r="G3802" s="5813">
        <v>0.14444444444444443</v>
      </c>
      <c r="H3802" s="21" t="s">
        <v>10</v>
      </c>
      <c r="I3802" s="21" t="s">
        <v>23</v>
      </c>
      <c r="J3802" s="21" t="s">
        <v>505</v>
      </c>
      <c r="K3802" s="5814" t="s">
        <v>11463</v>
      </c>
    </row>
    <row r="3803" spans="1:11">
      <c r="A3803" s="21" t="s">
        <v>2376</v>
      </c>
      <c r="B3803" s="21" t="s">
        <v>11464</v>
      </c>
      <c r="C3803" s="21" t="s">
        <v>8</v>
      </c>
      <c r="D3803" s="21" t="s">
        <v>1147</v>
      </c>
      <c r="E3803" s="21" t="s">
        <v>61</v>
      </c>
      <c r="F3803" s="5812">
        <v>3</v>
      </c>
      <c r="G3803" s="5813">
        <v>0.14791666666666667</v>
      </c>
      <c r="H3803" s="21" t="s">
        <v>10</v>
      </c>
      <c r="I3803" s="21" t="s">
        <v>55</v>
      </c>
      <c r="J3803" s="21" t="s">
        <v>782</v>
      </c>
      <c r="K3803" s="5814" t="s">
        <v>11465</v>
      </c>
    </row>
    <row r="3804" spans="1:11">
      <c r="A3804" s="21" t="s">
        <v>3439</v>
      </c>
      <c r="B3804" s="21" t="s">
        <v>11466</v>
      </c>
      <c r="C3804" s="21" t="s">
        <v>22</v>
      </c>
      <c r="D3804" s="21" t="s">
        <v>1147</v>
      </c>
      <c r="E3804" s="21" t="s">
        <v>61</v>
      </c>
      <c r="F3804" s="5812">
        <v>3</v>
      </c>
      <c r="G3804" s="5813">
        <v>0.15347222222222223</v>
      </c>
      <c r="H3804" s="21" t="s">
        <v>10</v>
      </c>
      <c r="I3804" s="21" t="s">
        <v>11</v>
      </c>
      <c r="J3804" s="21" t="s">
        <v>6161</v>
      </c>
      <c r="K3804" s="5814" t="s">
        <v>11467</v>
      </c>
    </row>
    <row r="3805" spans="1:11">
      <c r="A3805" s="21" t="s">
        <v>4139</v>
      </c>
      <c r="B3805" s="21" t="s">
        <v>11468</v>
      </c>
      <c r="C3805" s="21" t="s">
        <v>8</v>
      </c>
      <c r="D3805" s="21" t="s">
        <v>1147</v>
      </c>
      <c r="E3805" s="21" t="s">
        <v>61</v>
      </c>
      <c r="F3805" s="5812">
        <v>3</v>
      </c>
      <c r="G3805" s="5813">
        <v>0.16250000000000001</v>
      </c>
      <c r="H3805" s="21" t="s">
        <v>54</v>
      </c>
      <c r="I3805" s="21" t="s">
        <v>55</v>
      </c>
      <c r="J3805" s="21" t="s">
        <v>67</v>
      </c>
      <c r="K3805" s="5814" t="s">
        <v>11469</v>
      </c>
    </row>
    <row r="3806" spans="1:11">
      <c r="A3806" s="21" t="s">
        <v>2817</v>
      </c>
      <c r="B3806" s="21" t="s">
        <v>11470</v>
      </c>
      <c r="C3806" s="21" t="s">
        <v>8</v>
      </c>
      <c r="D3806" s="21" t="s">
        <v>1147</v>
      </c>
      <c r="E3806" s="21" t="s">
        <v>61</v>
      </c>
      <c r="F3806" s="5812">
        <v>3</v>
      </c>
      <c r="G3806" s="5813">
        <v>0.16458333333333333</v>
      </c>
      <c r="H3806" s="21" t="s">
        <v>10</v>
      </c>
      <c r="I3806" s="21" t="s">
        <v>233</v>
      </c>
      <c r="J3806" s="21" t="s">
        <v>67</v>
      </c>
      <c r="K3806" s="5814" t="s">
        <v>11471</v>
      </c>
    </row>
    <row r="3807" spans="1:11">
      <c r="A3807" s="21" t="s">
        <v>4396</v>
      </c>
      <c r="B3807" s="21" t="s">
        <v>11472</v>
      </c>
      <c r="C3807" s="21" t="s">
        <v>22</v>
      </c>
      <c r="D3807" s="21" t="s">
        <v>1147</v>
      </c>
      <c r="E3807" s="21" t="s">
        <v>61</v>
      </c>
      <c r="F3807" s="5812">
        <v>3</v>
      </c>
      <c r="G3807" s="5813">
        <v>0.17430555555555555</v>
      </c>
      <c r="H3807" s="21" t="s">
        <v>10</v>
      </c>
      <c r="I3807" s="21" t="s">
        <v>2297</v>
      </c>
      <c r="J3807" s="21" t="s">
        <v>505</v>
      </c>
      <c r="K3807" s="5814" t="s">
        <v>11473</v>
      </c>
    </row>
    <row r="3808" spans="1:11">
      <c r="A3808" s="21" t="s">
        <v>2049</v>
      </c>
      <c r="B3808" s="21" t="s">
        <v>11474</v>
      </c>
      <c r="C3808" s="21" t="s">
        <v>22</v>
      </c>
      <c r="D3808" s="21" t="s">
        <v>1147</v>
      </c>
      <c r="E3808" s="21" t="s">
        <v>61</v>
      </c>
      <c r="F3808" s="5812">
        <v>3</v>
      </c>
      <c r="G3808" s="5813">
        <v>0.17847222222222223</v>
      </c>
      <c r="H3808" s="21" t="s">
        <v>10</v>
      </c>
      <c r="I3808" s="21" t="s">
        <v>55</v>
      </c>
      <c r="J3808" s="21" t="s">
        <v>67</v>
      </c>
      <c r="K3808" s="5814" t="s">
        <v>11475</v>
      </c>
    </row>
    <row r="3809" spans="1:11">
      <c r="A3809" s="21" t="s">
        <v>2839</v>
      </c>
      <c r="B3809" s="21" t="s">
        <v>11476</v>
      </c>
      <c r="C3809" s="21" t="s">
        <v>8</v>
      </c>
      <c r="D3809" s="21" t="s">
        <v>1147</v>
      </c>
      <c r="E3809" s="21" t="s">
        <v>61</v>
      </c>
      <c r="F3809" s="5812">
        <v>3</v>
      </c>
      <c r="G3809" s="5813">
        <v>0.18819444444444444</v>
      </c>
      <c r="H3809" s="21" t="s">
        <v>10</v>
      </c>
      <c r="I3809" s="21" t="s">
        <v>2247</v>
      </c>
      <c r="J3809" s="21" t="s">
        <v>67</v>
      </c>
      <c r="K3809" s="5814" t="s">
        <v>11477</v>
      </c>
    </row>
    <row r="3810" spans="1:11">
      <c r="A3810" s="21" t="s">
        <v>2526</v>
      </c>
      <c r="B3810" s="21" t="s">
        <v>11478</v>
      </c>
      <c r="C3810" s="21" t="s">
        <v>8</v>
      </c>
      <c r="D3810" s="21" t="s">
        <v>1147</v>
      </c>
      <c r="E3810" s="21" t="s">
        <v>61</v>
      </c>
      <c r="F3810" s="5812">
        <v>3</v>
      </c>
      <c r="G3810" s="5813">
        <v>0.19375000000000001</v>
      </c>
      <c r="H3810" s="21" t="s">
        <v>10</v>
      </c>
      <c r="I3810" s="21" t="s">
        <v>23</v>
      </c>
      <c r="J3810" s="21" t="s">
        <v>67</v>
      </c>
      <c r="K3810" s="5814" t="s">
        <v>11479</v>
      </c>
    </row>
    <row r="3811" spans="1:11">
      <c r="A3811" s="21" t="s">
        <v>2391</v>
      </c>
      <c r="B3811" s="21" t="s">
        <v>11480</v>
      </c>
      <c r="C3811" s="21" t="s">
        <v>8</v>
      </c>
      <c r="D3811" s="21" t="s">
        <v>1147</v>
      </c>
      <c r="E3811" s="21" t="s">
        <v>61</v>
      </c>
      <c r="F3811" s="5812">
        <v>4</v>
      </c>
      <c r="G3811" s="5813">
        <v>0.11944444444444445</v>
      </c>
      <c r="H3811" s="21" t="s">
        <v>54</v>
      </c>
      <c r="I3811" s="21" t="s">
        <v>47</v>
      </c>
      <c r="J3811" s="21" t="s">
        <v>3350</v>
      </c>
      <c r="K3811" s="5814" t="s">
        <v>11481</v>
      </c>
    </row>
    <row r="3812" spans="1:11">
      <c r="A3812" s="21" t="s">
        <v>4711</v>
      </c>
      <c r="B3812" s="21" t="s">
        <v>11482</v>
      </c>
      <c r="C3812" s="21" t="s">
        <v>8</v>
      </c>
      <c r="D3812" s="21" t="s">
        <v>1147</v>
      </c>
      <c r="E3812" s="21" t="s">
        <v>61</v>
      </c>
      <c r="F3812" s="5812">
        <v>4</v>
      </c>
      <c r="G3812" s="5813">
        <v>0.15763888888888888</v>
      </c>
      <c r="H3812" s="21" t="s">
        <v>54</v>
      </c>
      <c r="I3812" s="21" t="s">
        <v>226</v>
      </c>
      <c r="J3812" s="21" t="s">
        <v>836</v>
      </c>
      <c r="K3812" s="5814" t="s">
        <v>11483</v>
      </c>
    </row>
    <row r="3813" spans="1:11">
      <c r="A3813" s="21" t="s">
        <v>4621</v>
      </c>
      <c r="B3813" s="21" t="s">
        <v>11484</v>
      </c>
      <c r="C3813" s="21" t="s">
        <v>8</v>
      </c>
      <c r="D3813" s="21" t="s">
        <v>1147</v>
      </c>
      <c r="E3813" s="21" t="s">
        <v>244</v>
      </c>
      <c r="F3813" s="5812">
        <v>2</v>
      </c>
      <c r="G3813" s="5813">
        <v>0.20833333333333334</v>
      </c>
      <c r="H3813" s="21" t="s">
        <v>54</v>
      </c>
      <c r="I3813" s="21" t="s">
        <v>2247</v>
      </c>
      <c r="J3813" s="21" t="s">
        <v>11485</v>
      </c>
      <c r="K3813" s="5814" t="s">
        <v>11486</v>
      </c>
    </row>
    <row r="3814" spans="1:11">
      <c r="A3814" s="21" t="s">
        <v>3217</v>
      </c>
      <c r="B3814" s="21" t="s">
        <v>11487</v>
      </c>
      <c r="C3814" s="21" t="s">
        <v>8</v>
      </c>
      <c r="D3814" s="21" t="s">
        <v>1147</v>
      </c>
      <c r="E3814" s="21" t="s">
        <v>244</v>
      </c>
      <c r="F3814" s="5812">
        <v>2</v>
      </c>
      <c r="G3814" s="5813">
        <v>0.20833333333333334</v>
      </c>
      <c r="H3814" s="21" t="s">
        <v>10</v>
      </c>
      <c r="I3814" s="21" t="s">
        <v>233</v>
      </c>
      <c r="J3814" s="21"/>
      <c r="K3814" s="5814" t="s">
        <v>11488</v>
      </c>
    </row>
    <row r="3815" spans="1:11">
      <c r="A3815" s="21" t="s">
        <v>2858</v>
      </c>
      <c r="B3815" s="21" t="s">
        <v>11489</v>
      </c>
      <c r="C3815" s="21" t="s">
        <v>8</v>
      </c>
      <c r="D3815" s="21" t="s">
        <v>1147</v>
      </c>
      <c r="E3815" s="21" t="s">
        <v>244</v>
      </c>
      <c r="F3815" s="5812">
        <v>3</v>
      </c>
      <c r="G3815" s="5813">
        <v>3.2638888888888891E-2</v>
      </c>
      <c r="H3815" s="21" t="s">
        <v>10</v>
      </c>
      <c r="I3815" s="21" t="s">
        <v>2860</v>
      </c>
      <c r="J3815" s="21" t="s">
        <v>11490</v>
      </c>
      <c r="K3815" s="5814" t="s">
        <v>11491</v>
      </c>
    </row>
    <row r="3816" spans="1:11">
      <c r="A3816" s="21" t="s">
        <v>4116</v>
      </c>
      <c r="B3816" s="21" t="s">
        <v>11422</v>
      </c>
      <c r="C3816" s="21" t="s">
        <v>8</v>
      </c>
      <c r="D3816" s="21" t="s">
        <v>1147</v>
      </c>
      <c r="E3816" s="21" t="s">
        <v>244</v>
      </c>
      <c r="F3816" s="5812">
        <v>3</v>
      </c>
      <c r="G3816" s="5813">
        <v>0.15069444444444444</v>
      </c>
      <c r="H3816" s="21" t="s">
        <v>10</v>
      </c>
      <c r="I3816" s="21" t="s">
        <v>96</v>
      </c>
      <c r="J3816" s="21"/>
      <c r="K3816" s="5814" t="s">
        <v>11492</v>
      </c>
    </row>
    <row r="3817" spans="1:11">
      <c r="A3817" s="21" t="s">
        <v>3720</v>
      </c>
      <c r="B3817" s="21" t="s">
        <v>11493</v>
      </c>
      <c r="C3817" s="21" t="s">
        <v>8</v>
      </c>
      <c r="D3817" s="21" t="s">
        <v>1147</v>
      </c>
      <c r="E3817" s="21" t="s">
        <v>244</v>
      </c>
      <c r="F3817" s="5812">
        <v>3</v>
      </c>
      <c r="G3817" s="5813">
        <v>0.20833333333333334</v>
      </c>
      <c r="H3817" s="21" t="s">
        <v>54</v>
      </c>
      <c r="I3817" s="21" t="s">
        <v>226</v>
      </c>
      <c r="J3817" s="21" t="s">
        <v>11494</v>
      </c>
      <c r="K3817" s="5814" t="s">
        <v>11495</v>
      </c>
    </row>
    <row r="3818" spans="1:11">
      <c r="A3818" s="21" t="s">
        <v>2096</v>
      </c>
      <c r="B3818" s="21" t="s">
        <v>11496</v>
      </c>
      <c r="C3818" s="21" t="s">
        <v>8</v>
      </c>
      <c r="D3818" s="21" t="s">
        <v>1288</v>
      </c>
      <c r="E3818" s="21" t="s">
        <v>710</v>
      </c>
      <c r="F3818" s="5812">
        <v>3</v>
      </c>
      <c r="G3818" s="5813">
        <v>0.20833333333333334</v>
      </c>
      <c r="H3818" s="21" t="s">
        <v>10</v>
      </c>
      <c r="I3818" s="21" t="s">
        <v>2313</v>
      </c>
      <c r="J3818" s="21" t="s">
        <v>11497</v>
      </c>
      <c r="K3818" s="5814" t="s">
        <v>11498</v>
      </c>
    </row>
    <row r="3819" spans="1:11">
      <c r="A3819" s="21" t="s">
        <v>2788</v>
      </c>
      <c r="B3819" s="21" t="s">
        <v>11499</v>
      </c>
      <c r="C3819" s="21" t="s">
        <v>709</v>
      </c>
      <c r="D3819" s="21" t="s">
        <v>1288</v>
      </c>
      <c r="E3819" s="21" t="s">
        <v>710</v>
      </c>
      <c r="F3819" s="5812">
        <v>3</v>
      </c>
      <c r="G3819" s="5813">
        <v>0.20833333333333334</v>
      </c>
      <c r="H3819" s="21" t="s">
        <v>10</v>
      </c>
      <c r="I3819" s="21" t="s">
        <v>2747</v>
      </c>
      <c r="J3819" s="21" t="s">
        <v>11500</v>
      </c>
      <c r="K3819" s="5814" t="s">
        <v>11501</v>
      </c>
    </row>
    <row r="3820" spans="1:11">
      <c r="A3820" s="21" t="s">
        <v>2307</v>
      </c>
      <c r="B3820" s="21" t="s">
        <v>11502</v>
      </c>
      <c r="C3820" s="21" t="s">
        <v>22</v>
      </c>
      <c r="D3820" s="21" t="s">
        <v>1288</v>
      </c>
      <c r="E3820" s="21" t="s">
        <v>193</v>
      </c>
      <c r="F3820" s="5812">
        <v>3</v>
      </c>
      <c r="G3820" s="5813">
        <v>0.20833333333333334</v>
      </c>
      <c r="H3820" s="21" t="s">
        <v>10</v>
      </c>
      <c r="I3820" s="21" t="s">
        <v>73</v>
      </c>
      <c r="J3820" s="21" t="s">
        <v>11503</v>
      </c>
      <c r="K3820" s="5814" t="s">
        <v>11504</v>
      </c>
    </row>
    <row r="3821" spans="1:11">
      <c r="A3821" s="21" t="s">
        <v>2334</v>
      </c>
      <c r="B3821" s="21" t="s">
        <v>11505</v>
      </c>
      <c r="C3821" s="21" t="s">
        <v>8</v>
      </c>
      <c r="D3821" s="21" t="s">
        <v>1288</v>
      </c>
      <c r="E3821" s="21" t="s">
        <v>193</v>
      </c>
      <c r="F3821" s="5812">
        <v>3</v>
      </c>
      <c r="G3821" s="5813">
        <v>0.20833333333333334</v>
      </c>
      <c r="H3821" s="21" t="s">
        <v>10</v>
      </c>
      <c r="I3821" s="21" t="s">
        <v>6824</v>
      </c>
      <c r="J3821" s="21" t="s">
        <v>11506</v>
      </c>
      <c r="K3821" s="5814" t="s">
        <v>11507</v>
      </c>
    </row>
    <row r="3822" spans="1:11">
      <c r="A3822" s="21" t="s">
        <v>2358</v>
      </c>
      <c r="B3822" s="21" t="s">
        <v>11508</v>
      </c>
      <c r="C3822" s="21" t="s">
        <v>22</v>
      </c>
      <c r="D3822" s="21" t="s">
        <v>1288</v>
      </c>
      <c r="E3822" s="21" t="s">
        <v>193</v>
      </c>
      <c r="F3822" s="5812">
        <v>3</v>
      </c>
      <c r="G3822" s="5813">
        <v>0.20833333333333334</v>
      </c>
      <c r="H3822" s="21" t="s">
        <v>10</v>
      </c>
      <c r="I3822" s="21" t="s">
        <v>23</v>
      </c>
      <c r="J3822" s="21" t="s">
        <v>11509</v>
      </c>
      <c r="K3822" s="5814" t="s">
        <v>11510</v>
      </c>
    </row>
    <row r="3823" spans="1:11">
      <c r="A3823" s="21" t="s">
        <v>5390</v>
      </c>
      <c r="B3823" s="21" t="s">
        <v>11511</v>
      </c>
      <c r="C3823" s="21" t="s">
        <v>8</v>
      </c>
      <c r="D3823" s="21" t="s">
        <v>1288</v>
      </c>
      <c r="E3823" s="21" t="s">
        <v>193</v>
      </c>
      <c r="F3823" s="5812">
        <v>3</v>
      </c>
      <c r="G3823" s="5813">
        <v>0.20833333333333334</v>
      </c>
      <c r="H3823" s="21" t="s">
        <v>10</v>
      </c>
      <c r="I3823" s="21" t="s">
        <v>89</v>
      </c>
      <c r="J3823" s="21" t="s">
        <v>11512</v>
      </c>
      <c r="K3823" s="5814" t="s">
        <v>11513</v>
      </c>
    </row>
    <row r="3824" spans="1:11">
      <c r="A3824" s="21" t="s">
        <v>2579</v>
      </c>
      <c r="B3824" s="21" t="s">
        <v>11514</v>
      </c>
      <c r="C3824" s="21" t="s">
        <v>8</v>
      </c>
      <c r="D3824" s="21" t="s">
        <v>1288</v>
      </c>
      <c r="E3824" s="21" t="s">
        <v>193</v>
      </c>
      <c r="F3824" s="5812">
        <v>3</v>
      </c>
      <c r="G3824" s="5813">
        <v>0.20833333333333334</v>
      </c>
      <c r="H3824" s="21" t="s">
        <v>10</v>
      </c>
      <c r="I3824" s="21" t="s">
        <v>2153</v>
      </c>
      <c r="J3824" s="21" t="s">
        <v>11515</v>
      </c>
      <c r="K3824" s="5814" t="s">
        <v>11516</v>
      </c>
    </row>
    <row r="3825" spans="1:11">
      <c r="A3825" s="21" t="s">
        <v>2179</v>
      </c>
      <c r="B3825" s="21" t="s">
        <v>11517</v>
      </c>
      <c r="C3825" s="21" t="s">
        <v>8</v>
      </c>
      <c r="D3825" s="21" t="s">
        <v>1288</v>
      </c>
      <c r="E3825" s="21" t="s">
        <v>193</v>
      </c>
      <c r="F3825" s="5812">
        <v>3</v>
      </c>
      <c r="G3825" s="5813">
        <v>0.20833333333333334</v>
      </c>
      <c r="H3825" s="21" t="s">
        <v>10</v>
      </c>
      <c r="I3825" s="21" t="s">
        <v>2181</v>
      </c>
      <c r="J3825" s="21" t="s">
        <v>11518</v>
      </c>
      <c r="K3825" s="5814" t="s">
        <v>11519</v>
      </c>
    </row>
    <row r="3826" spans="1:11">
      <c r="A3826" s="21" t="s">
        <v>2687</v>
      </c>
      <c r="B3826" s="21" t="s">
        <v>11520</v>
      </c>
      <c r="C3826" s="21" t="s">
        <v>8</v>
      </c>
      <c r="D3826" s="21" t="s">
        <v>1288</v>
      </c>
      <c r="E3826" s="21" t="s">
        <v>193</v>
      </c>
      <c r="F3826" s="5812">
        <v>3</v>
      </c>
      <c r="G3826" s="5813">
        <v>0.20833333333333334</v>
      </c>
      <c r="H3826" s="21" t="s">
        <v>10</v>
      </c>
      <c r="I3826" s="21" t="s">
        <v>226</v>
      </c>
      <c r="J3826" s="21" t="s">
        <v>4957</v>
      </c>
      <c r="K3826" s="5814" t="s">
        <v>11521</v>
      </c>
    </row>
    <row r="3827" spans="1:11">
      <c r="A3827" s="21" t="s">
        <v>2205</v>
      </c>
      <c r="B3827" s="21" t="s">
        <v>11522</v>
      </c>
      <c r="C3827" s="21" t="s">
        <v>22</v>
      </c>
      <c r="D3827" s="21" t="s">
        <v>1288</v>
      </c>
      <c r="E3827" s="21" t="s">
        <v>193</v>
      </c>
      <c r="F3827" s="5812">
        <v>3</v>
      </c>
      <c r="G3827" s="5813">
        <v>0.20833333333333334</v>
      </c>
      <c r="H3827" s="21" t="s">
        <v>10</v>
      </c>
      <c r="I3827" s="21" t="s">
        <v>96</v>
      </c>
      <c r="J3827" s="21" t="s">
        <v>11523</v>
      </c>
      <c r="K3827" s="5814" t="s">
        <v>11524</v>
      </c>
    </row>
    <row r="3828" spans="1:11">
      <c r="A3828" s="21" t="s">
        <v>4568</v>
      </c>
      <c r="B3828" s="21" t="s">
        <v>11525</v>
      </c>
      <c r="C3828" s="21" t="s">
        <v>8</v>
      </c>
      <c r="D3828" s="21" t="s">
        <v>1288</v>
      </c>
      <c r="E3828" s="21" t="s">
        <v>193</v>
      </c>
      <c r="F3828" s="5812">
        <v>3</v>
      </c>
      <c r="G3828" s="5813">
        <v>0.20833333333333334</v>
      </c>
      <c r="H3828" s="21" t="s">
        <v>10</v>
      </c>
      <c r="I3828" s="21" t="s">
        <v>194</v>
      </c>
      <c r="J3828" s="21" t="s">
        <v>11526</v>
      </c>
      <c r="K3828" s="5814" t="s">
        <v>11527</v>
      </c>
    </row>
    <row r="3829" spans="1:11">
      <c r="A3829" s="21" t="s">
        <v>3541</v>
      </c>
      <c r="B3829" s="21" t="s">
        <v>11528</v>
      </c>
      <c r="C3829" s="21" t="s">
        <v>8</v>
      </c>
      <c r="D3829" s="21" t="s">
        <v>1288</v>
      </c>
      <c r="E3829" s="21" t="s">
        <v>193</v>
      </c>
      <c r="F3829" s="5812">
        <v>3</v>
      </c>
      <c r="G3829" s="5813">
        <v>0.20833333333333334</v>
      </c>
      <c r="H3829" s="21" t="s">
        <v>10</v>
      </c>
      <c r="I3829" s="21" t="s">
        <v>2247</v>
      </c>
      <c r="J3829" s="21" t="s">
        <v>11529</v>
      </c>
      <c r="K3829" s="5814" t="s">
        <v>11530</v>
      </c>
    </row>
    <row r="3830" spans="1:11">
      <c r="A3830" s="21" t="s">
        <v>2295</v>
      </c>
      <c r="B3830" s="21" t="s">
        <v>11531</v>
      </c>
      <c r="C3830" s="21" t="s">
        <v>22</v>
      </c>
      <c r="D3830" s="21" t="s">
        <v>1288</v>
      </c>
      <c r="E3830" s="21" t="s">
        <v>193</v>
      </c>
      <c r="F3830" s="5812">
        <v>3</v>
      </c>
      <c r="G3830" s="5813">
        <v>0.20833333333333334</v>
      </c>
      <c r="H3830" s="21" t="s">
        <v>10</v>
      </c>
      <c r="I3830" s="21" t="s">
        <v>226</v>
      </c>
      <c r="J3830" s="21" t="s">
        <v>11532</v>
      </c>
      <c r="K3830" s="5814" t="s">
        <v>11533</v>
      </c>
    </row>
    <row r="3831" spans="1:11">
      <c r="A3831" s="21" t="s">
        <v>2824</v>
      </c>
      <c r="B3831" s="21" t="s">
        <v>11534</v>
      </c>
      <c r="C3831" s="21" t="s">
        <v>22</v>
      </c>
      <c r="D3831" s="21" t="s">
        <v>1288</v>
      </c>
      <c r="E3831" s="21" t="s">
        <v>193</v>
      </c>
      <c r="F3831" s="5812">
        <v>3</v>
      </c>
      <c r="G3831" s="5813">
        <v>0.20833333333333334</v>
      </c>
      <c r="H3831" s="21" t="s">
        <v>10</v>
      </c>
      <c r="I3831" s="21" t="s">
        <v>47</v>
      </c>
      <c r="J3831" s="21" t="s">
        <v>11535</v>
      </c>
      <c r="K3831" s="5814" t="s">
        <v>11536</v>
      </c>
    </row>
    <row r="3832" spans="1:11">
      <c r="A3832" s="21" t="s">
        <v>2921</v>
      </c>
      <c r="B3832" s="21" t="s">
        <v>11537</v>
      </c>
      <c r="C3832" s="21" t="s">
        <v>22</v>
      </c>
      <c r="D3832" s="21" t="s">
        <v>1288</v>
      </c>
      <c r="E3832" s="21" t="s">
        <v>193</v>
      </c>
      <c r="F3832" s="5812">
        <v>3</v>
      </c>
      <c r="G3832" s="5813">
        <v>0.20833333333333334</v>
      </c>
      <c r="H3832" s="21" t="s">
        <v>10</v>
      </c>
      <c r="I3832" s="21" t="s">
        <v>2923</v>
      </c>
      <c r="J3832" s="21" t="s">
        <v>11538</v>
      </c>
      <c r="K3832" s="5814" t="s">
        <v>11539</v>
      </c>
    </row>
    <row r="3833" spans="1:11">
      <c r="A3833" s="21" t="s">
        <v>3565</v>
      </c>
      <c r="B3833" s="21" t="s">
        <v>11540</v>
      </c>
      <c r="C3833" s="21" t="s">
        <v>22</v>
      </c>
      <c r="D3833" s="21" t="s">
        <v>1288</v>
      </c>
      <c r="E3833" s="21" t="s">
        <v>193</v>
      </c>
      <c r="F3833" s="5812">
        <v>3</v>
      </c>
      <c r="G3833" s="5813">
        <v>0.20833333333333334</v>
      </c>
      <c r="H3833" s="21" t="s">
        <v>10</v>
      </c>
      <c r="I3833" s="21" t="s">
        <v>2632</v>
      </c>
      <c r="J3833" s="21" t="s">
        <v>11541</v>
      </c>
      <c r="K3833" s="5814" t="s">
        <v>11542</v>
      </c>
    </row>
    <row r="3834" spans="1:11">
      <c r="A3834" s="21" t="s">
        <v>3630</v>
      </c>
      <c r="B3834" s="21" t="s">
        <v>11543</v>
      </c>
      <c r="C3834" s="21" t="s">
        <v>22</v>
      </c>
      <c r="D3834" s="21" t="s">
        <v>1288</v>
      </c>
      <c r="E3834" s="21" t="s">
        <v>193</v>
      </c>
      <c r="F3834" s="5812">
        <v>3</v>
      </c>
      <c r="G3834" s="5813">
        <v>0.20833333333333334</v>
      </c>
      <c r="H3834" s="21" t="s">
        <v>10</v>
      </c>
      <c r="I3834" s="21" t="s">
        <v>226</v>
      </c>
      <c r="J3834" s="21" t="s">
        <v>11544</v>
      </c>
      <c r="K3834" s="5814" t="s">
        <v>11545</v>
      </c>
    </row>
    <row r="3835" spans="1:11">
      <c r="A3835" s="21" t="s">
        <v>2424</v>
      </c>
      <c r="B3835" s="21" t="s">
        <v>11546</v>
      </c>
      <c r="C3835" s="21" t="s">
        <v>22</v>
      </c>
      <c r="D3835" s="21" t="s">
        <v>1288</v>
      </c>
      <c r="E3835" s="21" t="s">
        <v>193</v>
      </c>
      <c r="F3835" s="5812">
        <v>5</v>
      </c>
      <c r="G3835" s="5813">
        <v>0.20833333333333334</v>
      </c>
      <c r="H3835" s="21" t="s">
        <v>54</v>
      </c>
      <c r="I3835" s="21" t="s">
        <v>96</v>
      </c>
      <c r="J3835" s="21" t="s">
        <v>11547</v>
      </c>
      <c r="K3835" s="5814" t="s">
        <v>11548</v>
      </c>
    </row>
    <row r="3836" spans="1:11">
      <c r="A3836" s="21" t="s">
        <v>79</v>
      </c>
      <c r="B3836" s="21" t="s">
        <v>1287</v>
      </c>
      <c r="C3836" s="21" t="s">
        <v>8</v>
      </c>
      <c r="D3836" s="21" t="s">
        <v>1288</v>
      </c>
      <c r="E3836" s="21" t="s">
        <v>9</v>
      </c>
      <c r="F3836" s="5812">
        <v>3</v>
      </c>
      <c r="G3836" s="5813">
        <v>0.20833333333333334</v>
      </c>
      <c r="H3836" s="21" t="s">
        <v>10</v>
      </c>
      <c r="I3836" s="21" t="s">
        <v>11</v>
      </c>
      <c r="J3836" s="21" t="s">
        <v>1289</v>
      </c>
      <c r="K3836" s="5814" t="s">
        <v>1290</v>
      </c>
    </row>
    <row r="3837" spans="1:11">
      <c r="A3837" s="21" t="s">
        <v>125</v>
      </c>
      <c r="B3837" s="21" t="s">
        <v>1294</v>
      </c>
      <c r="C3837" s="21" t="s">
        <v>22</v>
      </c>
      <c r="D3837" s="21" t="s">
        <v>1288</v>
      </c>
      <c r="E3837" s="21" t="s">
        <v>9</v>
      </c>
      <c r="F3837" s="5812">
        <v>3</v>
      </c>
      <c r="G3837" s="5813">
        <v>0.20833333333333334</v>
      </c>
      <c r="H3837" s="21" t="s">
        <v>10</v>
      </c>
      <c r="I3837" s="21" t="s">
        <v>96</v>
      </c>
      <c r="J3837" s="21" t="s">
        <v>1295</v>
      </c>
      <c r="K3837" s="5814" t="s">
        <v>1296</v>
      </c>
    </row>
    <row r="3838" spans="1:11">
      <c r="A3838" s="21" t="s">
        <v>20</v>
      </c>
      <c r="B3838" s="21" t="s">
        <v>1307</v>
      </c>
      <c r="C3838" s="21" t="s">
        <v>22</v>
      </c>
      <c r="D3838" s="21" t="s">
        <v>1288</v>
      </c>
      <c r="E3838" s="21" t="s">
        <v>9</v>
      </c>
      <c r="F3838" s="5812">
        <v>3</v>
      </c>
      <c r="G3838" s="5813">
        <v>0.20833333333333334</v>
      </c>
      <c r="H3838" s="21" t="s">
        <v>10</v>
      </c>
      <c r="I3838" s="21" t="s">
        <v>23</v>
      </c>
      <c r="J3838" s="21" t="s">
        <v>1218</v>
      </c>
      <c r="K3838" s="5814" t="s">
        <v>1308</v>
      </c>
    </row>
    <row r="3839" spans="1:11">
      <c r="A3839" s="21" t="s">
        <v>44</v>
      </c>
      <c r="B3839" s="21" t="s">
        <v>1330</v>
      </c>
      <c r="C3839" s="21" t="s">
        <v>8</v>
      </c>
      <c r="D3839" s="21" t="s">
        <v>1288</v>
      </c>
      <c r="E3839" s="21" t="s">
        <v>9</v>
      </c>
      <c r="F3839" s="5812">
        <v>3</v>
      </c>
      <c r="G3839" s="5813">
        <v>0.20833333333333334</v>
      </c>
      <c r="H3839" s="21" t="s">
        <v>10</v>
      </c>
      <c r="I3839" s="21" t="s">
        <v>96</v>
      </c>
      <c r="J3839" s="21" t="s">
        <v>1331</v>
      </c>
      <c r="K3839" s="5814" t="s">
        <v>1332</v>
      </c>
    </row>
    <row r="3840" spans="1:11">
      <c r="A3840" s="21" t="s">
        <v>52</v>
      </c>
      <c r="B3840" s="21" t="s">
        <v>1335</v>
      </c>
      <c r="C3840" s="21" t="s">
        <v>8</v>
      </c>
      <c r="D3840" s="21" t="s">
        <v>1288</v>
      </c>
      <c r="E3840" s="21" t="s">
        <v>9</v>
      </c>
      <c r="F3840" s="5812">
        <v>3</v>
      </c>
      <c r="G3840" s="5813">
        <v>0.20833333333333334</v>
      </c>
      <c r="H3840" s="21" t="s">
        <v>10</v>
      </c>
      <c r="I3840" s="21" t="s">
        <v>55</v>
      </c>
      <c r="J3840" s="21" t="s">
        <v>1336</v>
      </c>
      <c r="K3840" s="5814" t="s">
        <v>1337</v>
      </c>
    </row>
    <row r="3841" spans="1:11">
      <c r="A3841" s="21" t="s">
        <v>65</v>
      </c>
      <c r="B3841" s="21" t="s">
        <v>1340</v>
      </c>
      <c r="C3841" s="21" t="s">
        <v>22</v>
      </c>
      <c r="D3841" s="21" t="s">
        <v>1288</v>
      </c>
      <c r="E3841" s="21" t="s">
        <v>9</v>
      </c>
      <c r="F3841" s="5812">
        <v>3</v>
      </c>
      <c r="G3841" s="5813">
        <v>0.20833333333333334</v>
      </c>
      <c r="H3841" s="21" t="s">
        <v>10</v>
      </c>
      <c r="I3841" s="21" t="s">
        <v>23</v>
      </c>
      <c r="J3841" s="21" t="s">
        <v>1341</v>
      </c>
      <c r="K3841" s="5814" t="s">
        <v>1342</v>
      </c>
    </row>
    <row r="3842" spans="1:11">
      <c r="A3842" s="21" t="s">
        <v>71</v>
      </c>
      <c r="B3842" s="21" t="s">
        <v>1345</v>
      </c>
      <c r="C3842" s="21" t="s">
        <v>8</v>
      </c>
      <c r="D3842" s="21" t="s">
        <v>1288</v>
      </c>
      <c r="E3842" s="21" t="s">
        <v>9</v>
      </c>
      <c r="F3842" s="5812">
        <v>3</v>
      </c>
      <c r="G3842" s="5813">
        <v>0.20833333333333334</v>
      </c>
      <c r="H3842" s="21" t="s">
        <v>10</v>
      </c>
      <c r="I3842" s="21" t="s">
        <v>23</v>
      </c>
      <c r="J3842" s="21" t="s">
        <v>1346</v>
      </c>
      <c r="K3842" s="5814" t="s">
        <v>11549</v>
      </c>
    </row>
    <row r="3843" spans="1:11">
      <c r="A3843" s="21" t="s">
        <v>71</v>
      </c>
      <c r="B3843" s="21" t="s">
        <v>1315</v>
      </c>
      <c r="C3843" s="21" t="s">
        <v>22</v>
      </c>
      <c r="D3843" s="21" t="s">
        <v>1288</v>
      </c>
      <c r="E3843" s="21" t="s">
        <v>9</v>
      </c>
      <c r="F3843" s="5812">
        <v>3</v>
      </c>
      <c r="G3843" s="5813">
        <v>0.20833333333333334</v>
      </c>
      <c r="H3843" s="21" t="s">
        <v>10</v>
      </c>
      <c r="I3843" s="21" t="s">
        <v>39</v>
      </c>
      <c r="J3843" s="21" t="s">
        <v>1316</v>
      </c>
      <c r="K3843" s="5814" t="s">
        <v>11550</v>
      </c>
    </row>
    <row r="3844" spans="1:11">
      <c r="A3844" s="21" t="s">
        <v>2311</v>
      </c>
      <c r="B3844" s="21" t="s">
        <v>11551</v>
      </c>
      <c r="C3844" s="21" t="s">
        <v>8</v>
      </c>
      <c r="D3844" s="21" t="s">
        <v>1288</v>
      </c>
      <c r="E3844" s="21" t="s">
        <v>9</v>
      </c>
      <c r="F3844" s="5812">
        <v>3</v>
      </c>
      <c r="G3844" s="5813">
        <v>0.20833333333333334</v>
      </c>
      <c r="H3844" s="21" t="s">
        <v>10</v>
      </c>
      <c r="I3844" s="21" t="s">
        <v>2313</v>
      </c>
      <c r="J3844" s="21" t="s">
        <v>11552</v>
      </c>
      <c r="K3844" s="5814" t="s">
        <v>11553</v>
      </c>
    </row>
    <row r="3845" spans="1:11">
      <c r="A3845" s="21" t="s">
        <v>2084</v>
      </c>
      <c r="B3845" s="21" t="s">
        <v>11554</v>
      </c>
      <c r="C3845" s="21" t="s">
        <v>8</v>
      </c>
      <c r="D3845" s="21" t="s">
        <v>1288</v>
      </c>
      <c r="E3845" s="21" t="s">
        <v>9</v>
      </c>
      <c r="F3845" s="5812">
        <v>3</v>
      </c>
      <c r="G3845" s="5813">
        <v>0.20833333333333334</v>
      </c>
      <c r="H3845" s="21" t="s">
        <v>10</v>
      </c>
      <c r="I3845" s="21" t="s">
        <v>96</v>
      </c>
      <c r="J3845" s="21" t="s">
        <v>11555</v>
      </c>
      <c r="K3845" s="5814" t="s">
        <v>11556</v>
      </c>
    </row>
    <row r="3846" spans="1:11">
      <c r="A3846" s="21" t="s">
        <v>3855</v>
      </c>
      <c r="B3846" s="21" t="s">
        <v>11557</v>
      </c>
      <c r="C3846" s="21" t="s">
        <v>22</v>
      </c>
      <c r="D3846" s="21" t="s">
        <v>1288</v>
      </c>
      <c r="E3846" s="21" t="s">
        <v>9</v>
      </c>
      <c r="F3846" s="5812">
        <v>3</v>
      </c>
      <c r="G3846" s="5813">
        <v>0.20833333333333334</v>
      </c>
      <c r="H3846" s="21" t="s">
        <v>10</v>
      </c>
      <c r="I3846" s="21" t="s">
        <v>23</v>
      </c>
      <c r="J3846" s="21" t="s">
        <v>11558</v>
      </c>
      <c r="K3846" s="5814" t="s">
        <v>11559</v>
      </c>
    </row>
    <row r="3847" spans="1:11">
      <c r="A3847" s="21" t="s">
        <v>3243</v>
      </c>
      <c r="B3847" s="21" t="s">
        <v>11560</v>
      </c>
      <c r="C3847" s="21" t="s">
        <v>22</v>
      </c>
      <c r="D3847" s="21" t="s">
        <v>1288</v>
      </c>
      <c r="E3847" s="21" t="s">
        <v>9</v>
      </c>
      <c r="F3847" s="5812">
        <v>3</v>
      </c>
      <c r="G3847" s="5813">
        <v>0.20833333333333334</v>
      </c>
      <c r="H3847" s="21" t="s">
        <v>10</v>
      </c>
      <c r="I3847" s="21" t="s">
        <v>23</v>
      </c>
      <c r="J3847" s="21" t="s">
        <v>11561</v>
      </c>
      <c r="K3847" s="5814" t="s">
        <v>11562</v>
      </c>
    </row>
    <row r="3848" spans="1:11">
      <c r="A3848" s="21" t="s">
        <v>2284</v>
      </c>
      <c r="B3848" s="21" t="s">
        <v>11563</v>
      </c>
      <c r="C3848" s="21" t="s">
        <v>8</v>
      </c>
      <c r="D3848" s="21" t="s">
        <v>1288</v>
      </c>
      <c r="E3848" s="21" t="s">
        <v>9</v>
      </c>
      <c r="F3848" s="5812">
        <v>3</v>
      </c>
      <c r="G3848" s="5813">
        <v>0.20833333333333334</v>
      </c>
      <c r="H3848" s="21" t="s">
        <v>10</v>
      </c>
      <c r="I3848" s="21" t="s">
        <v>654</v>
      </c>
      <c r="J3848" s="21" t="s">
        <v>11564</v>
      </c>
      <c r="K3848" s="5814" t="s">
        <v>11565</v>
      </c>
    </row>
    <row r="3849" spans="1:11">
      <c r="A3849" s="21" t="s">
        <v>2929</v>
      </c>
      <c r="B3849" s="21" t="s">
        <v>11566</v>
      </c>
      <c r="C3849" s="21" t="s">
        <v>8</v>
      </c>
      <c r="D3849" s="21" t="s">
        <v>1288</v>
      </c>
      <c r="E3849" s="21" t="s">
        <v>9</v>
      </c>
      <c r="F3849" s="5812">
        <v>3</v>
      </c>
      <c r="G3849" s="5813">
        <v>0.20833333333333334</v>
      </c>
      <c r="H3849" s="21" t="s">
        <v>10</v>
      </c>
      <c r="I3849" s="21" t="s">
        <v>23</v>
      </c>
      <c r="J3849" s="21" t="s">
        <v>11567</v>
      </c>
      <c r="K3849" s="5814" t="s">
        <v>11568</v>
      </c>
    </row>
    <row r="3850" spans="1:11">
      <c r="A3850" s="21" t="s">
        <v>2929</v>
      </c>
      <c r="B3850" s="21" t="s">
        <v>11569</v>
      </c>
      <c r="C3850" s="21" t="s">
        <v>22</v>
      </c>
      <c r="D3850" s="21" t="s">
        <v>1288</v>
      </c>
      <c r="E3850" s="21" t="s">
        <v>9</v>
      </c>
      <c r="F3850" s="5812">
        <v>3</v>
      </c>
      <c r="G3850" s="5813">
        <v>0.20833333333333334</v>
      </c>
      <c r="H3850" s="21" t="s">
        <v>10</v>
      </c>
      <c r="I3850" s="21" t="s">
        <v>23</v>
      </c>
      <c r="J3850" s="21" t="s">
        <v>11570</v>
      </c>
      <c r="K3850" s="5814" t="s">
        <v>11571</v>
      </c>
    </row>
    <row r="3851" spans="1:11">
      <c r="A3851" s="21" t="s">
        <v>2433</v>
      </c>
      <c r="B3851" s="21" t="s">
        <v>11572</v>
      </c>
      <c r="C3851" s="21" t="s">
        <v>22</v>
      </c>
      <c r="D3851" s="21" t="s">
        <v>1288</v>
      </c>
      <c r="E3851" s="21" t="s">
        <v>9</v>
      </c>
      <c r="F3851" s="5812">
        <v>3</v>
      </c>
      <c r="G3851" s="5813">
        <v>0.20833333333333334</v>
      </c>
      <c r="H3851" s="21" t="s">
        <v>10</v>
      </c>
      <c r="I3851" s="21" t="s">
        <v>11</v>
      </c>
      <c r="J3851" s="21" t="s">
        <v>11573</v>
      </c>
      <c r="K3851" s="5814" t="s">
        <v>11574</v>
      </c>
    </row>
    <row r="3852" spans="1:11">
      <c r="A3852" s="21" t="s">
        <v>3130</v>
      </c>
      <c r="B3852" s="21" t="s">
        <v>11575</v>
      </c>
      <c r="C3852" s="21" t="s">
        <v>8</v>
      </c>
      <c r="D3852" s="21" t="s">
        <v>1288</v>
      </c>
      <c r="E3852" s="21" t="s">
        <v>9</v>
      </c>
      <c r="F3852" s="5812">
        <v>3</v>
      </c>
      <c r="G3852" s="5813">
        <v>0.20833333333333334</v>
      </c>
      <c r="H3852" s="21" t="s">
        <v>10</v>
      </c>
      <c r="I3852" s="21" t="s">
        <v>5047</v>
      </c>
      <c r="J3852" s="21" t="s">
        <v>3929</v>
      </c>
      <c r="K3852" s="5814" t="s">
        <v>11576</v>
      </c>
    </row>
    <row r="3853" spans="1:11">
      <c r="A3853" s="21" t="s">
        <v>3434</v>
      </c>
      <c r="B3853" s="21" t="s">
        <v>11577</v>
      </c>
      <c r="C3853" s="21" t="s">
        <v>8</v>
      </c>
      <c r="D3853" s="21" t="s">
        <v>1288</v>
      </c>
      <c r="E3853" s="21" t="s">
        <v>9</v>
      </c>
      <c r="F3853" s="5812">
        <v>3</v>
      </c>
      <c r="G3853" s="5813">
        <v>0.20833333333333334</v>
      </c>
      <c r="H3853" s="21" t="s">
        <v>10</v>
      </c>
      <c r="I3853" s="21" t="s">
        <v>39</v>
      </c>
      <c r="J3853" s="21" t="s">
        <v>11578</v>
      </c>
      <c r="K3853" s="5814" t="s">
        <v>11579</v>
      </c>
    </row>
    <row r="3854" spans="1:11">
      <c r="A3854" s="21" t="s">
        <v>2467</v>
      </c>
      <c r="B3854" s="21" t="s">
        <v>11580</v>
      </c>
      <c r="C3854" s="21" t="s">
        <v>8</v>
      </c>
      <c r="D3854" s="21" t="s">
        <v>1288</v>
      </c>
      <c r="E3854" s="21" t="s">
        <v>9</v>
      </c>
      <c r="F3854" s="5812">
        <v>3</v>
      </c>
      <c r="G3854" s="5813">
        <v>0.20833333333333334</v>
      </c>
      <c r="H3854" s="21" t="s">
        <v>10</v>
      </c>
      <c r="I3854" s="21" t="s">
        <v>11</v>
      </c>
      <c r="J3854" s="21" t="s">
        <v>11581</v>
      </c>
      <c r="K3854" s="5814" t="s">
        <v>11582</v>
      </c>
    </row>
    <row r="3855" spans="1:11">
      <c r="A3855" s="21" t="s">
        <v>2982</v>
      </c>
      <c r="B3855" s="21" t="s">
        <v>11583</v>
      </c>
      <c r="C3855" s="21" t="s">
        <v>22</v>
      </c>
      <c r="D3855" s="21" t="s">
        <v>1288</v>
      </c>
      <c r="E3855" s="21" t="s">
        <v>9</v>
      </c>
      <c r="F3855" s="5812">
        <v>3</v>
      </c>
      <c r="G3855" s="5813">
        <v>0.20833333333333334</v>
      </c>
      <c r="H3855" s="21" t="s">
        <v>10</v>
      </c>
      <c r="I3855" s="21" t="s">
        <v>55</v>
      </c>
      <c r="J3855" s="21" t="s">
        <v>11584</v>
      </c>
      <c r="K3855" s="5814" t="s">
        <v>11585</v>
      </c>
    </row>
    <row r="3856" spans="1:11">
      <c r="A3856" s="21" t="s">
        <v>2471</v>
      </c>
      <c r="B3856" s="21" t="s">
        <v>11586</v>
      </c>
      <c r="C3856" s="21" t="s">
        <v>22</v>
      </c>
      <c r="D3856" s="21" t="s">
        <v>1288</v>
      </c>
      <c r="E3856" s="21" t="s">
        <v>9</v>
      </c>
      <c r="F3856" s="5812">
        <v>3</v>
      </c>
      <c r="G3856" s="5813">
        <v>0.20833333333333334</v>
      </c>
      <c r="H3856" s="21" t="s">
        <v>10</v>
      </c>
      <c r="I3856" s="21" t="s">
        <v>39</v>
      </c>
      <c r="J3856" s="21" t="s">
        <v>3857</v>
      </c>
      <c r="K3856" s="5814" t="s">
        <v>11587</v>
      </c>
    </row>
    <row r="3857" spans="1:11">
      <c r="A3857" s="21" t="s">
        <v>3984</v>
      </c>
      <c r="B3857" s="21" t="s">
        <v>11588</v>
      </c>
      <c r="C3857" s="21" t="s">
        <v>8</v>
      </c>
      <c r="D3857" s="21" t="s">
        <v>1288</v>
      </c>
      <c r="E3857" s="21" t="s">
        <v>9</v>
      </c>
      <c r="F3857" s="5812">
        <v>3</v>
      </c>
      <c r="G3857" s="5813">
        <v>0.20833333333333334</v>
      </c>
      <c r="H3857" s="21" t="s">
        <v>10</v>
      </c>
      <c r="I3857" s="21" t="s">
        <v>47</v>
      </c>
      <c r="J3857" s="21" t="s">
        <v>11589</v>
      </c>
      <c r="K3857" s="5814" t="s">
        <v>11590</v>
      </c>
    </row>
    <row r="3858" spans="1:11">
      <c r="A3858" s="21" t="s">
        <v>2969</v>
      </c>
      <c r="B3858" s="21" t="s">
        <v>11591</v>
      </c>
      <c r="C3858" s="21" t="s">
        <v>22</v>
      </c>
      <c r="D3858" s="21" t="s">
        <v>1288</v>
      </c>
      <c r="E3858" s="21" t="s">
        <v>9</v>
      </c>
      <c r="F3858" s="5812">
        <v>3</v>
      </c>
      <c r="G3858" s="5813">
        <v>0.20833333333333334</v>
      </c>
      <c r="H3858" s="21" t="s">
        <v>10</v>
      </c>
      <c r="I3858" s="21" t="s">
        <v>39</v>
      </c>
      <c r="J3858" s="21" t="s">
        <v>4014</v>
      </c>
      <c r="K3858" s="5814" t="s">
        <v>11592</v>
      </c>
    </row>
    <row r="3859" spans="1:11">
      <c r="A3859" s="21" t="s">
        <v>2506</v>
      </c>
      <c r="B3859" s="21" t="s">
        <v>11593</v>
      </c>
      <c r="C3859" s="21" t="s">
        <v>8</v>
      </c>
      <c r="D3859" s="21" t="s">
        <v>1288</v>
      </c>
      <c r="E3859" s="21" t="s">
        <v>9</v>
      </c>
      <c r="F3859" s="5812">
        <v>3</v>
      </c>
      <c r="G3859" s="5813">
        <v>0.20833333333333334</v>
      </c>
      <c r="H3859" s="21" t="s">
        <v>10</v>
      </c>
      <c r="I3859" s="21" t="s">
        <v>23</v>
      </c>
      <c r="J3859" s="21" t="s">
        <v>11594</v>
      </c>
      <c r="K3859" s="5814" t="s">
        <v>11595</v>
      </c>
    </row>
    <row r="3860" spans="1:11">
      <c r="A3860" s="21" t="s">
        <v>3026</v>
      </c>
      <c r="B3860" s="21" t="s">
        <v>11596</v>
      </c>
      <c r="C3860" s="21" t="s">
        <v>22</v>
      </c>
      <c r="D3860" s="21" t="s">
        <v>1288</v>
      </c>
      <c r="E3860" s="21" t="s">
        <v>9</v>
      </c>
      <c r="F3860" s="5812">
        <v>3</v>
      </c>
      <c r="G3860" s="5813">
        <v>0.20833333333333334</v>
      </c>
      <c r="H3860" s="21" t="s">
        <v>10</v>
      </c>
      <c r="I3860" s="21" t="s">
        <v>96</v>
      </c>
      <c r="J3860" s="21" t="s">
        <v>1497</v>
      </c>
      <c r="K3860" s="5814" t="s">
        <v>11597</v>
      </c>
    </row>
    <row r="3861" spans="1:11">
      <c r="A3861" s="21" t="s">
        <v>2910</v>
      </c>
      <c r="B3861" s="21" t="s">
        <v>11598</v>
      </c>
      <c r="C3861" s="21" t="s">
        <v>8</v>
      </c>
      <c r="D3861" s="21" t="s">
        <v>1288</v>
      </c>
      <c r="E3861" s="21" t="s">
        <v>9</v>
      </c>
      <c r="F3861" s="5812">
        <v>3</v>
      </c>
      <c r="G3861" s="5813">
        <v>0.20833333333333334</v>
      </c>
      <c r="H3861" s="21" t="s">
        <v>10</v>
      </c>
      <c r="I3861" s="21" t="s">
        <v>39</v>
      </c>
      <c r="J3861" s="21" t="s">
        <v>8732</v>
      </c>
      <c r="K3861" s="5814" t="s">
        <v>11599</v>
      </c>
    </row>
    <row r="3862" spans="1:11">
      <c r="A3862" s="21" t="s">
        <v>4043</v>
      </c>
      <c r="B3862" s="21" t="s">
        <v>11600</v>
      </c>
      <c r="C3862" s="21" t="s">
        <v>22</v>
      </c>
      <c r="D3862" s="21" t="s">
        <v>1288</v>
      </c>
      <c r="E3862" s="21" t="s">
        <v>9</v>
      </c>
      <c r="F3862" s="5812">
        <v>3</v>
      </c>
      <c r="G3862" s="5813">
        <v>0.20833333333333334</v>
      </c>
      <c r="H3862" s="21" t="s">
        <v>10</v>
      </c>
      <c r="I3862" s="21" t="s">
        <v>96</v>
      </c>
      <c r="J3862" s="21" t="s">
        <v>11601</v>
      </c>
      <c r="K3862" s="5814" t="s">
        <v>11602</v>
      </c>
    </row>
    <row r="3863" spans="1:11">
      <c r="A3863" s="21" t="s">
        <v>4043</v>
      </c>
      <c r="B3863" s="21" t="s">
        <v>11603</v>
      </c>
      <c r="C3863" s="21" t="s">
        <v>22</v>
      </c>
      <c r="D3863" s="21" t="s">
        <v>1288</v>
      </c>
      <c r="E3863" s="21" t="s">
        <v>9</v>
      </c>
      <c r="F3863" s="5812">
        <v>3</v>
      </c>
      <c r="G3863" s="5813">
        <v>0.20833333333333334</v>
      </c>
      <c r="H3863" s="21" t="s">
        <v>10</v>
      </c>
      <c r="I3863" s="21" t="s">
        <v>11</v>
      </c>
      <c r="J3863" s="21" t="s">
        <v>11604</v>
      </c>
      <c r="K3863" s="5814" t="s">
        <v>11605</v>
      </c>
    </row>
    <row r="3864" spans="1:11">
      <c r="A3864" s="21" t="s">
        <v>2509</v>
      </c>
      <c r="B3864" s="21" t="s">
        <v>11606</v>
      </c>
      <c r="C3864" s="21" t="s">
        <v>22</v>
      </c>
      <c r="D3864" s="21" t="s">
        <v>1288</v>
      </c>
      <c r="E3864" s="21" t="s">
        <v>9</v>
      </c>
      <c r="F3864" s="5812">
        <v>3</v>
      </c>
      <c r="G3864" s="5813">
        <v>0.20833333333333334</v>
      </c>
      <c r="H3864" s="21" t="s">
        <v>10</v>
      </c>
      <c r="I3864" s="21" t="s">
        <v>39</v>
      </c>
      <c r="J3864" s="21" t="s">
        <v>11607</v>
      </c>
      <c r="K3864" s="5814" t="s">
        <v>11608</v>
      </c>
    </row>
    <row r="3865" spans="1:11">
      <c r="A3865" s="21" t="s">
        <v>3348</v>
      </c>
      <c r="B3865" s="21" t="s">
        <v>11609</v>
      </c>
      <c r="C3865" s="21" t="s">
        <v>22</v>
      </c>
      <c r="D3865" s="21" t="s">
        <v>1288</v>
      </c>
      <c r="E3865" s="21" t="s">
        <v>9</v>
      </c>
      <c r="F3865" s="5812">
        <v>3</v>
      </c>
      <c r="G3865" s="5813">
        <v>0.20833333333333334</v>
      </c>
      <c r="H3865" s="21" t="s">
        <v>10</v>
      </c>
      <c r="I3865" s="21" t="s">
        <v>96</v>
      </c>
      <c r="J3865" s="21" t="s">
        <v>11610</v>
      </c>
      <c r="K3865" s="5814" t="s">
        <v>11611</v>
      </c>
    </row>
    <row r="3866" spans="1:11">
      <c r="A3866" s="21" t="s">
        <v>2517</v>
      </c>
      <c r="B3866" s="21" t="s">
        <v>11612</v>
      </c>
      <c r="C3866" s="21" t="s">
        <v>8</v>
      </c>
      <c r="D3866" s="21" t="s">
        <v>1288</v>
      </c>
      <c r="E3866" s="21" t="s">
        <v>9</v>
      </c>
      <c r="F3866" s="5812">
        <v>3</v>
      </c>
      <c r="G3866" s="5813">
        <v>0.20833333333333334</v>
      </c>
      <c r="H3866" s="21" t="s">
        <v>10</v>
      </c>
      <c r="I3866" s="21" t="s">
        <v>2523</v>
      </c>
      <c r="J3866" s="21" t="s">
        <v>11613</v>
      </c>
      <c r="K3866" s="5814" t="s">
        <v>11614</v>
      </c>
    </row>
    <row r="3867" spans="1:11">
      <c r="A3867" s="21" t="s">
        <v>3703</v>
      </c>
      <c r="B3867" s="21" t="s">
        <v>11615</v>
      </c>
      <c r="C3867" s="21" t="s">
        <v>8</v>
      </c>
      <c r="D3867" s="21" t="s">
        <v>1288</v>
      </c>
      <c r="E3867" s="21" t="s">
        <v>9</v>
      </c>
      <c r="F3867" s="5812">
        <v>3</v>
      </c>
      <c r="G3867" s="5813">
        <v>0.20833333333333334</v>
      </c>
      <c r="H3867" s="21" t="s">
        <v>10</v>
      </c>
      <c r="I3867" s="21" t="s">
        <v>96</v>
      </c>
      <c r="J3867" s="21" t="s">
        <v>11616</v>
      </c>
      <c r="K3867" s="5814" t="s">
        <v>11617</v>
      </c>
    </row>
    <row r="3868" spans="1:11">
      <c r="A3868" s="21" t="s">
        <v>3613</v>
      </c>
      <c r="B3868" s="21" t="s">
        <v>11618</v>
      </c>
      <c r="C3868" s="21" t="s">
        <v>22</v>
      </c>
      <c r="D3868" s="21" t="s">
        <v>1288</v>
      </c>
      <c r="E3868" s="21" t="s">
        <v>9</v>
      </c>
      <c r="F3868" s="5812">
        <v>3</v>
      </c>
      <c r="G3868" s="5813">
        <v>0.20833333333333334</v>
      </c>
      <c r="H3868" s="21" t="s">
        <v>10</v>
      </c>
      <c r="I3868" s="21" t="s">
        <v>39</v>
      </c>
      <c r="J3868" s="21" t="s">
        <v>11619</v>
      </c>
      <c r="K3868" s="5814" t="s">
        <v>11620</v>
      </c>
    </row>
    <row r="3869" spans="1:11">
      <c r="A3869" s="21" t="s">
        <v>2135</v>
      </c>
      <c r="B3869" s="21" t="s">
        <v>11621</v>
      </c>
      <c r="C3869" s="21" t="s">
        <v>8</v>
      </c>
      <c r="D3869" s="21" t="s">
        <v>1288</v>
      </c>
      <c r="E3869" s="21" t="s">
        <v>9</v>
      </c>
      <c r="F3869" s="5812">
        <v>3</v>
      </c>
      <c r="G3869" s="5813">
        <v>0.20833333333333334</v>
      </c>
      <c r="H3869" s="21" t="s">
        <v>10</v>
      </c>
      <c r="I3869" s="21" t="s">
        <v>39</v>
      </c>
      <c r="J3869" s="21" t="s">
        <v>11622</v>
      </c>
      <c r="K3869" s="5814" t="s">
        <v>11623</v>
      </c>
    </row>
    <row r="3870" spans="1:11">
      <c r="A3870" s="21" t="s">
        <v>2538</v>
      </c>
      <c r="B3870" s="21" t="s">
        <v>11624</v>
      </c>
      <c r="C3870" s="21" t="s">
        <v>22</v>
      </c>
      <c r="D3870" s="21" t="s">
        <v>1288</v>
      </c>
      <c r="E3870" s="21" t="s">
        <v>9</v>
      </c>
      <c r="F3870" s="5812">
        <v>3</v>
      </c>
      <c r="G3870" s="5813">
        <v>0.20833333333333334</v>
      </c>
      <c r="H3870" s="21" t="s">
        <v>10</v>
      </c>
      <c r="I3870" s="21" t="s">
        <v>2814</v>
      </c>
      <c r="J3870" s="21" t="s">
        <v>11625</v>
      </c>
      <c r="K3870" s="5814" t="s">
        <v>11626</v>
      </c>
    </row>
    <row r="3871" spans="1:11">
      <c r="A3871" s="21" t="s">
        <v>3203</v>
      </c>
      <c r="B3871" s="21" t="s">
        <v>11627</v>
      </c>
      <c r="C3871" s="21" t="s">
        <v>8</v>
      </c>
      <c r="D3871" s="21" t="s">
        <v>1288</v>
      </c>
      <c r="E3871" s="21" t="s">
        <v>9</v>
      </c>
      <c r="F3871" s="5812">
        <v>3</v>
      </c>
      <c r="G3871" s="5813">
        <v>0.20833333333333334</v>
      </c>
      <c r="H3871" s="21" t="s">
        <v>10</v>
      </c>
      <c r="I3871" s="21" t="s">
        <v>2544</v>
      </c>
      <c r="J3871" s="21" t="s">
        <v>11628</v>
      </c>
      <c r="K3871" s="5814" t="s">
        <v>11629</v>
      </c>
    </row>
    <row r="3872" spans="1:11">
      <c r="A3872" s="21" t="s">
        <v>3597</v>
      </c>
      <c r="B3872" s="21" t="s">
        <v>11630</v>
      </c>
      <c r="C3872" s="21" t="s">
        <v>8</v>
      </c>
      <c r="D3872" s="21" t="s">
        <v>1288</v>
      </c>
      <c r="E3872" s="21" t="s">
        <v>9</v>
      </c>
      <c r="F3872" s="5812">
        <v>3</v>
      </c>
      <c r="G3872" s="5813">
        <v>0.20833333333333334</v>
      </c>
      <c r="H3872" s="21" t="s">
        <v>10</v>
      </c>
      <c r="I3872" s="21" t="s">
        <v>39</v>
      </c>
      <c r="J3872" s="21" t="s">
        <v>11631</v>
      </c>
      <c r="K3872" s="5814" t="s">
        <v>11632</v>
      </c>
    </row>
    <row r="3873" spans="1:11">
      <c r="A3873" s="21" t="s">
        <v>2139</v>
      </c>
      <c r="B3873" s="21" t="s">
        <v>11633</v>
      </c>
      <c r="C3873" s="21" t="s">
        <v>8</v>
      </c>
      <c r="D3873" s="21" t="s">
        <v>1288</v>
      </c>
      <c r="E3873" s="21" t="s">
        <v>9</v>
      </c>
      <c r="F3873" s="5812">
        <v>3</v>
      </c>
      <c r="G3873" s="5813">
        <v>0.20833333333333334</v>
      </c>
      <c r="H3873" s="21" t="s">
        <v>10</v>
      </c>
      <c r="I3873" s="21" t="s">
        <v>5994</v>
      </c>
      <c r="J3873" s="21" t="s">
        <v>11634</v>
      </c>
      <c r="K3873" s="5814" t="s">
        <v>11635</v>
      </c>
    </row>
    <row r="3874" spans="1:11">
      <c r="A3874" s="21" t="s">
        <v>2065</v>
      </c>
      <c r="B3874" s="21" t="s">
        <v>11636</v>
      </c>
      <c r="C3874" s="21" t="s">
        <v>22</v>
      </c>
      <c r="D3874" s="21" t="s">
        <v>1288</v>
      </c>
      <c r="E3874" s="21" t="s">
        <v>9</v>
      </c>
      <c r="F3874" s="5812">
        <v>3</v>
      </c>
      <c r="G3874" s="5813">
        <v>0.20833333333333334</v>
      </c>
      <c r="H3874" s="21" t="s">
        <v>10</v>
      </c>
      <c r="I3874" s="21" t="s">
        <v>89</v>
      </c>
      <c r="J3874" s="21" t="s">
        <v>11637</v>
      </c>
      <c r="K3874" s="5814" t="s">
        <v>11638</v>
      </c>
    </row>
    <row r="3875" spans="1:11">
      <c r="A3875" s="21" t="s">
        <v>2555</v>
      </c>
      <c r="B3875" s="21" t="s">
        <v>11639</v>
      </c>
      <c r="C3875" s="21" t="s">
        <v>8</v>
      </c>
      <c r="D3875" s="21" t="s">
        <v>1288</v>
      </c>
      <c r="E3875" s="21" t="s">
        <v>9</v>
      </c>
      <c r="F3875" s="5812">
        <v>3</v>
      </c>
      <c r="G3875" s="5813">
        <v>0.20833333333333334</v>
      </c>
      <c r="H3875" s="21" t="s">
        <v>10</v>
      </c>
      <c r="I3875" s="21" t="s">
        <v>55</v>
      </c>
      <c r="J3875" s="21" t="s">
        <v>11640</v>
      </c>
      <c r="K3875" s="5814" t="s">
        <v>11641</v>
      </c>
    </row>
    <row r="3876" spans="1:11">
      <c r="A3876" s="21" t="s">
        <v>2560</v>
      </c>
      <c r="B3876" s="21" t="s">
        <v>11642</v>
      </c>
      <c r="C3876" s="21" t="s">
        <v>8</v>
      </c>
      <c r="D3876" s="21" t="s">
        <v>1288</v>
      </c>
      <c r="E3876" s="21" t="s">
        <v>9</v>
      </c>
      <c r="F3876" s="5812">
        <v>3</v>
      </c>
      <c r="G3876" s="5813">
        <v>0.20833333333333334</v>
      </c>
      <c r="H3876" s="21" t="s">
        <v>10</v>
      </c>
      <c r="I3876" s="21" t="s">
        <v>4546</v>
      </c>
      <c r="J3876" s="21" t="s">
        <v>11643</v>
      </c>
      <c r="K3876" s="5814" t="s">
        <v>11644</v>
      </c>
    </row>
    <row r="3877" spans="1:11">
      <c r="A3877" s="21" t="s">
        <v>3311</v>
      </c>
      <c r="B3877" s="21" t="s">
        <v>11645</v>
      </c>
      <c r="C3877" s="21" t="s">
        <v>8</v>
      </c>
      <c r="D3877" s="21" t="s">
        <v>1288</v>
      </c>
      <c r="E3877" s="21" t="s">
        <v>9</v>
      </c>
      <c r="F3877" s="5812">
        <v>3</v>
      </c>
      <c r="G3877" s="5813">
        <v>0.20833333333333334</v>
      </c>
      <c r="H3877" s="21" t="s">
        <v>10</v>
      </c>
      <c r="I3877" s="21" t="s">
        <v>96</v>
      </c>
      <c r="J3877" s="21" t="s">
        <v>11646</v>
      </c>
      <c r="K3877" s="5814" t="s">
        <v>11647</v>
      </c>
    </row>
    <row r="3878" spans="1:11">
      <c r="A3878" s="21" t="s">
        <v>4132</v>
      </c>
      <c r="B3878" s="21" t="s">
        <v>11648</v>
      </c>
      <c r="C3878" s="21" t="s">
        <v>22</v>
      </c>
      <c r="D3878" s="21" t="s">
        <v>1288</v>
      </c>
      <c r="E3878" s="21" t="s">
        <v>9</v>
      </c>
      <c r="F3878" s="5812">
        <v>3</v>
      </c>
      <c r="G3878" s="5813">
        <v>0.20833333333333334</v>
      </c>
      <c r="H3878" s="21" t="s">
        <v>10</v>
      </c>
      <c r="I3878" s="21" t="s">
        <v>400</v>
      </c>
      <c r="J3878" s="21" t="s">
        <v>11649</v>
      </c>
      <c r="K3878" s="5814" t="s">
        <v>11650</v>
      </c>
    </row>
    <row r="3879" spans="1:11">
      <c r="A3879" s="21" t="s">
        <v>2160</v>
      </c>
      <c r="B3879" s="21" t="s">
        <v>11651</v>
      </c>
      <c r="C3879" s="21" t="s">
        <v>22</v>
      </c>
      <c r="D3879" s="21" t="s">
        <v>1288</v>
      </c>
      <c r="E3879" s="21" t="s">
        <v>9</v>
      </c>
      <c r="F3879" s="5812">
        <v>3</v>
      </c>
      <c r="G3879" s="5813">
        <v>0.20833333333333334</v>
      </c>
      <c r="H3879" s="21" t="s">
        <v>10</v>
      </c>
      <c r="I3879" s="21" t="s">
        <v>2814</v>
      </c>
      <c r="J3879" s="21" t="s">
        <v>11652</v>
      </c>
      <c r="K3879" s="5814" t="s">
        <v>11653</v>
      </c>
    </row>
    <row r="3880" spans="1:11">
      <c r="A3880" s="21" t="s">
        <v>3446</v>
      </c>
      <c r="B3880" s="21" t="s">
        <v>11654</v>
      </c>
      <c r="C3880" s="21" t="s">
        <v>22</v>
      </c>
      <c r="D3880" s="21" t="s">
        <v>1288</v>
      </c>
      <c r="E3880" s="21" t="s">
        <v>9</v>
      </c>
      <c r="F3880" s="5812">
        <v>3</v>
      </c>
      <c r="G3880" s="5813">
        <v>0.20833333333333334</v>
      </c>
      <c r="H3880" s="21" t="s">
        <v>10</v>
      </c>
      <c r="I3880" s="21" t="s">
        <v>2713</v>
      </c>
      <c r="J3880" s="21" t="s">
        <v>11655</v>
      </c>
      <c r="K3880" s="5814" t="s">
        <v>11656</v>
      </c>
    </row>
    <row r="3881" spans="1:11">
      <c r="A3881" s="21" t="s">
        <v>2571</v>
      </c>
      <c r="B3881" s="21" t="s">
        <v>11657</v>
      </c>
      <c r="C3881" s="21" t="s">
        <v>8</v>
      </c>
      <c r="D3881" s="21" t="s">
        <v>1288</v>
      </c>
      <c r="E3881" s="21" t="s">
        <v>9</v>
      </c>
      <c r="F3881" s="5812">
        <v>3</v>
      </c>
      <c r="G3881" s="5813">
        <v>0.20833333333333334</v>
      </c>
      <c r="H3881" s="21" t="s">
        <v>10</v>
      </c>
      <c r="I3881" s="21" t="s">
        <v>306</v>
      </c>
      <c r="J3881" s="21" t="s">
        <v>11658</v>
      </c>
      <c r="K3881" s="5814" t="s">
        <v>11659</v>
      </c>
    </row>
    <row r="3882" spans="1:11">
      <c r="A3882" s="21" t="s">
        <v>2571</v>
      </c>
      <c r="B3882" s="21" t="s">
        <v>11660</v>
      </c>
      <c r="C3882" s="21" t="s">
        <v>22</v>
      </c>
      <c r="D3882" s="21" t="s">
        <v>1288</v>
      </c>
      <c r="E3882" s="21" t="s">
        <v>9</v>
      </c>
      <c r="F3882" s="5812">
        <v>3</v>
      </c>
      <c r="G3882" s="5813">
        <v>0.20833333333333334</v>
      </c>
      <c r="H3882" s="21" t="s">
        <v>10</v>
      </c>
      <c r="I3882" s="21" t="s">
        <v>96</v>
      </c>
      <c r="J3882" s="21" t="s">
        <v>11661</v>
      </c>
      <c r="K3882" s="5814" t="s">
        <v>11662</v>
      </c>
    </row>
    <row r="3883" spans="1:11">
      <c r="A3883" s="21" t="s">
        <v>2595</v>
      </c>
      <c r="B3883" s="21" t="s">
        <v>11663</v>
      </c>
      <c r="C3883" s="21" t="s">
        <v>8</v>
      </c>
      <c r="D3883" s="21" t="s">
        <v>1288</v>
      </c>
      <c r="E3883" s="21" t="s">
        <v>9</v>
      </c>
      <c r="F3883" s="5812">
        <v>3</v>
      </c>
      <c r="G3883" s="5813">
        <v>0.20833333333333334</v>
      </c>
      <c r="H3883" s="21" t="s">
        <v>10</v>
      </c>
      <c r="I3883" s="21" t="s">
        <v>2597</v>
      </c>
      <c r="J3883" s="21" t="s">
        <v>11664</v>
      </c>
      <c r="K3883" s="5814" t="s">
        <v>11665</v>
      </c>
    </row>
    <row r="3884" spans="1:11">
      <c r="A3884" s="21" t="s">
        <v>2985</v>
      </c>
      <c r="B3884" s="21" t="s">
        <v>11666</v>
      </c>
      <c r="C3884" s="21" t="s">
        <v>8</v>
      </c>
      <c r="D3884" s="21" t="s">
        <v>1288</v>
      </c>
      <c r="E3884" s="21" t="s">
        <v>9</v>
      </c>
      <c r="F3884" s="5812">
        <v>3</v>
      </c>
      <c r="G3884" s="5813">
        <v>0.20833333333333334</v>
      </c>
      <c r="H3884" s="21" t="s">
        <v>10</v>
      </c>
      <c r="I3884" s="21" t="s">
        <v>23</v>
      </c>
      <c r="J3884" s="21" t="s">
        <v>11667</v>
      </c>
      <c r="K3884" s="5814" t="s">
        <v>11668</v>
      </c>
    </row>
    <row r="3885" spans="1:11">
      <c r="A3885" s="21" t="s">
        <v>4170</v>
      </c>
      <c r="B3885" s="21" t="s">
        <v>11669</v>
      </c>
      <c r="C3885" s="21" t="s">
        <v>22</v>
      </c>
      <c r="D3885" s="21" t="s">
        <v>1288</v>
      </c>
      <c r="E3885" s="21" t="s">
        <v>9</v>
      </c>
      <c r="F3885" s="5812">
        <v>3</v>
      </c>
      <c r="G3885" s="5813">
        <v>0.20833333333333334</v>
      </c>
      <c r="H3885" s="21" t="s">
        <v>10</v>
      </c>
      <c r="I3885" s="21" t="s">
        <v>2523</v>
      </c>
      <c r="J3885" s="21" t="s">
        <v>11670</v>
      </c>
      <c r="K3885" s="5814" t="s">
        <v>11671</v>
      </c>
    </row>
    <row r="3886" spans="1:11">
      <c r="A3886" s="21" t="s">
        <v>4711</v>
      </c>
      <c r="B3886" s="21" t="s">
        <v>11672</v>
      </c>
      <c r="C3886" s="21" t="s">
        <v>8</v>
      </c>
      <c r="D3886" s="21" t="s">
        <v>1288</v>
      </c>
      <c r="E3886" s="21" t="s">
        <v>9</v>
      </c>
      <c r="F3886" s="5812">
        <v>3</v>
      </c>
      <c r="G3886" s="5813">
        <v>0.20833333333333334</v>
      </c>
      <c r="H3886" s="21" t="s">
        <v>10</v>
      </c>
      <c r="I3886" s="21" t="s">
        <v>11</v>
      </c>
      <c r="J3886" s="21" t="s">
        <v>11673</v>
      </c>
      <c r="K3886" s="5814" t="s">
        <v>11674</v>
      </c>
    </row>
    <row r="3887" spans="1:11">
      <c r="A3887" s="21" t="s">
        <v>3323</v>
      </c>
      <c r="B3887" s="21" t="s">
        <v>11675</v>
      </c>
      <c r="C3887" s="21" t="s">
        <v>22</v>
      </c>
      <c r="D3887" s="21" t="s">
        <v>1288</v>
      </c>
      <c r="E3887" s="21" t="s">
        <v>9</v>
      </c>
      <c r="F3887" s="5812">
        <v>3</v>
      </c>
      <c r="G3887" s="5813">
        <v>0.20833333333333334</v>
      </c>
      <c r="H3887" s="21" t="s">
        <v>10</v>
      </c>
      <c r="I3887" s="21" t="s">
        <v>660</v>
      </c>
      <c r="J3887" s="21" t="s">
        <v>11676</v>
      </c>
      <c r="K3887" s="5814" t="s">
        <v>11677</v>
      </c>
    </row>
    <row r="3888" spans="1:11">
      <c r="A3888" s="21" t="s">
        <v>2192</v>
      </c>
      <c r="B3888" s="21" t="s">
        <v>11678</v>
      </c>
      <c r="C3888" s="21" t="s">
        <v>22</v>
      </c>
      <c r="D3888" s="21" t="s">
        <v>1288</v>
      </c>
      <c r="E3888" s="21" t="s">
        <v>9</v>
      </c>
      <c r="F3888" s="5812">
        <v>3</v>
      </c>
      <c r="G3888" s="5813">
        <v>0.20833333333333334</v>
      </c>
      <c r="H3888" s="21" t="s">
        <v>10</v>
      </c>
      <c r="I3888" s="21" t="s">
        <v>187</v>
      </c>
      <c r="J3888" s="21" t="s">
        <v>11679</v>
      </c>
      <c r="K3888" s="5814" t="s">
        <v>11680</v>
      </c>
    </row>
    <row r="3889" spans="1:11">
      <c r="A3889" s="21" t="s">
        <v>2675</v>
      </c>
      <c r="B3889" s="21" t="s">
        <v>11681</v>
      </c>
      <c r="C3889" s="21" t="s">
        <v>22</v>
      </c>
      <c r="D3889" s="21" t="s">
        <v>1288</v>
      </c>
      <c r="E3889" s="21" t="s">
        <v>9</v>
      </c>
      <c r="F3889" s="5812">
        <v>3</v>
      </c>
      <c r="G3889" s="5813">
        <v>0.20833333333333334</v>
      </c>
      <c r="H3889" s="21" t="s">
        <v>10</v>
      </c>
      <c r="I3889" s="21" t="s">
        <v>5712</v>
      </c>
      <c r="J3889" s="21" t="s">
        <v>11682</v>
      </c>
      <c r="K3889" s="5814" t="s">
        <v>11683</v>
      </c>
    </row>
    <row r="3890" spans="1:11">
      <c r="A3890" s="21" t="s">
        <v>5148</v>
      </c>
      <c r="B3890" s="21" t="s">
        <v>11684</v>
      </c>
      <c r="C3890" s="21" t="s">
        <v>22</v>
      </c>
      <c r="D3890" s="21" t="s">
        <v>1288</v>
      </c>
      <c r="E3890" s="21" t="s">
        <v>9</v>
      </c>
      <c r="F3890" s="5812">
        <v>3</v>
      </c>
      <c r="G3890" s="5813">
        <v>0.20833333333333334</v>
      </c>
      <c r="H3890" s="21" t="s">
        <v>10</v>
      </c>
      <c r="I3890" s="21" t="s">
        <v>23</v>
      </c>
      <c r="J3890" s="21" t="s">
        <v>11685</v>
      </c>
      <c r="K3890" s="5814" t="s">
        <v>11686</v>
      </c>
    </row>
    <row r="3891" spans="1:11">
      <c r="A3891" s="21" t="s">
        <v>2702</v>
      </c>
      <c r="B3891" s="21" t="s">
        <v>11687</v>
      </c>
      <c r="C3891" s="21" t="s">
        <v>8</v>
      </c>
      <c r="D3891" s="21" t="s">
        <v>1288</v>
      </c>
      <c r="E3891" s="21" t="s">
        <v>9</v>
      </c>
      <c r="F3891" s="5812">
        <v>3</v>
      </c>
      <c r="G3891" s="5813">
        <v>0.20833333333333334</v>
      </c>
      <c r="H3891" s="21" t="s">
        <v>10</v>
      </c>
      <c r="I3891" s="21" t="s">
        <v>4960</v>
      </c>
      <c r="J3891" s="21" t="s">
        <v>11688</v>
      </c>
      <c r="K3891" s="5814" t="s">
        <v>11689</v>
      </c>
    </row>
    <row r="3892" spans="1:11">
      <c r="A3892" s="21" t="s">
        <v>3761</v>
      </c>
      <c r="B3892" s="21" t="s">
        <v>11690</v>
      </c>
      <c r="C3892" s="21" t="s">
        <v>8</v>
      </c>
      <c r="D3892" s="21" t="s">
        <v>1288</v>
      </c>
      <c r="E3892" s="21" t="s">
        <v>9</v>
      </c>
      <c r="F3892" s="5812">
        <v>3</v>
      </c>
      <c r="G3892" s="5813">
        <v>0.20833333333333334</v>
      </c>
      <c r="H3892" s="21" t="s">
        <v>10</v>
      </c>
      <c r="I3892" s="21" t="s">
        <v>47</v>
      </c>
      <c r="J3892" s="21" t="s">
        <v>11691</v>
      </c>
      <c r="K3892" s="5814" t="s">
        <v>11692</v>
      </c>
    </row>
    <row r="3893" spans="1:11">
      <c r="A3893" s="21" t="s">
        <v>4257</v>
      </c>
      <c r="B3893" s="21" t="s">
        <v>11693</v>
      </c>
      <c r="C3893" s="21" t="s">
        <v>22</v>
      </c>
      <c r="D3893" s="21" t="s">
        <v>1288</v>
      </c>
      <c r="E3893" s="21" t="s">
        <v>9</v>
      </c>
      <c r="F3893" s="5812">
        <v>3</v>
      </c>
      <c r="G3893" s="5813">
        <v>0.20833333333333334</v>
      </c>
      <c r="H3893" s="21" t="s">
        <v>10</v>
      </c>
      <c r="I3893" s="21" t="s">
        <v>654</v>
      </c>
      <c r="J3893" s="21" t="s">
        <v>11694</v>
      </c>
      <c r="K3893" s="5814" t="s">
        <v>11695</v>
      </c>
    </row>
    <row r="3894" spans="1:11">
      <c r="A3894" s="21" t="s">
        <v>3354</v>
      </c>
      <c r="B3894" s="21" t="s">
        <v>11696</v>
      </c>
      <c r="C3894" s="21" t="s">
        <v>22</v>
      </c>
      <c r="D3894" s="21" t="s">
        <v>1288</v>
      </c>
      <c r="E3894" s="21" t="s">
        <v>9</v>
      </c>
      <c r="F3894" s="5812">
        <v>3</v>
      </c>
      <c r="G3894" s="5813">
        <v>0.20833333333333334</v>
      </c>
      <c r="H3894" s="21" t="s">
        <v>10</v>
      </c>
      <c r="I3894" s="21" t="s">
        <v>2247</v>
      </c>
      <c r="J3894" s="21" t="s">
        <v>11697</v>
      </c>
      <c r="K3894" s="5814" t="s">
        <v>11698</v>
      </c>
    </row>
    <row r="3895" spans="1:11">
      <c r="A3895" s="21" t="s">
        <v>3769</v>
      </c>
      <c r="B3895" s="21" t="s">
        <v>11699</v>
      </c>
      <c r="C3895" s="21" t="s">
        <v>22</v>
      </c>
      <c r="D3895" s="21" t="s">
        <v>1288</v>
      </c>
      <c r="E3895" s="21" t="s">
        <v>9</v>
      </c>
      <c r="F3895" s="5812">
        <v>3</v>
      </c>
      <c r="G3895" s="5813">
        <v>0.20833333333333334</v>
      </c>
      <c r="H3895" s="21" t="s">
        <v>10</v>
      </c>
      <c r="I3895" s="21" t="s">
        <v>47</v>
      </c>
      <c r="J3895" s="21" t="s">
        <v>11700</v>
      </c>
      <c r="K3895" s="5814" t="s">
        <v>11701</v>
      </c>
    </row>
    <row r="3896" spans="1:11">
      <c r="A3896" s="21" t="s">
        <v>3053</v>
      </c>
      <c r="B3896" s="21" t="s">
        <v>11702</v>
      </c>
      <c r="C3896" s="21" t="s">
        <v>22</v>
      </c>
      <c r="D3896" s="21" t="s">
        <v>1288</v>
      </c>
      <c r="E3896" s="21" t="s">
        <v>9</v>
      </c>
      <c r="F3896" s="5812">
        <v>3</v>
      </c>
      <c r="G3896" s="5813">
        <v>0.20833333333333334</v>
      </c>
      <c r="H3896" s="21" t="s">
        <v>10</v>
      </c>
      <c r="I3896" s="21" t="s">
        <v>2660</v>
      </c>
      <c r="J3896" s="21" t="s">
        <v>5706</v>
      </c>
      <c r="K3896" s="5814" t="s">
        <v>11703</v>
      </c>
    </row>
    <row r="3897" spans="1:11">
      <c r="A3897" s="21" t="s">
        <v>2780</v>
      </c>
      <c r="B3897" s="21" t="s">
        <v>11704</v>
      </c>
      <c r="C3897" s="21" t="s">
        <v>8</v>
      </c>
      <c r="D3897" s="21" t="s">
        <v>1288</v>
      </c>
      <c r="E3897" s="21" t="s">
        <v>9</v>
      </c>
      <c r="F3897" s="5812">
        <v>3</v>
      </c>
      <c r="G3897" s="5813">
        <v>0.20833333333333334</v>
      </c>
      <c r="H3897" s="21" t="s">
        <v>10</v>
      </c>
      <c r="I3897" s="21" t="s">
        <v>55</v>
      </c>
      <c r="J3897" s="21" t="s">
        <v>11705</v>
      </c>
      <c r="K3897" s="5814" t="s">
        <v>11706</v>
      </c>
    </row>
    <row r="3898" spans="1:11">
      <c r="A3898" s="21" t="s">
        <v>2784</v>
      </c>
      <c r="B3898" s="21" t="s">
        <v>11707</v>
      </c>
      <c r="C3898" s="21" t="s">
        <v>22</v>
      </c>
      <c r="D3898" s="21" t="s">
        <v>1288</v>
      </c>
      <c r="E3898" s="21" t="s">
        <v>9</v>
      </c>
      <c r="F3898" s="5812">
        <v>3</v>
      </c>
      <c r="G3898" s="5813">
        <v>0.20833333333333334</v>
      </c>
      <c r="H3898" s="21" t="s">
        <v>10</v>
      </c>
      <c r="I3898" s="21" t="s">
        <v>11</v>
      </c>
      <c r="J3898" s="21" t="s">
        <v>2852</v>
      </c>
      <c r="K3898" s="5814" t="s">
        <v>11708</v>
      </c>
    </row>
    <row r="3899" spans="1:11">
      <c r="A3899" s="21" t="s">
        <v>3584</v>
      </c>
      <c r="B3899" s="21" t="s">
        <v>11709</v>
      </c>
      <c r="C3899" s="21" t="s">
        <v>8</v>
      </c>
      <c r="D3899" s="21" t="s">
        <v>1288</v>
      </c>
      <c r="E3899" s="21" t="s">
        <v>9</v>
      </c>
      <c r="F3899" s="5812">
        <v>3</v>
      </c>
      <c r="G3899" s="5813">
        <v>0.20833333333333334</v>
      </c>
      <c r="H3899" s="21" t="s">
        <v>10</v>
      </c>
      <c r="I3899" s="21" t="s">
        <v>2260</v>
      </c>
      <c r="J3899" s="21" t="s">
        <v>11710</v>
      </c>
      <c r="K3899" s="5814" t="s">
        <v>11711</v>
      </c>
    </row>
    <row r="3900" spans="1:11">
      <c r="A3900" s="21" t="s">
        <v>2804</v>
      </c>
      <c r="B3900" s="21" t="s">
        <v>11712</v>
      </c>
      <c r="C3900" s="21" t="s">
        <v>8</v>
      </c>
      <c r="D3900" s="21" t="s">
        <v>1288</v>
      </c>
      <c r="E3900" s="21" t="s">
        <v>9</v>
      </c>
      <c r="F3900" s="5812">
        <v>3</v>
      </c>
      <c r="G3900" s="5813">
        <v>0.20833333333333334</v>
      </c>
      <c r="H3900" s="21" t="s">
        <v>10</v>
      </c>
      <c r="I3900" s="21" t="s">
        <v>89</v>
      </c>
      <c r="J3900" s="21" t="s">
        <v>11713</v>
      </c>
      <c r="K3900" s="5814" t="s">
        <v>11714</v>
      </c>
    </row>
    <row r="3901" spans="1:11">
      <c r="A3901" s="21" t="s">
        <v>3541</v>
      </c>
      <c r="B3901" s="21" t="s">
        <v>11715</v>
      </c>
      <c r="C3901" s="21" t="s">
        <v>22</v>
      </c>
      <c r="D3901" s="21" t="s">
        <v>1288</v>
      </c>
      <c r="E3901" s="21" t="s">
        <v>9</v>
      </c>
      <c r="F3901" s="5812">
        <v>3</v>
      </c>
      <c r="G3901" s="5813">
        <v>0.20833333333333334</v>
      </c>
      <c r="H3901" s="21" t="s">
        <v>10</v>
      </c>
      <c r="I3901" s="21" t="s">
        <v>226</v>
      </c>
      <c r="J3901" s="21" t="s">
        <v>11716</v>
      </c>
      <c r="K3901" s="5814" t="s">
        <v>11717</v>
      </c>
    </row>
    <row r="3902" spans="1:11">
      <c r="A3902" s="21" t="s">
        <v>2932</v>
      </c>
      <c r="B3902" s="21" t="s">
        <v>11718</v>
      </c>
      <c r="C3902" s="21" t="s">
        <v>8</v>
      </c>
      <c r="D3902" s="21" t="s">
        <v>1288</v>
      </c>
      <c r="E3902" s="21" t="s">
        <v>9</v>
      </c>
      <c r="F3902" s="5812">
        <v>3</v>
      </c>
      <c r="G3902" s="5813">
        <v>0.20833333333333334</v>
      </c>
      <c r="H3902" s="21" t="s">
        <v>10</v>
      </c>
      <c r="I3902" s="21" t="s">
        <v>55</v>
      </c>
      <c r="J3902" s="21" t="s">
        <v>11719</v>
      </c>
      <c r="K3902" s="5814" t="s">
        <v>11720</v>
      </c>
    </row>
    <row r="3903" spans="1:11">
      <c r="A3903" s="21" t="s">
        <v>3006</v>
      </c>
      <c r="B3903" s="21" t="s">
        <v>11721</v>
      </c>
      <c r="C3903" s="21" t="s">
        <v>22</v>
      </c>
      <c r="D3903" s="21" t="s">
        <v>1288</v>
      </c>
      <c r="E3903" s="21" t="s">
        <v>9</v>
      </c>
      <c r="F3903" s="5812">
        <v>3</v>
      </c>
      <c r="G3903" s="5813">
        <v>0.20833333333333334</v>
      </c>
      <c r="H3903" s="21" t="s">
        <v>10</v>
      </c>
      <c r="I3903" s="21" t="s">
        <v>187</v>
      </c>
      <c r="J3903" s="21" t="s">
        <v>11722</v>
      </c>
      <c r="K3903" s="5814" t="s">
        <v>11723</v>
      </c>
    </row>
    <row r="3904" spans="1:11">
      <c r="A3904" s="21" t="s">
        <v>2835</v>
      </c>
      <c r="B3904" s="21" t="s">
        <v>11724</v>
      </c>
      <c r="C3904" s="21" t="s">
        <v>22</v>
      </c>
      <c r="D3904" s="21" t="s">
        <v>1288</v>
      </c>
      <c r="E3904" s="21" t="s">
        <v>9</v>
      </c>
      <c r="F3904" s="5812">
        <v>3</v>
      </c>
      <c r="G3904" s="5813">
        <v>0.20833333333333334</v>
      </c>
      <c r="H3904" s="21" t="s">
        <v>10</v>
      </c>
      <c r="I3904" s="21" t="s">
        <v>55</v>
      </c>
      <c r="J3904" s="21" t="s">
        <v>11725</v>
      </c>
      <c r="K3904" s="5814" t="s">
        <v>11726</v>
      </c>
    </row>
    <row r="3905" spans="1:11">
      <c r="A3905" s="21" t="s">
        <v>2254</v>
      </c>
      <c r="B3905" s="21" t="s">
        <v>11727</v>
      </c>
      <c r="C3905" s="21" t="s">
        <v>8</v>
      </c>
      <c r="D3905" s="21" t="s">
        <v>1288</v>
      </c>
      <c r="E3905" s="21" t="s">
        <v>9</v>
      </c>
      <c r="F3905" s="5812">
        <v>3</v>
      </c>
      <c r="G3905" s="5813">
        <v>0.20833333333333334</v>
      </c>
      <c r="H3905" s="21" t="s">
        <v>10</v>
      </c>
      <c r="I3905" s="21" t="s">
        <v>2297</v>
      </c>
      <c r="J3905" s="21" t="s">
        <v>11728</v>
      </c>
      <c r="K3905" s="5814" t="s">
        <v>11729</v>
      </c>
    </row>
    <row r="3906" spans="1:11">
      <c r="A3906" s="21" t="s">
        <v>4768</v>
      </c>
      <c r="B3906" s="21" t="s">
        <v>11730</v>
      </c>
      <c r="C3906" s="21" t="s">
        <v>8</v>
      </c>
      <c r="D3906" s="21" t="s">
        <v>1288</v>
      </c>
      <c r="E3906" s="21" t="s">
        <v>9</v>
      </c>
      <c r="F3906" s="5812">
        <v>3</v>
      </c>
      <c r="G3906" s="5813">
        <v>0.20833333333333334</v>
      </c>
      <c r="H3906" s="21" t="s">
        <v>10</v>
      </c>
      <c r="I3906" s="21" t="s">
        <v>3534</v>
      </c>
      <c r="J3906" s="21" t="s">
        <v>11731</v>
      </c>
      <c r="K3906" s="5814" t="s">
        <v>11732</v>
      </c>
    </row>
    <row r="3907" spans="1:11">
      <c r="A3907" s="21" t="s">
        <v>4396</v>
      </c>
      <c r="B3907" s="21" t="s">
        <v>9842</v>
      </c>
      <c r="C3907" s="21" t="s">
        <v>8</v>
      </c>
      <c r="D3907" s="21" t="s">
        <v>1288</v>
      </c>
      <c r="E3907" s="21" t="s">
        <v>9</v>
      </c>
      <c r="F3907" s="5812">
        <v>3</v>
      </c>
      <c r="G3907" s="5813">
        <v>0.20833333333333334</v>
      </c>
      <c r="H3907" s="21" t="s">
        <v>10</v>
      </c>
      <c r="I3907" s="21" t="s">
        <v>55</v>
      </c>
      <c r="J3907" s="21" t="s">
        <v>11733</v>
      </c>
      <c r="K3907" s="5814" t="s">
        <v>11734</v>
      </c>
    </row>
    <row r="3908" spans="1:11">
      <c r="A3908" s="21" t="s">
        <v>4434</v>
      </c>
      <c r="B3908" s="21" t="s">
        <v>11735</v>
      </c>
      <c r="C3908" s="21" t="s">
        <v>22</v>
      </c>
      <c r="D3908" s="21" t="s">
        <v>1288</v>
      </c>
      <c r="E3908" s="21" t="s">
        <v>9</v>
      </c>
      <c r="F3908" s="5812">
        <v>3</v>
      </c>
      <c r="G3908" s="5813">
        <v>0.20833333333333334</v>
      </c>
      <c r="H3908" s="21" t="s">
        <v>10</v>
      </c>
      <c r="I3908" s="21" t="s">
        <v>2181</v>
      </c>
      <c r="J3908" s="21" t="s">
        <v>11736</v>
      </c>
      <c r="K3908" s="5814" t="s">
        <v>11737</v>
      </c>
    </row>
    <row r="3909" spans="1:11">
      <c r="A3909" s="21" t="s">
        <v>2870</v>
      </c>
      <c r="B3909" s="21" t="s">
        <v>11738</v>
      </c>
      <c r="C3909" s="21" t="s">
        <v>8</v>
      </c>
      <c r="D3909" s="21" t="s">
        <v>1288</v>
      </c>
      <c r="E3909" s="21" t="s">
        <v>9</v>
      </c>
      <c r="F3909" s="5812">
        <v>3</v>
      </c>
      <c r="G3909" s="5813">
        <v>0.20833333333333334</v>
      </c>
      <c r="H3909" s="21" t="s">
        <v>10</v>
      </c>
      <c r="I3909" s="21" t="s">
        <v>2872</v>
      </c>
      <c r="J3909" s="21" t="s">
        <v>11739</v>
      </c>
      <c r="K3909" s="5814" t="s">
        <v>11740</v>
      </c>
    </row>
    <row r="3910" spans="1:11">
      <c r="A3910" s="21" t="s">
        <v>2870</v>
      </c>
      <c r="B3910" s="21" t="s">
        <v>11741</v>
      </c>
      <c r="C3910" s="21" t="s">
        <v>22</v>
      </c>
      <c r="D3910" s="21" t="s">
        <v>1288</v>
      </c>
      <c r="E3910" s="21" t="s">
        <v>9</v>
      </c>
      <c r="F3910" s="5812">
        <v>3</v>
      </c>
      <c r="G3910" s="5813">
        <v>0.20833333333333334</v>
      </c>
      <c r="H3910" s="21" t="s">
        <v>10</v>
      </c>
      <c r="I3910" s="21" t="s">
        <v>55</v>
      </c>
      <c r="J3910" s="21" t="s">
        <v>11742</v>
      </c>
      <c r="K3910" s="5814" t="s">
        <v>11743</v>
      </c>
    </row>
    <row r="3911" spans="1:11">
      <c r="A3911" s="21" t="s">
        <v>2280</v>
      </c>
      <c r="B3911" s="21" t="s">
        <v>11744</v>
      </c>
      <c r="C3911" s="21" t="s">
        <v>8</v>
      </c>
      <c r="D3911" s="21" t="s">
        <v>1288</v>
      </c>
      <c r="E3911" s="21" t="s">
        <v>9</v>
      </c>
      <c r="F3911" s="5812">
        <v>3</v>
      </c>
      <c r="G3911" s="5813">
        <v>0.20833333333333334</v>
      </c>
      <c r="H3911" s="21" t="s">
        <v>10</v>
      </c>
      <c r="I3911" s="21" t="s">
        <v>96</v>
      </c>
      <c r="J3911" s="21" t="s">
        <v>11745</v>
      </c>
      <c r="K3911" s="5814" t="s">
        <v>11746</v>
      </c>
    </row>
    <row r="3912" spans="1:11">
      <c r="A3912" s="21" t="s">
        <v>2280</v>
      </c>
      <c r="B3912" s="21" t="s">
        <v>11747</v>
      </c>
      <c r="C3912" s="21" t="s">
        <v>8</v>
      </c>
      <c r="D3912" s="21" t="s">
        <v>1288</v>
      </c>
      <c r="E3912" s="21" t="s">
        <v>9</v>
      </c>
      <c r="F3912" s="5812">
        <v>3</v>
      </c>
      <c r="G3912" s="5813">
        <v>0.20833333333333334</v>
      </c>
      <c r="H3912" s="21" t="s">
        <v>10</v>
      </c>
      <c r="I3912" s="21" t="s">
        <v>2297</v>
      </c>
      <c r="J3912" s="21" t="s">
        <v>11748</v>
      </c>
      <c r="K3912" s="5814" t="s">
        <v>11749</v>
      </c>
    </row>
    <row r="3913" spans="1:11">
      <c r="A3913" s="21" t="s">
        <v>2104</v>
      </c>
      <c r="B3913" s="21" t="s">
        <v>11750</v>
      </c>
      <c r="C3913" s="21" t="s">
        <v>8</v>
      </c>
      <c r="D3913" s="21" t="s">
        <v>1288</v>
      </c>
      <c r="E3913" s="21" t="s">
        <v>9</v>
      </c>
      <c r="F3913" s="5812">
        <v>5</v>
      </c>
      <c r="G3913" s="5813">
        <v>0.20833333333333334</v>
      </c>
      <c r="H3913" s="21" t="s">
        <v>54</v>
      </c>
      <c r="I3913" s="21" t="s">
        <v>96</v>
      </c>
      <c r="J3913" s="21" t="s">
        <v>11751</v>
      </c>
      <c r="K3913" s="5814" t="s">
        <v>11752</v>
      </c>
    </row>
    <row r="3914" spans="1:11">
      <c r="A3914" s="21" t="s">
        <v>2521</v>
      </c>
      <c r="B3914" s="21" t="s">
        <v>11753</v>
      </c>
      <c r="C3914" s="21" t="s">
        <v>8</v>
      </c>
      <c r="D3914" s="21" t="s">
        <v>1288</v>
      </c>
      <c r="E3914" s="21" t="s">
        <v>9</v>
      </c>
      <c r="F3914" s="5812">
        <v>5</v>
      </c>
      <c r="G3914" s="5813">
        <v>0.20833333333333334</v>
      </c>
      <c r="H3914" s="21" t="s">
        <v>54</v>
      </c>
      <c r="I3914" s="21" t="s">
        <v>47</v>
      </c>
      <c r="J3914" s="21" t="s">
        <v>11754</v>
      </c>
      <c r="K3914" s="5814" t="s">
        <v>11755</v>
      </c>
    </row>
    <row r="3915" spans="1:11">
      <c r="A3915" s="21" t="s">
        <v>3192</v>
      </c>
      <c r="B3915" s="21" t="s">
        <v>11756</v>
      </c>
      <c r="C3915" s="21" t="s">
        <v>22</v>
      </c>
      <c r="D3915" s="21" t="s">
        <v>1288</v>
      </c>
      <c r="E3915" s="21" t="s">
        <v>9</v>
      </c>
      <c r="F3915" s="5812">
        <v>5</v>
      </c>
      <c r="G3915" s="5813">
        <v>0.20833333333333334</v>
      </c>
      <c r="H3915" s="21" t="s">
        <v>54</v>
      </c>
      <c r="I3915" s="21" t="s">
        <v>2665</v>
      </c>
      <c r="J3915" s="21" t="s">
        <v>11757</v>
      </c>
      <c r="K3915" s="5814" t="s">
        <v>11758</v>
      </c>
    </row>
    <row r="3916" spans="1:11">
      <c r="A3916" s="21" t="s">
        <v>2595</v>
      </c>
      <c r="B3916" s="21" t="s">
        <v>11759</v>
      </c>
      <c r="C3916" s="21" t="s">
        <v>8</v>
      </c>
      <c r="D3916" s="21" t="s">
        <v>1288</v>
      </c>
      <c r="E3916" s="21" t="s">
        <v>46</v>
      </c>
      <c r="F3916" s="5812">
        <v>1</v>
      </c>
      <c r="G3916" s="5813">
        <v>1.1111111111111112E-2</v>
      </c>
      <c r="H3916" s="21" t="s">
        <v>54</v>
      </c>
      <c r="I3916" s="21" t="s">
        <v>55</v>
      </c>
      <c r="J3916" s="21" t="s">
        <v>48</v>
      </c>
      <c r="K3916" s="5814" t="s">
        <v>11760</v>
      </c>
    </row>
    <row r="3917" spans="1:11">
      <c r="A3917" s="21" t="s">
        <v>2547</v>
      </c>
      <c r="B3917" s="21" t="s">
        <v>11761</v>
      </c>
      <c r="C3917" s="21" t="s">
        <v>8</v>
      </c>
      <c r="D3917" s="21" t="s">
        <v>1288</v>
      </c>
      <c r="E3917" s="21" t="s">
        <v>46</v>
      </c>
      <c r="F3917" s="5812">
        <v>1</v>
      </c>
      <c r="G3917" s="5813">
        <v>1.5277777777777777E-2</v>
      </c>
      <c r="H3917" s="21" t="s">
        <v>10</v>
      </c>
      <c r="I3917" s="21" t="s">
        <v>23</v>
      </c>
      <c r="J3917" s="21" t="s">
        <v>1076</v>
      </c>
      <c r="K3917" s="5814" t="s">
        <v>11762</v>
      </c>
    </row>
    <row r="3918" spans="1:11">
      <c r="A3918" s="21" t="s">
        <v>2053</v>
      </c>
      <c r="B3918" s="21" t="s">
        <v>11763</v>
      </c>
      <c r="C3918" s="21" t="s">
        <v>8</v>
      </c>
      <c r="D3918" s="21" t="s">
        <v>1288</v>
      </c>
      <c r="E3918" s="21" t="s">
        <v>46</v>
      </c>
      <c r="F3918" s="5812">
        <v>1</v>
      </c>
      <c r="G3918" s="5813">
        <v>4.5138888888888888E-2</v>
      </c>
      <c r="H3918" s="21" t="s">
        <v>10</v>
      </c>
      <c r="I3918" s="21" t="s">
        <v>55</v>
      </c>
      <c r="J3918" s="21" t="s">
        <v>97</v>
      </c>
      <c r="K3918" s="5814" t="s">
        <v>11764</v>
      </c>
    </row>
    <row r="3919" spans="1:11">
      <c r="A3919" s="21" t="s">
        <v>2643</v>
      </c>
      <c r="B3919" s="21" t="s">
        <v>11765</v>
      </c>
      <c r="C3919" s="21" t="s">
        <v>22</v>
      </c>
      <c r="D3919" s="21" t="s">
        <v>1288</v>
      </c>
      <c r="E3919" s="21" t="s">
        <v>46</v>
      </c>
      <c r="F3919" s="5812">
        <v>1</v>
      </c>
      <c r="G3919" s="5813">
        <v>7.5694444444444439E-2</v>
      </c>
      <c r="H3919" s="21" t="s">
        <v>10</v>
      </c>
      <c r="I3919" s="21" t="s">
        <v>23</v>
      </c>
      <c r="J3919" s="21" t="s">
        <v>48</v>
      </c>
      <c r="K3919" s="5814" t="s">
        <v>11766</v>
      </c>
    </row>
    <row r="3920" spans="1:11">
      <c r="A3920" s="21" t="s">
        <v>2376</v>
      </c>
      <c r="B3920" s="21" t="s">
        <v>11767</v>
      </c>
      <c r="C3920" s="21" t="s">
        <v>8</v>
      </c>
      <c r="D3920" s="21" t="s">
        <v>1288</v>
      </c>
      <c r="E3920" s="21" t="s">
        <v>46</v>
      </c>
      <c r="F3920" s="5812">
        <v>1</v>
      </c>
      <c r="G3920" s="5813">
        <v>0.12916666666666668</v>
      </c>
      <c r="H3920" s="21" t="s">
        <v>10</v>
      </c>
      <c r="I3920" s="21" t="s">
        <v>23</v>
      </c>
      <c r="J3920" s="21" t="s">
        <v>11768</v>
      </c>
      <c r="K3920" s="5814" t="s">
        <v>11769</v>
      </c>
    </row>
    <row r="3921" spans="1:11">
      <c r="A3921" s="21" t="s">
        <v>5148</v>
      </c>
      <c r="B3921" s="21" t="s">
        <v>11770</v>
      </c>
      <c r="C3921" s="21" t="s">
        <v>8</v>
      </c>
      <c r="D3921" s="21" t="s">
        <v>1288</v>
      </c>
      <c r="E3921" s="21" t="s">
        <v>46</v>
      </c>
      <c r="F3921" s="5812">
        <v>1</v>
      </c>
      <c r="G3921" s="5813">
        <v>0.14305555555555555</v>
      </c>
      <c r="H3921" s="21" t="s">
        <v>10</v>
      </c>
      <c r="I3921" s="21" t="s">
        <v>23</v>
      </c>
      <c r="J3921" s="21" t="s">
        <v>258</v>
      </c>
      <c r="K3921" s="5814" t="s">
        <v>11771</v>
      </c>
    </row>
    <row r="3922" spans="1:11">
      <c r="A3922" s="21" t="s">
        <v>5220</v>
      </c>
      <c r="B3922" s="21" t="s">
        <v>11772</v>
      </c>
      <c r="C3922" s="21" t="s">
        <v>8</v>
      </c>
      <c r="D3922" s="21" t="s">
        <v>1288</v>
      </c>
      <c r="E3922" s="21" t="s">
        <v>46</v>
      </c>
      <c r="F3922" s="5812">
        <v>1</v>
      </c>
      <c r="G3922" s="5813">
        <v>0.15694444444444444</v>
      </c>
      <c r="H3922" s="21" t="s">
        <v>10</v>
      </c>
      <c r="I3922" s="21" t="s">
        <v>2814</v>
      </c>
      <c r="J3922" s="21" t="s">
        <v>1321</v>
      </c>
      <c r="K3922" s="5814" t="s">
        <v>11773</v>
      </c>
    </row>
    <row r="3923" spans="1:11">
      <c r="A3923" s="21" t="s">
        <v>3235</v>
      </c>
      <c r="B3923" s="21" t="s">
        <v>11774</v>
      </c>
      <c r="C3923" s="21" t="s">
        <v>8</v>
      </c>
      <c r="D3923" s="21" t="s">
        <v>1288</v>
      </c>
      <c r="E3923" s="21" t="s">
        <v>46</v>
      </c>
      <c r="F3923" s="5812">
        <v>1</v>
      </c>
      <c r="G3923" s="5813">
        <v>0.19097222222222221</v>
      </c>
      <c r="H3923" s="21" t="s">
        <v>10</v>
      </c>
      <c r="I3923" s="21" t="s">
        <v>96</v>
      </c>
      <c r="J3923" s="21" t="s">
        <v>127</v>
      </c>
      <c r="K3923" s="5814" t="s">
        <v>11775</v>
      </c>
    </row>
    <row r="3924" spans="1:11">
      <c r="A3924" s="21" t="s">
        <v>2156</v>
      </c>
      <c r="B3924" s="21" t="s">
        <v>11776</v>
      </c>
      <c r="C3924" s="21" t="s">
        <v>22</v>
      </c>
      <c r="D3924" s="21" t="s">
        <v>1288</v>
      </c>
      <c r="E3924" s="21" t="s">
        <v>46</v>
      </c>
      <c r="F3924" s="5812">
        <v>1</v>
      </c>
      <c r="G3924" s="5813">
        <v>0.20208333333333334</v>
      </c>
      <c r="H3924" s="21" t="s">
        <v>10</v>
      </c>
      <c r="I3924" s="21" t="s">
        <v>96</v>
      </c>
      <c r="J3924" s="21" t="s">
        <v>48</v>
      </c>
      <c r="K3924" s="5814" t="s">
        <v>11777</v>
      </c>
    </row>
    <row r="3925" spans="1:11">
      <c r="A3925" s="21" t="s">
        <v>2481</v>
      </c>
      <c r="B3925" s="21" t="s">
        <v>11778</v>
      </c>
      <c r="C3925" s="21" t="s">
        <v>22</v>
      </c>
      <c r="D3925" s="21" t="s">
        <v>1288</v>
      </c>
      <c r="E3925" s="21" t="s">
        <v>46</v>
      </c>
      <c r="F3925" s="5812">
        <v>1</v>
      </c>
      <c r="G3925" s="5813">
        <v>0.20416666666666666</v>
      </c>
      <c r="H3925" s="21" t="s">
        <v>10</v>
      </c>
      <c r="I3925" s="21" t="s">
        <v>11</v>
      </c>
      <c r="J3925" s="21" t="s">
        <v>48</v>
      </c>
      <c r="K3925" s="5814" t="s">
        <v>11779</v>
      </c>
    </row>
    <row r="3926" spans="1:11">
      <c r="A3926" s="21" t="s">
        <v>2982</v>
      </c>
      <c r="B3926" s="21" t="s">
        <v>11780</v>
      </c>
      <c r="C3926" s="21" t="s">
        <v>8</v>
      </c>
      <c r="D3926" s="21" t="s">
        <v>1288</v>
      </c>
      <c r="E3926" s="21" t="s">
        <v>46</v>
      </c>
      <c r="F3926" s="5812">
        <v>2</v>
      </c>
      <c r="G3926" s="5813">
        <v>9.8611111111111108E-2</v>
      </c>
      <c r="H3926" s="21" t="s">
        <v>10</v>
      </c>
      <c r="I3926" s="21" t="s">
        <v>39</v>
      </c>
      <c r="J3926" s="21" t="s">
        <v>8015</v>
      </c>
      <c r="K3926" s="5814" t="s">
        <v>11781</v>
      </c>
    </row>
    <row r="3927" spans="1:11">
      <c r="A3927" s="21" t="s">
        <v>2616</v>
      </c>
      <c r="B3927" s="21" t="s">
        <v>11782</v>
      </c>
      <c r="C3927" s="21" t="s">
        <v>8</v>
      </c>
      <c r="D3927" s="21" t="s">
        <v>1288</v>
      </c>
      <c r="E3927" s="21" t="s">
        <v>46</v>
      </c>
      <c r="F3927" s="5812">
        <v>2</v>
      </c>
      <c r="G3927" s="5813">
        <v>9.8611111111111108E-2</v>
      </c>
      <c r="H3927" s="21" t="s">
        <v>10</v>
      </c>
      <c r="I3927" s="21" t="s">
        <v>2872</v>
      </c>
      <c r="J3927" s="21" t="s">
        <v>430</v>
      </c>
      <c r="K3927" s="5814" t="s">
        <v>11783</v>
      </c>
    </row>
    <row r="3928" spans="1:11">
      <c r="A3928" s="21" t="s">
        <v>3213</v>
      </c>
      <c r="B3928" s="21" t="s">
        <v>11784</v>
      </c>
      <c r="C3928" s="21" t="s">
        <v>22</v>
      </c>
      <c r="D3928" s="21" t="s">
        <v>1288</v>
      </c>
      <c r="E3928" s="21" t="s">
        <v>46</v>
      </c>
      <c r="F3928" s="5812">
        <v>2</v>
      </c>
      <c r="G3928" s="5813">
        <v>0.10625</v>
      </c>
      <c r="H3928" s="21" t="s">
        <v>10</v>
      </c>
      <c r="I3928" s="21" t="s">
        <v>2313</v>
      </c>
      <c r="J3928" s="21" t="s">
        <v>430</v>
      </c>
      <c r="K3928" s="5814" t="s">
        <v>11785</v>
      </c>
    </row>
    <row r="3929" spans="1:11">
      <c r="A3929" s="21" t="s">
        <v>2772</v>
      </c>
      <c r="B3929" s="21" t="s">
        <v>11786</v>
      </c>
      <c r="C3929" s="21" t="s">
        <v>8</v>
      </c>
      <c r="D3929" s="21" t="s">
        <v>1288</v>
      </c>
      <c r="E3929" s="21" t="s">
        <v>46</v>
      </c>
      <c r="F3929" s="5812">
        <v>2</v>
      </c>
      <c r="G3929" s="5813">
        <v>0.12013888888888889</v>
      </c>
      <c r="H3929" s="21" t="s">
        <v>10</v>
      </c>
      <c r="I3929" s="21" t="s">
        <v>2814</v>
      </c>
      <c r="J3929" s="21" t="s">
        <v>9292</v>
      </c>
      <c r="K3929" s="5814" t="s">
        <v>11787</v>
      </c>
    </row>
    <row r="3930" spans="1:11">
      <c r="A3930" s="21" t="s">
        <v>79</v>
      </c>
      <c r="B3930" s="21" t="s">
        <v>1320</v>
      </c>
      <c r="C3930" s="21" t="s">
        <v>22</v>
      </c>
      <c r="D3930" s="21" t="s">
        <v>1288</v>
      </c>
      <c r="E3930" s="21" t="s">
        <v>46</v>
      </c>
      <c r="F3930" s="5812">
        <v>2</v>
      </c>
      <c r="G3930" s="5813">
        <v>0.12916666666666668</v>
      </c>
      <c r="H3930" s="21" t="s">
        <v>10</v>
      </c>
      <c r="I3930" s="21" t="s">
        <v>23</v>
      </c>
      <c r="J3930" s="21" t="s">
        <v>1321</v>
      </c>
      <c r="K3930" s="5814" t="s">
        <v>1322</v>
      </c>
    </row>
    <row r="3931" spans="1:11">
      <c r="A3931" s="21" t="s">
        <v>2395</v>
      </c>
      <c r="B3931" s="21" t="s">
        <v>11788</v>
      </c>
      <c r="C3931" s="21" t="s">
        <v>22</v>
      </c>
      <c r="D3931" s="21" t="s">
        <v>1288</v>
      </c>
      <c r="E3931" s="21" t="s">
        <v>46</v>
      </c>
      <c r="F3931" s="5812">
        <v>2</v>
      </c>
      <c r="G3931" s="5813">
        <v>0.16944444444444445</v>
      </c>
      <c r="H3931" s="21" t="s">
        <v>10</v>
      </c>
      <c r="I3931" s="21" t="s">
        <v>55</v>
      </c>
      <c r="J3931" s="21" t="s">
        <v>907</v>
      </c>
      <c r="K3931" s="5814" t="s">
        <v>11789</v>
      </c>
    </row>
    <row r="3932" spans="1:11">
      <c r="A3932" s="21" t="s">
        <v>2070</v>
      </c>
      <c r="B3932" s="21" t="s">
        <v>11790</v>
      </c>
      <c r="C3932" s="21" t="s">
        <v>8</v>
      </c>
      <c r="D3932" s="21" t="s">
        <v>1288</v>
      </c>
      <c r="E3932" s="21" t="s">
        <v>46</v>
      </c>
      <c r="F3932" s="5812">
        <v>3</v>
      </c>
      <c r="G3932" s="5813">
        <v>2.2916666666666665E-2</v>
      </c>
      <c r="H3932" s="21" t="s">
        <v>10</v>
      </c>
      <c r="I3932" s="21" t="s">
        <v>11</v>
      </c>
      <c r="J3932" s="21" t="s">
        <v>258</v>
      </c>
      <c r="K3932" s="5814" t="s">
        <v>11791</v>
      </c>
    </row>
    <row r="3933" spans="1:11">
      <c r="A3933" s="21" t="s">
        <v>3160</v>
      </c>
      <c r="B3933" s="21" t="s">
        <v>11792</v>
      </c>
      <c r="C3933" s="21" t="s">
        <v>22</v>
      </c>
      <c r="D3933" s="21" t="s">
        <v>1288</v>
      </c>
      <c r="E3933" s="21" t="s">
        <v>46</v>
      </c>
      <c r="F3933" s="5812">
        <v>3</v>
      </c>
      <c r="G3933" s="5813">
        <v>3.3333333333333333E-2</v>
      </c>
      <c r="H3933" s="21" t="s">
        <v>10</v>
      </c>
      <c r="I3933" s="21" t="s">
        <v>788</v>
      </c>
      <c r="J3933" s="21" t="s">
        <v>48</v>
      </c>
      <c r="K3933" s="5814" t="s">
        <v>11793</v>
      </c>
    </row>
    <row r="3934" spans="1:11">
      <c r="A3934" s="21" t="s">
        <v>3053</v>
      </c>
      <c r="B3934" s="21" t="s">
        <v>11794</v>
      </c>
      <c r="C3934" s="21" t="s">
        <v>8</v>
      </c>
      <c r="D3934" s="21" t="s">
        <v>1288</v>
      </c>
      <c r="E3934" s="21" t="s">
        <v>46</v>
      </c>
      <c r="F3934" s="5812">
        <v>3</v>
      </c>
      <c r="G3934" s="5813">
        <v>4.791666666666667E-2</v>
      </c>
      <c r="H3934" s="21" t="s">
        <v>54</v>
      </c>
      <c r="I3934" s="21" t="s">
        <v>47</v>
      </c>
      <c r="J3934" s="21" t="s">
        <v>722</v>
      </c>
      <c r="K3934" s="5814" t="s">
        <v>11795</v>
      </c>
    </row>
    <row r="3935" spans="1:11">
      <c r="A3935" s="21" t="s">
        <v>2491</v>
      </c>
      <c r="B3935" s="21" t="s">
        <v>11796</v>
      </c>
      <c r="C3935" s="21" t="s">
        <v>22</v>
      </c>
      <c r="D3935" s="21" t="s">
        <v>1288</v>
      </c>
      <c r="E3935" s="21" t="s">
        <v>46</v>
      </c>
      <c r="F3935" s="5812">
        <v>3</v>
      </c>
      <c r="G3935" s="5813">
        <v>7.8472222222222221E-2</v>
      </c>
      <c r="H3935" s="21" t="s">
        <v>10</v>
      </c>
      <c r="I3935" s="21" t="s">
        <v>39</v>
      </c>
      <c r="J3935" s="21" t="s">
        <v>3080</v>
      </c>
      <c r="K3935" s="5814" t="s">
        <v>11797</v>
      </c>
    </row>
    <row r="3936" spans="1:11">
      <c r="A3936" s="21" t="s">
        <v>3728</v>
      </c>
      <c r="B3936" s="21" t="s">
        <v>11798</v>
      </c>
      <c r="C3936" s="21" t="s">
        <v>22</v>
      </c>
      <c r="D3936" s="21" t="s">
        <v>1288</v>
      </c>
      <c r="E3936" s="21" t="s">
        <v>46</v>
      </c>
      <c r="F3936" s="5812">
        <v>3</v>
      </c>
      <c r="G3936" s="5813">
        <v>0.10138888888888889</v>
      </c>
      <c r="H3936" s="21" t="s">
        <v>10</v>
      </c>
      <c r="I3936" s="21" t="s">
        <v>47</v>
      </c>
      <c r="J3936" s="21" t="s">
        <v>907</v>
      </c>
      <c r="K3936" s="5814" t="s">
        <v>11799</v>
      </c>
    </row>
    <row r="3937" spans="1:11">
      <c r="A3937" s="21" t="s">
        <v>2827</v>
      </c>
      <c r="B3937" s="21" t="s">
        <v>11800</v>
      </c>
      <c r="C3937" s="21" t="s">
        <v>8</v>
      </c>
      <c r="D3937" s="21" t="s">
        <v>1288</v>
      </c>
      <c r="E3937" s="21" t="s">
        <v>46</v>
      </c>
      <c r="F3937" s="5812">
        <v>3</v>
      </c>
      <c r="G3937" s="5813">
        <v>0.11527777777777778</v>
      </c>
      <c r="H3937" s="21" t="s">
        <v>10</v>
      </c>
      <c r="I3937" s="21" t="s">
        <v>2260</v>
      </c>
      <c r="J3937" s="21" t="s">
        <v>1117</v>
      </c>
      <c r="K3937" s="5814" t="s">
        <v>11801</v>
      </c>
    </row>
    <row r="3938" spans="1:11">
      <c r="A3938" s="21" t="s">
        <v>2812</v>
      </c>
      <c r="B3938" s="21" t="s">
        <v>11802</v>
      </c>
      <c r="C3938" s="21" t="s">
        <v>8</v>
      </c>
      <c r="D3938" s="21" t="s">
        <v>1288</v>
      </c>
      <c r="E3938" s="21" t="s">
        <v>46</v>
      </c>
      <c r="F3938" s="5812">
        <v>3</v>
      </c>
      <c r="G3938" s="5813">
        <v>0.12708333333333333</v>
      </c>
      <c r="H3938" s="21" t="s">
        <v>10</v>
      </c>
      <c r="I3938" s="21" t="s">
        <v>2731</v>
      </c>
      <c r="J3938" s="21" t="s">
        <v>907</v>
      </c>
      <c r="K3938" s="5814" t="s">
        <v>11803</v>
      </c>
    </row>
    <row r="3939" spans="1:11">
      <c r="A3939" s="21" t="s">
        <v>2131</v>
      </c>
      <c r="B3939" s="21" t="s">
        <v>11804</v>
      </c>
      <c r="C3939" s="21" t="s">
        <v>8</v>
      </c>
      <c r="D3939" s="21" t="s">
        <v>1288</v>
      </c>
      <c r="E3939" s="21" t="s">
        <v>46</v>
      </c>
      <c r="F3939" s="5812">
        <v>3</v>
      </c>
      <c r="G3939" s="5813">
        <v>0.18124999999999999</v>
      </c>
      <c r="H3939" s="21" t="s">
        <v>10</v>
      </c>
      <c r="I3939" s="21" t="s">
        <v>23</v>
      </c>
      <c r="J3939" s="21" t="s">
        <v>940</v>
      </c>
      <c r="K3939" s="5814" t="s">
        <v>11805</v>
      </c>
    </row>
    <row r="3940" spans="1:11">
      <c r="A3940" s="21" t="s">
        <v>4863</v>
      </c>
      <c r="B3940" s="21" t="s">
        <v>11806</v>
      </c>
      <c r="C3940" s="21" t="s">
        <v>8</v>
      </c>
      <c r="D3940" s="21" t="s">
        <v>1288</v>
      </c>
      <c r="E3940" s="21" t="s">
        <v>46</v>
      </c>
      <c r="F3940" s="5812">
        <v>3</v>
      </c>
      <c r="G3940" s="5813">
        <v>0.20416666666666666</v>
      </c>
      <c r="H3940" s="21" t="s">
        <v>10</v>
      </c>
      <c r="I3940" s="21" t="s">
        <v>2523</v>
      </c>
      <c r="J3940" s="21" t="s">
        <v>258</v>
      </c>
      <c r="K3940" s="5814" t="s">
        <v>11807</v>
      </c>
    </row>
    <row r="3941" spans="1:11">
      <c r="A3941" s="21" t="s">
        <v>3565</v>
      </c>
      <c r="B3941" s="21" t="s">
        <v>11808</v>
      </c>
      <c r="C3941" s="21" t="s">
        <v>8</v>
      </c>
      <c r="D3941" s="21" t="s">
        <v>1288</v>
      </c>
      <c r="E3941" s="21" t="s">
        <v>46</v>
      </c>
      <c r="F3941" s="5812">
        <v>3</v>
      </c>
      <c r="G3941" s="5813">
        <v>0.2048611111111111</v>
      </c>
      <c r="H3941" s="21" t="s">
        <v>10</v>
      </c>
      <c r="I3941" s="21" t="s">
        <v>2218</v>
      </c>
      <c r="J3941" s="21" t="s">
        <v>430</v>
      </c>
      <c r="K3941" s="5814" t="s">
        <v>11809</v>
      </c>
    </row>
    <row r="3942" spans="1:11">
      <c r="A3942" s="21" t="s">
        <v>2045</v>
      </c>
      <c r="B3942" s="21" t="s">
        <v>11810</v>
      </c>
      <c r="C3942" s="21" t="s">
        <v>22</v>
      </c>
      <c r="D3942" s="21" t="s">
        <v>1288</v>
      </c>
      <c r="E3942" s="21" t="s">
        <v>61</v>
      </c>
      <c r="F3942" s="5812">
        <v>1</v>
      </c>
      <c r="G3942" s="5813">
        <v>2.9166666666666667E-2</v>
      </c>
      <c r="H3942" s="21" t="s">
        <v>10</v>
      </c>
      <c r="I3942" s="21" t="s">
        <v>23</v>
      </c>
      <c r="J3942" s="21" t="s">
        <v>3425</v>
      </c>
      <c r="K3942" s="5814" t="s">
        <v>11811</v>
      </c>
    </row>
    <row r="3943" spans="1:11">
      <c r="A3943" s="21" t="s">
        <v>2792</v>
      </c>
      <c r="B3943" s="21" t="s">
        <v>11812</v>
      </c>
      <c r="C3943" s="21" t="s">
        <v>8</v>
      </c>
      <c r="D3943" s="21" t="s">
        <v>1288</v>
      </c>
      <c r="E3943" s="21" t="s">
        <v>61</v>
      </c>
      <c r="F3943" s="5812">
        <v>1</v>
      </c>
      <c r="G3943" s="5813">
        <v>5.1388888888888887E-2</v>
      </c>
      <c r="H3943" s="21" t="s">
        <v>10</v>
      </c>
      <c r="I3943" s="21" t="s">
        <v>2247</v>
      </c>
      <c r="J3943" s="21" t="s">
        <v>836</v>
      </c>
      <c r="K3943" s="5814" t="s">
        <v>11813</v>
      </c>
    </row>
    <row r="3944" spans="1:11">
      <c r="A3944" s="21" t="s">
        <v>5984</v>
      </c>
      <c r="B3944" s="21" t="s">
        <v>11814</v>
      </c>
      <c r="C3944" s="21" t="s">
        <v>8</v>
      </c>
      <c r="D3944" s="21" t="s">
        <v>1288</v>
      </c>
      <c r="E3944" s="21" t="s">
        <v>61</v>
      </c>
      <c r="F3944" s="5812">
        <v>1</v>
      </c>
      <c r="G3944" s="5813">
        <v>5.347222222222222E-2</v>
      </c>
      <c r="H3944" s="21" t="s">
        <v>10</v>
      </c>
      <c r="I3944" s="21" t="s">
        <v>23</v>
      </c>
      <c r="J3944" s="21" t="s">
        <v>11815</v>
      </c>
      <c r="K3944" s="5814" t="s">
        <v>11816</v>
      </c>
    </row>
    <row r="3945" spans="1:11">
      <c r="A3945" s="21" t="s">
        <v>3243</v>
      </c>
      <c r="B3945" s="21" t="s">
        <v>11817</v>
      </c>
      <c r="C3945" s="21" t="s">
        <v>22</v>
      </c>
      <c r="D3945" s="21" t="s">
        <v>1288</v>
      </c>
      <c r="E3945" s="21" t="s">
        <v>61</v>
      </c>
      <c r="F3945" s="5812">
        <v>1</v>
      </c>
      <c r="G3945" s="5813">
        <v>9.0972222222222218E-2</v>
      </c>
      <c r="H3945" s="21" t="s">
        <v>10</v>
      </c>
      <c r="I3945" s="21" t="s">
        <v>96</v>
      </c>
      <c r="J3945" s="21" t="s">
        <v>11818</v>
      </c>
      <c r="K3945" s="5814" t="s">
        <v>11819</v>
      </c>
    </row>
    <row r="3946" spans="1:11">
      <c r="A3946" s="21" t="s">
        <v>4293</v>
      </c>
      <c r="B3946" s="21" t="s">
        <v>11820</v>
      </c>
      <c r="C3946" s="21" t="s">
        <v>8</v>
      </c>
      <c r="D3946" s="21" t="s">
        <v>1288</v>
      </c>
      <c r="E3946" s="21" t="s">
        <v>61</v>
      </c>
      <c r="F3946" s="5812">
        <v>1</v>
      </c>
      <c r="G3946" s="5813">
        <v>0.11874999999999999</v>
      </c>
      <c r="H3946" s="21" t="s">
        <v>10</v>
      </c>
      <c r="I3946" s="21" t="s">
        <v>2872</v>
      </c>
      <c r="J3946" s="21" t="s">
        <v>1379</v>
      </c>
      <c r="K3946" s="5814" t="s">
        <v>11821</v>
      </c>
    </row>
    <row r="3947" spans="1:11">
      <c r="A3947" s="21" t="s">
        <v>2276</v>
      </c>
      <c r="B3947" s="21" t="s">
        <v>11822</v>
      </c>
      <c r="C3947" s="21" t="s">
        <v>22</v>
      </c>
      <c r="D3947" s="21" t="s">
        <v>1288</v>
      </c>
      <c r="E3947" s="21" t="s">
        <v>61</v>
      </c>
      <c r="F3947" s="5812">
        <v>1</v>
      </c>
      <c r="G3947" s="5813">
        <v>0.12013888888888889</v>
      </c>
      <c r="H3947" s="21" t="s">
        <v>10</v>
      </c>
      <c r="I3947" s="21" t="s">
        <v>2297</v>
      </c>
      <c r="J3947" s="21" t="s">
        <v>67</v>
      </c>
      <c r="K3947" s="5814" t="s">
        <v>11823</v>
      </c>
    </row>
    <row r="3948" spans="1:11">
      <c r="A3948" s="21" t="s">
        <v>2446</v>
      </c>
      <c r="B3948" s="21" t="s">
        <v>11824</v>
      </c>
      <c r="C3948" s="21" t="s">
        <v>22</v>
      </c>
      <c r="D3948" s="21" t="s">
        <v>1288</v>
      </c>
      <c r="E3948" s="21" t="s">
        <v>61</v>
      </c>
      <c r="F3948" s="5812">
        <v>1</v>
      </c>
      <c r="G3948" s="5813">
        <v>0.15555555555555556</v>
      </c>
      <c r="H3948" s="21" t="s">
        <v>10</v>
      </c>
      <c r="I3948" s="21" t="s">
        <v>96</v>
      </c>
      <c r="J3948" s="21" t="s">
        <v>1379</v>
      </c>
      <c r="K3948" s="5814" t="s">
        <v>11825</v>
      </c>
    </row>
    <row r="3949" spans="1:11">
      <c r="A3949" s="21" t="s">
        <v>20</v>
      </c>
      <c r="B3949" s="21" t="s">
        <v>1302</v>
      </c>
      <c r="C3949" s="21" t="s">
        <v>22</v>
      </c>
      <c r="D3949" s="21" t="s">
        <v>1288</v>
      </c>
      <c r="E3949" s="21" t="s">
        <v>61</v>
      </c>
      <c r="F3949" s="5812">
        <v>1</v>
      </c>
      <c r="G3949" s="5813">
        <v>0.16250000000000001</v>
      </c>
      <c r="H3949" s="21" t="s">
        <v>10</v>
      </c>
      <c r="I3949" s="21" t="s">
        <v>39</v>
      </c>
      <c r="J3949" s="21" t="s">
        <v>67</v>
      </c>
      <c r="K3949" s="5814" t="s">
        <v>1303</v>
      </c>
    </row>
    <row r="3950" spans="1:11">
      <c r="A3950" s="21" t="s">
        <v>3855</v>
      </c>
      <c r="B3950" s="21" t="s">
        <v>11826</v>
      </c>
      <c r="C3950" s="21" t="s">
        <v>22</v>
      </c>
      <c r="D3950" s="21" t="s">
        <v>1288</v>
      </c>
      <c r="E3950" s="21" t="s">
        <v>61</v>
      </c>
      <c r="F3950" s="5812">
        <v>2</v>
      </c>
      <c r="G3950" s="5813">
        <v>2.6388888888888889E-2</v>
      </c>
      <c r="H3950" s="21" t="s">
        <v>54</v>
      </c>
      <c r="I3950" s="21" t="s">
        <v>11</v>
      </c>
      <c r="J3950" s="21" t="s">
        <v>324</v>
      </c>
      <c r="K3950" s="5814" t="s">
        <v>11827</v>
      </c>
    </row>
    <row r="3951" spans="1:11">
      <c r="A3951" s="21" t="s">
        <v>103</v>
      </c>
      <c r="B3951" s="21" t="s">
        <v>1352</v>
      </c>
      <c r="C3951" s="21" t="s">
        <v>22</v>
      </c>
      <c r="D3951" s="21" t="s">
        <v>1288</v>
      </c>
      <c r="E3951" s="21" t="s">
        <v>61</v>
      </c>
      <c r="F3951" s="5812">
        <v>2</v>
      </c>
      <c r="G3951" s="5813">
        <v>7.4305555555555555E-2</v>
      </c>
      <c r="H3951" s="21" t="s">
        <v>10</v>
      </c>
      <c r="I3951" s="21" t="s">
        <v>47</v>
      </c>
      <c r="J3951" s="21" t="s">
        <v>67</v>
      </c>
      <c r="K3951" s="5814" t="s">
        <v>1353</v>
      </c>
    </row>
    <row r="3952" spans="1:11">
      <c r="A3952" s="21" t="s">
        <v>4170</v>
      </c>
      <c r="B3952" s="21" t="s">
        <v>11828</v>
      </c>
      <c r="C3952" s="21" t="s">
        <v>8</v>
      </c>
      <c r="D3952" s="21" t="s">
        <v>1288</v>
      </c>
      <c r="E3952" s="21" t="s">
        <v>61</v>
      </c>
      <c r="F3952" s="5812">
        <v>2</v>
      </c>
      <c r="G3952" s="5813">
        <v>8.2638888888888887E-2</v>
      </c>
      <c r="H3952" s="21" t="s">
        <v>10</v>
      </c>
      <c r="I3952" s="21"/>
      <c r="J3952" s="21" t="s">
        <v>67</v>
      </c>
      <c r="K3952" s="5814" t="s">
        <v>11829</v>
      </c>
    </row>
    <row r="3953" spans="1:11">
      <c r="A3953" s="21" t="s">
        <v>3044</v>
      </c>
      <c r="B3953" s="21" t="s">
        <v>11830</v>
      </c>
      <c r="C3953" s="21" t="s">
        <v>8</v>
      </c>
      <c r="D3953" s="21" t="s">
        <v>1288</v>
      </c>
      <c r="E3953" s="21" t="s">
        <v>61</v>
      </c>
      <c r="F3953" s="5812">
        <v>2</v>
      </c>
      <c r="G3953" s="5813">
        <v>0.11944444444444445</v>
      </c>
      <c r="H3953" s="21" t="s">
        <v>10</v>
      </c>
      <c r="I3953" s="21" t="s">
        <v>55</v>
      </c>
      <c r="J3953" s="21" t="s">
        <v>62</v>
      </c>
      <c r="K3953" s="5814" t="s">
        <v>11831</v>
      </c>
    </row>
    <row r="3954" spans="1:11">
      <c r="A3954" s="21" t="s">
        <v>3056</v>
      </c>
      <c r="B3954" s="21" t="s">
        <v>11832</v>
      </c>
      <c r="C3954" s="21" t="s">
        <v>8</v>
      </c>
      <c r="D3954" s="21" t="s">
        <v>1288</v>
      </c>
      <c r="E3954" s="21" t="s">
        <v>61</v>
      </c>
      <c r="F3954" s="5812">
        <v>2</v>
      </c>
      <c r="G3954" s="5813">
        <v>0.12986111111111112</v>
      </c>
      <c r="H3954" s="21" t="s">
        <v>10</v>
      </c>
      <c r="I3954" s="21" t="s">
        <v>400</v>
      </c>
      <c r="J3954" s="21" t="s">
        <v>9395</v>
      </c>
      <c r="K3954" s="5814" t="s">
        <v>11833</v>
      </c>
    </row>
    <row r="3955" spans="1:11">
      <c r="A3955" s="21" t="s">
        <v>2737</v>
      </c>
      <c r="B3955" s="21" t="s">
        <v>11834</v>
      </c>
      <c r="C3955" s="21" t="s">
        <v>22</v>
      </c>
      <c r="D3955" s="21" t="s">
        <v>1288</v>
      </c>
      <c r="E3955" s="21" t="s">
        <v>61</v>
      </c>
      <c r="F3955" s="5812">
        <v>2</v>
      </c>
      <c r="G3955" s="5813">
        <v>0.15277777777777779</v>
      </c>
      <c r="H3955" s="21" t="s">
        <v>10</v>
      </c>
      <c r="I3955" s="21" t="s">
        <v>187</v>
      </c>
      <c r="J3955" s="21" t="s">
        <v>3271</v>
      </c>
      <c r="K3955" s="5814" t="s">
        <v>11835</v>
      </c>
    </row>
    <row r="3956" spans="1:11">
      <c r="A3956" s="21" t="s">
        <v>4293</v>
      </c>
      <c r="B3956" s="21" t="s">
        <v>11836</v>
      </c>
      <c r="C3956" s="21" t="s">
        <v>22</v>
      </c>
      <c r="D3956" s="21" t="s">
        <v>1288</v>
      </c>
      <c r="E3956" s="21" t="s">
        <v>61</v>
      </c>
      <c r="F3956" s="5812">
        <v>2</v>
      </c>
      <c r="G3956" s="5813">
        <v>0.17777777777777778</v>
      </c>
      <c r="H3956" s="21" t="s">
        <v>10</v>
      </c>
      <c r="I3956" s="21" t="s">
        <v>2872</v>
      </c>
      <c r="J3956" s="21" t="s">
        <v>505</v>
      </c>
      <c r="K3956" s="5814" t="s">
        <v>11837</v>
      </c>
    </row>
    <row r="3957" spans="1:11">
      <c r="A3957" s="21" t="s">
        <v>2237</v>
      </c>
      <c r="B3957" s="21" t="s">
        <v>11838</v>
      </c>
      <c r="C3957" s="21" t="s">
        <v>8</v>
      </c>
      <c r="D3957" s="21" t="s">
        <v>1288</v>
      </c>
      <c r="E3957" s="21" t="s">
        <v>61</v>
      </c>
      <c r="F3957" s="5812">
        <v>2</v>
      </c>
      <c r="G3957" s="5813">
        <v>0.18680555555555556</v>
      </c>
      <c r="H3957" s="21" t="s">
        <v>54</v>
      </c>
      <c r="I3957" s="21" t="s">
        <v>55</v>
      </c>
      <c r="J3957" s="21" t="s">
        <v>928</v>
      </c>
      <c r="K3957" s="5814" t="s">
        <v>11839</v>
      </c>
    </row>
    <row r="3958" spans="1:11">
      <c r="A3958" s="21" t="s">
        <v>3882</v>
      </c>
      <c r="B3958" s="21" t="s">
        <v>11840</v>
      </c>
      <c r="C3958" s="21" t="s">
        <v>22</v>
      </c>
      <c r="D3958" s="21" t="s">
        <v>1288</v>
      </c>
      <c r="E3958" s="21" t="s">
        <v>61</v>
      </c>
      <c r="F3958" s="5812">
        <v>2</v>
      </c>
      <c r="G3958" s="5813">
        <v>0.19791666666666666</v>
      </c>
      <c r="H3958" s="21" t="s">
        <v>10</v>
      </c>
      <c r="I3958" s="21" t="s">
        <v>654</v>
      </c>
      <c r="J3958" s="21" t="s">
        <v>5385</v>
      </c>
      <c r="K3958" s="5814" t="s">
        <v>11841</v>
      </c>
    </row>
    <row r="3959" spans="1:11">
      <c r="A3959" s="21" t="s">
        <v>3293</v>
      </c>
      <c r="B3959" s="21" t="s">
        <v>11842</v>
      </c>
      <c r="C3959" s="21" t="s">
        <v>22</v>
      </c>
      <c r="D3959" s="21" t="s">
        <v>1288</v>
      </c>
      <c r="E3959" s="21" t="s">
        <v>61</v>
      </c>
      <c r="F3959" s="5812">
        <v>2</v>
      </c>
      <c r="G3959" s="5813">
        <v>0.20694444444444443</v>
      </c>
      <c r="H3959" s="21" t="s">
        <v>10</v>
      </c>
      <c r="I3959" s="21" t="s">
        <v>55</v>
      </c>
      <c r="J3959" s="21" t="s">
        <v>67</v>
      </c>
      <c r="K3959" s="5814" t="s">
        <v>11843</v>
      </c>
    </row>
    <row r="3960" spans="1:11">
      <c r="A3960" s="21" t="s">
        <v>207</v>
      </c>
      <c r="B3960" s="21" t="s">
        <v>1311</v>
      </c>
      <c r="C3960" s="21" t="s">
        <v>8</v>
      </c>
      <c r="D3960" s="21" t="s">
        <v>1288</v>
      </c>
      <c r="E3960" s="21" t="s">
        <v>61</v>
      </c>
      <c r="F3960" s="5812">
        <v>3</v>
      </c>
      <c r="G3960" s="5813">
        <v>5.2083333333333336E-2</v>
      </c>
      <c r="H3960" s="21" t="s">
        <v>10</v>
      </c>
      <c r="I3960" s="21" t="s">
        <v>654</v>
      </c>
      <c r="J3960" s="21" t="s">
        <v>67</v>
      </c>
      <c r="K3960" s="5814" t="s">
        <v>1312</v>
      </c>
    </row>
    <row r="3961" spans="1:11">
      <c r="A3961" s="21" t="s">
        <v>3160</v>
      </c>
      <c r="B3961" s="21" t="s">
        <v>11844</v>
      </c>
      <c r="C3961" s="21" t="s">
        <v>8</v>
      </c>
      <c r="D3961" s="21" t="s">
        <v>1288</v>
      </c>
      <c r="E3961" s="21" t="s">
        <v>61</v>
      </c>
      <c r="F3961" s="5812">
        <v>3</v>
      </c>
      <c r="G3961" s="5813">
        <v>0.14166666666666666</v>
      </c>
      <c r="H3961" s="21" t="s">
        <v>10</v>
      </c>
      <c r="I3961" s="21" t="s">
        <v>2176</v>
      </c>
      <c r="J3961" s="21" t="s">
        <v>5461</v>
      </c>
      <c r="K3961" s="5814" t="s">
        <v>11845</v>
      </c>
    </row>
    <row r="3962" spans="1:11">
      <c r="A3962" s="21" t="s">
        <v>2521</v>
      </c>
      <c r="B3962" s="21" t="s">
        <v>11846</v>
      </c>
      <c r="C3962" s="21" t="s">
        <v>8</v>
      </c>
      <c r="D3962" s="21" t="s">
        <v>1288</v>
      </c>
      <c r="E3962" s="21" t="s">
        <v>61</v>
      </c>
      <c r="F3962" s="5812">
        <v>3</v>
      </c>
      <c r="G3962" s="5813">
        <v>0.1423611111111111</v>
      </c>
      <c r="H3962" s="21" t="s">
        <v>10</v>
      </c>
      <c r="I3962" s="21"/>
      <c r="J3962" s="21" t="s">
        <v>324</v>
      </c>
      <c r="K3962" s="5814" t="s">
        <v>11847</v>
      </c>
    </row>
    <row r="3963" spans="1:11">
      <c r="A3963" s="21" t="s">
        <v>3481</v>
      </c>
      <c r="B3963" s="21" t="s">
        <v>11848</v>
      </c>
      <c r="C3963" s="21" t="s">
        <v>8</v>
      </c>
      <c r="D3963" s="21" t="s">
        <v>1288</v>
      </c>
      <c r="E3963" s="21" t="s">
        <v>61</v>
      </c>
      <c r="F3963" s="5812">
        <v>3</v>
      </c>
      <c r="G3963" s="5813">
        <v>0.15208333333333332</v>
      </c>
      <c r="H3963" s="21" t="s">
        <v>10</v>
      </c>
      <c r="I3963" s="21" t="s">
        <v>11</v>
      </c>
      <c r="J3963" s="21" t="s">
        <v>67</v>
      </c>
      <c r="K3963" s="5814" t="s">
        <v>11849</v>
      </c>
    </row>
    <row r="3964" spans="1:11">
      <c r="A3964" s="21" t="s">
        <v>2061</v>
      </c>
      <c r="B3964" s="21" t="s">
        <v>11850</v>
      </c>
      <c r="C3964" s="21" t="s">
        <v>8</v>
      </c>
      <c r="D3964" s="21" t="s">
        <v>1288</v>
      </c>
      <c r="E3964" s="21" t="s">
        <v>61</v>
      </c>
      <c r="F3964" s="5812">
        <v>3</v>
      </c>
      <c r="G3964" s="5813">
        <v>0.17986111111111111</v>
      </c>
      <c r="H3964" s="21" t="s">
        <v>10</v>
      </c>
      <c r="I3964" s="21" t="s">
        <v>96</v>
      </c>
      <c r="J3964" s="21" t="s">
        <v>67</v>
      </c>
      <c r="K3964" s="5814" t="s">
        <v>11851</v>
      </c>
    </row>
    <row r="3965" spans="1:11">
      <c r="A3965" s="21" t="s">
        <v>3495</v>
      </c>
      <c r="B3965" s="21" t="s">
        <v>11852</v>
      </c>
      <c r="C3965" s="21" t="s">
        <v>22</v>
      </c>
      <c r="D3965" s="21" t="s">
        <v>1288</v>
      </c>
      <c r="E3965" s="21" t="s">
        <v>61</v>
      </c>
      <c r="F3965" s="5812">
        <v>3</v>
      </c>
      <c r="G3965" s="5813">
        <v>0.18055555555555555</v>
      </c>
      <c r="H3965" s="21" t="s">
        <v>10</v>
      </c>
      <c r="I3965" s="21" t="s">
        <v>4546</v>
      </c>
      <c r="J3965" s="21" t="s">
        <v>67</v>
      </c>
      <c r="K3965" s="5814" t="s">
        <v>11853</v>
      </c>
    </row>
    <row r="3966" spans="1:11">
      <c r="A3966" s="21" t="s">
        <v>185</v>
      </c>
      <c r="B3966" s="21" t="s">
        <v>1325</v>
      </c>
      <c r="C3966" s="21" t="s">
        <v>8</v>
      </c>
      <c r="D3966" s="21" t="s">
        <v>1288</v>
      </c>
      <c r="E3966" s="21" t="s">
        <v>61</v>
      </c>
      <c r="F3966" s="5812">
        <v>3</v>
      </c>
      <c r="G3966" s="5813">
        <v>0.18124999999999999</v>
      </c>
      <c r="H3966" s="21" t="s">
        <v>10</v>
      </c>
      <c r="I3966" s="21" t="s">
        <v>1326</v>
      </c>
      <c r="J3966" s="21" t="s">
        <v>1327</v>
      </c>
      <c r="K3966" s="5814" t="s">
        <v>1328</v>
      </c>
    </row>
    <row r="3967" spans="1:11">
      <c r="A3967" s="21" t="s">
        <v>4552</v>
      </c>
      <c r="B3967" s="21" t="s">
        <v>11854</v>
      </c>
      <c r="C3967" s="21" t="s">
        <v>22</v>
      </c>
      <c r="D3967" s="21" t="s">
        <v>11855</v>
      </c>
      <c r="E3967" s="21" t="s">
        <v>193</v>
      </c>
      <c r="F3967" s="5812">
        <v>3</v>
      </c>
      <c r="G3967" s="5813">
        <v>0.20833333333333334</v>
      </c>
      <c r="H3967" s="21" t="s">
        <v>10</v>
      </c>
      <c r="I3967" s="21" t="s">
        <v>73</v>
      </c>
      <c r="J3967" s="21" t="s">
        <v>11856</v>
      </c>
      <c r="K3967" s="5814" t="s">
        <v>11857</v>
      </c>
    </row>
    <row r="3968" spans="1:11">
      <c r="A3968" s="21" t="s">
        <v>2428</v>
      </c>
      <c r="B3968" s="21" t="s">
        <v>11858</v>
      </c>
      <c r="C3968" s="21" t="s">
        <v>8</v>
      </c>
      <c r="D3968" s="21" t="s">
        <v>11855</v>
      </c>
      <c r="E3968" s="21" t="s">
        <v>193</v>
      </c>
      <c r="F3968" s="5812">
        <v>3</v>
      </c>
      <c r="G3968" s="5813">
        <v>0.20833333333333334</v>
      </c>
      <c r="H3968" s="21" t="s">
        <v>10</v>
      </c>
      <c r="I3968" s="21" t="s">
        <v>11</v>
      </c>
      <c r="J3968" s="21" t="s">
        <v>11859</v>
      </c>
      <c r="K3968" s="5814" t="s">
        <v>11860</v>
      </c>
    </row>
    <row r="3969" spans="1:11">
      <c r="A3969" s="21" t="s">
        <v>2901</v>
      </c>
      <c r="B3969" s="21" t="s">
        <v>11861</v>
      </c>
      <c r="C3969" s="21" t="s">
        <v>22</v>
      </c>
      <c r="D3969" s="21" t="s">
        <v>11855</v>
      </c>
      <c r="E3969" s="21" t="s">
        <v>193</v>
      </c>
      <c r="F3969" s="5812">
        <v>3</v>
      </c>
      <c r="G3969" s="5813">
        <v>0.20833333333333334</v>
      </c>
      <c r="H3969" s="21" t="s">
        <v>10</v>
      </c>
      <c r="I3969" s="21" t="s">
        <v>23</v>
      </c>
      <c r="J3969" s="21" t="s">
        <v>11862</v>
      </c>
      <c r="K3969" s="5814" t="s">
        <v>11863</v>
      </c>
    </row>
    <row r="3970" spans="1:11">
      <c r="A3970" s="21" t="s">
        <v>3002</v>
      </c>
      <c r="B3970" s="21" t="s">
        <v>11864</v>
      </c>
      <c r="C3970" s="21" t="s">
        <v>22</v>
      </c>
      <c r="D3970" s="21" t="s">
        <v>11855</v>
      </c>
      <c r="E3970" s="21" t="s">
        <v>193</v>
      </c>
      <c r="F3970" s="5812">
        <v>3</v>
      </c>
      <c r="G3970" s="5813">
        <v>0.20833333333333334</v>
      </c>
      <c r="H3970" s="21" t="s">
        <v>10</v>
      </c>
      <c r="I3970" s="21" t="s">
        <v>23</v>
      </c>
      <c r="J3970" s="21" t="s">
        <v>11865</v>
      </c>
      <c r="K3970" s="5814" t="s">
        <v>11866</v>
      </c>
    </row>
    <row r="3971" spans="1:11">
      <c r="A3971" s="21" t="s">
        <v>3855</v>
      </c>
      <c r="B3971" s="21" t="s">
        <v>11867</v>
      </c>
      <c r="C3971" s="21" t="s">
        <v>8</v>
      </c>
      <c r="D3971" s="21" t="s">
        <v>11855</v>
      </c>
      <c r="E3971" s="21" t="s">
        <v>9</v>
      </c>
      <c r="F3971" s="5812">
        <v>3</v>
      </c>
      <c r="G3971" s="5813">
        <v>0.20833333333333334</v>
      </c>
      <c r="H3971" s="21" t="s">
        <v>10</v>
      </c>
      <c r="I3971" s="21" t="s">
        <v>654</v>
      </c>
      <c r="J3971" s="21" t="s">
        <v>11868</v>
      </c>
      <c r="K3971" s="5814" t="s">
        <v>11869</v>
      </c>
    </row>
    <row r="3972" spans="1:11">
      <c r="A3972" s="21" t="s">
        <v>3039</v>
      </c>
      <c r="B3972" s="21" t="s">
        <v>11870</v>
      </c>
      <c r="C3972" s="21" t="s">
        <v>22</v>
      </c>
      <c r="D3972" s="21" t="s">
        <v>11855</v>
      </c>
      <c r="E3972" s="21" t="s">
        <v>9</v>
      </c>
      <c r="F3972" s="5812">
        <v>3</v>
      </c>
      <c r="G3972" s="5813">
        <v>0.20833333333333334</v>
      </c>
      <c r="H3972" s="21" t="s">
        <v>10</v>
      </c>
      <c r="I3972" s="21" t="s">
        <v>23</v>
      </c>
      <c r="J3972" s="21" t="s">
        <v>11871</v>
      </c>
      <c r="K3972" s="5814" t="s">
        <v>11872</v>
      </c>
    </row>
    <row r="3973" spans="1:11">
      <c r="A3973" s="21" t="s">
        <v>2354</v>
      </c>
      <c r="B3973" s="21" t="s">
        <v>11873</v>
      </c>
      <c r="C3973" s="21" t="s">
        <v>8</v>
      </c>
      <c r="D3973" s="21" t="s">
        <v>11855</v>
      </c>
      <c r="E3973" s="21" t="s">
        <v>9</v>
      </c>
      <c r="F3973" s="5812">
        <v>3</v>
      </c>
      <c r="G3973" s="5813">
        <v>0.20833333333333334</v>
      </c>
      <c r="H3973" s="21" t="s">
        <v>10</v>
      </c>
      <c r="I3973" s="21" t="s">
        <v>47</v>
      </c>
      <c r="J3973" s="21" t="s">
        <v>11874</v>
      </c>
      <c r="K3973" s="5814" t="s">
        <v>11875</v>
      </c>
    </row>
    <row r="3974" spans="1:11">
      <c r="A3974" s="21" t="s">
        <v>2391</v>
      </c>
      <c r="B3974" s="21" t="s">
        <v>11876</v>
      </c>
      <c r="C3974" s="21" t="s">
        <v>8</v>
      </c>
      <c r="D3974" s="21" t="s">
        <v>11855</v>
      </c>
      <c r="E3974" s="21" t="s">
        <v>9</v>
      </c>
      <c r="F3974" s="5812">
        <v>3</v>
      </c>
      <c r="G3974" s="5813">
        <v>0.20833333333333334</v>
      </c>
      <c r="H3974" s="21" t="s">
        <v>10</v>
      </c>
      <c r="I3974" s="21" t="s">
        <v>96</v>
      </c>
      <c r="J3974" s="21" t="s">
        <v>11877</v>
      </c>
      <c r="K3974" s="5814" t="s">
        <v>11878</v>
      </c>
    </row>
    <row r="3975" spans="1:11">
      <c r="A3975" s="21" t="s">
        <v>2420</v>
      </c>
      <c r="B3975" s="21" t="s">
        <v>11879</v>
      </c>
      <c r="C3975" s="21" t="s">
        <v>22</v>
      </c>
      <c r="D3975" s="21" t="s">
        <v>11855</v>
      </c>
      <c r="E3975" s="21" t="s">
        <v>9</v>
      </c>
      <c r="F3975" s="5812">
        <v>3</v>
      </c>
      <c r="G3975" s="5813">
        <v>0.20833333333333334</v>
      </c>
      <c r="H3975" s="21" t="s">
        <v>10</v>
      </c>
      <c r="I3975" s="21" t="s">
        <v>3534</v>
      </c>
      <c r="J3975" s="21" t="s">
        <v>11880</v>
      </c>
      <c r="K3975" s="5814" t="s">
        <v>11881</v>
      </c>
    </row>
    <row r="3976" spans="1:11">
      <c r="A3976" s="21" t="s">
        <v>3559</v>
      </c>
      <c r="B3976" s="21" t="s">
        <v>11882</v>
      </c>
      <c r="C3976" s="21" t="s">
        <v>8</v>
      </c>
      <c r="D3976" s="21" t="s">
        <v>11855</v>
      </c>
      <c r="E3976" s="21" t="s">
        <v>9</v>
      </c>
      <c r="F3976" s="5812">
        <v>3</v>
      </c>
      <c r="G3976" s="5813">
        <v>0.20833333333333334</v>
      </c>
      <c r="H3976" s="21" t="s">
        <v>10</v>
      </c>
      <c r="I3976" s="21" t="s">
        <v>39</v>
      </c>
      <c r="J3976" s="21" t="s">
        <v>11883</v>
      </c>
      <c r="K3976" s="5814" t="s">
        <v>11884</v>
      </c>
    </row>
    <row r="3977" spans="1:11">
      <c r="A3977" s="21" t="s">
        <v>4724</v>
      </c>
      <c r="B3977" s="21" t="s">
        <v>11885</v>
      </c>
      <c r="C3977" s="21" t="s">
        <v>8</v>
      </c>
      <c r="D3977" s="21" t="s">
        <v>11855</v>
      </c>
      <c r="E3977" s="21" t="s">
        <v>9</v>
      </c>
      <c r="F3977" s="5812">
        <v>3</v>
      </c>
      <c r="G3977" s="5813">
        <v>0.20833333333333334</v>
      </c>
      <c r="H3977" s="21" t="s">
        <v>10</v>
      </c>
      <c r="I3977" s="21" t="s">
        <v>2872</v>
      </c>
      <c r="J3977" s="21" t="s">
        <v>11886</v>
      </c>
      <c r="K3977" s="5814" t="s">
        <v>11887</v>
      </c>
    </row>
    <row r="3978" spans="1:11">
      <c r="A3978" s="21" t="s">
        <v>3757</v>
      </c>
      <c r="B3978" s="21" t="s">
        <v>11888</v>
      </c>
      <c r="C3978" s="21" t="s">
        <v>8</v>
      </c>
      <c r="D3978" s="21" t="s">
        <v>11855</v>
      </c>
      <c r="E3978" s="21" t="s">
        <v>9</v>
      </c>
      <c r="F3978" s="5812">
        <v>3</v>
      </c>
      <c r="G3978" s="5813">
        <v>0.20833333333333334</v>
      </c>
      <c r="H3978" s="21" t="s">
        <v>10</v>
      </c>
      <c r="I3978" s="21" t="s">
        <v>187</v>
      </c>
      <c r="J3978" s="21" t="s">
        <v>11889</v>
      </c>
      <c r="K3978" s="5814" t="s">
        <v>11890</v>
      </c>
    </row>
    <row r="3979" spans="1:11">
      <c r="A3979" s="21" t="s">
        <v>2974</v>
      </c>
      <c r="B3979" s="21" t="s">
        <v>11891</v>
      </c>
      <c r="C3979" s="21" t="s">
        <v>22</v>
      </c>
      <c r="D3979" s="21" t="s">
        <v>11855</v>
      </c>
      <c r="E3979" s="21" t="s">
        <v>9</v>
      </c>
      <c r="F3979" s="5812">
        <v>5</v>
      </c>
      <c r="G3979" s="5813">
        <v>0.20833333333333334</v>
      </c>
      <c r="H3979" s="21" t="s">
        <v>54</v>
      </c>
      <c r="I3979" s="21" t="s">
        <v>11</v>
      </c>
      <c r="J3979" s="21" t="s">
        <v>11892</v>
      </c>
      <c r="K3979" s="5814" t="s">
        <v>11893</v>
      </c>
    </row>
    <row r="3980" spans="1:11">
      <c r="A3980" s="21" t="s">
        <v>3173</v>
      </c>
      <c r="B3980" s="21" t="s">
        <v>11894</v>
      </c>
      <c r="C3980" s="21" t="s">
        <v>22</v>
      </c>
      <c r="D3980" s="21" t="s">
        <v>11855</v>
      </c>
      <c r="E3980" s="21" t="s">
        <v>46</v>
      </c>
      <c r="F3980" s="5812">
        <v>1</v>
      </c>
      <c r="G3980" s="5813">
        <v>4.2361111111111113E-2</v>
      </c>
      <c r="H3980" s="21" t="s">
        <v>10</v>
      </c>
      <c r="I3980" s="21" t="s">
        <v>47</v>
      </c>
      <c r="J3980" s="21" t="s">
        <v>11895</v>
      </c>
      <c r="K3980" s="5814" t="s">
        <v>11896</v>
      </c>
    </row>
    <row r="3981" spans="1:11">
      <c r="A3981" s="21" t="s">
        <v>2551</v>
      </c>
      <c r="B3981" s="21" t="s">
        <v>11897</v>
      </c>
      <c r="C3981" s="21" t="s">
        <v>8</v>
      </c>
      <c r="D3981" s="21" t="s">
        <v>11855</v>
      </c>
      <c r="E3981" s="21" t="s">
        <v>46</v>
      </c>
      <c r="F3981" s="5812">
        <v>1</v>
      </c>
      <c r="G3981" s="5813">
        <v>0.14652777777777778</v>
      </c>
      <c r="H3981" s="21" t="s">
        <v>10</v>
      </c>
      <c r="I3981" s="21" t="s">
        <v>187</v>
      </c>
      <c r="J3981" s="21" t="s">
        <v>48</v>
      </c>
      <c r="K3981" s="5814" t="s">
        <v>11898</v>
      </c>
    </row>
    <row r="3982" spans="1:11">
      <c r="A3982" s="21" t="s">
        <v>2551</v>
      </c>
      <c r="B3982" s="21" t="s">
        <v>11899</v>
      </c>
      <c r="C3982" s="21" t="s">
        <v>8</v>
      </c>
      <c r="D3982" s="21" t="s">
        <v>11855</v>
      </c>
      <c r="E3982" s="21" t="s">
        <v>46</v>
      </c>
      <c r="F3982" s="5812">
        <v>1</v>
      </c>
      <c r="G3982" s="5813">
        <v>0.15069444444444444</v>
      </c>
      <c r="H3982" s="21" t="s">
        <v>10</v>
      </c>
      <c r="I3982" s="21" t="s">
        <v>226</v>
      </c>
      <c r="J3982" s="21" t="s">
        <v>430</v>
      </c>
      <c r="K3982" s="5814" t="s">
        <v>11900</v>
      </c>
    </row>
    <row r="3983" spans="1:11">
      <c r="A3983" s="21" t="s">
        <v>3105</v>
      </c>
      <c r="B3983" s="21" t="s">
        <v>11901</v>
      </c>
      <c r="C3983" s="21" t="s">
        <v>8</v>
      </c>
      <c r="D3983" s="21" t="s">
        <v>11855</v>
      </c>
      <c r="E3983" s="21" t="s">
        <v>46</v>
      </c>
      <c r="F3983" s="5812">
        <v>3</v>
      </c>
      <c r="G3983" s="5813">
        <v>0.18402777777777779</v>
      </c>
      <c r="H3983" s="21" t="s">
        <v>10</v>
      </c>
      <c r="I3983" s="21" t="s">
        <v>39</v>
      </c>
      <c r="J3983" s="21" t="s">
        <v>3148</v>
      </c>
      <c r="K3983" s="5814" t="s">
        <v>11902</v>
      </c>
    </row>
    <row r="3984" spans="1:11">
      <c r="A3984" s="21" t="s">
        <v>4711</v>
      </c>
      <c r="B3984" s="21" t="s">
        <v>11903</v>
      </c>
      <c r="C3984" s="21" t="s">
        <v>22</v>
      </c>
      <c r="D3984" s="21" t="s">
        <v>11855</v>
      </c>
      <c r="E3984" s="21" t="s">
        <v>61</v>
      </c>
      <c r="F3984" s="5812">
        <v>1</v>
      </c>
      <c r="G3984" s="5813">
        <v>0.14166666666666666</v>
      </c>
      <c r="H3984" s="21" t="s">
        <v>10</v>
      </c>
      <c r="I3984" s="21" t="s">
        <v>11</v>
      </c>
      <c r="J3984" s="21" t="s">
        <v>67</v>
      </c>
      <c r="K3984" s="5814" t="s">
        <v>11904</v>
      </c>
    </row>
    <row r="3985" spans="1:11">
      <c r="A3985" s="21" t="s">
        <v>3252</v>
      </c>
      <c r="B3985" s="21" t="s">
        <v>11905</v>
      </c>
      <c r="C3985" s="21" t="s">
        <v>8</v>
      </c>
      <c r="D3985" s="21" t="s">
        <v>11855</v>
      </c>
      <c r="E3985" s="21" t="s">
        <v>61</v>
      </c>
      <c r="F3985" s="5812">
        <v>1</v>
      </c>
      <c r="G3985" s="5813">
        <v>0.16458333333333333</v>
      </c>
      <c r="H3985" s="21" t="s">
        <v>10</v>
      </c>
      <c r="I3985" s="21" t="s">
        <v>3534</v>
      </c>
      <c r="J3985" s="21" t="s">
        <v>3326</v>
      </c>
      <c r="K3985" s="5814" t="s">
        <v>11906</v>
      </c>
    </row>
    <row r="3986" spans="1:11">
      <c r="A3986" s="21" t="s">
        <v>3116</v>
      </c>
      <c r="B3986" s="21" t="s">
        <v>11907</v>
      </c>
      <c r="C3986" s="21" t="s">
        <v>8</v>
      </c>
      <c r="D3986" s="21" t="s">
        <v>11855</v>
      </c>
      <c r="E3986" s="21" t="s">
        <v>61</v>
      </c>
      <c r="F3986" s="5812">
        <v>2</v>
      </c>
      <c r="G3986" s="5813">
        <v>0.12986111111111112</v>
      </c>
      <c r="H3986" s="21" t="s">
        <v>10</v>
      </c>
      <c r="I3986" s="21" t="s">
        <v>96</v>
      </c>
      <c r="J3986" s="21" t="s">
        <v>324</v>
      </c>
      <c r="K3986" s="5814" t="s">
        <v>11908</v>
      </c>
    </row>
    <row r="3987" spans="1:11">
      <c r="A3987" s="21" t="s">
        <v>3033</v>
      </c>
      <c r="B3987" s="21" t="s">
        <v>11909</v>
      </c>
      <c r="C3987" s="21" t="s">
        <v>8</v>
      </c>
      <c r="D3987" s="21" t="s">
        <v>11855</v>
      </c>
      <c r="E3987" s="21" t="s">
        <v>61</v>
      </c>
      <c r="F3987" s="5812">
        <v>2</v>
      </c>
      <c r="G3987" s="5813">
        <v>0.20416666666666666</v>
      </c>
      <c r="H3987" s="21" t="s">
        <v>10</v>
      </c>
      <c r="I3987" s="21" t="s">
        <v>3343</v>
      </c>
      <c r="J3987" s="21" t="s">
        <v>67</v>
      </c>
      <c r="K3987" s="5814" t="s">
        <v>11910</v>
      </c>
    </row>
    <row r="3988" spans="1:11">
      <c r="A3988" s="21" t="s">
        <v>2506</v>
      </c>
      <c r="B3988" s="21" t="s">
        <v>11911</v>
      </c>
      <c r="C3988" s="21" t="s">
        <v>709</v>
      </c>
      <c r="D3988" s="21" t="s">
        <v>1357</v>
      </c>
      <c r="E3988" s="21" t="s">
        <v>710</v>
      </c>
      <c r="F3988" s="5812">
        <v>3</v>
      </c>
      <c r="G3988" s="5813">
        <v>0.20833333333333334</v>
      </c>
      <c r="H3988" s="21" t="s">
        <v>10</v>
      </c>
      <c r="I3988" s="21" t="s">
        <v>400</v>
      </c>
      <c r="J3988" s="21" t="s">
        <v>11912</v>
      </c>
      <c r="K3988" s="5814" t="s">
        <v>11913</v>
      </c>
    </row>
    <row r="3989" spans="1:11">
      <c r="A3989" s="21" t="s">
        <v>2757</v>
      </c>
      <c r="B3989" s="21" t="s">
        <v>11914</v>
      </c>
      <c r="C3989" s="21" t="s">
        <v>709</v>
      </c>
      <c r="D3989" s="21" t="s">
        <v>1357</v>
      </c>
      <c r="E3989" s="21" t="s">
        <v>710</v>
      </c>
      <c r="F3989" s="5812">
        <v>3</v>
      </c>
      <c r="G3989" s="5813">
        <v>0.20833333333333334</v>
      </c>
      <c r="H3989" s="21" t="s">
        <v>10</v>
      </c>
      <c r="I3989" s="21" t="s">
        <v>2297</v>
      </c>
      <c r="J3989" s="21" t="s">
        <v>11915</v>
      </c>
      <c r="K3989" s="5814" t="s">
        <v>11916</v>
      </c>
    </row>
    <row r="3990" spans="1:11">
      <c r="A3990" s="21" t="s">
        <v>3495</v>
      </c>
      <c r="B3990" s="21" t="s">
        <v>11917</v>
      </c>
      <c r="C3990" s="21" t="s">
        <v>22</v>
      </c>
      <c r="D3990" s="21" t="s">
        <v>1357</v>
      </c>
      <c r="E3990" s="21" t="s">
        <v>193</v>
      </c>
      <c r="F3990" s="5812">
        <v>3</v>
      </c>
      <c r="G3990" s="5813">
        <v>7.9861111111111105E-2</v>
      </c>
      <c r="H3990" s="21" t="s">
        <v>10</v>
      </c>
      <c r="I3990" s="21" t="s">
        <v>4546</v>
      </c>
      <c r="J3990" s="21" t="s">
        <v>11918</v>
      </c>
      <c r="K3990" s="5814" t="s">
        <v>11919</v>
      </c>
    </row>
    <row r="3991" spans="1:11">
      <c r="A3991" s="21" t="s">
        <v>135</v>
      </c>
      <c r="B3991" s="21" t="s">
        <v>1410</v>
      </c>
      <c r="C3991" s="21" t="s">
        <v>8</v>
      </c>
      <c r="D3991" s="21" t="s">
        <v>1357</v>
      </c>
      <c r="E3991" s="21" t="s">
        <v>193</v>
      </c>
      <c r="F3991" s="5812">
        <v>3</v>
      </c>
      <c r="G3991" s="5813">
        <v>0.20833333333333334</v>
      </c>
      <c r="H3991" s="21" t="s">
        <v>10</v>
      </c>
      <c r="I3991" s="21" t="s">
        <v>89</v>
      </c>
      <c r="J3991" s="21" t="s">
        <v>1411</v>
      </c>
      <c r="K3991" s="5814" t="s">
        <v>1412</v>
      </c>
    </row>
    <row r="3992" spans="1:11">
      <c r="A3992" s="21" t="s">
        <v>207</v>
      </c>
      <c r="B3992" s="21" t="s">
        <v>1382</v>
      </c>
      <c r="C3992" s="21" t="s">
        <v>8</v>
      </c>
      <c r="D3992" s="21" t="s">
        <v>1357</v>
      </c>
      <c r="E3992" s="21" t="s">
        <v>193</v>
      </c>
      <c r="F3992" s="5812">
        <v>3</v>
      </c>
      <c r="G3992" s="5813">
        <v>0.20833333333333334</v>
      </c>
      <c r="H3992" s="21" t="s">
        <v>10</v>
      </c>
      <c r="I3992" s="21" t="s">
        <v>39</v>
      </c>
      <c r="J3992" s="21" t="s">
        <v>1383</v>
      </c>
      <c r="K3992" s="5814" t="s">
        <v>1384</v>
      </c>
    </row>
    <row r="3993" spans="1:11">
      <c r="A3993" s="21" t="s">
        <v>4552</v>
      </c>
      <c r="B3993" s="21" t="s">
        <v>11920</v>
      </c>
      <c r="C3993" s="21" t="s">
        <v>8</v>
      </c>
      <c r="D3993" s="21" t="s">
        <v>1357</v>
      </c>
      <c r="E3993" s="21" t="s">
        <v>193</v>
      </c>
      <c r="F3993" s="5812">
        <v>3</v>
      </c>
      <c r="G3993" s="5813">
        <v>0.20833333333333334</v>
      </c>
      <c r="H3993" s="21" t="s">
        <v>10</v>
      </c>
      <c r="I3993" s="21" t="s">
        <v>23</v>
      </c>
      <c r="J3993" s="21" t="s">
        <v>11921</v>
      </c>
      <c r="K3993" s="5814" t="s">
        <v>11922</v>
      </c>
    </row>
    <row r="3994" spans="1:11">
      <c r="A3994" s="21" t="s">
        <v>2284</v>
      </c>
      <c r="B3994" s="21" t="s">
        <v>11923</v>
      </c>
      <c r="C3994" s="21" t="s">
        <v>22</v>
      </c>
      <c r="D3994" s="21" t="s">
        <v>1357</v>
      </c>
      <c r="E3994" s="21" t="s">
        <v>193</v>
      </c>
      <c r="F3994" s="5812">
        <v>3</v>
      </c>
      <c r="G3994" s="5813">
        <v>0.20833333333333334</v>
      </c>
      <c r="H3994" s="21" t="s">
        <v>10</v>
      </c>
      <c r="I3994" s="21" t="s">
        <v>73</v>
      </c>
      <c r="J3994" s="21" t="s">
        <v>11924</v>
      </c>
      <c r="K3994" s="5814" t="s">
        <v>11925</v>
      </c>
    </row>
    <row r="3995" spans="1:11">
      <c r="A3995" s="21" t="s">
        <v>3671</v>
      </c>
      <c r="B3995" s="21" t="s">
        <v>11926</v>
      </c>
      <c r="C3995" s="21" t="s">
        <v>8</v>
      </c>
      <c r="D3995" s="21" t="s">
        <v>1357</v>
      </c>
      <c r="E3995" s="21" t="s">
        <v>193</v>
      </c>
      <c r="F3995" s="5812">
        <v>3</v>
      </c>
      <c r="G3995" s="5813">
        <v>0.20833333333333334</v>
      </c>
      <c r="H3995" s="21" t="s">
        <v>10</v>
      </c>
      <c r="I3995" s="21" t="s">
        <v>55</v>
      </c>
      <c r="J3995" s="21" t="s">
        <v>11927</v>
      </c>
      <c r="K3995" s="5814" t="s">
        <v>11928</v>
      </c>
    </row>
    <row r="3996" spans="1:11">
      <c r="A3996" s="21" t="s">
        <v>2053</v>
      </c>
      <c r="B3996" s="21" t="s">
        <v>11929</v>
      </c>
      <c r="C3996" s="21" t="s">
        <v>22</v>
      </c>
      <c r="D3996" s="21" t="s">
        <v>1357</v>
      </c>
      <c r="E3996" s="21" t="s">
        <v>193</v>
      </c>
      <c r="F3996" s="5812">
        <v>3</v>
      </c>
      <c r="G3996" s="5813">
        <v>0.20833333333333334</v>
      </c>
      <c r="H3996" s="21" t="s">
        <v>10</v>
      </c>
      <c r="I3996" s="21" t="s">
        <v>55</v>
      </c>
      <c r="J3996" s="21" t="s">
        <v>11930</v>
      </c>
      <c r="K3996" s="5814" t="s">
        <v>11931</v>
      </c>
    </row>
    <row r="3997" spans="1:11">
      <c r="A3997" s="21" t="s">
        <v>2403</v>
      </c>
      <c r="B3997" s="21" t="s">
        <v>11932</v>
      </c>
      <c r="C3997" s="21" t="s">
        <v>8</v>
      </c>
      <c r="D3997" s="21" t="s">
        <v>1357</v>
      </c>
      <c r="E3997" s="21" t="s">
        <v>193</v>
      </c>
      <c r="F3997" s="5812">
        <v>3</v>
      </c>
      <c r="G3997" s="5813">
        <v>0.20833333333333334</v>
      </c>
      <c r="H3997" s="21" t="s">
        <v>10</v>
      </c>
      <c r="I3997" s="21" t="s">
        <v>23</v>
      </c>
      <c r="J3997" s="21" t="s">
        <v>11933</v>
      </c>
      <c r="K3997" s="5814" t="s">
        <v>11934</v>
      </c>
    </row>
    <row r="3998" spans="1:11">
      <c r="A3998" s="21" t="s">
        <v>3183</v>
      </c>
      <c r="B3998" s="21" t="s">
        <v>11935</v>
      </c>
      <c r="C3998" s="21" t="s">
        <v>8</v>
      </c>
      <c r="D3998" s="21" t="s">
        <v>1357</v>
      </c>
      <c r="E3998" s="21" t="s">
        <v>193</v>
      </c>
      <c r="F3998" s="5812">
        <v>3</v>
      </c>
      <c r="G3998" s="5813">
        <v>0.20833333333333334</v>
      </c>
      <c r="H3998" s="21" t="s">
        <v>10</v>
      </c>
      <c r="I3998" s="21" t="s">
        <v>23</v>
      </c>
      <c r="J3998" s="21" t="s">
        <v>11936</v>
      </c>
      <c r="K3998" s="5814" t="s">
        <v>11937</v>
      </c>
    </row>
    <row r="3999" spans="1:11">
      <c r="A3999" s="21" t="s">
        <v>2450</v>
      </c>
      <c r="B3999" s="21" t="s">
        <v>11938</v>
      </c>
      <c r="C3999" s="21" t="s">
        <v>22</v>
      </c>
      <c r="D3999" s="21" t="s">
        <v>1357</v>
      </c>
      <c r="E3999" s="21" t="s">
        <v>193</v>
      </c>
      <c r="F3999" s="5812">
        <v>3</v>
      </c>
      <c r="G3999" s="5813">
        <v>0.20833333333333334</v>
      </c>
      <c r="H3999" s="21" t="s">
        <v>10</v>
      </c>
      <c r="I3999" s="21" t="s">
        <v>654</v>
      </c>
      <c r="J3999" s="21" t="s">
        <v>11939</v>
      </c>
      <c r="K3999" s="5814" t="s">
        <v>11940</v>
      </c>
    </row>
    <row r="4000" spans="1:11">
      <c r="A4000" s="21" t="s">
        <v>2057</v>
      </c>
      <c r="B4000" s="21" t="s">
        <v>11941</v>
      </c>
      <c r="C4000" s="21" t="s">
        <v>22</v>
      </c>
      <c r="D4000" s="21" t="s">
        <v>1357</v>
      </c>
      <c r="E4000" s="21" t="s">
        <v>193</v>
      </c>
      <c r="F4000" s="5812">
        <v>3</v>
      </c>
      <c r="G4000" s="5813">
        <v>0.20833333333333334</v>
      </c>
      <c r="H4000" s="21" t="s">
        <v>10</v>
      </c>
      <c r="I4000" s="21" t="s">
        <v>55</v>
      </c>
      <c r="J4000" s="21" t="s">
        <v>11942</v>
      </c>
      <c r="K4000" s="5814" t="s">
        <v>11943</v>
      </c>
    </row>
    <row r="4001" spans="1:11">
      <c r="A4001" s="21" t="s">
        <v>3984</v>
      </c>
      <c r="B4001" s="21" t="s">
        <v>11944</v>
      </c>
      <c r="C4001" s="21" t="s">
        <v>8</v>
      </c>
      <c r="D4001" s="21" t="s">
        <v>1357</v>
      </c>
      <c r="E4001" s="21" t="s">
        <v>193</v>
      </c>
      <c r="F4001" s="5812">
        <v>3</v>
      </c>
      <c r="G4001" s="5813">
        <v>0.20833333333333334</v>
      </c>
      <c r="H4001" s="21" t="s">
        <v>10</v>
      </c>
      <c r="I4001" s="21" t="s">
        <v>55</v>
      </c>
      <c r="J4001" s="21" t="s">
        <v>11945</v>
      </c>
      <c r="K4001" s="5814" t="s">
        <v>11946</v>
      </c>
    </row>
    <row r="4002" spans="1:11">
      <c r="A4002" s="21" t="s">
        <v>2499</v>
      </c>
      <c r="B4002" s="21" t="s">
        <v>11947</v>
      </c>
      <c r="C4002" s="21" t="s">
        <v>22</v>
      </c>
      <c r="D4002" s="21" t="s">
        <v>1357</v>
      </c>
      <c r="E4002" s="21" t="s">
        <v>193</v>
      </c>
      <c r="F4002" s="5812">
        <v>3</v>
      </c>
      <c r="G4002" s="5813">
        <v>0.20833333333333334</v>
      </c>
      <c r="H4002" s="21" t="s">
        <v>10</v>
      </c>
      <c r="I4002" s="21" t="s">
        <v>55</v>
      </c>
      <c r="J4002" s="21" t="s">
        <v>11948</v>
      </c>
      <c r="K4002" s="5814" t="s">
        <v>11949</v>
      </c>
    </row>
    <row r="4003" spans="1:11">
      <c r="A4003" s="21" t="s">
        <v>3102</v>
      </c>
      <c r="B4003" s="21" t="s">
        <v>11950</v>
      </c>
      <c r="C4003" s="21" t="s">
        <v>8</v>
      </c>
      <c r="D4003" s="21" t="s">
        <v>1357</v>
      </c>
      <c r="E4003" s="21" t="s">
        <v>193</v>
      </c>
      <c r="F4003" s="5812">
        <v>3</v>
      </c>
      <c r="G4003" s="5813">
        <v>0.20833333333333334</v>
      </c>
      <c r="H4003" s="21" t="s">
        <v>10</v>
      </c>
      <c r="I4003" s="21" t="s">
        <v>11</v>
      </c>
      <c r="J4003" s="21" t="s">
        <v>11951</v>
      </c>
      <c r="K4003" s="5814" t="s">
        <v>11952</v>
      </c>
    </row>
    <row r="4004" spans="1:11">
      <c r="A4004" s="21" t="s">
        <v>3134</v>
      </c>
      <c r="B4004" s="21" t="s">
        <v>11953</v>
      </c>
      <c r="C4004" s="21" t="s">
        <v>22</v>
      </c>
      <c r="D4004" s="21" t="s">
        <v>1357</v>
      </c>
      <c r="E4004" s="21" t="s">
        <v>193</v>
      </c>
      <c r="F4004" s="5812">
        <v>3</v>
      </c>
      <c r="G4004" s="5813">
        <v>0.20833333333333334</v>
      </c>
      <c r="H4004" s="21" t="s">
        <v>10</v>
      </c>
      <c r="I4004" s="21" t="s">
        <v>39</v>
      </c>
      <c r="J4004" s="21" t="s">
        <v>11954</v>
      </c>
      <c r="K4004" s="5814" t="s">
        <v>11955</v>
      </c>
    </row>
    <row r="4005" spans="1:11">
      <c r="A4005" s="21" t="s">
        <v>2143</v>
      </c>
      <c r="B4005" s="21" t="s">
        <v>11956</v>
      </c>
      <c r="C4005" s="21" t="s">
        <v>8</v>
      </c>
      <c r="D4005" s="21" t="s">
        <v>1357</v>
      </c>
      <c r="E4005" s="21" t="s">
        <v>193</v>
      </c>
      <c r="F4005" s="5812">
        <v>3</v>
      </c>
      <c r="G4005" s="5813">
        <v>0.20833333333333334</v>
      </c>
      <c r="H4005" s="21" t="s">
        <v>10</v>
      </c>
      <c r="I4005" s="21" t="s">
        <v>209</v>
      </c>
      <c r="J4005" s="21" t="s">
        <v>11957</v>
      </c>
      <c r="K4005" s="5814" t="s">
        <v>11958</v>
      </c>
    </row>
    <row r="4006" spans="1:11">
      <c r="A4006" s="21" t="s">
        <v>3311</v>
      </c>
      <c r="B4006" s="21" t="s">
        <v>11959</v>
      </c>
      <c r="C4006" s="21" t="s">
        <v>8</v>
      </c>
      <c r="D4006" s="21" t="s">
        <v>1357</v>
      </c>
      <c r="E4006" s="21" t="s">
        <v>193</v>
      </c>
      <c r="F4006" s="5812">
        <v>3</v>
      </c>
      <c r="G4006" s="5813">
        <v>0.20833333333333334</v>
      </c>
      <c r="H4006" s="21" t="s">
        <v>10</v>
      </c>
      <c r="I4006" s="21" t="s">
        <v>23</v>
      </c>
      <c r="J4006" s="21" t="s">
        <v>11960</v>
      </c>
      <c r="K4006" s="5814" t="s">
        <v>11961</v>
      </c>
    </row>
    <row r="4007" spans="1:11">
      <c r="A4007" s="21" t="s">
        <v>3728</v>
      </c>
      <c r="B4007" s="21" t="s">
        <v>11962</v>
      </c>
      <c r="C4007" s="21" t="s">
        <v>8</v>
      </c>
      <c r="D4007" s="21" t="s">
        <v>1357</v>
      </c>
      <c r="E4007" s="21" t="s">
        <v>193</v>
      </c>
      <c r="F4007" s="5812">
        <v>3</v>
      </c>
      <c r="G4007" s="5813">
        <v>0.20833333333333334</v>
      </c>
      <c r="H4007" s="21" t="s">
        <v>10</v>
      </c>
      <c r="I4007" s="21" t="s">
        <v>4179</v>
      </c>
      <c r="J4007" s="21" t="s">
        <v>11963</v>
      </c>
      <c r="K4007" s="5814" t="s">
        <v>11964</v>
      </c>
    </row>
    <row r="4008" spans="1:11">
      <c r="A4008" s="21" t="s">
        <v>2579</v>
      </c>
      <c r="B4008" s="21" t="s">
        <v>11965</v>
      </c>
      <c r="C4008" s="21" t="s">
        <v>22</v>
      </c>
      <c r="D4008" s="21" t="s">
        <v>1357</v>
      </c>
      <c r="E4008" s="21" t="s">
        <v>193</v>
      </c>
      <c r="F4008" s="5812">
        <v>3</v>
      </c>
      <c r="G4008" s="5813">
        <v>0.20833333333333334</v>
      </c>
      <c r="H4008" s="21" t="s">
        <v>10</v>
      </c>
      <c r="I4008" s="21" t="s">
        <v>2153</v>
      </c>
      <c r="J4008" s="21" t="s">
        <v>11966</v>
      </c>
      <c r="K4008" s="5814" t="s">
        <v>11967</v>
      </c>
    </row>
    <row r="4009" spans="1:11">
      <c r="A4009" s="21" t="s">
        <v>4177</v>
      </c>
      <c r="B4009" s="21" t="s">
        <v>11968</v>
      </c>
      <c r="C4009" s="21" t="s">
        <v>8</v>
      </c>
      <c r="D4009" s="21" t="s">
        <v>1357</v>
      </c>
      <c r="E4009" s="21" t="s">
        <v>193</v>
      </c>
      <c r="F4009" s="5812">
        <v>3</v>
      </c>
      <c r="G4009" s="5813">
        <v>0.20833333333333334</v>
      </c>
      <c r="H4009" s="21" t="s">
        <v>10</v>
      </c>
      <c r="I4009" s="21" t="s">
        <v>47</v>
      </c>
      <c r="J4009" s="21" t="s">
        <v>11969</v>
      </c>
      <c r="K4009" s="5814" t="s">
        <v>11970</v>
      </c>
    </row>
    <row r="4010" spans="1:11">
      <c r="A4010" s="21" t="s">
        <v>2998</v>
      </c>
      <c r="B4010" s="21" t="s">
        <v>11971</v>
      </c>
      <c r="C4010" s="21" t="s">
        <v>8</v>
      </c>
      <c r="D4010" s="21" t="s">
        <v>1357</v>
      </c>
      <c r="E4010" s="21" t="s">
        <v>193</v>
      </c>
      <c r="F4010" s="5812">
        <v>3</v>
      </c>
      <c r="G4010" s="5813">
        <v>0.20833333333333334</v>
      </c>
      <c r="H4010" s="21" t="s">
        <v>10</v>
      </c>
      <c r="I4010" s="21" t="s">
        <v>2747</v>
      </c>
      <c r="J4010" s="21" t="s">
        <v>11972</v>
      </c>
      <c r="K4010" s="5814" t="s">
        <v>11973</v>
      </c>
    </row>
    <row r="4011" spans="1:11">
      <c r="A4011" s="21" t="s">
        <v>2668</v>
      </c>
      <c r="B4011" s="21" t="s">
        <v>11974</v>
      </c>
      <c r="C4011" s="21" t="s">
        <v>22</v>
      </c>
      <c r="D4011" s="21" t="s">
        <v>1357</v>
      </c>
      <c r="E4011" s="21" t="s">
        <v>193</v>
      </c>
      <c r="F4011" s="5812">
        <v>3</v>
      </c>
      <c r="G4011" s="5813">
        <v>0.20833333333333334</v>
      </c>
      <c r="H4011" s="21" t="s">
        <v>10</v>
      </c>
      <c r="I4011" s="21" t="s">
        <v>194</v>
      </c>
      <c r="J4011" s="21" t="s">
        <v>11975</v>
      </c>
      <c r="K4011" s="5814" t="s">
        <v>11976</v>
      </c>
    </row>
    <row r="4012" spans="1:11">
      <c r="A4012" s="21" t="s">
        <v>3036</v>
      </c>
      <c r="B4012" s="21" t="s">
        <v>11977</v>
      </c>
      <c r="C4012" s="21" t="s">
        <v>8</v>
      </c>
      <c r="D4012" s="21" t="s">
        <v>1357</v>
      </c>
      <c r="E4012" s="21" t="s">
        <v>193</v>
      </c>
      <c r="F4012" s="5812">
        <v>3</v>
      </c>
      <c r="G4012" s="5813">
        <v>0.20833333333333334</v>
      </c>
      <c r="H4012" s="21" t="s">
        <v>10</v>
      </c>
      <c r="I4012" s="21" t="s">
        <v>2153</v>
      </c>
      <c r="J4012" s="21" t="s">
        <v>11978</v>
      </c>
      <c r="K4012" s="5814" t="s">
        <v>11979</v>
      </c>
    </row>
    <row r="4013" spans="1:11">
      <c r="A4013" s="21" t="s">
        <v>3765</v>
      </c>
      <c r="B4013" s="21" t="s">
        <v>11980</v>
      </c>
      <c r="C4013" s="21" t="s">
        <v>22</v>
      </c>
      <c r="D4013" s="21" t="s">
        <v>1357</v>
      </c>
      <c r="E4013" s="21" t="s">
        <v>193</v>
      </c>
      <c r="F4013" s="5812">
        <v>3</v>
      </c>
      <c r="G4013" s="5813">
        <v>0.20833333333333334</v>
      </c>
      <c r="H4013" s="21" t="s">
        <v>10</v>
      </c>
      <c r="I4013" s="21" t="s">
        <v>226</v>
      </c>
      <c r="J4013" s="21" t="s">
        <v>11981</v>
      </c>
      <c r="K4013" s="5814" t="s">
        <v>11982</v>
      </c>
    </row>
    <row r="4014" spans="1:11">
      <c r="A4014" s="21" t="s">
        <v>3354</v>
      </c>
      <c r="B4014" s="21" t="s">
        <v>11983</v>
      </c>
      <c r="C4014" s="21" t="s">
        <v>22</v>
      </c>
      <c r="D4014" s="21" t="s">
        <v>1357</v>
      </c>
      <c r="E4014" s="21" t="s">
        <v>193</v>
      </c>
      <c r="F4014" s="5812">
        <v>3</v>
      </c>
      <c r="G4014" s="5813">
        <v>0.20833333333333334</v>
      </c>
      <c r="H4014" s="21" t="s">
        <v>10</v>
      </c>
      <c r="I4014" s="21" t="s">
        <v>226</v>
      </c>
      <c r="J4014" s="21" t="s">
        <v>11984</v>
      </c>
      <c r="K4014" s="5814" t="s">
        <v>11985</v>
      </c>
    </row>
    <row r="4015" spans="1:11">
      <c r="A4015" s="21" t="s">
        <v>2212</v>
      </c>
      <c r="B4015" s="21" t="s">
        <v>11986</v>
      </c>
      <c r="C4015" s="21" t="s">
        <v>8</v>
      </c>
      <c r="D4015" s="21" t="s">
        <v>1357</v>
      </c>
      <c r="E4015" s="21" t="s">
        <v>193</v>
      </c>
      <c r="F4015" s="5812">
        <v>3</v>
      </c>
      <c r="G4015" s="5813">
        <v>0.20833333333333334</v>
      </c>
      <c r="H4015" s="21" t="s">
        <v>10</v>
      </c>
      <c r="I4015" s="21" t="s">
        <v>615</v>
      </c>
      <c r="J4015" s="21" t="s">
        <v>11987</v>
      </c>
      <c r="K4015" s="5814" t="s">
        <v>11988</v>
      </c>
    </row>
    <row r="4016" spans="1:11">
      <c r="A4016" s="21" t="s">
        <v>2757</v>
      </c>
      <c r="B4016" s="21" t="s">
        <v>11989</v>
      </c>
      <c r="C4016" s="21" t="s">
        <v>22</v>
      </c>
      <c r="D4016" s="21" t="s">
        <v>1357</v>
      </c>
      <c r="E4016" s="21" t="s">
        <v>193</v>
      </c>
      <c r="F4016" s="5812">
        <v>3</v>
      </c>
      <c r="G4016" s="5813">
        <v>0.20833333333333334</v>
      </c>
      <c r="H4016" s="21" t="s">
        <v>10</v>
      </c>
      <c r="I4016" s="21" t="s">
        <v>2297</v>
      </c>
      <c r="J4016" s="21" t="s">
        <v>11990</v>
      </c>
      <c r="K4016" s="5814" t="s">
        <v>11991</v>
      </c>
    </row>
    <row r="4017" spans="1:11">
      <c r="A4017" s="21" t="s">
        <v>3532</v>
      </c>
      <c r="B4017" s="21" t="s">
        <v>11992</v>
      </c>
      <c r="C4017" s="21" t="s">
        <v>22</v>
      </c>
      <c r="D4017" s="21" t="s">
        <v>1357</v>
      </c>
      <c r="E4017" s="21" t="s">
        <v>193</v>
      </c>
      <c r="F4017" s="5812">
        <v>3</v>
      </c>
      <c r="G4017" s="5813">
        <v>0.20833333333333334</v>
      </c>
      <c r="H4017" s="21" t="s">
        <v>10</v>
      </c>
      <c r="I4017" s="21" t="s">
        <v>3534</v>
      </c>
      <c r="J4017" s="21" t="s">
        <v>11993</v>
      </c>
      <c r="K4017" s="5814" t="s">
        <v>11994</v>
      </c>
    </row>
    <row r="4018" spans="1:11">
      <c r="A4018" s="21" t="s">
        <v>339</v>
      </c>
      <c r="B4018" s="21" t="s">
        <v>1361</v>
      </c>
      <c r="C4018" s="21" t="s">
        <v>22</v>
      </c>
      <c r="D4018" s="21" t="s">
        <v>1357</v>
      </c>
      <c r="E4018" s="21" t="s">
        <v>9</v>
      </c>
      <c r="F4018" s="5812">
        <v>3</v>
      </c>
      <c r="G4018" s="5813">
        <v>0.20833333333333334</v>
      </c>
      <c r="H4018" s="21" t="s">
        <v>10</v>
      </c>
      <c r="I4018" s="21" t="s">
        <v>572</v>
      </c>
      <c r="J4018" s="21" t="s">
        <v>1362</v>
      </c>
      <c r="K4018" s="5814" t="s">
        <v>1363</v>
      </c>
    </row>
    <row r="4019" spans="1:11">
      <c r="A4019" s="21" t="s">
        <v>87</v>
      </c>
      <c r="B4019" s="21" t="s">
        <v>1368</v>
      </c>
      <c r="C4019" s="21" t="s">
        <v>8</v>
      </c>
      <c r="D4019" s="21" t="s">
        <v>1357</v>
      </c>
      <c r="E4019" s="21" t="s">
        <v>9</v>
      </c>
      <c r="F4019" s="5812">
        <v>3</v>
      </c>
      <c r="G4019" s="5813">
        <v>0.20833333333333334</v>
      </c>
      <c r="H4019" s="21" t="s">
        <v>10</v>
      </c>
      <c r="I4019" s="21" t="s">
        <v>788</v>
      </c>
      <c r="J4019" s="21" t="s">
        <v>1369</v>
      </c>
      <c r="K4019" s="5814" t="s">
        <v>1370</v>
      </c>
    </row>
    <row r="4020" spans="1:11">
      <c r="A4020" s="21" t="s">
        <v>94</v>
      </c>
      <c r="B4020" s="21" t="s">
        <v>1390</v>
      </c>
      <c r="C4020" s="21" t="s">
        <v>22</v>
      </c>
      <c r="D4020" s="21" t="s">
        <v>1357</v>
      </c>
      <c r="E4020" s="21" t="s">
        <v>9</v>
      </c>
      <c r="F4020" s="5812">
        <v>3</v>
      </c>
      <c r="G4020" s="5813">
        <v>0.20833333333333334</v>
      </c>
      <c r="H4020" s="21" t="s">
        <v>10</v>
      </c>
      <c r="I4020" s="21" t="s">
        <v>96</v>
      </c>
      <c r="J4020" s="21" t="s">
        <v>1391</v>
      </c>
      <c r="K4020" s="5814" t="s">
        <v>1392</v>
      </c>
    </row>
    <row r="4021" spans="1:11">
      <c r="A4021" s="21" t="s">
        <v>135</v>
      </c>
      <c r="B4021" s="21" t="s">
        <v>1405</v>
      </c>
      <c r="C4021" s="21" t="s">
        <v>22</v>
      </c>
      <c r="D4021" s="21" t="s">
        <v>1357</v>
      </c>
      <c r="E4021" s="21" t="s">
        <v>9</v>
      </c>
      <c r="F4021" s="5812">
        <v>3</v>
      </c>
      <c r="G4021" s="5813">
        <v>0.20833333333333334</v>
      </c>
      <c r="H4021" s="21" t="s">
        <v>10</v>
      </c>
      <c r="I4021" s="21" t="s">
        <v>609</v>
      </c>
      <c r="J4021" s="21" t="s">
        <v>1406</v>
      </c>
      <c r="K4021" s="5814" t="s">
        <v>1407</v>
      </c>
    </row>
    <row r="4022" spans="1:11">
      <c r="A4022" s="21" t="s">
        <v>166</v>
      </c>
      <c r="B4022" s="21" t="s">
        <v>1415</v>
      </c>
      <c r="C4022" s="21" t="s">
        <v>22</v>
      </c>
      <c r="D4022" s="21" t="s">
        <v>1357</v>
      </c>
      <c r="E4022" s="21" t="s">
        <v>9</v>
      </c>
      <c r="F4022" s="5812">
        <v>3</v>
      </c>
      <c r="G4022" s="5813">
        <v>0.20833333333333334</v>
      </c>
      <c r="H4022" s="21" t="s">
        <v>10</v>
      </c>
      <c r="I4022" s="21" t="s">
        <v>615</v>
      </c>
      <c r="J4022" s="21" t="s">
        <v>1416</v>
      </c>
      <c r="K4022" s="5814" t="s">
        <v>1417</v>
      </c>
    </row>
    <row r="4023" spans="1:11">
      <c r="A4023" s="21" t="s">
        <v>311</v>
      </c>
      <c r="B4023" s="21" t="s">
        <v>1419</v>
      </c>
      <c r="C4023" s="21" t="s">
        <v>22</v>
      </c>
      <c r="D4023" s="21" t="s">
        <v>1357</v>
      </c>
      <c r="E4023" s="21" t="s">
        <v>9</v>
      </c>
      <c r="F4023" s="5812">
        <v>3</v>
      </c>
      <c r="G4023" s="5813">
        <v>0.20833333333333334</v>
      </c>
      <c r="H4023" s="21" t="s">
        <v>10</v>
      </c>
      <c r="I4023" s="21" t="s">
        <v>39</v>
      </c>
      <c r="J4023" s="21" t="s">
        <v>1420</v>
      </c>
      <c r="K4023" s="5814" t="s">
        <v>1421</v>
      </c>
    </row>
    <row r="4024" spans="1:11">
      <c r="A4024" s="21" t="s">
        <v>71</v>
      </c>
      <c r="B4024" s="21" t="s">
        <v>1387</v>
      </c>
      <c r="C4024" s="21" t="s">
        <v>22</v>
      </c>
      <c r="D4024" s="21" t="s">
        <v>1357</v>
      </c>
      <c r="E4024" s="21" t="s">
        <v>9</v>
      </c>
      <c r="F4024" s="5812">
        <v>3</v>
      </c>
      <c r="G4024" s="5813">
        <v>0.20833333333333334</v>
      </c>
      <c r="H4024" s="21" t="s">
        <v>10</v>
      </c>
      <c r="I4024" s="21" t="s">
        <v>39</v>
      </c>
      <c r="J4024" s="21" t="s">
        <v>1388</v>
      </c>
      <c r="K4024" s="5814" t="s">
        <v>11995</v>
      </c>
    </row>
    <row r="4025" spans="1:11">
      <c r="A4025" s="21" t="s">
        <v>6</v>
      </c>
      <c r="B4025" s="21" t="s">
        <v>1356</v>
      </c>
      <c r="C4025" s="21" t="s">
        <v>22</v>
      </c>
      <c r="D4025" s="21" t="s">
        <v>1357</v>
      </c>
      <c r="E4025" s="21" t="s">
        <v>9</v>
      </c>
      <c r="F4025" s="5812">
        <v>3</v>
      </c>
      <c r="G4025" s="5813">
        <v>0.20833333333333334</v>
      </c>
      <c r="H4025" s="21" t="s">
        <v>10</v>
      </c>
      <c r="I4025" s="21" t="s">
        <v>654</v>
      </c>
      <c r="J4025" s="21" t="s">
        <v>1358</v>
      </c>
      <c r="K4025" s="5814" t="s">
        <v>11996</v>
      </c>
    </row>
    <row r="4026" spans="1:11">
      <c r="A4026" s="21" t="s">
        <v>2941</v>
      </c>
      <c r="B4026" s="21" t="s">
        <v>11997</v>
      </c>
      <c r="C4026" s="21" t="s">
        <v>8</v>
      </c>
      <c r="D4026" s="21" t="s">
        <v>1357</v>
      </c>
      <c r="E4026" s="21" t="s">
        <v>9</v>
      </c>
      <c r="F4026" s="5812">
        <v>3</v>
      </c>
      <c r="G4026" s="5813">
        <v>0.20833333333333334</v>
      </c>
      <c r="H4026" s="21" t="s">
        <v>10</v>
      </c>
      <c r="I4026" s="21" t="s">
        <v>96</v>
      </c>
      <c r="J4026" s="21" t="s">
        <v>11998</v>
      </c>
      <c r="K4026" s="5814" t="s">
        <v>11999</v>
      </c>
    </row>
    <row r="4027" spans="1:11">
      <c r="A4027" s="21" t="s">
        <v>2311</v>
      </c>
      <c r="B4027" s="21" t="s">
        <v>12000</v>
      </c>
      <c r="C4027" s="21" t="s">
        <v>8</v>
      </c>
      <c r="D4027" s="21" t="s">
        <v>1357</v>
      </c>
      <c r="E4027" s="21" t="s">
        <v>9</v>
      </c>
      <c r="F4027" s="5812">
        <v>3</v>
      </c>
      <c r="G4027" s="5813">
        <v>0.20833333333333334</v>
      </c>
      <c r="H4027" s="21" t="s">
        <v>10</v>
      </c>
      <c r="I4027" s="21" t="s">
        <v>2814</v>
      </c>
      <c r="J4027" s="21" t="s">
        <v>12001</v>
      </c>
      <c r="K4027" s="5814" t="s">
        <v>12002</v>
      </c>
    </row>
    <row r="4028" spans="1:11">
      <c r="A4028" s="21" t="s">
        <v>2300</v>
      </c>
      <c r="B4028" s="21" t="s">
        <v>12003</v>
      </c>
      <c r="C4028" s="21" t="s">
        <v>22</v>
      </c>
      <c r="D4028" s="21" t="s">
        <v>1357</v>
      </c>
      <c r="E4028" s="21" t="s">
        <v>9</v>
      </c>
      <c r="F4028" s="5812">
        <v>3</v>
      </c>
      <c r="G4028" s="5813">
        <v>0.20833333333333334</v>
      </c>
      <c r="H4028" s="21" t="s">
        <v>10</v>
      </c>
      <c r="I4028" s="21" t="s">
        <v>187</v>
      </c>
      <c r="J4028" s="21" t="s">
        <v>12004</v>
      </c>
      <c r="K4028" s="5814" t="s">
        <v>12005</v>
      </c>
    </row>
    <row r="4029" spans="1:11">
      <c r="A4029" s="21" t="s">
        <v>4552</v>
      </c>
      <c r="B4029" s="21" t="s">
        <v>12006</v>
      </c>
      <c r="C4029" s="21" t="s">
        <v>22</v>
      </c>
      <c r="D4029" s="21" t="s">
        <v>1357</v>
      </c>
      <c r="E4029" s="21" t="s">
        <v>9</v>
      </c>
      <c r="F4029" s="5812">
        <v>3</v>
      </c>
      <c r="G4029" s="5813">
        <v>0.20833333333333334</v>
      </c>
      <c r="H4029" s="21" t="s">
        <v>10</v>
      </c>
      <c r="I4029" s="21" t="s">
        <v>39</v>
      </c>
      <c r="J4029" s="21" t="s">
        <v>12007</v>
      </c>
      <c r="K4029" s="5814" t="s">
        <v>12008</v>
      </c>
    </row>
    <row r="4030" spans="1:11">
      <c r="A4030" s="21" t="s">
        <v>3249</v>
      </c>
      <c r="B4030" s="21" t="s">
        <v>12009</v>
      </c>
      <c r="C4030" s="21" t="s">
        <v>8</v>
      </c>
      <c r="D4030" s="21" t="s">
        <v>1357</v>
      </c>
      <c r="E4030" s="21" t="s">
        <v>9</v>
      </c>
      <c r="F4030" s="5812">
        <v>3</v>
      </c>
      <c r="G4030" s="5813">
        <v>0.20833333333333334</v>
      </c>
      <c r="H4030" s="21" t="s">
        <v>10</v>
      </c>
      <c r="I4030" s="21" t="s">
        <v>23</v>
      </c>
      <c r="J4030" s="21" t="s">
        <v>4051</v>
      </c>
      <c r="K4030" s="5814" t="s">
        <v>12010</v>
      </c>
    </row>
    <row r="4031" spans="1:11">
      <c r="A4031" s="21" t="s">
        <v>2947</v>
      </c>
      <c r="B4031" s="21" t="s">
        <v>12011</v>
      </c>
      <c r="C4031" s="21" t="s">
        <v>22</v>
      </c>
      <c r="D4031" s="21" t="s">
        <v>1357</v>
      </c>
      <c r="E4031" s="21" t="s">
        <v>9</v>
      </c>
      <c r="F4031" s="5812">
        <v>3</v>
      </c>
      <c r="G4031" s="5813">
        <v>0.20833333333333334</v>
      </c>
      <c r="H4031" s="21" t="s">
        <v>10</v>
      </c>
      <c r="I4031" s="21" t="s">
        <v>400</v>
      </c>
      <c r="J4031" s="21" t="s">
        <v>12012</v>
      </c>
      <c r="K4031" s="5814" t="s">
        <v>12013</v>
      </c>
    </row>
    <row r="4032" spans="1:11">
      <c r="A4032" s="21" t="s">
        <v>3039</v>
      </c>
      <c r="B4032" s="21" t="s">
        <v>12014</v>
      </c>
      <c r="C4032" s="21" t="s">
        <v>8</v>
      </c>
      <c r="D4032" s="21" t="s">
        <v>1357</v>
      </c>
      <c r="E4032" s="21" t="s">
        <v>9</v>
      </c>
      <c r="F4032" s="5812">
        <v>3</v>
      </c>
      <c r="G4032" s="5813">
        <v>0.20833333333333334</v>
      </c>
      <c r="H4032" s="21" t="s">
        <v>10</v>
      </c>
      <c r="I4032" s="21" t="s">
        <v>23</v>
      </c>
      <c r="J4032" s="21" t="s">
        <v>12015</v>
      </c>
      <c r="K4032" s="5814" t="s">
        <v>12016</v>
      </c>
    </row>
    <row r="4033" spans="1:11">
      <c r="A4033" s="21" t="s">
        <v>3671</v>
      </c>
      <c r="B4033" s="21" t="s">
        <v>12017</v>
      </c>
      <c r="C4033" s="21" t="s">
        <v>8</v>
      </c>
      <c r="D4033" s="21" t="s">
        <v>1357</v>
      </c>
      <c r="E4033" s="21" t="s">
        <v>9</v>
      </c>
      <c r="F4033" s="5812">
        <v>3</v>
      </c>
      <c r="G4033" s="5813">
        <v>0.20833333333333334</v>
      </c>
      <c r="H4033" s="21" t="s">
        <v>10</v>
      </c>
      <c r="I4033" s="21" t="s">
        <v>55</v>
      </c>
      <c r="J4033" s="21" t="s">
        <v>12018</v>
      </c>
      <c r="K4033" s="5814" t="s">
        <v>12019</v>
      </c>
    </row>
    <row r="4034" spans="1:11">
      <c r="A4034" s="21" t="s">
        <v>3671</v>
      </c>
      <c r="B4034" s="21" t="s">
        <v>12020</v>
      </c>
      <c r="C4034" s="21" t="s">
        <v>22</v>
      </c>
      <c r="D4034" s="21" t="s">
        <v>1357</v>
      </c>
      <c r="E4034" s="21" t="s">
        <v>9</v>
      </c>
      <c r="F4034" s="5812">
        <v>3</v>
      </c>
      <c r="G4034" s="5813">
        <v>0.20833333333333334</v>
      </c>
      <c r="H4034" s="21" t="s">
        <v>10</v>
      </c>
      <c r="I4034" s="21" t="s">
        <v>2313</v>
      </c>
      <c r="J4034" s="21" t="s">
        <v>12021</v>
      </c>
      <c r="K4034" s="5814" t="s">
        <v>12022</v>
      </c>
    </row>
    <row r="4035" spans="1:11">
      <c r="A4035" s="21" t="s">
        <v>2088</v>
      </c>
      <c r="B4035" s="21" t="s">
        <v>12023</v>
      </c>
      <c r="C4035" s="21" t="s">
        <v>8</v>
      </c>
      <c r="D4035" s="21" t="s">
        <v>1357</v>
      </c>
      <c r="E4035" s="21" t="s">
        <v>9</v>
      </c>
      <c r="F4035" s="5812">
        <v>3</v>
      </c>
      <c r="G4035" s="5813">
        <v>0.20833333333333334</v>
      </c>
      <c r="H4035" s="21" t="s">
        <v>10</v>
      </c>
      <c r="I4035" s="21" t="s">
        <v>11</v>
      </c>
      <c r="J4035" s="21" t="s">
        <v>12024</v>
      </c>
      <c r="K4035" s="5814" t="s">
        <v>12025</v>
      </c>
    </row>
    <row r="4036" spans="1:11">
      <c r="A4036" s="21" t="s">
        <v>2049</v>
      </c>
      <c r="B4036" s="21" t="s">
        <v>12026</v>
      </c>
      <c r="C4036" s="21" t="s">
        <v>22</v>
      </c>
      <c r="D4036" s="21" t="s">
        <v>1357</v>
      </c>
      <c r="E4036" s="21" t="s">
        <v>9</v>
      </c>
      <c r="F4036" s="5812">
        <v>3</v>
      </c>
      <c r="G4036" s="5813">
        <v>0.20833333333333334</v>
      </c>
      <c r="H4036" s="21" t="s">
        <v>10</v>
      </c>
      <c r="I4036" s="21" t="s">
        <v>11</v>
      </c>
      <c r="J4036" s="21" t="s">
        <v>12027</v>
      </c>
      <c r="K4036" s="5814" t="s">
        <v>12028</v>
      </c>
    </row>
    <row r="4037" spans="1:11">
      <c r="A4037" s="21" t="s">
        <v>3474</v>
      </c>
      <c r="B4037" s="21" t="s">
        <v>12029</v>
      </c>
      <c r="C4037" s="21" t="s">
        <v>8</v>
      </c>
      <c r="D4037" s="21" t="s">
        <v>1357</v>
      </c>
      <c r="E4037" s="21" t="s">
        <v>9</v>
      </c>
      <c r="F4037" s="5812">
        <v>3</v>
      </c>
      <c r="G4037" s="5813">
        <v>0.20833333333333334</v>
      </c>
      <c r="H4037" s="21" t="s">
        <v>10</v>
      </c>
      <c r="I4037" s="21" t="s">
        <v>23</v>
      </c>
      <c r="J4037" s="21" t="s">
        <v>12030</v>
      </c>
      <c r="K4037" s="5814" t="s">
        <v>12031</v>
      </c>
    </row>
    <row r="4038" spans="1:11">
      <c r="A4038" s="21" t="s">
        <v>2354</v>
      </c>
      <c r="B4038" s="21" t="s">
        <v>12032</v>
      </c>
      <c r="C4038" s="21" t="s">
        <v>22</v>
      </c>
      <c r="D4038" s="21" t="s">
        <v>1357</v>
      </c>
      <c r="E4038" s="21" t="s">
        <v>9</v>
      </c>
      <c r="F4038" s="5812">
        <v>3</v>
      </c>
      <c r="G4038" s="5813">
        <v>0.20833333333333334</v>
      </c>
      <c r="H4038" s="21" t="s">
        <v>10</v>
      </c>
      <c r="I4038" s="21" t="s">
        <v>233</v>
      </c>
      <c r="J4038" s="21" t="s">
        <v>12033</v>
      </c>
      <c r="K4038" s="5814" t="s">
        <v>12034</v>
      </c>
    </row>
    <row r="4039" spans="1:11">
      <c r="A4039" s="21" t="s">
        <v>2092</v>
      </c>
      <c r="B4039" s="21" t="s">
        <v>12035</v>
      </c>
      <c r="C4039" s="21" t="s">
        <v>8</v>
      </c>
      <c r="D4039" s="21" t="s">
        <v>1357</v>
      </c>
      <c r="E4039" s="21" t="s">
        <v>9</v>
      </c>
      <c r="F4039" s="5812">
        <v>3</v>
      </c>
      <c r="G4039" s="5813">
        <v>0.20833333333333334</v>
      </c>
      <c r="H4039" s="21" t="s">
        <v>10</v>
      </c>
      <c r="I4039" s="21" t="s">
        <v>654</v>
      </c>
      <c r="J4039" s="21" t="s">
        <v>12036</v>
      </c>
      <c r="K4039" s="5814" t="s">
        <v>12037</v>
      </c>
    </row>
    <row r="4040" spans="1:11">
      <c r="A4040" s="21" t="s">
        <v>2376</v>
      </c>
      <c r="B4040" s="21" t="s">
        <v>12038</v>
      </c>
      <c r="C4040" s="21" t="s">
        <v>8</v>
      </c>
      <c r="D4040" s="21" t="s">
        <v>1357</v>
      </c>
      <c r="E4040" s="21" t="s">
        <v>9</v>
      </c>
      <c r="F4040" s="5812">
        <v>3</v>
      </c>
      <c r="G4040" s="5813">
        <v>0.20833333333333334</v>
      </c>
      <c r="H4040" s="21" t="s">
        <v>10</v>
      </c>
      <c r="I4040" s="21" t="s">
        <v>96</v>
      </c>
      <c r="J4040" s="21" t="s">
        <v>12039</v>
      </c>
      <c r="K4040" s="5814" t="s">
        <v>12040</v>
      </c>
    </row>
    <row r="4041" spans="1:11">
      <c r="A4041" s="21" t="s">
        <v>2096</v>
      </c>
      <c r="B4041" s="21" t="s">
        <v>12041</v>
      </c>
      <c r="C4041" s="21" t="s">
        <v>22</v>
      </c>
      <c r="D4041" s="21" t="s">
        <v>1357</v>
      </c>
      <c r="E4041" s="21" t="s">
        <v>9</v>
      </c>
      <c r="F4041" s="5812">
        <v>3</v>
      </c>
      <c r="G4041" s="5813">
        <v>0.20833333333333334</v>
      </c>
      <c r="H4041" s="21" t="s">
        <v>10</v>
      </c>
      <c r="I4041" s="21" t="s">
        <v>96</v>
      </c>
      <c r="J4041" s="21" t="s">
        <v>12042</v>
      </c>
      <c r="K4041" s="5814" t="s">
        <v>12043</v>
      </c>
    </row>
    <row r="4042" spans="1:11">
      <c r="A4042" s="21" t="s">
        <v>3909</v>
      </c>
      <c r="B4042" s="21" t="s">
        <v>12044</v>
      </c>
      <c r="C4042" s="21" t="s">
        <v>22</v>
      </c>
      <c r="D4042" s="21" t="s">
        <v>1357</v>
      </c>
      <c r="E4042" s="21" t="s">
        <v>9</v>
      </c>
      <c r="F4042" s="5812">
        <v>3</v>
      </c>
      <c r="G4042" s="5813">
        <v>0.20833333333333334</v>
      </c>
      <c r="H4042" s="21" t="s">
        <v>10</v>
      </c>
      <c r="I4042" s="21" t="s">
        <v>2544</v>
      </c>
      <c r="J4042" s="21" t="s">
        <v>12045</v>
      </c>
      <c r="K4042" s="5814" t="s">
        <v>12046</v>
      </c>
    </row>
    <row r="4043" spans="1:11">
      <c r="A4043" s="21" t="s">
        <v>3409</v>
      </c>
      <c r="B4043" s="21" t="s">
        <v>12047</v>
      </c>
      <c r="C4043" s="21" t="s">
        <v>8</v>
      </c>
      <c r="D4043" s="21" t="s">
        <v>1357</v>
      </c>
      <c r="E4043" s="21" t="s">
        <v>9</v>
      </c>
      <c r="F4043" s="5812">
        <v>3</v>
      </c>
      <c r="G4043" s="5813">
        <v>0.20833333333333334</v>
      </c>
      <c r="H4043" s="21" t="s">
        <v>10</v>
      </c>
      <c r="I4043" s="21" t="s">
        <v>187</v>
      </c>
      <c r="J4043" s="21" t="s">
        <v>12048</v>
      </c>
      <c r="K4043" s="5814" t="s">
        <v>12049</v>
      </c>
    </row>
    <row r="4044" spans="1:11">
      <c r="A4044" s="21" t="s">
        <v>2045</v>
      </c>
      <c r="B4044" s="21" t="s">
        <v>12050</v>
      </c>
      <c r="C4044" s="21" t="s">
        <v>22</v>
      </c>
      <c r="D4044" s="21" t="s">
        <v>1357</v>
      </c>
      <c r="E4044" s="21" t="s">
        <v>9</v>
      </c>
      <c r="F4044" s="5812">
        <v>3</v>
      </c>
      <c r="G4044" s="5813">
        <v>0.20833333333333334</v>
      </c>
      <c r="H4044" s="21" t="s">
        <v>10</v>
      </c>
      <c r="I4044" s="21" t="s">
        <v>96</v>
      </c>
      <c r="J4044" s="21" t="s">
        <v>12051</v>
      </c>
      <c r="K4044" s="5814" t="s">
        <v>12052</v>
      </c>
    </row>
    <row r="4045" spans="1:11">
      <c r="A4045" s="21" t="s">
        <v>2944</v>
      </c>
      <c r="B4045" s="21" t="s">
        <v>12053</v>
      </c>
      <c r="C4045" s="21" t="s">
        <v>22</v>
      </c>
      <c r="D4045" s="21" t="s">
        <v>1357</v>
      </c>
      <c r="E4045" s="21" t="s">
        <v>9</v>
      </c>
      <c r="F4045" s="5812">
        <v>3</v>
      </c>
      <c r="G4045" s="5813">
        <v>0.20833333333333334</v>
      </c>
      <c r="H4045" s="21" t="s">
        <v>10</v>
      </c>
      <c r="I4045" s="21" t="s">
        <v>654</v>
      </c>
      <c r="J4045" s="21" t="s">
        <v>12054</v>
      </c>
      <c r="K4045" s="5814" t="s">
        <v>12055</v>
      </c>
    </row>
    <row r="4046" spans="1:11">
      <c r="A4046" s="21" t="s">
        <v>3183</v>
      </c>
      <c r="B4046" s="21" t="s">
        <v>12056</v>
      </c>
      <c r="C4046" s="21" t="s">
        <v>8</v>
      </c>
      <c r="D4046" s="21" t="s">
        <v>1357</v>
      </c>
      <c r="E4046" s="21" t="s">
        <v>9</v>
      </c>
      <c r="F4046" s="5812">
        <v>3</v>
      </c>
      <c r="G4046" s="5813">
        <v>0.20833333333333334</v>
      </c>
      <c r="H4046" s="21" t="s">
        <v>10</v>
      </c>
      <c r="I4046" s="21" t="s">
        <v>23</v>
      </c>
      <c r="J4046" s="21" t="s">
        <v>12057</v>
      </c>
      <c r="K4046" s="5814" t="s">
        <v>12058</v>
      </c>
    </row>
    <row r="4047" spans="1:11">
      <c r="A4047" s="21" t="s">
        <v>2428</v>
      </c>
      <c r="B4047" s="21" t="s">
        <v>12059</v>
      </c>
      <c r="C4047" s="21" t="s">
        <v>8</v>
      </c>
      <c r="D4047" s="21" t="s">
        <v>1357</v>
      </c>
      <c r="E4047" s="21" t="s">
        <v>9</v>
      </c>
      <c r="F4047" s="5812">
        <v>3</v>
      </c>
      <c r="G4047" s="5813">
        <v>0.20833333333333334</v>
      </c>
      <c r="H4047" s="21" t="s">
        <v>10</v>
      </c>
      <c r="I4047" s="21" t="s">
        <v>96</v>
      </c>
      <c r="J4047" s="21" t="s">
        <v>12060</v>
      </c>
      <c r="K4047" s="5814" t="s">
        <v>12061</v>
      </c>
    </row>
    <row r="4048" spans="1:11">
      <c r="A4048" s="21" t="s">
        <v>3012</v>
      </c>
      <c r="B4048" s="21" t="s">
        <v>12062</v>
      </c>
      <c r="C4048" s="21" t="s">
        <v>8</v>
      </c>
      <c r="D4048" s="21" t="s">
        <v>1357</v>
      </c>
      <c r="E4048" s="21" t="s">
        <v>9</v>
      </c>
      <c r="F4048" s="5812">
        <v>3</v>
      </c>
      <c r="G4048" s="5813">
        <v>0.20833333333333334</v>
      </c>
      <c r="H4048" s="21" t="s">
        <v>10</v>
      </c>
      <c r="I4048" s="21" t="s">
        <v>23</v>
      </c>
      <c r="J4048" s="21" t="s">
        <v>12063</v>
      </c>
      <c r="K4048" s="5814" t="s">
        <v>12064</v>
      </c>
    </row>
    <row r="4049" spans="1:11">
      <c r="A4049" s="21" t="s">
        <v>3130</v>
      </c>
      <c r="B4049" s="21" t="s">
        <v>12065</v>
      </c>
      <c r="C4049" s="21" t="s">
        <v>22</v>
      </c>
      <c r="D4049" s="21" t="s">
        <v>1357</v>
      </c>
      <c r="E4049" s="21" t="s">
        <v>9</v>
      </c>
      <c r="F4049" s="5812">
        <v>3</v>
      </c>
      <c r="G4049" s="5813">
        <v>0.20833333333333334</v>
      </c>
      <c r="H4049" s="21" t="s">
        <v>10</v>
      </c>
      <c r="I4049" s="21" t="s">
        <v>55</v>
      </c>
      <c r="J4049" s="21" t="s">
        <v>7283</v>
      </c>
      <c r="K4049" s="5814" t="s">
        <v>12066</v>
      </c>
    </row>
    <row r="4050" spans="1:11">
      <c r="A4050" s="21" t="s">
        <v>2442</v>
      </c>
      <c r="B4050" s="21" t="s">
        <v>12067</v>
      </c>
      <c r="C4050" s="21" t="s">
        <v>8</v>
      </c>
      <c r="D4050" s="21" t="s">
        <v>1357</v>
      </c>
      <c r="E4050" s="21" t="s">
        <v>9</v>
      </c>
      <c r="F4050" s="5812">
        <v>3</v>
      </c>
      <c r="G4050" s="5813">
        <v>0.20833333333333334</v>
      </c>
      <c r="H4050" s="21" t="s">
        <v>10</v>
      </c>
      <c r="I4050" s="21" t="s">
        <v>23</v>
      </c>
      <c r="J4050" s="21" t="s">
        <v>10266</v>
      </c>
      <c r="K4050" s="5814" t="s">
        <v>12068</v>
      </c>
    </row>
    <row r="4051" spans="1:11">
      <c r="A4051" s="21" t="s">
        <v>3559</v>
      </c>
      <c r="B4051" s="21" t="s">
        <v>12069</v>
      </c>
      <c r="C4051" s="21" t="s">
        <v>22</v>
      </c>
      <c r="D4051" s="21" t="s">
        <v>1357</v>
      </c>
      <c r="E4051" s="21" t="s">
        <v>9</v>
      </c>
      <c r="F4051" s="5812">
        <v>3</v>
      </c>
      <c r="G4051" s="5813">
        <v>0.20833333333333334</v>
      </c>
      <c r="H4051" s="21" t="s">
        <v>10</v>
      </c>
      <c r="I4051" s="21" t="s">
        <v>11</v>
      </c>
      <c r="J4051" s="21" t="s">
        <v>12070</v>
      </c>
      <c r="K4051" s="5814" t="s">
        <v>12071</v>
      </c>
    </row>
    <row r="4052" spans="1:11">
      <c r="A4052" s="21" t="s">
        <v>2454</v>
      </c>
      <c r="B4052" s="21" t="s">
        <v>12072</v>
      </c>
      <c r="C4052" s="21" t="s">
        <v>22</v>
      </c>
      <c r="D4052" s="21" t="s">
        <v>1357</v>
      </c>
      <c r="E4052" s="21" t="s">
        <v>9</v>
      </c>
      <c r="F4052" s="5812">
        <v>3</v>
      </c>
      <c r="G4052" s="5813">
        <v>0.20833333333333334</v>
      </c>
      <c r="H4052" s="21" t="s">
        <v>10</v>
      </c>
      <c r="I4052" s="21" t="s">
        <v>96</v>
      </c>
      <c r="J4052" s="21" t="s">
        <v>12073</v>
      </c>
      <c r="K4052" s="5814" t="s">
        <v>12074</v>
      </c>
    </row>
    <row r="4053" spans="1:11">
      <c r="A4053" s="21" t="s">
        <v>3946</v>
      </c>
      <c r="B4053" s="21" t="s">
        <v>12075</v>
      </c>
      <c r="C4053" s="21" t="s">
        <v>8</v>
      </c>
      <c r="D4053" s="21" t="s">
        <v>1357</v>
      </c>
      <c r="E4053" s="21" t="s">
        <v>9</v>
      </c>
      <c r="F4053" s="5812">
        <v>3</v>
      </c>
      <c r="G4053" s="5813">
        <v>0.20833333333333334</v>
      </c>
      <c r="H4053" s="21" t="s">
        <v>10</v>
      </c>
      <c r="I4053" s="21" t="s">
        <v>23</v>
      </c>
      <c r="J4053" s="21" t="s">
        <v>10301</v>
      </c>
      <c r="K4053" s="5814" t="s">
        <v>12076</v>
      </c>
    </row>
    <row r="4054" spans="1:11">
      <c r="A4054" s="21" t="s">
        <v>2461</v>
      </c>
      <c r="B4054" s="21" t="s">
        <v>12077</v>
      </c>
      <c r="C4054" s="21" t="s">
        <v>22</v>
      </c>
      <c r="D4054" s="21" t="s">
        <v>1357</v>
      </c>
      <c r="E4054" s="21" t="s">
        <v>9</v>
      </c>
      <c r="F4054" s="5812">
        <v>3</v>
      </c>
      <c r="G4054" s="5813">
        <v>0.20833333333333334</v>
      </c>
      <c r="H4054" s="21" t="s">
        <v>10</v>
      </c>
      <c r="I4054" s="21" t="s">
        <v>23</v>
      </c>
      <c r="J4054" s="21" t="s">
        <v>12078</v>
      </c>
      <c r="K4054" s="5814" t="s">
        <v>12079</v>
      </c>
    </row>
    <row r="4055" spans="1:11">
      <c r="A4055" s="21" t="s">
        <v>3105</v>
      </c>
      <c r="B4055" s="21" t="s">
        <v>12080</v>
      </c>
      <c r="C4055" s="21" t="s">
        <v>8</v>
      </c>
      <c r="D4055" s="21" t="s">
        <v>1357</v>
      </c>
      <c r="E4055" s="21" t="s">
        <v>9</v>
      </c>
      <c r="F4055" s="5812">
        <v>3</v>
      </c>
      <c r="G4055" s="5813">
        <v>0.20833333333333334</v>
      </c>
      <c r="H4055" s="21" t="s">
        <v>10</v>
      </c>
      <c r="I4055" s="21" t="s">
        <v>47</v>
      </c>
      <c r="J4055" s="21" t="s">
        <v>12081</v>
      </c>
      <c r="K4055" s="5814" t="s">
        <v>12082</v>
      </c>
    </row>
    <row r="4056" spans="1:11">
      <c r="A4056" s="21" t="s">
        <v>2974</v>
      </c>
      <c r="B4056" s="21" t="s">
        <v>12083</v>
      </c>
      <c r="C4056" s="21" t="s">
        <v>8</v>
      </c>
      <c r="D4056" s="21" t="s">
        <v>1357</v>
      </c>
      <c r="E4056" s="21" t="s">
        <v>9</v>
      </c>
      <c r="F4056" s="5812">
        <v>3</v>
      </c>
      <c r="G4056" s="5813">
        <v>0.20833333333333334</v>
      </c>
      <c r="H4056" s="21" t="s">
        <v>10</v>
      </c>
      <c r="I4056" s="21" t="s">
        <v>23</v>
      </c>
      <c r="J4056" s="21" t="s">
        <v>12084</v>
      </c>
      <c r="K4056" s="5814" t="s">
        <v>12085</v>
      </c>
    </row>
    <row r="4057" spans="1:11">
      <c r="A4057" s="21" t="s">
        <v>2974</v>
      </c>
      <c r="B4057" s="21" t="s">
        <v>12086</v>
      </c>
      <c r="C4057" s="21" t="s">
        <v>22</v>
      </c>
      <c r="D4057" s="21" t="s">
        <v>1357</v>
      </c>
      <c r="E4057" s="21" t="s">
        <v>9</v>
      </c>
      <c r="F4057" s="5812">
        <v>3</v>
      </c>
      <c r="G4057" s="5813">
        <v>0.20833333333333334</v>
      </c>
      <c r="H4057" s="21" t="s">
        <v>10</v>
      </c>
      <c r="I4057" s="21" t="s">
        <v>23</v>
      </c>
      <c r="J4057" s="21" t="s">
        <v>12087</v>
      </c>
      <c r="K4057" s="5814" t="s">
        <v>12088</v>
      </c>
    </row>
    <row r="4058" spans="1:11">
      <c r="A4058" s="21" t="s">
        <v>3152</v>
      </c>
      <c r="B4058" s="21" t="s">
        <v>12089</v>
      </c>
      <c r="C4058" s="21" t="s">
        <v>22</v>
      </c>
      <c r="D4058" s="21" t="s">
        <v>1357</v>
      </c>
      <c r="E4058" s="21" t="s">
        <v>9</v>
      </c>
      <c r="F4058" s="5812">
        <v>3</v>
      </c>
      <c r="G4058" s="5813">
        <v>0.20833333333333334</v>
      </c>
      <c r="H4058" s="21" t="s">
        <v>10</v>
      </c>
      <c r="I4058" s="21" t="s">
        <v>23</v>
      </c>
      <c r="J4058" s="21" t="s">
        <v>12090</v>
      </c>
      <c r="K4058" s="5814" t="s">
        <v>12091</v>
      </c>
    </row>
    <row r="4059" spans="1:11">
      <c r="A4059" s="21" t="s">
        <v>2471</v>
      </c>
      <c r="B4059" s="21" t="s">
        <v>12092</v>
      </c>
      <c r="C4059" s="21" t="s">
        <v>8</v>
      </c>
      <c r="D4059" s="21" t="s">
        <v>1357</v>
      </c>
      <c r="E4059" s="21" t="s">
        <v>9</v>
      </c>
      <c r="F4059" s="5812">
        <v>3</v>
      </c>
      <c r="G4059" s="5813">
        <v>0.20833333333333334</v>
      </c>
      <c r="H4059" s="21" t="s">
        <v>10</v>
      </c>
      <c r="I4059" s="21" t="s">
        <v>39</v>
      </c>
      <c r="J4059" s="21" t="s">
        <v>12093</v>
      </c>
      <c r="K4059" s="5814" t="s">
        <v>12094</v>
      </c>
    </row>
    <row r="4060" spans="1:11">
      <c r="A4060" s="21" t="s">
        <v>2471</v>
      </c>
      <c r="B4060" s="21" t="s">
        <v>12095</v>
      </c>
      <c r="C4060" s="21" t="s">
        <v>8</v>
      </c>
      <c r="D4060" s="21" t="s">
        <v>1357</v>
      </c>
      <c r="E4060" s="21" t="s">
        <v>9</v>
      </c>
      <c r="F4060" s="5812">
        <v>3</v>
      </c>
      <c r="G4060" s="5813">
        <v>0.20833333333333334</v>
      </c>
      <c r="H4060" s="21" t="s">
        <v>10</v>
      </c>
      <c r="I4060" s="21" t="s">
        <v>23</v>
      </c>
      <c r="J4060" s="21" t="s">
        <v>12096</v>
      </c>
      <c r="K4060" s="5814" t="s">
        <v>12097</v>
      </c>
    </row>
    <row r="4061" spans="1:11">
      <c r="A4061" s="21" t="s">
        <v>2478</v>
      </c>
      <c r="B4061" s="21" t="s">
        <v>12098</v>
      </c>
      <c r="C4061" s="21" t="s">
        <v>8</v>
      </c>
      <c r="D4061" s="21" t="s">
        <v>1357</v>
      </c>
      <c r="E4061" s="21" t="s">
        <v>9</v>
      </c>
      <c r="F4061" s="5812">
        <v>3</v>
      </c>
      <c r="G4061" s="5813">
        <v>0.20833333333333334</v>
      </c>
      <c r="H4061" s="21" t="s">
        <v>10</v>
      </c>
      <c r="I4061" s="21" t="s">
        <v>96</v>
      </c>
      <c r="J4061" s="21" t="s">
        <v>11607</v>
      </c>
      <c r="K4061" s="5814" t="s">
        <v>12099</v>
      </c>
    </row>
    <row r="4062" spans="1:11">
      <c r="A4062" s="21" t="s">
        <v>2079</v>
      </c>
      <c r="B4062" s="21" t="s">
        <v>12100</v>
      </c>
      <c r="C4062" s="21" t="s">
        <v>8</v>
      </c>
      <c r="D4062" s="21" t="s">
        <v>1357</v>
      </c>
      <c r="E4062" s="21" t="s">
        <v>9</v>
      </c>
      <c r="F4062" s="5812">
        <v>3</v>
      </c>
      <c r="G4062" s="5813">
        <v>0.20833333333333334</v>
      </c>
      <c r="H4062" s="21" t="s">
        <v>10</v>
      </c>
      <c r="I4062" s="21" t="s">
        <v>23</v>
      </c>
      <c r="J4062" s="21" t="s">
        <v>12101</v>
      </c>
      <c r="K4062" s="5814" t="s">
        <v>12102</v>
      </c>
    </row>
    <row r="4063" spans="1:11">
      <c r="A4063" s="21" t="s">
        <v>3235</v>
      </c>
      <c r="B4063" s="21" t="s">
        <v>12103</v>
      </c>
      <c r="C4063" s="21" t="s">
        <v>8</v>
      </c>
      <c r="D4063" s="21" t="s">
        <v>1357</v>
      </c>
      <c r="E4063" s="21" t="s">
        <v>9</v>
      </c>
      <c r="F4063" s="5812">
        <v>3</v>
      </c>
      <c r="G4063" s="5813">
        <v>0.20833333333333334</v>
      </c>
      <c r="H4063" s="21" t="s">
        <v>10</v>
      </c>
      <c r="I4063" s="21" t="s">
        <v>55</v>
      </c>
      <c r="J4063" s="21" t="s">
        <v>12104</v>
      </c>
      <c r="K4063" s="5814" t="s">
        <v>12105</v>
      </c>
    </row>
    <row r="4064" spans="1:11">
      <c r="A4064" s="21" t="s">
        <v>3256</v>
      </c>
      <c r="B4064" s="21" t="s">
        <v>12106</v>
      </c>
      <c r="C4064" s="21" t="s">
        <v>8</v>
      </c>
      <c r="D4064" s="21" t="s">
        <v>1357</v>
      </c>
      <c r="E4064" s="21" t="s">
        <v>9</v>
      </c>
      <c r="F4064" s="5812">
        <v>3</v>
      </c>
      <c r="G4064" s="5813">
        <v>0.20833333333333334</v>
      </c>
      <c r="H4064" s="21" t="s">
        <v>10</v>
      </c>
      <c r="I4064" s="21" t="s">
        <v>73</v>
      </c>
      <c r="J4064" s="21" t="s">
        <v>12107</v>
      </c>
      <c r="K4064" s="5814" t="s">
        <v>12108</v>
      </c>
    </row>
    <row r="4065" spans="1:11">
      <c r="A4065" s="21" t="s">
        <v>3224</v>
      </c>
      <c r="B4065" s="21" t="s">
        <v>12109</v>
      </c>
      <c r="C4065" s="21" t="s">
        <v>22</v>
      </c>
      <c r="D4065" s="21" t="s">
        <v>1357</v>
      </c>
      <c r="E4065" s="21" t="s">
        <v>9</v>
      </c>
      <c r="F4065" s="5812">
        <v>3</v>
      </c>
      <c r="G4065" s="5813">
        <v>0.20833333333333334</v>
      </c>
      <c r="H4065" s="21" t="s">
        <v>10</v>
      </c>
      <c r="I4065" s="21" t="s">
        <v>96</v>
      </c>
      <c r="J4065" s="21" t="s">
        <v>12110</v>
      </c>
      <c r="K4065" s="5814" t="s">
        <v>12111</v>
      </c>
    </row>
    <row r="4066" spans="1:11">
      <c r="A4066" s="21" t="s">
        <v>3505</v>
      </c>
      <c r="B4066" s="21" t="s">
        <v>12112</v>
      </c>
      <c r="C4066" s="21" t="s">
        <v>22</v>
      </c>
      <c r="D4066" s="21" t="s">
        <v>1357</v>
      </c>
      <c r="E4066" s="21" t="s">
        <v>9</v>
      </c>
      <c r="F4066" s="5812">
        <v>3</v>
      </c>
      <c r="G4066" s="5813">
        <v>0.20833333333333334</v>
      </c>
      <c r="H4066" s="21" t="s">
        <v>10</v>
      </c>
      <c r="I4066" s="21" t="s">
        <v>11</v>
      </c>
      <c r="J4066" s="21" t="s">
        <v>12113</v>
      </c>
      <c r="K4066" s="5814" t="s">
        <v>12114</v>
      </c>
    </row>
    <row r="4067" spans="1:11">
      <c r="A4067" s="21" t="s">
        <v>2910</v>
      </c>
      <c r="B4067" s="21" t="s">
        <v>12115</v>
      </c>
      <c r="C4067" s="21" t="s">
        <v>22</v>
      </c>
      <c r="D4067" s="21" t="s">
        <v>1357</v>
      </c>
      <c r="E4067" s="21" t="s">
        <v>9</v>
      </c>
      <c r="F4067" s="5812">
        <v>3</v>
      </c>
      <c r="G4067" s="5813">
        <v>0.20833333333333334</v>
      </c>
      <c r="H4067" s="21" t="s">
        <v>10</v>
      </c>
      <c r="I4067" s="21" t="s">
        <v>96</v>
      </c>
      <c r="J4067" s="21" t="s">
        <v>12116</v>
      </c>
      <c r="K4067" s="5814" t="s">
        <v>12117</v>
      </c>
    </row>
    <row r="4068" spans="1:11">
      <c r="A4068" s="21" t="s">
        <v>3481</v>
      </c>
      <c r="B4068" s="21" t="s">
        <v>12118</v>
      </c>
      <c r="C4068" s="21" t="s">
        <v>22</v>
      </c>
      <c r="D4068" s="21" t="s">
        <v>1357</v>
      </c>
      <c r="E4068" s="21" t="s">
        <v>9</v>
      </c>
      <c r="F4068" s="5812">
        <v>3</v>
      </c>
      <c r="G4068" s="5813">
        <v>0.20833333333333334</v>
      </c>
      <c r="H4068" s="21" t="s">
        <v>10</v>
      </c>
      <c r="I4068" s="21" t="s">
        <v>11</v>
      </c>
      <c r="J4068" s="21" t="s">
        <v>12119</v>
      </c>
      <c r="K4068" s="5814" t="s">
        <v>12120</v>
      </c>
    </row>
    <row r="4069" spans="1:11">
      <c r="A4069" s="21" t="s">
        <v>3412</v>
      </c>
      <c r="B4069" s="21" t="s">
        <v>12121</v>
      </c>
      <c r="C4069" s="21" t="s">
        <v>22</v>
      </c>
      <c r="D4069" s="21" t="s">
        <v>1357</v>
      </c>
      <c r="E4069" s="21" t="s">
        <v>9</v>
      </c>
      <c r="F4069" s="5812">
        <v>3</v>
      </c>
      <c r="G4069" s="5813">
        <v>0.20833333333333334</v>
      </c>
      <c r="H4069" s="21" t="s">
        <v>10</v>
      </c>
      <c r="I4069" s="21" t="s">
        <v>11</v>
      </c>
      <c r="J4069" s="21" t="s">
        <v>12122</v>
      </c>
      <c r="K4069" s="5814" t="s">
        <v>12123</v>
      </c>
    </row>
    <row r="4070" spans="1:11">
      <c r="A4070" s="21" t="s">
        <v>2509</v>
      </c>
      <c r="B4070" s="21" t="s">
        <v>12124</v>
      </c>
      <c r="C4070" s="21" t="s">
        <v>22</v>
      </c>
      <c r="D4070" s="21" t="s">
        <v>1357</v>
      </c>
      <c r="E4070" s="21" t="s">
        <v>9</v>
      </c>
      <c r="F4070" s="5812">
        <v>3</v>
      </c>
      <c r="G4070" s="5813">
        <v>0.20833333333333334</v>
      </c>
      <c r="H4070" s="21" t="s">
        <v>10</v>
      </c>
      <c r="I4070" s="21" t="s">
        <v>39</v>
      </c>
      <c r="J4070" s="21" t="s">
        <v>12125</v>
      </c>
      <c r="K4070" s="5814" t="s">
        <v>12126</v>
      </c>
    </row>
    <row r="4071" spans="1:11">
      <c r="A4071" s="21" t="s">
        <v>5335</v>
      </c>
      <c r="B4071" s="21" t="s">
        <v>12127</v>
      </c>
      <c r="C4071" s="21" t="s">
        <v>8</v>
      </c>
      <c r="D4071" s="21" t="s">
        <v>1357</v>
      </c>
      <c r="E4071" s="21" t="s">
        <v>9</v>
      </c>
      <c r="F4071" s="5812">
        <v>3</v>
      </c>
      <c r="G4071" s="5813">
        <v>0.20833333333333334</v>
      </c>
      <c r="H4071" s="21" t="s">
        <v>10</v>
      </c>
      <c r="I4071" s="21" t="s">
        <v>39</v>
      </c>
      <c r="J4071" s="21" t="s">
        <v>12128</v>
      </c>
      <c r="K4071" s="5814" t="s">
        <v>12129</v>
      </c>
    </row>
    <row r="4072" spans="1:11">
      <c r="A4072" s="21" t="s">
        <v>2938</v>
      </c>
      <c r="B4072" s="21" t="s">
        <v>12130</v>
      </c>
      <c r="C4072" s="21" t="s">
        <v>8</v>
      </c>
      <c r="D4072" s="21" t="s">
        <v>1357</v>
      </c>
      <c r="E4072" s="21" t="s">
        <v>9</v>
      </c>
      <c r="F4072" s="5812">
        <v>3</v>
      </c>
      <c r="G4072" s="5813">
        <v>0.20833333333333334</v>
      </c>
      <c r="H4072" s="21" t="s">
        <v>10</v>
      </c>
      <c r="I4072" s="21" t="s">
        <v>3517</v>
      </c>
      <c r="J4072" s="21" t="s">
        <v>12131</v>
      </c>
      <c r="K4072" s="5814" t="s">
        <v>12132</v>
      </c>
    </row>
    <row r="4073" spans="1:11">
      <c r="A4073" s="21" t="s">
        <v>3613</v>
      </c>
      <c r="B4073" s="21" t="s">
        <v>12133</v>
      </c>
      <c r="C4073" s="21" t="s">
        <v>8</v>
      </c>
      <c r="D4073" s="21" t="s">
        <v>1357</v>
      </c>
      <c r="E4073" s="21" t="s">
        <v>9</v>
      </c>
      <c r="F4073" s="5812">
        <v>3</v>
      </c>
      <c r="G4073" s="5813">
        <v>0.20833333333333334</v>
      </c>
      <c r="H4073" s="21" t="s">
        <v>10</v>
      </c>
      <c r="I4073" s="21" t="s">
        <v>39</v>
      </c>
      <c r="J4073" s="21" t="s">
        <v>12134</v>
      </c>
      <c r="K4073" s="5814" t="s">
        <v>12135</v>
      </c>
    </row>
    <row r="4074" spans="1:11">
      <c r="A4074" s="21" t="s">
        <v>2526</v>
      </c>
      <c r="B4074" s="21" t="s">
        <v>12136</v>
      </c>
      <c r="C4074" s="21" t="s">
        <v>8</v>
      </c>
      <c r="D4074" s="21" t="s">
        <v>1357</v>
      </c>
      <c r="E4074" s="21" t="s">
        <v>9</v>
      </c>
      <c r="F4074" s="5812">
        <v>3</v>
      </c>
      <c r="G4074" s="5813">
        <v>0.20833333333333334</v>
      </c>
      <c r="H4074" s="21" t="s">
        <v>10</v>
      </c>
      <c r="I4074" s="21" t="s">
        <v>96</v>
      </c>
      <c r="J4074" s="21" t="s">
        <v>12137</v>
      </c>
      <c r="K4074" s="5814" t="s">
        <v>12138</v>
      </c>
    </row>
    <row r="4075" spans="1:11">
      <c r="A4075" s="21" t="s">
        <v>4068</v>
      </c>
      <c r="B4075" s="21" t="s">
        <v>12139</v>
      </c>
      <c r="C4075" s="21" t="s">
        <v>22</v>
      </c>
      <c r="D4075" s="21" t="s">
        <v>1357</v>
      </c>
      <c r="E4075" s="21" t="s">
        <v>9</v>
      </c>
      <c r="F4075" s="5812">
        <v>3</v>
      </c>
      <c r="G4075" s="5813">
        <v>0.20833333333333334</v>
      </c>
      <c r="H4075" s="21" t="s">
        <v>10</v>
      </c>
      <c r="I4075" s="21" t="s">
        <v>23</v>
      </c>
      <c r="J4075" s="21" t="s">
        <v>1358</v>
      </c>
      <c r="K4075" s="5814" t="s">
        <v>12140</v>
      </c>
    </row>
    <row r="4076" spans="1:11">
      <c r="A4076" s="21" t="s">
        <v>3387</v>
      </c>
      <c r="B4076" s="21" t="s">
        <v>12141</v>
      </c>
      <c r="C4076" s="21" t="s">
        <v>22</v>
      </c>
      <c r="D4076" s="21" t="s">
        <v>1357</v>
      </c>
      <c r="E4076" s="21" t="s">
        <v>9</v>
      </c>
      <c r="F4076" s="5812">
        <v>3</v>
      </c>
      <c r="G4076" s="5813">
        <v>0.20833333333333334</v>
      </c>
      <c r="H4076" s="21" t="s">
        <v>10</v>
      </c>
      <c r="I4076" s="21" t="s">
        <v>2814</v>
      </c>
      <c r="J4076" s="21" t="s">
        <v>12142</v>
      </c>
      <c r="K4076" s="5814" t="s">
        <v>12143</v>
      </c>
    </row>
    <row r="4077" spans="1:11">
      <c r="A4077" s="21" t="s">
        <v>3597</v>
      </c>
      <c r="B4077" s="21" t="s">
        <v>12144</v>
      </c>
      <c r="C4077" s="21" t="s">
        <v>22</v>
      </c>
      <c r="D4077" s="21" t="s">
        <v>1357</v>
      </c>
      <c r="E4077" s="21" t="s">
        <v>9</v>
      </c>
      <c r="F4077" s="5812">
        <v>3</v>
      </c>
      <c r="G4077" s="5813">
        <v>0.20833333333333334</v>
      </c>
      <c r="H4077" s="21" t="s">
        <v>10</v>
      </c>
      <c r="I4077" s="21" t="s">
        <v>23</v>
      </c>
      <c r="J4077" s="21" t="s">
        <v>12145</v>
      </c>
      <c r="K4077" s="5814" t="s">
        <v>12146</v>
      </c>
    </row>
    <row r="4078" spans="1:11">
      <c r="A4078" s="21" t="s">
        <v>3315</v>
      </c>
      <c r="B4078" s="21" t="s">
        <v>12147</v>
      </c>
      <c r="C4078" s="21" t="s">
        <v>8</v>
      </c>
      <c r="D4078" s="21" t="s">
        <v>1357</v>
      </c>
      <c r="E4078" s="21" t="s">
        <v>9</v>
      </c>
      <c r="F4078" s="5812">
        <v>3</v>
      </c>
      <c r="G4078" s="5813">
        <v>0.20833333333333334</v>
      </c>
      <c r="H4078" s="21" t="s">
        <v>10</v>
      </c>
      <c r="I4078" s="21" t="s">
        <v>23</v>
      </c>
      <c r="J4078" s="21" t="s">
        <v>12148</v>
      </c>
      <c r="K4078" s="5814" t="s">
        <v>12149</v>
      </c>
    </row>
    <row r="4079" spans="1:11">
      <c r="A4079" s="21" t="s">
        <v>2065</v>
      </c>
      <c r="B4079" s="21" t="s">
        <v>12150</v>
      </c>
      <c r="C4079" s="21" t="s">
        <v>22</v>
      </c>
      <c r="D4079" s="21" t="s">
        <v>1357</v>
      </c>
      <c r="E4079" s="21" t="s">
        <v>9</v>
      </c>
      <c r="F4079" s="5812">
        <v>3</v>
      </c>
      <c r="G4079" s="5813">
        <v>0.20833333333333334</v>
      </c>
      <c r="H4079" s="21" t="s">
        <v>10</v>
      </c>
      <c r="I4079" s="21" t="s">
        <v>2747</v>
      </c>
      <c r="J4079" s="21" t="s">
        <v>12151</v>
      </c>
      <c r="K4079" s="5814" t="s">
        <v>12152</v>
      </c>
    </row>
    <row r="4080" spans="1:11">
      <c r="A4080" s="21" t="s">
        <v>2555</v>
      </c>
      <c r="B4080" s="21" t="s">
        <v>12153</v>
      </c>
      <c r="C4080" s="21" t="s">
        <v>8</v>
      </c>
      <c r="D4080" s="21" t="s">
        <v>1357</v>
      </c>
      <c r="E4080" s="21" t="s">
        <v>9</v>
      </c>
      <c r="F4080" s="5812">
        <v>3</v>
      </c>
      <c r="G4080" s="5813">
        <v>0.20833333333333334</v>
      </c>
      <c r="H4080" s="21" t="s">
        <v>10</v>
      </c>
      <c r="I4080" s="21" t="s">
        <v>2557</v>
      </c>
      <c r="J4080" s="21" t="s">
        <v>12154</v>
      </c>
      <c r="K4080" s="5814" t="s">
        <v>12155</v>
      </c>
    </row>
    <row r="4081" spans="1:11">
      <c r="A4081" s="21" t="s">
        <v>2560</v>
      </c>
      <c r="B4081" s="21" t="s">
        <v>12156</v>
      </c>
      <c r="C4081" s="21" t="s">
        <v>8</v>
      </c>
      <c r="D4081" s="21" t="s">
        <v>1357</v>
      </c>
      <c r="E4081" s="21" t="s">
        <v>9</v>
      </c>
      <c r="F4081" s="5812">
        <v>3</v>
      </c>
      <c r="G4081" s="5813">
        <v>0.20833333333333334</v>
      </c>
      <c r="H4081" s="21" t="s">
        <v>10</v>
      </c>
      <c r="I4081" s="21" t="s">
        <v>187</v>
      </c>
      <c r="J4081" s="21" t="s">
        <v>12157</v>
      </c>
      <c r="K4081" s="5814" t="s">
        <v>12158</v>
      </c>
    </row>
    <row r="4082" spans="1:11">
      <c r="A4082" s="21" t="s">
        <v>3311</v>
      </c>
      <c r="B4082" s="21" t="s">
        <v>12159</v>
      </c>
      <c r="C4082" s="21" t="s">
        <v>8</v>
      </c>
      <c r="D4082" s="21" t="s">
        <v>1357</v>
      </c>
      <c r="E4082" s="21" t="s">
        <v>9</v>
      </c>
      <c r="F4082" s="5812">
        <v>3</v>
      </c>
      <c r="G4082" s="5813">
        <v>0.20833333333333334</v>
      </c>
      <c r="H4082" s="21" t="s">
        <v>10</v>
      </c>
      <c r="I4082" s="21" t="s">
        <v>96</v>
      </c>
      <c r="J4082" s="21" t="s">
        <v>12160</v>
      </c>
      <c r="K4082" s="5814" t="s">
        <v>12161</v>
      </c>
    </row>
    <row r="4083" spans="1:11">
      <c r="A4083" s="21" t="s">
        <v>2156</v>
      </c>
      <c r="B4083" s="21" t="s">
        <v>12162</v>
      </c>
      <c r="C4083" s="21" t="s">
        <v>8</v>
      </c>
      <c r="D4083" s="21" t="s">
        <v>1357</v>
      </c>
      <c r="E4083" s="21" t="s">
        <v>9</v>
      </c>
      <c r="F4083" s="5812">
        <v>3</v>
      </c>
      <c r="G4083" s="5813">
        <v>0.20833333333333334</v>
      </c>
      <c r="H4083" s="21" t="s">
        <v>10</v>
      </c>
      <c r="I4083" s="21" t="s">
        <v>47</v>
      </c>
      <c r="J4083" s="21" t="s">
        <v>12163</v>
      </c>
      <c r="K4083" s="5814" t="s">
        <v>12164</v>
      </c>
    </row>
    <row r="4084" spans="1:11">
      <c r="A4084" s="21" t="s">
        <v>4132</v>
      </c>
      <c r="B4084" s="21" t="s">
        <v>12165</v>
      </c>
      <c r="C4084" s="21" t="s">
        <v>8</v>
      </c>
      <c r="D4084" s="21" t="s">
        <v>1357</v>
      </c>
      <c r="E4084" s="21" t="s">
        <v>9</v>
      </c>
      <c r="F4084" s="5812">
        <v>3</v>
      </c>
      <c r="G4084" s="5813">
        <v>0.20833333333333334</v>
      </c>
      <c r="H4084" s="21" t="s">
        <v>10</v>
      </c>
      <c r="I4084" s="21" t="s">
        <v>788</v>
      </c>
      <c r="J4084" s="21" t="s">
        <v>12166</v>
      </c>
      <c r="K4084" s="5814" t="s">
        <v>12167</v>
      </c>
    </row>
    <row r="4085" spans="1:11">
      <c r="A4085" s="21" t="s">
        <v>3720</v>
      </c>
      <c r="B4085" s="21" t="s">
        <v>12075</v>
      </c>
      <c r="C4085" s="21" t="s">
        <v>8</v>
      </c>
      <c r="D4085" s="21" t="s">
        <v>1357</v>
      </c>
      <c r="E4085" s="21" t="s">
        <v>9</v>
      </c>
      <c r="F4085" s="5812">
        <v>3</v>
      </c>
      <c r="G4085" s="5813">
        <v>0.20833333333333334</v>
      </c>
      <c r="H4085" s="21" t="s">
        <v>10</v>
      </c>
      <c r="I4085" s="21" t="s">
        <v>187</v>
      </c>
      <c r="J4085" s="21" t="s">
        <v>12168</v>
      </c>
      <c r="K4085" s="5814" t="s">
        <v>12169</v>
      </c>
    </row>
    <row r="4086" spans="1:11">
      <c r="A4086" s="21" t="s">
        <v>2992</v>
      </c>
      <c r="B4086" s="21" t="s">
        <v>1443</v>
      </c>
      <c r="C4086" s="21" t="s">
        <v>8</v>
      </c>
      <c r="D4086" s="21" t="s">
        <v>1357</v>
      </c>
      <c r="E4086" s="21" t="s">
        <v>9</v>
      </c>
      <c r="F4086" s="5812">
        <v>3</v>
      </c>
      <c r="G4086" s="5813">
        <v>0.20833333333333334</v>
      </c>
      <c r="H4086" s="21" t="s">
        <v>10</v>
      </c>
      <c r="I4086" s="21" t="s">
        <v>2317</v>
      </c>
      <c r="J4086" s="21" t="s">
        <v>12170</v>
      </c>
      <c r="K4086" s="5814" t="s">
        <v>12171</v>
      </c>
    </row>
    <row r="4087" spans="1:11">
      <c r="A4087" s="21" t="s">
        <v>3208</v>
      </c>
      <c r="B4087" s="21" t="s">
        <v>12172</v>
      </c>
      <c r="C4087" s="21" t="s">
        <v>8</v>
      </c>
      <c r="D4087" s="21" t="s">
        <v>1357</v>
      </c>
      <c r="E4087" s="21" t="s">
        <v>9</v>
      </c>
      <c r="F4087" s="5812">
        <v>3</v>
      </c>
      <c r="G4087" s="5813">
        <v>0.20833333333333334</v>
      </c>
      <c r="H4087" s="21" t="s">
        <v>10</v>
      </c>
      <c r="I4087" s="21" t="s">
        <v>187</v>
      </c>
      <c r="J4087" s="21" t="s">
        <v>12173</v>
      </c>
      <c r="K4087" s="5814" t="s">
        <v>12174</v>
      </c>
    </row>
    <row r="4088" spans="1:11">
      <c r="A4088" s="21" t="s">
        <v>2169</v>
      </c>
      <c r="B4088" s="21" t="s">
        <v>12175</v>
      </c>
      <c r="C4088" s="21" t="s">
        <v>8</v>
      </c>
      <c r="D4088" s="21" t="s">
        <v>1357</v>
      </c>
      <c r="E4088" s="21" t="s">
        <v>9</v>
      </c>
      <c r="F4088" s="5812">
        <v>3</v>
      </c>
      <c r="G4088" s="5813">
        <v>0.20833333333333334</v>
      </c>
      <c r="H4088" s="21" t="s">
        <v>10</v>
      </c>
      <c r="I4088" s="21" t="s">
        <v>615</v>
      </c>
      <c r="J4088" s="21" t="s">
        <v>12176</v>
      </c>
      <c r="K4088" s="5814" t="s">
        <v>12177</v>
      </c>
    </row>
    <row r="4089" spans="1:11">
      <c r="A4089" s="21" t="s">
        <v>5387</v>
      </c>
      <c r="B4089" s="21" t="s">
        <v>12178</v>
      </c>
      <c r="C4089" s="21" t="s">
        <v>8</v>
      </c>
      <c r="D4089" s="21" t="s">
        <v>1357</v>
      </c>
      <c r="E4089" s="21" t="s">
        <v>9</v>
      </c>
      <c r="F4089" s="5812">
        <v>3</v>
      </c>
      <c r="G4089" s="5813">
        <v>0.20833333333333334</v>
      </c>
      <c r="H4089" s="21" t="s">
        <v>10</v>
      </c>
      <c r="I4089" s="21" t="s">
        <v>55</v>
      </c>
      <c r="J4089" s="21" t="s">
        <v>12179</v>
      </c>
      <c r="K4089" s="5814" t="s">
        <v>12180</v>
      </c>
    </row>
    <row r="4090" spans="1:11">
      <c r="A4090" s="21" t="s">
        <v>4724</v>
      </c>
      <c r="B4090" s="21" t="s">
        <v>12181</v>
      </c>
      <c r="C4090" s="21" t="s">
        <v>22</v>
      </c>
      <c r="D4090" s="21" t="s">
        <v>1357</v>
      </c>
      <c r="E4090" s="21" t="s">
        <v>9</v>
      </c>
      <c r="F4090" s="5812">
        <v>3</v>
      </c>
      <c r="G4090" s="5813">
        <v>0.20833333333333334</v>
      </c>
      <c r="H4090" s="21" t="s">
        <v>10</v>
      </c>
      <c r="I4090" s="21" t="s">
        <v>2872</v>
      </c>
      <c r="J4090" s="21" t="s">
        <v>12182</v>
      </c>
      <c r="K4090" s="5814" t="s">
        <v>12183</v>
      </c>
    </row>
    <row r="4091" spans="1:11">
      <c r="A4091" s="21" t="s">
        <v>2179</v>
      </c>
      <c r="B4091" s="21" t="s">
        <v>12184</v>
      </c>
      <c r="C4091" s="21" t="s">
        <v>22</v>
      </c>
      <c r="D4091" s="21" t="s">
        <v>1357</v>
      </c>
      <c r="E4091" s="21" t="s">
        <v>9</v>
      </c>
      <c r="F4091" s="5812">
        <v>3</v>
      </c>
      <c r="G4091" s="5813">
        <v>0.20833333333333334</v>
      </c>
      <c r="H4091" s="21" t="s">
        <v>10</v>
      </c>
      <c r="I4091" s="21" t="s">
        <v>654</v>
      </c>
      <c r="J4091" s="21" t="s">
        <v>12185</v>
      </c>
      <c r="K4091" s="5814" t="s">
        <v>12186</v>
      </c>
    </row>
    <row r="4092" spans="1:11">
      <c r="A4092" s="21" t="s">
        <v>2605</v>
      </c>
      <c r="B4092" s="21" t="s">
        <v>12187</v>
      </c>
      <c r="C4092" s="21" t="s">
        <v>8</v>
      </c>
      <c r="D4092" s="21" t="s">
        <v>1357</v>
      </c>
      <c r="E4092" s="21" t="s">
        <v>9</v>
      </c>
      <c r="F4092" s="5812">
        <v>3</v>
      </c>
      <c r="G4092" s="5813">
        <v>0.20833333333333334</v>
      </c>
      <c r="H4092" s="21" t="s">
        <v>10</v>
      </c>
      <c r="I4092" s="21" t="s">
        <v>263</v>
      </c>
      <c r="J4092" s="21" t="s">
        <v>12188</v>
      </c>
      <c r="K4092" s="5814" t="s">
        <v>12189</v>
      </c>
    </row>
    <row r="4093" spans="1:11">
      <c r="A4093" s="21" t="s">
        <v>2605</v>
      </c>
      <c r="B4093" s="21" t="s">
        <v>12190</v>
      </c>
      <c r="C4093" s="21" t="s">
        <v>22</v>
      </c>
      <c r="D4093" s="21" t="s">
        <v>1357</v>
      </c>
      <c r="E4093" s="21" t="s">
        <v>9</v>
      </c>
      <c r="F4093" s="5812">
        <v>3</v>
      </c>
      <c r="G4093" s="5813">
        <v>0.20833333333333334</v>
      </c>
      <c r="H4093" s="21" t="s">
        <v>10</v>
      </c>
      <c r="I4093" s="21" t="s">
        <v>2959</v>
      </c>
      <c r="J4093" s="21" t="s">
        <v>12191</v>
      </c>
      <c r="K4093" s="5814" t="s">
        <v>12192</v>
      </c>
    </row>
    <row r="4094" spans="1:11">
      <c r="A4094" s="21" t="s">
        <v>2609</v>
      </c>
      <c r="B4094" s="21" t="s">
        <v>12193</v>
      </c>
      <c r="C4094" s="21" t="s">
        <v>8</v>
      </c>
      <c r="D4094" s="21" t="s">
        <v>1357</v>
      </c>
      <c r="E4094" s="21" t="s">
        <v>9</v>
      </c>
      <c r="F4094" s="5812">
        <v>3</v>
      </c>
      <c r="G4094" s="5813">
        <v>0.20833333333333334</v>
      </c>
      <c r="H4094" s="21" t="s">
        <v>10</v>
      </c>
      <c r="I4094" s="21" t="s">
        <v>226</v>
      </c>
      <c r="J4094" s="21" t="s">
        <v>12194</v>
      </c>
      <c r="K4094" s="5814" t="s">
        <v>12195</v>
      </c>
    </row>
    <row r="4095" spans="1:11">
      <c r="A4095" s="21" t="s">
        <v>3160</v>
      </c>
      <c r="B4095" s="21" t="s">
        <v>12196</v>
      </c>
      <c r="C4095" s="21" t="s">
        <v>8</v>
      </c>
      <c r="D4095" s="21" t="s">
        <v>1357</v>
      </c>
      <c r="E4095" s="21" t="s">
        <v>9</v>
      </c>
      <c r="F4095" s="5812">
        <v>3</v>
      </c>
      <c r="G4095" s="5813">
        <v>0.20833333333333334</v>
      </c>
      <c r="H4095" s="21" t="s">
        <v>10</v>
      </c>
      <c r="I4095" s="21" t="s">
        <v>788</v>
      </c>
      <c r="J4095" s="21" t="s">
        <v>12197</v>
      </c>
      <c r="K4095" s="5814" t="s">
        <v>12198</v>
      </c>
    </row>
    <row r="4096" spans="1:11">
      <c r="A4096" s="21" t="s">
        <v>2626</v>
      </c>
      <c r="B4096" s="21" t="s">
        <v>12199</v>
      </c>
      <c r="C4096" s="21" t="s">
        <v>22</v>
      </c>
      <c r="D4096" s="21" t="s">
        <v>1357</v>
      </c>
      <c r="E4096" s="21" t="s">
        <v>9</v>
      </c>
      <c r="F4096" s="5812">
        <v>3</v>
      </c>
      <c r="G4096" s="5813">
        <v>0.20833333333333334</v>
      </c>
      <c r="H4096" s="21" t="s">
        <v>10</v>
      </c>
      <c r="I4096" s="21" t="s">
        <v>2171</v>
      </c>
      <c r="J4096" s="21" t="s">
        <v>12200</v>
      </c>
      <c r="K4096" s="5814" t="s">
        <v>12201</v>
      </c>
    </row>
    <row r="4097" spans="1:11">
      <c r="A4097" s="21" t="s">
        <v>2630</v>
      </c>
      <c r="B4097" s="21" t="s">
        <v>12202</v>
      </c>
      <c r="C4097" s="21" t="s">
        <v>22</v>
      </c>
      <c r="D4097" s="21" t="s">
        <v>1357</v>
      </c>
      <c r="E4097" s="21" t="s">
        <v>9</v>
      </c>
      <c r="F4097" s="5812">
        <v>3</v>
      </c>
      <c r="G4097" s="5813">
        <v>0.20833333333333334</v>
      </c>
      <c r="H4097" s="21" t="s">
        <v>10</v>
      </c>
      <c r="I4097" s="21" t="s">
        <v>11</v>
      </c>
      <c r="J4097" s="21" t="s">
        <v>12203</v>
      </c>
      <c r="K4097" s="5814" t="s">
        <v>12204</v>
      </c>
    </row>
    <row r="4098" spans="1:11">
      <c r="A4098" s="21" t="s">
        <v>2638</v>
      </c>
      <c r="B4098" s="21" t="s">
        <v>12205</v>
      </c>
      <c r="C4098" s="21" t="s">
        <v>22</v>
      </c>
      <c r="D4098" s="21" t="s">
        <v>1357</v>
      </c>
      <c r="E4098" s="21" t="s">
        <v>9</v>
      </c>
      <c r="F4098" s="5812">
        <v>3</v>
      </c>
      <c r="G4098" s="5813">
        <v>0.20833333333333334</v>
      </c>
      <c r="H4098" s="21" t="s">
        <v>10</v>
      </c>
      <c r="I4098" s="21"/>
      <c r="J4098" s="21" t="s">
        <v>12206</v>
      </c>
      <c r="K4098" s="5814" t="s">
        <v>12207</v>
      </c>
    </row>
    <row r="4099" spans="1:11">
      <c r="A4099" s="21" t="s">
        <v>3395</v>
      </c>
      <c r="B4099" s="21" t="s">
        <v>12208</v>
      </c>
      <c r="C4099" s="21" t="s">
        <v>8</v>
      </c>
      <c r="D4099" s="21" t="s">
        <v>1357</v>
      </c>
      <c r="E4099" s="21" t="s">
        <v>9</v>
      </c>
      <c r="F4099" s="5812">
        <v>3</v>
      </c>
      <c r="G4099" s="5813">
        <v>0.20833333333333334</v>
      </c>
      <c r="H4099" s="21" t="s">
        <v>10</v>
      </c>
      <c r="I4099" s="21" t="s">
        <v>2814</v>
      </c>
      <c r="J4099" s="21" t="s">
        <v>11710</v>
      </c>
      <c r="K4099" s="5814" t="s">
        <v>12209</v>
      </c>
    </row>
    <row r="4100" spans="1:11">
      <c r="A4100" s="21" t="s">
        <v>2647</v>
      </c>
      <c r="B4100" s="21" t="s">
        <v>12210</v>
      </c>
      <c r="C4100" s="21" t="s">
        <v>8</v>
      </c>
      <c r="D4100" s="21" t="s">
        <v>1357</v>
      </c>
      <c r="E4100" s="21" t="s">
        <v>9</v>
      </c>
      <c r="F4100" s="5812">
        <v>3</v>
      </c>
      <c r="G4100" s="5813">
        <v>0.20833333333333334</v>
      </c>
      <c r="H4100" s="21" t="s">
        <v>10</v>
      </c>
      <c r="I4100" s="21" t="s">
        <v>55</v>
      </c>
      <c r="J4100" s="21" t="s">
        <v>12211</v>
      </c>
      <c r="K4100" s="5814" t="s">
        <v>12212</v>
      </c>
    </row>
    <row r="4101" spans="1:11">
      <c r="A4101" s="21" t="s">
        <v>2651</v>
      </c>
      <c r="B4101" s="21" t="s">
        <v>12213</v>
      </c>
      <c r="C4101" s="21" t="s">
        <v>22</v>
      </c>
      <c r="D4101" s="21" t="s">
        <v>1357</v>
      </c>
      <c r="E4101" s="21" t="s">
        <v>9</v>
      </c>
      <c r="F4101" s="5812">
        <v>3</v>
      </c>
      <c r="G4101" s="5813">
        <v>0.20833333333333334</v>
      </c>
      <c r="H4101" s="21" t="s">
        <v>10</v>
      </c>
      <c r="I4101" s="21" t="s">
        <v>2726</v>
      </c>
      <c r="J4101" s="21" t="s">
        <v>12214</v>
      </c>
      <c r="K4101" s="5814" t="s">
        <v>12215</v>
      </c>
    </row>
    <row r="4102" spans="1:11">
      <c r="A4102" s="21" t="s">
        <v>3328</v>
      </c>
      <c r="B4102" s="21" t="s">
        <v>12216</v>
      </c>
      <c r="C4102" s="21" t="s">
        <v>8</v>
      </c>
      <c r="D4102" s="21" t="s">
        <v>1357</v>
      </c>
      <c r="E4102" s="21" t="s">
        <v>9</v>
      </c>
      <c r="F4102" s="5812">
        <v>3</v>
      </c>
      <c r="G4102" s="5813">
        <v>0.20833333333333334</v>
      </c>
      <c r="H4102" s="21" t="s">
        <v>10</v>
      </c>
      <c r="I4102" s="21" t="s">
        <v>2692</v>
      </c>
      <c r="J4102" s="21" t="s">
        <v>12217</v>
      </c>
      <c r="K4102" s="5814" t="s">
        <v>12218</v>
      </c>
    </row>
    <row r="4103" spans="1:11">
      <c r="A4103" s="21" t="s">
        <v>3002</v>
      </c>
      <c r="B4103" s="21" t="s">
        <v>12219</v>
      </c>
      <c r="C4103" s="21" t="s">
        <v>22</v>
      </c>
      <c r="D4103" s="21" t="s">
        <v>1357</v>
      </c>
      <c r="E4103" s="21" t="s">
        <v>9</v>
      </c>
      <c r="F4103" s="5812">
        <v>3</v>
      </c>
      <c r="G4103" s="5813">
        <v>0.20833333333333334</v>
      </c>
      <c r="H4103" s="21" t="s">
        <v>10</v>
      </c>
      <c r="I4103" s="21" t="s">
        <v>2872</v>
      </c>
      <c r="J4103" s="21" t="s">
        <v>12220</v>
      </c>
      <c r="K4103" s="5814" t="s">
        <v>12221</v>
      </c>
    </row>
    <row r="4104" spans="1:11">
      <c r="A4104" s="21" t="s">
        <v>3741</v>
      </c>
      <c r="B4104" s="21" t="s">
        <v>12222</v>
      </c>
      <c r="C4104" s="21" t="s">
        <v>8</v>
      </c>
      <c r="D4104" s="21" t="s">
        <v>1357</v>
      </c>
      <c r="E4104" s="21" t="s">
        <v>9</v>
      </c>
      <c r="F4104" s="5812">
        <v>3</v>
      </c>
      <c r="G4104" s="5813">
        <v>0.20833333333333334</v>
      </c>
      <c r="H4104" s="21" t="s">
        <v>10</v>
      </c>
      <c r="I4104" s="21" t="s">
        <v>11</v>
      </c>
      <c r="J4104" s="21" t="s">
        <v>12223</v>
      </c>
      <c r="K4104" s="5814" t="s">
        <v>12224</v>
      </c>
    </row>
    <row r="4105" spans="1:11">
      <c r="A4105" s="21" t="s">
        <v>4233</v>
      </c>
      <c r="B4105" s="21" t="s">
        <v>12225</v>
      </c>
      <c r="C4105" s="21" t="s">
        <v>22</v>
      </c>
      <c r="D4105" s="21" t="s">
        <v>1357</v>
      </c>
      <c r="E4105" s="21" t="s">
        <v>9</v>
      </c>
      <c r="F4105" s="5812">
        <v>3</v>
      </c>
      <c r="G4105" s="5813">
        <v>0.20833333333333334</v>
      </c>
      <c r="H4105" s="21" t="s">
        <v>10</v>
      </c>
      <c r="I4105" s="21" t="s">
        <v>8310</v>
      </c>
      <c r="J4105" s="21" t="s">
        <v>12226</v>
      </c>
      <c r="K4105" s="5814" t="s">
        <v>12227</v>
      </c>
    </row>
    <row r="4106" spans="1:11">
      <c r="A4106" s="21" t="s">
        <v>2702</v>
      </c>
      <c r="B4106" s="21" t="s">
        <v>12228</v>
      </c>
      <c r="C4106" s="21" t="s">
        <v>8</v>
      </c>
      <c r="D4106" s="21" t="s">
        <v>1357</v>
      </c>
      <c r="E4106" s="21" t="s">
        <v>9</v>
      </c>
      <c r="F4106" s="5812">
        <v>3</v>
      </c>
      <c r="G4106" s="5813">
        <v>0.20833333333333334</v>
      </c>
      <c r="H4106" s="21" t="s">
        <v>10</v>
      </c>
      <c r="I4106" s="21" t="s">
        <v>2704</v>
      </c>
      <c r="J4106" s="21" t="s">
        <v>12229</v>
      </c>
      <c r="K4106" s="5814" t="s">
        <v>12230</v>
      </c>
    </row>
    <row r="4107" spans="1:11">
      <c r="A4107" s="21" t="s">
        <v>3036</v>
      </c>
      <c r="B4107" s="21" t="s">
        <v>12231</v>
      </c>
      <c r="C4107" s="21" t="s">
        <v>22</v>
      </c>
      <c r="D4107" s="21" t="s">
        <v>1357</v>
      </c>
      <c r="E4107" s="21" t="s">
        <v>9</v>
      </c>
      <c r="F4107" s="5812">
        <v>3</v>
      </c>
      <c r="G4107" s="5813">
        <v>0.20833333333333334</v>
      </c>
      <c r="H4107" s="21" t="s">
        <v>10</v>
      </c>
      <c r="I4107" s="21" t="s">
        <v>2269</v>
      </c>
      <c r="J4107" s="21" t="s">
        <v>12232</v>
      </c>
      <c r="K4107" s="5814" t="s">
        <v>12233</v>
      </c>
    </row>
    <row r="4108" spans="1:11">
      <c r="A4108" s="21" t="s">
        <v>2915</v>
      </c>
      <c r="B4108" s="21" t="s">
        <v>12234</v>
      </c>
      <c r="C4108" s="21" t="s">
        <v>8</v>
      </c>
      <c r="D4108" s="21" t="s">
        <v>1357</v>
      </c>
      <c r="E4108" s="21" t="s">
        <v>9</v>
      </c>
      <c r="F4108" s="5812">
        <v>3</v>
      </c>
      <c r="G4108" s="5813">
        <v>0.20833333333333334</v>
      </c>
      <c r="H4108" s="21" t="s">
        <v>10</v>
      </c>
      <c r="I4108" s="21" t="s">
        <v>226</v>
      </c>
      <c r="J4108" s="21" t="s">
        <v>12235</v>
      </c>
      <c r="K4108" s="5814" t="s">
        <v>12236</v>
      </c>
    </row>
    <row r="4109" spans="1:11">
      <c r="A4109" s="21" t="s">
        <v>2711</v>
      </c>
      <c r="B4109" s="21" t="s">
        <v>12237</v>
      </c>
      <c r="C4109" s="21" t="s">
        <v>22</v>
      </c>
      <c r="D4109" s="21" t="s">
        <v>1357</v>
      </c>
      <c r="E4109" s="21" t="s">
        <v>9</v>
      </c>
      <c r="F4109" s="5812">
        <v>3</v>
      </c>
      <c r="G4109" s="5813">
        <v>0.20833333333333334</v>
      </c>
      <c r="H4109" s="21" t="s">
        <v>10</v>
      </c>
      <c r="I4109" s="21" t="s">
        <v>2747</v>
      </c>
      <c r="J4109" s="21" t="s">
        <v>12238</v>
      </c>
      <c r="K4109" s="5814" t="s">
        <v>12239</v>
      </c>
    </row>
    <row r="4110" spans="1:11">
      <c r="A4110" s="21" t="s">
        <v>2724</v>
      </c>
      <c r="B4110" s="21" t="s">
        <v>12240</v>
      </c>
      <c r="C4110" s="21" t="s">
        <v>22</v>
      </c>
      <c r="D4110" s="21" t="s">
        <v>1357</v>
      </c>
      <c r="E4110" s="21" t="s">
        <v>9</v>
      </c>
      <c r="F4110" s="5812">
        <v>3</v>
      </c>
      <c r="G4110" s="5813">
        <v>0.20833333333333334</v>
      </c>
      <c r="H4110" s="21" t="s">
        <v>10</v>
      </c>
      <c r="I4110" s="21"/>
      <c r="J4110" s="21" t="s">
        <v>12241</v>
      </c>
      <c r="K4110" s="5814" t="s">
        <v>12242</v>
      </c>
    </row>
    <row r="4111" spans="1:11">
      <c r="A4111" s="21" t="s">
        <v>4249</v>
      </c>
      <c r="B4111" s="21" t="s">
        <v>12243</v>
      </c>
      <c r="C4111" s="21" t="s">
        <v>22</v>
      </c>
      <c r="D4111" s="21" t="s">
        <v>1357</v>
      </c>
      <c r="E4111" s="21" t="s">
        <v>9</v>
      </c>
      <c r="F4111" s="5812">
        <v>3</v>
      </c>
      <c r="G4111" s="5813">
        <v>0.20833333333333334</v>
      </c>
      <c r="H4111" s="21" t="s">
        <v>10</v>
      </c>
      <c r="I4111" s="21" t="s">
        <v>4254</v>
      </c>
      <c r="J4111" s="21" t="s">
        <v>12244</v>
      </c>
      <c r="K4111" s="5814" t="s">
        <v>12245</v>
      </c>
    </row>
    <row r="4112" spans="1:11">
      <c r="A4112" s="21" t="s">
        <v>3765</v>
      </c>
      <c r="B4112" s="21" t="s">
        <v>12246</v>
      </c>
      <c r="C4112" s="21" t="s">
        <v>8</v>
      </c>
      <c r="D4112" s="21" t="s">
        <v>1357</v>
      </c>
      <c r="E4112" s="21" t="s">
        <v>9</v>
      </c>
      <c r="F4112" s="5812">
        <v>3</v>
      </c>
      <c r="G4112" s="5813">
        <v>0.20833333333333334</v>
      </c>
      <c r="H4112" s="21" t="s">
        <v>10</v>
      </c>
      <c r="I4112" s="21" t="s">
        <v>8047</v>
      </c>
      <c r="J4112" s="21" t="s">
        <v>12247</v>
      </c>
      <c r="K4112" s="5814" t="s">
        <v>12248</v>
      </c>
    </row>
    <row r="4113" spans="1:11">
      <c r="A4113" s="21" t="s">
        <v>3354</v>
      </c>
      <c r="B4113" s="21" t="s">
        <v>12249</v>
      </c>
      <c r="C4113" s="21" t="s">
        <v>22</v>
      </c>
      <c r="D4113" s="21" t="s">
        <v>1357</v>
      </c>
      <c r="E4113" s="21" t="s">
        <v>9</v>
      </c>
      <c r="F4113" s="5812">
        <v>3</v>
      </c>
      <c r="G4113" s="5813">
        <v>0.20833333333333334</v>
      </c>
      <c r="H4113" s="21" t="s">
        <v>10</v>
      </c>
      <c r="I4113" s="21" t="s">
        <v>2247</v>
      </c>
      <c r="J4113" s="21" t="s">
        <v>12250</v>
      </c>
      <c r="K4113" s="5814" t="s">
        <v>12251</v>
      </c>
    </row>
    <row r="4114" spans="1:11">
      <c r="A4114" s="21" t="s">
        <v>115</v>
      </c>
      <c r="B4114" s="21" t="s">
        <v>1374</v>
      </c>
      <c r="C4114" s="21" t="s">
        <v>22</v>
      </c>
      <c r="D4114" s="21" t="s">
        <v>1357</v>
      </c>
      <c r="E4114" s="21" t="s">
        <v>9</v>
      </c>
      <c r="F4114" s="5812">
        <v>5</v>
      </c>
      <c r="G4114" s="5813">
        <v>0.20833333333333334</v>
      </c>
      <c r="H4114" s="21" t="s">
        <v>54</v>
      </c>
      <c r="I4114" s="21" t="s">
        <v>117</v>
      </c>
      <c r="J4114" s="21" t="s">
        <v>1375</v>
      </c>
      <c r="K4114" s="5814" t="s">
        <v>1376</v>
      </c>
    </row>
    <row r="4115" spans="1:11">
      <c r="A4115" s="21" t="s">
        <v>125</v>
      </c>
      <c r="B4115" s="21" t="s">
        <v>1400</v>
      </c>
      <c r="C4115" s="21" t="s">
        <v>22</v>
      </c>
      <c r="D4115" s="21" t="s">
        <v>1357</v>
      </c>
      <c r="E4115" s="21" t="s">
        <v>9</v>
      </c>
      <c r="F4115" s="5812">
        <v>5</v>
      </c>
      <c r="G4115" s="5813">
        <v>0.20833333333333334</v>
      </c>
      <c r="H4115" s="21" t="s">
        <v>54</v>
      </c>
      <c r="I4115" s="21" t="s">
        <v>96</v>
      </c>
      <c r="J4115" s="21" t="s">
        <v>1401</v>
      </c>
      <c r="K4115" s="5814" t="s">
        <v>1402</v>
      </c>
    </row>
    <row r="4116" spans="1:11">
      <c r="A4116" s="21" t="s">
        <v>2100</v>
      </c>
      <c r="B4116" s="21" t="s">
        <v>12252</v>
      </c>
      <c r="C4116" s="21" t="s">
        <v>8</v>
      </c>
      <c r="D4116" s="21" t="s">
        <v>1357</v>
      </c>
      <c r="E4116" s="21" t="s">
        <v>9</v>
      </c>
      <c r="F4116" s="5812">
        <v>5</v>
      </c>
      <c r="G4116" s="5813">
        <v>0.20833333333333334</v>
      </c>
      <c r="H4116" s="21" t="s">
        <v>54</v>
      </c>
      <c r="I4116" s="21" t="s">
        <v>39</v>
      </c>
      <c r="J4116" s="21" t="s">
        <v>12253</v>
      </c>
      <c r="K4116" s="5814" t="s">
        <v>12254</v>
      </c>
    </row>
    <row r="4117" spans="1:11">
      <c r="A4117" s="21" t="s">
        <v>4003</v>
      </c>
      <c r="B4117" s="21" t="s">
        <v>12255</v>
      </c>
      <c r="C4117" s="21" t="s">
        <v>8</v>
      </c>
      <c r="D4117" s="21" t="s">
        <v>1357</v>
      </c>
      <c r="E4117" s="21" t="s">
        <v>9</v>
      </c>
      <c r="F4117" s="5812">
        <v>5</v>
      </c>
      <c r="G4117" s="5813">
        <v>0.20833333333333334</v>
      </c>
      <c r="H4117" s="21" t="s">
        <v>54</v>
      </c>
      <c r="I4117" s="21" t="s">
        <v>55</v>
      </c>
      <c r="J4117" s="21" t="s">
        <v>12256</v>
      </c>
      <c r="K4117" s="5814" t="s">
        <v>12257</v>
      </c>
    </row>
    <row r="4118" spans="1:11">
      <c r="A4118" s="21" t="s">
        <v>2547</v>
      </c>
      <c r="B4118" s="21" t="s">
        <v>12258</v>
      </c>
      <c r="C4118" s="21" t="s">
        <v>22</v>
      </c>
      <c r="D4118" s="21" t="s">
        <v>1357</v>
      </c>
      <c r="E4118" s="21" t="s">
        <v>9</v>
      </c>
      <c r="F4118" s="5812">
        <v>5</v>
      </c>
      <c r="G4118" s="5813">
        <v>0.20833333333333334</v>
      </c>
      <c r="H4118" s="21" t="s">
        <v>54</v>
      </c>
      <c r="I4118" s="21" t="s">
        <v>55</v>
      </c>
      <c r="J4118" s="21" t="s">
        <v>12259</v>
      </c>
      <c r="K4118" s="5814" t="s">
        <v>12260</v>
      </c>
    </row>
    <row r="4119" spans="1:11">
      <c r="A4119" s="21" t="s">
        <v>4565</v>
      </c>
      <c r="B4119" s="21" t="s">
        <v>12261</v>
      </c>
      <c r="C4119" s="21" t="s">
        <v>8</v>
      </c>
      <c r="D4119" s="21" t="s">
        <v>1357</v>
      </c>
      <c r="E4119" s="21" t="s">
        <v>46</v>
      </c>
      <c r="F4119" s="5812">
        <v>1</v>
      </c>
      <c r="G4119" s="5813">
        <v>2.7777777777777776E-2</v>
      </c>
      <c r="H4119" s="21" t="s">
        <v>10</v>
      </c>
      <c r="I4119" s="21" t="s">
        <v>2860</v>
      </c>
      <c r="J4119" s="21" t="s">
        <v>48</v>
      </c>
      <c r="K4119" s="5814" t="s">
        <v>12262</v>
      </c>
    </row>
    <row r="4120" spans="1:11">
      <c r="A4120" s="21" t="s">
        <v>3491</v>
      </c>
      <c r="B4120" s="21" t="s">
        <v>12263</v>
      </c>
      <c r="C4120" s="21" t="s">
        <v>8</v>
      </c>
      <c r="D4120" s="21" t="s">
        <v>1357</v>
      </c>
      <c r="E4120" s="21" t="s">
        <v>46</v>
      </c>
      <c r="F4120" s="5812">
        <v>1</v>
      </c>
      <c r="G4120" s="5813">
        <v>0.12361111111111112</v>
      </c>
      <c r="H4120" s="21" t="s">
        <v>10</v>
      </c>
      <c r="I4120" s="21" t="s">
        <v>73</v>
      </c>
      <c r="J4120" s="21" t="s">
        <v>48</v>
      </c>
      <c r="K4120" s="5814" t="s">
        <v>12264</v>
      </c>
    </row>
    <row r="4121" spans="1:11">
      <c r="A4121" s="21" t="s">
        <v>2992</v>
      </c>
      <c r="B4121" s="21" t="s">
        <v>12265</v>
      </c>
      <c r="C4121" s="21" t="s">
        <v>8</v>
      </c>
      <c r="D4121" s="21" t="s">
        <v>1357</v>
      </c>
      <c r="E4121" s="21" t="s">
        <v>46</v>
      </c>
      <c r="F4121" s="5812">
        <v>1</v>
      </c>
      <c r="G4121" s="5813">
        <v>0.12777777777777777</v>
      </c>
      <c r="H4121" s="21" t="s">
        <v>10</v>
      </c>
      <c r="I4121" s="21" t="s">
        <v>4417</v>
      </c>
      <c r="J4121" s="21" t="s">
        <v>97</v>
      </c>
      <c r="K4121" s="5814" t="s">
        <v>12266</v>
      </c>
    </row>
    <row r="4122" spans="1:11">
      <c r="A4122" s="21" t="s">
        <v>2995</v>
      </c>
      <c r="B4122" s="21" t="s">
        <v>12267</v>
      </c>
      <c r="C4122" s="21" t="s">
        <v>22</v>
      </c>
      <c r="D4122" s="21" t="s">
        <v>1357</v>
      </c>
      <c r="E4122" s="21" t="s">
        <v>46</v>
      </c>
      <c r="F4122" s="5812">
        <v>1</v>
      </c>
      <c r="G4122" s="5813">
        <v>0.15347222222222223</v>
      </c>
      <c r="H4122" s="21" t="s">
        <v>10</v>
      </c>
      <c r="I4122" s="21" t="s">
        <v>96</v>
      </c>
      <c r="J4122" s="21" t="s">
        <v>97</v>
      </c>
      <c r="K4122" s="5814" t="s">
        <v>12268</v>
      </c>
    </row>
    <row r="4123" spans="1:11">
      <c r="A4123" s="21" t="s">
        <v>2057</v>
      </c>
      <c r="B4123" s="21" t="s">
        <v>12269</v>
      </c>
      <c r="C4123" s="21" t="s">
        <v>8</v>
      </c>
      <c r="D4123" s="21" t="s">
        <v>1357</v>
      </c>
      <c r="E4123" s="21" t="s">
        <v>46</v>
      </c>
      <c r="F4123" s="5812">
        <v>1</v>
      </c>
      <c r="G4123" s="5813">
        <v>0.15902777777777777</v>
      </c>
      <c r="H4123" s="21" t="s">
        <v>10</v>
      </c>
      <c r="I4123" s="21" t="s">
        <v>39</v>
      </c>
      <c r="J4123" s="21" t="s">
        <v>430</v>
      </c>
      <c r="K4123" s="5814" t="s">
        <v>12270</v>
      </c>
    </row>
    <row r="4124" spans="1:11">
      <c r="A4124" s="21" t="s">
        <v>3909</v>
      </c>
      <c r="B4124" s="21" t="s">
        <v>12271</v>
      </c>
      <c r="C4124" s="21" t="s">
        <v>8</v>
      </c>
      <c r="D4124" s="21" t="s">
        <v>1357</v>
      </c>
      <c r="E4124" s="21" t="s">
        <v>46</v>
      </c>
      <c r="F4124" s="5812">
        <v>1</v>
      </c>
      <c r="G4124" s="5813">
        <v>0.16111111111111112</v>
      </c>
      <c r="H4124" s="21" t="s">
        <v>10</v>
      </c>
      <c r="I4124" s="21" t="s">
        <v>55</v>
      </c>
      <c r="J4124" s="21" t="s">
        <v>4505</v>
      </c>
      <c r="K4124" s="5814" t="s">
        <v>12272</v>
      </c>
    </row>
    <row r="4125" spans="1:11">
      <c r="A4125" s="21" t="s">
        <v>3152</v>
      </c>
      <c r="B4125" s="21" t="s">
        <v>12273</v>
      </c>
      <c r="C4125" s="21" t="s">
        <v>8</v>
      </c>
      <c r="D4125" s="21" t="s">
        <v>1357</v>
      </c>
      <c r="E4125" s="21" t="s">
        <v>46</v>
      </c>
      <c r="F4125" s="5812">
        <v>1</v>
      </c>
      <c r="G4125" s="5813">
        <v>0.20416666666666666</v>
      </c>
      <c r="H4125" s="21" t="s">
        <v>10</v>
      </c>
      <c r="I4125" s="21" t="s">
        <v>55</v>
      </c>
      <c r="J4125" s="21" t="s">
        <v>1076</v>
      </c>
      <c r="K4125" s="5814" t="s">
        <v>12274</v>
      </c>
    </row>
    <row r="4126" spans="1:11">
      <c r="A4126" s="21" t="s">
        <v>2938</v>
      </c>
      <c r="B4126" s="21" t="s">
        <v>12275</v>
      </c>
      <c r="C4126" s="21" t="s">
        <v>22</v>
      </c>
      <c r="D4126" s="21" t="s">
        <v>1357</v>
      </c>
      <c r="E4126" s="21" t="s">
        <v>46</v>
      </c>
      <c r="F4126" s="5812">
        <v>1</v>
      </c>
      <c r="G4126" s="5813">
        <v>0.2048611111111111</v>
      </c>
      <c r="H4126" s="21" t="s">
        <v>10</v>
      </c>
      <c r="I4126" s="21" t="s">
        <v>2313</v>
      </c>
      <c r="J4126" s="21" t="s">
        <v>518</v>
      </c>
      <c r="K4126" s="5814" t="s">
        <v>12276</v>
      </c>
    </row>
    <row r="4127" spans="1:11">
      <c r="A4127" s="21" t="s">
        <v>2291</v>
      </c>
      <c r="B4127" s="21" t="s">
        <v>12277</v>
      </c>
      <c r="C4127" s="21" t="s">
        <v>22</v>
      </c>
      <c r="D4127" s="21" t="s">
        <v>1357</v>
      </c>
      <c r="E4127" s="21" t="s">
        <v>46</v>
      </c>
      <c r="F4127" s="5812">
        <v>2</v>
      </c>
      <c r="G4127" s="5813">
        <v>6.805555555555555E-2</v>
      </c>
      <c r="H4127" s="21" t="s">
        <v>10</v>
      </c>
      <c r="I4127" s="21"/>
      <c r="J4127" s="21" t="s">
        <v>430</v>
      </c>
      <c r="K4127" s="5814" t="s">
        <v>12278</v>
      </c>
    </row>
    <row r="4128" spans="1:11">
      <c r="A4128" s="21" t="s">
        <v>2757</v>
      </c>
      <c r="B4128" s="21" t="s">
        <v>12279</v>
      </c>
      <c r="C4128" s="21" t="s">
        <v>22</v>
      </c>
      <c r="D4128" s="21" t="s">
        <v>1357</v>
      </c>
      <c r="E4128" s="21" t="s">
        <v>46</v>
      </c>
      <c r="F4128" s="5812">
        <v>2</v>
      </c>
      <c r="G4128" s="5813">
        <v>0.12013888888888889</v>
      </c>
      <c r="H4128" s="21" t="s">
        <v>10</v>
      </c>
      <c r="I4128" s="21" t="s">
        <v>39</v>
      </c>
      <c r="J4128" s="21" t="s">
        <v>406</v>
      </c>
      <c r="K4128" s="5814" t="s">
        <v>12280</v>
      </c>
    </row>
    <row r="4129" spans="1:11">
      <c r="A4129" s="21" t="s">
        <v>3690</v>
      </c>
      <c r="B4129" s="21" t="s">
        <v>12281</v>
      </c>
      <c r="C4129" s="21" t="s">
        <v>8</v>
      </c>
      <c r="D4129" s="21" t="s">
        <v>1357</v>
      </c>
      <c r="E4129" s="21" t="s">
        <v>46</v>
      </c>
      <c r="F4129" s="5812">
        <v>2</v>
      </c>
      <c r="G4129" s="5813">
        <v>0.125</v>
      </c>
      <c r="H4129" s="21" t="s">
        <v>10</v>
      </c>
      <c r="I4129" s="21" t="s">
        <v>55</v>
      </c>
      <c r="J4129" s="21" t="s">
        <v>97</v>
      </c>
      <c r="K4129" s="5814" t="s">
        <v>12282</v>
      </c>
    </row>
    <row r="4130" spans="1:11">
      <c r="A4130" s="21" t="s">
        <v>2638</v>
      </c>
      <c r="B4130" s="21" t="s">
        <v>12283</v>
      </c>
      <c r="C4130" s="21" t="s">
        <v>8</v>
      </c>
      <c r="D4130" s="21" t="s">
        <v>1357</v>
      </c>
      <c r="E4130" s="21" t="s">
        <v>46</v>
      </c>
      <c r="F4130" s="5812">
        <v>2</v>
      </c>
      <c r="G4130" s="5813">
        <v>0.12569444444444444</v>
      </c>
      <c r="H4130" s="21" t="s">
        <v>10</v>
      </c>
      <c r="I4130" s="21" t="s">
        <v>11</v>
      </c>
      <c r="J4130" s="21" t="s">
        <v>97</v>
      </c>
      <c r="K4130" s="5814" t="s">
        <v>12284</v>
      </c>
    </row>
    <row r="4131" spans="1:11">
      <c r="A4131" s="21" t="s">
        <v>2893</v>
      </c>
      <c r="B4131" s="21" t="s">
        <v>12285</v>
      </c>
      <c r="C4131" s="21" t="s">
        <v>22</v>
      </c>
      <c r="D4131" s="21" t="s">
        <v>1357</v>
      </c>
      <c r="E4131" s="21" t="s">
        <v>46</v>
      </c>
      <c r="F4131" s="5812">
        <v>2</v>
      </c>
      <c r="G4131" s="5813">
        <v>0.13263888888888889</v>
      </c>
      <c r="H4131" s="21" t="s">
        <v>10</v>
      </c>
      <c r="I4131" s="21" t="s">
        <v>96</v>
      </c>
      <c r="J4131" s="21" t="s">
        <v>258</v>
      </c>
      <c r="K4131" s="5814" t="s">
        <v>12286</v>
      </c>
    </row>
    <row r="4132" spans="1:11">
      <c r="A4132" s="21" t="s">
        <v>3647</v>
      </c>
      <c r="B4132" s="21" t="s">
        <v>12287</v>
      </c>
      <c r="C4132" s="21" t="s">
        <v>8</v>
      </c>
      <c r="D4132" s="21" t="s">
        <v>1357</v>
      </c>
      <c r="E4132" s="21" t="s">
        <v>46</v>
      </c>
      <c r="F4132" s="5812">
        <v>2</v>
      </c>
      <c r="G4132" s="5813">
        <v>0.14722222222222223</v>
      </c>
      <c r="H4132" s="21" t="s">
        <v>10</v>
      </c>
      <c r="I4132" s="21" t="s">
        <v>47</v>
      </c>
      <c r="J4132" s="21" t="s">
        <v>3080</v>
      </c>
      <c r="K4132" s="5814" t="s">
        <v>12288</v>
      </c>
    </row>
    <row r="4133" spans="1:11">
      <c r="A4133" s="21" t="s">
        <v>3026</v>
      </c>
      <c r="B4133" s="21" t="s">
        <v>12289</v>
      </c>
      <c r="C4133" s="21" t="s">
        <v>22</v>
      </c>
      <c r="D4133" s="21" t="s">
        <v>1357</v>
      </c>
      <c r="E4133" s="21" t="s">
        <v>46</v>
      </c>
      <c r="F4133" s="5812">
        <v>2</v>
      </c>
      <c r="G4133" s="5813">
        <v>0.15347222222222223</v>
      </c>
      <c r="H4133" s="21" t="s">
        <v>10</v>
      </c>
      <c r="I4133" s="21" t="s">
        <v>23</v>
      </c>
      <c r="J4133" s="21" t="s">
        <v>430</v>
      </c>
      <c r="K4133" s="5814" t="s">
        <v>12290</v>
      </c>
    </row>
    <row r="4134" spans="1:11">
      <c r="A4134" s="21" t="s">
        <v>3664</v>
      </c>
      <c r="B4134" s="21" t="s">
        <v>12291</v>
      </c>
      <c r="C4134" s="21" t="s">
        <v>22</v>
      </c>
      <c r="D4134" s="21" t="s">
        <v>1357</v>
      </c>
      <c r="E4134" s="21" t="s">
        <v>46</v>
      </c>
      <c r="F4134" s="5812">
        <v>2</v>
      </c>
      <c r="G4134" s="5813">
        <v>0.15416666666666667</v>
      </c>
      <c r="H4134" s="21" t="s">
        <v>10</v>
      </c>
      <c r="I4134" s="21" t="s">
        <v>11</v>
      </c>
      <c r="J4134" s="21" t="s">
        <v>3148</v>
      </c>
      <c r="K4134" s="5814" t="s">
        <v>12292</v>
      </c>
    </row>
    <row r="4135" spans="1:11">
      <c r="A4135" s="21" t="s">
        <v>3412</v>
      </c>
      <c r="B4135" s="21" t="s">
        <v>12293</v>
      </c>
      <c r="C4135" s="21" t="s">
        <v>22</v>
      </c>
      <c r="D4135" s="21" t="s">
        <v>1357</v>
      </c>
      <c r="E4135" s="21" t="s">
        <v>46</v>
      </c>
      <c r="F4135" s="5812">
        <v>2</v>
      </c>
      <c r="G4135" s="5813">
        <v>0.17222222222222222</v>
      </c>
      <c r="H4135" s="21" t="s">
        <v>10</v>
      </c>
      <c r="I4135" s="21" t="s">
        <v>2313</v>
      </c>
      <c r="J4135" s="21" t="s">
        <v>97</v>
      </c>
      <c r="K4135" s="5814" t="s">
        <v>12294</v>
      </c>
    </row>
    <row r="4136" spans="1:11">
      <c r="A4136" s="21" t="s">
        <v>4724</v>
      </c>
      <c r="B4136" s="21" t="s">
        <v>12295</v>
      </c>
      <c r="C4136" s="21" t="s">
        <v>8</v>
      </c>
      <c r="D4136" s="21" t="s">
        <v>1357</v>
      </c>
      <c r="E4136" s="21" t="s">
        <v>46</v>
      </c>
      <c r="F4136" s="5812">
        <v>2</v>
      </c>
      <c r="G4136" s="5813">
        <v>0.17569444444444443</v>
      </c>
      <c r="H4136" s="21" t="s">
        <v>10</v>
      </c>
      <c r="I4136" s="21" t="s">
        <v>4298</v>
      </c>
      <c r="J4136" s="21" t="s">
        <v>907</v>
      </c>
      <c r="K4136" s="5814" t="s">
        <v>12296</v>
      </c>
    </row>
    <row r="4137" spans="1:11">
      <c r="A4137" s="21" t="s">
        <v>3690</v>
      </c>
      <c r="B4137" s="21" t="s">
        <v>12297</v>
      </c>
      <c r="C4137" s="21" t="s">
        <v>8</v>
      </c>
      <c r="D4137" s="21" t="s">
        <v>1357</v>
      </c>
      <c r="E4137" s="21" t="s">
        <v>46</v>
      </c>
      <c r="F4137" s="5812">
        <v>2</v>
      </c>
      <c r="G4137" s="5813">
        <v>0.18541666666666667</v>
      </c>
      <c r="H4137" s="21" t="s">
        <v>10</v>
      </c>
      <c r="I4137" s="21" t="s">
        <v>11</v>
      </c>
      <c r="J4137" s="21" t="s">
        <v>430</v>
      </c>
      <c r="K4137" s="5814" t="s">
        <v>12298</v>
      </c>
    </row>
    <row r="4138" spans="1:11">
      <c r="A4138" s="21" t="s">
        <v>5335</v>
      </c>
      <c r="B4138" s="21" t="s">
        <v>12299</v>
      </c>
      <c r="C4138" s="21" t="s">
        <v>8</v>
      </c>
      <c r="D4138" s="21" t="s">
        <v>1357</v>
      </c>
      <c r="E4138" s="21" t="s">
        <v>46</v>
      </c>
      <c r="F4138" s="5812">
        <v>2</v>
      </c>
      <c r="G4138" s="5813">
        <v>0.18958333333333333</v>
      </c>
      <c r="H4138" s="21" t="s">
        <v>10</v>
      </c>
      <c r="I4138" s="21" t="s">
        <v>23</v>
      </c>
      <c r="J4138" s="21" t="s">
        <v>258</v>
      </c>
      <c r="K4138" s="5814" t="s">
        <v>12300</v>
      </c>
    </row>
    <row r="4139" spans="1:11">
      <c r="A4139" s="21" t="s">
        <v>2982</v>
      </c>
      <c r="B4139" s="21" t="s">
        <v>12301</v>
      </c>
      <c r="C4139" s="21" t="s">
        <v>22</v>
      </c>
      <c r="D4139" s="21" t="s">
        <v>1357</v>
      </c>
      <c r="E4139" s="21" t="s">
        <v>46</v>
      </c>
      <c r="F4139" s="5812">
        <v>2</v>
      </c>
      <c r="G4139" s="5813">
        <v>0.19930555555555557</v>
      </c>
      <c r="H4139" s="21" t="s">
        <v>10</v>
      </c>
      <c r="I4139" s="21" t="s">
        <v>23</v>
      </c>
      <c r="J4139" s="21" t="s">
        <v>430</v>
      </c>
      <c r="K4139" s="5814" t="s">
        <v>12302</v>
      </c>
    </row>
    <row r="4140" spans="1:11">
      <c r="A4140" s="21" t="s">
        <v>3256</v>
      </c>
      <c r="B4140" s="21" t="s">
        <v>12303</v>
      </c>
      <c r="C4140" s="21" t="s">
        <v>22</v>
      </c>
      <c r="D4140" s="21" t="s">
        <v>1357</v>
      </c>
      <c r="E4140" s="21" t="s">
        <v>46</v>
      </c>
      <c r="F4140" s="5812">
        <v>2</v>
      </c>
      <c r="G4140" s="5813">
        <v>0.20208333333333334</v>
      </c>
      <c r="H4140" s="21" t="s">
        <v>10</v>
      </c>
      <c r="I4140" s="21" t="s">
        <v>89</v>
      </c>
      <c r="J4140" s="21" t="s">
        <v>97</v>
      </c>
      <c r="K4140" s="5814" t="s">
        <v>12304</v>
      </c>
    </row>
    <row r="4141" spans="1:11">
      <c r="A4141" s="21" t="s">
        <v>3252</v>
      </c>
      <c r="B4141" s="21" t="s">
        <v>12305</v>
      </c>
      <c r="C4141" s="21" t="s">
        <v>22</v>
      </c>
      <c r="D4141" s="21" t="s">
        <v>1357</v>
      </c>
      <c r="E4141" s="21" t="s">
        <v>46</v>
      </c>
      <c r="F4141" s="5812">
        <v>2</v>
      </c>
      <c r="G4141" s="5813">
        <v>0.2076388888888889</v>
      </c>
      <c r="H4141" s="21" t="s">
        <v>10</v>
      </c>
      <c r="I4141" s="21" t="s">
        <v>5887</v>
      </c>
      <c r="J4141" s="21" t="s">
        <v>518</v>
      </c>
      <c r="K4141" s="5814" t="s">
        <v>12306</v>
      </c>
    </row>
    <row r="4142" spans="1:11">
      <c r="A4142" s="21" t="s">
        <v>3105</v>
      </c>
      <c r="B4142" s="21" t="s">
        <v>12307</v>
      </c>
      <c r="C4142" s="21" t="s">
        <v>22</v>
      </c>
      <c r="D4142" s="21" t="s">
        <v>1357</v>
      </c>
      <c r="E4142" s="21" t="s">
        <v>46</v>
      </c>
      <c r="F4142" s="5812">
        <v>2</v>
      </c>
      <c r="G4142" s="5813">
        <v>0.20833333333333334</v>
      </c>
      <c r="H4142" s="21" t="s">
        <v>10</v>
      </c>
      <c r="I4142" s="21" t="s">
        <v>39</v>
      </c>
      <c r="J4142" s="21" t="s">
        <v>12308</v>
      </c>
      <c r="K4142" s="5814" t="s">
        <v>12309</v>
      </c>
    </row>
    <row r="4143" spans="1:11">
      <c r="A4143" s="21" t="s">
        <v>3116</v>
      </c>
      <c r="B4143" s="21" t="s">
        <v>12310</v>
      </c>
      <c r="C4143" s="21" t="s">
        <v>22</v>
      </c>
      <c r="D4143" s="21" t="s">
        <v>1357</v>
      </c>
      <c r="E4143" s="21" t="s">
        <v>46</v>
      </c>
      <c r="F4143" s="5812">
        <v>3</v>
      </c>
      <c r="G4143" s="5813">
        <v>3.125E-2</v>
      </c>
      <c r="H4143" s="21" t="s">
        <v>10</v>
      </c>
      <c r="I4143" s="21" t="s">
        <v>23</v>
      </c>
      <c r="J4143" s="21" t="s">
        <v>3004</v>
      </c>
      <c r="K4143" s="5814" t="s">
        <v>12311</v>
      </c>
    </row>
    <row r="4144" spans="1:11">
      <c r="A4144" s="21" t="s">
        <v>2092</v>
      </c>
      <c r="B4144" s="21" t="s">
        <v>12312</v>
      </c>
      <c r="C4144" s="21" t="s">
        <v>8</v>
      </c>
      <c r="D4144" s="21" t="s">
        <v>1357</v>
      </c>
      <c r="E4144" s="21" t="s">
        <v>46</v>
      </c>
      <c r="F4144" s="5812">
        <v>3</v>
      </c>
      <c r="G4144" s="5813">
        <v>6.0416666666666667E-2</v>
      </c>
      <c r="H4144" s="21" t="s">
        <v>10</v>
      </c>
      <c r="I4144" s="21" t="s">
        <v>23</v>
      </c>
      <c r="J4144" s="21" t="s">
        <v>7901</v>
      </c>
      <c r="K4144" s="5814" t="s">
        <v>12313</v>
      </c>
    </row>
    <row r="4145" spans="1:11">
      <c r="A4145" s="21" t="s">
        <v>5387</v>
      </c>
      <c r="B4145" s="21" t="s">
        <v>12314</v>
      </c>
      <c r="C4145" s="21" t="s">
        <v>8</v>
      </c>
      <c r="D4145" s="21" t="s">
        <v>1357</v>
      </c>
      <c r="E4145" s="21" t="s">
        <v>46</v>
      </c>
      <c r="F4145" s="5812">
        <v>3</v>
      </c>
      <c r="G4145" s="5813">
        <v>7.3611111111111113E-2</v>
      </c>
      <c r="H4145" s="21" t="s">
        <v>10</v>
      </c>
      <c r="I4145" s="21" t="s">
        <v>2721</v>
      </c>
      <c r="J4145" s="21" t="s">
        <v>940</v>
      </c>
      <c r="K4145" s="5814" t="s">
        <v>12315</v>
      </c>
    </row>
    <row r="4146" spans="1:11">
      <c r="A4146" s="21" t="s">
        <v>2438</v>
      </c>
      <c r="B4146" s="21" t="s">
        <v>12316</v>
      </c>
      <c r="C4146" s="21" t="s">
        <v>8</v>
      </c>
      <c r="D4146" s="21" t="s">
        <v>1357</v>
      </c>
      <c r="E4146" s="21" t="s">
        <v>46</v>
      </c>
      <c r="F4146" s="5812">
        <v>3</v>
      </c>
      <c r="G4146" s="5813">
        <v>7.7777777777777779E-2</v>
      </c>
      <c r="H4146" s="21" t="s">
        <v>10</v>
      </c>
      <c r="I4146" s="21" t="s">
        <v>2544</v>
      </c>
      <c r="J4146" s="21" t="s">
        <v>4505</v>
      </c>
      <c r="K4146" s="5814" t="s">
        <v>12317</v>
      </c>
    </row>
    <row r="4147" spans="1:11">
      <c r="A4147" s="21" t="s">
        <v>3458</v>
      </c>
      <c r="B4147" s="21" t="s">
        <v>12318</v>
      </c>
      <c r="C4147" s="21" t="s">
        <v>22</v>
      </c>
      <c r="D4147" s="21" t="s">
        <v>1357</v>
      </c>
      <c r="E4147" s="21" t="s">
        <v>46</v>
      </c>
      <c r="F4147" s="5812">
        <v>3</v>
      </c>
      <c r="G4147" s="5813">
        <v>0.11388888888888889</v>
      </c>
      <c r="H4147" s="21" t="s">
        <v>10</v>
      </c>
      <c r="I4147" s="21" t="s">
        <v>400</v>
      </c>
      <c r="J4147" s="21" t="s">
        <v>3004</v>
      </c>
      <c r="K4147" s="5814" t="s">
        <v>12319</v>
      </c>
    </row>
    <row r="4148" spans="1:11">
      <c r="A4148" s="21" t="s">
        <v>5984</v>
      </c>
      <c r="B4148" s="21" t="s">
        <v>12320</v>
      </c>
      <c r="C4148" s="21" t="s">
        <v>22</v>
      </c>
      <c r="D4148" s="21" t="s">
        <v>1357</v>
      </c>
      <c r="E4148" s="21" t="s">
        <v>46</v>
      </c>
      <c r="F4148" s="5812">
        <v>3</v>
      </c>
      <c r="G4148" s="5813">
        <v>0.16458333333333333</v>
      </c>
      <c r="H4148" s="21" t="s">
        <v>2081</v>
      </c>
      <c r="I4148" s="21" t="s">
        <v>11</v>
      </c>
      <c r="J4148" s="21" t="s">
        <v>907</v>
      </c>
      <c r="K4148" s="5814" t="s">
        <v>12321</v>
      </c>
    </row>
    <row r="4149" spans="1:11">
      <c r="A4149" s="21" t="s">
        <v>3348</v>
      </c>
      <c r="B4149" s="21" t="s">
        <v>12322</v>
      </c>
      <c r="C4149" s="21" t="s">
        <v>8</v>
      </c>
      <c r="D4149" s="21" t="s">
        <v>1357</v>
      </c>
      <c r="E4149" s="21" t="s">
        <v>46</v>
      </c>
      <c r="F4149" s="5812">
        <v>3</v>
      </c>
      <c r="G4149" s="5813">
        <v>0.1736111111111111</v>
      </c>
      <c r="H4149" s="21" t="s">
        <v>10</v>
      </c>
      <c r="I4149" s="21" t="s">
        <v>39</v>
      </c>
      <c r="J4149" s="21" t="s">
        <v>3004</v>
      </c>
      <c r="K4149" s="5814" t="s">
        <v>12323</v>
      </c>
    </row>
    <row r="4150" spans="1:11">
      <c r="A4150" s="21" t="s">
        <v>311</v>
      </c>
      <c r="B4150" s="21" t="s">
        <v>1424</v>
      </c>
      <c r="C4150" s="21" t="s">
        <v>8</v>
      </c>
      <c r="D4150" s="21" t="s">
        <v>1357</v>
      </c>
      <c r="E4150" s="21" t="s">
        <v>46</v>
      </c>
      <c r="F4150" s="5812">
        <v>3</v>
      </c>
      <c r="G4150" s="5813">
        <v>0.20277777777777778</v>
      </c>
      <c r="H4150" s="21" t="s">
        <v>10</v>
      </c>
      <c r="I4150" s="21" t="s">
        <v>499</v>
      </c>
      <c r="J4150" s="21" t="s">
        <v>1425</v>
      </c>
      <c r="K4150" s="5814" t="s">
        <v>1426</v>
      </c>
    </row>
    <row r="4151" spans="1:11">
      <c r="A4151" s="21" t="s">
        <v>2174</v>
      </c>
      <c r="B4151" s="21" t="s">
        <v>12324</v>
      </c>
      <c r="C4151" s="21" t="s">
        <v>8</v>
      </c>
      <c r="D4151" s="21" t="s">
        <v>1357</v>
      </c>
      <c r="E4151" s="21" t="s">
        <v>61</v>
      </c>
      <c r="F4151" s="5812">
        <v>1</v>
      </c>
      <c r="G4151" s="5813">
        <v>4.791666666666667E-2</v>
      </c>
      <c r="H4151" s="21" t="s">
        <v>10</v>
      </c>
      <c r="I4151" s="21" t="s">
        <v>11</v>
      </c>
      <c r="J4151" s="21" t="s">
        <v>1379</v>
      </c>
      <c r="K4151" s="5814" t="s">
        <v>12325</v>
      </c>
    </row>
    <row r="4152" spans="1:11">
      <c r="A4152" s="21" t="s">
        <v>2542</v>
      </c>
      <c r="B4152" s="21" t="s">
        <v>12326</v>
      </c>
      <c r="C4152" s="21" t="s">
        <v>8</v>
      </c>
      <c r="D4152" s="21" t="s">
        <v>1357</v>
      </c>
      <c r="E4152" s="21" t="s">
        <v>61</v>
      </c>
      <c r="F4152" s="5812">
        <v>1</v>
      </c>
      <c r="G4152" s="5813">
        <v>6.1111111111111109E-2</v>
      </c>
      <c r="H4152" s="21" t="s">
        <v>10</v>
      </c>
      <c r="I4152" s="21" t="s">
        <v>2544</v>
      </c>
      <c r="J4152" s="21" t="s">
        <v>5385</v>
      </c>
      <c r="K4152" s="5814" t="s">
        <v>12327</v>
      </c>
    </row>
    <row r="4153" spans="1:11">
      <c r="A4153" s="21" t="s">
        <v>2757</v>
      </c>
      <c r="B4153" s="21" t="s">
        <v>12328</v>
      </c>
      <c r="C4153" s="21" t="s">
        <v>22</v>
      </c>
      <c r="D4153" s="21" t="s">
        <v>1357</v>
      </c>
      <c r="E4153" s="21" t="s">
        <v>61</v>
      </c>
      <c r="F4153" s="5812">
        <v>1</v>
      </c>
      <c r="G4153" s="5813">
        <v>6.9444444444444448E-2</v>
      </c>
      <c r="H4153" s="21" t="s">
        <v>10</v>
      </c>
      <c r="I4153" s="21" t="s">
        <v>23</v>
      </c>
      <c r="J4153" s="21" t="s">
        <v>928</v>
      </c>
      <c r="K4153" s="5814" t="s">
        <v>12329</v>
      </c>
    </row>
    <row r="4154" spans="1:11">
      <c r="A4154" s="21" t="s">
        <v>2327</v>
      </c>
      <c r="B4154" s="21" t="s">
        <v>12330</v>
      </c>
      <c r="C4154" s="21" t="s">
        <v>8</v>
      </c>
      <c r="D4154" s="21" t="s">
        <v>1357</v>
      </c>
      <c r="E4154" s="21" t="s">
        <v>61</v>
      </c>
      <c r="F4154" s="5812">
        <v>1</v>
      </c>
      <c r="G4154" s="5813">
        <v>7.2916666666666671E-2</v>
      </c>
      <c r="H4154" s="21" t="s">
        <v>10</v>
      </c>
      <c r="I4154" s="21" t="s">
        <v>23</v>
      </c>
      <c r="J4154" s="21" t="s">
        <v>12331</v>
      </c>
      <c r="K4154" s="5814" t="s">
        <v>12332</v>
      </c>
    </row>
    <row r="4155" spans="1:11">
      <c r="A4155" s="21" t="s">
        <v>2084</v>
      </c>
      <c r="B4155" s="21" t="s">
        <v>12333</v>
      </c>
      <c r="C4155" s="21" t="s">
        <v>22</v>
      </c>
      <c r="D4155" s="21" t="s">
        <v>1357</v>
      </c>
      <c r="E4155" s="21" t="s">
        <v>61</v>
      </c>
      <c r="F4155" s="5812">
        <v>1</v>
      </c>
      <c r="G4155" s="5813">
        <v>7.9861111111111105E-2</v>
      </c>
      <c r="H4155" s="21" t="s">
        <v>10</v>
      </c>
      <c r="I4155" s="21" t="s">
        <v>96</v>
      </c>
      <c r="J4155" s="21" t="s">
        <v>11815</v>
      </c>
      <c r="K4155" s="5814" t="s">
        <v>12334</v>
      </c>
    </row>
    <row r="4156" spans="1:11">
      <c r="A4156" s="21" t="s">
        <v>2757</v>
      </c>
      <c r="B4156" s="21" t="s">
        <v>12335</v>
      </c>
      <c r="C4156" s="21" t="s">
        <v>22</v>
      </c>
      <c r="D4156" s="21" t="s">
        <v>1357</v>
      </c>
      <c r="E4156" s="21" t="s">
        <v>61</v>
      </c>
      <c r="F4156" s="5812">
        <v>1</v>
      </c>
      <c r="G4156" s="5813">
        <v>8.3333333333333329E-2</v>
      </c>
      <c r="H4156" s="21" t="s">
        <v>10</v>
      </c>
      <c r="I4156" s="21" t="s">
        <v>23</v>
      </c>
      <c r="J4156" s="21" t="s">
        <v>1379</v>
      </c>
      <c r="K4156" s="5814" t="s">
        <v>12336</v>
      </c>
    </row>
    <row r="4157" spans="1:11">
      <c r="A4157" s="21" t="s">
        <v>2757</v>
      </c>
      <c r="B4157" s="21" t="s">
        <v>12337</v>
      </c>
      <c r="C4157" s="21" t="s">
        <v>8</v>
      </c>
      <c r="D4157" s="21" t="s">
        <v>1357</v>
      </c>
      <c r="E4157" s="21" t="s">
        <v>61</v>
      </c>
      <c r="F4157" s="5812">
        <v>1</v>
      </c>
      <c r="G4157" s="5813">
        <v>9.166666666666666E-2</v>
      </c>
      <c r="H4157" s="21" t="s">
        <v>10</v>
      </c>
      <c r="I4157" s="21" t="s">
        <v>23</v>
      </c>
      <c r="J4157" s="21" t="s">
        <v>1379</v>
      </c>
      <c r="K4157" s="5814" t="s">
        <v>12338</v>
      </c>
    </row>
    <row r="4158" spans="1:11">
      <c r="A4158" s="21" t="s">
        <v>3203</v>
      </c>
      <c r="B4158" s="21" t="s">
        <v>12339</v>
      </c>
      <c r="C4158" s="21" t="s">
        <v>8</v>
      </c>
      <c r="D4158" s="21" t="s">
        <v>1357</v>
      </c>
      <c r="E4158" s="21" t="s">
        <v>61</v>
      </c>
      <c r="F4158" s="5812">
        <v>1</v>
      </c>
      <c r="G4158" s="5813">
        <v>9.7916666666666666E-2</v>
      </c>
      <c r="H4158" s="21" t="s">
        <v>10</v>
      </c>
      <c r="I4158" s="21" t="s">
        <v>2814</v>
      </c>
      <c r="J4158" s="21" t="s">
        <v>5461</v>
      </c>
      <c r="K4158" s="5814" t="s">
        <v>12340</v>
      </c>
    </row>
    <row r="4159" spans="1:11">
      <c r="A4159" s="21" t="s">
        <v>2131</v>
      </c>
      <c r="B4159" s="21" t="s">
        <v>12341</v>
      </c>
      <c r="C4159" s="21" t="s">
        <v>8</v>
      </c>
      <c r="D4159" s="21" t="s">
        <v>1357</v>
      </c>
      <c r="E4159" s="21" t="s">
        <v>61</v>
      </c>
      <c r="F4159" s="5812">
        <v>1</v>
      </c>
      <c r="G4159" s="5813">
        <v>0.10347222222222222</v>
      </c>
      <c r="H4159" s="21" t="s">
        <v>10</v>
      </c>
      <c r="I4159" s="21" t="s">
        <v>96</v>
      </c>
      <c r="J4159" s="21" t="s">
        <v>928</v>
      </c>
      <c r="K4159" s="5814" t="s">
        <v>12342</v>
      </c>
    </row>
    <row r="4160" spans="1:11">
      <c r="A4160" s="21" t="s">
        <v>2547</v>
      </c>
      <c r="B4160" s="21" t="s">
        <v>12343</v>
      </c>
      <c r="C4160" s="21" t="s">
        <v>8</v>
      </c>
      <c r="D4160" s="21" t="s">
        <v>1357</v>
      </c>
      <c r="E4160" s="21" t="s">
        <v>61</v>
      </c>
      <c r="F4160" s="5812">
        <v>1</v>
      </c>
      <c r="G4160" s="5813">
        <v>0.1125</v>
      </c>
      <c r="H4160" s="21" t="s">
        <v>10</v>
      </c>
      <c r="I4160" s="21" t="s">
        <v>226</v>
      </c>
      <c r="J4160" s="21" t="s">
        <v>67</v>
      </c>
      <c r="K4160" s="5814" t="s">
        <v>12344</v>
      </c>
    </row>
    <row r="4161" spans="1:11">
      <c r="A4161" s="21" t="s">
        <v>3387</v>
      </c>
      <c r="B4161" s="21" t="s">
        <v>12345</v>
      </c>
      <c r="C4161" s="21" t="s">
        <v>22</v>
      </c>
      <c r="D4161" s="21" t="s">
        <v>1357</v>
      </c>
      <c r="E4161" s="21" t="s">
        <v>61</v>
      </c>
      <c r="F4161" s="5812">
        <v>1</v>
      </c>
      <c r="G4161" s="5813">
        <v>0.11319444444444444</v>
      </c>
      <c r="H4161" s="21" t="s">
        <v>10</v>
      </c>
      <c r="I4161" s="21" t="s">
        <v>2814</v>
      </c>
      <c r="J4161" s="21" t="s">
        <v>928</v>
      </c>
      <c r="K4161" s="5814" t="s">
        <v>12346</v>
      </c>
    </row>
    <row r="4162" spans="1:11">
      <c r="A4162" s="21" t="s">
        <v>2221</v>
      </c>
      <c r="B4162" s="21" t="s">
        <v>12347</v>
      </c>
      <c r="C4162" s="21" t="s">
        <v>8</v>
      </c>
      <c r="D4162" s="21" t="s">
        <v>1357</v>
      </c>
      <c r="E4162" s="21" t="s">
        <v>61</v>
      </c>
      <c r="F4162" s="5812">
        <v>1</v>
      </c>
      <c r="G4162" s="5813">
        <v>0.12083333333333333</v>
      </c>
      <c r="H4162" s="21" t="s">
        <v>10</v>
      </c>
      <c r="I4162" s="21" t="s">
        <v>96</v>
      </c>
      <c r="J4162" s="21" t="s">
        <v>67</v>
      </c>
      <c r="K4162" s="5814" t="s">
        <v>12348</v>
      </c>
    </row>
    <row r="4163" spans="1:11">
      <c r="A4163" s="21" t="s">
        <v>3710</v>
      </c>
      <c r="B4163" s="21" t="s">
        <v>12349</v>
      </c>
      <c r="C4163" s="21" t="s">
        <v>8</v>
      </c>
      <c r="D4163" s="21" t="s">
        <v>1357</v>
      </c>
      <c r="E4163" s="21" t="s">
        <v>61</v>
      </c>
      <c r="F4163" s="5812">
        <v>1</v>
      </c>
      <c r="G4163" s="5813">
        <v>0.15</v>
      </c>
      <c r="H4163" s="21" t="s">
        <v>10</v>
      </c>
      <c r="I4163" s="21" t="s">
        <v>5994</v>
      </c>
      <c r="J4163" s="21" t="s">
        <v>928</v>
      </c>
      <c r="K4163" s="5814" t="s">
        <v>12350</v>
      </c>
    </row>
    <row r="4164" spans="1:11">
      <c r="A4164" s="21" t="s">
        <v>2372</v>
      </c>
      <c r="B4164" s="21" t="s">
        <v>12351</v>
      </c>
      <c r="C4164" s="21" t="s">
        <v>8</v>
      </c>
      <c r="D4164" s="21" t="s">
        <v>1357</v>
      </c>
      <c r="E4164" s="21" t="s">
        <v>61</v>
      </c>
      <c r="F4164" s="5812">
        <v>1</v>
      </c>
      <c r="G4164" s="5813">
        <v>0.15069444444444444</v>
      </c>
      <c r="H4164" s="21" t="s">
        <v>10</v>
      </c>
      <c r="I4164" s="21" t="s">
        <v>187</v>
      </c>
      <c r="J4164" s="21" t="s">
        <v>1194</v>
      </c>
      <c r="K4164" s="5814" t="s">
        <v>12352</v>
      </c>
    </row>
    <row r="4165" spans="1:11">
      <c r="A4165" s="21" t="s">
        <v>3130</v>
      </c>
      <c r="B4165" s="21" t="s">
        <v>12353</v>
      </c>
      <c r="C4165" s="21" t="s">
        <v>22</v>
      </c>
      <c r="D4165" s="21" t="s">
        <v>1357</v>
      </c>
      <c r="E4165" s="21" t="s">
        <v>61</v>
      </c>
      <c r="F4165" s="5812">
        <v>1</v>
      </c>
      <c r="G4165" s="5813">
        <v>0.16458333333333333</v>
      </c>
      <c r="H4165" s="21" t="s">
        <v>10</v>
      </c>
      <c r="I4165" s="21" t="s">
        <v>263</v>
      </c>
      <c r="J4165" s="21" t="s">
        <v>67</v>
      </c>
      <c r="K4165" s="5814" t="s">
        <v>12354</v>
      </c>
    </row>
    <row r="4166" spans="1:11">
      <c r="A4166" s="21" t="s">
        <v>2188</v>
      </c>
      <c r="B4166" s="21" t="s">
        <v>12355</v>
      </c>
      <c r="C4166" s="21" t="s">
        <v>8</v>
      </c>
      <c r="D4166" s="21" t="s">
        <v>1357</v>
      </c>
      <c r="E4166" s="21" t="s">
        <v>61</v>
      </c>
      <c r="F4166" s="5812">
        <v>1</v>
      </c>
      <c r="G4166" s="5813">
        <v>0.16666666666666666</v>
      </c>
      <c r="H4166" s="21" t="s">
        <v>10</v>
      </c>
      <c r="I4166" s="21" t="s">
        <v>3534</v>
      </c>
      <c r="J4166" s="21" t="s">
        <v>928</v>
      </c>
      <c r="K4166" s="5814" t="s">
        <v>12356</v>
      </c>
    </row>
    <row r="4167" spans="1:11">
      <c r="A4167" s="21" t="s">
        <v>2471</v>
      </c>
      <c r="B4167" s="21" t="s">
        <v>12357</v>
      </c>
      <c r="C4167" s="21" t="s">
        <v>22</v>
      </c>
      <c r="D4167" s="21" t="s">
        <v>1357</v>
      </c>
      <c r="E4167" s="21" t="s">
        <v>61</v>
      </c>
      <c r="F4167" s="5812">
        <v>1</v>
      </c>
      <c r="G4167" s="5813">
        <v>0.17847222222222223</v>
      </c>
      <c r="H4167" s="21" t="s">
        <v>10</v>
      </c>
      <c r="I4167" s="21" t="s">
        <v>23</v>
      </c>
      <c r="J4167" s="21" t="s">
        <v>11815</v>
      </c>
      <c r="K4167" s="5814" t="s">
        <v>12358</v>
      </c>
    </row>
    <row r="4168" spans="1:11">
      <c r="A4168" s="21" t="s">
        <v>2534</v>
      </c>
      <c r="B4168" s="21" t="s">
        <v>12359</v>
      </c>
      <c r="C4168" s="21" t="s">
        <v>22</v>
      </c>
      <c r="D4168" s="21" t="s">
        <v>1357</v>
      </c>
      <c r="E4168" s="21" t="s">
        <v>61</v>
      </c>
      <c r="F4168" s="5812">
        <v>1</v>
      </c>
      <c r="G4168" s="5813">
        <v>0.18680555555555556</v>
      </c>
      <c r="H4168" s="21" t="s">
        <v>10</v>
      </c>
      <c r="I4168" s="21" t="s">
        <v>96</v>
      </c>
      <c r="J4168" s="21" t="s">
        <v>928</v>
      </c>
      <c r="K4168" s="5814" t="s">
        <v>12360</v>
      </c>
    </row>
    <row r="4169" spans="1:11">
      <c r="A4169" s="21" t="s">
        <v>2104</v>
      </c>
      <c r="B4169" s="21" t="s">
        <v>12361</v>
      </c>
      <c r="C4169" s="21" t="s">
        <v>22</v>
      </c>
      <c r="D4169" s="21" t="s">
        <v>1357</v>
      </c>
      <c r="E4169" s="21" t="s">
        <v>61</v>
      </c>
      <c r="F4169" s="5812">
        <v>1</v>
      </c>
      <c r="G4169" s="5813">
        <v>0.20069444444444445</v>
      </c>
      <c r="H4169" s="21" t="s">
        <v>10</v>
      </c>
      <c r="I4169" s="21" t="s">
        <v>96</v>
      </c>
      <c r="J4169" s="21" t="s">
        <v>67</v>
      </c>
      <c r="K4169" s="5814" t="s">
        <v>12362</v>
      </c>
    </row>
    <row r="4170" spans="1:11">
      <c r="A4170" s="21" t="s">
        <v>2955</v>
      </c>
      <c r="B4170" s="21" t="s">
        <v>12363</v>
      </c>
      <c r="C4170" s="21" t="s">
        <v>8</v>
      </c>
      <c r="D4170" s="21" t="s">
        <v>1357</v>
      </c>
      <c r="E4170" s="21" t="s">
        <v>61</v>
      </c>
      <c r="F4170" s="5812">
        <v>1</v>
      </c>
      <c r="G4170" s="5813">
        <v>0.2048611111111111</v>
      </c>
      <c r="H4170" s="21" t="s">
        <v>10</v>
      </c>
      <c r="I4170" s="21" t="s">
        <v>23</v>
      </c>
      <c r="J4170" s="21" t="s">
        <v>782</v>
      </c>
      <c r="K4170" s="5814" t="s">
        <v>12364</v>
      </c>
    </row>
    <row r="4171" spans="1:11">
      <c r="A4171" s="21" t="s">
        <v>2197</v>
      </c>
      <c r="B4171" s="21" t="s">
        <v>12365</v>
      </c>
      <c r="C4171" s="21" t="s">
        <v>8</v>
      </c>
      <c r="D4171" s="21" t="s">
        <v>1357</v>
      </c>
      <c r="E4171" s="21" t="s">
        <v>61</v>
      </c>
      <c r="F4171" s="5812">
        <v>1</v>
      </c>
      <c r="G4171" s="5813">
        <v>0.2048611111111111</v>
      </c>
      <c r="H4171" s="21" t="s">
        <v>10</v>
      </c>
      <c r="I4171" s="21" t="s">
        <v>2747</v>
      </c>
      <c r="J4171" s="21" t="s">
        <v>928</v>
      </c>
      <c r="K4171" s="5814" t="s">
        <v>12366</v>
      </c>
    </row>
    <row r="4172" spans="1:11">
      <c r="A4172" s="21" t="s">
        <v>3089</v>
      </c>
      <c r="B4172" s="21" t="s">
        <v>12367</v>
      </c>
      <c r="C4172" s="21" t="s">
        <v>8</v>
      </c>
      <c r="D4172" s="21" t="s">
        <v>1357</v>
      </c>
      <c r="E4172" s="21" t="s">
        <v>61</v>
      </c>
      <c r="F4172" s="5812">
        <v>1</v>
      </c>
      <c r="G4172" s="5813">
        <v>0.20624999999999999</v>
      </c>
      <c r="H4172" s="21" t="s">
        <v>10</v>
      </c>
      <c r="I4172" s="21" t="s">
        <v>187</v>
      </c>
      <c r="J4172" s="21" t="s">
        <v>928</v>
      </c>
      <c r="K4172" s="5814" t="s">
        <v>12368</v>
      </c>
    </row>
    <row r="4173" spans="1:11">
      <c r="A4173" s="21" t="s">
        <v>2300</v>
      </c>
      <c r="B4173" s="21" t="s">
        <v>12369</v>
      </c>
      <c r="C4173" s="21" t="s">
        <v>8</v>
      </c>
      <c r="D4173" s="21" t="s">
        <v>1357</v>
      </c>
      <c r="E4173" s="21" t="s">
        <v>61</v>
      </c>
      <c r="F4173" s="5812">
        <v>1</v>
      </c>
      <c r="G4173" s="5813">
        <v>0.2076388888888889</v>
      </c>
      <c r="H4173" s="21" t="s">
        <v>10</v>
      </c>
      <c r="I4173" s="21" t="s">
        <v>8358</v>
      </c>
      <c r="J4173" s="21" t="s">
        <v>3350</v>
      </c>
      <c r="K4173" s="5814" t="s">
        <v>12370</v>
      </c>
    </row>
    <row r="4174" spans="1:11">
      <c r="A4174" s="21" t="s">
        <v>2461</v>
      </c>
      <c r="B4174" s="21" t="s">
        <v>12371</v>
      </c>
      <c r="C4174" s="21" t="s">
        <v>8</v>
      </c>
      <c r="D4174" s="21" t="s">
        <v>1357</v>
      </c>
      <c r="E4174" s="21" t="s">
        <v>61</v>
      </c>
      <c r="F4174" s="5812">
        <v>1</v>
      </c>
      <c r="G4174" s="5813">
        <v>0.2076388888888889</v>
      </c>
      <c r="H4174" s="21" t="s">
        <v>10</v>
      </c>
      <c r="I4174" s="21" t="s">
        <v>23</v>
      </c>
      <c r="J4174" s="21" t="s">
        <v>67</v>
      </c>
      <c r="K4174" s="5814" t="s">
        <v>12372</v>
      </c>
    </row>
    <row r="4175" spans="1:11">
      <c r="A4175" s="21" t="s">
        <v>44</v>
      </c>
      <c r="B4175" s="21" t="s">
        <v>1378</v>
      </c>
      <c r="C4175" s="21" t="s">
        <v>22</v>
      </c>
      <c r="D4175" s="21" t="s">
        <v>1357</v>
      </c>
      <c r="E4175" s="21" t="s">
        <v>61</v>
      </c>
      <c r="F4175" s="5812">
        <v>2</v>
      </c>
      <c r="G4175" s="5813">
        <v>5.4166666666666669E-2</v>
      </c>
      <c r="H4175" s="21" t="s">
        <v>10</v>
      </c>
      <c r="I4175" s="21" t="s">
        <v>39</v>
      </c>
      <c r="J4175" s="21" t="s">
        <v>1379</v>
      </c>
      <c r="K4175" s="5814" t="s">
        <v>1380</v>
      </c>
    </row>
    <row r="4176" spans="1:11">
      <c r="A4176" s="21" t="s">
        <v>5387</v>
      </c>
      <c r="B4176" s="21" t="s">
        <v>12373</v>
      </c>
      <c r="C4176" s="21" t="s">
        <v>8</v>
      </c>
      <c r="D4176" s="21" t="s">
        <v>1357</v>
      </c>
      <c r="E4176" s="21" t="s">
        <v>61</v>
      </c>
      <c r="F4176" s="5812">
        <v>2</v>
      </c>
      <c r="G4176" s="5813">
        <v>5.5555555555555552E-2</v>
      </c>
      <c r="H4176" s="21" t="s">
        <v>10</v>
      </c>
      <c r="I4176" s="21" t="s">
        <v>2721</v>
      </c>
      <c r="J4176" s="21" t="s">
        <v>67</v>
      </c>
      <c r="K4176" s="5814" t="s">
        <v>12374</v>
      </c>
    </row>
    <row r="4177" spans="1:11">
      <c r="A4177" s="21" t="s">
        <v>3882</v>
      </c>
      <c r="B4177" s="21" t="s">
        <v>12375</v>
      </c>
      <c r="C4177" s="21" t="s">
        <v>22</v>
      </c>
      <c r="D4177" s="21" t="s">
        <v>1357</v>
      </c>
      <c r="E4177" s="21" t="s">
        <v>61</v>
      </c>
      <c r="F4177" s="5812">
        <v>2</v>
      </c>
      <c r="G4177" s="5813">
        <v>6.7361111111111108E-2</v>
      </c>
      <c r="H4177" s="21" t="s">
        <v>54</v>
      </c>
      <c r="I4177" s="21" t="s">
        <v>55</v>
      </c>
      <c r="J4177" s="21" t="s">
        <v>67</v>
      </c>
      <c r="K4177" s="5814" t="s">
        <v>12376</v>
      </c>
    </row>
    <row r="4178" spans="1:11">
      <c r="A4178" s="21" t="s">
        <v>3328</v>
      </c>
      <c r="B4178" s="21" t="s">
        <v>12377</v>
      </c>
      <c r="C4178" s="21" t="s">
        <v>8</v>
      </c>
      <c r="D4178" s="21" t="s">
        <v>1357</v>
      </c>
      <c r="E4178" s="21" t="s">
        <v>61</v>
      </c>
      <c r="F4178" s="5812">
        <v>2</v>
      </c>
      <c r="G4178" s="5813">
        <v>7.6388888888888895E-2</v>
      </c>
      <c r="H4178" s="21" t="s">
        <v>10</v>
      </c>
      <c r="I4178" s="21" t="s">
        <v>187</v>
      </c>
      <c r="J4178" s="21" t="s">
        <v>1379</v>
      </c>
      <c r="K4178" s="5814" t="s">
        <v>12378</v>
      </c>
    </row>
    <row r="4179" spans="1:11">
      <c r="A4179" s="21" t="s">
        <v>3761</v>
      </c>
      <c r="B4179" s="21" t="s">
        <v>12379</v>
      </c>
      <c r="C4179" s="21" t="s">
        <v>8</v>
      </c>
      <c r="D4179" s="21" t="s">
        <v>1357</v>
      </c>
      <c r="E4179" s="21" t="s">
        <v>61</v>
      </c>
      <c r="F4179" s="5812">
        <v>2</v>
      </c>
      <c r="G4179" s="5813">
        <v>8.6805555555555552E-2</v>
      </c>
      <c r="H4179" s="21" t="s">
        <v>10</v>
      </c>
      <c r="I4179" s="21" t="s">
        <v>2260</v>
      </c>
      <c r="J4179" s="21" t="s">
        <v>5466</v>
      </c>
      <c r="K4179" s="5814" t="s">
        <v>12380</v>
      </c>
    </row>
    <row r="4180" spans="1:11">
      <c r="A4180" s="21" t="s">
        <v>2442</v>
      </c>
      <c r="B4180" s="21" t="s">
        <v>12381</v>
      </c>
      <c r="C4180" s="21" t="s">
        <v>22</v>
      </c>
      <c r="D4180" s="21" t="s">
        <v>1357</v>
      </c>
      <c r="E4180" s="21" t="s">
        <v>61</v>
      </c>
      <c r="F4180" s="5812">
        <v>2</v>
      </c>
      <c r="G4180" s="5813">
        <v>9.375E-2</v>
      </c>
      <c r="H4180" s="21" t="s">
        <v>10</v>
      </c>
      <c r="I4180" s="21" t="s">
        <v>11</v>
      </c>
      <c r="J4180" s="21" t="s">
        <v>67</v>
      </c>
      <c r="K4180" s="5814" t="s">
        <v>12382</v>
      </c>
    </row>
    <row r="4181" spans="1:11">
      <c r="A4181" s="21" t="s">
        <v>2387</v>
      </c>
      <c r="B4181" s="21" t="s">
        <v>12383</v>
      </c>
      <c r="C4181" s="21" t="s">
        <v>22</v>
      </c>
      <c r="D4181" s="21" t="s">
        <v>1357</v>
      </c>
      <c r="E4181" s="21" t="s">
        <v>61</v>
      </c>
      <c r="F4181" s="5812">
        <v>2</v>
      </c>
      <c r="G4181" s="5813">
        <v>9.6527777777777782E-2</v>
      </c>
      <c r="H4181" s="21" t="s">
        <v>10</v>
      </c>
      <c r="I4181" s="21" t="s">
        <v>39</v>
      </c>
      <c r="J4181" s="21" t="s">
        <v>67</v>
      </c>
      <c r="K4181" s="5814" t="s">
        <v>12384</v>
      </c>
    </row>
    <row r="4182" spans="1:11">
      <c r="A4182" s="21" t="s">
        <v>2655</v>
      </c>
      <c r="B4182" s="21" t="s">
        <v>12385</v>
      </c>
      <c r="C4182" s="21" t="s">
        <v>8</v>
      </c>
      <c r="D4182" s="21" t="s">
        <v>1357</v>
      </c>
      <c r="E4182" s="21" t="s">
        <v>61</v>
      </c>
      <c r="F4182" s="5812">
        <v>2</v>
      </c>
      <c r="G4182" s="5813">
        <v>0.10902777777777778</v>
      </c>
      <c r="H4182" s="21" t="s">
        <v>10</v>
      </c>
      <c r="I4182" s="21" t="s">
        <v>2149</v>
      </c>
      <c r="J4182" s="21" t="s">
        <v>1444</v>
      </c>
      <c r="K4182" s="5814" t="s">
        <v>12386</v>
      </c>
    </row>
    <row r="4183" spans="1:11">
      <c r="A4183" s="21" t="s">
        <v>2955</v>
      </c>
      <c r="B4183" s="21" t="s">
        <v>12387</v>
      </c>
      <c r="C4183" s="21" t="s">
        <v>8</v>
      </c>
      <c r="D4183" s="21" t="s">
        <v>1357</v>
      </c>
      <c r="E4183" s="21" t="s">
        <v>61</v>
      </c>
      <c r="F4183" s="5812">
        <v>2</v>
      </c>
      <c r="G4183" s="5813">
        <v>0.10972222222222222</v>
      </c>
      <c r="H4183" s="21" t="s">
        <v>10</v>
      </c>
      <c r="I4183" s="21" t="s">
        <v>23</v>
      </c>
      <c r="J4183" s="21" t="s">
        <v>974</v>
      </c>
      <c r="K4183" s="5814" t="s">
        <v>12388</v>
      </c>
    </row>
    <row r="4184" spans="1:11">
      <c r="A4184" s="21" t="s">
        <v>3474</v>
      </c>
      <c r="B4184" s="21" t="s">
        <v>12389</v>
      </c>
      <c r="C4184" s="21" t="s">
        <v>8</v>
      </c>
      <c r="D4184" s="21" t="s">
        <v>1357</v>
      </c>
      <c r="E4184" s="21" t="s">
        <v>61</v>
      </c>
      <c r="F4184" s="5812">
        <v>2</v>
      </c>
      <c r="G4184" s="5813">
        <v>0.11874999999999999</v>
      </c>
      <c r="H4184" s="21" t="s">
        <v>10</v>
      </c>
      <c r="I4184" s="21" t="s">
        <v>23</v>
      </c>
      <c r="J4184" s="21" t="s">
        <v>110</v>
      </c>
      <c r="K4184" s="5814" t="s">
        <v>12390</v>
      </c>
    </row>
    <row r="4185" spans="1:11">
      <c r="A4185" s="21" t="s">
        <v>3551</v>
      </c>
      <c r="B4185" s="21" t="s">
        <v>12391</v>
      </c>
      <c r="C4185" s="21" t="s">
        <v>8</v>
      </c>
      <c r="D4185" s="21" t="s">
        <v>1357</v>
      </c>
      <c r="E4185" s="21" t="s">
        <v>61</v>
      </c>
      <c r="F4185" s="5812">
        <v>2</v>
      </c>
      <c r="G4185" s="5813">
        <v>0.14374999999999999</v>
      </c>
      <c r="H4185" s="21" t="s">
        <v>10</v>
      </c>
      <c r="I4185" s="21" t="s">
        <v>55</v>
      </c>
      <c r="J4185" s="21" t="s">
        <v>505</v>
      </c>
      <c r="K4185" s="5814" t="s">
        <v>12392</v>
      </c>
    </row>
    <row r="4186" spans="1:11">
      <c r="A4186" s="21" t="s">
        <v>2647</v>
      </c>
      <c r="B4186" s="21" t="s">
        <v>12393</v>
      </c>
      <c r="C4186" s="21" t="s">
        <v>22</v>
      </c>
      <c r="D4186" s="21" t="s">
        <v>1357</v>
      </c>
      <c r="E4186" s="21" t="s">
        <v>61</v>
      </c>
      <c r="F4186" s="5812">
        <v>2</v>
      </c>
      <c r="G4186" s="5813">
        <v>0.14374999999999999</v>
      </c>
      <c r="H4186" s="21" t="s">
        <v>10</v>
      </c>
      <c r="I4186" s="21" t="s">
        <v>7498</v>
      </c>
      <c r="J4186" s="21" t="s">
        <v>67</v>
      </c>
      <c r="K4186" s="5814" t="s">
        <v>12394</v>
      </c>
    </row>
    <row r="4187" spans="1:11">
      <c r="A4187" s="21" t="s">
        <v>3515</v>
      </c>
      <c r="B4187" s="21" t="s">
        <v>12395</v>
      </c>
      <c r="C4187" s="21" t="s">
        <v>8</v>
      </c>
      <c r="D4187" s="21" t="s">
        <v>1357</v>
      </c>
      <c r="E4187" s="21" t="s">
        <v>61</v>
      </c>
      <c r="F4187" s="5812">
        <v>2</v>
      </c>
      <c r="G4187" s="5813">
        <v>0.14652777777777778</v>
      </c>
      <c r="H4187" s="21" t="s">
        <v>10</v>
      </c>
      <c r="I4187" s="21" t="s">
        <v>2313</v>
      </c>
      <c r="J4187" s="21" t="s">
        <v>67</v>
      </c>
      <c r="K4187" s="5814" t="s">
        <v>12396</v>
      </c>
    </row>
    <row r="4188" spans="1:11">
      <c r="A4188" s="21" t="s">
        <v>2745</v>
      </c>
      <c r="B4188" s="21" t="s">
        <v>12397</v>
      </c>
      <c r="C4188" s="21" t="s">
        <v>8</v>
      </c>
      <c r="D4188" s="21" t="s">
        <v>1357</v>
      </c>
      <c r="E4188" s="21" t="s">
        <v>61</v>
      </c>
      <c r="F4188" s="5812">
        <v>2</v>
      </c>
      <c r="G4188" s="5813">
        <v>0.18402777777777779</v>
      </c>
      <c r="H4188" s="21" t="s">
        <v>10</v>
      </c>
      <c r="I4188" s="21" t="s">
        <v>2247</v>
      </c>
      <c r="J4188" s="21" t="s">
        <v>67</v>
      </c>
      <c r="K4188" s="5814" t="s">
        <v>12398</v>
      </c>
    </row>
    <row r="4189" spans="1:11">
      <c r="A4189" s="21" t="s">
        <v>3256</v>
      </c>
      <c r="B4189" s="21" t="s">
        <v>12399</v>
      </c>
      <c r="C4189" s="21" t="s">
        <v>8</v>
      </c>
      <c r="D4189" s="21" t="s">
        <v>1357</v>
      </c>
      <c r="E4189" s="21" t="s">
        <v>61</v>
      </c>
      <c r="F4189" s="5812">
        <v>2</v>
      </c>
      <c r="G4189" s="5813">
        <v>0.20277777777777778</v>
      </c>
      <c r="H4189" s="21" t="s">
        <v>10</v>
      </c>
      <c r="I4189" s="21" t="s">
        <v>209</v>
      </c>
      <c r="J4189" s="21" t="s">
        <v>3383</v>
      </c>
      <c r="K4189" s="5814" t="s">
        <v>12400</v>
      </c>
    </row>
    <row r="4190" spans="1:11">
      <c r="A4190" s="21" t="s">
        <v>2108</v>
      </c>
      <c r="B4190" s="21" t="s">
        <v>12401</v>
      </c>
      <c r="C4190" s="21" t="s">
        <v>22</v>
      </c>
      <c r="D4190" s="21" t="s">
        <v>1357</v>
      </c>
      <c r="E4190" s="21" t="s">
        <v>61</v>
      </c>
      <c r="F4190" s="5812">
        <v>3</v>
      </c>
      <c r="G4190" s="5813">
        <v>3.6805555555555557E-2</v>
      </c>
      <c r="H4190" s="21" t="s">
        <v>10</v>
      </c>
      <c r="I4190" s="21" t="s">
        <v>23</v>
      </c>
      <c r="J4190" s="21" t="s">
        <v>67</v>
      </c>
      <c r="K4190" s="5814" t="s">
        <v>12402</v>
      </c>
    </row>
    <row r="4191" spans="1:11">
      <c r="A4191" s="21" t="s">
        <v>94</v>
      </c>
      <c r="B4191" s="21" t="s">
        <v>1395</v>
      </c>
      <c r="C4191" s="21" t="s">
        <v>8</v>
      </c>
      <c r="D4191" s="21" t="s">
        <v>1357</v>
      </c>
      <c r="E4191" s="21" t="s">
        <v>61</v>
      </c>
      <c r="F4191" s="5812">
        <v>3</v>
      </c>
      <c r="G4191" s="5813">
        <v>6.1805555555555558E-2</v>
      </c>
      <c r="H4191" s="21" t="s">
        <v>10</v>
      </c>
      <c r="I4191" s="21" t="s">
        <v>23</v>
      </c>
      <c r="J4191" s="21" t="s">
        <v>836</v>
      </c>
      <c r="K4191" s="5814" t="s">
        <v>1396</v>
      </c>
    </row>
    <row r="4192" spans="1:11">
      <c r="A4192" s="21" t="s">
        <v>5015</v>
      </c>
      <c r="B4192" s="21" t="s">
        <v>12403</v>
      </c>
      <c r="C4192" s="21" t="s">
        <v>8</v>
      </c>
      <c r="D4192" s="21" t="s">
        <v>1357</v>
      </c>
      <c r="E4192" s="21" t="s">
        <v>61</v>
      </c>
      <c r="F4192" s="5812">
        <v>3</v>
      </c>
      <c r="G4192" s="5813">
        <v>9.0972222222222218E-2</v>
      </c>
      <c r="H4192" s="21" t="s">
        <v>10</v>
      </c>
      <c r="I4192" s="21" t="s">
        <v>4535</v>
      </c>
      <c r="J4192" s="21" t="s">
        <v>1444</v>
      </c>
      <c r="K4192" s="5814" t="s">
        <v>12404</v>
      </c>
    </row>
    <row r="4193" spans="1:11">
      <c r="A4193" s="21" t="s">
        <v>2495</v>
      </c>
      <c r="B4193" s="21" t="s">
        <v>12405</v>
      </c>
      <c r="C4193" s="21" t="s">
        <v>8</v>
      </c>
      <c r="D4193" s="21" t="s">
        <v>1357</v>
      </c>
      <c r="E4193" s="21" t="s">
        <v>61</v>
      </c>
      <c r="F4193" s="5812">
        <v>3</v>
      </c>
      <c r="G4193" s="5813">
        <v>0.12083333333333333</v>
      </c>
      <c r="H4193" s="21" t="s">
        <v>10</v>
      </c>
      <c r="I4193" s="21" t="s">
        <v>23</v>
      </c>
      <c r="J4193" s="21" t="s">
        <v>67</v>
      </c>
      <c r="K4193" s="5814" t="s">
        <v>12406</v>
      </c>
    </row>
    <row r="4194" spans="1:11">
      <c r="A4194" s="21" t="s">
        <v>3613</v>
      </c>
      <c r="B4194" s="21" t="s">
        <v>12407</v>
      </c>
      <c r="C4194" s="21" t="s">
        <v>8</v>
      </c>
      <c r="D4194" s="21" t="s">
        <v>1357</v>
      </c>
      <c r="E4194" s="21" t="s">
        <v>61</v>
      </c>
      <c r="F4194" s="5812">
        <v>3</v>
      </c>
      <c r="G4194" s="5813">
        <v>0.16458333333333333</v>
      </c>
      <c r="H4194" s="21" t="s">
        <v>10</v>
      </c>
      <c r="I4194" s="21" t="s">
        <v>47</v>
      </c>
      <c r="J4194" s="21" t="s">
        <v>67</v>
      </c>
      <c r="K4194" s="5814" t="s">
        <v>12408</v>
      </c>
    </row>
    <row r="4195" spans="1:11">
      <c r="A4195" s="21" t="s">
        <v>3647</v>
      </c>
      <c r="B4195" s="21" t="s">
        <v>12409</v>
      </c>
      <c r="C4195" s="21" t="s">
        <v>8</v>
      </c>
      <c r="D4195" s="21" t="s">
        <v>1357</v>
      </c>
      <c r="E4195" s="21" t="s">
        <v>61</v>
      </c>
      <c r="F4195" s="5812">
        <v>3</v>
      </c>
      <c r="G4195" s="5813">
        <v>0.18124999999999999</v>
      </c>
      <c r="H4195" s="21" t="s">
        <v>10</v>
      </c>
      <c r="I4195" s="21" t="s">
        <v>39</v>
      </c>
      <c r="J4195" s="21" t="s">
        <v>67</v>
      </c>
      <c r="K4195" s="5814" t="s">
        <v>12410</v>
      </c>
    </row>
    <row r="4196" spans="1:11">
      <c r="A4196" s="21" t="s">
        <v>3597</v>
      </c>
      <c r="B4196" s="21" t="s">
        <v>12411</v>
      </c>
      <c r="C4196" s="21" t="s">
        <v>22</v>
      </c>
      <c r="D4196" s="21" t="s">
        <v>1357</v>
      </c>
      <c r="E4196" s="21" t="s">
        <v>61</v>
      </c>
      <c r="F4196" s="5812">
        <v>3</v>
      </c>
      <c r="G4196" s="5813">
        <v>0.19166666666666668</v>
      </c>
      <c r="H4196" s="21" t="s">
        <v>10</v>
      </c>
      <c r="I4196" s="21" t="s">
        <v>96</v>
      </c>
      <c r="J4196" s="21" t="s">
        <v>67</v>
      </c>
      <c r="K4196" s="5814" t="s">
        <v>12412</v>
      </c>
    </row>
    <row r="4197" spans="1:11">
      <c r="A4197" s="21" t="s">
        <v>3515</v>
      </c>
      <c r="B4197" s="21" t="s">
        <v>12413</v>
      </c>
      <c r="C4197" s="21" t="s">
        <v>22</v>
      </c>
      <c r="D4197" s="21" t="s">
        <v>1357</v>
      </c>
      <c r="E4197" s="21" t="s">
        <v>244</v>
      </c>
      <c r="F4197" s="5812">
        <v>1</v>
      </c>
      <c r="G4197" s="5813">
        <v>0.20833333333333334</v>
      </c>
      <c r="H4197" s="21" t="s">
        <v>10</v>
      </c>
      <c r="I4197" s="21" t="s">
        <v>2313</v>
      </c>
      <c r="J4197" s="21" t="s">
        <v>3472</v>
      </c>
      <c r="K4197" s="5814" t="s">
        <v>12414</v>
      </c>
    </row>
    <row r="4198" spans="1:11">
      <c r="A4198" s="21" t="s">
        <v>2115</v>
      </c>
      <c r="B4198" s="21" t="s">
        <v>12415</v>
      </c>
      <c r="C4198" s="21" t="s">
        <v>22</v>
      </c>
      <c r="D4198" s="21" t="s">
        <v>1357</v>
      </c>
      <c r="E4198" s="21" t="s">
        <v>244</v>
      </c>
      <c r="F4198" s="5812">
        <v>2</v>
      </c>
      <c r="G4198" s="5813">
        <v>0.20833333333333334</v>
      </c>
      <c r="H4198" s="21" t="s">
        <v>10</v>
      </c>
      <c r="I4198" s="21" t="s">
        <v>654</v>
      </c>
      <c r="J4198" s="21" t="s">
        <v>12416</v>
      </c>
      <c r="K4198" s="5814" t="s">
        <v>12417</v>
      </c>
    </row>
    <row r="4199" spans="1:11">
      <c r="A4199" s="21" t="s">
        <v>2929</v>
      </c>
      <c r="B4199" s="21" t="s">
        <v>12418</v>
      </c>
      <c r="C4199" s="21" t="s">
        <v>22</v>
      </c>
      <c r="D4199" s="21" t="s">
        <v>1430</v>
      </c>
      <c r="E4199" s="21" t="s">
        <v>710</v>
      </c>
      <c r="F4199" s="5812">
        <v>3</v>
      </c>
      <c r="G4199" s="5813">
        <v>0.20833333333333334</v>
      </c>
      <c r="H4199" s="21" t="s">
        <v>10</v>
      </c>
      <c r="I4199" s="21" t="s">
        <v>39</v>
      </c>
      <c r="J4199" s="21" t="s">
        <v>12419</v>
      </c>
      <c r="K4199" s="5814" t="s">
        <v>12420</v>
      </c>
    </row>
    <row r="4200" spans="1:11">
      <c r="A4200" s="21" t="s">
        <v>2070</v>
      </c>
      <c r="B4200" s="21" t="s">
        <v>12421</v>
      </c>
      <c r="C4200" s="21" t="s">
        <v>709</v>
      </c>
      <c r="D4200" s="21" t="s">
        <v>1430</v>
      </c>
      <c r="E4200" s="21" t="s">
        <v>710</v>
      </c>
      <c r="F4200" s="5812">
        <v>3</v>
      </c>
      <c r="G4200" s="5813">
        <v>0.20833333333333334</v>
      </c>
      <c r="H4200" s="21" t="s">
        <v>10</v>
      </c>
      <c r="I4200" s="21" t="s">
        <v>2568</v>
      </c>
      <c r="J4200" s="21" t="s">
        <v>12422</v>
      </c>
      <c r="K4200" s="5814" t="s">
        <v>12423</v>
      </c>
    </row>
    <row r="4201" spans="1:11">
      <c r="A4201" s="21" t="s">
        <v>2571</v>
      </c>
      <c r="B4201" s="21" t="s">
        <v>12424</v>
      </c>
      <c r="C4201" s="21" t="s">
        <v>8</v>
      </c>
      <c r="D4201" s="21" t="s">
        <v>1430</v>
      </c>
      <c r="E4201" s="21" t="s">
        <v>710</v>
      </c>
      <c r="F4201" s="5812">
        <v>3</v>
      </c>
      <c r="G4201" s="5813">
        <v>0.20833333333333334</v>
      </c>
      <c r="H4201" s="21" t="s">
        <v>10</v>
      </c>
      <c r="I4201" s="21" t="s">
        <v>96</v>
      </c>
      <c r="J4201" s="21" t="s">
        <v>12425</v>
      </c>
      <c r="K4201" s="5814" t="s">
        <v>12426</v>
      </c>
    </row>
    <row r="4202" spans="1:11">
      <c r="A4202" s="21" t="s">
        <v>2197</v>
      </c>
      <c r="B4202" s="21" t="s">
        <v>12427</v>
      </c>
      <c r="C4202" s="21" t="s">
        <v>709</v>
      </c>
      <c r="D4202" s="21" t="s">
        <v>1430</v>
      </c>
      <c r="E4202" s="21" t="s">
        <v>710</v>
      </c>
      <c r="F4202" s="5812">
        <v>3</v>
      </c>
      <c r="G4202" s="5813">
        <v>0.20833333333333334</v>
      </c>
      <c r="H4202" s="21" t="s">
        <v>10</v>
      </c>
      <c r="I4202" s="21" t="s">
        <v>2747</v>
      </c>
      <c r="J4202" s="21" t="s">
        <v>12428</v>
      </c>
      <c r="K4202" s="5814" t="s">
        <v>12429</v>
      </c>
    </row>
    <row r="4203" spans="1:11">
      <c r="A4203" s="21" t="s">
        <v>2383</v>
      </c>
      <c r="B4203" s="21" t="s">
        <v>12430</v>
      </c>
      <c r="C4203" s="21" t="s">
        <v>22</v>
      </c>
      <c r="D4203" s="21" t="s">
        <v>1430</v>
      </c>
      <c r="E4203" s="21" t="s">
        <v>710</v>
      </c>
      <c r="F4203" s="5812">
        <v>5</v>
      </c>
      <c r="G4203" s="5813">
        <v>0.20833333333333334</v>
      </c>
      <c r="H4203" s="21" t="s">
        <v>54</v>
      </c>
      <c r="I4203" s="21" t="s">
        <v>23</v>
      </c>
      <c r="J4203" s="21" t="s">
        <v>12431</v>
      </c>
      <c r="K4203" s="5814" t="s">
        <v>12432</v>
      </c>
    </row>
    <row r="4204" spans="1:11">
      <c r="A4204" s="21" t="s">
        <v>339</v>
      </c>
      <c r="B4204" s="21" t="s">
        <v>1439</v>
      </c>
      <c r="C4204" s="21" t="s">
        <v>8</v>
      </c>
      <c r="D4204" s="21" t="s">
        <v>1430</v>
      </c>
      <c r="E4204" s="21" t="s">
        <v>193</v>
      </c>
      <c r="F4204" s="5812">
        <v>3</v>
      </c>
      <c r="G4204" s="5813">
        <v>0.20833333333333334</v>
      </c>
      <c r="H4204" s="21" t="s">
        <v>10</v>
      </c>
      <c r="I4204" s="21" t="s">
        <v>660</v>
      </c>
      <c r="J4204" s="21" t="s">
        <v>1440</v>
      </c>
      <c r="K4204" s="5814" t="s">
        <v>1441</v>
      </c>
    </row>
    <row r="4205" spans="1:11">
      <c r="A4205" s="21" t="s">
        <v>103</v>
      </c>
      <c r="B4205" s="21" t="s">
        <v>1472</v>
      </c>
      <c r="C4205" s="21" t="s">
        <v>8</v>
      </c>
      <c r="D4205" s="21" t="s">
        <v>1430</v>
      </c>
      <c r="E4205" s="21" t="s">
        <v>193</v>
      </c>
      <c r="F4205" s="5812">
        <v>3</v>
      </c>
      <c r="G4205" s="5813">
        <v>0.20833333333333334</v>
      </c>
      <c r="H4205" s="21" t="s">
        <v>10</v>
      </c>
      <c r="I4205" s="21" t="s">
        <v>23</v>
      </c>
      <c r="J4205" s="21" t="s">
        <v>1473</v>
      </c>
      <c r="K4205" s="5814" t="s">
        <v>1474</v>
      </c>
    </row>
    <row r="4206" spans="1:11">
      <c r="A4206" s="21" t="s">
        <v>52</v>
      </c>
      <c r="B4206" s="21" t="s">
        <v>1505</v>
      </c>
      <c r="C4206" s="21" t="s">
        <v>22</v>
      </c>
      <c r="D4206" s="21" t="s">
        <v>1430</v>
      </c>
      <c r="E4206" s="21" t="s">
        <v>193</v>
      </c>
      <c r="F4206" s="5812">
        <v>3</v>
      </c>
      <c r="G4206" s="5813">
        <v>0.20833333333333334</v>
      </c>
      <c r="H4206" s="21" t="s">
        <v>10</v>
      </c>
      <c r="I4206" s="21" t="s">
        <v>11</v>
      </c>
      <c r="J4206" s="21" t="s">
        <v>1506</v>
      </c>
      <c r="K4206" s="5814" t="s">
        <v>1507</v>
      </c>
    </row>
    <row r="4207" spans="1:11">
      <c r="A4207" s="21" t="s">
        <v>223</v>
      </c>
      <c r="B4207" s="21" t="s">
        <v>1451</v>
      </c>
      <c r="C4207" s="21" t="s">
        <v>22</v>
      </c>
      <c r="D4207" s="21" t="s">
        <v>1430</v>
      </c>
      <c r="E4207" s="21" t="s">
        <v>193</v>
      </c>
      <c r="F4207" s="5812">
        <v>3</v>
      </c>
      <c r="G4207" s="5813">
        <v>0.20833333333333334</v>
      </c>
      <c r="H4207" s="21" t="s">
        <v>10</v>
      </c>
      <c r="I4207" s="21" t="s">
        <v>226</v>
      </c>
      <c r="J4207" s="21" t="s">
        <v>1452</v>
      </c>
      <c r="K4207" s="5814" t="s">
        <v>1453</v>
      </c>
    </row>
    <row r="4208" spans="1:11">
      <c r="A4208" s="21" t="s">
        <v>2341</v>
      </c>
      <c r="B4208" s="21" t="s">
        <v>12433</v>
      </c>
      <c r="C4208" s="21" t="s">
        <v>22</v>
      </c>
      <c r="D4208" s="21" t="s">
        <v>1430</v>
      </c>
      <c r="E4208" s="21" t="s">
        <v>193</v>
      </c>
      <c r="F4208" s="5812">
        <v>3</v>
      </c>
      <c r="G4208" s="5813">
        <v>0.20833333333333334</v>
      </c>
      <c r="H4208" s="21" t="s">
        <v>10</v>
      </c>
      <c r="I4208" s="21" t="s">
        <v>2435</v>
      </c>
      <c r="J4208" s="21" t="s">
        <v>12434</v>
      </c>
      <c r="K4208" s="5814" t="s">
        <v>12435</v>
      </c>
    </row>
    <row r="4209" spans="1:11">
      <c r="A4209" s="21" t="s">
        <v>2341</v>
      </c>
      <c r="B4209" s="21" t="s">
        <v>12436</v>
      </c>
      <c r="C4209" s="21" t="s">
        <v>22</v>
      </c>
      <c r="D4209" s="21" t="s">
        <v>1430</v>
      </c>
      <c r="E4209" s="21" t="s">
        <v>193</v>
      </c>
      <c r="F4209" s="5812">
        <v>3</v>
      </c>
      <c r="G4209" s="5813">
        <v>0.20833333333333334</v>
      </c>
      <c r="H4209" s="21" t="s">
        <v>10</v>
      </c>
      <c r="I4209" s="21" t="s">
        <v>2435</v>
      </c>
      <c r="J4209" s="21" t="s">
        <v>12437</v>
      </c>
      <c r="K4209" s="5814" t="s">
        <v>12438</v>
      </c>
    </row>
    <row r="4210" spans="1:11">
      <c r="A4210" s="21" t="s">
        <v>2413</v>
      </c>
      <c r="B4210" s="21" t="s">
        <v>12439</v>
      </c>
      <c r="C4210" s="21" t="s">
        <v>8</v>
      </c>
      <c r="D4210" s="21" t="s">
        <v>1430</v>
      </c>
      <c r="E4210" s="21" t="s">
        <v>193</v>
      </c>
      <c r="F4210" s="5812">
        <v>3</v>
      </c>
      <c r="G4210" s="5813">
        <v>0.20833333333333334</v>
      </c>
      <c r="H4210" s="21" t="s">
        <v>10</v>
      </c>
      <c r="I4210" s="21" t="s">
        <v>23</v>
      </c>
      <c r="J4210" s="21" t="s">
        <v>12440</v>
      </c>
      <c r="K4210" s="5814" t="s">
        <v>12441</v>
      </c>
    </row>
    <row r="4211" spans="1:11">
      <c r="A4211" s="21" t="s">
        <v>2944</v>
      </c>
      <c r="B4211" s="21" t="s">
        <v>12442</v>
      </c>
      <c r="C4211" s="21" t="s">
        <v>8</v>
      </c>
      <c r="D4211" s="21" t="s">
        <v>1430</v>
      </c>
      <c r="E4211" s="21" t="s">
        <v>193</v>
      </c>
      <c r="F4211" s="5812">
        <v>3</v>
      </c>
      <c r="G4211" s="5813">
        <v>0.20833333333333334</v>
      </c>
      <c r="H4211" s="21" t="s">
        <v>10</v>
      </c>
      <c r="I4211" s="21" t="s">
        <v>73</v>
      </c>
      <c r="J4211" s="21" t="s">
        <v>12443</v>
      </c>
      <c r="K4211" s="5814" t="s">
        <v>12444</v>
      </c>
    </row>
    <row r="4212" spans="1:11">
      <c r="A4212" s="21" t="s">
        <v>2433</v>
      </c>
      <c r="B4212" s="21" t="s">
        <v>12445</v>
      </c>
      <c r="C4212" s="21" t="s">
        <v>8</v>
      </c>
      <c r="D4212" s="21" t="s">
        <v>1430</v>
      </c>
      <c r="E4212" s="21" t="s">
        <v>193</v>
      </c>
      <c r="F4212" s="5812">
        <v>3</v>
      </c>
      <c r="G4212" s="5813">
        <v>0.20833333333333334</v>
      </c>
      <c r="H4212" s="21" t="s">
        <v>10</v>
      </c>
      <c r="I4212" s="21" t="s">
        <v>11</v>
      </c>
      <c r="J4212" s="21" t="s">
        <v>12446</v>
      </c>
      <c r="K4212" s="5814" t="s">
        <v>12447</v>
      </c>
    </row>
    <row r="4213" spans="1:11">
      <c r="A4213" s="21" t="s">
        <v>2438</v>
      </c>
      <c r="B4213" s="21" t="s">
        <v>12448</v>
      </c>
      <c r="C4213" s="21" t="s">
        <v>22</v>
      </c>
      <c r="D4213" s="21" t="s">
        <v>1430</v>
      </c>
      <c r="E4213" s="21" t="s">
        <v>193</v>
      </c>
      <c r="F4213" s="5812">
        <v>3</v>
      </c>
      <c r="G4213" s="5813">
        <v>0.20833333333333334</v>
      </c>
      <c r="H4213" s="21" t="s">
        <v>10</v>
      </c>
      <c r="I4213" s="21" t="s">
        <v>2814</v>
      </c>
      <c r="J4213" s="21" t="s">
        <v>12449</v>
      </c>
      <c r="K4213" s="5814" t="s">
        <v>12450</v>
      </c>
    </row>
    <row r="4214" spans="1:11">
      <c r="A4214" s="21" t="s">
        <v>3551</v>
      </c>
      <c r="B4214" s="21" t="s">
        <v>12451</v>
      </c>
      <c r="C4214" s="21" t="s">
        <v>8</v>
      </c>
      <c r="D4214" s="21" t="s">
        <v>1430</v>
      </c>
      <c r="E4214" s="21" t="s">
        <v>193</v>
      </c>
      <c r="F4214" s="5812">
        <v>3</v>
      </c>
      <c r="G4214" s="5813">
        <v>0.20833333333333334</v>
      </c>
      <c r="H4214" s="21" t="s">
        <v>10</v>
      </c>
      <c r="I4214" s="21" t="s">
        <v>23</v>
      </c>
      <c r="J4214" s="21" t="s">
        <v>12452</v>
      </c>
      <c r="K4214" s="5814" t="s">
        <v>12453</v>
      </c>
    </row>
    <row r="4215" spans="1:11">
      <c r="A4215" s="21" t="s">
        <v>3116</v>
      </c>
      <c r="B4215" s="21" t="s">
        <v>12454</v>
      </c>
      <c r="C4215" s="21" t="s">
        <v>8</v>
      </c>
      <c r="D4215" s="21" t="s">
        <v>1430</v>
      </c>
      <c r="E4215" s="21" t="s">
        <v>193</v>
      </c>
      <c r="F4215" s="5812">
        <v>3</v>
      </c>
      <c r="G4215" s="5813">
        <v>0.20833333333333334</v>
      </c>
      <c r="H4215" s="21" t="s">
        <v>10</v>
      </c>
      <c r="I4215" s="21" t="s">
        <v>96</v>
      </c>
      <c r="J4215" s="21" t="s">
        <v>12455</v>
      </c>
      <c r="K4215" s="5814" t="s">
        <v>12456</v>
      </c>
    </row>
    <row r="4216" spans="1:11">
      <c r="A4216" s="21" t="s">
        <v>3102</v>
      </c>
      <c r="B4216" s="21" t="s">
        <v>12457</v>
      </c>
      <c r="C4216" s="21" t="s">
        <v>8</v>
      </c>
      <c r="D4216" s="21" t="s">
        <v>1430</v>
      </c>
      <c r="E4216" s="21" t="s">
        <v>193</v>
      </c>
      <c r="F4216" s="5812">
        <v>3</v>
      </c>
      <c r="G4216" s="5813">
        <v>0.20833333333333334</v>
      </c>
      <c r="H4216" s="21" t="s">
        <v>10</v>
      </c>
      <c r="I4216" s="21" t="s">
        <v>23</v>
      </c>
      <c r="J4216" s="21" t="s">
        <v>12458</v>
      </c>
      <c r="K4216" s="5814" t="s">
        <v>12459</v>
      </c>
    </row>
    <row r="4217" spans="1:11">
      <c r="A4217" s="21" t="s">
        <v>2538</v>
      </c>
      <c r="B4217" s="21" t="s">
        <v>12460</v>
      </c>
      <c r="C4217" s="21" t="s">
        <v>8</v>
      </c>
      <c r="D4217" s="21" t="s">
        <v>1430</v>
      </c>
      <c r="E4217" s="21" t="s">
        <v>193</v>
      </c>
      <c r="F4217" s="5812">
        <v>3</v>
      </c>
      <c r="G4217" s="5813">
        <v>0.20833333333333334</v>
      </c>
      <c r="H4217" s="21" t="s">
        <v>10</v>
      </c>
      <c r="I4217" s="21" t="s">
        <v>2814</v>
      </c>
      <c r="J4217" s="21" t="s">
        <v>12461</v>
      </c>
      <c r="K4217" s="5814" t="s">
        <v>12462</v>
      </c>
    </row>
    <row r="4218" spans="1:11">
      <c r="A4218" s="21" t="s">
        <v>3203</v>
      </c>
      <c r="B4218" s="21" t="s">
        <v>12463</v>
      </c>
      <c r="C4218" s="21" t="s">
        <v>22</v>
      </c>
      <c r="D4218" s="21" t="s">
        <v>1430</v>
      </c>
      <c r="E4218" s="21" t="s">
        <v>193</v>
      </c>
      <c r="F4218" s="5812">
        <v>3</v>
      </c>
      <c r="G4218" s="5813">
        <v>0.20833333333333334</v>
      </c>
      <c r="H4218" s="21" t="s">
        <v>10</v>
      </c>
      <c r="I4218" s="21" t="s">
        <v>2544</v>
      </c>
      <c r="J4218" s="21" t="s">
        <v>12464</v>
      </c>
      <c r="K4218" s="5814" t="s">
        <v>12465</v>
      </c>
    </row>
    <row r="4219" spans="1:11">
      <c r="A4219" s="21" t="s">
        <v>3710</v>
      </c>
      <c r="B4219" s="21" t="s">
        <v>12466</v>
      </c>
      <c r="C4219" s="21" t="s">
        <v>8</v>
      </c>
      <c r="D4219" s="21" t="s">
        <v>1430</v>
      </c>
      <c r="E4219" s="21" t="s">
        <v>193</v>
      </c>
      <c r="F4219" s="5812">
        <v>3</v>
      </c>
      <c r="G4219" s="5813">
        <v>0.20833333333333334</v>
      </c>
      <c r="H4219" s="21" t="s">
        <v>10</v>
      </c>
      <c r="I4219" s="21" t="s">
        <v>11</v>
      </c>
      <c r="J4219" s="21" t="s">
        <v>12467</v>
      </c>
      <c r="K4219" s="5814" t="s">
        <v>12468</v>
      </c>
    </row>
    <row r="4220" spans="1:11">
      <c r="A4220" s="21" t="s">
        <v>4116</v>
      </c>
      <c r="B4220" s="21" t="s">
        <v>12469</v>
      </c>
      <c r="C4220" s="21" t="s">
        <v>8</v>
      </c>
      <c r="D4220" s="21" t="s">
        <v>1430</v>
      </c>
      <c r="E4220" s="21" t="s">
        <v>193</v>
      </c>
      <c r="F4220" s="5812">
        <v>3</v>
      </c>
      <c r="G4220" s="5813">
        <v>0.20833333333333334</v>
      </c>
      <c r="H4220" s="21" t="s">
        <v>10</v>
      </c>
      <c r="I4220" s="21" t="s">
        <v>226</v>
      </c>
      <c r="J4220" s="21" t="s">
        <v>12470</v>
      </c>
      <c r="K4220" s="5814" t="s">
        <v>12471</v>
      </c>
    </row>
    <row r="4221" spans="1:11">
      <c r="A4221" s="21" t="s">
        <v>4139</v>
      </c>
      <c r="B4221" s="21" t="s">
        <v>12472</v>
      </c>
      <c r="C4221" s="21" t="s">
        <v>8</v>
      </c>
      <c r="D4221" s="21" t="s">
        <v>1430</v>
      </c>
      <c r="E4221" s="21" t="s">
        <v>193</v>
      </c>
      <c r="F4221" s="5812">
        <v>3</v>
      </c>
      <c r="G4221" s="5813">
        <v>0.20833333333333334</v>
      </c>
      <c r="H4221" s="21" t="s">
        <v>10</v>
      </c>
      <c r="I4221" s="21" t="s">
        <v>2544</v>
      </c>
      <c r="J4221" s="21" t="s">
        <v>12473</v>
      </c>
      <c r="K4221" s="5814" t="s">
        <v>12474</v>
      </c>
    </row>
    <row r="4222" spans="1:11">
      <c r="A4222" s="21" t="s">
        <v>4139</v>
      </c>
      <c r="B4222" s="21" t="s">
        <v>12475</v>
      </c>
      <c r="C4222" s="21" t="s">
        <v>8</v>
      </c>
      <c r="D4222" s="21" t="s">
        <v>1430</v>
      </c>
      <c r="E4222" s="21" t="s">
        <v>193</v>
      </c>
      <c r="F4222" s="5812">
        <v>3</v>
      </c>
      <c r="G4222" s="5813">
        <v>0.20833333333333334</v>
      </c>
      <c r="H4222" s="21" t="s">
        <v>10</v>
      </c>
      <c r="I4222" s="21" t="s">
        <v>2544</v>
      </c>
      <c r="J4222" s="21" t="s">
        <v>12476</v>
      </c>
      <c r="K4222" s="5814" t="s">
        <v>12477</v>
      </c>
    </row>
    <row r="4223" spans="1:11">
      <c r="A4223" s="21" t="s">
        <v>2643</v>
      </c>
      <c r="B4223" s="21" t="s">
        <v>12478</v>
      </c>
      <c r="C4223" s="21" t="s">
        <v>22</v>
      </c>
      <c r="D4223" s="21" t="s">
        <v>1430</v>
      </c>
      <c r="E4223" s="21" t="s">
        <v>193</v>
      </c>
      <c r="F4223" s="5812">
        <v>3</v>
      </c>
      <c r="G4223" s="5813">
        <v>0.20833333333333334</v>
      </c>
      <c r="H4223" s="21" t="s">
        <v>10</v>
      </c>
      <c r="I4223" s="21" t="s">
        <v>39</v>
      </c>
      <c r="J4223" s="21" t="s">
        <v>12479</v>
      </c>
      <c r="K4223" s="5814" t="s">
        <v>12480</v>
      </c>
    </row>
    <row r="4224" spans="1:11">
      <c r="A4224" s="21" t="s">
        <v>2998</v>
      </c>
      <c r="B4224" s="21" t="s">
        <v>12481</v>
      </c>
      <c r="C4224" s="21" t="s">
        <v>8</v>
      </c>
      <c r="D4224" s="21" t="s">
        <v>1430</v>
      </c>
      <c r="E4224" s="21" t="s">
        <v>193</v>
      </c>
      <c r="F4224" s="5812">
        <v>3</v>
      </c>
      <c r="G4224" s="5813">
        <v>0.20833333333333334</v>
      </c>
      <c r="H4224" s="21" t="s">
        <v>10</v>
      </c>
      <c r="I4224" s="21" t="s">
        <v>2747</v>
      </c>
      <c r="J4224" s="21" t="s">
        <v>12482</v>
      </c>
      <c r="K4224" s="5814" t="s">
        <v>12483</v>
      </c>
    </row>
    <row r="4225" spans="1:11">
      <c r="A4225" s="21" t="s">
        <v>2192</v>
      </c>
      <c r="B4225" s="21" t="s">
        <v>12484</v>
      </c>
      <c r="C4225" s="21" t="s">
        <v>8</v>
      </c>
      <c r="D4225" s="21" t="s">
        <v>1430</v>
      </c>
      <c r="E4225" s="21" t="s">
        <v>193</v>
      </c>
      <c r="F4225" s="5812">
        <v>3</v>
      </c>
      <c r="G4225" s="5813">
        <v>0.20833333333333334</v>
      </c>
      <c r="H4225" s="21" t="s">
        <v>10</v>
      </c>
      <c r="I4225" s="21" t="s">
        <v>4861</v>
      </c>
      <c r="J4225" s="21" t="s">
        <v>12485</v>
      </c>
      <c r="K4225" s="5814" t="s">
        <v>12486</v>
      </c>
    </row>
    <row r="4226" spans="1:11">
      <c r="A4226" s="21" t="s">
        <v>3089</v>
      </c>
      <c r="B4226" s="21" t="s">
        <v>12487</v>
      </c>
      <c r="C4226" s="21" t="s">
        <v>8</v>
      </c>
      <c r="D4226" s="21" t="s">
        <v>1430</v>
      </c>
      <c r="E4226" s="21" t="s">
        <v>193</v>
      </c>
      <c r="F4226" s="5812">
        <v>3</v>
      </c>
      <c r="G4226" s="5813">
        <v>0.20833333333333334</v>
      </c>
      <c r="H4226" s="21" t="s">
        <v>10</v>
      </c>
      <c r="I4226" s="21" t="s">
        <v>2317</v>
      </c>
      <c r="J4226" s="21" t="s">
        <v>12488</v>
      </c>
      <c r="K4226" s="5814" t="s">
        <v>12489</v>
      </c>
    </row>
    <row r="4227" spans="1:11">
      <c r="A4227" s="21" t="s">
        <v>3757</v>
      </c>
      <c r="B4227" s="21" t="s">
        <v>12490</v>
      </c>
      <c r="C4227" s="21" t="s">
        <v>8</v>
      </c>
      <c r="D4227" s="21" t="s">
        <v>1430</v>
      </c>
      <c r="E4227" s="21" t="s">
        <v>193</v>
      </c>
      <c r="F4227" s="5812">
        <v>3</v>
      </c>
      <c r="G4227" s="5813">
        <v>0.20833333333333334</v>
      </c>
      <c r="H4227" s="21" t="s">
        <v>10</v>
      </c>
      <c r="I4227" s="21" t="s">
        <v>2665</v>
      </c>
      <c r="J4227" s="21" t="s">
        <v>12491</v>
      </c>
      <c r="K4227" s="5814" t="s">
        <v>12492</v>
      </c>
    </row>
    <row r="4228" spans="1:11">
      <c r="A4228" s="21" t="s">
        <v>2724</v>
      </c>
      <c r="B4228" s="21" t="s">
        <v>12493</v>
      </c>
      <c r="C4228" s="21" t="s">
        <v>8</v>
      </c>
      <c r="D4228" s="21" t="s">
        <v>1430</v>
      </c>
      <c r="E4228" s="21" t="s">
        <v>193</v>
      </c>
      <c r="F4228" s="5812">
        <v>3</v>
      </c>
      <c r="G4228" s="5813">
        <v>0.20833333333333334</v>
      </c>
      <c r="H4228" s="21" t="s">
        <v>10</v>
      </c>
      <c r="I4228" s="21" t="s">
        <v>23</v>
      </c>
      <c r="J4228" s="21" t="s">
        <v>12494</v>
      </c>
      <c r="K4228" s="5814" t="s">
        <v>12495</v>
      </c>
    </row>
    <row r="4229" spans="1:11">
      <c r="A4229" s="21" t="s">
        <v>4249</v>
      </c>
      <c r="B4229" s="21" t="s">
        <v>12496</v>
      </c>
      <c r="C4229" s="21" t="s">
        <v>8</v>
      </c>
      <c r="D4229" s="21" t="s">
        <v>1430</v>
      </c>
      <c r="E4229" s="21" t="s">
        <v>193</v>
      </c>
      <c r="F4229" s="5812">
        <v>3</v>
      </c>
      <c r="G4229" s="5813">
        <v>0.20833333333333334</v>
      </c>
      <c r="H4229" s="21" t="s">
        <v>10</v>
      </c>
      <c r="I4229" s="21" t="s">
        <v>11</v>
      </c>
      <c r="J4229" s="21" t="s">
        <v>7174</v>
      </c>
      <c r="K4229" s="5814" t="s">
        <v>12497</v>
      </c>
    </row>
    <row r="4230" spans="1:11">
      <c r="A4230" s="21" t="s">
        <v>2205</v>
      </c>
      <c r="B4230" s="21" t="s">
        <v>12498</v>
      </c>
      <c r="C4230" s="21" t="s">
        <v>22</v>
      </c>
      <c r="D4230" s="21" t="s">
        <v>1430</v>
      </c>
      <c r="E4230" s="21" t="s">
        <v>193</v>
      </c>
      <c r="F4230" s="5812">
        <v>3</v>
      </c>
      <c r="G4230" s="5813">
        <v>0.20833333333333334</v>
      </c>
      <c r="H4230" s="21" t="s">
        <v>10</v>
      </c>
      <c r="I4230" s="21" t="s">
        <v>23</v>
      </c>
      <c r="J4230" s="21" t="s">
        <v>12499</v>
      </c>
      <c r="K4230" s="5814" t="s">
        <v>12500</v>
      </c>
    </row>
    <row r="4231" spans="1:11">
      <c r="A4231" s="21" t="s">
        <v>5168</v>
      </c>
      <c r="B4231" s="21" t="s">
        <v>12501</v>
      </c>
      <c r="C4231" s="21" t="s">
        <v>8</v>
      </c>
      <c r="D4231" s="21" t="s">
        <v>1430</v>
      </c>
      <c r="E4231" s="21" t="s">
        <v>193</v>
      </c>
      <c r="F4231" s="5812">
        <v>3</v>
      </c>
      <c r="G4231" s="5813">
        <v>0.20833333333333334</v>
      </c>
      <c r="H4231" s="21" t="s">
        <v>10</v>
      </c>
      <c r="I4231" s="21" t="s">
        <v>3464</v>
      </c>
      <c r="J4231" s="21" t="s">
        <v>12502</v>
      </c>
      <c r="K4231" s="5814" t="s">
        <v>12503</v>
      </c>
    </row>
    <row r="4232" spans="1:11">
      <c r="A4232" s="21" t="s">
        <v>4289</v>
      </c>
      <c r="B4232" s="21" t="s">
        <v>12504</v>
      </c>
      <c r="C4232" s="21" t="s">
        <v>8</v>
      </c>
      <c r="D4232" s="21" t="s">
        <v>1430</v>
      </c>
      <c r="E4232" s="21" t="s">
        <v>193</v>
      </c>
      <c r="F4232" s="5812">
        <v>3</v>
      </c>
      <c r="G4232" s="5813">
        <v>0.20833333333333334</v>
      </c>
      <c r="H4232" s="21" t="s">
        <v>10</v>
      </c>
      <c r="I4232" s="21" t="s">
        <v>2269</v>
      </c>
      <c r="J4232" s="21" t="s">
        <v>12505</v>
      </c>
      <c r="K4232" s="5814" t="s">
        <v>12506</v>
      </c>
    </row>
    <row r="4233" spans="1:11">
      <c r="A4233" s="21" t="s">
        <v>2225</v>
      </c>
      <c r="B4233" s="21" t="s">
        <v>12507</v>
      </c>
      <c r="C4233" s="21" t="s">
        <v>22</v>
      </c>
      <c r="D4233" s="21" t="s">
        <v>1430</v>
      </c>
      <c r="E4233" s="21" t="s">
        <v>193</v>
      </c>
      <c r="F4233" s="5812">
        <v>3</v>
      </c>
      <c r="G4233" s="5813">
        <v>0.20833333333333334</v>
      </c>
      <c r="H4233" s="21" t="s">
        <v>10</v>
      </c>
      <c r="I4233" s="21" t="s">
        <v>400</v>
      </c>
      <c r="J4233" s="21" t="s">
        <v>12508</v>
      </c>
      <c r="K4233" s="5814" t="s">
        <v>12509</v>
      </c>
    </row>
    <row r="4234" spans="1:11">
      <c r="A4234" s="21" t="s">
        <v>2792</v>
      </c>
      <c r="B4234" s="21" t="s">
        <v>12510</v>
      </c>
      <c r="C4234" s="21" t="s">
        <v>22</v>
      </c>
      <c r="D4234" s="21" t="s">
        <v>1430</v>
      </c>
      <c r="E4234" s="21" t="s">
        <v>193</v>
      </c>
      <c r="F4234" s="5812">
        <v>3</v>
      </c>
      <c r="G4234" s="5813">
        <v>0.20833333333333334</v>
      </c>
      <c r="H4234" s="21" t="s">
        <v>10</v>
      </c>
      <c r="I4234" s="21" t="s">
        <v>11</v>
      </c>
      <c r="J4234" s="21" t="s">
        <v>12511</v>
      </c>
      <c r="K4234" s="5814" t="s">
        <v>12512</v>
      </c>
    </row>
    <row r="4235" spans="1:11">
      <c r="A4235" s="21" t="s">
        <v>2808</v>
      </c>
      <c r="B4235" s="21" t="s">
        <v>12513</v>
      </c>
      <c r="C4235" s="21" t="s">
        <v>22</v>
      </c>
      <c r="D4235" s="21" t="s">
        <v>1430</v>
      </c>
      <c r="E4235" s="21" t="s">
        <v>193</v>
      </c>
      <c r="F4235" s="5812">
        <v>3</v>
      </c>
      <c r="G4235" s="5813">
        <v>0.20833333333333334</v>
      </c>
      <c r="H4235" s="21" t="s">
        <v>10</v>
      </c>
      <c r="I4235" s="21" t="s">
        <v>194</v>
      </c>
      <c r="J4235" s="21" t="s">
        <v>12514</v>
      </c>
      <c r="K4235" s="5814" t="s">
        <v>12515</v>
      </c>
    </row>
    <row r="4236" spans="1:11">
      <c r="A4236" s="21" t="s">
        <v>4345</v>
      </c>
      <c r="B4236" s="21" t="s">
        <v>12516</v>
      </c>
      <c r="C4236" s="21" t="s">
        <v>22</v>
      </c>
      <c r="D4236" s="21" t="s">
        <v>1430</v>
      </c>
      <c r="E4236" s="21" t="s">
        <v>193</v>
      </c>
      <c r="F4236" s="5812">
        <v>3</v>
      </c>
      <c r="G4236" s="5813">
        <v>0.20833333333333334</v>
      </c>
      <c r="H4236" s="21" t="s">
        <v>10</v>
      </c>
      <c r="I4236" s="21" t="s">
        <v>3534</v>
      </c>
      <c r="J4236" s="21" t="s">
        <v>12517</v>
      </c>
      <c r="K4236" s="5814" t="s">
        <v>12518</v>
      </c>
    </row>
    <row r="4237" spans="1:11">
      <c r="A4237" s="21" t="s">
        <v>3828</v>
      </c>
      <c r="B4237" s="21" t="s">
        <v>12519</v>
      </c>
      <c r="C4237" s="21" t="s">
        <v>8</v>
      </c>
      <c r="D4237" s="21" t="s">
        <v>1430</v>
      </c>
      <c r="E4237" s="21" t="s">
        <v>193</v>
      </c>
      <c r="F4237" s="5812">
        <v>3</v>
      </c>
      <c r="G4237" s="5813">
        <v>0.20833333333333334</v>
      </c>
      <c r="H4237" s="21" t="s">
        <v>10</v>
      </c>
      <c r="I4237" s="21" t="s">
        <v>55</v>
      </c>
      <c r="J4237" s="21" t="s">
        <v>12520</v>
      </c>
      <c r="K4237" s="5814" t="s">
        <v>12521</v>
      </c>
    </row>
    <row r="4238" spans="1:11">
      <c r="A4238" s="21" t="s">
        <v>2831</v>
      </c>
      <c r="B4238" s="21" t="s">
        <v>12522</v>
      </c>
      <c r="C4238" s="21" t="s">
        <v>22</v>
      </c>
      <c r="D4238" s="21" t="s">
        <v>1430</v>
      </c>
      <c r="E4238" s="21" t="s">
        <v>193</v>
      </c>
      <c r="F4238" s="5812">
        <v>3</v>
      </c>
      <c r="G4238" s="5813">
        <v>0.20833333333333334</v>
      </c>
      <c r="H4238" s="21" t="s">
        <v>10</v>
      </c>
      <c r="I4238" s="21" t="s">
        <v>2692</v>
      </c>
      <c r="J4238" s="21" t="s">
        <v>12523</v>
      </c>
      <c r="K4238" s="5814" t="s">
        <v>12524</v>
      </c>
    </row>
    <row r="4239" spans="1:11">
      <c r="A4239" s="21" t="s">
        <v>3613</v>
      </c>
      <c r="B4239" s="21" t="s">
        <v>12525</v>
      </c>
      <c r="C4239" s="21" t="s">
        <v>8</v>
      </c>
      <c r="D4239" s="21" t="s">
        <v>1430</v>
      </c>
      <c r="E4239" s="21" t="s">
        <v>193</v>
      </c>
      <c r="F4239" s="5812">
        <v>5</v>
      </c>
      <c r="G4239" s="5813">
        <v>0.20833333333333334</v>
      </c>
      <c r="H4239" s="21" t="s">
        <v>54</v>
      </c>
      <c r="I4239" s="21" t="s">
        <v>47</v>
      </c>
      <c r="J4239" s="21" t="s">
        <v>12526</v>
      </c>
      <c r="K4239" s="5814" t="s">
        <v>12527</v>
      </c>
    </row>
    <row r="4240" spans="1:11">
      <c r="A4240" s="21" t="s">
        <v>87</v>
      </c>
      <c r="B4240" s="21" t="s">
        <v>1461</v>
      </c>
      <c r="C4240" s="21" t="s">
        <v>22</v>
      </c>
      <c r="D4240" s="21" t="s">
        <v>1430</v>
      </c>
      <c r="E4240" s="21" t="s">
        <v>9</v>
      </c>
      <c r="F4240" s="5812">
        <v>3</v>
      </c>
      <c r="G4240" s="5813">
        <v>0.20833333333333334</v>
      </c>
      <c r="H4240" s="21" t="s">
        <v>10</v>
      </c>
      <c r="I4240" s="21" t="s">
        <v>233</v>
      </c>
      <c r="J4240" s="21" t="s">
        <v>1462</v>
      </c>
      <c r="K4240" s="5814" t="s">
        <v>1463</v>
      </c>
    </row>
    <row r="4241" spans="1:11">
      <c r="A4241" s="21" t="s">
        <v>94</v>
      </c>
      <c r="B4241" s="21" t="s">
        <v>1466</v>
      </c>
      <c r="C4241" s="21" t="s">
        <v>22</v>
      </c>
      <c r="D4241" s="21" t="s">
        <v>1430</v>
      </c>
      <c r="E4241" s="21" t="s">
        <v>9</v>
      </c>
      <c r="F4241" s="5812">
        <v>3</v>
      </c>
      <c r="G4241" s="5813">
        <v>0.20833333333333334</v>
      </c>
      <c r="H4241" s="21" t="s">
        <v>10</v>
      </c>
      <c r="I4241" s="21" t="s">
        <v>96</v>
      </c>
      <c r="J4241" s="21" t="s">
        <v>1467</v>
      </c>
      <c r="K4241" s="5814" t="s">
        <v>1468</v>
      </c>
    </row>
    <row r="4242" spans="1:11">
      <c r="A4242" s="21" t="s">
        <v>115</v>
      </c>
      <c r="B4242" s="21" t="s">
        <v>1477</v>
      </c>
      <c r="C4242" s="21" t="s">
        <v>8</v>
      </c>
      <c r="D4242" s="21" t="s">
        <v>1430</v>
      </c>
      <c r="E4242" s="21" t="s">
        <v>9</v>
      </c>
      <c r="F4242" s="5812">
        <v>3</v>
      </c>
      <c r="G4242" s="5813">
        <v>0.20833333333333334</v>
      </c>
      <c r="H4242" s="21" t="s">
        <v>10</v>
      </c>
      <c r="I4242" s="21" t="s">
        <v>117</v>
      </c>
      <c r="J4242" s="21" t="s">
        <v>1478</v>
      </c>
      <c r="K4242" s="5814" t="s">
        <v>1479</v>
      </c>
    </row>
    <row r="4243" spans="1:11">
      <c r="A4243" s="21" t="s">
        <v>160</v>
      </c>
      <c r="B4243" s="21" t="s">
        <v>1488</v>
      </c>
      <c r="C4243" s="21" t="s">
        <v>8</v>
      </c>
      <c r="D4243" s="21" t="s">
        <v>1430</v>
      </c>
      <c r="E4243" s="21" t="s">
        <v>9</v>
      </c>
      <c r="F4243" s="5812">
        <v>3</v>
      </c>
      <c r="G4243" s="5813">
        <v>0.20833333333333334</v>
      </c>
      <c r="H4243" s="21" t="s">
        <v>10</v>
      </c>
      <c r="I4243" s="21" t="s">
        <v>55</v>
      </c>
      <c r="J4243" s="21" t="s">
        <v>1489</v>
      </c>
      <c r="K4243" s="5814" t="s">
        <v>1490</v>
      </c>
    </row>
    <row r="4244" spans="1:11">
      <c r="A4244" s="21" t="s">
        <v>166</v>
      </c>
      <c r="B4244" s="21" t="s">
        <v>1492</v>
      </c>
      <c r="C4244" s="21" t="s">
        <v>8</v>
      </c>
      <c r="D4244" s="21" t="s">
        <v>1430</v>
      </c>
      <c r="E4244" s="21" t="s">
        <v>9</v>
      </c>
      <c r="F4244" s="5812">
        <v>3</v>
      </c>
      <c r="G4244" s="5813">
        <v>0.20833333333333334</v>
      </c>
      <c r="H4244" s="21" t="s">
        <v>10</v>
      </c>
      <c r="I4244" s="21" t="s">
        <v>89</v>
      </c>
      <c r="J4244" s="21" t="s">
        <v>1420</v>
      </c>
      <c r="K4244" s="5814" t="s">
        <v>1493</v>
      </c>
    </row>
    <row r="4245" spans="1:11">
      <c r="A4245" s="21" t="s">
        <v>177</v>
      </c>
      <c r="B4245" s="21" t="s">
        <v>1496</v>
      </c>
      <c r="C4245" s="21" t="s">
        <v>8</v>
      </c>
      <c r="D4245" s="21" t="s">
        <v>1430</v>
      </c>
      <c r="E4245" s="21" t="s">
        <v>9</v>
      </c>
      <c r="F4245" s="5812">
        <v>3</v>
      </c>
      <c r="G4245" s="5813">
        <v>0.20833333333333334</v>
      </c>
      <c r="H4245" s="21" t="s">
        <v>10</v>
      </c>
      <c r="I4245" s="21" t="s">
        <v>96</v>
      </c>
      <c r="J4245" s="21" t="s">
        <v>1497</v>
      </c>
      <c r="K4245" s="5814" t="s">
        <v>1498</v>
      </c>
    </row>
    <row r="4246" spans="1:11">
      <c r="A4246" s="21" t="s">
        <v>231</v>
      </c>
      <c r="B4246" s="21" t="s">
        <v>1456</v>
      </c>
      <c r="C4246" s="21" t="s">
        <v>8</v>
      </c>
      <c r="D4246" s="21" t="s">
        <v>1430</v>
      </c>
      <c r="E4246" s="21" t="s">
        <v>9</v>
      </c>
      <c r="F4246" s="5812">
        <v>3</v>
      </c>
      <c r="G4246" s="5813">
        <v>0.20833333333333334</v>
      </c>
      <c r="H4246" s="21" t="s">
        <v>10</v>
      </c>
      <c r="I4246" s="21" t="s">
        <v>788</v>
      </c>
      <c r="J4246" s="21" t="s">
        <v>1457</v>
      </c>
      <c r="K4246" s="5814" t="s">
        <v>12528</v>
      </c>
    </row>
    <row r="4247" spans="1:11">
      <c r="A4247" s="21" t="s">
        <v>71</v>
      </c>
      <c r="B4247" s="21" t="s">
        <v>1516</v>
      </c>
      <c r="C4247" s="21" t="s">
        <v>22</v>
      </c>
      <c r="D4247" s="21" t="s">
        <v>1430</v>
      </c>
      <c r="E4247" s="21" t="s">
        <v>9</v>
      </c>
      <c r="F4247" s="5812">
        <v>3</v>
      </c>
      <c r="G4247" s="5813">
        <v>0.20833333333333334</v>
      </c>
      <c r="H4247" s="21" t="s">
        <v>10</v>
      </c>
      <c r="I4247" s="21" t="s">
        <v>23</v>
      </c>
      <c r="J4247" s="21" t="s">
        <v>1517</v>
      </c>
      <c r="K4247" s="5814" t="s">
        <v>12529</v>
      </c>
    </row>
    <row r="4248" spans="1:11">
      <c r="A4248" s="21" t="s">
        <v>6</v>
      </c>
      <c r="B4248" s="21" t="s">
        <v>1429</v>
      </c>
      <c r="C4248" s="21" t="s">
        <v>8</v>
      </c>
      <c r="D4248" s="21" t="s">
        <v>1430</v>
      </c>
      <c r="E4248" s="21" t="s">
        <v>9</v>
      </c>
      <c r="F4248" s="5812">
        <v>3</v>
      </c>
      <c r="G4248" s="5813">
        <v>0.20833333333333334</v>
      </c>
      <c r="H4248" s="21" t="s">
        <v>10</v>
      </c>
      <c r="I4248" s="21" t="s">
        <v>73</v>
      </c>
      <c r="J4248" s="21" t="s">
        <v>1431</v>
      </c>
      <c r="K4248" s="5814" t="s">
        <v>12530</v>
      </c>
    </row>
    <row r="4249" spans="1:11">
      <c r="A4249" s="21" t="s">
        <v>6</v>
      </c>
      <c r="B4249" s="21" t="s">
        <v>1434</v>
      </c>
      <c r="C4249" s="21" t="s">
        <v>8</v>
      </c>
      <c r="D4249" s="21" t="s">
        <v>1430</v>
      </c>
      <c r="E4249" s="21" t="s">
        <v>9</v>
      </c>
      <c r="F4249" s="5812">
        <v>3</v>
      </c>
      <c r="G4249" s="5813">
        <v>0.20833333333333334</v>
      </c>
      <c r="H4249" s="21" t="s">
        <v>10</v>
      </c>
      <c r="I4249" s="21" t="s">
        <v>39</v>
      </c>
      <c r="J4249" s="21" t="s">
        <v>1435</v>
      </c>
      <c r="K4249" s="5814" t="s">
        <v>12531</v>
      </c>
    </row>
    <row r="4250" spans="1:11">
      <c r="A4250" s="21" t="s">
        <v>2307</v>
      </c>
      <c r="B4250" s="21" t="s">
        <v>12532</v>
      </c>
      <c r="C4250" s="21" t="s">
        <v>8</v>
      </c>
      <c r="D4250" s="21" t="s">
        <v>1430</v>
      </c>
      <c r="E4250" s="21" t="s">
        <v>9</v>
      </c>
      <c r="F4250" s="5812">
        <v>3</v>
      </c>
      <c r="G4250" s="5813">
        <v>0.20833333333333334</v>
      </c>
      <c r="H4250" s="21" t="s">
        <v>10</v>
      </c>
      <c r="I4250" s="21" t="s">
        <v>39</v>
      </c>
      <c r="J4250" s="21" t="s">
        <v>12533</v>
      </c>
      <c r="K4250" s="5814" t="s">
        <v>12534</v>
      </c>
    </row>
    <row r="4251" spans="1:11">
      <c r="A4251" s="21" t="s">
        <v>2941</v>
      </c>
      <c r="B4251" s="21" t="s">
        <v>12535</v>
      </c>
      <c r="C4251" s="21" t="s">
        <v>8</v>
      </c>
      <c r="D4251" s="21" t="s">
        <v>1430</v>
      </c>
      <c r="E4251" s="21" t="s">
        <v>9</v>
      </c>
      <c r="F4251" s="5812">
        <v>3</v>
      </c>
      <c r="G4251" s="5813">
        <v>0.20833333333333334</v>
      </c>
      <c r="H4251" s="21" t="s">
        <v>10</v>
      </c>
      <c r="I4251" s="21" t="s">
        <v>23</v>
      </c>
      <c r="J4251" s="21" t="s">
        <v>12536</v>
      </c>
      <c r="K4251" s="5814" t="s">
        <v>12537</v>
      </c>
    </row>
    <row r="4252" spans="1:11">
      <c r="A4252" s="21" t="s">
        <v>2084</v>
      </c>
      <c r="B4252" s="21" t="s">
        <v>12538</v>
      </c>
      <c r="C4252" s="21" t="s">
        <v>22</v>
      </c>
      <c r="D4252" s="21" t="s">
        <v>1430</v>
      </c>
      <c r="E4252" s="21" t="s">
        <v>9</v>
      </c>
      <c r="F4252" s="5812">
        <v>3</v>
      </c>
      <c r="G4252" s="5813">
        <v>0.20833333333333334</v>
      </c>
      <c r="H4252" s="21" t="s">
        <v>10</v>
      </c>
      <c r="I4252" s="21" t="s">
        <v>2544</v>
      </c>
      <c r="J4252" s="21" t="s">
        <v>12539</v>
      </c>
      <c r="K4252" s="5814" t="s">
        <v>12540</v>
      </c>
    </row>
    <row r="4253" spans="1:11">
      <c r="A4253" s="21" t="s">
        <v>3664</v>
      </c>
      <c r="B4253" s="21" t="s">
        <v>12541</v>
      </c>
      <c r="C4253" s="21" t="s">
        <v>8</v>
      </c>
      <c r="D4253" s="21" t="s">
        <v>1430</v>
      </c>
      <c r="E4253" s="21" t="s">
        <v>9</v>
      </c>
      <c r="F4253" s="5812">
        <v>3</v>
      </c>
      <c r="G4253" s="5813">
        <v>0.20833333333333334</v>
      </c>
      <c r="H4253" s="21" t="s">
        <v>10</v>
      </c>
      <c r="I4253" s="21" t="s">
        <v>11</v>
      </c>
      <c r="J4253" s="21" t="s">
        <v>12542</v>
      </c>
      <c r="K4253" s="5814" t="s">
        <v>12543</v>
      </c>
    </row>
    <row r="4254" spans="1:11">
      <c r="A4254" s="21" t="s">
        <v>2947</v>
      </c>
      <c r="B4254" s="21" t="s">
        <v>12544</v>
      </c>
      <c r="C4254" s="21" t="s">
        <v>8</v>
      </c>
      <c r="D4254" s="21" t="s">
        <v>1430</v>
      </c>
      <c r="E4254" s="21" t="s">
        <v>9</v>
      </c>
      <c r="F4254" s="5812">
        <v>3</v>
      </c>
      <c r="G4254" s="5813">
        <v>0.20833333333333334</v>
      </c>
      <c r="H4254" s="21" t="s">
        <v>10</v>
      </c>
      <c r="I4254" s="21" t="s">
        <v>12545</v>
      </c>
      <c r="J4254" s="21" t="s">
        <v>12546</v>
      </c>
      <c r="K4254" s="5814" t="s">
        <v>12547</v>
      </c>
    </row>
    <row r="4255" spans="1:11">
      <c r="A4255" s="21" t="s">
        <v>2327</v>
      </c>
      <c r="B4255" s="21" t="s">
        <v>12548</v>
      </c>
      <c r="C4255" s="21" t="s">
        <v>8</v>
      </c>
      <c r="D4255" s="21" t="s">
        <v>1430</v>
      </c>
      <c r="E4255" s="21" t="s">
        <v>9</v>
      </c>
      <c r="F4255" s="5812">
        <v>3</v>
      </c>
      <c r="G4255" s="5813">
        <v>0.20833333333333334</v>
      </c>
      <c r="H4255" s="21" t="s">
        <v>10</v>
      </c>
      <c r="I4255" s="21" t="s">
        <v>39</v>
      </c>
      <c r="J4255" s="21" t="s">
        <v>12549</v>
      </c>
      <c r="K4255" s="5814" t="s">
        <v>12550</v>
      </c>
    </row>
    <row r="4256" spans="1:11">
      <c r="A4256" s="21" t="s">
        <v>3491</v>
      </c>
      <c r="B4256" s="21" t="s">
        <v>12551</v>
      </c>
      <c r="C4256" s="21" t="s">
        <v>8</v>
      </c>
      <c r="D4256" s="21" t="s">
        <v>1430</v>
      </c>
      <c r="E4256" s="21" t="s">
        <v>9</v>
      </c>
      <c r="F4256" s="5812">
        <v>3</v>
      </c>
      <c r="G4256" s="5813">
        <v>0.20833333333333334</v>
      </c>
      <c r="H4256" s="21" t="s">
        <v>10</v>
      </c>
      <c r="I4256" s="21" t="s">
        <v>23</v>
      </c>
      <c r="J4256" s="21" t="s">
        <v>12552</v>
      </c>
      <c r="K4256" s="5814" t="s">
        <v>12553</v>
      </c>
    </row>
    <row r="4257" spans="1:11">
      <c r="A4257" s="21" t="s">
        <v>3872</v>
      </c>
      <c r="B4257" s="21" t="s">
        <v>12554</v>
      </c>
      <c r="C4257" s="21" t="s">
        <v>22</v>
      </c>
      <c r="D4257" s="21" t="s">
        <v>1430</v>
      </c>
      <c r="E4257" s="21" t="s">
        <v>9</v>
      </c>
      <c r="F4257" s="5812">
        <v>3</v>
      </c>
      <c r="G4257" s="5813">
        <v>0.20833333333333334</v>
      </c>
      <c r="H4257" s="21" t="s">
        <v>10</v>
      </c>
      <c r="I4257" s="21" t="s">
        <v>117</v>
      </c>
      <c r="J4257" s="21" t="s">
        <v>12555</v>
      </c>
      <c r="K4257" s="5814" t="s">
        <v>12556</v>
      </c>
    </row>
    <row r="4258" spans="1:11">
      <c r="A4258" s="21" t="s">
        <v>2341</v>
      </c>
      <c r="B4258" s="21" t="s">
        <v>12557</v>
      </c>
      <c r="C4258" s="21" t="s">
        <v>22</v>
      </c>
      <c r="D4258" s="21" t="s">
        <v>1430</v>
      </c>
      <c r="E4258" s="21" t="s">
        <v>9</v>
      </c>
      <c r="F4258" s="5812">
        <v>3</v>
      </c>
      <c r="G4258" s="5813">
        <v>0.20833333333333334</v>
      </c>
      <c r="H4258" s="21" t="s">
        <v>10</v>
      </c>
      <c r="I4258" s="21" t="s">
        <v>609</v>
      </c>
      <c r="J4258" s="21" t="s">
        <v>12558</v>
      </c>
      <c r="K4258" s="5814" t="s">
        <v>12559</v>
      </c>
    </row>
    <row r="4259" spans="1:11">
      <c r="A4259" s="21" t="s">
        <v>2362</v>
      </c>
      <c r="B4259" s="21" t="s">
        <v>12560</v>
      </c>
      <c r="C4259" s="21" t="s">
        <v>22</v>
      </c>
      <c r="D4259" s="21" t="s">
        <v>1430</v>
      </c>
      <c r="E4259" s="21" t="s">
        <v>9</v>
      </c>
      <c r="F4259" s="5812">
        <v>3</v>
      </c>
      <c r="G4259" s="5813">
        <v>0.20833333333333334</v>
      </c>
      <c r="H4259" s="21" t="s">
        <v>10</v>
      </c>
      <c r="I4259" s="21" t="s">
        <v>23</v>
      </c>
      <c r="J4259" s="21" t="s">
        <v>11607</v>
      </c>
      <c r="K4259" s="5814" t="s">
        <v>12561</v>
      </c>
    </row>
    <row r="4260" spans="1:11">
      <c r="A4260" s="21" t="s">
        <v>3896</v>
      </c>
      <c r="B4260" s="21" t="s">
        <v>12562</v>
      </c>
      <c r="C4260" s="21" t="s">
        <v>8</v>
      </c>
      <c r="D4260" s="21" t="s">
        <v>1430</v>
      </c>
      <c r="E4260" s="21" t="s">
        <v>9</v>
      </c>
      <c r="F4260" s="5812">
        <v>3</v>
      </c>
      <c r="G4260" s="5813">
        <v>0.20833333333333334</v>
      </c>
      <c r="H4260" s="21" t="s">
        <v>10</v>
      </c>
      <c r="I4260" s="21" t="s">
        <v>609</v>
      </c>
      <c r="J4260" s="21" t="s">
        <v>12563</v>
      </c>
      <c r="K4260" s="5814" t="s">
        <v>12564</v>
      </c>
    </row>
    <row r="4261" spans="1:11">
      <c r="A4261" s="21" t="s">
        <v>2092</v>
      </c>
      <c r="B4261" s="21" t="s">
        <v>12565</v>
      </c>
      <c r="C4261" s="21" t="s">
        <v>8</v>
      </c>
      <c r="D4261" s="21" t="s">
        <v>1430</v>
      </c>
      <c r="E4261" s="21" t="s">
        <v>9</v>
      </c>
      <c r="F4261" s="5812">
        <v>3</v>
      </c>
      <c r="G4261" s="5813">
        <v>0.20833333333333334</v>
      </c>
      <c r="H4261" s="21" t="s">
        <v>10</v>
      </c>
      <c r="I4261" s="21" t="s">
        <v>11</v>
      </c>
      <c r="J4261" s="21" t="s">
        <v>592</v>
      </c>
      <c r="K4261" s="5814" t="s">
        <v>12566</v>
      </c>
    </row>
    <row r="4262" spans="1:11">
      <c r="A4262" s="21" t="s">
        <v>2372</v>
      </c>
      <c r="B4262" s="21" t="s">
        <v>12567</v>
      </c>
      <c r="C4262" s="21" t="s">
        <v>8</v>
      </c>
      <c r="D4262" s="21" t="s">
        <v>1430</v>
      </c>
      <c r="E4262" s="21" t="s">
        <v>9</v>
      </c>
      <c r="F4262" s="5812">
        <v>3</v>
      </c>
      <c r="G4262" s="5813">
        <v>0.20833333333333334</v>
      </c>
      <c r="H4262" s="21" t="s">
        <v>10</v>
      </c>
      <c r="I4262" s="21" t="s">
        <v>47</v>
      </c>
      <c r="J4262" s="21" t="s">
        <v>12568</v>
      </c>
      <c r="K4262" s="5814" t="s">
        <v>12569</v>
      </c>
    </row>
    <row r="4263" spans="1:11">
      <c r="A4263" s="21" t="s">
        <v>2100</v>
      </c>
      <c r="B4263" s="21" t="s">
        <v>12570</v>
      </c>
      <c r="C4263" s="21" t="s">
        <v>8</v>
      </c>
      <c r="D4263" s="21" t="s">
        <v>1430</v>
      </c>
      <c r="E4263" s="21" t="s">
        <v>9</v>
      </c>
      <c r="F4263" s="5812">
        <v>3</v>
      </c>
      <c r="G4263" s="5813">
        <v>0.20833333333333334</v>
      </c>
      <c r="H4263" s="21" t="s">
        <v>10</v>
      </c>
      <c r="I4263" s="21" t="s">
        <v>400</v>
      </c>
      <c r="J4263" s="21" t="s">
        <v>592</v>
      </c>
      <c r="K4263" s="5814" t="s">
        <v>12571</v>
      </c>
    </row>
    <row r="4264" spans="1:11">
      <c r="A4264" s="21" t="s">
        <v>2387</v>
      </c>
      <c r="B4264" s="21" t="s">
        <v>12572</v>
      </c>
      <c r="C4264" s="21" t="s">
        <v>22</v>
      </c>
      <c r="D4264" s="21" t="s">
        <v>1430</v>
      </c>
      <c r="E4264" s="21" t="s">
        <v>9</v>
      </c>
      <c r="F4264" s="5812">
        <v>3</v>
      </c>
      <c r="G4264" s="5813">
        <v>0.20833333333333334</v>
      </c>
      <c r="H4264" s="21" t="s">
        <v>10</v>
      </c>
      <c r="I4264" s="21" t="s">
        <v>11</v>
      </c>
      <c r="J4264" s="21" t="s">
        <v>12573</v>
      </c>
      <c r="K4264" s="5814" t="s">
        <v>12574</v>
      </c>
    </row>
    <row r="4265" spans="1:11">
      <c r="A4265" s="21" t="s">
        <v>2391</v>
      </c>
      <c r="B4265" s="21" t="s">
        <v>12575</v>
      </c>
      <c r="C4265" s="21" t="s">
        <v>22</v>
      </c>
      <c r="D4265" s="21" t="s">
        <v>1430</v>
      </c>
      <c r="E4265" s="21" t="s">
        <v>9</v>
      </c>
      <c r="F4265" s="5812">
        <v>3</v>
      </c>
      <c r="G4265" s="5813">
        <v>0.20833333333333334</v>
      </c>
      <c r="H4265" s="21" t="s">
        <v>10</v>
      </c>
      <c r="I4265" s="21" t="s">
        <v>39</v>
      </c>
      <c r="J4265" s="21" t="s">
        <v>12576</v>
      </c>
      <c r="K4265" s="5814" t="s">
        <v>12577</v>
      </c>
    </row>
    <row r="4266" spans="1:11">
      <c r="A4266" s="21" t="s">
        <v>2053</v>
      </c>
      <c r="B4266" s="21" t="s">
        <v>12578</v>
      </c>
      <c r="C4266" s="21" t="s">
        <v>8</v>
      </c>
      <c r="D4266" s="21" t="s">
        <v>1430</v>
      </c>
      <c r="E4266" s="21" t="s">
        <v>9</v>
      </c>
      <c r="F4266" s="5812">
        <v>3</v>
      </c>
      <c r="G4266" s="5813">
        <v>0.20833333333333334</v>
      </c>
      <c r="H4266" s="21" t="s">
        <v>10</v>
      </c>
      <c r="I4266" s="21" t="s">
        <v>96</v>
      </c>
      <c r="J4266" s="21" t="s">
        <v>12579</v>
      </c>
      <c r="K4266" s="5814" t="s">
        <v>12580</v>
      </c>
    </row>
    <row r="4267" spans="1:11">
      <c r="A4267" s="21" t="s">
        <v>3409</v>
      </c>
      <c r="B4267" s="21" t="s">
        <v>12581</v>
      </c>
      <c r="C4267" s="21" t="s">
        <v>22</v>
      </c>
      <c r="D4267" s="21" t="s">
        <v>1430</v>
      </c>
      <c r="E4267" s="21" t="s">
        <v>9</v>
      </c>
      <c r="F4267" s="5812">
        <v>3</v>
      </c>
      <c r="G4267" s="5813">
        <v>0.20833333333333334</v>
      </c>
      <c r="H4267" s="21" t="s">
        <v>10</v>
      </c>
      <c r="I4267" s="21" t="s">
        <v>654</v>
      </c>
      <c r="J4267" s="21" t="s">
        <v>12582</v>
      </c>
      <c r="K4267" s="5814" t="s">
        <v>12583</v>
      </c>
    </row>
    <row r="4268" spans="1:11">
      <c r="A4268" s="21" t="s">
        <v>2424</v>
      </c>
      <c r="B4268" s="21" t="s">
        <v>12584</v>
      </c>
      <c r="C4268" s="21" t="s">
        <v>22</v>
      </c>
      <c r="D4268" s="21" t="s">
        <v>1430</v>
      </c>
      <c r="E4268" s="21" t="s">
        <v>9</v>
      </c>
      <c r="F4268" s="5812">
        <v>3</v>
      </c>
      <c r="G4268" s="5813">
        <v>0.20833333333333334</v>
      </c>
      <c r="H4268" s="21" t="s">
        <v>10</v>
      </c>
      <c r="I4268" s="21" t="s">
        <v>23</v>
      </c>
      <c r="J4268" s="21" t="s">
        <v>12585</v>
      </c>
      <c r="K4268" s="5814" t="s">
        <v>12586</v>
      </c>
    </row>
    <row r="4269" spans="1:11">
      <c r="A4269" s="21" t="s">
        <v>3183</v>
      </c>
      <c r="B4269" s="21" t="s">
        <v>12587</v>
      </c>
      <c r="C4269" s="21" t="s">
        <v>8</v>
      </c>
      <c r="D4269" s="21" t="s">
        <v>1430</v>
      </c>
      <c r="E4269" s="21" t="s">
        <v>9</v>
      </c>
      <c r="F4269" s="5812">
        <v>3</v>
      </c>
      <c r="G4269" s="5813">
        <v>0.20833333333333334</v>
      </c>
      <c r="H4269" s="21" t="s">
        <v>10</v>
      </c>
      <c r="I4269" s="21" t="s">
        <v>39</v>
      </c>
      <c r="J4269" s="21" t="s">
        <v>12588</v>
      </c>
      <c r="K4269" s="5814" t="s">
        <v>12589</v>
      </c>
    </row>
    <row r="4270" spans="1:11">
      <c r="A4270" s="21" t="s">
        <v>2428</v>
      </c>
      <c r="B4270" s="21" t="s">
        <v>12590</v>
      </c>
      <c r="C4270" s="21" t="s">
        <v>22</v>
      </c>
      <c r="D4270" s="21" t="s">
        <v>1430</v>
      </c>
      <c r="E4270" s="21" t="s">
        <v>9</v>
      </c>
      <c r="F4270" s="5812">
        <v>3</v>
      </c>
      <c r="G4270" s="5813">
        <v>0.20833333333333334</v>
      </c>
      <c r="H4270" s="21" t="s">
        <v>10</v>
      </c>
      <c r="I4270" s="21" t="s">
        <v>96</v>
      </c>
      <c r="J4270" s="21" t="s">
        <v>12591</v>
      </c>
      <c r="K4270" s="5814" t="s">
        <v>12592</v>
      </c>
    </row>
    <row r="4271" spans="1:11">
      <c r="A4271" s="21" t="s">
        <v>2433</v>
      </c>
      <c r="B4271" s="21" t="s">
        <v>12593</v>
      </c>
      <c r="C4271" s="21" t="s">
        <v>8</v>
      </c>
      <c r="D4271" s="21" t="s">
        <v>1430</v>
      </c>
      <c r="E4271" s="21" t="s">
        <v>9</v>
      </c>
      <c r="F4271" s="5812">
        <v>3</v>
      </c>
      <c r="G4271" s="5813">
        <v>0.20833333333333334</v>
      </c>
      <c r="H4271" s="21" t="s">
        <v>10</v>
      </c>
      <c r="I4271" s="21" t="s">
        <v>11</v>
      </c>
      <c r="J4271" s="21" t="s">
        <v>12594</v>
      </c>
      <c r="K4271" s="5814" t="s">
        <v>12595</v>
      </c>
    </row>
    <row r="4272" spans="1:11">
      <c r="A4272" s="21" t="s">
        <v>2446</v>
      </c>
      <c r="B4272" s="21" t="s">
        <v>12596</v>
      </c>
      <c r="C4272" s="21" t="s">
        <v>22</v>
      </c>
      <c r="D4272" s="21" t="s">
        <v>1430</v>
      </c>
      <c r="E4272" s="21" t="s">
        <v>9</v>
      </c>
      <c r="F4272" s="5812">
        <v>3</v>
      </c>
      <c r="G4272" s="5813">
        <v>0.20833333333333334</v>
      </c>
      <c r="H4272" s="21" t="s">
        <v>10</v>
      </c>
      <c r="I4272" s="21" t="s">
        <v>39</v>
      </c>
      <c r="J4272" s="21" t="s">
        <v>12597</v>
      </c>
      <c r="K4272" s="5814" t="s">
        <v>12598</v>
      </c>
    </row>
    <row r="4273" spans="1:11">
      <c r="A4273" s="21" t="s">
        <v>2897</v>
      </c>
      <c r="B4273" s="21" t="s">
        <v>12599</v>
      </c>
      <c r="C4273" s="21" t="s">
        <v>8</v>
      </c>
      <c r="D4273" s="21" t="s">
        <v>1430</v>
      </c>
      <c r="E4273" s="21" t="s">
        <v>9</v>
      </c>
      <c r="F4273" s="5812">
        <v>3</v>
      </c>
      <c r="G4273" s="5813">
        <v>0.20833333333333334</v>
      </c>
      <c r="H4273" s="21" t="s">
        <v>10</v>
      </c>
      <c r="I4273" s="21" t="s">
        <v>23</v>
      </c>
      <c r="J4273" s="21" t="s">
        <v>12600</v>
      </c>
      <c r="K4273" s="5814" t="s">
        <v>12601</v>
      </c>
    </row>
    <row r="4274" spans="1:11">
      <c r="A4274" s="21" t="s">
        <v>2104</v>
      </c>
      <c r="B4274" s="21" t="s">
        <v>12602</v>
      </c>
      <c r="C4274" s="21" t="s">
        <v>22</v>
      </c>
      <c r="D4274" s="21" t="s">
        <v>1430</v>
      </c>
      <c r="E4274" s="21" t="s">
        <v>9</v>
      </c>
      <c r="F4274" s="5812">
        <v>3</v>
      </c>
      <c r="G4274" s="5813">
        <v>0.20833333333333334</v>
      </c>
      <c r="H4274" s="21" t="s">
        <v>10</v>
      </c>
      <c r="I4274" s="21" t="s">
        <v>55</v>
      </c>
      <c r="J4274" s="21" t="s">
        <v>12603</v>
      </c>
      <c r="K4274" s="5814" t="s">
        <v>12604</v>
      </c>
    </row>
    <row r="4275" spans="1:11">
      <c r="A4275" s="21" t="s">
        <v>2104</v>
      </c>
      <c r="B4275" s="21" t="s">
        <v>12605</v>
      </c>
      <c r="C4275" s="21" t="s">
        <v>8</v>
      </c>
      <c r="D4275" s="21" t="s">
        <v>1430</v>
      </c>
      <c r="E4275" s="21" t="s">
        <v>9</v>
      </c>
      <c r="F4275" s="5812">
        <v>3</v>
      </c>
      <c r="G4275" s="5813">
        <v>0.20833333333333334</v>
      </c>
      <c r="H4275" s="21" t="s">
        <v>10</v>
      </c>
      <c r="I4275" s="21" t="s">
        <v>39</v>
      </c>
      <c r="J4275" s="21" t="s">
        <v>12606</v>
      </c>
      <c r="K4275" s="5814" t="s">
        <v>12607</v>
      </c>
    </row>
    <row r="4276" spans="1:11">
      <c r="A4276" s="21" t="s">
        <v>3974</v>
      </c>
      <c r="B4276" s="21" t="s">
        <v>12608</v>
      </c>
      <c r="C4276" s="21" t="s">
        <v>8</v>
      </c>
      <c r="D4276" s="21" t="s">
        <v>1430</v>
      </c>
      <c r="E4276" s="21" t="s">
        <v>9</v>
      </c>
      <c r="F4276" s="5812">
        <v>3</v>
      </c>
      <c r="G4276" s="5813">
        <v>0.20833333333333334</v>
      </c>
      <c r="H4276" s="21" t="s">
        <v>10</v>
      </c>
      <c r="I4276" s="21" t="s">
        <v>2544</v>
      </c>
      <c r="J4276" s="21" t="s">
        <v>12609</v>
      </c>
      <c r="K4276" s="5814" t="s">
        <v>12610</v>
      </c>
    </row>
    <row r="4277" spans="1:11">
      <c r="A4277" s="21" t="s">
        <v>2467</v>
      </c>
      <c r="B4277" s="21" t="s">
        <v>12611</v>
      </c>
      <c r="C4277" s="21" t="s">
        <v>8</v>
      </c>
      <c r="D4277" s="21" t="s">
        <v>1430</v>
      </c>
      <c r="E4277" s="21" t="s">
        <v>9</v>
      </c>
      <c r="F4277" s="5812">
        <v>3</v>
      </c>
      <c r="G4277" s="5813">
        <v>0.20833333333333334</v>
      </c>
      <c r="H4277" s="21" t="s">
        <v>10</v>
      </c>
      <c r="I4277" s="21" t="s">
        <v>11</v>
      </c>
      <c r="J4277" s="21" t="s">
        <v>12612</v>
      </c>
      <c r="K4277" s="5814" t="s">
        <v>12613</v>
      </c>
    </row>
    <row r="4278" spans="1:11">
      <c r="A4278" s="21" t="s">
        <v>2467</v>
      </c>
      <c r="B4278" s="21" t="s">
        <v>12614</v>
      </c>
      <c r="C4278" s="21" t="s">
        <v>22</v>
      </c>
      <c r="D4278" s="21" t="s">
        <v>1430</v>
      </c>
      <c r="E4278" s="21" t="s">
        <v>9</v>
      </c>
      <c r="F4278" s="5812">
        <v>3</v>
      </c>
      <c r="G4278" s="5813">
        <v>0.20833333333333334</v>
      </c>
      <c r="H4278" s="21" t="s">
        <v>10</v>
      </c>
      <c r="I4278" s="21" t="s">
        <v>96</v>
      </c>
      <c r="J4278" s="21" t="s">
        <v>12615</v>
      </c>
      <c r="K4278" s="5814" t="s">
        <v>12616</v>
      </c>
    </row>
    <row r="4279" spans="1:11">
      <c r="A4279" s="21" t="s">
        <v>2115</v>
      </c>
      <c r="B4279" s="21" t="s">
        <v>12617</v>
      </c>
      <c r="C4279" s="21" t="s">
        <v>8</v>
      </c>
      <c r="D4279" s="21" t="s">
        <v>1430</v>
      </c>
      <c r="E4279" s="21" t="s">
        <v>9</v>
      </c>
      <c r="F4279" s="5812">
        <v>3</v>
      </c>
      <c r="G4279" s="5813">
        <v>0.20833333333333334</v>
      </c>
      <c r="H4279" s="21" t="s">
        <v>10</v>
      </c>
      <c r="I4279" s="21" t="s">
        <v>89</v>
      </c>
      <c r="J4279" s="21" t="s">
        <v>12618</v>
      </c>
      <c r="K4279" s="5814" t="s">
        <v>12619</v>
      </c>
    </row>
    <row r="4280" spans="1:11">
      <c r="A4280" s="21" t="s">
        <v>3643</v>
      </c>
      <c r="B4280" s="21" t="s">
        <v>12620</v>
      </c>
      <c r="C4280" s="21" t="s">
        <v>8</v>
      </c>
      <c r="D4280" s="21" t="s">
        <v>1430</v>
      </c>
      <c r="E4280" s="21" t="s">
        <v>9</v>
      </c>
      <c r="F4280" s="5812">
        <v>3</v>
      </c>
      <c r="G4280" s="5813">
        <v>0.20833333333333334</v>
      </c>
      <c r="H4280" s="21" t="s">
        <v>10</v>
      </c>
      <c r="I4280" s="21" t="s">
        <v>11</v>
      </c>
      <c r="J4280" s="21" t="s">
        <v>12621</v>
      </c>
      <c r="K4280" s="5814" t="s">
        <v>12622</v>
      </c>
    </row>
    <row r="4281" spans="1:11">
      <c r="A4281" s="21" t="s">
        <v>2057</v>
      </c>
      <c r="B4281" s="21" t="s">
        <v>12623</v>
      </c>
      <c r="C4281" s="21" t="s">
        <v>8</v>
      </c>
      <c r="D4281" s="21" t="s">
        <v>1430</v>
      </c>
      <c r="E4281" s="21" t="s">
        <v>9</v>
      </c>
      <c r="F4281" s="5812">
        <v>3</v>
      </c>
      <c r="G4281" s="5813">
        <v>0.20833333333333334</v>
      </c>
      <c r="H4281" s="21" t="s">
        <v>10</v>
      </c>
      <c r="I4281" s="21" t="s">
        <v>11</v>
      </c>
      <c r="J4281" s="21" t="s">
        <v>12624</v>
      </c>
      <c r="K4281" s="5814" t="s">
        <v>12625</v>
      </c>
    </row>
    <row r="4282" spans="1:11">
      <c r="A4282" s="21" t="s">
        <v>2499</v>
      </c>
      <c r="B4282" s="21" t="s">
        <v>12626</v>
      </c>
      <c r="C4282" s="21" t="s">
        <v>8</v>
      </c>
      <c r="D4282" s="21" t="s">
        <v>1430</v>
      </c>
      <c r="E4282" s="21" t="s">
        <v>9</v>
      </c>
      <c r="F4282" s="5812">
        <v>3</v>
      </c>
      <c r="G4282" s="5813">
        <v>0.20833333333333334</v>
      </c>
      <c r="H4282" s="21" t="s">
        <v>10</v>
      </c>
      <c r="I4282" s="21" t="s">
        <v>96</v>
      </c>
      <c r="J4282" s="21" t="s">
        <v>7321</v>
      </c>
      <c r="K4282" s="5814" t="s">
        <v>12627</v>
      </c>
    </row>
    <row r="4283" spans="1:11">
      <c r="A4283" s="21" t="s">
        <v>2969</v>
      </c>
      <c r="B4283" s="21" t="s">
        <v>12628</v>
      </c>
      <c r="C4283" s="21" t="s">
        <v>22</v>
      </c>
      <c r="D4283" s="21" t="s">
        <v>1430</v>
      </c>
      <c r="E4283" s="21" t="s">
        <v>9</v>
      </c>
      <c r="F4283" s="5812">
        <v>3</v>
      </c>
      <c r="G4283" s="5813">
        <v>0.20833333333333334</v>
      </c>
      <c r="H4283" s="21" t="s">
        <v>10</v>
      </c>
      <c r="I4283" s="21" t="s">
        <v>39</v>
      </c>
      <c r="J4283" s="21" t="s">
        <v>12629</v>
      </c>
      <c r="K4283" s="5814" t="s">
        <v>12630</v>
      </c>
    </row>
    <row r="4284" spans="1:11">
      <c r="A4284" s="21" t="s">
        <v>3134</v>
      </c>
      <c r="B4284" s="21" t="s">
        <v>12631</v>
      </c>
      <c r="C4284" s="21" t="s">
        <v>8</v>
      </c>
      <c r="D4284" s="21" t="s">
        <v>1430</v>
      </c>
      <c r="E4284" s="21" t="s">
        <v>9</v>
      </c>
      <c r="F4284" s="5812">
        <v>3</v>
      </c>
      <c r="G4284" s="5813">
        <v>0.20833333333333334</v>
      </c>
      <c r="H4284" s="21" t="s">
        <v>10</v>
      </c>
      <c r="I4284" s="21" t="s">
        <v>89</v>
      </c>
      <c r="J4284" s="21" t="s">
        <v>12632</v>
      </c>
      <c r="K4284" s="5814" t="s">
        <v>12633</v>
      </c>
    </row>
    <row r="4285" spans="1:11">
      <c r="A4285" s="21" t="s">
        <v>3134</v>
      </c>
      <c r="B4285" s="21" t="s">
        <v>12634</v>
      </c>
      <c r="C4285" s="21" t="s">
        <v>22</v>
      </c>
      <c r="D4285" s="21" t="s">
        <v>1430</v>
      </c>
      <c r="E4285" s="21" t="s">
        <v>9</v>
      </c>
      <c r="F4285" s="5812">
        <v>3</v>
      </c>
      <c r="G4285" s="5813">
        <v>0.20833333333333334</v>
      </c>
      <c r="H4285" s="21" t="s">
        <v>10</v>
      </c>
      <c r="I4285" s="21" t="s">
        <v>89</v>
      </c>
      <c r="J4285" s="21" t="s">
        <v>12635</v>
      </c>
      <c r="K4285" s="5814" t="s">
        <v>12636</v>
      </c>
    </row>
    <row r="4286" spans="1:11">
      <c r="A4286" s="21" t="s">
        <v>4047</v>
      </c>
      <c r="B4286" s="21" t="s">
        <v>12637</v>
      </c>
      <c r="C4286" s="21" t="s">
        <v>8</v>
      </c>
      <c r="D4286" s="21" t="s">
        <v>1430</v>
      </c>
      <c r="E4286" s="21" t="s">
        <v>9</v>
      </c>
      <c r="F4286" s="5812">
        <v>3</v>
      </c>
      <c r="G4286" s="5813">
        <v>0.20833333333333334</v>
      </c>
      <c r="H4286" s="21" t="s">
        <v>10</v>
      </c>
      <c r="I4286" s="21" t="s">
        <v>96</v>
      </c>
      <c r="J4286" s="21" t="s">
        <v>11607</v>
      </c>
      <c r="K4286" s="5814" t="s">
        <v>12638</v>
      </c>
    </row>
    <row r="4287" spans="1:11">
      <c r="A4287" s="21" t="s">
        <v>2127</v>
      </c>
      <c r="B4287" s="21" t="s">
        <v>12639</v>
      </c>
      <c r="C4287" s="21" t="s">
        <v>8</v>
      </c>
      <c r="D4287" s="21" t="s">
        <v>1430</v>
      </c>
      <c r="E4287" s="21" t="s">
        <v>9</v>
      </c>
      <c r="F4287" s="5812">
        <v>3</v>
      </c>
      <c r="G4287" s="5813">
        <v>0.20833333333333334</v>
      </c>
      <c r="H4287" s="21" t="s">
        <v>10</v>
      </c>
      <c r="I4287" s="21" t="s">
        <v>96</v>
      </c>
      <c r="J4287" s="21" t="s">
        <v>12640</v>
      </c>
      <c r="K4287" s="5814" t="s">
        <v>12641</v>
      </c>
    </row>
    <row r="4288" spans="1:11">
      <c r="A4288" s="21" t="s">
        <v>2127</v>
      </c>
      <c r="B4288" s="21" t="s">
        <v>12642</v>
      </c>
      <c r="C4288" s="21" t="s">
        <v>22</v>
      </c>
      <c r="D4288" s="21" t="s">
        <v>1430</v>
      </c>
      <c r="E4288" s="21" t="s">
        <v>9</v>
      </c>
      <c r="F4288" s="5812">
        <v>3</v>
      </c>
      <c r="G4288" s="5813">
        <v>0.20833333333333334</v>
      </c>
      <c r="H4288" s="21" t="s">
        <v>10</v>
      </c>
      <c r="I4288" s="21" t="s">
        <v>96</v>
      </c>
      <c r="J4288" s="21" t="s">
        <v>12134</v>
      </c>
      <c r="K4288" s="5814" t="s">
        <v>12643</v>
      </c>
    </row>
    <row r="4289" spans="1:11">
      <c r="A4289" s="21" t="s">
        <v>2127</v>
      </c>
      <c r="B4289" s="21" t="s">
        <v>12644</v>
      </c>
      <c r="C4289" s="21" t="s">
        <v>22</v>
      </c>
      <c r="D4289" s="21" t="s">
        <v>1430</v>
      </c>
      <c r="E4289" s="21" t="s">
        <v>9</v>
      </c>
      <c r="F4289" s="5812">
        <v>3</v>
      </c>
      <c r="G4289" s="5813">
        <v>0.20833333333333334</v>
      </c>
      <c r="H4289" s="21" t="s">
        <v>10</v>
      </c>
      <c r="I4289" s="21" t="s">
        <v>39</v>
      </c>
      <c r="J4289" s="21" t="s">
        <v>12645</v>
      </c>
      <c r="K4289" s="5814" t="s">
        <v>12646</v>
      </c>
    </row>
    <row r="4290" spans="1:11">
      <c r="A4290" s="21" t="s">
        <v>2513</v>
      </c>
      <c r="B4290" s="21" t="s">
        <v>12647</v>
      </c>
      <c r="C4290" s="21" t="s">
        <v>22</v>
      </c>
      <c r="D4290" s="21" t="s">
        <v>1430</v>
      </c>
      <c r="E4290" s="21" t="s">
        <v>9</v>
      </c>
      <c r="F4290" s="5812">
        <v>3</v>
      </c>
      <c r="G4290" s="5813">
        <v>0.20833333333333334</v>
      </c>
      <c r="H4290" s="21" t="s">
        <v>10</v>
      </c>
      <c r="I4290" s="21" t="s">
        <v>96</v>
      </c>
      <c r="J4290" s="21" t="s">
        <v>1420</v>
      </c>
      <c r="K4290" s="5814" t="s">
        <v>12648</v>
      </c>
    </row>
    <row r="4291" spans="1:11">
      <c r="A4291" s="21" t="s">
        <v>2521</v>
      </c>
      <c r="B4291" s="21" t="s">
        <v>12649</v>
      </c>
      <c r="C4291" s="21" t="s">
        <v>8</v>
      </c>
      <c r="D4291" s="21" t="s">
        <v>1430</v>
      </c>
      <c r="E4291" s="21" t="s">
        <v>9</v>
      </c>
      <c r="F4291" s="5812">
        <v>3</v>
      </c>
      <c r="G4291" s="5813">
        <v>0.20833333333333334</v>
      </c>
      <c r="H4291" s="21" t="s">
        <v>10</v>
      </c>
      <c r="I4291" s="21" t="s">
        <v>47</v>
      </c>
      <c r="J4291" s="21" t="s">
        <v>12650</v>
      </c>
      <c r="K4291" s="5814" t="s">
        <v>12651</v>
      </c>
    </row>
    <row r="4292" spans="1:11">
      <c r="A4292" s="21" t="s">
        <v>2291</v>
      </c>
      <c r="B4292" s="21" t="s">
        <v>12652</v>
      </c>
      <c r="C4292" s="21" t="s">
        <v>8</v>
      </c>
      <c r="D4292" s="21" t="s">
        <v>1430</v>
      </c>
      <c r="E4292" s="21" t="s">
        <v>9</v>
      </c>
      <c r="F4292" s="5812">
        <v>3</v>
      </c>
      <c r="G4292" s="5813">
        <v>0.20833333333333334</v>
      </c>
      <c r="H4292" s="21" t="s">
        <v>10</v>
      </c>
      <c r="I4292" s="21" t="s">
        <v>96</v>
      </c>
      <c r="J4292" s="21" t="s">
        <v>12653</v>
      </c>
      <c r="K4292" s="5814" t="s">
        <v>12654</v>
      </c>
    </row>
    <row r="4293" spans="1:11">
      <c r="A4293" s="21" t="s">
        <v>2530</v>
      </c>
      <c r="B4293" s="21" t="s">
        <v>12655</v>
      </c>
      <c r="C4293" s="21" t="s">
        <v>22</v>
      </c>
      <c r="D4293" s="21" t="s">
        <v>1430</v>
      </c>
      <c r="E4293" s="21" t="s">
        <v>9</v>
      </c>
      <c r="F4293" s="5812">
        <v>3</v>
      </c>
      <c r="G4293" s="5813">
        <v>0.20833333333333334</v>
      </c>
      <c r="H4293" s="21" t="s">
        <v>10</v>
      </c>
      <c r="I4293" s="21" t="s">
        <v>39</v>
      </c>
      <c r="J4293" s="21" t="s">
        <v>12656</v>
      </c>
      <c r="K4293" s="5814" t="s">
        <v>12657</v>
      </c>
    </row>
    <row r="4294" spans="1:11">
      <c r="A4294" s="21" t="s">
        <v>3597</v>
      </c>
      <c r="B4294" s="21" t="s">
        <v>12658</v>
      </c>
      <c r="C4294" s="21" t="s">
        <v>8</v>
      </c>
      <c r="D4294" s="21" t="s">
        <v>1430</v>
      </c>
      <c r="E4294" s="21" t="s">
        <v>9</v>
      </c>
      <c r="F4294" s="5812">
        <v>3</v>
      </c>
      <c r="G4294" s="5813">
        <v>0.20833333333333334</v>
      </c>
      <c r="H4294" s="21" t="s">
        <v>10</v>
      </c>
      <c r="I4294" s="21" t="s">
        <v>39</v>
      </c>
      <c r="J4294" s="21" t="s">
        <v>12632</v>
      </c>
      <c r="K4294" s="5814" t="s">
        <v>12659</v>
      </c>
    </row>
    <row r="4295" spans="1:11">
      <c r="A4295" s="21" t="s">
        <v>2065</v>
      </c>
      <c r="B4295" s="21" t="s">
        <v>12660</v>
      </c>
      <c r="C4295" s="21" t="s">
        <v>8</v>
      </c>
      <c r="D4295" s="21" t="s">
        <v>1430</v>
      </c>
      <c r="E4295" s="21" t="s">
        <v>9</v>
      </c>
      <c r="F4295" s="5812">
        <v>3</v>
      </c>
      <c r="G4295" s="5813">
        <v>0.20833333333333334</v>
      </c>
      <c r="H4295" s="21" t="s">
        <v>10</v>
      </c>
      <c r="I4295" s="21" t="s">
        <v>2747</v>
      </c>
      <c r="J4295" s="21" t="s">
        <v>12661</v>
      </c>
      <c r="K4295" s="5814" t="s">
        <v>12662</v>
      </c>
    </row>
    <row r="4296" spans="1:11">
      <c r="A4296" s="21" t="s">
        <v>4565</v>
      </c>
      <c r="B4296" s="21" t="s">
        <v>12663</v>
      </c>
      <c r="C4296" s="21" t="s">
        <v>22</v>
      </c>
      <c r="D4296" s="21" t="s">
        <v>1430</v>
      </c>
      <c r="E4296" s="21" t="s">
        <v>9</v>
      </c>
      <c r="F4296" s="5812">
        <v>3</v>
      </c>
      <c r="G4296" s="5813">
        <v>0.20833333333333334</v>
      </c>
      <c r="H4296" s="21" t="s">
        <v>10</v>
      </c>
      <c r="I4296" s="21" t="s">
        <v>6556</v>
      </c>
      <c r="J4296" s="21" t="s">
        <v>12664</v>
      </c>
      <c r="K4296" s="5814" t="s">
        <v>12665</v>
      </c>
    </row>
    <row r="4297" spans="1:11">
      <c r="A4297" s="21" t="s">
        <v>4565</v>
      </c>
      <c r="B4297" s="21" t="s">
        <v>12666</v>
      </c>
      <c r="C4297" s="21" t="s">
        <v>22</v>
      </c>
      <c r="D4297" s="21" t="s">
        <v>1430</v>
      </c>
      <c r="E4297" s="21" t="s">
        <v>9</v>
      </c>
      <c r="F4297" s="5812">
        <v>3</v>
      </c>
      <c r="G4297" s="5813">
        <v>0.20833333333333334</v>
      </c>
      <c r="H4297" s="21" t="s">
        <v>10</v>
      </c>
      <c r="I4297" s="21" t="s">
        <v>3534</v>
      </c>
      <c r="J4297" s="21" t="s">
        <v>12667</v>
      </c>
      <c r="K4297" s="5814" t="s">
        <v>12668</v>
      </c>
    </row>
    <row r="4298" spans="1:11">
      <c r="A4298" s="21" t="s">
        <v>3208</v>
      </c>
      <c r="B4298" s="21" t="s">
        <v>12669</v>
      </c>
      <c r="C4298" s="21" t="s">
        <v>22</v>
      </c>
      <c r="D4298" s="21" t="s">
        <v>1430</v>
      </c>
      <c r="E4298" s="21" t="s">
        <v>9</v>
      </c>
      <c r="F4298" s="5812">
        <v>3</v>
      </c>
      <c r="G4298" s="5813">
        <v>0.20833333333333334</v>
      </c>
      <c r="H4298" s="21" t="s">
        <v>10</v>
      </c>
      <c r="I4298" s="21" t="s">
        <v>5994</v>
      </c>
      <c r="J4298" s="21" t="s">
        <v>12670</v>
      </c>
      <c r="K4298" s="5814" t="s">
        <v>12671</v>
      </c>
    </row>
    <row r="4299" spans="1:11">
      <c r="A4299" s="21" t="s">
        <v>2169</v>
      </c>
      <c r="B4299" s="21" t="s">
        <v>12672</v>
      </c>
      <c r="C4299" s="21" t="s">
        <v>8</v>
      </c>
      <c r="D4299" s="21" t="s">
        <v>1430</v>
      </c>
      <c r="E4299" s="21" t="s">
        <v>9</v>
      </c>
      <c r="F4299" s="5812">
        <v>3</v>
      </c>
      <c r="G4299" s="5813">
        <v>0.20833333333333334</v>
      </c>
      <c r="H4299" s="21" t="s">
        <v>10</v>
      </c>
      <c r="I4299" s="21" t="s">
        <v>96</v>
      </c>
      <c r="J4299" s="21" t="s">
        <v>12673</v>
      </c>
      <c r="K4299" s="5814" t="s">
        <v>12674</v>
      </c>
    </row>
    <row r="4300" spans="1:11">
      <c r="A4300" s="21" t="s">
        <v>2174</v>
      </c>
      <c r="B4300" s="21" t="s">
        <v>12675</v>
      </c>
      <c r="C4300" s="21" t="s">
        <v>22</v>
      </c>
      <c r="D4300" s="21" t="s">
        <v>1430</v>
      </c>
      <c r="E4300" s="21" t="s">
        <v>9</v>
      </c>
      <c r="F4300" s="5812">
        <v>3</v>
      </c>
      <c r="G4300" s="5813">
        <v>0.20833333333333334</v>
      </c>
      <c r="H4300" s="21" t="s">
        <v>10</v>
      </c>
      <c r="I4300" s="21" t="s">
        <v>788</v>
      </c>
      <c r="J4300" s="21" t="s">
        <v>12676</v>
      </c>
      <c r="K4300" s="5814" t="s">
        <v>12677</v>
      </c>
    </row>
    <row r="4301" spans="1:11">
      <c r="A4301" s="21" t="s">
        <v>2595</v>
      </c>
      <c r="B4301" s="21" t="s">
        <v>12678</v>
      </c>
      <c r="C4301" s="21" t="s">
        <v>22</v>
      </c>
      <c r="D4301" s="21" t="s">
        <v>1430</v>
      </c>
      <c r="E4301" s="21" t="s">
        <v>9</v>
      </c>
      <c r="F4301" s="5812">
        <v>3</v>
      </c>
      <c r="G4301" s="5813">
        <v>0.20833333333333334</v>
      </c>
      <c r="H4301" s="21" t="s">
        <v>10</v>
      </c>
      <c r="I4301" s="21" t="s">
        <v>96</v>
      </c>
      <c r="J4301" s="21" t="s">
        <v>12679</v>
      </c>
      <c r="K4301" s="5814" t="s">
        <v>12680</v>
      </c>
    </row>
    <row r="4302" spans="1:11">
      <c r="A4302" s="21" t="s">
        <v>2985</v>
      </c>
      <c r="B4302" s="21" t="s">
        <v>12681</v>
      </c>
      <c r="C4302" s="21" t="s">
        <v>8</v>
      </c>
      <c r="D4302" s="21" t="s">
        <v>1430</v>
      </c>
      <c r="E4302" s="21" t="s">
        <v>9</v>
      </c>
      <c r="F4302" s="5812">
        <v>3</v>
      </c>
      <c r="G4302" s="5813">
        <v>0.20833333333333334</v>
      </c>
      <c r="H4302" s="21" t="s">
        <v>10</v>
      </c>
      <c r="I4302" s="21" t="s">
        <v>96</v>
      </c>
      <c r="J4302" s="21" t="s">
        <v>10395</v>
      </c>
      <c r="K4302" s="5814" t="s">
        <v>12682</v>
      </c>
    </row>
    <row r="4303" spans="1:11">
      <c r="A4303" s="21" t="s">
        <v>2605</v>
      </c>
      <c r="B4303" s="21" t="s">
        <v>12683</v>
      </c>
      <c r="C4303" s="21" t="s">
        <v>8</v>
      </c>
      <c r="D4303" s="21" t="s">
        <v>1430</v>
      </c>
      <c r="E4303" s="21" t="s">
        <v>9</v>
      </c>
      <c r="F4303" s="5812">
        <v>3</v>
      </c>
      <c r="G4303" s="5813">
        <v>0.20833333333333334</v>
      </c>
      <c r="H4303" s="21" t="s">
        <v>10</v>
      </c>
      <c r="I4303" s="21" t="s">
        <v>263</v>
      </c>
      <c r="J4303" s="21" t="s">
        <v>12684</v>
      </c>
      <c r="K4303" s="5814" t="s">
        <v>12685</v>
      </c>
    </row>
    <row r="4304" spans="1:11">
      <c r="A4304" s="21" t="s">
        <v>2609</v>
      </c>
      <c r="B4304" s="21" t="s">
        <v>12686</v>
      </c>
      <c r="C4304" s="21" t="s">
        <v>8</v>
      </c>
      <c r="D4304" s="21" t="s">
        <v>1430</v>
      </c>
      <c r="E4304" s="21" t="s">
        <v>9</v>
      </c>
      <c r="F4304" s="5812">
        <v>3</v>
      </c>
      <c r="G4304" s="5813">
        <v>0.20833333333333334</v>
      </c>
      <c r="H4304" s="21" t="s">
        <v>10</v>
      </c>
      <c r="I4304" s="21" t="s">
        <v>2665</v>
      </c>
      <c r="J4304" s="21" t="s">
        <v>12687</v>
      </c>
      <c r="K4304" s="5814" t="s">
        <v>12688</v>
      </c>
    </row>
    <row r="4305" spans="1:11">
      <c r="A4305" s="21" t="s">
        <v>2609</v>
      </c>
      <c r="B4305" s="21" t="s">
        <v>12689</v>
      </c>
      <c r="C4305" s="21" t="s">
        <v>22</v>
      </c>
      <c r="D4305" s="21" t="s">
        <v>1430</v>
      </c>
      <c r="E4305" s="21" t="s">
        <v>9</v>
      </c>
      <c r="F4305" s="5812">
        <v>3</v>
      </c>
      <c r="G4305" s="5813">
        <v>0.20833333333333334</v>
      </c>
      <c r="H4305" s="21" t="s">
        <v>10</v>
      </c>
      <c r="I4305" s="21" t="s">
        <v>187</v>
      </c>
      <c r="J4305" s="21" t="s">
        <v>12690</v>
      </c>
      <c r="K4305" s="5814" t="s">
        <v>12691</v>
      </c>
    </row>
    <row r="4306" spans="1:11">
      <c r="A4306" s="21" t="s">
        <v>2609</v>
      </c>
      <c r="B4306" s="21" t="s">
        <v>12692</v>
      </c>
      <c r="C4306" s="21" t="s">
        <v>8</v>
      </c>
      <c r="D4306" s="21" t="s">
        <v>1430</v>
      </c>
      <c r="E4306" s="21" t="s">
        <v>9</v>
      </c>
      <c r="F4306" s="5812">
        <v>3</v>
      </c>
      <c r="G4306" s="5813">
        <v>0.20833333333333334</v>
      </c>
      <c r="H4306" s="21" t="s">
        <v>10</v>
      </c>
      <c r="I4306" s="21" t="s">
        <v>2665</v>
      </c>
      <c r="J4306" s="21" t="s">
        <v>12687</v>
      </c>
      <c r="K4306" s="5814" t="s">
        <v>12693</v>
      </c>
    </row>
    <row r="4307" spans="1:11">
      <c r="A4307" s="21" t="s">
        <v>2184</v>
      </c>
      <c r="B4307" s="21" t="s">
        <v>12694</v>
      </c>
      <c r="C4307" s="21" t="s">
        <v>8</v>
      </c>
      <c r="D4307" s="21" t="s">
        <v>1430</v>
      </c>
      <c r="E4307" s="21" t="s">
        <v>9</v>
      </c>
      <c r="F4307" s="5812">
        <v>3</v>
      </c>
      <c r="G4307" s="5813">
        <v>0.20833333333333334</v>
      </c>
      <c r="H4307" s="21" t="s">
        <v>10</v>
      </c>
      <c r="I4307" s="21" t="s">
        <v>6929</v>
      </c>
      <c r="J4307" s="21" t="s">
        <v>12695</v>
      </c>
      <c r="K4307" s="5814" t="s">
        <v>12696</v>
      </c>
    </row>
    <row r="4308" spans="1:11">
      <c r="A4308" s="21" t="s">
        <v>2184</v>
      </c>
      <c r="B4308" s="21" t="s">
        <v>12697</v>
      </c>
      <c r="C4308" s="21" t="s">
        <v>8</v>
      </c>
      <c r="D4308" s="21" t="s">
        <v>1430</v>
      </c>
      <c r="E4308" s="21" t="s">
        <v>9</v>
      </c>
      <c r="F4308" s="5812">
        <v>3</v>
      </c>
      <c r="G4308" s="5813">
        <v>0.20833333333333334</v>
      </c>
      <c r="H4308" s="21" t="s">
        <v>10</v>
      </c>
      <c r="I4308" s="21" t="s">
        <v>6929</v>
      </c>
      <c r="J4308" s="21" t="s">
        <v>12698</v>
      </c>
      <c r="K4308" s="5814" t="s">
        <v>12699</v>
      </c>
    </row>
    <row r="4309" spans="1:11">
      <c r="A4309" s="21" t="s">
        <v>2630</v>
      </c>
      <c r="B4309" s="21" t="s">
        <v>12700</v>
      </c>
      <c r="C4309" s="21" t="s">
        <v>22</v>
      </c>
      <c r="D4309" s="21" t="s">
        <v>1430</v>
      </c>
      <c r="E4309" s="21" t="s">
        <v>9</v>
      </c>
      <c r="F4309" s="5812">
        <v>3</v>
      </c>
      <c r="G4309" s="5813">
        <v>0.20833333333333334</v>
      </c>
      <c r="H4309" s="21" t="s">
        <v>10</v>
      </c>
      <c r="I4309" s="21" t="s">
        <v>226</v>
      </c>
      <c r="J4309" s="21" t="s">
        <v>12701</v>
      </c>
      <c r="K4309" s="5814" t="s">
        <v>12702</v>
      </c>
    </row>
    <row r="4310" spans="1:11">
      <c r="A4310" s="21" t="s">
        <v>2630</v>
      </c>
      <c r="B4310" s="21" t="s">
        <v>12703</v>
      </c>
      <c r="C4310" s="21" t="s">
        <v>8</v>
      </c>
      <c r="D4310" s="21" t="s">
        <v>1430</v>
      </c>
      <c r="E4310" s="21" t="s">
        <v>9</v>
      </c>
      <c r="F4310" s="5812">
        <v>3</v>
      </c>
      <c r="G4310" s="5813">
        <v>0.20833333333333334</v>
      </c>
      <c r="H4310" s="21" t="s">
        <v>10</v>
      </c>
      <c r="I4310" s="21" t="s">
        <v>11</v>
      </c>
      <c r="J4310" s="21" t="s">
        <v>12704</v>
      </c>
      <c r="K4310" s="5814" t="s">
        <v>12705</v>
      </c>
    </row>
    <row r="4311" spans="1:11">
      <c r="A4311" s="21" t="s">
        <v>2643</v>
      </c>
      <c r="B4311" s="21" t="s">
        <v>12706</v>
      </c>
      <c r="C4311" s="21" t="s">
        <v>22</v>
      </c>
      <c r="D4311" s="21" t="s">
        <v>1430</v>
      </c>
      <c r="E4311" s="21" t="s">
        <v>9</v>
      </c>
      <c r="F4311" s="5812">
        <v>3</v>
      </c>
      <c r="G4311" s="5813">
        <v>0.20833333333333334</v>
      </c>
      <c r="H4311" s="21" t="s">
        <v>10</v>
      </c>
      <c r="I4311" s="21" t="s">
        <v>23</v>
      </c>
      <c r="J4311" s="21" t="s">
        <v>12707</v>
      </c>
      <c r="K4311" s="5814" t="s">
        <v>12708</v>
      </c>
    </row>
    <row r="4312" spans="1:11">
      <c r="A4312" s="21" t="s">
        <v>2651</v>
      </c>
      <c r="B4312" s="21" t="s">
        <v>12709</v>
      </c>
      <c r="C4312" s="21" t="s">
        <v>22</v>
      </c>
      <c r="D4312" s="21" t="s">
        <v>1430</v>
      </c>
      <c r="E4312" s="21" t="s">
        <v>9</v>
      </c>
      <c r="F4312" s="5812">
        <v>3</v>
      </c>
      <c r="G4312" s="5813">
        <v>0.20833333333333334</v>
      </c>
      <c r="H4312" s="21" t="s">
        <v>10</v>
      </c>
      <c r="I4312" s="21" t="s">
        <v>96</v>
      </c>
      <c r="J4312" s="21" t="s">
        <v>12710</v>
      </c>
      <c r="K4312" s="5814" t="s">
        <v>12711</v>
      </c>
    </row>
    <row r="4313" spans="1:11">
      <c r="A4313" s="21" t="s">
        <v>2668</v>
      </c>
      <c r="B4313" s="21" t="s">
        <v>12712</v>
      </c>
      <c r="C4313" s="21" t="s">
        <v>22</v>
      </c>
      <c r="D4313" s="21" t="s">
        <v>1430</v>
      </c>
      <c r="E4313" s="21" t="s">
        <v>9</v>
      </c>
      <c r="F4313" s="5812">
        <v>3</v>
      </c>
      <c r="G4313" s="5813">
        <v>0.20833333333333334</v>
      </c>
      <c r="H4313" s="21" t="s">
        <v>10</v>
      </c>
      <c r="I4313" s="21" t="s">
        <v>400</v>
      </c>
      <c r="J4313" s="21" t="s">
        <v>12713</v>
      </c>
      <c r="K4313" s="5814" t="s">
        <v>12714</v>
      </c>
    </row>
    <row r="4314" spans="1:11">
      <c r="A4314" s="21" t="s">
        <v>2188</v>
      </c>
      <c r="B4314" s="21" t="s">
        <v>12715</v>
      </c>
      <c r="C4314" s="21" t="s">
        <v>8</v>
      </c>
      <c r="D4314" s="21" t="s">
        <v>1430</v>
      </c>
      <c r="E4314" s="21" t="s">
        <v>9</v>
      </c>
      <c r="F4314" s="5812">
        <v>3</v>
      </c>
      <c r="G4314" s="5813">
        <v>0.20833333333333334</v>
      </c>
      <c r="H4314" s="21" t="s">
        <v>10</v>
      </c>
      <c r="I4314" s="21" t="s">
        <v>3534</v>
      </c>
      <c r="J4314" s="21" t="s">
        <v>2673</v>
      </c>
      <c r="K4314" s="5814" t="s">
        <v>12716</v>
      </c>
    </row>
    <row r="4315" spans="1:11">
      <c r="A4315" s="21" t="s">
        <v>5148</v>
      </c>
      <c r="B4315" s="21" t="s">
        <v>12717</v>
      </c>
      <c r="C4315" s="21" t="s">
        <v>8</v>
      </c>
      <c r="D4315" s="21" t="s">
        <v>1430</v>
      </c>
      <c r="E4315" s="21" t="s">
        <v>9</v>
      </c>
      <c r="F4315" s="5812">
        <v>3</v>
      </c>
      <c r="G4315" s="5813">
        <v>0.20833333333333334</v>
      </c>
      <c r="H4315" s="21" t="s">
        <v>10</v>
      </c>
      <c r="I4315" s="21" t="s">
        <v>96</v>
      </c>
      <c r="J4315" s="21" t="s">
        <v>12718</v>
      </c>
      <c r="K4315" s="5814" t="s">
        <v>12719</v>
      </c>
    </row>
    <row r="4316" spans="1:11">
      <c r="A4316" s="21" t="s">
        <v>2201</v>
      </c>
      <c r="B4316" s="21" t="s">
        <v>12720</v>
      </c>
      <c r="C4316" s="21" t="s">
        <v>22</v>
      </c>
      <c r="D4316" s="21" t="s">
        <v>1430</v>
      </c>
      <c r="E4316" s="21" t="s">
        <v>9</v>
      </c>
      <c r="F4316" s="5812">
        <v>3</v>
      </c>
      <c r="G4316" s="5813">
        <v>0.20833333333333334</v>
      </c>
      <c r="H4316" s="21" t="s">
        <v>10</v>
      </c>
      <c r="I4316" s="21" t="s">
        <v>55</v>
      </c>
      <c r="J4316" s="21" t="s">
        <v>12721</v>
      </c>
      <c r="K4316" s="5814" t="s">
        <v>12722</v>
      </c>
    </row>
    <row r="4317" spans="1:11">
      <c r="A4317" s="21" t="s">
        <v>2201</v>
      </c>
      <c r="B4317" s="21" t="s">
        <v>12723</v>
      </c>
      <c r="C4317" s="21" t="s">
        <v>22</v>
      </c>
      <c r="D4317" s="21" t="s">
        <v>1430</v>
      </c>
      <c r="E4317" s="21" t="s">
        <v>9</v>
      </c>
      <c r="F4317" s="5812">
        <v>3</v>
      </c>
      <c r="G4317" s="5813">
        <v>0.20833333333333334</v>
      </c>
      <c r="H4317" s="21" t="s">
        <v>10</v>
      </c>
      <c r="I4317" s="21" t="s">
        <v>2692</v>
      </c>
      <c r="J4317" s="21" t="s">
        <v>4231</v>
      </c>
      <c r="K4317" s="5814" t="s">
        <v>12724</v>
      </c>
    </row>
    <row r="4318" spans="1:11">
      <c r="A4318" s="21" t="s">
        <v>4233</v>
      </c>
      <c r="B4318" s="21" t="s">
        <v>12725</v>
      </c>
      <c r="C4318" s="21" t="s">
        <v>8</v>
      </c>
      <c r="D4318" s="21" t="s">
        <v>1430</v>
      </c>
      <c r="E4318" s="21" t="s">
        <v>9</v>
      </c>
      <c r="F4318" s="5812">
        <v>3</v>
      </c>
      <c r="G4318" s="5813">
        <v>0.20833333333333334</v>
      </c>
      <c r="H4318" s="21" t="s">
        <v>10</v>
      </c>
      <c r="I4318" s="21" t="s">
        <v>11</v>
      </c>
      <c r="J4318" s="21" t="s">
        <v>4235</v>
      </c>
      <c r="K4318" s="5814" t="s">
        <v>12726</v>
      </c>
    </row>
    <row r="4319" spans="1:11">
      <c r="A4319" s="21" t="s">
        <v>4233</v>
      </c>
      <c r="B4319" s="21" t="s">
        <v>12727</v>
      </c>
      <c r="C4319" s="21" t="s">
        <v>22</v>
      </c>
      <c r="D4319" s="21" t="s">
        <v>1430</v>
      </c>
      <c r="E4319" s="21" t="s">
        <v>9</v>
      </c>
      <c r="F4319" s="5812">
        <v>3</v>
      </c>
      <c r="G4319" s="5813">
        <v>0.20833333333333334</v>
      </c>
      <c r="H4319" s="21" t="s">
        <v>10</v>
      </c>
      <c r="I4319" s="21" t="s">
        <v>2872</v>
      </c>
      <c r="J4319" s="21" t="s">
        <v>12728</v>
      </c>
      <c r="K4319" s="5814" t="s">
        <v>12729</v>
      </c>
    </row>
    <row r="4320" spans="1:11">
      <c r="A4320" s="21" t="s">
        <v>2702</v>
      </c>
      <c r="B4320" s="21" t="s">
        <v>12730</v>
      </c>
      <c r="C4320" s="21" t="s">
        <v>8</v>
      </c>
      <c r="D4320" s="21" t="s">
        <v>1430</v>
      </c>
      <c r="E4320" s="21" t="s">
        <v>9</v>
      </c>
      <c r="F4320" s="5812">
        <v>3</v>
      </c>
      <c r="G4320" s="5813">
        <v>0.20833333333333334</v>
      </c>
      <c r="H4320" s="21" t="s">
        <v>10</v>
      </c>
      <c r="I4320" s="21" t="s">
        <v>55</v>
      </c>
      <c r="J4320" s="21" t="s">
        <v>2743</v>
      </c>
      <c r="K4320" s="5814" t="s">
        <v>12731</v>
      </c>
    </row>
    <row r="4321" spans="1:11">
      <c r="A4321" s="21" t="s">
        <v>2707</v>
      </c>
      <c r="B4321" s="21" t="s">
        <v>12732</v>
      </c>
      <c r="C4321" s="21" t="s">
        <v>22</v>
      </c>
      <c r="D4321" s="21" t="s">
        <v>1430</v>
      </c>
      <c r="E4321" s="21" t="s">
        <v>9</v>
      </c>
      <c r="F4321" s="5812">
        <v>3</v>
      </c>
      <c r="G4321" s="5813">
        <v>0.20833333333333334</v>
      </c>
      <c r="H4321" s="21" t="s">
        <v>10</v>
      </c>
      <c r="I4321" s="21" t="s">
        <v>96</v>
      </c>
      <c r="J4321" s="21" t="s">
        <v>12733</v>
      </c>
      <c r="K4321" s="5814" t="s">
        <v>12734</v>
      </c>
    </row>
    <row r="4322" spans="1:11">
      <c r="A4322" s="21" t="s">
        <v>3036</v>
      </c>
      <c r="B4322" s="21" t="s">
        <v>12735</v>
      </c>
      <c r="C4322" s="21" t="s">
        <v>22</v>
      </c>
      <c r="D4322" s="21" t="s">
        <v>1430</v>
      </c>
      <c r="E4322" s="21" t="s">
        <v>9</v>
      </c>
      <c r="F4322" s="5812">
        <v>3</v>
      </c>
      <c r="G4322" s="5813">
        <v>0.20833333333333334</v>
      </c>
      <c r="H4322" s="21" t="s">
        <v>10</v>
      </c>
      <c r="I4322" s="21" t="s">
        <v>2860</v>
      </c>
      <c r="J4322" s="21" t="s">
        <v>12736</v>
      </c>
      <c r="K4322" s="5814" t="s">
        <v>12737</v>
      </c>
    </row>
    <row r="4323" spans="1:11">
      <c r="A4323" s="21" t="s">
        <v>2737</v>
      </c>
      <c r="B4323" s="21" t="s">
        <v>12738</v>
      </c>
      <c r="C4323" s="21" t="s">
        <v>8</v>
      </c>
      <c r="D4323" s="21" t="s">
        <v>1430</v>
      </c>
      <c r="E4323" s="21" t="s">
        <v>9</v>
      </c>
      <c r="F4323" s="5812">
        <v>3</v>
      </c>
      <c r="G4323" s="5813">
        <v>0.20833333333333334</v>
      </c>
      <c r="H4323" s="21" t="s">
        <v>10</v>
      </c>
      <c r="I4323" s="21" t="s">
        <v>187</v>
      </c>
      <c r="J4323" s="21" t="s">
        <v>12739</v>
      </c>
      <c r="K4323" s="5814" t="s">
        <v>12740</v>
      </c>
    </row>
    <row r="4324" spans="1:11">
      <c r="A4324" s="21" t="s">
        <v>2737</v>
      </c>
      <c r="B4324" s="21" t="s">
        <v>12741</v>
      </c>
      <c r="C4324" s="21" t="s">
        <v>22</v>
      </c>
      <c r="D4324" s="21" t="s">
        <v>1430</v>
      </c>
      <c r="E4324" s="21" t="s">
        <v>9</v>
      </c>
      <c r="F4324" s="5812">
        <v>3</v>
      </c>
      <c r="G4324" s="5813">
        <v>0.20833333333333334</v>
      </c>
      <c r="H4324" s="21" t="s">
        <v>10</v>
      </c>
      <c r="I4324" s="21" t="s">
        <v>5159</v>
      </c>
      <c r="J4324" s="21" t="s">
        <v>12742</v>
      </c>
      <c r="K4324" s="5814" t="s">
        <v>12743</v>
      </c>
    </row>
    <row r="4325" spans="1:11">
      <c r="A4325" s="21" t="s">
        <v>3765</v>
      </c>
      <c r="B4325" s="21" t="s">
        <v>12744</v>
      </c>
      <c r="C4325" s="21" t="s">
        <v>8</v>
      </c>
      <c r="D4325" s="21" t="s">
        <v>1430</v>
      </c>
      <c r="E4325" s="21" t="s">
        <v>9</v>
      </c>
      <c r="F4325" s="5812">
        <v>3</v>
      </c>
      <c r="G4325" s="5813">
        <v>0.20833333333333334</v>
      </c>
      <c r="H4325" s="21" t="s">
        <v>10</v>
      </c>
      <c r="I4325" s="21" t="s">
        <v>4663</v>
      </c>
      <c r="J4325" s="21" t="s">
        <v>12745</v>
      </c>
      <c r="K4325" s="5814" t="s">
        <v>12746</v>
      </c>
    </row>
    <row r="4326" spans="1:11">
      <c r="A4326" s="21" t="s">
        <v>3354</v>
      </c>
      <c r="B4326" s="21" t="s">
        <v>12747</v>
      </c>
      <c r="C4326" s="21" t="s">
        <v>22</v>
      </c>
      <c r="D4326" s="21" t="s">
        <v>1430</v>
      </c>
      <c r="E4326" s="21" t="s">
        <v>9</v>
      </c>
      <c r="F4326" s="5812">
        <v>3</v>
      </c>
      <c r="G4326" s="5813">
        <v>0.20833333333333334</v>
      </c>
      <c r="H4326" s="21" t="s">
        <v>10</v>
      </c>
      <c r="I4326" s="21" t="s">
        <v>11</v>
      </c>
      <c r="J4326" s="21" t="s">
        <v>12748</v>
      </c>
      <c r="K4326" s="5814" t="s">
        <v>12749</v>
      </c>
    </row>
    <row r="4327" spans="1:11">
      <c r="A4327" s="21" t="s">
        <v>3369</v>
      </c>
      <c r="B4327" s="21" t="s">
        <v>12750</v>
      </c>
      <c r="C4327" s="21" t="s">
        <v>22</v>
      </c>
      <c r="D4327" s="21" t="s">
        <v>1430</v>
      </c>
      <c r="E4327" s="21" t="s">
        <v>9</v>
      </c>
      <c r="F4327" s="5812">
        <v>3</v>
      </c>
      <c r="G4327" s="5813">
        <v>0.20833333333333334</v>
      </c>
      <c r="H4327" s="21" t="s">
        <v>10</v>
      </c>
      <c r="I4327" s="21" t="s">
        <v>23</v>
      </c>
      <c r="J4327" s="21" t="s">
        <v>12751</v>
      </c>
      <c r="K4327" s="5814" t="s">
        <v>12752</v>
      </c>
    </row>
    <row r="4328" spans="1:11">
      <c r="A4328" s="21" t="s">
        <v>5168</v>
      </c>
      <c r="B4328" s="21" t="s">
        <v>12753</v>
      </c>
      <c r="C4328" s="21" t="s">
        <v>8</v>
      </c>
      <c r="D4328" s="21" t="s">
        <v>1430</v>
      </c>
      <c r="E4328" s="21" t="s">
        <v>9</v>
      </c>
      <c r="F4328" s="5812">
        <v>3</v>
      </c>
      <c r="G4328" s="5813">
        <v>0.20833333333333334</v>
      </c>
      <c r="H4328" s="21" t="s">
        <v>10</v>
      </c>
      <c r="I4328" s="21" t="s">
        <v>11</v>
      </c>
      <c r="J4328" s="21" t="s">
        <v>12754</v>
      </c>
      <c r="K4328" s="5814" t="s">
        <v>12755</v>
      </c>
    </row>
    <row r="4329" spans="1:11">
      <c r="A4329" s="21" t="s">
        <v>3769</v>
      </c>
      <c r="B4329" s="21" t="s">
        <v>12756</v>
      </c>
      <c r="C4329" s="21" t="s">
        <v>22</v>
      </c>
      <c r="D4329" s="21" t="s">
        <v>1430</v>
      </c>
      <c r="E4329" s="21" t="s">
        <v>9</v>
      </c>
      <c r="F4329" s="5812">
        <v>3</v>
      </c>
      <c r="G4329" s="5813">
        <v>0.20833333333333334</v>
      </c>
      <c r="H4329" s="21" t="s">
        <v>10</v>
      </c>
      <c r="I4329" s="21" t="s">
        <v>2153</v>
      </c>
      <c r="J4329" s="21" t="s">
        <v>12757</v>
      </c>
      <c r="K4329" s="5814" t="s">
        <v>12758</v>
      </c>
    </row>
    <row r="4330" spans="1:11">
      <c r="A4330" s="21" t="s">
        <v>3532</v>
      </c>
      <c r="B4330" s="21" t="s">
        <v>12759</v>
      </c>
      <c r="C4330" s="21" t="s">
        <v>22</v>
      </c>
      <c r="D4330" s="21" t="s">
        <v>1430</v>
      </c>
      <c r="E4330" s="21" t="s">
        <v>9</v>
      </c>
      <c r="F4330" s="5812">
        <v>3</v>
      </c>
      <c r="G4330" s="5813">
        <v>0.20833333333333334</v>
      </c>
      <c r="H4330" s="21" t="s">
        <v>10</v>
      </c>
      <c r="I4330" s="21" t="s">
        <v>5887</v>
      </c>
      <c r="J4330" s="21" t="s">
        <v>12760</v>
      </c>
      <c r="K4330" s="5814" t="s">
        <v>12761</v>
      </c>
    </row>
    <row r="4331" spans="1:11">
      <c r="A4331" s="21" t="s">
        <v>2216</v>
      </c>
      <c r="B4331" s="21" t="s">
        <v>12762</v>
      </c>
      <c r="C4331" s="21" t="s">
        <v>8</v>
      </c>
      <c r="D4331" s="21" t="s">
        <v>1430</v>
      </c>
      <c r="E4331" s="21" t="s">
        <v>9</v>
      </c>
      <c r="F4331" s="5812">
        <v>3</v>
      </c>
      <c r="G4331" s="5813">
        <v>0.20833333333333334</v>
      </c>
      <c r="H4331" s="21" t="s">
        <v>10</v>
      </c>
      <c r="I4331" s="21" t="s">
        <v>4853</v>
      </c>
      <c r="J4331" s="21" t="s">
        <v>12763</v>
      </c>
      <c r="K4331" s="5814" t="s">
        <v>12764</v>
      </c>
    </row>
    <row r="4332" spans="1:11">
      <c r="A4332" s="21" t="s">
        <v>2216</v>
      </c>
      <c r="B4332" s="21" t="s">
        <v>12765</v>
      </c>
      <c r="C4332" s="21" t="s">
        <v>22</v>
      </c>
      <c r="D4332" s="21" t="s">
        <v>1430</v>
      </c>
      <c r="E4332" s="21" t="s">
        <v>9</v>
      </c>
      <c r="F4332" s="5812">
        <v>3</v>
      </c>
      <c r="G4332" s="5813">
        <v>0.20833333333333334</v>
      </c>
      <c r="H4332" s="21" t="s">
        <v>10</v>
      </c>
      <c r="I4332" s="21" t="s">
        <v>11</v>
      </c>
      <c r="J4332" s="21" t="s">
        <v>12766</v>
      </c>
      <c r="K4332" s="5814" t="s">
        <v>12767</v>
      </c>
    </row>
    <row r="4333" spans="1:11">
      <c r="A4333" s="21" t="s">
        <v>3213</v>
      </c>
      <c r="B4333" s="21" t="s">
        <v>12768</v>
      </c>
      <c r="C4333" s="21" t="s">
        <v>8</v>
      </c>
      <c r="D4333" s="21" t="s">
        <v>1430</v>
      </c>
      <c r="E4333" s="21" t="s">
        <v>9</v>
      </c>
      <c r="F4333" s="5812">
        <v>3</v>
      </c>
      <c r="G4333" s="5813">
        <v>0.20833333333333334</v>
      </c>
      <c r="H4333" s="21" t="s">
        <v>10</v>
      </c>
      <c r="I4333" s="21" t="s">
        <v>2713</v>
      </c>
      <c r="J4333" s="21" t="s">
        <v>4238</v>
      </c>
      <c r="K4333" s="5814" t="s">
        <v>12769</v>
      </c>
    </row>
    <row r="4334" spans="1:11">
      <c r="A4334" s="21" t="s">
        <v>2221</v>
      </c>
      <c r="B4334" s="21" t="s">
        <v>12770</v>
      </c>
      <c r="C4334" s="21" t="s">
        <v>22</v>
      </c>
      <c r="D4334" s="21" t="s">
        <v>1430</v>
      </c>
      <c r="E4334" s="21" t="s">
        <v>9</v>
      </c>
      <c r="F4334" s="5812">
        <v>3</v>
      </c>
      <c r="G4334" s="5813">
        <v>0.20833333333333334</v>
      </c>
      <c r="H4334" s="21" t="s">
        <v>10</v>
      </c>
      <c r="I4334" s="21" t="s">
        <v>96</v>
      </c>
      <c r="J4334" s="21" t="s">
        <v>12771</v>
      </c>
      <c r="K4334" s="5814" t="s">
        <v>12772</v>
      </c>
    </row>
    <row r="4335" spans="1:11">
      <c r="A4335" s="21" t="s">
        <v>4289</v>
      </c>
      <c r="B4335" s="21" t="s">
        <v>12773</v>
      </c>
      <c r="C4335" s="21" t="s">
        <v>22</v>
      </c>
      <c r="D4335" s="21" t="s">
        <v>1430</v>
      </c>
      <c r="E4335" s="21" t="s">
        <v>9</v>
      </c>
      <c r="F4335" s="5812">
        <v>3</v>
      </c>
      <c r="G4335" s="5813">
        <v>0.20833333333333334</v>
      </c>
      <c r="H4335" s="21" t="s">
        <v>10</v>
      </c>
      <c r="I4335" s="21" t="s">
        <v>3534</v>
      </c>
      <c r="J4335" s="21" t="s">
        <v>12774</v>
      </c>
      <c r="K4335" s="5814" t="s">
        <v>12775</v>
      </c>
    </row>
    <row r="4336" spans="1:11">
      <c r="A4336" s="21" t="s">
        <v>3537</v>
      </c>
      <c r="B4336" s="21" t="s">
        <v>12776</v>
      </c>
      <c r="C4336" s="21" t="s">
        <v>22</v>
      </c>
      <c r="D4336" s="21" t="s">
        <v>1430</v>
      </c>
      <c r="E4336" s="21" t="s">
        <v>9</v>
      </c>
      <c r="F4336" s="5812">
        <v>3</v>
      </c>
      <c r="G4336" s="5813">
        <v>0.20833333333333334</v>
      </c>
      <c r="H4336" s="21" t="s">
        <v>10</v>
      </c>
      <c r="I4336" s="21" t="s">
        <v>55</v>
      </c>
      <c r="J4336" s="21" t="s">
        <v>12777</v>
      </c>
      <c r="K4336" s="5814" t="s">
        <v>12778</v>
      </c>
    </row>
    <row r="4337" spans="1:11">
      <c r="A4337" s="21" t="s">
        <v>2772</v>
      </c>
      <c r="B4337" s="21" t="s">
        <v>12779</v>
      </c>
      <c r="C4337" s="21" t="s">
        <v>22</v>
      </c>
      <c r="D4337" s="21" t="s">
        <v>1430</v>
      </c>
      <c r="E4337" s="21" t="s">
        <v>9</v>
      </c>
      <c r="F4337" s="5812">
        <v>3</v>
      </c>
      <c r="G4337" s="5813">
        <v>0.20833333333333334</v>
      </c>
      <c r="H4337" s="21" t="s">
        <v>10</v>
      </c>
      <c r="I4337" s="21" t="s">
        <v>47</v>
      </c>
      <c r="J4337" s="21" t="s">
        <v>12780</v>
      </c>
      <c r="K4337" s="5814" t="s">
        <v>12781</v>
      </c>
    </row>
    <row r="4338" spans="1:11">
      <c r="A4338" s="21" t="s">
        <v>4313</v>
      </c>
      <c r="B4338" s="21" t="s">
        <v>12631</v>
      </c>
      <c r="C4338" s="21" t="s">
        <v>8</v>
      </c>
      <c r="D4338" s="21" t="s">
        <v>1430</v>
      </c>
      <c r="E4338" s="21" t="s">
        <v>9</v>
      </c>
      <c r="F4338" s="5812">
        <v>3</v>
      </c>
      <c r="G4338" s="5813">
        <v>0.20833333333333334</v>
      </c>
      <c r="H4338" s="21" t="s">
        <v>10</v>
      </c>
      <c r="I4338" s="21" t="s">
        <v>96</v>
      </c>
      <c r="J4338" s="21" t="s">
        <v>2483</v>
      </c>
      <c r="K4338" s="5814" t="s">
        <v>12782</v>
      </c>
    </row>
    <row r="4339" spans="1:11">
      <c r="A4339" s="21" t="s">
        <v>3651</v>
      </c>
      <c r="B4339" s="21" t="s">
        <v>12783</v>
      </c>
      <c r="C4339" s="21" t="s">
        <v>8</v>
      </c>
      <c r="D4339" s="21" t="s">
        <v>1430</v>
      </c>
      <c r="E4339" s="21" t="s">
        <v>9</v>
      </c>
      <c r="F4339" s="5812">
        <v>3</v>
      </c>
      <c r="G4339" s="5813">
        <v>0.20833333333333334</v>
      </c>
      <c r="H4339" s="21" t="s">
        <v>10</v>
      </c>
      <c r="I4339" s="21" t="s">
        <v>11</v>
      </c>
      <c r="J4339" s="21" t="s">
        <v>12784</v>
      </c>
      <c r="K4339" s="5814" t="s">
        <v>12785</v>
      </c>
    </row>
    <row r="4340" spans="1:11">
      <c r="A4340" s="21" t="s">
        <v>3651</v>
      </c>
      <c r="B4340" s="21" t="s">
        <v>12786</v>
      </c>
      <c r="C4340" s="21" t="s">
        <v>8</v>
      </c>
      <c r="D4340" s="21" t="s">
        <v>1430</v>
      </c>
      <c r="E4340" s="21" t="s">
        <v>9</v>
      </c>
      <c r="F4340" s="5812">
        <v>3</v>
      </c>
      <c r="G4340" s="5813">
        <v>0.20833333333333334</v>
      </c>
      <c r="H4340" s="21" t="s">
        <v>10</v>
      </c>
      <c r="I4340" s="21" t="s">
        <v>2247</v>
      </c>
      <c r="J4340" s="21" t="s">
        <v>12787</v>
      </c>
      <c r="K4340" s="5814" t="s">
        <v>12788</v>
      </c>
    </row>
    <row r="4341" spans="1:11">
      <c r="A4341" s="21" t="s">
        <v>4317</v>
      </c>
      <c r="B4341" s="21" t="s">
        <v>12789</v>
      </c>
      <c r="C4341" s="21" t="s">
        <v>8</v>
      </c>
      <c r="D4341" s="21" t="s">
        <v>1430</v>
      </c>
      <c r="E4341" s="21" t="s">
        <v>9</v>
      </c>
      <c r="F4341" s="5812">
        <v>3</v>
      </c>
      <c r="G4341" s="5813">
        <v>0.20833333333333334</v>
      </c>
      <c r="H4341" s="21" t="s">
        <v>10</v>
      </c>
      <c r="I4341" s="21" t="s">
        <v>2860</v>
      </c>
      <c r="J4341" s="21" t="s">
        <v>12790</v>
      </c>
      <c r="K4341" s="5814" t="s">
        <v>12791</v>
      </c>
    </row>
    <row r="4342" spans="1:11">
      <c r="A4342" s="21" t="s">
        <v>2229</v>
      </c>
      <c r="B4342" s="21" t="s">
        <v>12792</v>
      </c>
      <c r="C4342" s="21" t="s">
        <v>8</v>
      </c>
      <c r="D4342" s="21" t="s">
        <v>1430</v>
      </c>
      <c r="E4342" s="21" t="s">
        <v>9</v>
      </c>
      <c r="F4342" s="5812">
        <v>3</v>
      </c>
      <c r="G4342" s="5813">
        <v>0.20833333333333334</v>
      </c>
      <c r="H4342" s="21" t="s">
        <v>10</v>
      </c>
      <c r="I4342" s="21" t="s">
        <v>2247</v>
      </c>
      <c r="J4342" s="21" t="s">
        <v>12793</v>
      </c>
      <c r="K4342" s="5814" t="s">
        <v>12794</v>
      </c>
    </row>
    <row r="4343" spans="1:11">
      <c r="A4343" s="21" t="s">
        <v>4321</v>
      </c>
      <c r="B4343" s="21" t="s">
        <v>12795</v>
      </c>
      <c r="C4343" s="21" t="s">
        <v>22</v>
      </c>
      <c r="D4343" s="21" t="s">
        <v>1430</v>
      </c>
      <c r="E4343" s="21" t="s">
        <v>9</v>
      </c>
      <c r="F4343" s="5812">
        <v>3</v>
      </c>
      <c r="G4343" s="5813">
        <v>0.20833333333333334</v>
      </c>
      <c r="H4343" s="21" t="s">
        <v>10</v>
      </c>
      <c r="I4343" s="21" t="s">
        <v>73</v>
      </c>
      <c r="J4343" s="21" t="s">
        <v>12796</v>
      </c>
      <c r="K4343" s="5814" t="s">
        <v>12797</v>
      </c>
    </row>
    <row r="4344" spans="1:11">
      <c r="A4344" s="21" t="s">
        <v>2780</v>
      </c>
      <c r="B4344" s="21" t="s">
        <v>12798</v>
      </c>
      <c r="C4344" s="21" t="s">
        <v>22</v>
      </c>
      <c r="D4344" s="21" t="s">
        <v>1430</v>
      </c>
      <c r="E4344" s="21" t="s">
        <v>9</v>
      </c>
      <c r="F4344" s="5812">
        <v>3</v>
      </c>
      <c r="G4344" s="5813">
        <v>0.20833333333333334</v>
      </c>
      <c r="H4344" s="21" t="s">
        <v>10</v>
      </c>
      <c r="I4344" s="21" t="s">
        <v>2297</v>
      </c>
      <c r="J4344" s="21" t="s">
        <v>12799</v>
      </c>
      <c r="K4344" s="5814" t="s">
        <v>12800</v>
      </c>
    </row>
    <row r="4345" spans="1:11">
      <c r="A4345" s="21" t="s">
        <v>2796</v>
      </c>
      <c r="B4345" s="21" t="s">
        <v>12801</v>
      </c>
      <c r="C4345" s="21" t="s">
        <v>22</v>
      </c>
      <c r="D4345" s="21" t="s">
        <v>1430</v>
      </c>
      <c r="E4345" s="21" t="s">
        <v>9</v>
      </c>
      <c r="F4345" s="5812">
        <v>3</v>
      </c>
      <c r="G4345" s="5813">
        <v>0.20833333333333334</v>
      </c>
      <c r="H4345" s="21" t="s">
        <v>10</v>
      </c>
      <c r="I4345" s="21" t="s">
        <v>654</v>
      </c>
      <c r="J4345" s="21" t="s">
        <v>12802</v>
      </c>
      <c r="K4345" s="5814" t="s">
        <v>12803</v>
      </c>
    </row>
    <row r="4346" spans="1:11">
      <c r="A4346" s="21" t="s">
        <v>2796</v>
      </c>
      <c r="B4346" s="21" t="s">
        <v>12804</v>
      </c>
      <c r="C4346" s="21" t="s">
        <v>8</v>
      </c>
      <c r="D4346" s="21" t="s">
        <v>1430</v>
      </c>
      <c r="E4346" s="21" t="s">
        <v>9</v>
      </c>
      <c r="F4346" s="5812">
        <v>3</v>
      </c>
      <c r="G4346" s="5813">
        <v>0.20833333333333334</v>
      </c>
      <c r="H4346" s="21" t="s">
        <v>10</v>
      </c>
      <c r="I4346" s="21" t="s">
        <v>654</v>
      </c>
      <c r="J4346" s="21" t="s">
        <v>12805</v>
      </c>
      <c r="K4346" s="5814" t="s">
        <v>12806</v>
      </c>
    </row>
    <row r="4347" spans="1:11">
      <c r="A4347" s="21" t="s">
        <v>2796</v>
      </c>
      <c r="B4347" s="21" t="s">
        <v>12807</v>
      </c>
      <c r="C4347" s="21" t="s">
        <v>8</v>
      </c>
      <c r="D4347" s="21" t="s">
        <v>1430</v>
      </c>
      <c r="E4347" s="21" t="s">
        <v>9</v>
      </c>
      <c r="F4347" s="5812">
        <v>3</v>
      </c>
      <c r="G4347" s="5813">
        <v>0.20833333333333334</v>
      </c>
      <c r="H4347" s="21" t="s">
        <v>10</v>
      </c>
      <c r="I4347" s="21" t="s">
        <v>654</v>
      </c>
      <c r="J4347" s="21" t="s">
        <v>12808</v>
      </c>
      <c r="K4347" s="5814" t="s">
        <v>12809</v>
      </c>
    </row>
    <row r="4348" spans="1:11">
      <c r="A4348" s="21" t="s">
        <v>4338</v>
      </c>
      <c r="B4348" s="21" t="s">
        <v>12810</v>
      </c>
      <c r="C4348" s="21" t="s">
        <v>8</v>
      </c>
      <c r="D4348" s="21" t="s">
        <v>1430</v>
      </c>
      <c r="E4348" s="21" t="s">
        <v>9</v>
      </c>
      <c r="F4348" s="5812">
        <v>3</v>
      </c>
      <c r="G4348" s="5813">
        <v>0.20833333333333334</v>
      </c>
      <c r="H4348" s="21" t="s">
        <v>10</v>
      </c>
      <c r="I4348" s="21" t="s">
        <v>226</v>
      </c>
      <c r="J4348" s="21" t="s">
        <v>12811</v>
      </c>
      <c r="K4348" s="5814" t="s">
        <v>12812</v>
      </c>
    </row>
    <row r="4349" spans="1:11">
      <c r="A4349" s="21" t="s">
        <v>4338</v>
      </c>
      <c r="B4349" s="21" t="s">
        <v>12813</v>
      </c>
      <c r="C4349" s="21" t="s">
        <v>8</v>
      </c>
      <c r="D4349" s="21" t="s">
        <v>1430</v>
      </c>
      <c r="E4349" s="21" t="s">
        <v>9</v>
      </c>
      <c r="F4349" s="5812">
        <v>3</v>
      </c>
      <c r="G4349" s="5813">
        <v>0.20833333333333334</v>
      </c>
      <c r="H4349" s="21" t="s">
        <v>10</v>
      </c>
      <c r="I4349" s="21" t="s">
        <v>11</v>
      </c>
      <c r="J4349" s="21" t="s">
        <v>12814</v>
      </c>
      <c r="K4349" s="5814" t="s">
        <v>12815</v>
      </c>
    </row>
    <row r="4350" spans="1:11">
      <c r="A4350" s="21" t="s">
        <v>3044</v>
      </c>
      <c r="B4350" s="21" t="s">
        <v>12816</v>
      </c>
      <c r="C4350" s="21" t="s">
        <v>22</v>
      </c>
      <c r="D4350" s="21" t="s">
        <v>1430</v>
      </c>
      <c r="E4350" s="21" t="s">
        <v>9</v>
      </c>
      <c r="F4350" s="5812">
        <v>3</v>
      </c>
      <c r="G4350" s="5813">
        <v>0.20833333333333334</v>
      </c>
      <c r="H4350" s="21" t="s">
        <v>10</v>
      </c>
      <c r="I4350" s="21" t="s">
        <v>23</v>
      </c>
      <c r="J4350" s="21" t="s">
        <v>12817</v>
      </c>
      <c r="K4350" s="5814" t="s">
        <v>12818</v>
      </c>
    </row>
    <row r="4351" spans="1:11">
      <c r="A4351" s="21" t="s">
        <v>3082</v>
      </c>
      <c r="B4351" s="21" t="s">
        <v>12819</v>
      </c>
      <c r="C4351" s="21" t="s">
        <v>8</v>
      </c>
      <c r="D4351" s="21" t="s">
        <v>1430</v>
      </c>
      <c r="E4351" s="21" t="s">
        <v>9</v>
      </c>
      <c r="F4351" s="5812">
        <v>3</v>
      </c>
      <c r="G4351" s="5813">
        <v>0.20833333333333334</v>
      </c>
      <c r="H4351" s="21" t="s">
        <v>10</v>
      </c>
      <c r="I4351" s="21" t="s">
        <v>788</v>
      </c>
      <c r="J4351" s="21" t="s">
        <v>12820</v>
      </c>
      <c r="K4351" s="5814" t="s">
        <v>12821</v>
      </c>
    </row>
    <row r="4352" spans="1:11">
      <c r="A4352" s="21" t="s">
        <v>2812</v>
      </c>
      <c r="B4352" s="21" t="s">
        <v>12822</v>
      </c>
      <c r="C4352" s="21" t="s">
        <v>22</v>
      </c>
      <c r="D4352" s="21" t="s">
        <v>1430</v>
      </c>
      <c r="E4352" s="21" t="s">
        <v>9</v>
      </c>
      <c r="F4352" s="5812">
        <v>3</v>
      </c>
      <c r="G4352" s="5813">
        <v>0.20833333333333334</v>
      </c>
      <c r="H4352" s="21" t="s">
        <v>10</v>
      </c>
      <c r="I4352" s="21" t="s">
        <v>2731</v>
      </c>
      <c r="J4352" s="21" t="s">
        <v>12823</v>
      </c>
      <c r="K4352" s="5814" t="s">
        <v>12824</v>
      </c>
    </row>
    <row r="4353" spans="1:11">
      <c r="A4353" s="21" t="s">
        <v>2245</v>
      </c>
      <c r="B4353" s="21" t="s">
        <v>12825</v>
      </c>
      <c r="C4353" s="21" t="s">
        <v>8</v>
      </c>
      <c r="D4353" s="21" t="s">
        <v>1430</v>
      </c>
      <c r="E4353" s="21" t="s">
        <v>9</v>
      </c>
      <c r="F4353" s="5812">
        <v>3</v>
      </c>
      <c r="G4353" s="5813">
        <v>0.20833333333333334</v>
      </c>
      <c r="H4353" s="21" t="s">
        <v>10</v>
      </c>
      <c r="I4353" s="21" t="s">
        <v>11</v>
      </c>
      <c r="J4353" s="21" t="s">
        <v>12826</v>
      </c>
      <c r="K4353" s="5814" t="s">
        <v>12827</v>
      </c>
    </row>
    <row r="4354" spans="1:11">
      <c r="A4354" s="21" t="s">
        <v>3458</v>
      </c>
      <c r="B4354" s="21" t="s">
        <v>12828</v>
      </c>
      <c r="C4354" s="21" t="s">
        <v>8</v>
      </c>
      <c r="D4354" s="21" t="s">
        <v>1430</v>
      </c>
      <c r="E4354" s="21" t="s">
        <v>9</v>
      </c>
      <c r="F4354" s="5812">
        <v>3</v>
      </c>
      <c r="G4354" s="5813">
        <v>0.20833333333333334</v>
      </c>
      <c r="H4354" s="21" t="s">
        <v>10</v>
      </c>
      <c r="I4354" s="21" t="s">
        <v>55</v>
      </c>
      <c r="J4354" s="21" t="s">
        <v>12829</v>
      </c>
      <c r="K4354" s="5814" t="s">
        <v>12830</v>
      </c>
    </row>
    <row r="4355" spans="1:11">
      <c r="A4355" s="21" t="s">
        <v>5220</v>
      </c>
      <c r="B4355" s="21" t="s">
        <v>12831</v>
      </c>
      <c r="C4355" s="21" t="s">
        <v>8</v>
      </c>
      <c r="D4355" s="21" t="s">
        <v>1430</v>
      </c>
      <c r="E4355" s="21" t="s">
        <v>9</v>
      </c>
      <c r="F4355" s="5812">
        <v>3</v>
      </c>
      <c r="G4355" s="5813">
        <v>0.20833333333333334</v>
      </c>
      <c r="H4355" s="21" t="s">
        <v>10</v>
      </c>
      <c r="I4355" s="21" t="s">
        <v>47</v>
      </c>
      <c r="J4355" s="21" t="s">
        <v>12832</v>
      </c>
      <c r="K4355" s="5814" t="s">
        <v>12833</v>
      </c>
    </row>
    <row r="4356" spans="1:11">
      <c r="A4356" s="21" t="s">
        <v>4645</v>
      </c>
      <c r="B4356" s="21" t="s">
        <v>12834</v>
      </c>
      <c r="C4356" s="21" t="s">
        <v>8</v>
      </c>
      <c r="D4356" s="21" t="s">
        <v>1430</v>
      </c>
      <c r="E4356" s="21" t="s">
        <v>9</v>
      </c>
      <c r="F4356" s="5812">
        <v>3</v>
      </c>
      <c r="G4356" s="5813">
        <v>0.20833333333333334</v>
      </c>
      <c r="H4356" s="21" t="s">
        <v>10</v>
      </c>
      <c r="I4356" s="21" t="s">
        <v>2297</v>
      </c>
      <c r="J4356" s="21" t="s">
        <v>12835</v>
      </c>
      <c r="K4356" s="5814" t="s">
        <v>12836</v>
      </c>
    </row>
    <row r="4357" spans="1:11">
      <c r="A4357" s="21" t="s">
        <v>2921</v>
      </c>
      <c r="B4357" s="21" t="s">
        <v>12837</v>
      </c>
      <c r="C4357" s="21" t="s">
        <v>8</v>
      </c>
      <c r="D4357" s="21" t="s">
        <v>1430</v>
      </c>
      <c r="E4357" s="21" t="s">
        <v>9</v>
      </c>
      <c r="F4357" s="5812">
        <v>3</v>
      </c>
      <c r="G4357" s="5813">
        <v>0.20833333333333334</v>
      </c>
      <c r="H4357" s="21" t="s">
        <v>10</v>
      </c>
      <c r="I4357" s="21" t="s">
        <v>226</v>
      </c>
      <c r="J4357" s="21" t="s">
        <v>12838</v>
      </c>
      <c r="K4357" s="5814" t="s">
        <v>12839</v>
      </c>
    </row>
    <row r="4358" spans="1:11">
      <c r="A4358" s="21" t="s">
        <v>3049</v>
      </c>
      <c r="B4358" s="21" t="s">
        <v>12840</v>
      </c>
      <c r="C4358" s="21" t="s">
        <v>8</v>
      </c>
      <c r="D4358" s="21" t="s">
        <v>1430</v>
      </c>
      <c r="E4358" s="21" t="s">
        <v>9</v>
      </c>
      <c r="F4358" s="5812">
        <v>3</v>
      </c>
      <c r="G4358" s="5813">
        <v>0.20833333333333334</v>
      </c>
      <c r="H4358" s="21" t="s">
        <v>10</v>
      </c>
      <c r="I4358" s="21" t="s">
        <v>2523</v>
      </c>
      <c r="J4358" s="21" t="s">
        <v>12841</v>
      </c>
      <c r="K4358" s="5814" t="s">
        <v>12842</v>
      </c>
    </row>
    <row r="4359" spans="1:11">
      <c r="A4359" s="21" t="s">
        <v>4768</v>
      </c>
      <c r="B4359" s="21" t="s">
        <v>12843</v>
      </c>
      <c r="C4359" s="21" t="s">
        <v>8</v>
      </c>
      <c r="D4359" s="21" t="s">
        <v>1430</v>
      </c>
      <c r="E4359" s="21" t="s">
        <v>9</v>
      </c>
      <c r="F4359" s="5812">
        <v>3</v>
      </c>
      <c r="G4359" s="5813">
        <v>0.20833333333333334</v>
      </c>
      <c r="H4359" s="21" t="s">
        <v>10</v>
      </c>
      <c r="I4359" s="21" t="s">
        <v>2269</v>
      </c>
      <c r="J4359" s="21" t="s">
        <v>12844</v>
      </c>
      <c r="K4359" s="5814" t="s">
        <v>12845</v>
      </c>
    </row>
    <row r="4360" spans="1:11">
      <c r="A4360" s="21" t="s">
        <v>2263</v>
      </c>
      <c r="B4360" s="21" t="s">
        <v>12846</v>
      </c>
      <c r="C4360" s="21" t="s">
        <v>8</v>
      </c>
      <c r="D4360" s="21" t="s">
        <v>1430</v>
      </c>
      <c r="E4360" s="21" t="s">
        <v>9</v>
      </c>
      <c r="F4360" s="5812">
        <v>3</v>
      </c>
      <c r="G4360" s="5813">
        <v>0.20833333333333334</v>
      </c>
      <c r="H4360" s="21" t="s">
        <v>10</v>
      </c>
      <c r="I4360" s="21" t="s">
        <v>23</v>
      </c>
      <c r="J4360" s="21" t="s">
        <v>12847</v>
      </c>
      <c r="K4360" s="5814" t="s">
        <v>12848</v>
      </c>
    </row>
    <row r="4361" spans="1:11">
      <c r="A4361" s="21" t="s">
        <v>3630</v>
      </c>
      <c r="B4361" s="21" t="s">
        <v>12849</v>
      </c>
      <c r="C4361" s="21" t="s">
        <v>22</v>
      </c>
      <c r="D4361" s="21" t="s">
        <v>1430</v>
      </c>
      <c r="E4361" s="21" t="s">
        <v>9</v>
      </c>
      <c r="F4361" s="5812">
        <v>3</v>
      </c>
      <c r="G4361" s="5813">
        <v>0.20833333333333334</v>
      </c>
      <c r="H4361" s="21" t="s">
        <v>10</v>
      </c>
      <c r="I4361" s="21" t="s">
        <v>55</v>
      </c>
      <c r="J4361" s="21" t="s">
        <v>12850</v>
      </c>
      <c r="K4361" s="5814" t="s">
        <v>12851</v>
      </c>
    </row>
    <row r="4362" spans="1:11">
      <c r="A4362" s="21" t="s">
        <v>2850</v>
      </c>
      <c r="B4362" s="21" t="s">
        <v>12852</v>
      </c>
      <c r="C4362" s="21" t="s">
        <v>8</v>
      </c>
      <c r="D4362" s="21" t="s">
        <v>1430</v>
      </c>
      <c r="E4362" s="21" t="s">
        <v>9</v>
      </c>
      <c r="F4362" s="5812">
        <v>3</v>
      </c>
      <c r="G4362" s="5813">
        <v>0.20833333333333334</v>
      </c>
      <c r="H4362" s="21" t="s">
        <v>10</v>
      </c>
      <c r="I4362" s="21" t="s">
        <v>55</v>
      </c>
      <c r="J4362" s="21" t="s">
        <v>12853</v>
      </c>
      <c r="K4362" s="5814" t="s">
        <v>12854</v>
      </c>
    </row>
    <row r="4363" spans="1:11">
      <c r="A4363" s="21" t="s">
        <v>2267</v>
      </c>
      <c r="B4363" s="21" t="s">
        <v>12855</v>
      </c>
      <c r="C4363" s="21" t="s">
        <v>8</v>
      </c>
      <c r="D4363" s="21" t="s">
        <v>1430</v>
      </c>
      <c r="E4363" s="21" t="s">
        <v>9</v>
      </c>
      <c r="F4363" s="5812">
        <v>3</v>
      </c>
      <c r="G4363" s="5813">
        <v>0.20833333333333334</v>
      </c>
      <c r="H4363" s="21" t="s">
        <v>10</v>
      </c>
      <c r="I4363" s="21" t="s">
        <v>55</v>
      </c>
      <c r="J4363" s="21" t="s">
        <v>12856</v>
      </c>
      <c r="K4363" s="5814" t="s">
        <v>12857</v>
      </c>
    </row>
    <row r="4364" spans="1:11">
      <c r="A4364" s="21" t="s">
        <v>4430</v>
      </c>
      <c r="B4364" s="21" t="s">
        <v>12858</v>
      </c>
      <c r="C4364" s="21" t="s">
        <v>8</v>
      </c>
      <c r="D4364" s="21" t="s">
        <v>1430</v>
      </c>
      <c r="E4364" s="21" t="s">
        <v>9</v>
      </c>
      <c r="F4364" s="5812">
        <v>3</v>
      </c>
      <c r="G4364" s="5813">
        <v>0.20833333333333334</v>
      </c>
      <c r="H4364" s="21" t="s">
        <v>10</v>
      </c>
      <c r="I4364" s="21" t="s">
        <v>3215</v>
      </c>
      <c r="J4364" s="21" t="s">
        <v>12859</v>
      </c>
      <c r="K4364" s="5814" t="s">
        <v>12860</v>
      </c>
    </row>
    <row r="4365" spans="1:11">
      <c r="A4365" s="21" t="s">
        <v>3345</v>
      </c>
      <c r="B4365" s="21" t="s">
        <v>12861</v>
      </c>
      <c r="C4365" s="21" t="s">
        <v>22</v>
      </c>
      <c r="D4365" s="21" t="s">
        <v>1430</v>
      </c>
      <c r="E4365" s="21" t="s">
        <v>9</v>
      </c>
      <c r="F4365" s="5812">
        <v>3</v>
      </c>
      <c r="G4365" s="5813">
        <v>0.20833333333333334</v>
      </c>
      <c r="H4365" s="21" t="s">
        <v>10</v>
      </c>
      <c r="I4365" s="21" t="s">
        <v>2872</v>
      </c>
      <c r="J4365" s="21" t="s">
        <v>12862</v>
      </c>
      <c r="K4365" s="5814" t="s">
        <v>12863</v>
      </c>
    </row>
    <row r="4366" spans="1:11">
      <c r="A4366" s="21" t="s">
        <v>2863</v>
      </c>
      <c r="B4366" s="21" t="s">
        <v>12864</v>
      </c>
      <c r="C4366" s="21" t="s">
        <v>8</v>
      </c>
      <c r="D4366" s="21" t="s">
        <v>1430</v>
      </c>
      <c r="E4366" s="21" t="s">
        <v>9</v>
      </c>
      <c r="F4366" s="5812">
        <v>3</v>
      </c>
      <c r="G4366" s="5813">
        <v>0.20833333333333334</v>
      </c>
      <c r="H4366" s="21" t="s">
        <v>10</v>
      </c>
      <c r="I4366" s="21" t="s">
        <v>2247</v>
      </c>
      <c r="J4366" s="21" t="s">
        <v>12865</v>
      </c>
      <c r="K4366" s="5814" t="s">
        <v>12866</v>
      </c>
    </row>
    <row r="4367" spans="1:11">
      <c r="A4367" s="21" t="s">
        <v>2961</v>
      </c>
      <c r="B4367" s="21" t="s">
        <v>12867</v>
      </c>
      <c r="C4367" s="21" t="s">
        <v>8</v>
      </c>
      <c r="D4367" s="21" t="s">
        <v>1430</v>
      </c>
      <c r="E4367" s="21" t="s">
        <v>9</v>
      </c>
      <c r="F4367" s="5812">
        <v>3</v>
      </c>
      <c r="G4367" s="5813">
        <v>0.20833333333333334</v>
      </c>
      <c r="H4367" s="21" t="s">
        <v>10</v>
      </c>
      <c r="I4367" s="21" t="s">
        <v>2731</v>
      </c>
      <c r="J4367" s="21" t="s">
        <v>12868</v>
      </c>
      <c r="K4367" s="5814" t="s">
        <v>12869</v>
      </c>
    </row>
    <row r="4368" spans="1:11">
      <c r="A4368" s="21" t="s">
        <v>3260</v>
      </c>
      <c r="B4368" s="21" t="s">
        <v>12617</v>
      </c>
      <c r="C4368" s="21" t="s">
        <v>8</v>
      </c>
      <c r="D4368" s="21" t="s">
        <v>1430</v>
      </c>
      <c r="E4368" s="21" t="s">
        <v>9</v>
      </c>
      <c r="F4368" s="5812">
        <v>3</v>
      </c>
      <c r="G4368" s="5813">
        <v>0.20833333333333334</v>
      </c>
      <c r="H4368" s="21" t="s">
        <v>10</v>
      </c>
      <c r="I4368" s="21" t="s">
        <v>2297</v>
      </c>
      <c r="J4368" s="21" t="s">
        <v>12870</v>
      </c>
      <c r="K4368" s="5814" t="s">
        <v>12871</v>
      </c>
    </row>
    <row r="4369" spans="1:11">
      <c r="A4369" s="21" t="s">
        <v>4621</v>
      </c>
      <c r="B4369" s="21" t="s">
        <v>12872</v>
      </c>
      <c r="C4369" s="21" t="s">
        <v>8</v>
      </c>
      <c r="D4369" s="21" t="s">
        <v>1430</v>
      </c>
      <c r="E4369" s="21" t="s">
        <v>9</v>
      </c>
      <c r="F4369" s="5812">
        <v>3</v>
      </c>
      <c r="G4369" s="5813">
        <v>0.20833333333333334</v>
      </c>
      <c r="H4369" s="21" t="s">
        <v>10</v>
      </c>
      <c r="I4369" s="21" t="s">
        <v>2747</v>
      </c>
      <c r="J4369" s="21" t="s">
        <v>12873</v>
      </c>
      <c r="K4369" s="5814" t="s">
        <v>12874</v>
      </c>
    </row>
    <row r="4370" spans="1:11">
      <c r="A4370" s="21" t="s">
        <v>3056</v>
      </c>
      <c r="B4370" s="21" t="s">
        <v>12875</v>
      </c>
      <c r="C4370" s="21" t="s">
        <v>22</v>
      </c>
      <c r="D4370" s="21" t="s">
        <v>1430</v>
      </c>
      <c r="E4370" s="21" t="s">
        <v>9</v>
      </c>
      <c r="F4370" s="5812">
        <v>3</v>
      </c>
      <c r="G4370" s="5813">
        <v>0.20833333333333334</v>
      </c>
      <c r="H4370" s="21" t="s">
        <v>10</v>
      </c>
      <c r="I4370" s="21" t="s">
        <v>400</v>
      </c>
      <c r="J4370" s="21" t="s">
        <v>12876</v>
      </c>
      <c r="K4370" s="5814" t="s">
        <v>12877</v>
      </c>
    </row>
    <row r="4371" spans="1:11">
      <c r="A4371" s="21" t="s">
        <v>3056</v>
      </c>
      <c r="B4371" s="21" t="s">
        <v>12878</v>
      </c>
      <c r="C4371" s="21" t="s">
        <v>8</v>
      </c>
      <c r="D4371" s="21" t="s">
        <v>1430</v>
      </c>
      <c r="E4371" s="21" t="s">
        <v>9</v>
      </c>
      <c r="F4371" s="5812">
        <v>3</v>
      </c>
      <c r="G4371" s="5813">
        <v>0.20833333333333334</v>
      </c>
      <c r="H4371" s="21" t="s">
        <v>10</v>
      </c>
      <c r="I4371" s="21" t="s">
        <v>3569</v>
      </c>
      <c r="J4371" s="21" t="s">
        <v>12879</v>
      </c>
      <c r="K4371" s="5814" t="s">
        <v>12880</v>
      </c>
    </row>
    <row r="4372" spans="1:11">
      <c r="A4372" s="21" t="s">
        <v>3439</v>
      </c>
      <c r="B4372" s="21" t="s">
        <v>12881</v>
      </c>
      <c r="C4372" s="21" t="s">
        <v>22</v>
      </c>
      <c r="D4372" s="21" t="s">
        <v>1430</v>
      </c>
      <c r="E4372" s="21" t="s">
        <v>9</v>
      </c>
      <c r="F4372" s="5812">
        <v>3</v>
      </c>
      <c r="G4372" s="5813">
        <v>0.20833333333333334</v>
      </c>
      <c r="H4372" s="21" t="s">
        <v>10</v>
      </c>
      <c r="I4372" s="21" t="s">
        <v>117</v>
      </c>
      <c r="J4372" s="21" t="s">
        <v>12882</v>
      </c>
      <c r="K4372" s="5814" t="s">
        <v>12883</v>
      </c>
    </row>
    <row r="4373" spans="1:11">
      <c r="A4373" s="21" t="s">
        <v>3491</v>
      </c>
      <c r="B4373" s="21" t="s">
        <v>12884</v>
      </c>
      <c r="C4373" s="21" t="s">
        <v>8</v>
      </c>
      <c r="D4373" s="21" t="s">
        <v>1430</v>
      </c>
      <c r="E4373" s="21" t="s">
        <v>9</v>
      </c>
      <c r="F4373" s="5812">
        <v>5</v>
      </c>
      <c r="G4373" s="5813">
        <v>0.20833333333333334</v>
      </c>
      <c r="H4373" s="21" t="s">
        <v>54</v>
      </c>
      <c r="I4373" s="21" t="s">
        <v>96</v>
      </c>
      <c r="J4373" s="21" t="s">
        <v>12885</v>
      </c>
      <c r="K4373" s="5814" t="s">
        <v>12886</v>
      </c>
    </row>
    <row r="4374" spans="1:11">
      <c r="A4374" s="21" t="s">
        <v>2108</v>
      </c>
      <c r="B4374" s="21" t="s">
        <v>12887</v>
      </c>
      <c r="C4374" s="21" t="s">
        <v>22</v>
      </c>
      <c r="D4374" s="21" t="s">
        <v>1430</v>
      </c>
      <c r="E4374" s="21" t="s">
        <v>9</v>
      </c>
      <c r="F4374" s="5812">
        <v>5</v>
      </c>
      <c r="G4374" s="5813">
        <v>0.20833333333333334</v>
      </c>
      <c r="H4374" s="21" t="s">
        <v>54</v>
      </c>
      <c r="I4374" s="21" t="s">
        <v>39</v>
      </c>
      <c r="J4374" s="21" t="s">
        <v>12888</v>
      </c>
      <c r="K4374" s="5814" t="s">
        <v>12889</v>
      </c>
    </row>
    <row r="4375" spans="1:11">
      <c r="A4375" s="21" t="s">
        <v>3208</v>
      </c>
      <c r="B4375" s="21" t="s">
        <v>12890</v>
      </c>
      <c r="C4375" s="21" t="s">
        <v>8</v>
      </c>
      <c r="D4375" s="21" t="s">
        <v>1430</v>
      </c>
      <c r="E4375" s="21" t="s">
        <v>9</v>
      </c>
      <c r="F4375" s="5812">
        <v>5</v>
      </c>
      <c r="G4375" s="5813">
        <v>0.20833333333333334</v>
      </c>
      <c r="H4375" s="21" t="s">
        <v>54</v>
      </c>
      <c r="I4375" s="21" t="s">
        <v>55</v>
      </c>
      <c r="J4375" s="21" t="s">
        <v>12891</v>
      </c>
      <c r="K4375" s="5814" t="s">
        <v>12892</v>
      </c>
    </row>
    <row r="4376" spans="1:11">
      <c r="A4376" s="21" t="s">
        <v>2499</v>
      </c>
      <c r="B4376" s="21" t="s">
        <v>12893</v>
      </c>
      <c r="C4376" s="21" t="s">
        <v>22</v>
      </c>
      <c r="D4376" s="21" t="s">
        <v>1430</v>
      </c>
      <c r="E4376" s="21" t="s">
        <v>466</v>
      </c>
      <c r="F4376" s="5812">
        <v>1</v>
      </c>
      <c r="G4376" s="5813">
        <v>0.17777777777777778</v>
      </c>
      <c r="H4376" s="21" t="s">
        <v>10</v>
      </c>
      <c r="I4376" s="21" t="s">
        <v>39</v>
      </c>
      <c r="J4376" s="21" t="s">
        <v>12894</v>
      </c>
      <c r="K4376" s="5814" t="s">
        <v>12895</v>
      </c>
    </row>
    <row r="4377" spans="1:11">
      <c r="A4377" s="21" t="s">
        <v>3029</v>
      </c>
      <c r="B4377" s="21" t="s">
        <v>12896</v>
      </c>
      <c r="C4377" s="21" t="s">
        <v>22</v>
      </c>
      <c r="D4377" s="21" t="s">
        <v>1430</v>
      </c>
      <c r="E4377" s="21" t="s">
        <v>46</v>
      </c>
      <c r="F4377" s="5812">
        <v>1</v>
      </c>
      <c r="G4377" s="5813">
        <v>1.3888888888888888E-2</v>
      </c>
      <c r="H4377" s="21" t="s">
        <v>10</v>
      </c>
      <c r="I4377" s="21" t="s">
        <v>96</v>
      </c>
      <c r="J4377" s="21" t="s">
        <v>127</v>
      </c>
      <c r="K4377" s="5814" t="s">
        <v>12897</v>
      </c>
    </row>
    <row r="4378" spans="1:11">
      <c r="A4378" s="21" t="s">
        <v>2711</v>
      </c>
      <c r="B4378" s="21" t="s">
        <v>12898</v>
      </c>
      <c r="C4378" s="21" t="s">
        <v>8</v>
      </c>
      <c r="D4378" s="21" t="s">
        <v>1430</v>
      </c>
      <c r="E4378" s="21" t="s">
        <v>46</v>
      </c>
      <c r="F4378" s="5812">
        <v>1</v>
      </c>
      <c r="G4378" s="5813">
        <v>2.2916666666666665E-2</v>
      </c>
      <c r="H4378" s="21" t="s">
        <v>10</v>
      </c>
      <c r="I4378" s="21" t="s">
        <v>2747</v>
      </c>
      <c r="J4378" s="21" t="s">
        <v>3004</v>
      </c>
      <c r="K4378" s="5814" t="s">
        <v>12899</v>
      </c>
    </row>
    <row r="4379" spans="1:11">
      <c r="A4379" s="21" t="s">
        <v>3855</v>
      </c>
      <c r="B4379" s="21" t="s">
        <v>12900</v>
      </c>
      <c r="C4379" s="21" t="s">
        <v>8</v>
      </c>
      <c r="D4379" s="21" t="s">
        <v>1430</v>
      </c>
      <c r="E4379" s="21" t="s">
        <v>46</v>
      </c>
      <c r="F4379" s="5812">
        <v>1</v>
      </c>
      <c r="G4379" s="5813">
        <v>2.361111111111111E-2</v>
      </c>
      <c r="H4379" s="21" t="s">
        <v>10</v>
      </c>
      <c r="I4379" s="21" t="s">
        <v>23</v>
      </c>
      <c r="J4379" s="21" t="s">
        <v>12901</v>
      </c>
      <c r="K4379" s="5814" t="s">
        <v>12902</v>
      </c>
    </row>
    <row r="4380" spans="1:11">
      <c r="A4380" s="21" t="s">
        <v>2491</v>
      </c>
      <c r="B4380" s="21" t="s">
        <v>12903</v>
      </c>
      <c r="C4380" s="21" t="s">
        <v>8</v>
      </c>
      <c r="D4380" s="21" t="s">
        <v>1430</v>
      </c>
      <c r="E4380" s="21" t="s">
        <v>46</v>
      </c>
      <c r="F4380" s="5812">
        <v>1</v>
      </c>
      <c r="G4380" s="5813">
        <v>2.4305555555555556E-2</v>
      </c>
      <c r="H4380" s="21" t="s">
        <v>10</v>
      </c>
      <c r="I4380" s="21" t="s">
        <v>23</v>
      </c>
      <c r="J4380" s="21" t="s">
        <v>48</v>
      </c>
      <c r="K4380" s="5814" t="s">
        <v>12904</v>
      </c>
    </row>
    <row r="4381" spans="1:11">
      <c r="A4381" s="21" t="s">
        <v>2376</v>
      </c>
      <c r="B4381" s="21" t="s">
        <v>12905</v>
      </c>
      <c r="C4381" s="21" t="s">
        <v>8</v>
      </c>
      <c r="D4381" s="21" t="s">
        <v>1430</v>
      </c>
      <c r="E4381" s="21" t="s">
        <v>46</v>
      </c>
      <c r="F4381" s="5812">
        <v>1</v>
      </c>
      <c r="G4381" s="5813">
        <v>3.2638888888888891E-2</v>
      </c>
      <c r="H4381" s="21" t="s">
        <v>10</v>
      </c>
      <c r="I4381" s="21" t="s">
        <v>55</v>
      </c>
      <c r="J4381" s="21" t="s">
        <v>97</v>
      </c>
      <c r="K4381" s="5814" t="s">
        <v>12906</v>
      </c>
    </row>
    <row r="4382" spans="1:11">
      <c r="A4382" s="21" t="s">
        <v>3643</v>
      </c>
      <c r="B4382" s="21" t="s">
        <v>12907</v>
      </c>
      <c r="C4382" s="21" t="s">
        <v>8</v>
      </c>
      <c r="D4382" s="21" t="s">
        <v>1430</v>
      </c>
      <c r="E4382" s="21" t="s">
        <v>46</v>
      </c>
      <c r="F4382" s="5812">
        <v>1</v>
      </c>
      <c r="G4382" s="5813">
        <v>4.1666666666666664E-2</v>
      </c>
      <c r="H4382" s="21" t="s">
        <v>10</v>
      </c>
      <c r="I4382" s="21" t="s">
        <v>39</v>
      </c>
      <c r="J4382" s="21" t="s">
        <v>722</v>
      </c>
      <c r="K4382" s="5814" t="s">
        <v>12908</v>
      </c>
    </row>
    <row r="4383" spans="1:11">
      <c r="A4383" s="21" t="s">
        <v>2420</v>
      </c>
      <c r="B4383" s="21" t="s">
        <v>12909</v>
      </c>
      <c r="C4383" s="21" t="s">
        <v>22</v>
      </c>
      <c r="D4383" s="21" t="s">
        <v>1430</v>
      </c>
      <c r="E4383" s="21" t="s">
        <v>46</v>
      </c>
      <c r="F4383" s="5812">
        <v>1</v>
      </c>
      <c r="G4383" s="5813">
        <v>5.6944444444444443E-2</v>
      </c>
      <c r="H4383" s="21" t="s">
        <v>10</v>
      </c>
      <c r="I4383" s="21" t="s">
        <v>2269</v>
      </c>
      <c r="J4383" s="21" t="s">
        <v>97</v>
      </c>
      <c r="K4383" s="5814" t="s">
        <v>12910</v>
      </c>
    </row>
    <row r="4384" spans="1:11">
      <c r="A4384" s="21" t="s">
        <v>2687</v>
      </c>
      <c r="B4384" s="21" t="s">
        <v>12911</v>
      </c>
      <c r="C4384" s="21" t="s">
        <v>8</v>
      </c>
      <c r="D4384" s="21" t="s">
        <v>1430</v>
      </c>
      <c r="E4384" s="21" t="s">
        <v>46</v>
      </c>
      <c r="F4384" s="5812">
        <v>1</v>
      </c>
      <c r="G4384" s="5813">
        <v>8.1944444444444445E-2</v>
      </c>
      <c r="H4384" s="21" t="s">
        <v>10</v>
      </c>
      <c r="I4384" s="21" t="s">
        <v>73</v>
      </c>
      <c r="J4384" s="21" t="s">
        <v>48</v>
      </c>
      <c r="K4384" s="5814" t="s">
        <v>12912</v>
      </c>
    </row>
    <row r="4385" spans="1:11">
      <c r="A4385" s="21" t="s">
        <v>3872</v>
      </c>
      <c r="B4385" s="21" t="s">
        <v>12913</v>
      </c>
      <c r="C4385" s="21" t="s">
        <v>22</v>
      </c>
      <c r="D4385" s="21" t="s">
        <v>1430</v>
      </c>
      <c r="E4385" s="21" t="s">
        <v>46</v>
      </c>
      <c r="F4385" s="5812">
        <v>1</v>
      </c>
      <c r="G4385" s="5813">
        <v>9.7222222222222224E-2</v>
      </c>
      <c r="H4385" s="21" t="s">
        <v>10</v>
      </c>
      <c r="I4385" s="21" t="s">
        <v>117</v>
      </c>
      <c r="J4385" s="21" t="s">
        <v>48</v>
      </c>
      <c r="K4385" s="5814" t="s">
        <v>12914</v>
      </c>
    </row>
    <row r="4386" spans="1:11">
      <c r="A4386" s="21" t="s">
        <v>3006</v>
      </c>
      <c r="B4386" s="21" t="s">
        <v>12915</v>
      </c>
      <c r="C4386" s="21" t="s">
        <v>8</v>
      </c>
      <c r="D4386" s="21" t="s">
        <v>1430</v>
      </c>
      <c r="E4386" s="21" t="s">
        <v>46</v>
      </c>
      <c r="F4386" s="5812">
        <v>1</v>
      </c>
      <c r="G4386" s="5813">
        <v>0.10833333333333334</v>
      </c>
      <c r="H4386" s="21" t="s">
        <v>10</v>
      </c>
      <c r="I4386" s="21" t="s">
        <v>3464</v>
      </c>
      <c r="J4386" s="21" t="s">
        <v>907</v>
      </c>
      <c r="K4386" s="5814" t="s">
        <v>12916</v>
      </c>
    </row>
    <row r="4387" spans="1:11">
      <c r="A4387" s="21" t="s">
        <v>2123</v>
      </c>
      <c r="B4387" s="21" t="s">
        <v>12917</v>
      </c>
      <c r="C4387" s="21" t="s">
        <v>22</v>
      </c>
      <c r="D4387" s="21" t="s">
        <v>1430</v>
      </c>
      <c r="E4387" s="21" t="s">
        <v>46</v>
      </c>
      <c r="F4387" s="5812">
        <v>1</v>
      </c>
      <c r="G4387" s="5813">
        <v>0.15208333333333332</v>
      </c>
      <c r="H4387" s="21" t="s">
        <v>10</v>
      </c>
      <c r="I4387" s="21" t="s">
        <v>96</v>
      </c>
      <c r="J4387" s="21" t="s">
        <v>48</v>
      </c>
      <c r="K4387" s="5814" t="s">
        <v>12918</v>
      </c>
    </row>
    <row r="4388" spans="1:11">
      <c r="A4388" s="21" t="s">
        <v>3787</v>
      </c>
      <c r="B4388" s="21" t="s">
        <v>12919</v>
      </c>
      <c r="C4388" s="21" t="s">
        <v>8</v>
      </c>
      <c r="D4388" s="21" t="s">
        <v>1430</v>
      </c>
      <c r="E4388" s="21" t="s">
        <v>46</v>
      </c>
      <c r="F4388" s="5812">
        <v>2</v>
      </c>
      <c r="G4388" s="5813">
        <v>1.1805555555555555E-2</v>
      </c>
      <c r="H4388" s="21" t="s">
        <v>10</v>
      </c>
      <c r="I4388" s="21" t="s">
        <v>226</v>
      </c>
      <c r="J4388" s="21" t="s">
        <v>4647</v>
      </c>
      <c r="K4388" s="5814" t="s">
        <v>12920</v>
      </c>
    </row>
    <row r="4389" spans="1:11">
      <c r="A4389" s="21" t="s">
        <v>3481</v>
      </c>
      <c r="B4389" s="21" t="s">
        <v>12921</v>
      </c>
      <c r="C4389" s="21" t="s">
        <v>8</v>
      </c>
      <c r="D4389" s="21" t="s">
        <v>1430</v>
      </c>
      <c r="E4389" s="21" t="s">
        <v>46</v>
      </c>
      <c r="F4389" s="5812">
        <v>2</v>
      </c>
      <c r="G4389" s="5813">
        <v>3.7499999999999999E-2</v>
      </c>
      <c r="H4389" s="21" t="s">
        <v>10</v>
      </c>
      <c r="I4389" s="21" t="s">
        <v>55</v>
      </c>
      <c r="J4389" s="21" t="s">
        <v>48</v>
      </c>
      <c r="K4389" s="5814" t="s">
        <v>12922</v>
      </c>
    </row>
    <row r="4390" spans="1:11">
      <c r="A4390" s="21" t="s">
        <v>2935</v>
      </c>
      <c r="B4390" s="21" t="s">
        <v>12923</v>
      </c>
      <c r="C4390" s="21" t="s">
        <v>22</v>
      </c>
      <c r="D4390" s="21" t="s">
        <v>1430</v>
      </c>
      <c r="E4390" s="21" t="s">
        <v>46</v>
      </c>
      <c r="F4390" s="5812">
        <v>2</v>
      </c>
      <c r="G4390" s="5813">
        <v>6.1111111111111109E-2</v>
      </c>
      <c r="H4390" s="21" t="s">
        <v>10</v>
      </c>
      <c r="I4390" s="21" t="s">
        <v>10083</v>
      </c>
      <c r="J4390" s="21" t="s">
        <v>417</v>
      </c>
      <c r="K4390" s="5814" t="s">
        <v>12924</v>
      </c>
    </row>
    <row r="4391" spans="1:11">
      <c r="A4391" s="21" t="s">
        <v>2192</v>
      </c>
      <c r="B4391" s="21" t="s">
        <v>12925</v>
      </c>
      <c r="C4391" s="21" t="s">
        <v>8</v>
      </c>
      <c r="D4391" s="21" t="s">
        <v>1430</v>
      </c>
      <c r="E4391" s="21" t="s">
        <v>46</v>
      </c>
      <c r="F4391" s="5812">
        <v>2</v>
      </c>
      <c r="G4391" s="5813">
        <v>8.4027777777777785E-2</v>
      </c>
      <c r="H4391" s="21" t="s">
        <v>10</v>
      </c>
      <c r="I4391" s="21" t="s">
        <v>187</v>
      </c>
      <c r="J4391" s="21" t="s">
        <v>4586</v>
      </c>
      <c r="K4391" s="5814" t="s">
        <v>12926</v>
      </c>
    </row>
    <row r="4392" spans="1:11">
      <c r="A4392" s="21" t="s">
        <v>231</v>
      </c>
      <c r="B4392" s="21" t="s">
        <v>1513</v>
      </c>
      <c r="C4392" s="21" t="s">
        <v>8</v>
      </c>
      <c r="D4392" s="21" t="s">
        <v>1430</v>
      </c>
      <c r="E4392" s="21" t="s">
        <v>46</v>
      </c>
      <c r="F4392" s="5812">
        <v>2</v>
      </c>
      <c r="G4392" s="5813">
        <v>9.3055555555555558E-2</v>
      </c>
      <c r="H4392" s="21" t="s">
        <v>10</v>
      </c>
      <c r="I4392" s="21" t="s">
        <v>245</v>
      </c>
      <c r="J4392" s="21" t="s">
        <v>430</v>
      </c>
      <c r="K4392" s="5814" t="s">
        <v>12927</v>
      </c>
    </row>
    <row r="4393" spans="1:11">
      <c r="A4393" s="21" t="s">
        <v>2420</v>
      </c>
      <c r="B4393" s="21" t="s">
        <v>9923</v>
      </c>
      <c r="C4393" s="21" t="s">
        <v>8</v>
      </c>
      <c r="D4393" s="21" t="s">
        <v>1430</v>
      </c>
      <c r="E4393" s="21" t="s">
        <v>46</v>
      </c>
      <c r="F4393" s="5812">
        <v>2</v>
      </c>
      <c r="G4393" s="5813">
        <v>0.10277777777777777</v>
      </c>
      <c r="H4393" s="21" t="s">
        <v>10</v>
      </c>
      <c r="I4393" s="21" t="s">
        <v>47</v>
      </c>
      <c r="J4393" s="21" t="s">
        <v>3132</v>
      </c>
      <c r="K4393" s="5814" t="s">
        <v>12928</v>
      </c>
    </row>
    <row r="4394" spans="1:11">
      <c r="A4394" s="21" t="s">
        <v>2307</v>
      </c>
      <c r="B4394" s="21" t="s">
        <v>12929</v>
      </c>
      <c r="C4394" s="21" t="s">
        <v>8</v>
      </c>
      <c r="D4394" s="21" t="s">
        <v>1430</v>
      </c>
      <c r="E4394" s="21" t="s">
        <v>46</v>
      </c>
      <c r="F4394" s="5812">
        <v>2</v>
      </c>
      <c r="G4394" s="5813">
        <v>0.1125</v>
      </c>
      <c r="H4394" s="21" t="s">
        <v>10</v>
      </c>
      <c r="I4394" s="21" t="s">
        <v>73</v>
      </c>
      <c r="J4394" s="21" t="s">
        <v>430</v>
      </c>
      <c r="K4394" s="5814" t="s">
        <v>12930</v>
      </c>
    </row>
    <row r="4395" spans="1:11">
      <c r="A4395" s="21" t="s">
        <v>2334</v>
      </c>
      <c r="B4395" s="21" t="s">
        <v>12931</v>
      </c>
      <c r="C4395" s="21" t="s">
        <v>22</v>
      </c>
      <c r="D4395" s="21" t="s">
        <v>1430</v>
      </c>
      <c r="E4395" s="21" t="s">
        <v>46</v>
      </c>
      <c r="F4395" s="5812">
        <v>2</v>
      </c>
      <c r="G4395" s="5813">
        <v>0.1125</v>
      </c>
      <c r="H4395" s="21" t="s">
        <v>10</v>
      </c>
      <c r="I4395" s="21" t="s">
        <v>6824</v>
      </c>
      <c r="J4395" s="21" t="s">
        <v>127</v>
      </c>
      <c r="K4395" s="5814" t="s">
        <v>12932</v>
      </c>
    </row>
    <row r="4396" spans="1:11">
      <c r="A4396" s="21" t="s">
        <v>4383</v>
      </c>
      <c r="B4396" s="21" t="s">
        <v>12933</v>
      </c>
      <c r="C4396" s="21" t="s">
        <v>22</v>
      </c>
      <c r="D4396" s="21" t="s">
        <v>1430</v>
      </c>
      <c r="E4396" s="21" t="s">
        <v>46</v>
      </c>
      <c r="F4396" s="5812">
        <v>2</v>
      </c>
      <c r="G4396" s="5813">
        <v>0.12222222222222222</v>
      </c>
      <c r="H4396" s="21" t="s">
        <v>10</v>
      </c>
      <c r="I4396" s="21" t="s">
        <v>96</v>
      </c>
      <c r="J4396" s="21" t="s">
        <v>97</v>
      </c>
      <c r="K4396" s="5814" t="s">
        <v>12934</v>
      </c>
    </row>
    <row r="4397" spans="1:11">
      <c r="A4397" s="21" t="s">
        <v>2901</v>
      </c>
      <c r="B4397" s="21" t="s">
        <v>12935</v>
      </c>
      <c r="C4397" s="21" t="s">
        <v>22</v>
      </c>
      <c r="D4397" s="21" t="s">
        <v>1430</v>
      </c>
      <c r="E4397" s="21" t="s">
        <v>46</v>
      </c>
      <c r="F4397" s="5812">
        <v>2</v>
      </c>
      <c r="G4397" s="5813">
        <v>0.12361111111111112</v>
      </c>
      <c r="H4397" s="21" t="s">
        <v>10</v>
      </c>
      <c r="I4397" s="21" t="s">
        <v>11</v>
      </c>
      <c r="J4397" s="21" t="s">
        <v>9732</v>
      </c>
      <c r="K4397" s="5814" t="s">
        <v>12936</v>
      </c>
    </row>
    <row r="4398" spans="1:11">
      <c r="A4398" s="21" t="s">
        <v>185</v>
      </c>
      <c r="B4398" s="21" t="s">
        <v>1501</v>
      </c>
      <c r="C4398" s="21" t="s">
        <v>8</v>
      </c>
      <c r="D4398" s="21" t="s">
        <v>1430</v>
      </c>
      <c r="E4398" s="21" t="s">
        <v>46</v>
      </c>
      <c r="F4398" s="5812">
        <v>2</v>
      </c>
      <c r="G4398" s="5813">
        <v>0.13333333333333333</v>
      </c>
      <c r="H4398" s="21" t="s">
        <v>10</v>
      </c>
      <c r="I4398" s="21" t="s">
        <v>187</v>
      </c>
      <c r="J4398" s="21" t="s">
        <v>258</v>
      </c>
      <c r="K4398" s="5814" t="s">
        <v>1502</v>
      </c>
    </row>
    <row r="4399" spans="1:11">
      <c r="A4399" s="21" t="s">
        <v>223</v>
      </c>
      <c r="B4399" s="21" t="s">
        <v>1448</v>
      </c>
      <c r="C4399" s="21" t="s">
        <v>8</v>
      </c>
      <c r="D4399" s="21" t="s">
        <v>1430</v>
      </c>
      <c r="E4399" s="21" t="s">
        <v>46</v>
      </c>
      <c r="F4399" s="5812">
        <v>2</v>
      </c>
      <c r="G4399" s="5813">
        <v>0.13541666666666666</v>
      </c>
      <c r="H4399" s="21" t="s">
        <v>10</v>
      </c>
      <c r="I4399" s="21" t="s">
        <v>11</v>
      </c>
      <c r="J4399" s="21" t="s">
        <v>48</v>
      </c>
      <c r="K4399" s="5814" t="s">
        <v>1449</v>
      </c>
    </row>
    <row r="4400" spans="1:11">
      <c r="A4400" s="21" t="s">
        <v>3896</v>
      </c>
      <c r="B4400" s="21" t="s">
        <v>12937</v>
      </c>
      <c r="C4400" s="21" t="s">
        <v>8</v>
      </c>
      <c r="D4400" s="21" t="s">
        <v>1430</v>
      </c>
      <c r="E4400" s="21" t="s">
        <v>46</v>
      </c>
      <c r="F4400" s="5812">
        <v>2</v>
      </c>
      <c r="G4400" s="5813">
        <v>0.17083333333333334</v>
      </c>
      <c r="H4400" s="21" t="s">
        <v>10</v>
      </c>
      <c r="I4400" s="21" t="s">
        <v>11</v>
      </c>
      <c r="J4400" s="21" t="s">
        <v>417</v>
      </c>
      <c r="K4400" s="5814" t="s">
        <v>12938</v>
      </c>
    </row>
    <row r="4401" spans="1:11">
      <c r="A4401" s="21" t="s">
        <v>2560</v>
      </c>
      <c r="B4401" s="21" t="s">
        <v>12939</v>
      </c>
      <c r="C4401" s="21" t="s">
        <v>22</v>
      </c>
      <c r="D4401" s="21" t="s">
        <v>1430</v>
      </c>
      <c r="E4401" s="21" t="s">
        <v>46</v>
      </c>
      <c r="F4401" s="5812">
        <v>2</v>
      </c>
      <c r="G4401" s="5813">
        <v>0.18472222222222223</v>
      </c>
      <c r="H4401" s="21" t="s">
        <v>10</v>
      </c>
      <c r="I4401" s="21" t="s">
        <v>187</v>
      </c>
      <c r="J4401" s="21" t="s">
        <v>907</v>
      </c>
      <c r="K4401" s="5814" t="s">
        <v>12940</v>
      </c>
    </row>
    <row r="4402" spans="1:11">
      <c r="A4402" s="21" t="s">
        <v>5168</v>
      </c>
      <c r="B4402" s="21" t="s">
        <v>12941</v>
      </c>
      <c r="C4402" s="21" t="s">
        <v>8</v>
      </c>
      <c r="D4402" s="21" t="s">
        <v>1430</v>
      </c>
      <c r="E4402" s="21" t="s">
        <v>46</v>
      </c>
      <c r="F4402" s="5812">
        <v>2</v>
      </c>
      <c r="G4402" s="5813">
        <v>0.19027777777777777</v>
      </c>
      <c r="H4402" s="21" t="s">
        <v>10</v>
      </c>
      <c r="I4402" s="21" t="s">
        <v>11</v>
      </c>
      <c r="J4402" s="21" t="s">
        <v>258</v>
      </c>
      <c r="K4402" s="5814" t="s">
        <v>12942</v>
      </c>
    </row>
    <row r="4403" spans="1:11">
      <c r="A4403" s="21" t="s">
        <v>2376</v>
      </c>
      <c r="B4403" s="21" t="s">
        <v>12943</v>
      </c>
      <c r="C4403" s="21" t="s">
        <v>22</v>
      </c>
      <c r="D4403" s="21" t="s">
        <v>1430</v>
      </c>
      <c r="E4403" s="21" t="s">
        <v>46</v>
      </c>
      <c r="F4403" s="5812">
        <v>3</v>
      </c>
      <c r="G4403" s="5813">
        <v>3.7499999999999999E-2</v>
      </c>
      <c r="H4403" s="21" t="s">
        <v>54</v>
      </c>
      <c r="I4403" s="21" t="s">
        <v>96</v>
      </c>
      <c r="J4403" s="21" t="s">
        <v>97</v>
      </c>
      <c r="K4403" s="5814" t="s">
        <v>12944</v>
      </c>
    </row>
    <row r="4404" spans="1:11">
      <c r="A4404" s="21" t="s">
        <v>2995</v>
      </c>
      <c r="B4404" s="21" t="s">
        <v>12945</v>
      </c>
      <c r="C4404" s="21" t="s">
        <v>8</v>
      </c>
      <c r="D4404" s="21" t="s">
        <v>1430</v>
      </c>
      <c r="E4404" s="21" t="s">
        <v>46</v>
      </c>
      <c r="F4404" s="5812">
        <v>3</v>
      </c>
      <c r="G4404" s="5813">
        <v>0.15347222222222223</v>
      </c>
      <c r="H4404" s="21" t="s">
        <v>10</v>
      </c>
      <c r="I4404" s="21" t="s">
        <v>23</v>
      </c>
      <c r="J4404" s="21" t="s">
        <v>430</v>
      </c>
      <c r="K4404" s="5814" t="s">
        <v>12946</v>
      </c>
    </row>
    <row r="4405" spans="1:11">
      <c r="A4405" s="21" t="s">
        <v>2424</v>
      </c>
      <c r="B4405" s="21" t="s">
        <v>12947</v>
      </c>
      <c r="C4405" s="21" t="s">
        <v>22</v>
      </c>
      <c r="D4405" s="21" t="s">
        <v>1430</v>
      </c>
      <c r="E4405" s="21" t="s">
        <v>46</v>
      </c>
      <c r="F4405" s="5812">
        <v>3</v>
      </c>
      <c r="G4405" s="5813">
        <v>0.16111111111111112</v>
      </c>
      <c r="H4405" s="21" t="s">
        <v>10</v>
      </c>
      <c r="I4405" s="21" t="s">
        <v>23</v>
      </c>
      <c r="J4405" s="21" t="s">
        <v>907</v>
      </c>
      <c r="K4405" s="5814" t="s">
        <v>12948</v>
      </c>
    </row>
    <row r="4406" spans="1:11">
      <c r="A4406" s="21" t="s">
        <v>65</v>
      </c>
      <c r="B4406" s="21" t="s">
        <v>1509</v>
      </c>
      <c r="C4406" s="21" t="s">
        <v>22</v>
      </c>
      <c r="D4406" s="21" t="s">
        <v>1430</v>
      </c>
      <c r="E4406" s="21" t="s">
        <v>46</v>
      </c>
      <c r="F4406" s="5812">
        <v>3</v>
      </c>
      <c r="G4406" s="5813">
        <v>0.16180555555555556</v>
      </c>
      <c r="H4406" s="21" t="s">
        <v>10</v>
      </c>
      <c r="I4406" s="21" t="s">
        <v>23</v>
      </c>
      <c r="J4406" s="21" t="s">
        <v>97</v>
      </c>
      <c r="K4406" s="5814" t="s">
        <v>1510</v>
      </c>
    </row>
    <row r="4407" spans="1:11">
      <c r="A4407" s="21" t="s">
        <v>2687</v>
      </c>
      <c r="B4407" s="21" t="s">
        <v>12949</v>
      </c>
      <c r="C4407" s="21" t="s">
        <v>22</v>
      </c>
      <c r="D4407" s="21" t="s">
        <v>1430</v>
      </c>
      <c r="E4407" s="21" t="s">
        <v>46</v>
      </c>
      <c r="F4407" s="5812">
        <v>3</v>
      </c>
      <c r="G4407" s="5813">
        <v>0.18958333333333333</v>
      </c>
      <c r="H4407" s="21" t="s">
        <v>10</v>
      </c>
      <c r="I4407" s="21" t="s">
        <v>73</v>
      </c>
      <c r="J4407" s="21" t="s">
        <v>417</v>
      </c>
      <c r="K4407" s="5814" t="s">
        <v>12950</v>
      </c>
    </row>
    <row r="4408" spans="1:11">
      <c r="A4408" s="21" t="s">
        <v>2651</v>
      </c>
      <c r="B4408" s="21" t="s">
        <v>12951</v>
      </c>
      <c r="C4408" s="21" t="s">
        <v>22</v>
      </c>
      <c r="D4408" s="21" t="s">
        <v>1430</v>
      </c>
      <c r="E4408" s="21" t="s">
        <v>61</v>
      </c>
      <c r="F4408" s="5812">
        <v>1</v>
      </c>
      <c r="G4408" s="5813">
        <v>4.2361111111111113E-2</v>
      </c>
      <c r="H4408" s="21" t="s">
        <v>10</v>
      </c>
      <c r="I4408" s="21" t="s">
        <v>2430</v>
      </c>
      <c r="J4408" s="21" t="s">
        <v>67</v>
      </c>
      <c r="K4408" s="5814" t="s">
        <v>12952</v>
      </c>
    </row>
    <row r="4409" spans="1:11">
      <c r="A4409" s="21" t="s">
        <v>2197</v>
      </c>
      <c r="B4409" s="21" t="s">
        <v>12953</v>
      </c>
      <c r="C4409" s="21" t="s">
        <v>8</v>
      </c>
      <c r="D4409" s="21" t="s">
        <v>1430</v>
      </c>
      <c r="E4409" s="21" t="s">
        <v>61</v>
      </c>
      <c r="F4409" s="5812">
        <v>1</v>
      </c>
      <c r="G4409" s="5813">
        <v>5.6250000000000001E-2</v>
      </c>
      <c r="H4409" s="21" t="s">
        <v>10</v>
      </c>
      <c r="I4409" s="21" t="s">
        <v>2747</v>
      </c>
      <c r="J4409" s="21" t="s">
        <v>4770</v>
      </c>
      <c r="K4409" s="5814" t="s">
        <v>12954</v>
      </c>
    </row>
    <row r="4410" spans="1:11">
      <c r="A4410" s="21" t="s">
        <v>20</v>
      </c>
      <c r="B4410" s="21" t="s">
        <v>1483</v>
      </c>
      <c r="C4410" s="21" t="s">
        <v>8</v>
      </c>
      <c r="D4410" s="21" t="s">
        <v>1430</v>
      </c>
      <c r="E4410" s="21" t="s">
        <v>61</v>
      </c>
      <c r="F4410" s="5812">
        <v>1</v>
      </c>
      <c r="G4410" s="5813">
        <v>6.805555555555555E-2</v>
      </c>
      <c r="H4410" s="21" t="s">
        <v>10</v>
      </c>
      <c r="I4410" s="21" t="s">
        <v>89</v>
      </c>
      <c r="J4410" s="21" t="s">
        <v>1379</v>
      </c>
      <c r="K4410" s="5814" t="s">
        <v>1484</v>
      </c>
    </row>
    <row r="4411" spans="1:11">
      <c r="A4411" s="21" t="s">
        <v>2530</v>
      </c>
      <c r="B4411" s="21" t="s">
        <v>12955</v>
      </c>
      <c r="C4411" s="21" t="s">
        <v>22</v>
      </c>
      <c r="D4411" s="21" t="s">
        <v>1430</v>
      </c>
      <c r="E4411" s="21" t="s">
        <v>61</v>
      </c>
      <c r="F4411" s="5812">
        <v>1</v>
      </c>
      <c r="G4411" s="5813">
        <v>7.2222222222222215E-2</v>
      </c>
      <c r="H4411" s="21" t="s">
        <v>10</v>
      </c>
      <c r="I4411" s="21" t="s">
        <v>47</v>
      </c>
      <c r="J4411" s="21" t="s">
        <v>1444</v>
      </c>
      <c r="K4411" s="5814" t="s">
        <v>12956</v>
      </c>
    </row>
    <row r="4412" spans="1:11">
      <c r="A4412" s="21" t="s">
        <v>4068</v>
      </c>
      <c r="B4412" s="21" t="s">
        <v>12957</v>
      </c>
      <c r="C4412" s="21" t="s">
        <v>8</v>
      </c>
      <c r="D4412" s="21" t="s">
        <v>1430</v>
      </c>
      <c r="E4412" s="21" t="s">
        <v>61</v>
      </c>
      <c r="F4412" s="5812">
        <v>1</v>
      </c>
      <c r="G4412" s="5813">
        <v>7.8472222222222221E-2</v>
      </c>
      <c r="H4412" s="21" t="s">
        <v>10</v>
      </c>
      <c r="I4412" s="21" t="s">
        <v>96</v>
      </c>
      <c r="J4412" s="21" t="s">
        <v>928</v>
      </c>
      <c r="K4412" s="5814" t="s">
        <v>12958</v>
      </c>
    </row>
    <row r="4413" spans="1:11">
      <c r="A4413" s="21" t="s">
        <v>3192</v>
      </c>
      <c r="B4413" s="21" t="s">
        <v>12959</v>
      </c>
      <c r="C4413" s="21" t="s">
        <v>8</v>
      </c>
      <c r="D4413" s="21" t="s">
        <v>1430</v>
      </c>
      <c r="E4413" s="21" t="s">
        <v>61</v>
      </c>
      <c r="F4413" s="5812">
        <v>1</v>
      </c>
      <c r="G4413" s="5813">
        <v>8.2638888888888887E-2</v>
      </c>
      <c r="H4413" s="21" t="s">
        <v>10</v>
      </c>
      <c r="I4413" s="21" t="s">
        <v>2297</v>
      </c>
      <c r="J4413" s="21" t="s">
        <v>67</v>
      </c>
      <c r="K4413" s="5814" t="s">
        <v>12960</v>
      </c>
    </row>
    <row r="4414" spans="1:11">
      <c r="A4414" s="21" t="s">
        <v>2454</v>
      </c>
      <c r="B4414" s="21" t="s">
        <v>12961</v>
      </c>
      <c r="C4414" s="21" t="s">
        <v>22</v>
      </c>
      <c r="D4414" s="21" t="s">
        <v>1430</v>
      </c>
      <c r="E4414" s="21" t="s">
        <v>61</v>
      </c>
      <c r="F4414" s="5812">
        <v>1</v>
      </c>
      <c r="G4414" s="5813">
        <v>0.10069444444444445</v>
      </c>
      <c r="H4414" s="21" t="s">
        <v>10</v>
      </c>
      <c r="I4414" s="21" t="s">
        <v>615</v>
      </c>
      <c r="J4414" s="21" t="s">
        <v>11815</v>
      </c>
      <c r="K4414" s="5814" t="s">
        <v>12962</v>
      </c>
    </row>
    <row r="4415" spans="1:11">
      <c r="A4415" s="21" t="s">
        <v>3217</v>
      </c>
      <c r="B4415" s="21" t="s">
        <v>12963</v>
      </c>
      <c r="C4415" s="21" t="s">
        <v>8</v>
      </c>
      <c r="D4415" s="21" t="s">
        <v>1430</v>
      </c>
      <c r="E4415" s="21" t="s">
        <v>61</v>
      </c>
      <c r="F4415" s="5812">
        <v>1</v>
      </c>
      <c r="G4415" s="5813">
        <v>0.10208333333333333</v>
      </c>
      <c r="H4415" s="21" t="s">
        <v>10</v>
      </c>
      <c r="I4415" s="21" t="s">
        <v>233</v>
      </c>
      <c r="J4415" s="21" t="s">
        <v>67</v>
      </c>
      <c r="K4415" s="5814" t="s">
        <v>12964</v>
      </c>
    </row>
    <row r="4416" spans="1:11">
      <c r="A4416" s="21" t="s">
        <v>3315</v>
      </c>
      <c r="B4416" s="21" t="s">
        <v>12965</v>
      </c>
      <c r="C4416" s="21" t="s">
        <v>8</v>
      </c>
      <c r="D4416" s="21" t="s">
        <v>1430</v>
      </c>
      <c r="E4416" s="21" t="s">
        <v>61</v>
      </c>
      <c r="F4416" s="5812">
        <v>1</v>
      </c>
      <c r="G4416" s="5813">
        <v>0.10833333333333334</v>
      </c>
      <c r="H4416" s="21" t="s">
        <v>10</v>
      </c>
      <c r="I4416" s="21" t="s">
        <v>96</v>
      </c>
      <c r="J4416" s="21" t="s">
        <v>12966</v>
      </c>
      <c r="K4416" s="5814" t="s">
        <v>12967</v>
      </c>
    </row>
    <row r="4417" spans="1:11">
      <c r="A4417" s="21" t="s">
        <v>2711</v>
      </c>
      <c r="B4417" s="21" t="s">
        <v>12968</v>
      </c>
      <c r="C4417" s="21" t="s">
        <v>22</v>
      </c>
      <c r="D4417" s="21" t="s">
        <v>1430</v>
      </c>
      <c r="E4417" s="21" t="s">
        <v>61</v>
      </c>
      <c r="F4417" s="5812">
        <v>1</v>
      </c>
      <c r="G4417" s="5813">
        <v>0.11388888888888889</v>
      </c>
      <c r="H4417" s="21" t="s">
        <v>10</v>
      </c>
      <c r="I4417" s="21" t="s">
        <v>2747</v>
      </c>
      <c r="J4417" s="21" t="s">
        <v>67</v>
      </c>
      <c r="K4417" s="5814" t="s">
        <v>12969</v>
      </c>
    </row>
    <row r="4418" spans="1:11">
      <c r="A4418" s="21" t="s">
        <v>4434</v>
      </c>
      <c r="B4418" s="21" t="s">
        <v>12970</v>
      </c>
      <c r="C4418" s="21" t="s">
        <v>8</v>
      </c>
      <c r="D4418" s="21" t="s">
        <v>1430</v>
      </c>
      <c r="E4418" s="21" t="s">
        <v>61</v>
      </c>
      <c r="F4418" s="5812">
        <v>1</v>
      </c>
      <c r="G4418" s="5813">
        <v>0.11597222222222223</v>
      </c>
      <c r="H4418" s="21" t="s">
        <v>10</v>
      </c>
      <c r="I4418" s="21" t="s">
        <v>5243</v>
      </c>
      <c r="J4418" s="21" t="s">
        <v>67</v>
      </c>
      <c r="K4418" s="5814" t="s">
        <v>12971</v>
      </c>
    </row>
    <row r="4419" spans="1:11">
      <c r="A4419" s="21" t="s">
        <v>2229</v>
      </c>
      <c r="B4419" s="21" t="s">
        <v>12972</v>
      </c>
      <c r="C4419" s="21" t="s">
        <v>8</v>
      </c>
      <c r="D4419" s="21" t="s">
        <v>1430</v>
      </c>
      <c r="E4419" s="21" t="s">
        <v>61</v>
      </c>
      <c r="F4419" s="5812">
        <v>1</v>
      </c>
      <c r="G4419" s="5813">
        <v>0.12708333333333333</v>
      </c>
      <c r="H4419" s="21" t="s">
        <v>10</v>
      </c>
      <c r="I4419" s="21" t="s">
        <v>2247</v>
      </c>
      <c r="J4419" s="21" t="s">
        <v>67</v>
      </c>
      <c r="K4419" s="5814" t="s">
        <v>12973</v>
      </c>
    </row>
    <row r="4420" spans="1:11">
      <c r="A4420" s="21" t="s">
        <v>3012</v>
      </c>
      <c r="B4420" s="21" t="s">
        <v>12974</v>
      </c>
      <c r="C4420" s="21" t="s">
        <v>22</v>
      </c>
      <c r="D4420" s="21" t="s">
        <v>1430</v>
      </c>
      <c r="E4420" s="21" t="s">
        <v>61</v>
      </c>
      <c r="F4420" s="5812">
        <v>1</v>
      </c>
      <c r="G4420" s="5813">
        <v>0.13402777777777777</v>
      </c>
      <c r="H4420" s="21" t="s">
        <v>54</v>
      </c>
      <c r="I4420" s="21" t="s">
        <v>11</v>
      </c>
      <c r="J4420" s="21" t="s">
        <v>12975</v>
      </c>
      <c r="K4420" s="5814" t="s">
        <v>12976</v>
      </c>
    </row>
    <row r="4421" spans="1:11">
      <c r="A4421" s="21" t="s">
        <v>3505</v>
      </c>
      <c r="B4421" s="21" t="s">
        <v>12977</v>
      </c>
      <c r="C4421" s="21" t="s">
        <v>8</v>
      </c>
      <c r="D4421" s="21" t="s">
        <v>1430</v>
      </c>
      <c r="E4421" s="21" t="s">
        <v>61</v>
      </c>
      <c r="F4421" s="5812">
        <v>1</v>
      </c>
      <c r="G4421" s="5813">
        <v>0.13750000000000001</v>
      </c>
      <c r="H4421" s="21" t="s">
        <v>10</v>
      </c>
      <c r="I4421" s="21" t="s">
        <v>39</v>
      </c>
      <c r="J4421" s="21" t="s">
        <v>1444</v>
      </c>
      <c r="K4421" s="5814" t="s">
        <v>12978</v>
      </c>
    </row>
    <row r="4422" spans="1:11">
      <c r="A4422" s="21" t="s">
        <v>2233</v>
      </c>
      <c r="B4422" s="21" t="s">
        <v>12979</v>
      </c>
      <c r="C4422" s="21" t="s">
        <v>22</v>
      </c>
      <c r="D4422" s="21" t="s">
        <v>1430</v>
      </c>
      <c r="E4422" s="21" t="s">
        <v>61</v>
      </c>
      <c r="F4422" s="5812">
        <v>1</v>
      </c>
      <c r="G4422" s="5813">
        <v>0.13819444444444445</v>
      </c>
      <c r="H4422" s="21" t="s">
        <v>10</v>
      </c>
      <c r="I4422" s="21" t="s">
        <v>55</v>
      </c>
      <c r="J4422" s="21" t="s">
        <v>67</v>
      </c>
      <c r="K4422" s="5814" t="s">
        <v>12980</v>
      </c>
    </row>
    <row r="4423" spans="1:11">
      <c r="A4423" s="21" t="s">
        <v>2804</v>
      </c>
      <c r="B4423" s="21" t="s">
        <v>12981</v>
      </c>
      <c r="C4423" s="21" t="s">
        <v>22</v>
      </c>
      <c r="D4423" s="21" t="s">
        <v>1430</v>
      </c>
      <c r="E4423" s="21" t="s">
        <v>61</v>
      </c>
      <c r="F4423" s="5812">
        <v>1</v>
      </c>
      <c r="G4423" s="5813">
        <v>0.13958333333333334</v>
      </c>
      <c r="H4423" s="21" t="s">
        <v>54</v>
      </c>
      <c r="I4423" s="21" t="s">
        <v>2297</v>
      </c>
      <c r="J4423" s="21" t="s">
        <v>67</v>
      </c>
      <c r="K4423" s="5814" t="s">
        <v>12982</v>
      </c>
    </row>
    <row r="4424" spans="1:11">
      <c r="A4424" s="21" t="s">
        <v>2188</v>
      </c>
      <c r="B4424" s="21" t="s">
        <v>12983</v>
      </c>
      <c r="C4424" s="21" t="s">
        <v>8</v>
      </c>
      <c r="D4424" s="21" t="s">
        <v>1430</v>
      </c>
      <c r="E4424" s="21" t="s">
        <v>61</v>
      </c>
      <c r="F4424" s="5812">
        <v>1</v>
      </c>
      <c r="G4424" s="5813">
        <v>0.15347222222222223</v>
      </c>
      <c r="H4424" s="21" t="s">
        <v>10</v>
      </c>
      <c r="I4424" s="21" t="s">
        <v>2149</v>
      </c>
      <c r="J4424" s="21" t="s">
        <v>1379</v>
      </c>
      <c r="K4424" s="5814" t="s">
        <v>12984</v>
      </c>
    </row>
    <row r="4425" spans="1:11">
      <c r="A4425" s="21" t="s">
        <v>2147</v>
      </c>
      <c r="B4425" s="21" t="s">
        <v>12985</v>
      </c>
      <c r="C4425" s="21" t="s">
        <v>22</v>
      </c>
      <c r="D4425" s="21" t="s">
        <v>1430</v>
      </c>
      <c r="E4425" s="21" t="s">
        <v>61</v>
      </c>
      <c r="F4425" s="5812">
        <v>1</v>
      </c>
      <c r="G4425" s="5813">
        <v>0.15486111111111112</v>
      </c>
      <c r="H4425" s="21" t="s">
        <v>10</v>
      </c>
      <c r="I4425" s="21" t="s">
        <v>2660</v>
      </c>
      <c r="J4425" s="21" t="s">
        <v>67</v>
      </c>
      <c r="K4425" s="5814" t="s">
        <v>12986</v>
      </c>
    </row>
    <row r="4426" spans="1:11">
      <c r="A4426" s="21" t="s">
        <v>2131</v>
      </c>
      <c r="B4426" s="21" t="s">
        <v>12987</v>
      </c>
      <c r="C4426" s="21" t="s">
        <v>8</v>
      </c>
      <c r="D4426" s="21" t="s">
        <v>1430</v>
      </c>
      <c r="E4426" s="21" t="s">
        <v>61</v>
      </c>
      <c r="F4426" s="5812">
        <v>1</v>
      </c>
      <c r="G4426" s="5813">
        <v>0.15555555555555556</v>
      </c>
      <c r="H4426" s="21" t="s">
        <v>10</v>
      </c>
      <c r="I4426" s="21" t="s">
        <v>96</v>
      </c>
      <c r="J4426" s="21" t="s">
        <v>1444</v>
      </c>
      <c r="K4426" s="5814" t="s">
        <v>12988</v>
      </c>
    </row>
    <row r="4427" spans="1:11">
      <c r="A4427" s="21" t="s">
        <v>2745</v>
      </c>
      <c r="B4427" s="21" t="s">
        <v>12989</v>
      </c>
      <c r="C4427" s="21" t="s">
        <v>22</v>
      </c>
      <c r="D4427" s="21" t="s">
        <v>1430</v>
      </c>
      <c r="E4427" s="21" t="s">
        <v>61</v>
      </c>
      <c r="F4427" s="5812">
        <v>1</v>
      </c>
      <c r="G4427" s="5813">
        <v>0.15972222222222221</v>
      </c>
      <c r="H4427" s="21" t="s">
        <v>10</v>
      </c>
      <c r="I4427" s="21" t="s">
        <v>2747</v>
      </c>
      <c r="J4427" s="21" t="s">
        <v>67</v>
      </c>
      <c r="K4427" s="5814" t="s">
        <v>12990</v>
      </c>
    </row>
    <row r="4428" spans="1:11">
      <c r="A4428" s="21" t="s">
        <v>4671</v>
      </c>
      <c r="B4428" s="21" t="s">
        <v>12991</v>
      </c>
      <c r="C4428" s="21" t="s">
        <v>8</v>
      </c>
      <c r="D4428" s="21" t="s">
        <v>1430</v>
      </c>
      <c r="E4428" s="21" t="s">
        <v>61</v>
      </c>
      <c r="F4428" s="5812">
        <v>1</v>
      </c>
      <c r="G4428" s="5813">
        <v>0.17291666666666666</v>
      </c>
      <c r="H4428" s="21" t="s">
        <v>10</v>
      </c>
      <c r="I4428" s="21" t="s">
        <v>3534</v>
      </c>
      <c r="J4428" s="21" t="s">
        <v>67</v>
      </c>
      <c r="K4428" s="5814" t="s">
        <v>12992</v>
      </c>
    </row>
    <row r="4429" spans="1:11">
      <c r="A4429" s="21" t="s">
        <v>2108</v>
      </c>
      <c r="B4429" s="21" t="s">
        <v>12993</v>
      </c>
      <c r="C4429" s="21" t="s">
        <v>8</v>
      </c>
      <c r="D4429" s="21" t="s">
        <v>1430</v>
      </c>
      <c r="E4429" s="21" t="s">
        <v>61</v>
      </c>
      <c r="F4429" s="5812">
        <v>1</v>
      </c>
      <c r="G4429" s="5813">
        <v>0.1763888888888889</v>
      </c>
      <c r="H4429" s="21" t="s">
        <v>10</v>
      </c>
      <c r="I4429" s="21" t="s">
        <v>55</v>
      </c>
      <c r="J4429" s="21" t="s">
        <v>5461</v>
      </c>
      <c r="K4429" s="5814" t="s">
        <v>12994</v>
      </c>
    </row>
    <row r="4430" spans="1:11">
      <c r="A4430" s="21" t="s">
        <v>2638</v>
      </c>
      <c r="B4430" s="21" t="s">
        <v>12995</v>
      </c>
      <c r="C4430" s="21" t="s">
        <v>8</v>
      </c>
      <c r="D4430" s="21" t="s">
        <v>1430</v>
      </c>
      <c r="E4430" s="21" t="s">
        <v>61</v>
      </c>
      <c r="F4430" s="5812">
        <v>1</v>
      </c>
      <c r="G4430" s="5813">
        <v>0.18333333333333332</v>
      </c>
      <c r="H4430" s="21" t="s">
        <v>10</v>
      </c>
      <c r="I4430" s="21" t="s">
        <v>11</v>
      </c>
      <c r="J4430" s="21" t="s">
        <v>1444</v>
      </c>
      <c r="K4430" s="5814" t="s">
        <v>12996</v>
      </c>
    </row>
    <row r="4431" spans="1:11">
      <c r="A4431" s="21" t="s">
        <v>2115</v>
      </c>
      <c r="B4431" s="21" t="s">
        <v>12997</v>
      </c>
      <c r="C4431" s="21" t="s">
        <v>22</v>
      </c>
      <c r="D4431" s="21" t="s">
        <v>1430</v>
      </c>
      <c r="E4431" s="21" t="s">
        <v>61</v>
      </c>
      <c r="F4431" s="5812">
        <v>1</v>
      </c>
      <c r="G4431" s="5813">
        <v>0.18888888888888888</v>
      </c>
      <c r="H4431" s="21" t="s">
        <v>10</v>
      </c>
      <c r="I4431" s="21" t="s">
        <v>89</v>
      </c>
      <c r="J4431" s="21" t="s">
        <v>1444</v>
      </c>
      <c r="K4431" s="5814" t="s">
        <v>12998</v>
      </c>
    </row>
    <row r="4432" spans="1:11">
      <c r="A4432" s="21" t="s">
        <v>2932</v>
      </c>
      <c r="B4432" s="21" t="s">
        <v>12999</v>
      </c>
      <c r="C4432" s="21" t="s">
        <v>22</v>
      </c>
      <c r="D4432" s="21" t="s">
        <v>1430</v>
      </c>
      <c r="E4432" s="21" t="s">
        <v>61</v>
      </c>
      <c r="F4432" s="5812">
        <v>1</v>
      </c>
      <c r="G4432" s="5813">
        <v>0.19027777777777777</v>
      </c>
      <c r="H4432" s="21" t="s">
        <v>10</v>
      </c>
      <c r="I4432" s="21" t="s">
        <v>39</v>
      </c>
      <c r="J4432" s="21" t="s">
        <v>928</v>
      </c>
      <c r="K4432" s="5814" t="s">
        <v>13000</v>
      </c>
    </row>
    <row r="4433" spans="1:11">
      <c r="A4433" s="21" t="s">
        <v>2824</v>
      </c>
      <c r="B4433" s="21" t="s">
        <v>13001</v>
      </c>
      <c r="C4433" s="21" t="s">
        <v>8</v>
      </c>
      <c r="D4433" s="21" t="s">
        <v>1430</v>
      </c>
      <c r="E4433" s="21" t="s">
        <v>61</v>
      </c>
      <c r="F4433" s="5812">
        <v>1</v>
      </c>
      <c r="G4433" s="5813">
        <v>0.19305555555555556</v>
      </c>
      <c r="H4433" s="21" t="s">
        <v>10</v>
      </c>
      <c r="I4433" s="21" t="s">
        <v>7926</v>
      </c>
      <c r="J4433" s="21" t="s">
        <v>110</v>
      </c>
      <c r="K4433" s="5814" t="s">
        <v>13002</v>
      </c>
    </row>
    <row r="4434" spans="1:11">
      <c r="A4434" s="21" t="s">
        <v>2119</v>
      </c>
      <c r="B4434" s="21" t="s">
        <v>13003</v>
      </c>
      <c r="C4434" s="21" t="s">
        <v>22</v>
      </c>
      <c r="D4434" s="21" t="s">
        <v>1430</v>
      </c>
      <c r="E4434" s="21" t="s">
        <v>61</v>
      </c>
      <c r="F4434" s="5812">
        <v>1</v>
      </c>
      <c r="G4434" s="5813">
        <v>0.2</v>
      </c>
      <c r="H4434" s="21" t="s">
        <v>10</v>
      </c>
      <c r="I4434" s="21" t="s">
        <v>23</v>
      </c>
      <c r="J4434" s="21" t="s">
        <v>1444</v>
      </c>
      <c r="K4434" s="5814" t="s">
        <v>13004</v>
      </c>
    </row>
    <row r="4435" spans="1:11">
      <c r="A4435" s="21" t="s">
        <v>3364</v>
      </c>
      <c r="B4435" s="21" t="s">
        <v>13005</v>
      </c>
      <c r="C4435" s="21" t="s">
        <v>8</v>
      </c>
      <c r="D4435" s="21" t="s">
        <v>1430</v>
      </c>
      <c r="E4435" s="21" t="s">
        <v>61</v>
      </c>
      <c r="F4435" s="5812">
        <v>1</v>
      </c>
      <c r="G4435" s="5813">
        <v>0.2</v>
      </c>
      <c r="H4435" s="21" t="s">
        <v>10</v>
      </c>
      <c r="I4435" s="21" t="s">
        <v>55</v>
      </c>
      <c r="J4435" s="21" t="s">
        <v>67</v>
      </c>
      <c r="K4435" s="5814" t="s">
        <v>13006</v>
      </c>
    </row>
    <row r="4436" spans="1:11">
      <c r="A4436" s="21" t="s">
        <v>311</v>
      </c>
      <c r="B4436" s="21" t="s">
        <v>1443</v>
      </c>
      <c r="C4436" s="21" t="s">
        <v>8</v>
      </c>
      <c r="D4436" s="21" t="s">
        <v>1430</v>
      </c>
      <c r="E4436" s="21" t="s">
        <v>61</v>
      </c>
      <c r="F4436" s="5812">
        <v>1</v>
      </c>
      <c r="G4436" s="5813">
        <v>0.2076388888888889</v>
      </c>
      <c r="H4436" s="21" t="s">
        <v>10</v>
      </c>
      <c r="I4436" s="21" t="s">
        <v>73</v>
      </c>
      <c r="J4436" s="21" t="s">
        <v>1444</v>
      </c>
      <c r="K4436" s="5814" t="s">
        <v>1445</v>
      </c>
    </row>
    <row r="4437" spans="1:11">
      <c r="A4437" s="21" t="s">
        <v>3886</v>
      </c>
      <c r="B4437" s="21" t="s">
        <v>13007</v>
      </c>
      <c r="C4437" s="21" t="s">
        <v>8</v>
      </c>
      <c r="D4437" s="21" t="s">
        <v>1430</v>
      </c>
      <c r="E4437" s="21" t="s">
        <v>61</v>
      </c>
      <c r="F4437" s="5812">
        <v>2</v>
      </c>
      <c r="G4437" s="5813">
        <v>3.0555555555555555E-2</v>
      </c>
      <c r="H4437" s="21" t="s">
        <v>10</v>
      </c>
      <c r="I4437" s="21" t="s">
        <v>2269</v>
      </c>
      <c r="J4437" s="21" t="s">
        <v>67</v>
      </c>
      <c r="K4437" s="5814" t="s">
        <v>13008</v>
      </c>
    </row>
    <row r="4438" spans="1:11">
      <c r="A4438" s="21" t="s">
        <v>4313</v>
      </c>
      <c r="B4438" s="21" t="s">
        <v>13009</v>
      </c>
      <c r="C4438" s="21" t="s">
        <v>8</v>
      </c>
      <c r="D4438" s="21" t="s">
        <v>1430</v>
      </c>
      <c r="E4438" s="21" t="s">
        <v>61</v>
      </c>
      <c r="F4438" s="5812">
        <v>2</v>
      </c>
      <c r="G4438" s="5813">
        <v>3.6805555555555557E-2</v>
      </c>
      <c r="H4438" s="21" t="s">
        <v>10</v>
      </c>
      <c r="I4438" s="21" t="s">
        <v>23</v>
      </c>
      <c r="J4438" s="21" t="s">
        <v>67</v>
      </c>
      <c r="K4438" s="5814" t="s">
        <v>13010</v>
      </c>
    </row>
    <row r="4439" spans="1:11">
      <c r="A4439" s="21" t="s">
        <v>5984</v>
      </c>
      <c r="B4439" s="21" t="s">
        <v>13011</v>
      </c>
      <c r="C4439" s="21" t="s">
        <v>8</v>
      </c>
      <c r="D4439" s="21" t="s">
        <v>1430</v>
      </c>
      <c r="E4439" s="21" t="s">
        <v>61</v>
      </c>
      <c r="F4439" s="5812">
        <v>2</v>
      </c>
      <c r="G4439" s="5813">
        <v>4.3749999999999997E-2</v>
      </c>
      <c r="H4439" s="21" t="s">
        <v>10</v>
      </c>
      <c r="I4439" s="21" t="s">
        <v>11</v>
      </c>
      <c r="J4439" s="21" t="s">
        <v>6852</v>
      </c>
      <c r="K4439" s="5814" t="s">
        <v>13012</v>
      </c>
    </row>
    <row r="4440" spans="1:11">
      <c r="A4440" s="21" t="s">
        <v>2070</v>
      </c>
      <c r="B4440" s="21" t="s">
        <v>13013</v>
      </c>
      <c r="C4440" s="21" t="s">
        <v>8</v>
      </c>
      <c r="D4440" s="21" t="s">
        <v>1430</v>
      </c>
      <c r="E4440" s="21" t="s">
        <v>61</v>
      </c>
      <c r="F4440" s="5812">
        <v>2</v>
      </c>
      <c r="G4440" s="5813">
        <v>5.2777777777777778E-2</v>
      </c>
      <c r="H4440" s="21" t="s">
        <v>10</v>
      </c>
      <c r="I4440" s="21" t="s">
        <v>11</v>
      </c>
      <c r="J4440" s="21" t="s">
        <v>67</v>
      </c>
      <c r="K4440" s="5814" t="s">
        <v>13014</v>
      </c>
    </row>
    <row r="4441" spans="1:11">
      <c r="A4441" s="21" t="s">
        <v>2323</v>
      </c>
      <c r="B4441" s="21" t="s">
        <v>13015</v>
      </c>
      <c r="C4441" s="21" t="s">
        <v>22</v>
      </c>
      <c r="D4441" s="21" t="s">
        <v>1430</v>
      </c>
      <c r="E4441" s="21" t="s">
        <v>61</v>
      </c>
      <c r="F4441" s="5812">
        <v>2</v>
      </c>
      <c r="G4441" s="5813">
        <v>6.3194444444444442E-2</v>
      </c>
      <c r="H4441" s="21" t="s">
        <v>10</v>
      </c>
      <c r="I4441" s="21" t="s">
        <v>187</v>
      </c>
      <c r="J4441" s="21" t="s">
        <v>110</v>
      </c>
      <c r="K4441" s="5814" t="s">
        <v>13016</v>
      </c>
    </row>
    <row r="4442" spans="1:11">
      <c r="A4442" s="21" t="s">
        <v>4068</v>
      </c>
      <c r="B4442" s="21" t="s">
        <v>13017</v>
      </c>
      <c r="C4442" s="21" t="s">
        <v>8</v>
      </c>
      <c r="D4442" s="21" t="s">
        <v>1430</v>
      </c>
      <c r="E4442" s="21" t="s">
        <v>61</v>
      </c>
      <c r="F4442" s="5812">
        <v>2</v>
      </c>
      <c r="G4442" s="5813">
        <v>6.458333333333334E-2</v>
      </c>
      <c r="H4442" s="21" t="s">
        <v>10</v>
      </c>
      <c r="I4442" s="21" t="s">
        <v>23</v>
      </c>
      <c r="J4442" s="21" t="s">
        <v>67</v>
      </c>
      <c r="K4442" s="5814" t="s">
        <v>13018</v>
      </c>
    </row>
    <row r="4443" spans="1:11">
      <c r="A4443" s="21" t="s">
        <v>3409</v>
      </c>
      <c r="B4443" s="21" t="s">
        <v>13019</v>
      </c>
      <c r="C4443" s="21" t="s">
        <v>22</v>
      </c>
      <c r="D4443" s="21" t="s">
        <v>1430</v>
      </c>
      <c r="E4443" s="21" t="s">
        <v>61</v>
      </c>
      <c r="F4443" s="5812">
        <v>2</v>
      </c>
      <c r="G4443" s="5813">
        <v>7.4999999999999997E-2</v>
      </c>
      <c r="H4443" s="21" t="s">
        <v>10</v>
      </c>
      <c r="I4443" s="21" t="s">
        <v>187</v>
      </c>
      <c r="J4443" s="21" t="s">
        <v>110</v>
      </c>
      <c r="K4443" s="5814" t="s">
        <v>13020</v>
      </c>
    </row>
    <row r="4444" spans="1:11">
      <c r="A4444" s="21" t="s">
        <v>2600</v>
      </c>
      <c r="B4444" s="21" t="s">
        <v>13021</v>
      </c>
      <c r="C4444" s="21" t="s">
        <v>22</v>
      </c>
      <c r="D4444" s="21" t="s">
        <v>1430</v>
      </c>
      <c r="E4444" s="21" t="s">
        <v>61</v>
      </c>
      <c r="F4444" s="5812">
        <v>2</v>
      </c>
      <c r="G4444" s="5813">
        <v>9.0277777777777776E-2</v>
      </c>
      <c r="H4444" s="21" t="s">
        <v>10</v>
      </c>
      <c r="I4444" s="21" t="s">
        <v>6604</v>
      </c>
      <c r="J4444" s="21" t="s">
        <v>67</v>
      </c>
      <c r="K4444" s="5814" t="s">
        <v>13022</v>
      </c>
    </row>
    <row r="4445" spans="1:11">
      <c r="A4445" s="21" t="s">
        <v>2049</v>
      </c>
      <c r="B4445" s="21" t="s">
        <v>13023</v>
      </c>
      <c r="C4445" s="21" t="s">
        <v>22</v>
      </c>
      <c r="D4445" s="21" t="s">
        <v>1430</v>
      </c>
      <c r="E4445" s="21" t="s">
        <v>61</v>
      </c>
      <c r="F4445" s="5812">
        <v>2</v>
      </c>
      <c r="G4445" s="5813">
        <v>9.3055555555555558E-2</v>
      </c>
      <c r="H4445" s="21" t="s">
        <v>10</v>
      </c>
      <c r="I4445" s="21" t="s">
        <v>96</v>
      </c>
      <c r="J4445" s="21" t="s">
        <v>3425</v>
      </c>
      <c r="K4445" s="5814" t="s">
        <v>13024</v>
      </c>
    </row>
    <row r="4446" spans="1:11">
      <c r="A4446" s="21" t="s">
        <v>2784</v>
      </c>
      <c r="B4446" s="21" t="s">
        <v>13025</v>
      </c>
      <c r="C4446" s="21" t="s">
        <v>8</v>
      </c>
      <c r="D4446" s="21" t="s">
        <v>1430</v>
      </c>
      <c r="E4446" s="21" t="s">
        <v>61</v>
      </c>
      <c r="F4446" s="5812">
        <v>2</v>
      </c>
      <c r="G4446" s="5813">
        <v>0.11597222222222223</v>
      </c>
      <c r="H4446" s="21" t="s">
        <v>10</v>
      </c>
      <c r="I4446" s="21" t="s">
        <v>11</v>
      </c>
      <c r="J4446" s="21" t="s">
        <v>67</v>
      </c>
      <c r="K4446" s="5814" t="s">
        <v>13026</v>
      </c>
    </row>
    <row r="4447" spans="1:11">
      <c r="A4447" s="21" t="s">
        <v>2941</v>
      </c>
      <c r="B4447" s="21" t="s">
        <v>13027</v>
      </c>
      <c r="C4447" s="21" t="s">
        <v>8</v>
      </c>
      <c r="D4447" s="21" t="s">
        <v>1430</v>
      </c>
      <c r="E4447" s="21" t="s">
        <v>61</v>
      </c>
      <c r="F4447" s="5812">
        <v>2</v>
      </c>
      <c r="G4447" s="5813">
        <v>0.15138888888888888</v>
      </c>
      <c r="H4447" s="21" t="s">
        <v>10</v>
      </c>
      <c r="I4447" s="21" t="s">
        <v>55</v>
      </c>
      <c r="J4447" s="21" t="s">
        <v>67</v>
      </c>
      <c r="K4447" s="5814" t="s">
        <v>13028</v>
      </c>
    </row>
    <row r="4448" spans="1:11">
      <c r="A4448" s="21" t="s">
        <v>2995</v>
      </c>
      <c r="B4448" s="21" t="s">
        <v>13029</v>
      </c>
      <c r="C4448" s="21" t="s">
        <v>22</v>
      </c>
      <c r="D4448" s="21" t="s">
        <v>1430</v>
      </c>
      <c r="E4448" s="21" t="s">
        <v>61</v>
      </c>
      <c r="F4448" s="5812">
        <v>2</v>
      </c>
      <c r="G4448" s="5813">
        <v>0.15416666666666667</v>
      </c>
      <c r="H4448" s="21" t="s">
        <v>10</v>
      </c>
      <c r="I4448" s="21" t="s">
        <v>23</v>
      </c>
      <c r="J4448" s="21" t="s">
        <v>62</v>
      </c>
      <c r="K4448" s="5814" t="s">
        <v>13030</v>
      </c>
    </row>
    <row r="4449" spans="1:11">
      <c r="A4449" s="21" t="s">
        <v>2955</v>
      </c>
      <c r="B4449" s="21" t="s">
        <v>13031</v>
      </c>
      <c r="C4449" s="21" t="s">
        <v>22</v>
      </c>
      <c r="D4449" s="21" t="s">
        <v>1430</v>
      </c>
      <c r="E4449" s="21" t="s">
        <v>61</v>
      </c>
      <c r="F4449" s="5812">
        <v>2</v>
      </c>
      <c r="G4449" s="5813">
        <v>0.1673611111111111</v>
      </c>
      <c r="H4449" s="21" t="s">
        <v>10</v>
      </c>
      <c r="I4449" s="21" t="s">
        <v>39</v>
      </c>
      <c r="J4449" s="21" t="s">
        <v>67</v>
      </c>
      <c r="K4449" s="5814" t="s">
        <v>13032</v>
      </c>
    </row>
    <row r="4450" spans="1:11">
      <c r="A4450" s="21" t="s">
        <v>3427</v>
      </c>
      <c r="B4450" s="21" t="s">
        <v>13033</v>
      </c>
      <c r="C4450" s="21" t="s">
        <v>8</v>
      </c>
      <c r="D4450" s="21" t="s">
        <v>1430</v>
      </c>
      <c r="E4450" s="21" t="s">
        <v>61</v>
      </c>
      <c r="F4450" s="5812">
        <v>2</v>
      </c>
      <c r="G4450" s="5813">
        <v>0.17569444444444443</v>
      </c>
      <c r="H4450" s="21" t="s">
        <v>10</v>
      </c>
      <c r="I4450" s="21" t="s">
        <v>47</v>
      </c>
      <c r="J4450" s="21" t="s">
        <v>67</v>
      </c>
      <c r="K4450" s="5814" t="s">
        <v>13034</v>
      </c>
    </row>
    <row r="4451" spans="1:11">
      <c r="A4451" s="21" t="s">
        <v>2334</v>
      </c>
      <c r="B4451" s="21" t="s">
        <v>13035</v>
      </c>
      <c r="C4451" s="21" t="s">
        <v>8</v>
      </c>
      <c r="D4451" s="21" t="s">
        <v>1430</v>
      </c>
      <c r="E4451" s="21" t="s">
        <v>61</v>
      </c>
      <c r="F4451" s="5812">
        <v>2</v>
      </c>
      <c r="G4451" s="5813">
        <v>0.18124999999999999</v>
      </c>
      <c r="H4451" s="21" t="s">
        <v>10</v>
      </c>
      <c r="I4451" s="21" t="s">
        <v>11</v>
      </c>
      <c r="J4451" s="21" t="s">
        <v>1444</v>
      </c>
      <c r="K4451" s="5814" t="s">
        <v>13036</v>
      </c>
    </row>
    <row r="4452" spans="1:11">
      <c r="A4452" s="21" t="s">
        <v>3293</v>
      </c>
      <c r="B4452" s="21" t="s">
        <v>13037</v>
      </c>
      <c r="C4452" s="21" t="s">
        <v>8</v>
      </c>
      <c r="D4452" s="21" t="s">
        <v>1430</v>
      </c>
      <c r="E4452" s="21" t="s">
        <v>61</v>
      </c>
      <c r="F4452" s="5812">
        <v>3</v>
      </c>
      <c r="G4452" s="5813">
        <v>4.2361111111111113E-2</v>
      </c>
      <c r="H4452" s="21" t="s">
        <v>10</v>
      </c>
      <c r="I4452" s="21" t="s">
        <v>2297</v>
      </c>
      <c r="J4452" s="21" t="s">
        <v>1444</v>
      </c>
      <c r="K4452" s="5814" t="s">
        <v>13038</v>
      </c>
    </row>
    <row r="4453" spans="1:11">
      <c r="A4453" s="21" t="s">
        <v>3616</v>
      </c>
      <c r="B4453" s="21" t="s">
        <v>13039</v>
      </c>
      <c r="C4453" s="21" t="s">
        <v>8</v>
      </c>
      <c r="D4453" s="21" t="s">
        <v>1430</v>
      </c>
      <c r="E4453" s="21" t="s">
        <v>61</v>
      </c>
      <c r="F4453" s="5812">
        <v>3</v>
      </c>
      <c r="G4453" s="5813">
        <v>0.10138888888888889</v>
      </c>
      <c r="H4453" s="21" t="s">
        <v>10</v>
      </c>
      <c r="I4453" s="21" t="s">
        <v>11</v>
      </c>
      <c r="J4453" s="21" t="s">
        <v>1379</v>
      </c>
      <c r="K4453" s="5814" t="s">
        <v>13040</v>
      </c>
    </row>
    <row r="4454" spans="1:11">
      <c r="A4454" s="21" t="s">
        <v>2878</v>
      </c>
      <c r="B4454" s="21" t="s">
        <v>13041</v>
      </c>
      <c r="C4454" s="21" t="s">
        <v>22</v>
      </c>
      <c r="D4454" s="21" t="s">
        <v>1430</v>
      </c>
      <c r="E4454" s="21" t="s">
        <v>61</v>
      </c>
      <c r="F4454" s="5812">
        <v>3</v>
      </c>
      <c r="G4454" s="5813">
        <v>0.10972222222222222</v>
      </c>
      <c r="H4454" s="21" t="s">
        <v>10</v>
      </c>
      <c r="I4454" s="21" t="s">
        <v>55</v>
      </c>
      <c r="J4454" s="21" t="s">
        <v>67</v>
      </c>
      <c r="K4454" s="5814" t="s">
        <v>13042</v>
      </c>
    </row>
    <row r="4455" spans="1:11">
      <c r="A4455" s="21" t="s">
        <v>2974</v>
      </c>
      <c r="B4455" s="21" t="s">
        <v>13043</v>
      </c>
      <c r="C4455" s="21" t="s">
        <v>22</v>
      </c>
      <c r="D4455" s="21" t="s">
        <v>1430</v>
      </c>
      <c r="E4455" s="21" t="s">
        <v>61</v>
      </c>
      <c r="F4455" s="5812">
        <v>3</v>
      </c>
      <c r="G4455" s="5813">
        <v>0.12291666666666666</v>
      </c>
      <c r="H4455" s="21" t="s">
        <v>10</v>
      </c>
      <c r="I4455" s="21" t="s">
        <v>11</v>
      </c>
      <c r="J4455" s="21" t="s">
        <v>67</v>
      </c>
      <c r="K4455" s="5814" t="s">
        <v>13044</v>
      </c>
    </row>
    <row r="4456" spans="1:11">
      <c r="A4456" s="21" t="s">
        <v>4671</v>
      </c>
      <c r="B4456" s="21" t="s">
        <v>13045</v>
      </c>
      <c r="C4456" s="21" t="s">
        <v>8</v>
      </c>
      <c r="D4456" s="21" t="s">
        <v>1430</v>
      </c>
      <c r="E4456" s="21" t="s">
        <v>61</v>
      </c>
      <c r="F4456" s="5812">
        <v>3</v>
      </c>
      <c r="G4456" s="5813">
        <v>0.13541666666666666</v>
      </c>
      <c r="H4456" s="21" t="s">
        <v>10</v>
      </c>
      <c r="I4456" s="21" t="s">
        <v>2269</v>
      </c>
      <c r="J4456" s="21" t="s">
        <v>9395</v>
      </c>
      <c r="K4456" s="5814" t="s">
        <v>13046</v>
      </c>
    </row>
    <row r="4457" spans="1:11">
      <c r="A4457" s="21" t="s">
        <v>2241</v>
      </c>
      <c r="B4457" s="21" t="s">
        <v>13047</v>
      </c>
      <c r="C4457" s="21" t="s">
        <v>22</v>
      </c>
      <c r="D4457" s="21" t="s">
        <v>1430</v>
      </c>
      <c r="E4457" s="21" t="s">
        <v>61</v>
      </c>
      <c r="F4457" s="5812">
        <v>3</v>
      </c>
      <c r="G4457" s="5813">
        <v>0.15208333333333332</v>
      </c>
      <c r="H4457" s="21" t="s">
        <v>10</v>
      </c>
      <c r="I4457" s="21" t="s">
        <v>3138</v>
      </c>
      <c r="J4457" s="21" t="s">
        <v>67</v>
      </c>
      <c r="K4457" s="5814" t="s">
        <v>13048</v>
      </c>
    </row>
    <row r="4458" spans="1:11">
      <c r="A4458" s="21" t="s">
        <v>4568</v>
      </c>
      <c r="B4458" s="21" t="s">
        <v>13049</v>
      </c>
      <c r="C4458" s="21" t="s">
        <v>8</v>
      </c>
      <c r="D4458" s="21" t="s">
        <v>1430</v>
      </c>
      <c r="E4458" s="21" t="s">
        <v>61</v>
      </c>
      <c r="F4458" s="5812">
        <v>3</v>
      </c>
      <c r="G4458" s="5813">
        <v>0.15625</v>
      </c>
      <c r="H4458" s="21" t="s">
        <v>10</v>
      </c>
      <c r="I4458" s="21" t="s">
        <v>11</v>
      </c>
      <c r="J4458" s="21" t="s">
        <v>67</v>
      </c>
      <c r="K4458" s="5814" t="s">
        <v>13050</v>
      </c>
    </row>
    <row r="4459" spans="1:11">
      <c r="A4459" s="21" t="s">
        <v>3427</v>
      </c>
      <c r="B4459" s="21" t="s">
        <v>13051</v>
      </c>
      <c r="C4459" s="21" t="s">
        <v>8</v>
      </c>
      <c r="D4459" s="21" t="s">
        <v>1430</v>
      </c>
      <c r="E4459" s="21" t="s">
        <v>61</v>
      </c>
      <c r="F4459" s="5812">
        <v>5</v>
      </c>
      <c r="G4459" s="5813">
        <v>0.10069444444444445</v>
      </c>
      <c r="H4459" s="21" t="s">
        <v>54</v>
      </c>
      <c r="I4459" s="21" t="s">
        <v>55</v>
      </c>
      <c r="J4459" s="21" t="s">
        <v>67</v>
      </c>
      <c r="K4459" s="5814" t="s">
        <v>13052</v>
      </c>
    </row>
    <row r="4460" spans="1:11">
      <c r="A4460" s="21" t="s">
        <v>4047</v>
      </c>
      <c r="B4460" s="21" t="s">
        <v>13053</v>
      </c>
      <c r="C4460" s="21" t="s">
        <v>8</v>
      </c>
      <c r="D4460" s="21" t="s">
        <v>1430</v>
      </c>
      <c r="E4460" s="21" t="s">
        <v>244</v>
      </c>
      <c r="F4460" s="5812">
        <v>1</v>
      </c>
      <c r="G4460" s="5813">
        <v>0.20833333333333334</v>
      </c>
      <c r="H4460" s="21" t="s">
        <v>10</v>
      </c>
      <c r="I4460" s="21" t="s">
        <v>96</v>
      </c>
      <c r="J4460" s="21" t="s">
        <v>3622</v>
      </c>
      <c r="K4460" s="5814" t="s">
        <v>13054</v>
      </c>
    </row>
    <row r="4461" spans="1:11">
      <c r="A4461" s="21" t="s">
        <v>2495</v>
      </c>
      <c r="B4461" s="21" t="s">
        <v>13055</v>
      </c>
      <c r="C4461" s="21" t="s">
        <v>22</v>
      </c>
      <c r="D4461" s="21" t="s">
        <v>1430</v>
      </c>
      <c r="E4461" s="21" t="s">
        <v>244</v>
      </c>
      <c r="F4461" s="5812">
        <v>2</v>
      </c>
      <c r="G4461" s="5813">
        <v>0.20833333333333334</v>
      </c>
      <c r="H4461" s="21" t="s">
        <v>10</v>
      </c>
      <c r="I4461" s="21" t="s">
        <v>23</v>
      </c>
      <c r="J4461" s="21" t="s">
        <v>12416</v>
      </c>
      <c r="K4461" s="5814" t="s">
        <v>13056</v>
      </c>
    </row>
    <row r="4462" spans="1:11">
      <c r="A4462" s="21" t="s">
        <v>2571</v>
      </c>
      <c r="B4462" s="21" t="s">
        <v>13057</v>
      </c>
      <c r="C4462" s="21" t="s">
        <v>22</v>
      </c>
      <c r="D4462" s="21" t="s">
        <v>1430</v>
      </c>
      <c r="E4462" s="21" t="s">
        <v>244</v>
      </c>
      <c r="F4462" s="5812">
        <v>3</v>
      </c>
      <c r="G4462" s="5813">
        <v>8.0555555555555561E-2</v>
      </c>
      <c r="H4462" s="21" t="s">
        <v>10</v>
      </c>
      <c r="I4462" s="21" t="s">
        <v>306</v>
      </c>
      <c r="J4462" s="21"/>
      <c r="K4462" s="5814" t="s">
        <v>13058</v>
      </c>
    </row>
  </sheetData>
  <hyperlinks>
    <hyperlink ref="K2" r:id="rId1" xr:uid="{00000000-0004-0000-0D00-000000000000}"/>
    <hyperlink ref="K3" r:id="rId2" xr:uid="{00000000-0004-0000-0D00-000001000000}"/>
    <hyperlink ref="K4" r:id="rId3" xr:uid="{00000000-0004-0000-0D00-000002000000}"/>
    <hyperlink ref="K5" r:id="rId4" xr:uid="{00000000-0004-0000-0D00-000003000000}"/>
    <hyperlink ref="K6" r:id="rId5" xr:uid="{00000000-0004-0000-0D00-000004000000}"/>
    <hyperlink ref="K7" r:id="rId6" xr:uid="{00000000-0004-0000-0D00-000005000000}"/>
    <hyperlink ref="K8" r:id="rId7" xr:uid="{00000000-0004-0000-0D00-000006000000}"/>
    <hyperlink ref="K9" r:id="rId8" xr:uid="{00000000-0004-0000-0D00-000007000000}"/>
    <hyperlink ref="K10" r:id="rId9" xr:uid="{00000000-0004-0000-0D00-000008000000}"/>
    <hyperlink ref="K11" r:id="rId10" xr:uid="{00000000-0004-0000-0D00-000009000000}"/>
    <hyperlink ref="K12" r:id="rId11" xr:uid="{00000000-0004-0000-0D00-00000A000000}"/>
    <hyperlink ref="K13" r:id="rId12" xr:uid="{00000000-0004-0000-0D00-00000B000000}"/>
    <hyperlink ref="K14" r:id="rId13" xr:uid="{00000000-0004-0000-0D00-00000C000000}"/>
    <hyperlink ref="K15" r:id="rId14" xr:uid="{00000000-0004-0000-0D00-00000D000000}"/>
    <hyperlink ref="K16" r:id="rId15" xr:uid="{00000000-0004-0000-0D00-00000E000000}"/>
    <hyperlink ref="K17" r:id="rId16" xr:uid="{00000000-0004-0000-0D00-00000F000000}"/>
    <hyperlink ref="K18" r:id="rId17" xr:uid="{00000000-0004-0000-0D00-000010000000}"/>
    <hyperlink ref="K19" r:id="rId18" xr:uid="{00000000-0004-0000-0D00-000011000000}"/>
    <hyperlink ref="K20" r:id="rId19" xr:uid="{00000000-0004-0000-0D00-000012000000}"/>
    <hyperlink ref="K21" r:id="rId20" xr:uid="{00000000-0004-0000-0D00-000013000000}"/>
    <hyperlink ref="K22" r:id="rId21" xr:uid="{00000000-0004-0000-0D00-000014000000}"/>
    <hyperlink ref="K23" r:id="rId22" xr:uid="{00000000-0004-0000-0D00-000015000000}"/>
    <hyperlink ref="K24" r:id="rId23" xr:uid="{00000000-0004-0000-0D00-000016000000}"/>
    <hyperlink ref="K25" r:id="rId24" xr:uid="{00000000-0004-0000-0D00-000017000000}"/>
    <hyperlink ref="K26" r:id="rId25" xr:uid="{00000000-0004-0000-0D00-000018000000}"/>
    <hyperlink ref="K27" r:id="rId26" xr:uid="{00000000-0004-0000-0D00-000019000000}"/>
    <hyperlink ref="K28" r:id="rId27" xr:uid="{00000000-0004-0000-0D00-00001A000000}"/>
    <hyperlink ref="K29" r:id="rId28" xr:uid="{00000000-0004-0000-0D00-00001B000000}"/>
    <hyperlink ref="K30" r:id="rId29" xr:uid="{00000000-0004-0000-0D00-00001C000000}"/>
    <hyperlink ref="K31" r:id="rId30" xr:uid="{00000000-0004-0000-0D00-00001D000000}"/>
    <hyperlink ref="K32" r:id="rId31" xr:uid="{00000000-0004-0000-0D00-00001E000000}"/>
    <hyperlink ref="K33" r:id="rId32" xr:uid="{00000000-0004-0000-0D00-00001F000000}"/>
    <hyperlink ref="K34" r:id="rId33" xr:uid="{00000000-0004-0000-0D00-000020000000}"/>
    <hyperlink ref="K35" r:id="rId34" xr:uid="{00000000-0004-0000-0D00-000021000000}"/>
    <hyperlink ref="K36" r:id="rId35" xr:uid="{00000000-0004-0000-0D00-000022000000}"/>
    <hyperlink ref="K37" r:id="rId36" xr:uid="{00000000-0004-0000-0D00-000023000000}"/>
    <hyperlink ref="K38" r:id="rId37" xr:uid="{00000000-0004-0000-0D00-000024000000}"/>
    <hyperlink ref="K39" r:id="rId38" xr:uid="{00000000-0004-0000-0D00-000025000000}"/>
    <hyperlink ref="K40" r:id="rId39" xr:uid="{00000000-0004-0000-0D00-000026000000}"/>
    <hyperlink ref="K41" r:id="rId40" xr:uid="{00000000-0004-0000-0D00-000027000000}"/>
    <hyperlink ref="K42" r:id="rId41" xr:uid="{00000000-0004-0000-0D00-000028000000}"/>
    <hyperlink ref="K43" r:id="rId42" xr:uid="{00000000-0004-0000-0D00-000029000000}"/>
    <hyperlink ref="K44" r:id="rId43" xr:uid="{00000000-0004-0000-0D00-00002A000000}"/>
    <hyperlink ref="K45" r:id="rId44" xr:uid="{00000000-0004-0000-0D00-00002B000000}"/>
    <hyperlink ref="K46" r:id="rId45" xr:uid="{00000000-0004-0000-0D00-00002C000000}"/>
    <hyperlink ref="K47" r:id="rId46" xr:uid="{00000000-0004-0000-0D00-00002D000000}"/>
    <hyperlink ref="K48" r:id="rId47" xr:uid="{00000000-0004-0000-0D00-00002E000000}"/>
    <hyperlink ref="K49" r:id="rId48" xr:uid="{00000000-0004-0000-0D00-00002F000000}"/>
    <hyperlink ref="K50" r:id="rId49" xr:uid="{00000000-0004-0000-0D00-000030000000}"/>
    <hyperlink ref="K51" r:id="rId50" xr:uid="{00000000-0004-0000-0D00-000031000000}"/>
    <hyperlink ref="K52" r:id="rId51" xr:uid="{00000000-0004-0000-0D00-000032000000}"/>
    <hyperlink ref="K53" r:id="rId52" xr:uid="{00000000-0004-0000-0D00-000033000000}"/>
    <hyperlink ref="K54" r:id="rId53" xr:uid="{00000000-0004-0000-0D00-000034000000}"/>
    <hyperlink ref="K55" r:id="rId54" xr:uid="{00000000-0004-0000-0D00-000035000000}"/>
    <hyperlink ref="K56" r:id="rId55" xr:uid="{00000000-0004-0000-0D00-000036000000}"/>
    <hyperlink ref="K57" r:id="rId56" xr:uid="{00000000-0004-0000-0D00-000037000000}"/>
    <hyperlink ref="K58" r:id="rId57" xr:uid="{00000000-0004-0000-0D00-000038000000}"/>
    <hyperlink ref="K59" r:id="rId58" xr:uid="{00000000-0004-0000-0D00-000039000000}"/>
    <hyperlink ref="K60" r:id="rId59" xr:uid="{00000000-0004-0000-0D00-00003A000000}"/>
    <hyperlink ref="K61" r:id="rId60" xr:uid="{00000000-0004-0000-0D00-00003B000000}"/>
    <hyperlink ref="K62" r:id="rId61" xr:uid="{00000000-0004-0000-0D00-00003C000000}"/>
    <hyperlink ref="K63" r:id="rId62" xr:uid="{00000000-0004-0000-0D00-00003D000000}"/>
    <hyperlink ref="K64" r:id="rId63" xr:uid="{00000000-0004-0000-0D00-00003E000000}"/>
    <hyperlink ref="K65" r:id="rId64" xr:uid="{00000000-0004-0000-0D00-00003F000000}"/>
    <hyperlink ref="K66" r:id="rId65" xr:uid="{00000000-0004-0000-0D00-000040000000}"/>
    <hyperlink ref="K67" r:id="rId66" xr:uid="{00000000-0004-0000-0D00-000041000000}"/>
    <hyperlink ref="K68" r:id="rId67" xr:uid="{00000000-0004-0000-0D00-000042000000}"/>
    <hyperlink ref="K69" r:id="rId68" xr:uid="{00000000-0004-0000-0D00-000043000000}"/>
    <hyperlink ref="K70" r:id="rId69" xr:uid="{00000000-0004-0000-0D00-000044000000}"/>
    <hyperlink ref="K71" r:id="rId70" xr:uid="{00000000-0004-0000-0D00-000045000000}"/>
    <hyperlink ref="K72" r:id="rId71" xr:uid="{00000000-0004-0000-0D00-000046000000}"/>
    <hyperlink ref="K73" r:id="rId72" xr:uid="{00000000-0004-0000-0D00-000047000000}"/>
    <hyperlink ref="K74" r:id="rId73" xr:uid="{00000000-0004-0000-0D00-000048000000}"/>
    <hyperlink ref="K75" r:id="rId74" xr:uid="{00000000-0004-0000-0D00-000049000000}"/>
    <hyperlink ref="K76" r:id="rId75" xr:uid="{00000000-0004-0000-0D00-00004A000000}"/>
    <hyperlink ref="K77" r:id="rId76" xr:uid="{00000000-0004-0000-0D00-00004B000000}"/>
    <hyperlink ref="K78" r:id="rId77" xr:uid="{00000000-0004-0000-0D00-00004C000000}"/>
    <hyperlink ref="K79" r:id="rId78" xr:uid="{00000000-0004-0000-0D00-00004D000000}"/>
    <hyperlink ref="K80" r:id="rId79" xr:uid="{00000000-0004-0000-0D00-00004E000000}"/>
    <hyperlink ref="K81" r:id="rId80" xr:uid="{00000000-0004-0000-0D00-00004F000000}"/>
    <hyperlink ref="K82" r:id="rId81" xr:uid="{00000000-0004-0000-0D00-000050000000}"/>
    <hyperlink ref="K83" r:id="rId82" xr:uid="{00000000-0004-0000-0D00-000051000000}"/>
    <hyperlink ref="K84" r:id="rId83" xr:uid="{00000000-0004-0000-0D00-000052000000}"/>
    <hyperlink ref="K85" r:id="rId84" xr:uid="{00000000-0004-0000-0D00-000053000000}"/>
    <hyperlink ref="K86" r:id="rId85" xr:uid="{00000000-0004-0000-0D00-000054000000}"/>
    <hyperlink ref="K87" r:id="rId86" xr:uid="{00000000-0004-0000-0D00-000055000000}"/>
    <hyperlink ref="K88" r:id="rId87" xr:uid="{00000000-0004-0000-0D00-000056000000}"/>
    <hyperlink ref="K89" r:id="rId88" xr:uid="{00000000-0004-0000-0D00-000057000000}"/>
    <hyperlink ref="K90" r:id="rId89" xr:uid="{00000000-0004-0000-0D00-000058000000}"/>
    <hyperlink ref="K91" r:id="rId90" xr:uid="{00000000-0004-0000-0D00-000059000000}"/>
    <hyperlink ref="K92" r:id="rId91" xr:uid="{00000000-0004-0000-0D00-00005A000000}"/>
    <hyperlink ref="K93" r:id="rId92" xr:uid="{00000000-0004-0000-0D00-00005B000000}"/>
    <hyperlink ref="K94" r:id="rId93" xr:uid="{00000000-0004-0000-0D00-00005C000000}"/>
    <hyperlink ref="K95" r:id="rId94" xr:uid="{00000000-0004-0000-0D00-00005D000000}"/>
    <hyperlink ref="K96" r:id="rId95" xr:uid="{00000000-0004-0000-0D00-00005E000000}"/>
    <hyperlink ref="K97" r:id="rId96" xr:uid="{00000000-0004-0000-0D00-00005F000000}"/>
    <hyperlink ref="K98" r:id="rId97" xr:uid="{00000000-0004-0000-0D00-000060000000}"/>
    <hyperlink ref="K99" r:id="rId98" xr:uid="{00000000-0004-0000-0D00-000061000000}"/>
    <hyperlink ref="K100" r:id="rId99" xr:uid="{00000000-0004-0000-0D00-000062000000}"/>
    <hyperlink ref="K101" r:id="rId100" xr:uid="{00000000-0004-0000-0D00-000063000000}"/>
    <hyperlink ref="K102" r:id="rId101" xr:uid="{00000000-0004-0000-0D00-000064000000}"/>
    <hyperlink ref="K103" r:id="rId102" xr:uid="{00000000-0004-0000-0D00-000065000000}"/>
    <hyperlink ref="K104" r:id="rId103" xr:uid="{00000000-0004-0000-0D00-000066000000}"/>
    <hyperlink ref="K105" r:id="rId104" xr:uid="{00000000-0004-0000-0D00-000067000000}"/>
    <hyperlink ref="K106" r:id="rId105" xr:uid="{00000000-0004-0000-0D00-000068000000}"/>
    <hyperlink ref="K107" r:id="rId106" xr:uid="{00000000-0004-0000-0D00-000069000000}"/>
    <hyperlink ref="K108" r:id="rId107" xr:uid="{00000000-0004-0000-0D00-00006A000000}"/>
    <hyperlink ref="K109" r:id="rId108" xr:uid="{00000000-0004-0000-0D00-00006B000000}"/>
    <hyperlink ref="K110" r:id="rId109" xr:uid="{00000000-0004-0000-0D00-00006C000000}"/>
    <hyperlink ref="K111" r:id="rId110" xr:uid="{00000000-0004-0000-0D00-00006D000000}"/>
    <hyperlink ref="K112" r:id="rId111" xr:uid="{00000000-0004-0000-0D00-00006E000000}"/>
    <hyperlink ref="K113" r:id="rId112" xr:uid="{00000000-0004-0000-0D00-00006F000000}"/>
    <hyperlink ref="K114" r:id="rId113" xr:uid="{00000000-0004-0000-0D00-000070000000}"/>
    <hyperlink ref="K115" r:id="rId114" xr:uid="{00000000-0004-0000-0D00-000071000000}"/>
    <hyperlink ref="K116" r:id="rId115" xr:uid="{00000000-0004-0000-0D00-000072000000}"/>
    <hyperlink ref="K117" r:id="rId116" xr:uid="{00000000-0004-0000-0D00-000073000000}"/>
    <hyperlink ref="K118" r:id="rId117" xr:uid="{00000000-0004-0000-0D00-000074000000}"/>
    <hyperlink ref="K119" r:id="rId118" xr:uid="{00000000-0004-0000-0D00-000075000000}"/>
    <hyperlink ref="K120" r:id="rId119" xr:uid="{00000000-0004-0000-0D00-000076000000}"/>
    <hyperlink ref="K121" r:id="rId120" xr:uid="{00000000-0004-0000-0D00-000077000000}"/>
    <hyperlink ref="K122" r:id="rId121" xr:uid="{00000000-0004-0000-0D00-000078000000}"/>
    <hyperlink ref="K123" r:id="rId122" xr:uid="{00000000-0004-0000-0D00-000079000000}"/>
    <hyperlink ref="K124" r:id="rId123" xr:uid="{00000000-0004-0000-0D00-00007A000000}"/>
    <hyperlink ref="K125" r:id="rId124" xr:uid="{00000000-0004-0000-0D00-00007B000000}"/>
    <hyperlink ref="K126" r:id="rId125" xr:uid="{00000000-0004-0000-0D00-00007C000000}"/>
    <hyperlink ref="K127" r:id="rId126" xr:uid="{00000000-0004-0000-0D00-00007D000000}"/>
    <hyperlink ref="K128" r:id="rId127" xr:uid="{00000000-0004-0000-0D00-00007E000000}"/>
    <hyperlink ref="K129" r:id="rId128" xr:uid="{00000000-0004-0000-0D00-00007F000000}"/>
    <hyperlink ref="K130" r:id="rId129" xr:uid="{00000000-0004-0000-0D00-000080000000}"/>
    <hyperlink ref="K131" r:id="rId130" xr:uid="{00000000-0004-0000-0D00-000081000000}"/>
    <hyperlink ref="K132" r:id="rId131" xr:uid="{00000000-0004-0000-0D00-000082000000}"/>
    <hyperlink ref="K133" r:id="rId132" xr:uid="{00000000-0004-0000-0D00-000083000000}"/>
    <hyperlink ref="K134" r:id="rId133" xr:uid="{00000000-0004-0000-0D00-000084000000}"/>
    <hyperlink ref="K135" r:id="rId134" xr:uid="{00000000-0004-0000-0D00-000085000000}"/>
    <hyperlink ref="K136" r:id="rId135" xr:uid="{00000000-0004-0000-0D00-000086000000}"/>
    <hyperlink ref="K137" r:id="rId136" xr:uid="{00000000-0004-0000-0D00-000087000000}"/>
    <hyperlink ref="K138" r:id="rId137" xr:uid="{00000000-0004-0000-0D00-000088000000}"/>
    <hyperlink ref="K139" r:id="rId138" xr:uid="{00000000-0004-0000-0D00-000089000000}"/>
    <hyperlink ref="K140" r:id="rId139" xr:uid="{00000000-0004-0000-0D00-00008A000000}"/>
    <hyperlink ref="K141" r:id="rId140" xr:uid="{00000000-0004-0000-0D00-00008B000000}"/>
    <hyperlink ref="K142" r:id="rId141" xr:uid="{00000000-0004-0000-0D00-00008C000000}"/>
    <hyperlink ref="K143" r:id="rId142" xr:uid="{00000000-0004-0000-0D00-00008D000000}"/>
    <hyperlink ref="K144" r:id="rId143" xr:uid="{00000000-0004-0000-0D00-00008E000000}"/>
    <hyperlink ref="K145" r:id="rId144" xr:uid="{00000000-0004-0000-0D00-00008F000000}"/>
    <hyperlink ref="K146" r:id="rId145" xr:uid="{00000000-0004-0000-0D00-000090000000}"/>
    <hyperlink ref="K147" r:id="rId146" xr:uid="{00000000-0004-0000-0D00-000091000000}"/>
    <hyperlink ref="K148" r:id="rId147" xr:uid="{00000000-0004-0000-0D00-000092000000}"/>
    <hyperlink ref="K149" r:id="rId148" xr:uid="{00000000-0004-0000-0D00-000093000000}"/>
    <hyperlink ref="K150" r:id="rId149" xr:uid="{00000000-0004-0000-0D00-000094000000}"/>
    <hyperlink ref="K151" r:id="rId150" xr:uid="{00000000-0004-0000-0D00-000095000000}"/>
    <hyperlink ref="K152" r:id="rId151" xr:uid="{00000000-0004-0000-0D00-000096000000}"/>
    <hyperlink ref="K153" r:id="rId152" xr:uid="{00000000-0004-0000-0D00-000097000000}"/>
    <hyperlink ref="K154" r:id="rId153" xr:uid="{00000000-0004-0000-0D00-000098000000}"/>
    <hyperlink ref="K155" r:id="rId154" xr:uid="{00000000-0004-0000-0D00-000099000000}"/>
    <hyperlink ref="K156" r:id="rId155" xr:uid="{00000000-0004-0000-0D00-00009A000000}"/>
    <hyperlink ref="K157" r:id="rId156" xr:uid="{00000000-0004-0000-0D00-00009B000000}"/>
    <hyperlink ref="K158" r:id="rId157" xr:uid="{00000000-0004-0000-0D00-00009C000000}"/>
    <hyperlink ref="K159" r:id="rId158" xr:uid="{00000000-0004-0000-0D00-00009D000000}"/>
    <hyperlink ref="K160" r:id="rId159" xr:uid="{00000000-0004-0000-0D00-00009E000000}"/>
    <hyperlink ref="K161" r:id="rId160" xr:uid="{00000000-0004-0000-0D00-00009F000000}"/>
    <hyperlink ref="K162" r:id="rId161" xr:uid="{00000000-0004-0000-0D00-0000A0000000}"/>
    <hyperlink ref="K163" r:id="rId162" xr:uid="{00000000-0004-0000-0D00-0000A1000000}"/>
    <hyperlink ref="K164" r:id="rId163" xr:uid="{00000000-0004-0000-0D00-0000A2000000}"/>
    <hyperlink ref="K165" r:id="rId164" xr:uid="{00000000-0004-0000-0D00-0000A3000000}"/>
    <hyperlink ref="K166" r:id="rId165" xr:uid="{00000000-0004-0000-0D00-0000A4000000}"/>
    <hyperlink ref="K167" r:id="rId166" xr:uid="{00000000-0004-0000-0D00-0000A5000000}"/>
    <hyperlink ref="K168" r:id="rId167" xr:uid="{00000000-0004-0000-0D00-0000A6000000}"/>
    <hyperlink ref="K169" r:id="rId168" xr:uid="{00000000-0004-0000-0D00-0000A7000000}"/>
    <hyperlink ref="K170" r:id="rId169" xr:uid="{00000000-0004-0000-0D00-0000A8000000}"/>
    <hyperlink ref="K171" r:id="rId170" xr:uid="{00000000-0004-0000-0D00-0000A9000000}"/>
    <hyperlink ref="K172" r:id="rId171" xr:uid="{00000000-0004-0000-0D00-0000AA000000}"/>
    <hyperlink ref="K173" r:id="rId172" xr:uid="{00000000-0004-0000-0D00-0000AB000000}"/>
    <hyperlink ref="K174" r:id="rId173" xr:uid="{00000000-0004-0000-0D00-0000AC000000}"/>
    <hyperlink ref="K175" r:id="rId174" xr:uid="{00000000-0004-0000-0D00-0000AD000000}"/>
    <hyperlink ref="K176" r:id="rId175" xr:uid="{00000000-0004-0000-0D00-0000AE000000}"/>
    <hyperlink ref="K177" r:id="rId176" xr:uid="{00000000-0004-0000-0D00-0000AF000000}"/>
    <hyperlink ref="K178" r:id="rId177" xr:uid="{00000000-0004-0000-0D00-0000B0000000}"/>
    <hyperlink ref="K179" r:id="rId178" xr:uid="{00000000-0004-0000-0D00-0000B1000000}"/>
    <hyperlink ref="K180" r:id="rId179" xr:uid="{00000000-0004-0000-0D00-0000B2000000}"/>
    <hyperlink ref="K181" r:id="rId180" xr:uid="{00000000-0004-0000-0D00-0000B3000000}"/>
    <hyperlink ref="K182" r:id="rId181" xr:uid="{00000000-0004-0000-0D00-0000B4000000}"/>
    <hyperlink ref="K183" r:id="rId182" xr:uid="{00000000-0004-0000-0D00-0000B5000000}"/>
    <hyperlink ref="K184" r:id="rId183" xr:uid="{00000000-0004-0000-0D00-0000B6000000}"/>
    <hyperlink ref="K185" r:id="rId184" xr:uid="{00000000-0004-0000-0D00-0000B7000000}"/>
    <hyperlink ref="K186" r:id="rId185" xr:uid="{00000000-0004-0000-0D00-0000B8000000}"/>
    <hyperlink ref="K187" r:id="rId186" xr:uid="{00000000-0004-0000-0D00-0000B9000000}"/>
    <hyperlink ref="K188" r:id="rId187" xr:uid="{00000000-0004-0000-0D00-0000BA000000}"/>
    <hyperlink ref="K189" r:id="rId188" xr:uid="{00000000-0004-0000-0D00-0000BB000000}"/>
    <hyperlink ref="K190" r:id="rId189" xr:uid="{00000000-0004-0000-0D00-0000BC000000}"/>
    <hyperlink ref="K191" r:id="rId190" xr:uid="{00000000-0004-0000-0D00-0000BD000000}"/>
    <hyperlink ref="K192" r:id="rId191" xr:uid="{00000000-0004-0000-0D00-0000BE000000}"/>
    <hyperlink ref="K193" r:id="rId192" xr:uid="{00000000-0004-0000-0D00-0000BF000000}"/>
    <hyperlink ref="K194" r:id="rId193" xr:uid="{00000000-0004-0000-0D00-0000C0000000}"/>
    <hyperlink ref="K195" r:id="rId194" xr:uid="{00000000-0004-0000-0D00-0000C1000000}"/>
    <hyperlink ref="K196" r:id="rId195" xr:uid="{00000000-0004-0000-0D00-0000C2000000}"/>
    <hyperlink ref="K197" r:id="rId196" xr:uid="{00000000-0004-0000-0D00-0000C3000000}"/>
    <hyperlink ref="K198" r:id="rId197" xr:uid="{00000000-0004-0000-0D00-0000C4000000}"/>
    <hyperlink ref="K199" r:id="rId198" xr:uid="{00000000-0004-0000-0D00-0000C5000000}"/>
    <hyperlink ref="K200" r:id="rId199" xr:uid="{00000000-0004-0000-0D00-0000C6000000}"/>
    <hyperlink ref="K201" r:id="rId200" xr:uid="{00000000-0004-0000-0D00-0000C7000000}"/>
    <hyperlink ref="K202" r:id="rId201" xr:uid="{00000000-0004-0000-0D00-0000C8000000}"/>
    <hyperlink ref="K203" r:id="rId202" xr:uid="{00000000-0004-0000-0D00-0000C9000000}"/>
    <hyperlink ref="K204" r:id="rId203" xr:uid="{00000000-0004-0000-0D00-0000CA000000}"/>
    <hyperlink ref="K205" r:id="rId204" xr:uid="{00000000-0004-0000-0D00-0000CB000000}"/>
    <hyperlink ref="K206" r:id="rId205" xr:uid="{00000000-0004-0000-0D00-0000CC000000}"/>
    <hyperlink ref="K207" r:id="rId206" xr:uid="{00000000-0004-0000-0D00-0000CD000000}"/>
    <hyperlink ref="K208" r:id="rId207" xr:uid="{00000000-0004-0000-0D00-0000CE000000}"/>
    <hyperlink ref="K209" r:id="rId208" xr:uid="{00000000-0004-0000-0D00-0000CF000000}"/>
    <hyperlink ref="K210" r:id="rId209" xr:uid="{00000000-0004-0000-0D00-0000D0000000}"/>
    <hyperlink ref="K211" r:id="rId210" xr:uid="{00000000-0004-0000-0D00-0000D1000000}"/>
    <hyperlink ref="K212" r:id="rId211" xr:uid="{00000000-0004-0000-0D00-0000D2000000}"/>
    <hyperlink ref="K213" r:id="rId212" xr:uid="{00000000-0004-0000-0D00-0000D3000000}"/>
    <hyperlink ref="K214" r:id="rId213" xr:uid="{00000000-0004-0000-0D00-0000D4000000}"/>
    <hyperlink ref="K215" r:id="rId214" xr:uid="{00000000-0004-0000-0D00-0000D5000000}"/>
    <hyperlink ref="K216" r:id="rId215" xr:uid="{00000000-0004-0000-0D00-0000D6000000}"/>
    <hyperlink ref="K217" r:id="rId216" xr:uid="{00000000-0004-0000-0D00-0000D7000000}"/>
    <hyperlink ref="K218" r:id="rId217" xr:uid="{00000000-0004-0000-0D00-0000D8000000}"/>
    <hyperlink ref="K219" r:id="rId218" xr:uid="{00000000-0004-0000-0D00-0000D9000000}"/>
    <hyperlink ref="K220" r:id="rId219" xr:uid="{00000000-0004-0000-0D00-0000DA000000}"/>
    <hyperlink ref="K221" r:id="rId220" xr:uid="{00000000-0004-0000-0D00-0000DB000000}"/>
    <hyperlink ref="K222" r:id="rId221" xr:uid="{00000000-0004-0000-0D00-0000DC000000}"/>
    <hyperlink ref="K223" r:id="rId222" xr:uid="{00000000-0004-0000-0D00-0000DD000000}"/>
    <hyperlink ref="K224" r:id="rId223" xr:uid="{00000000-0004-0000-0D00-0000DE000000}"/>
    <hyperlink ref="K225" r:id="rId224" xr:uid="{00000000-0004-0000-0D00-0000DF000000}"/>
    <hyperlink ref="K226" r:id="rId225" xr:uid="{00000000-0004-0000-0D00-0000E0000000}"/>
    <hyperlink ref="K227" r:id="rId226" xr:uid="{00000000-0004-0000-0D00-0000E1000000}"/>
    <hyperlink ref="K228" r:id="rId227" xr:uid="{00000000-0004-0000-0D00-0000E2000000}"/>
    <hyperlink ref="K229" r:id="rId228" xr:uid="{00000000-0004-0000-0D00-0000E3000000}"/>
    <hyperlink ref="K230" r:id="rId229" xr:uid="{00000000-0004-0000-0D00-0000E4000000}"/>
    <hyperlink ref="K231" r:id="rId230" xr:uid="{00000000-0004-0000-0D00-0000E5000000}"/>
    <hyperlink ref="K232" r:id="rId231" xr:uid="{00000000-0004-0000-0D00-0000E6000000}"/>
    <hyperlink ref="K233" r:id="rId232" xr:uid="{00000000-0004-0000-0D00-0000E7000000}"/>
    <hyperlink ref="K234" r:id="rId233" xr:uid="{00000000-0004-0000-0D00-0000E8000000}"/>
    <hyperlink ref="K235" r:id="rId234" xr:uid="{00000000-0004-0000-0D00-0000E9000000}"/>
    <hyperlink ref="K236" r:id="rId235" xr:uid="{00000000-0004-0000-0D00-0000EA000000}"/>
    <hyperlink ref="K237" r:id="rId236" xr:uid="{00000000-0004-0000-0D00-0000EB000000}"/>
    <hyperlink ref="K238" r:id="rId237" xr:uid="{00000000-0004-0000-0D00-0000EC000000}"/>
    <hyperlink ref="K239" r:id="rId238" xr:uid="{00000000-0004-0000-0D00-0000ED000000}"/>
    <hyperlink ref="K240" r:id="rId239" xr:uid="{00000000-0004-0000-0D00-0000EE000000}"/>
    <hyperlink ref="K241" r:id="rId240" xr:uid="{00000000-0004-0000-0D00-0000EF000000}"/>
    <hyperlink ref="K242" r:id="rId241" xr:uid="{00000000-0004-0000-0D00-0000F0000000}"/>
    <hyperlink ref="K243" r:id="rId242" xr:uid="{00000000-0004-0000-0D00-0000F1000000}"/>
    <hyperlink ref="K244" r:id="rId243" xr:uid="{00000000-0004-0000-0D00-0000F2000000}"/>
    <hyperlink ref="K245" r:id="rId244" xr:uid="{00000000-0004-0000-0D00-0000F3000000}"/>
    <hyperlink ref="K246" r:id="rId245" xr:uid="{00000000-0004-0000-0D00-0000F4000000}"/>
    <hyperlink ref="K247" r:id="rId246" xr:uid="{00000000-0004-0000-0D00-0000F5000000}"/>
    <hyperlink ref="K248" r:id="rId247" xr:uid="{00000000-0004-0000-0D00-0000F6000000}"/>
    <hyperlink ref="K249" r:id="rId248" xr:uid="{00000000-0004-0000-0D00-0000F7000000}"/>
    <hyperlink ref="K250" r:id="rId249" xr:uid="{00000000-0004-0000-0D00-0000F8000000}"/>
    <hyperlink ref="K251" r:id="rId250" xr:uid="{00000000-0004-0000-0D00-0000F9000000}"/>
    <hyperlink ref="K252" r:id="rId251" xr:uid="{00000000-0004-0000-0D00-0000FA000000}"/>
    <hyperlink ref="K253" r:id="rId252" xr:uid="{00000000-0004-0000-0D00-0000FB000000}"/>
    <hyperlink ref="K254" r:id="rId253" xr:uid="{00000000-0004-0000-0D00-0000FC000000}"/>
    <hyperlink ref="K255" r:id="rId254" xr:uid="{00000000-0004-0000-0D00-0000FD000000}"/>
    <hyperlink ref="K256" r:id="rId255" xr:uid="{00000000-0004-0000-0D00-0000FE000000}"/>
    <hyperlink ref="K257" r:id="rId256" xr:uid="{00000000-0004-0000-0D00-0000FF000000}"/>
    <hyperlink ref="K258" r:id="rId257" xr:uid="{00000000-0004-0000-0D00-000000010000}"/>
    <hyperlink ref="K259" r:id="rId258" xr:uid="{00000000-0004-0000-0D00-000001010000}"/>
    <hyperlink ref="K260" r:id="rId259" xr:uid="{00000000-0004-0000-0D00-000002010000}"/>
    <hyperlink ref="K261" r:id="rId260" xr:uid="{00000000-0004-0000-0D00-000003010000}"/>
    <hyperlink ref="K262" r:id="rId261" xr:uid="{00000000-0004-0000-0D00-000004010000}"/>
    <hyperlink ref="K263" r:id="rId262" xr:uid="{00000000-0004-0000-0D00-000005010000}"/>
    <hyperlink ref="K264" r:id="rId263" xr:uid="{00000000-0004-0000-0D00-000006010000}"/>
    <hyperlink ref="K265" r:id="rId264" xr:uid="{00000000-0004-0000-0D00-000007010000}"/>
    <hyperlink ref="K266" r:id="rId265" xr:uid="{00000000-0004-0000-0D00-000008010000}"/>
    <hyperlink ref="K267" r:id="rId266" xr:uid="{00000000-0004-0000-0D00-000009010000}"/>
    <hyperlink ref="K268" r:id="rId267" xr:uid="{00000000-0004-0000-0D00-00000A010000}"/>
    <hyperlink ref="K269" r:id="rId268" xr:uid="{00000000-0004-0000-0D00-00000B010000}"/>
    <hyperlink ref="K270" r:id="rId269" xr:uid="{00000000-0004-0000-0D00-00000C010000}"/>
    <hyperlink ref="K271" r:id="rId270" xr:uid="{00000000-0004-0000-0D00-00000D010000}"/>
    <hyperlink ref="K272" r:id="rId271" xr:uid="{00000000-0004-0000-0D00-00000E010000}"/>
    <hyperlink ref="K273" r:id="rId272" xr:uid="{00000000-0004-0000-0D00-00000F010000}"/>
    <hyperlink ref="K274" r:id="rId273" xr:uid="{00000000-0004-0000-0D00-000010010000}"/>
    <hyperlink ref="K275" r:id="rId274" xr:uid="{00000000-0004-0000-0D00-000011010000}"/>
    <hyperlink ref="K276" r:id="rId275" xr:uid="{00000000-0004-0000-0D00-000012010000}"/>
    <hyperlink ref="K277" r:id="rId276" xr:uid="{00000000-0004-0000-0D00-000013010000}"/>
    <hyperlink ref="K278" r:id="rId277" xr:uid="{00000000-0004-0000-0D00-000014010000}"/>
    <hyperlink ref="K279" r:id="rId278" xr:uid="{00000000-0004-0000-0D00-000015010000}"/>
    <hyperlink ref="K280" r:id="rId279" xr:uid="{00000000-0004-0000-0D00-000016010000}"/>
    <hyperlink ref="K281" r:id="rId280" xr:uid="{00000000-0004-0000-0D00-000017010000}"/>
    <hyperlink ref="K282" r:id="rId281" xr:uid="{00000000-0004-0000-0D00-000018010000}"/>
    <hyperlink ref="K283" r:id="rId282" xr:uid="{00000000-0004-0000-0D00-000019010000}"/>
    <hyperlink ref="K284" r:id="rId283" xr:uid="{00000000-0004-0000-0D00-00001A010000}"/>
    <hyperlink ref="K285" r:id="rId284" xr:uid="{00000000-0004-0000-0D00-00001B010000}"/>
    <hyperlink ref="K286" r:id="rId285" xr:uid="{00000000-0004-0000-0D00-00001C010000}"/>
    <hyperlink ref="K287" r:id="rId286" xr:uid="{00000000-0004-0000-0D00-00001D010000}"/>
    <hyperlink ref="K288" r:id="rId287" xr:uid="{00000000-0004-0000-0D00-00001E010000}"/>
    <hyperlink ref="K289" r:id="rId288" xr:uid="{00000000-0004-0000-0D00-00001F010000}"/>
    <hyperlink ref="K290" r:id="rId289" xr:uid="{00000000-0004-0000-0D00-000020010000}"/>
    <hyperlink ref="K291" r:id="rId290" xr:uid="{00000000-0004-0000-0D00-000021010000}"/>
    <hyperlink ref="K292" r:id="rId291" xr:uid="{00000000-0004-0000-0D00-000022010000}"/>
    <hyperlink ref="K293" r:id="rId292" xr:uid="{00000000-0004-0000-0D00-000023010000}"/>
    <hyperlink ref="K294" r:id="rId293" xr:uid="{00000000-0004-0000-0D00-000024010000}"/>
    <hyperlink ref="K295" r:id="rId294" xr:uid="{00000000-0004-0000-0D00-000025010000}"/>
    <hyperlink ref="K296" r:id="rId295" xr:uid="{00000000-0004-0000-0D00-000026010000}"/>
    <hyperlink ref="K297" r:id="rId296" xr:uid="{00000000-0004-0000-0D00-000027010000}"/>
    <hyperlink ref="K298" r:id="rId297" xr:uid="{00000000-0004-0000-0D00-000028010000}"/>
    <hyperlink ref="K299" r:id="rId298" xr:uid="{00000000-0004-0000-0D00-000029010000}"/>
    <hyperlink ref="K300" r:id="rId299" xr:uid="{00000000-0004-0000-0D00-00002A010000}"/>
    <hyperlink ref="K301" r:id="rId300" xr:uid="{00000000-0004-0000-0D00-00002B010000}"/>
    <hyperlink ref="K302" r:id="rId301" xr:uid="{00000000-0004-0000-0D00-00002C010000}"/>
    <hyperlink ref="K303" r:id="rId302" xr:uid="{00000000-0004-0000-0D00-00002D010000}"/>
    <hyperlink ref="K304" r:id="rId303" xr:uid="{00000000-0004-0000-0D00-00002E010000}"/>
    <hyperlink ref="K305" r:id="rId304" xr:uid="{00000000-0004-0000-0D00-00002F010000}"/>
    <hyperlink ref="K306" r:id="rId305" xr:uid="{00000000-0004-0000-0D00-000030010000}"/>
    <hyperlink ref="K307" r:id="rId306" xr:uid="{00000000-0004-0000-0D00-000031010000}"/>
    <hyperlink ref="K308" r:id="rId307" xr:uid="{00000000-0004-0000-0D00-000032010000}"/>
    <hyperlink ref="K309" r:id="rId308" xr:uid="{00000000-0004-0000-0D00-000033010000}"/>
    <hyperlink ref="K310" r:id="rId309" xr:uid="{00000000-0004-0000-0D00-000034010000}"/>
    <hyperlink ref="K311" r:id="rId310" xr:uid="{00000000-0004-0000-0D00-000035010000}"/>
    <hyperlink ref="K312" r:id="rId311" xr:uid="{00000000-0004-0000-0D00-000036010000}"/>
    <hyperlink ref="K313" r:id="rId312" xr:uid="{00000000-0004-0000-0D00-000037010000}"/>
    <hyperlink ref="K314" r:id="rId313" xr:uid="{00000000-0004-0000-0D00-000038010000}"/>
    <hyperlink ref="K315" r:id="rId314" xr:uid="{00000000-0004-0000-0D00-000039010000}"/>
    <hyperlink ref="K316" r:id="rId315" xr:uid="{00000000-0004-0000-0D00-00003A010000}"/>
    <hyperlink ref="K317" r:id="rId316" xr:uid="{00000000-0004-0000-0D00-00003B010000}"/>
    <hyperlink ref="K318" r:id="rId317" xr:uid="{00000000-0004-0000-0D00-00003C010000}"/>
    <hyperlink ref="K319" r:id="rId318" xr:uid="{00000000-0004-0000-0D00-00003D010000}"/>
    <hyperlink ref="K320" r:id="rId319" xr:uid="{00000000-0004-0000-0D00-00003E010000}"/>
    <hyperlink ref="K321" r:id="rId320" xr:uid="{00000000-0004-0000-0D00-00003F010000}"/>
    <hyperlink ref="K322" r:id="rId321" xr:uid="{00000000-0004-0000-0D00-000040010000}"/>
    <hyperlink ref="K323" r:id="rId322" xr:uid="{00000000-0004-0000-0D00-000041010000}"/>
    <hyperlink ref="K324" r:id="rId323" xr:uid="{00000000-0004-0000-0D00-000042010000}"/>
    <hyperlink ref="K325" r:id="rId324" xr:uid="{00000000-0004-0000-0D00-000043010000}"/>
    <hyperlink ref="K326" r:id="rId325" xr:uid="{00000000-0004-0000-0D00-000044010000}"/>
    <hyperlink ref="K327" r:id="rId326" xr:uid="{00000000-0004-0000-0D00-000045010000}"/>
    <hyperlink ref="K328" r:id="rId327" xr:uid="{00000000-0004-0000-0D00-000046010000}"/>
    <hyperlink ref="K329" r:id="rId328" xr:uid="{00000000-0004-0000-0D00-000047010000}"/>
    <hyperlink ref="K330" r:id="rId329" xr:uid="{00000000-0004-0000-0D00-000048010000}"/>
    <hyperlink ref="K331" r:id="rId330" xr:uid="{00000000-0004-0000-0D00-000049010000}"/>
    <hyperlink ref="K332" r:id="rId331" xr:uid="{00000000-0004-0000-0D00-00004A010000}"/>
    <hyperlink ref="K333" r:id="rId332" xr:uid="{00000000-0004-0000-0D00-00004B010000}"/>
    <hyperlink ref="K334" r:id="rId333" xr:uid="{00000000-0004-0000-0D00-00004C010000}"/>
    <hyperlink ref="K335" r:id="rId334" xr:uid="{00000000-0004-0000-0D00-00004D010000}"/>
    <hyperlink ref="K336" r:id="rId335" xr:uid="{00000000-0004-0000-0D00-00004E010000}"/>
    <hyperlink ref="K337" r:id="rId336" xr:uid="{00000000-0004-0000-0D00-00004F010000}"/>
    <hyperlink ref="K338" r:id="rId337" xr:uid="{00000000-0004-0000-0D00-000050010000}"/>
    <hyperlink ref="K339" r:id="rId338" xr:uid="{00000000-0004-0000-0D00-000051010000}"/>
    <hyperlink ref="K340" r:id="rId339" xr:uid="{00000000-0004-0000-0D00-000052010000}"/>
    <hyperlink ref="K341" r:id="rId340" xr:uid="{00000000-0004-0000-0D00-000053010000}"/>
    <hyperlink ref="K342" r:id="rId341" xr:uid="{00000000-0004-0000-0D00-000054010000}"/>
    <hyperlink ref="K343" r:id="rId342" xr:uid="{00000000-0004-0000-0D00-000055010000}"/>
    <hyperlink ref="K344" r:id="rId343" xr:uid="{00000000-0004-0000-0D00-000056010000}"/>
    <hyperlink ref="K345" r:id="rId344" xr:uid="{00000000-0004-0000-0D00-000057010000}"/>
    <hyperlink ref="K346" r:id="rId345" xr:uid="{00000000-0004-0000-0D00-000058010000}"/>
    <hyperlink ref="K347" r:id="rId346" xr:uid="{00000000-0004-0000-0D00-000059010000}"/>
    <hyperlink ref="K348" r:id="rId347" xr:uid="{00000000-0004-0000-0D00-00005A010000}"/>
    <hyperlink ref="K349" r:id="rId348" xr:uid="{00000000-0004-0000-0D00-00005B010000}"/>
    <hyperlink ref="K350" r:id="rId349" xr:uid="{00000000-0004-0000-0D00-00005C010000}"/>
    <hyperlink ref="K351" r:id="rId350" xr:uid="{00000000-0004-0000-0D00-00005D010000}"/>
    <hyperlink ref="K352" r:id="rId351" xr:uid="{00000000-0004-0000-0D00-00005E010000}"/>
    <hyperlink ref="K353" r:id="rId352" xr:uid="{00000000-0004-0000-0D00-00005F010000}"/>
    <hyperlink ref="K354" r:id="rId353" xr:uid="{00000000-0004-0000-0D00-000060010000}"/>
    <hyperlink ref="K355" r:id="rId354" xr:uid="{00000000-0004-0000-0D00-000061010000}"/>
    <hyperlink ref="K356" r:id="rId355" xr:uid="{00000000-0004-0000-0D00-000062010000}"/>
    <hyperlink ref="K357" r:id="rId356" xr:uid="{00000000-0004-0000-0D00-000063010000}"/>
    <hyperlink ref="K358" r:id="rId357" xr:uid="{00000000-0004-0000-0D00-000064010000}"/>
    <hyperlink ref="K359" r:id="rId358" xr:uid="{00000000-0004-0000-0D00-000065010000}"/>
    <hyperlink ref="K360" r:id="rId359" xr:uid="{00000000-0004-0000-0D00-000066010000}"/>
    <hyperlink ref="K361" r:id="rId360" xr:uid="{00000000-0004-0000-0D00-000067010000}"/>
    <hyperlink ref="K362" r:id="rId361" xr:uid="{00000000-0004-0000-0D00-000068010000}"/>
    <hyperlink ref="K363" r:id="rId362" xr:uid="{00000000-0004-0000-0D00-000069010000}"/>
    <hyperlink ref="K364" r:id="rId363" xr:uid="{00000000-0004-0000-0D00-00006A010000}"/>
    <hyperlink ref="K365" r:id="rId364" xr:uid="{00000000-0004-0000-0D00-00006B010000}"/>
    <hyperlink ref="K366" r:id="rId365" xr:uid="{00000000-0004-0000-0D00-00006C010000}"/>
    <hyperlink ref="K367" r:id="rId366" xr:uid="{00000000-0004-0000-0D00-00006D010000}"/>
    <hyperlink ref="K368" r:id="rId367" xr:uid="{00000000-0004-0000-0D00-00006E010000}"/>
    <hyperlink ref="K369" r:id="rId368" xr:uid="{00000000-0004-0000-0D00-00006F010000}"/>
    <hyperlink ref="K370" r:id="rId369" xr:uid="{00000000-0004-0000-0D00-000070010000}"/>
    <hyperlink ref="K371" r:id="rId370" xr:uid="{00000000-0004-0000-0D00-000071010000}"/>
    <hyperlink ref="K372" r:id="rId371" xr:uid="{00000000-0004-0000-0D00-000072010000}"/>
    <hyperlink ref="K373" r:id="rId372" xr:uid="{00000000-0004-0000-0D00-000073010000}"/>
    <hyperlink ref="K374" r:id="rId373" xr:uid="{00000000-0004-0000-0D00-000074010000}"/>
    <hyperlink ref="K375" r:id="rId374" xr:uid="{00000000-0004-0000-0D00-000075010000}"/>
    <hyperlink ref="K376" r:id="rId375" xr:uid="{00000000-0004-0000-0D00-000076010000}"/>
    <hyperlink ref="K377" r:id="rId376" xr:uid="{00000000-0004-0000-0D00-000077010000}"/>
    <hyperlink ref="K378" r:id="rId377" xr:uid="{00000000-0004-0000-0D00-000078010000}"/>
    <hyperlink ref="K379" r:id="rId378" xr:uid="{00000000-0004-0000-0D00-000079010000}"/>
    <hyperlink ref="K380" r:id="rId379" xr:uid="{00000000-0004-0000-0D00-00007A010000}"/>
    <hyperlink ref="K381" r:id="rId380" xr:uid="{00000000-0004-0000-0D00-00007B010000}"/>
    <hyperlink ref="K382" r:id="rId381" xr:uid="{00000000-0004-0000-0D00-00007C010000}"/>
    <hyperlink ref="K383" r:id="rId382" xr:uid="{00000000-0004-0000-0D00-00007D010000}"/>
    <hyperlink ref="K384" r:id="rId383" xr:uid="{00000000-0004-0000-0D00-00007E010000}"/>
    <hyperlink ref="K385" r:id="rId384" xr:uid="{00000000-0004-0000-0D00-00007F010000}"/>
    <hyperlink ref="K386" r:id="rId385" xr:uid="{00000000-0004-0000-0D00-000080010000}"/>
    <hyperlink ref="K387" r:id="rId386" xr:uid="{00000000-0004-0000-0D00-000081010000}"/>
    <hyperlink ref="K388" r:id="rId387" xr:uid="{00000000-0004-0000-0D00-000082010000}"/>
    <hyperlink ref="K389" r:id="rId388" xr:uid="{00000000-0004-0000-0D00-000083010000}"/>
    <hyperlink ref="K390" r:id="rId389" xr:uid="{00000000-0004-0000-0D00-000084010000}"/>
    <hyperlink ref="K391" r:id="rId390" xr:uid="{00000000-0004-0000-0D00-000085010000}"/>
    <hyperlink ref="K392" r:id="rId391" xr:uid="{00000000-0004-0000-0D00-000086010000}"/>
    <hyperlink ref="K393" r:id="rId392" xr:uid="{00000000-0004-0000-0D00-000087010000}"/>
    <hyperlink ref="K394" r:id="rId393" xr:uid="{00000000-0004-0000-0D00-000088010000}"/>
    <hyperlink ref="K395" r:id="rId394" xr:uid="{00000000-0004-0000-0D00-000089010000}"/>
    <hyperlink ref="K396" r:id="rId395" xr:uid="{00000000-0004-0000-0D00-00008A010000}"/>
    <hyperlink ref="K397" r:id="rId396" xr:uid="{00000000-0004-0000-0D00-00008B010000}"/>
    <hyperlink ref="K398" r:id="rId397" xr:uid="{00000000-0004-0000-0D00-00008C010000}"/>
    <hyperlink ref="K399" r:id="rId398" xr:uid="{00000000-0004-0000-0D00-00008D010000}"/>
    <hyperlink ref="K400" r:id="rId399" xr:uid="{00000000-0004-0000-0D00-00008E010000}"/>
    <hyperlink ref="K401" r:id="rId400" xr:uid="{00000000-0004-0000-0D00-00008F010000}"/>
    <hyperlink ref="K402" r:id="rId401" xr:uid="{00000000-0004-0000-0D00-000090010000}"/>
    <hyperlink ref="K403" r:id="rId402" xr:uid="{00000000-0004-0000-0D00-000091010000}"/>
    <hyperlink ref="K404" r:id="rId403" xr:uid="{00000000-0004-0000-0D00-000092010000}"/>
    <hyperlink ref="K405" r:id="rId404" xr:uid="{00000000-0004-0000-0D00-000093010000}"/>
    <hyperlink ref="K406" r:id="rId405" xr:uid="{00000000-0004-0000-0D00-000094010000}"/>
    <hyperlink ref="K407" r:id="rId406" xr:uid="{00000000-0004-0000-0D00-000095010000}"/>
    <hyperlink ref="K408" r:id="rId407" xr:uid="{00000000-0004-0000-0D00-000096010000}"/>
    <hyperlink ref="K409" r:id="rId408" xr:uid="{00000000-0004-0000-0D00-000097010000}"/>
    <hyperlink ref="K410" r:id="rId409" xr:uid="{00000000-0004-0000-0D00-000098010000}"/>
    <hyperlink ref="K411" r:id="rId410" xr:uid="{00000000-0004-0000-0D00-000099010000}"/>
    <hyperlink ref="K412" r:id="rId411" xr:uid="{00000000-0004-0000-0D00-00009A010000}"/>
    <hyperlink ref="K413" r:id="rId412" xr:uid="{00000000-0004-0000-0D00-00009B010000}"/>
    <hyperlink ref="K414" r:id="rId413" xr:uid="{00000000-0004-0000-0D00-00009C010000}"/>
    <hyperlink ref="K415" r:id="rId414" xr:uid="{00000000-0004-0000-0D00-00009D010000}"/>
    <hyperlink ref="K416" r:id="rId415" xr:uid="{00000000-0004-0000-0D00-00009E010000}"/>
    <hyperlink ref="K417" r:id="rId416" xr:uid="{00000000-0004-0000-0D00-00009F010000}"/>
    <hyperlink ref="K418" r:id="rId417" xr:uid="{00000000-0004-0000-0D00-0000A0010000}"/>
    <hyperlink ref="K419" r:id="rId418" xr:uid="{00000000-0004-0000-0D00-0000A1010000}"/>
    <hyperlink ref="K420" r:id="rId419" xr:uid="{00000000-0004-0000-0D00-0000A2010000}"/>
    <hyperlink ref="K421" r:id="rId420" xr:uid="{00000000-0004-0000-0D00-0000A3010000}"/>
    <hyperlink ref="K422" r:id="rId421" xr:uid="{00000000-0004-0000-0D00-0000A4010000}"/>
    <hyperlink ref="K423" r:id="rId422" xr:uid="{00000000-0004-0000-0D00-0000A5010000}"/>
    <hyperlink ref="K424" r:id="rId423" xr:uid="{00000000-0004-0000-0D00-0000A6010000}"/>
    <hyperlink ref="K425" r:id="rId424" xr:uid="{00000000-0004-0000-0D00-0000A7010000}"/>
    <hyperlink ref="K426" r:id="rId425" xr:uid="{00000000-0004-0000-0D00-0000A8010000}"/>
    <hyperlink ref="K427" r:id="rId426" xr:uid="{00000000-0004-0000-0D00-0000A9010000}"/>
    <hyperlink ref="K428" r:id="rId427" xr:uid="{00000000-0004-0000-0D00-0000AA010000}"/>
    <hyperlink ref="K429" r:id="rId428" xr:uid="{00000000-0004-0000-0D00-0000AB010000}"/>
    <hyperlink ref="K430" r:id="rId429" xr:uid="{00000000-0004-0000-0D00-0000AC010000}"/>
    <hyperlink ref="K431" r:id="rId430" xr:uid="{00000000-0004-0000-0D00-0000AD010000}"/>
    <hyperlink ref="K432" r:id="rId431" xr:uid="{00000000-0004-0000-0D00-0000AE010000}"/>
    <hyperlink ref="K433" r:id="rId432" xr:uid="{00000000-0004-0000-0D00-0000AF010000}"/>
    <hyperlink ref="K434" r:id="rId433" xr:uid="{00000000-0004-0000-0D00-0000B0010000}"/>
    <hyperlink ref="K435" r:id="rId434" xr:uid="{00000000-0004-0000-0D00-0000B1010000}"/>
    <hyperlink ref="K436" r:id="rId435" xr:uid="{00000000-0004-0000-0D00-0000B2010000}"/>
    <hyperlink ref="K437" r:id="rId436" xr:uid="{00000000-0004-0000-0D00-0000B3010000}"/>
    <hyperlink ref="K438" r:id="rId437" xr:uid="{00000000-0004-0000-0D00-0000B4010000}"/>
    <hyperlink ref="K439" r:id="rId438" xr:uid="{00000000-0004-0000-0D00-0000B5010000}"/>
    <hyperlink ref="K440" r:id="rId439" xr:uid="{00000000-0004-0000-0D00-0000B6010000}"/>
    <hyperlink ref="K441" r:id="rId440" xr:uid="{00000000-0004-0000-0D00-0000B7010000}"/>
    <hyperlink ref="K442" r:id="rId441" xr:uid="{00000000-0004-0000-0D00-0000B8010000}"/>
    <hyperlink ref="K443" r:id="rId442" xr:uid="{00000000-0004-0000-0D00-0000B9010000}"/>
    <hyperlink ref="K444" r:id="rId443" xr:uid="{00000000-0004-0000-0D00-0000BA010000}"/>
    <hyperlink ref="K445" r:id="rId444" xr:uid="{00000000-0004-0000-0D00-0000BB010000}"/>
    <hyperlink ref="K446" r:id="rId445" xr:uid="{00000000-0004-0000-0D00-0000BC010000}"/>
    <hyperlink ref="K447" r:id="rId446" xr:uid="{00000000-0004-0000-0D00-0000BD010000}"/>
    <hyperlink ref="K448" r:id="rId447" xr:uid="{00000000-0004-0000-0D00-0000BE010000}"/>
    <hyperlink ref="K449" r:id="rId448" xr:uid="{00000000-0004-0000-0D00-0000BF010000}"/>
    <hyperlink ref="K450" r:id="rId449" xr:uid="{00000000-0004-0000-0D00-0000C0010000}"/>
    <hyperlink ref="K451" r:id="rId450" xr:uid="{00000000-0004-0000-0D00-0000C1010000}"/>
    <hyperlink ref="K452" r:id="rId451" xr:uid="{00000000-0004-0000-0D00-0000C2010000}"/>
    <hyperlink ref="K453" r:id="rId452" xr:uid="{00000000-0004-0000-0D00-0000C3010000}"/>
    <hyperlink ref="K454" r:id="rId453" xr:uid="{00000000-0004-0000-0D00-0000C4010000}"/>
    <hyperlink ref="K455" r:id="rId454" xr:uid="{00000000-0004-0000-0D00-0000C5010000}"/>
    <hyperlink ref="K456" r:id="rId455" xr:uid="{00000000-0004-0000-0D00-0000C6010000}"/>
    <hyperlink ref="K457" r:id="rId456" xr:uid="{00000000-0004-0000-0D00-0000C7010000}"/>
    <hyperlink ref="K458" r:id="rId457" xr:uid="{00000000-0004-0000-0D00-0000C8010000}"/>
    <hyperlink ref="K459" r:id="rId458" xr:uid="{00000000-0004-0000-0D00-0000C9010000}"/>
    <hyperlink ref="K460" r:id="rId459" xr:uid="{00000000-0004-0000-0D00-0000CA010000}"/>
    <hyperlink ref="K461" r:id="rId460" xr:uid="{00000000-0004-0000-0D00-0000CB010000}"/>
    <hyperlink ref="K462" r:id="rId461" xr:uid="{00000000-0004-0000-0D00-0000CC010000}"/>
    <hyperlink ref="K463" r:id="rId462" xr:uid="{00000000-0004-0000-0D00-0000CD010000}"/>
    <hyperlink ref="K464" r:id="rId463" xr:uid="{00000000-0004-0000-0D00-0000CE010000}"/>
    <hyperlink ref="K465" r:id="rId464" xr:uid="{00000000-0004-0000-0D00-0000CF010000}"/>
    <hyperlink ref="K466" r:id="rId465" xr:uid="{00000000-0004-0000-0D00-0000D0010000}"/>
    <hyperlink ref="K467" r:id="rId466" xr:uid="{00000000-0004-0000-0D00-0000D1010000}"/>
    <hyperlink ref="K468" r:id="rId467" xr:uid="{00000000-0004-0000-0D00-0000D2010000}"/>
    <hyperlink ref="K469" r:id="rId468" xr:uid="{00000000-0004-0000-0D00-0000D3010000}"/>
    <hyperlink ref="K470" r:id="rId469" xr:uid="{00000000-0004-0000-0D00-0000D4010000}"/>
    <hyperlink ref="K471" r:id="rId470" xr:uid="{00000000-0004-0000-0D00-0000D5010000}"/>
    <hyperlink ref="K472" r:id="rId471" xr:uid="{00000000-0004-0000-0D00-0000D6010000}"/>
    <hyperlink ref="K473" r:id="rId472" xr:uid="{00000000-0004-0000-0D00-0000D7010000}"/>
    <hyperlink ref="K474" r:id="rId473" xr:uid="{00000000-0004-0000-0D00-0000D8010000}"/>
    <hyperlink ref="K475" r:id="rId474" xr:uid="{00000000-0004-0000-0D00-0000D9010000}"/>
    <hyperlink ref="K476" r:id="rId475" xr:uid="{00000000-0004-0000-0D00-0000DA010000}"/>
    <hyperlink ref="K477" r:id="rId476" xr:uid="{00000000-0004-0000-0D00-0000DB010000}"/>
    <hyperlink ref="K478" r:id="rId477" xr:uid="{00000000-0004-0000-0D00-0000DC010000}"/>
    <hyperlink ref="K479" r:id="rId478" xr:uid="{00000000-0004-0000-0D00-0000DD010000}"/>
    <hyperlink ref="K480" r:id="rId479" xr:uid="{00000000-0004-0000-0D00-0000DE010000}"/>
    <hyperlink ref="K481" r:id="rId480" xr:uid="{00000000-0004-0000-0D00-0000DF010000}"/>
    <hyperlink ref="K482" r:id="rId481" xr:uid="{00000000-0004-0000-0D00-0000E0010000}"/>
    <hyperlink ref="K483" r:id="rId482" xr:uid="{00000000-0004-0000-0D00-0000E1010000}"/>
    <hyperlink ref="K484" r:id="rId483" xr:uid="{00000000-0004-0000-0D00-0000E2010000}"/>
    <hyperlink ref="K485" r:id="rId484" xr:uid="{00000000-0004-0000-0D00-0000E3010000}"/>
    <hyperlink ref="K486" r:id="rId485" xr:uid="{00000000-0004-0000-0D00-0000E4010000}"/>
    <hyperlink ref="K487" r:id="rId486" xr:uid="{00000000-0004-0000-0D00-0000E5010000}"/>
    <hyperlink ref="K488" r:id="rId487" xr:uid="{00000000-0004-0000-0D00-0000E6010000}"/>
    <hyperlink ref="K489" r:id="rId488" xr:uid="{00000000-0004-0000-0D00-0000E7010000}"/>
    <hyperlink ref="K490" r:id="rId489" xr:uid="{00000000-0004-0000-0D00-0000E8010000}"/>
    <hyperlink ref="K491" r:id="rId490" xr:uid="{00000000-0004-0000-0D00-0000E9010000}"/>
    <hyperlink ref="K492" r:id="rId491" xr:uid="{00000000-0004-0000-0D00-0000EA010000}"/>
    <hyperlink ref="K493" r:id="rId492" xr:uid="{00000000-0004-0000-0D00-0000EB010000}"/>
    <hyperlink ref="K494" r:id="rId493" xr:uid="{00000000-0004-0000-0D00-0000EC010000}"/>
    <hyperlink ref="K495" r:id="rId494" xr:uid="{00000000-0004-0000-0D00-0000ED010000}"/>
    <hyperlink ref="K496" r:id="rId495" xr:uid="{00000000-0004-0000-0D00-0000EE010000}"/>
    <hyperlink ref="K497" r:id="rId496" xr:uid="{00000000-0004-0000-0D00-0000EF010000}"/>
    <hyperlink ref="K498" r:id="rId497" xr:uid="{00000000-0004-0000-0D00-0000F0010000}"/>
    <hyperlink ref="K499" r:id="rId498" xr:uid="{00000000-0004-0000-0D00-0000F1010000}"/>
    <hyperlink ref="K500" r:id="rId499" xr:uid="{00000000-0004-0000-0D00-0000F2010000}"/>
    <hyperlink ref="K501" r:id="rId500" xr:uid="{00000000-0004-0000-0D00-0000F3010000}"/>
    <hyperlink ref="K502" r:id="rId501" xr:uid="{00000000-0004-0000-0D00-0000F4010000}"/>
    <hyperlink ref="K503" r:id="rId502" xr:uid="{00000000-0004-0000-0D00-0000F5010000}"/>
    <hyperlink ref="K504" r:id="rId503" xr:uid="{00000000-0004-0000-0D00-0000F6010000}"/>
    <hyperlink ref="K505" r:id="rId504" xr:uid="{00000000-0004-0000-0D00-0000F7010000}"/>
    <hyperlink ref="K506" r:id="rId505" xr:uid="{00000000-0004-0000-0D00-0000F8010000}"/>
    <hyperlink ref="K507" r:id="rId506" xr:uid="{00000000-0004-0000-0D00-0000F9010000}"/>
    <hyperlink ref="K508" r:id="rId507" xr:uid="{00000000-0004-0000-0D00-0000FA010000}"/>
    <hyperlink ref="K509" r:id="rId508" xr:uid="{00000000-0004-0000-0D00-0000FB010000}"/>
    <hyperlink ref="K510" r:id="rId509" xr:uid="{00000000-0004-0000-0D00-0000FC010000}"/>
    <hyperlink ref="K511" r:id="rId510" xr:uid="{00000000-0004-0000-0D00-0000FD010000}"/>
    <hyperlink ref="K512" r:id="rId511" xr:uid="{00000000-0004-0000-0D00-0000FE010000}"/>
    <hyperlink ref="K513" r:id="rId512" xr:uid="{00000000-0004-0000-0D00-0000FF010000}"/>
    <hyperlink ref="K515" r:id="rId513" xr:uid="{00000000-0004-0000-0D00-000000020000}"/>
    <hyperlink ref="K516" r:id="rId514" xr:uid="{00000000-0004-0000-0D00-000001020000}"/>
    <hyperlink ref="K517" r:id="rId515" xr:uid="{00000000-0004-0000-0D00-000002020000}"/>
    <hyperlink ref="K518" r:id="rId516" xr:uid="{00000000-0004-0000-0D00-000003020000}"/>
    <hyperlink ref="K519" r:id="rId517" xr:uid="{00000000-0004-0000-0D00-000004020000}"/>
    <hyperlink ref="K520" r:id="rId518" xr:uid="{00000000-0004-0000-0D00-000005020000}"/>
    <hyperlink ref="K521" r:id="rId519" xr:uid="{00000000-0004-0000-0D00-000006020000}"/>
    <hyperlink ref="K522" r:id="rId520" xr:uid="{00000000-0004-0000-0D00-000007020000}"/>
    <hyperlink ref="K523" r:id="rId521" xr:uid="{00000000-0004-0000-0D00-000008020000}"/>
    <hyperlink ref="K524" r:id="rId522" xr:uid="{00000000-0004-0000-0D00-000009020000}"/>
    <hyperlink ref="K525" r:id="rId523" xr:uid="{00000000-0004-0000-0D00-00000A020000}"/>
    <hyperlink ref="K526" r:id="rId524" xr:uid="{00000000-0004-0000-0D00-00000B020000}"/>
    <hyperlink ref="K527" r:id="rId525" xr:uid="{00000000-0004-0000-0D00-00000C020000}"/>
    <hyperlink ref="K528" r:id="rId526" xr:uid="{00000000-0004-0000-0D00-00000D020000}"/>
    <hyperlink ref="K529" r:id="rId527" xr:uid="{00000000-0004-0000-0D00-00000E020000}"/>
    <hyperlink ref="K530" r:id="rId528" xr:uid="{00000000-0004-0000-0D00-00000F020000}"/>
    <hyperlink ref="K531" r:id="rId529" xr:uid="{00000000-0004-0000-0D00-000010020000}"/>
    <hyperlink ref="K532" r:id="rId530" xr:uid="{00000000-0004-0000-0D00-000011020000}"/>
    <hyperlink ref="K533" r:id="rId531" xr:uid="{00000000-0004-0000-0D00-000012020000}"/>
    <hyperlink ref="K534" r:id="rId532" xr:uid="{00000000-0004-0000-0D00-000013020000}"/>
    <hyperlink ref="K535" r:id="rId533" xr:uid="{00000000-0004-0000-0D00-000014020000}"/>
    <hyperlink ref="K536" r:id="rId534" xr:uid="{00000000-0004-0000-0D00-000015020000}"/>
    <hyperlink ref="K537" r:id="rId535" xr:uid="{00000000-0004-0000-0D00-000016020000}"/>
    <hyperlink ref="K538" r:id="rId536" xr:uid="{00000000-0004-0000-0D00-000017020000}"/>
    <hyperlink ref="K539" r:id="rId537" xr:uid="{00000000-0004-0000-0D00-000018020000}"/>
    <hyperlink ref="K540" r:id="rId538" xr:uid="{00000000-0004-0000-0D00-000019020000}"/>
    <hyperlink ref="K541" r:id="rId539" xr:uid="{00000000-0004-0000-0D00-00001A020000}"/>
    <hyperlink ref="K542" r:id="rId540" xr:uid="{00000000-0004-0000-0D00-00001B020000}"/>
    <hyperlink ref="K543" r:id="rId541" xr:uid="{00000000-0004-0000-0D00-00001C020000}"/>
    <hyperlink ref="K544" r:id="rId542" xr:uid="{00000000-0004-0000-0D00-00001D020000}"/>
    <hyperlink ref="K545" r:id="rId543" xr:uid="{00000000-0004-0000-0D00-00001E020000}"/>
    <hyperlink ref="K546" r:id="rId544" xr:uid="{00000000-0004-0000-0D00-00001F020000}"/>
    <hyperlink ref="K547" r:id="rId545" xr:uid="{00000000-0004-0000-0D00-000020020000}"/>
    <hyperlink ref="K548" r:id="rId546" xr:uid="{00000000-0004-0000-0D00-000021020000}"/>
    <hyperlink ref="K549" r:id="rId547" xr:uid="{00000000-0004-0000-0D00-000022020000}"/>
    <hyperlink ref="K550" r:id="rId548" xr:uid="{00000000-0004-0000-0D00-000023020000}"/>
    <hyperlink ref="K551" r:id="rId549" xr:uid="{00000000-0004-0000-0D00-000024020000}"/>
    <hyperlink ref="K552" r:id="rId550" xr:uid="{00000000-0004-0000-0D00-000025020000}"/>
    <hyperlink ref="K553" r:id="rId551" xr:uid="{00000000-0004-0000-0D00-000026020000}"/>
    <hyperlink ref="K554" r:id="rId552" xr:uid="{00000000-0004-0000-0D00-000027020000}"/>
    <hyperlink ref="K555" r:id="rId553" xr:uid="{00000000-0004-0000-0D00-000028020000}"/>
    <hyperlink ref="K556" r:id="rId554" xr:uid="{00000000-0004-0000-0D00-000029020000}"/>
    <hyperlink ref="K557" r:id="rId555" xr:uid="{00000000-0004-0000-0D00-00002A020000}"/>
    <hyperlink ref="K558" r:id="rId556" xr:uid="{00000000-0004-0000-0D00-00002B020000}"/>
    <hyperlink ref="K559" r:id="rId557" xr:uid="{00000000-0004-0000-0D00-00002C020000}"/>
    <hyperlink ref="K560" r:id="rId558" xr:uid="{00000000-0004-0000-0D00-00002D020000}"/>
    <hyperlink ref="K561" r:id="rId559" xr:uid="{00000000-0004-0000-0D00-00002E020000}"/>
    <hyperlink ref="K562" r:id="rId560" xr:uid="{00000000-0004-0000-0D00-00002F020000}"/>
    <hyperlink ref="K563" r:id="rId561" xr:uid="{00000000-0004-0000-0D00-000030020000}"/>
    <hyperlink ref="K564" r:id="rId562" xr:uid="{00000000-0004-0000-0D00-000031020000}"/>
    <hyperlink ref="K565" r:id="rId563" xr:uid="{00000000-0004-0000-0D00-000032020000}"/>
    <hyperlink ref="K566" r:id="rId564" xr:uid="{00000000-0004-0000-0D00-000033020000}"/>
    <hyperlink ref="K567" r:id="rId565" xr:uid="{00000000-0004-0000-0D00-000034020000}"/>
    <hyperlink ref="K568" r:id="rId566" xr:uid="{00000000-0004-0000-0D00-000035020000}"/>
    <hyperlink ref="K569" r:id="rId567" xr:uid="{00000000-0004-0000-0D00-000036020000}"/>
    <hyperlink ref="K570" r:id="rId568" xr:uid="{00000000-0004-0000-0D00-000037020000}"/>
    <hyperlink ref="K571" r:id="rId569" xr:uid="{00000000-0004-0000-0D00-000038020000}"/>
    <hyperlink ref="K572" r:id="rId570" xr:uid="{00000000-0004-0000-0D00-000039020000}"/>
    <hyperlink ref="K573" r:id="rId571" xr:uid="{00000000-0004-0000-0D00-00003A020000}"/>
    <hyperlink ref="K574" r:id="rId572" xr:uid="{00000000-0004-0000-0D00-00003B020000}"/>
    <hyperlink ref="K575" r:id="rId573" xr:uid="{00000000-0004-0000-0D00-00003C020000}"/>
    <hyperlink ref="K576" r:id="rId574" xr:uid="{00000000-0004-0000-0D00-00003D020000}"/>
    <hyperlink ref="K577" r:id="rId575" xr:uid="{00000000-0004-0000-0D00-00003E020000}"/>
    <hyperlink ref="K578" r:id="rId576" xr:uid="{00000000-0004-0000-0D00-00003F020000}"/>
    <hyperlink ref="K579" r:id="rId577" xr:uid="{00000000-0004-0000-0D00-000040020000}"/>
    <hyperlink ref="K580" r:id="rId578" xr:uid="{00000000-0004-0000-0D00-000041020000}"/>
    <hyperlink ref="K581" r:id="rId579" xr:uid="{00000000-0004-0000-0D00-000042020000}"/>
    <hyperlink ref="K582" r:id="rId580" xr:uid="{00000000-0004-0000-0D00-000043020000}"/>
    <hyperlink ref="K583" r:id="rId581" xr:uid="{00000000-0004-0000-0D00-000044020000}"/>
    <hyperlink ref="K584" r:id="rId582" xr:uid="{00000000-0004-0000-0D00-000045020000}"/>
    <hyperlink ref="K585" r:id="rId583" xr:uid="{00000000-0004-0000-0D00-000046020000}"/>
    <hyperlink ref="K586" r:id="rId584" xr:uid="{00000000-0004-0000-0D00-000047020000}"/>
    <hyperlink ref="K587" r:id="rId585" xr:uid="{00000000-0004-0000-0D00-000048020000}"/>
    <hyperlink ref="K588" r:id="rId586" xr:uid="{00000000-0004-0000-0D00-000049020000}"/>
    <hyperlink ref="K589" r:id="rId587" xr:uid="{00000000-0004-0000-0D00-00004A020000}"/>
    <hyperlink ref="K590" r:id="rId588" xr:uid="{00000000-0004-0000-0D00-00004B020000}"/>
    <hyperlink ref="K591" r:id="rId589" xr:uid="{00000000-0004-0000-0D00-00004C020000}"/>
    <hyperlink ref="K592" r:id="rId590" xr:uid="{00000000-0004-0000-0D00-00004D020000}"/>
    <hyperlink ref="K593" r:id="rId591" xr:uid="{00000000-0004-0000-0D00-00004E020000}"/>
    <hyperlink ref="K594" r:id="rId592" xr:uid="{00000000-0004-0000-0D00-00004F020000}"/>
    <hyperlink ref="K595" r:id="rId593" xr:uid="{00000000-0004-0000-0D00-000050020000}"/>
    <hyperlink ref="K596" r:id="rId594" xr:uid="{00000000-0004-0000-0D00-000051020000}"/>
    <hyperlink ref="K597" r:id="rId595" xr:uid="{00000000-0004-0000-0D00-000052020000}"/>
    <hyperlink ref="K598" r:id="rId596" xr:uid="{00000000-0004-0000-0D00-000053020000}"/>
    <hyperlink ref="K599" r:id="rId597" xr:uid="{00000000-0004-0000-0D00-000054020000}"/>
    <hyperlink ref="K600" r:id="rId598" xr:uid="{00000000-0004-0000-0D00-000055020000}"/>
    <hyperlink ref="K601" r:id="rId599" xr:uid="{00000000-0004-0000-0D00-000056020000}"/>
    <hyperlink ref="K602" r:id="rId600" xr:uid="{00000000-0004-0000-0D00-000057020000}"/>
    <hyperlink ref="K603" r:id="rId601" xr:uid="{00000000-0004-0000-0D00-000058020000}"/>
    <hyperlink ref="K604" r:id="rId602" xr:uid="{00000000-0004-0000-0D00-000059020000}"/>
    <hyperlink ref="K605" r:id="rId603" xr:uid="{00000000-0004-0000-0D00-00005A020000}"/>
    <hyperlink ref="K606" r:id="rId604" xr:uid="{00000000-0004-0000-0D00-00005B020000}"/>
    <hyperlink ref="K607" r:id="rId605" xr:uid="{00000000-0004-0000-0D00-00005C020000}"/>
    <hyperlink ref="K608" r:id="rId606" xr:uid="{00000000-0004-0000-0D00-00005D020000}"/>
    <hyperlink ref="K609" r:id="rId607" xr:uid="{00000000-0004-0000-0D00-00005E020000}"/>
    <hyperlink ref="K610" r:id="rId608" xr:uid="{00000000-0004-0000-0D00-00005F020000}"/>
    <hyperlink ref="K611" r:id="rId609" xr:uid="{00000000-0004-0000-0D00-000060020000}"/>
    <hyperlink ref="K612" r:id="rId610" xr:uid="{00000000-0004-0000-0D00-000061020000}"/>
    <hyperlink ref="K613" r:id="rId611" xr:uid="{00000000-0004-0000-0D00-000062020000}"/>
    <hyperlink ref="K614" r:id="rId612" xr:uid="{00000000-0004-0000-0D00-000063020000}"/>
    <hyperlink ref="K615" r:id="rId613" xr:uid="{00000000-0004-0000-0D00-000064020000}"/>
    <hyperlink ref="K616" r:id="rId614" xr:uid="{00000000-0004-0000-0D00-000065020000}"/>
    <hyperlink ref="K617" r:id="rId615" xr:uid="{00000000-0004-0000-0D00-000066020000}"/>
    <hyperlink ref="K618" r:id="rId616" xr:uid="{00000000-0004-0000-0D00-000067020000}"/>
    <hyperlink ref="K619" r:id="rId617" xr:uid="{00000000-0004-0000-0D00-000068020000}"/>
    <hyperlink ref="K620" r:id="rId618" xr:uid="{00000000-0004-0000-0D00-000069020000}"/>
    <hyperlink ref="K621" r:id="rId619" xr:uid="{00000000-0004-0000-0D00-00006A020000}"/>
    <hyperlink ref="K622" r:id="rId620" xr:uid="{00000000-0004-0000-0D00-00006B020000}"/>
    <hyperlink ref="K623" r:id="rId621" xr:uid="{00000000-0004-0000-0D00-00006C020000}"/>
    <hyperlink ref="K624" r:id="rId622" xr:uid="{00000000-0004-0000-0D00-00006D020000}"/>
    <hyperlink ref="K625" r:id="rId623" xr:uid="{00000000-0004-0000-0D00-00006E020000}"/>
    <hyperlink ref="K626" r:id="rId624" xr:uid="{00000000-0004-0000-0D00-00006F020000}"/>
    <hyperlink ref="K627" r:id="rId625" xr:uid="{00000000-0004-0000-0D00-000070020000}"/>
    <hyperlink ref="K628" r:id="rId626" xr:uid="{00000000-0004-0000-0D00-000071020000}"/>
    <hyperlink ref="K629" r:id="rId627" xr:uid="{00000000-0004-0000-0D00-000072020000}"/>
    <hyperlink ref="K630" r:id="rId628" xr:uid="{00000000-0004-0000-0D00-000073020000}"/>
    <hyperlink ref="K631" r:id="rId629" xr:uid="{00000000-0004-0000-0D00-000074020000}"/>
    <hyperlink ref="K632" r:id="rId630" xr:uid="{00000000-0004-0000-0D00-000075020000}"/>
    <hyperlink ref="K633" r:id="rId631" xr:uid="{00000000-0004-0000-0D00-000076020000}"/>
    <hyperlink ref="K634" r:id="rId632" xr:uid="{00000000-0004-0000-0D00-000077020000}"/>
    <hyperlink ref="K635" r:id="rId633" xr:uid="{00000000-0004-0000-0D00-000078020000}"/>
    <hyperlink ref="K636" r:id="rId634" xr:uid="{00000000-0004-0000-0D00-000079020000}"/>
    <hyperlink ref="K637" r:id="rId635" xr:uid="{00000000-0004-0000-0D00-00007A020000}"/>
    <hyperlink ref="K638" r:id="rId636" xr:uid="{00000000-0004-0000-0D00-00007B020000}"/>
    <hyperlink ref="K639" r:id="rId637" xr:uid="{00000000-0004-0000-0D00-00007C020000}"/>
    <hyperlink ref="K640" r:id="rId638" xr:uid="{00000000-0004-0000-0D00-00007D020000}"/>
    <hyperlink ref="K641" r:id="rId639" xr:uid="{00000000-0004-0000-0D00-00007E020000}"/>
    <hyperlink ref="K642" r:id="rId640" xr:uid="{00000000-0004-0000-0D00-00007F020000}"/>
    <hyperlink ref="K643" r:id="rId641" xr:uid="{00000000-0004-0000-0D00-000080020000}"/>
    <hyperlink ref="K644" r:id="rId642" xr:uid="{00000000-0004-0000-0D00-000081020000}"/>
    <hyperlink ref="K645" r:id="rId643" xr:uid="{00000000-0004-0000-0D00-000082020000}"/>
    <hyperlink ref="K646" r:id="rId644" xr:uid="{00000000-0004-0000-0D00-000083020000}"/>
    <hyperlink ref="K647" r:id="rId645" xr:uid="{00000000-0004-0000-0D00-000084020000}"/>
    <hyperlink ref="K648" r:id="rId646" xr:uid="{00000000-0004-0000-0D00-000085020000}"/>
    <hyperlink ref="K649" r:id="rId647" xr:uid="{00000000-0004-0000-0D00-000086020000}"/>
    <hyperlink ref="K650" r:id="rId648" xr:uid="{00000000-0004-0000-0D00-000087020000}"/>
    <hyperlink ref="K651" r:id="rId649" xr:uid="{00000000-0004-0000-0D00-000088020000}"/>
    <hyperlink ref="K652" r:id="rId650" xr:uid="{00000000-0004-0000-0D00-000089020000}"/>
    <hyperlink ref="K653" r:id="rId651" xr:uid="{00000000-0004-0000-0D00-00008A020000}"/>
    <hyperlink ref="K654" r:id="rId652" xr:uid="{00000000-0004-0000-0D00-00008B020000}"/>
    <hyperlink ref="K655" r:id="rId653" xr:uid="{00000000-0004-0000-0D00-00008C020000}"/>
    <hyperlink ref="K656" r:id="rId654" xr:uid="{00000000-0004-0000-0D00-00008D020000}"/>
    <hyperlink ref="K657" r:id="rId655" xr:uid="{00000000-0004-0000-0D00-00008E020000}"/>
    <hyperlink ref="K658" r:id="rId656" xr:uid="{00000000-0004-0000-0D00-00008F020000}"/>
    <hyperlink ref="K659" r:id="rId657" xr:uid="{00000000-0004-0000-0D00-000090020000}"/>
    <hyperlink ref="K660" r:id="rId658" xr:uid="{00000000-0004-0000-0D00-000091020000}"/>
    <hyperlink ref="K661" r:id="rId659" xr:uid="{00000000-0004-0000-0D00-000092020000}"/>
    <hyperlink ref="K662" r:id="rId660" xr:uid="{00000000-0004-0000-0D00-000093020000}"/>
    <hyperlink ref="K663" r:id="rId661" xr:uid="{00000000-0004-0000-0D00-000094020000}"/>
    <hyperlink ref="K664" r:id="rId662" xr:uid="{00000000-0004-0000-0D00-000095020000}"/>
    <hyperlink ref="K665" r:id="rId663" xr:uid="{00000000-0004-0000-0D00-000096020000}"/>
    <hyperlink ref="K666" r:id="rId664" xr:uid="{00000000-0004-0000-0D00-000097020000}"/>
    <hyperlink ref="K667" r:id="rId665" xr:uid="{00000000-0004-0000-0D00-000098020000}"/>
    <hyperlink ref="K668" r:id="rId666" xr:uid="{00000000-0004-0000-0D00-000099020000}"/>
    <hyperlink ref="K669" r:id="rId667" xr:uid="{00000000-0004-0000-0D00-00009A020000}"/>
    <hyperlink ref="K670" r:id="rId668" xr:uid="{00000000-0004-0000-0D00-00009B020000}"/>
    <hyperlink ref="K671" r:id="rId669" xr:uid="{00000000-0004-0000-0D00-00009C020000}"/>
    <hyperlink ref="K672" r:id="rId670" xr:uid="{00000000-0004-0000-0D00-00009D020000}"/>
    <hyperlink ref="K673" r:id="rId671" xr:uid="{00000000-0004-0000-0D00-00009E020000}"/>
    <hyperlink ref="K674" r:id="rId672" xr:uid="{00000000-0004-0000-0D00-00009F020000}"/>
    <hyperlink ref="K675" r:id="rId673" xr:uid="{00000000-0004-0000-0D00-0000A0020000}"/>
    <hyperlink ref="K676" r:id="rId674" xr:uid="{00000000-0004-0000-0D00-0000A1020000}"/>
    <hyperlink ref="K677" r:id="rId675" xr:uid="{00000000-0004-0000-0D00-0000A2020000}"/>
    <hyperlink ref="K678" r:id="rId676" xr:uid="{00000000-0004-0000-0D00-0000A3020000}"/>
    <hyperlink ref="K679" r:id="rId677" xr:uid="{00000000-0004-0000-0D00-0000A4020000}"/>
    <hyperlink ref="K680" r:id="rId678" xr:uid="{00000000-0004-0000-0D00-0000A5020000}"/>
    <hyperlink ref="K681" r:id="rId679" xr:uid="{00000000-0004-0000-0D00-0000A6020000}"/>
    <hyperlink ref="K682" r:id="rId680" xr:uid="{00000000-0004-0000-0D00-0000A7020000}"/>
    <hyperlink ref="K683" r:id="rId681" xr:uid="{00000000-0004-0000-0D00-0000A8020000}"/>
    <hyperlink ref="K684" r:id="rId682" xr:uid="{00000000-0004-0000-0D00-0000A9020000}"/>
    <hyperlink ref="K685" r:id="rId683" xr:uid="{00000000-0004-0000-0D00-0000AA020000}"/>
    <hyperlink ref="K686" r:id="rId684" xr:uid="{00000000-0004-0000-0D00-0000AB020000}"/>
    <hyperlink ref="K687" r:id="rId685" xr:uid="{00000000-0004-0000-0D00-0000AC020000}"/>
    <hyperlink ref="K688" r:id="rId686" xr:uid="{00000000-0004-0000-0D00-0000AD020000}"/>
    <hyperlink ref="K689" r:id="rId687" xr:uid="{00000000-0004-0000-0D00-0000AE020000}"/>
    <hyperlink ref="K690" r:id="rId688" xr:uid="{00000000-0004-0000-0D00-0000AF020000}"/>
    <hyperlink ref="K691" r:id="rId689" xr:uid="{00000000-0004-0000-0D00-0000B0020000}"/>
    <hyperlink ref="K692" r:id="rId690" xr:uid="{00000000-0004-0000-0D00-0000B1020000}"/>
    <hyperlink ref="K693" r:id="rId691" xr:uid="{00000000-0004-0000-0D00-0000B2020000}"/>
    <hyperlink ref="K694" r:id="rId692" xr:uid="{00000000-0004-0000-0D00-0000B3020000}"/>
    <hyperlink ref="K695" r:id="rId693" xr:uid="{00000000-0004-0000-0D00-0000B4020000}"/>
    <hyperlink ref="K696" r:id="rId694" xr:uid="{00000000-0004-0000-0D00-0000B5020000}"/>
    <hyperlink ref="K697" r:id="rId695" xr:uid="{00000000-0004-0000-0D00-0000B6020000}"/>
    <hyperlink ref="K698" r:id="rId696" xr:uid="{00000000-0004-0000-0D00-0000B7020000}"/>
    <hyperlink ref="K699" r:id="rId697" xr:uid="{00000000-0004-0000-0D00-0000B8020000}"/>
    <hyperlink ref="K700" r:id="rId698" xr:uid="{00000000-0004-0000-0D00-0000B9020000}"/>
    <hyperlink ref="K701" r:id="rId699" xr:uid="{00000000-0004-0000-0D00-0000BA020000}"/>
    <hyperlink ref="K702" r:id="rId700" xr:uid="{00000000-0004-0000-0D00-0000BB020000}"/>
    <hyperlink ref="K703" r:id="rId701" xr:uid="{00000000-0004-0000-0D00-0000BC020000}"/>
    <hyperlink ref="K704" r:id="rId702" xr:uid="{00000000-0004-0000-0D00-0000BD020000}"/>
    <hyperlink ref="K705" r:id="rId703" xr:uid="{00000000-0004-0000-0D00-0000BE020000}"/>
    <hyperlink ref="K706" r:id="rId704" xr:uid="{00000000-0004-0000-0D00-0000BF020000}"/>
    <hyperlink ref="K707" r:id="rId705" xr:uid="{00000000-0004-0000-0D00-0000C0020000}"/>
    <hyperlink ref="K708" r:id="rId706" xr:uid="{00000000-0004-0000-0D00-0000C1020000}"/>
    <hyperlink ref="K709" r:id="rId707" xr:uid="{00000000-0004-0000-0D00-0000C2020000}"/>
    <hyperlink ref="K710" r:id="rId708" xr:uid="{00000000-0004-0000-0D00-0000C3020000}"/>
    <hyperlink ref="K711" r:id="rId709" xr:uid="{00000000-0004-0000-0D00-0000C4020000}"/>
    <hyperlink ref="K712" r:id="rId710" xr:uid="{00000000-0004-0000-0D00-0000C5020000}"/>
    <hyperlink ref="K713" r:id="rId711" xr:uid="{00000000-0004-0000-0D00-0000C6020000}"/>
    <hyperlink ref="K714" r:id="rId712" xr:uid="{00000000-0004-0000-0D00-0000C7020000}"/>
    <hyperlink ref="K715" r:id="rId713" xr:uid="{00000000-0004-0000-0D00-0000C8020000}"/>
    <hyperlink ref="K716" r:id="rId714" xr:uid="{00000000-0004-0000-0D00-0000C9020000}"/>
    <hyperlink ref="K717" r:id="rId715" xr:uid="{00000000-0004-0000-0D00-0000CA020000}"/>
    <hyperlink ref="K718" r:id="rId716" xr:uid="{00000000-0004-0000-0D00-0000CB020000}"/>
    <hyperlink ref="K719" r:id="rId717" xr:uid="{00000000-0004-0000-0D00-0000CC020000}"/>
    <hyperlink ref="K720" r:id="rId718" xr:uid="{00000000-0004-0000-0D00-0000CD020000}"/>
    <hyperlink ref="K721" r:id="rId719" xr:uid="{00000000-0004-0000-0D00-0000CE020000}"/>
    <hyperlink ref="K722" r:id="rId720" xr:uid="{00000000-0004-0000-0D00-0000CF020000}"/>
    <hyperlink ref="K723" r:id="rId721" xr:uid="{00000000-0004-0000-0D00-0000D0020000}"/>
    <hyperlink ref="K724" r:id="rId722" xr:uid="{00000000-0004-0000-0D00-0000D1020000}"/>
    <hyperlink ref="K725" r:id="rId723" xr:uid="{00000000-0004-0000-0D00-0000D2020000}"/>
    <hyperlink ref="K726" r:id="rId724" xr:uid="{00000000-0004-0000-0D00-0000D3020000}"/>
    <hyperlink ref="K727" r:id="rId725" xr:uid="{00000000-0004-0000-0D00-0000D4020000}"/>
    <hyperlink ref="K728" r:id="rId726" xr:uid="{00000000-0004-0000-0D00-0000D5020000}"/>
    <hyperlink ref="K729" r:id="rId727" xr:uid="{00000000-0004-0000-0D00-0000D6020000}"/>
    <hyperlink ref="K730" r:id="rId728" xr:uid="{00000000-0004-0000-0D00-0000D7020000}"/>
    <hyperlink ref="K731" r:id="rId729" xr:uid="{00000000-0004-0000-0D00-0000D8020000}"/>
    <hyperlink ref="K732" r:id="rId730" xr:uid="{00000000-0004-0000-0D00-0000D9020000}"/>
    <hyperlink ref="K733" r:id="rId731" xr:uid="{00000000-0004-0000-0D00-0000DA020000}"/>
    <hyperlink ref="K734" r:id="rId732" xr:uid="{00000000-0004-0000-0D00-0000DB020000}"/>
    <hyperlink ref="K735" r:id="rId733" xr:uid="{00000000-0004-0000-0D00-0000DC020000}"/>
    <hyperlink ref="K736" r:id="rId734" xr:uid="{00000000-0004-0000-0D00-0000DD020000}"/>
    <hyperlink ref="K737" r:id="rId735" xr:uid="{00000000-0004-0000-0D00-0000DE020000}"/>
    <hyperlink ref="K738" r:id="rId736" xr:uid="{00000000-0004-0000-0D00-0000DF020000}"/>
    <hyperlink ref="K739" r:id="rId737" xr:uid="{00000000-0004-0000-0D00-0000E0020000}"/>
    <hyperlink ref="K740" r:id="rId738" xr:uid="{00000000-0004-0000-0D00-0000E1020000}"/>
    <hyperlink ref="K741" r:id="rId739" xr:uid="{00000000-0004-0000-0D00-0000E2020000}"/>
    <hyperlink ref="K742" r:id="rId740" xr:uid="{00000000-0004-0000-0D00-0000E3020000}"/>
    <hyperlink ref="K743" r:id="rId741" xr:uid="{00000000-0004-0000-0D00-0000E4020000}"/>
    <hyperlink ref="K744" r:id="rId742" xr:uid="{00000000-0004-0000-0D00-0000E5020000}"/>
    <hyperlink ref="K745" r:id="rId743" xr:uid="{00000000-0004-0000-0D00-0000E6020000}"/>
    <hyperlink ref="K746" r:id="rId744" xr:uid="{00000000-0004-0000-0D00-0000E7020000}"/>
    <hyperlink ref="K747" r:id="rId745" xr:uid="{00000000-0004-0000-0D00-0000E8020000}"/>
    <hyperlink ref="K748" r:id="rId746" xr:uid="{00000000-0004-0000-0D00-0000E9020000}"/>
    <hyperlink ref="K749" r:id="rId747" xr:uid="{00000000-0004-0000-0D00-0000EA020000}"/>
    <hyperlink ref="K750" r:id="rId748" xr:uid="{00000000-0004-0000-0D00-0000EB020000}"/>
    <hyperlink ref="K751" r:id="rId749" xr:uid="{00000000-0004-0000-0D00-0000EC020000}"/>
    <hyperlink ref="K752" r:id="rId750" xr:uid="{00000000-0004-0000-0D00-0000ED020000}"/>
    <hyperlink ref="K753" r:id="rId751" xr:uid="{00000000-0004-0000-0D00-0000EE020000}"/>
    <hyperlink ref="K754" r:id="rId752" xr:uid="{00000000-0004-0000-0D00-0000EF020000}"/>
    <hyperlink ref="K755" r:id="rId753" xr:uid="{00000000-0004-0000-0D00-0000F0020000}"/>
    <hyperlink ref="K756" r:id="rId754" xr:uid="{00000000-0004-0000-0D00-0000F1020000}"/>
    <hyperlink ref="K757" r:id="rId755" xr:uid="{00000000-0004-0000-0D00-0000F2020000}"/>
    <hyperlink ref="K758" r:id="rId756" xr:uid="{00000000-0004-0000-0D00-0000F3020000}"/>
    <hyperlink ref="K759" r:id="rId757" xr:uid="{00000000-0004-0000-0D00-0000F4020000}"/>
    <hyperlink ref="K760" r:id="rId758" xr:uid="{00000000-0004-0000-0D00-0000F5020000}"/>
    <hyperlink ref="K761" r:id="rId759" xr:uid="{00000000-0004-0000-0D00-0000F6020000}"/>
    <hyperlink ref="K762" r:id="rId760" xr:uid="{00000000-0004-0000-0D00-0000F7020000}"/>
    <hyperlink ref="K763" r:id="rId761" xr:uid="{00000000-0004-0000-0D00-0000F8020000}"/>
    <hyperlink ref="K764" r:id="rId762" xr:uid="{00000000-0004-0000-0D00-0000F9020000}"/>
    <hyperlink ref="K765" r:id="rId763" xr:uid="{00000000-0004-0000-0D00-0000FA020000}"/>
    <hyperlink ref="K766" r:id="rId764" xr:uid="{00000000-0004-0000-0D00-0000FB020000}"/>
    <hyperlink ref="K767" r:id="rId765" xr:uid="{00000000-0004-0000-0D00-0000FC020000}"/>
    <hyperlink ref="K768" r:id="rId766" xr:uid="{00000000-0004-0000-0D00-0000FD020000}"/>
    <hyperlink ref="K769" r:id="rId767" xr:uid="{00000000-0004-0000-0D00-0000FE020000}"/>
    <hyperlink ref="K770" r:id="rId768" xr:uid="{00000000-0004-0000-0D00-0000FF020000}"/>
    <hyperlink ref="K771" r:id="rId769" xr:uid="{00000000-0004-0000-0D00-000000030000}"/>
    <hyperlink ref="K772" r:id="rId770" xr:uid="{00000000-0004-0000-0D00-000001030000}"/>
    <hyperlink ref="K773" r:id="rId771" xr:uid="{00000000-0004-0000-0D00-000002030000}"/>
    <hyperlink ref="K774" r:id="rId772" xr:uid="{00000000-0004-0000-0D00-000003030000}"/>
    <hyperlink ref="K775" r:id="rId773" xr:uid="{00000000-0004-0000-0D00-000004030000}"/>
    <hyperlink ref="K776" r:id="rId774" xr:uid="{00000000-0004-0000-0D00-000005030000}"/>
    <hyperlink ref="K777" r:id="rId775" xr:uid="{00000000-0004-0000-0D00-000006030000}"/>
    <hyperlink ref="K778" r:id="rId776" xr:uid="{00000000-0004-0000-0D00-000007030000}"/>
    <hyperlink ref="K779" r:id="rId777" xr:uid="{00000000-0004-0000-0D00-000008030000}"/>
    <hyperlink ref="K780" r:id="rId778" xr:uid="{00000000-0004-0000-0D00-000009030000}"/>
    <hyperlink ref="K781" r:id="rId779" xr:uid="{00000000-0004-0000-0D00-00000A030000}"/>
    <hyperlink ref="K782" r:id="rId780" xr:uid="{00000000-0004-0000-0D00-00000B030000}"/>
    <hyperlink ref="K783" r:id="rId781" xr:uid="{00000000-0004-0000-0D00-00000C030000}"/>
    <hyperlink ref="K784" r:id="rId782" xr:uid="{00000000-0004-0000-0D00-00000D030000}"/>
    <hyperlink ref="K785" r:id="rId783" xr:uid="{00000000-0004-0000-0D00-00000E030000}"/>
    <hyperlink ref="K786" r:id="rId784" xr:uid="{00000000-0004-0000-0D00-00000F030000}"/>
    <hyperlink ref="K787" r:id="rId785" xr:uid="{00000000-0004-0000-0D00-000010030000}"/>
    <hyperlink ref="K788" r:id="rId786" xr:uid="{00000000-0004-0000-0D00-000011030000}"/>
    <hyperlink ref="K789" r:id="rId787" xr:uid="{00000000-0004-0000-0D00-000012030000}"/>
    <hyperlink ref="K790" r:id="rId788" xr:uid="{00000000-0004-0000-0D00-000013030000}"/>
    <hyperlink ref="K791" r:id="rId789" xr:uid="{00000000-0004-0000-0D00-000014030000}"/>
    <hyperlink ref="K792" r:id="rId790" xr:uid="{00000000-0004-0000-0D00-000015030000}"/>
    <hyperlink ref="K793" r:id="rId791" xr:uid="{00000000-0004-0000-0D00-000016030000}"/>
    <hyperlink ref="K794" r:id="rId792" xr:uid="{00000000-0004-0000-0D00-000017030000}"/>
    <hyperlink ref="K795" r:id="rId793" xr:uid="{00000000-0004-0000-0D00-000018030000}"/>
    <hyperlink ref="K796" r:id="rId794" xr:uid="{00000000-0004-0000-0D00-000019030000}"/>
    <hyperlink ref="K797" r:id="rId795" xr:uid="{00000000-0004-0000-0D00-00001A030000}"/>
    <hyperlink ref="K798" r:id="rId796" xr:uid="{00000000-0004-0000-0D00-00001B030000}"/>
    <hyperlink ref="K799" r:id="rId797" xr:uid="{00000000-0004-0000-0D00-00001C030000}"/>
    <hyperlink ref="K800" r:id="rId798" xr:uid="{00000000-0004-0000-0D00-00001D030000}"/>
    <hyperlink ref="K801" r:id="rId799" xr:uid="{00000000-0004-0000-0D00-00001E030000}"/>
    <hyperlink ref="K802" r:id="rId800" xr:uid="{00000000-0004-0000-0D00-00001F030000}"/>
    <hyperlink ref="K803" r:id="rId801" xr:uid="{00000000-0004-0000-0D00-000020030000}"/>
    <hyperlink ref="K804" r:id="rId802" xr:uid="{00000000-0004-0000-0D00-000021030000}"/>
    <hyperlink ref="K805" r:id="rId803" xr:uid="{00000000-0004-0000-0D00-000022030000}"/>
    <hyperlink ref="K806" r:id="rId804" xr:uid="{00000000-0004-0000-0D00-000023030000}"/>
    <hyperlink ref="K807" r:id="rId805" xr:uid="{00000000-0004-0000-0D00-000024030000}"/>
    <hyperlink ref="K808" r:id="rId806" xr:uid="{00000000-0004-0000-0D00-000025030000}"/>
    <hyperlink ref="K809" r:id="rId807" xr:uid="{00000000-0004-0000-0D00-000026030000}"/>
    <hyperlink ref="K810" r:id="rId808" xr:uid="{00000000-0004-0000-0D00-000027030000}"/>
    <hyperlink ref="K811" r:id="rId809" xr:uid="{00000000-0004-0000-0D00-000028030000}"/>
    <hyperlink ref="K812" r:id="rId810" xr:uid="{00000000-0004-0000-0D00-000029030000}"/>
    <hyperlink ref="K813" r:id="rId811" xr:uid="{00000000-0004-0000-0D00-00002A030000}"/>
    <hyperlink ref="K814" r:id="rId812" xr:uid="{00000000-0004-0000-0D00-00002B030000}"/>
    <hyperlink ref="K815" r:id="rId813" xr:uid="{00000000-0004-0000-0D00-00002C030000}"/>
    <hyperlink ref="K816" r:id="rId814" xr:uid="{00000000-0004-0000-0D00-00002D030000}"/>
    <hyperlink ref="K817" r:id="rId815" xr:uid="{00000000-0004-0000-0D00-00002E030000}"/>
    <hyperlink ref="K818" r:id="rId816" xr:uid="{00000000-0004-0000-0D00-00002F030000}"/>
    <hyperlink ref="K819" r:id="rId817" xr:uid="{00000000-0004-0000-0D00-000030030000}"/>
    <hyperlink ref="K820" r:id="rId818" xr:uid="{00000000-0004-0000-0D00-000031030000}"/>
    <hyperlink ref="K821" r:id="rId819" xr:uid="{00000000-0004-0000-0D00-000032030000}"/>
    <hyperlink ref="K822" r:id="rId820" xr:uid="{00000000-0004-0000-0D00-000033030000}"/>
    <hyperlink ref="K823" r:id="rId821" xr:uid="{00000000-0004-0000-0D00-000034030000}"/>
    <hyperlink ref="K824" r:id="rId822" xr:uid="{00000000-0004-0000-0D00-000035030000}"/>
    <hyperlink ref="K825" r:id="rId823" xr:uid="{00000000-0004-0000-0D00-000036030000}"/>
    <hyperlink ref="K826" r:id="rId824" xr:uid="{00000000-0004-0000-0D00-000037030000}"/>
    <hyperlink ref="K827" r:id="rId825" xr:uid="{00000000-0004-0000-0D00-000038030000}"/>
    <hyperlink ref="K828" r:id="rId826" xr:uid="{00000000-0004-0000-0D00-000039030000}"/>
    <hyperlink ref="K829" r:id="rId827" xr:uid="{00000000-0004-0000-0D00-00003A030000}"/>
    <hyperlink ref="K830" r:id="rId828" xr:uid="{00000000-0004-0000-0D00-00003B030000}"/>
    <hyperlink ref="K831" r:id="rId829" xr:uid="{00000000-0004-0000-0D00-00003C030000}"/>
    <hyperlink ref="K832" r:id="rId830" xr:uid="{00000000-0004-0000-0D00-00003D030000}"/>
    <hyperlink ref="K833" r:id="rId831" xr:uid="{00000000-0004-0000-0D00-00003E030000}"/>
    <hyperlink ref="K834" r:id="rId832" xr:uid="{00000000-0004-0000-0D00-00003F030000}"/>
    <hyperlink ref="K835" r:id="rId833" xr:uid="{00000000-0004-0000-0D00-000040030000}"/>
    <hyperlink ref="K836" r:id="rId834" xr:uid="{00000000-0004-0000-0D00-000041030000}"/>
    <hyperlink ref="K837" r:id="rId835" xr:uid="{00000000-0004-0000-0D00-000042030000}"/>
    <hyperlink ref="K838" r:id="rId836" xr:uid="{00000000-0004-0000-0D00-000043030000}"/>
    <hyperlink ref="K839" r:id="rId837" xr:uid="{00000000-0004-0000-0D00-000044030000}"/>
    <hyperlink ref="K840" r:id="rId838" xr:uid="{00000000-0004-0000-0D00-000045030000}"/>
    <hyperlink ref="K841" r:id="rId839" xr:uid="{00000000-0004-0000-0D00-000046030000}"/>
    <hyperlink ref="K842" r:id="rId840" xr:uid="{00000000-0004-0000-0D00-000047030000}"/>
    <hyperlink ref="K843" r:id="rId841" xr:uid="{00000000-0004-0000-0D00-000048030000}"/>
    <hyperlink ref="K844" r:id="rId842" xr:uid="{00000000-0004-0000-0D00-000049030000}"/>
    <hyperlink ref="K845" r:id="rId843" xr:uid="{00000000-0004-0000-0D00-00004A030000}"/>
    <hyperlink ref="K846" r:id="rId844" xr:uid="{00000000-0004-0000-0D00-00004B030000}"/>
    <hyperlink ref="K847" r:id="rId845" xr:uid="{00000000-0004-0000-0D00-00004C030000}"/>
    <hyperlink ref="K848" r:id="rId846" xr:uid="{00000000-0004-0000-0D00-00004D030000}"/>
    <hyperlink ref="K849" r:id="rId847" xr:uid="{00000000-0004-0000-0D00-00004E030000}"/>
    <hyperlink ref="K850" r:id="rId848" xr:uid="{00000000-0004-0000-0D00-00004F030000}"/>
    <hyperlink ref="K851" r:id="rId849" xr:uid="{00000000-0004-0000-0D00-000050030000}"/>
    <hyperlink ref="K852" r:id="rId850" xr:uid="{00000000-0004-0000-0D00-000051030000}"/>
    <hyperlink ref="K853" r:id="rId851" xr:uid="{00000000-0004-0000-0D00-000052030000}"/>
    <hyperlink ref="K854" r:id="rId852" xr:uid="{00000000-0004-0000-0D00-000053030000}"/>
    <hyperlink ref="K855" r:id="rId853" xr:uid="{00000000-0004-0000-0D00-000054030000}"/>
    <hyperlink ref="K856" r:id="rId854" xr:uid="{00000000-0004-0000-0D00-000055030000}"/>
    <hyperlink ref="K857" r:id="rId855" xr:uid="{00000000-0004-0000-0D00-000056030000}"/>
    <hyperlink ref="K858" r:id="rId856" xr:uid="{00000000-0004-0000-0D00-000057030000}"/>
    <hyperlink ref="K859" r:id="rId857" xr:uid="{00000000-0004-0000-0D00-000058030000}"/>
    <hyperlink ref="K860" r:id="rId858" xr:uid="{00000000-0004-0000-0D00-000059030000}"/>
    <hyperlink ref="K861" r:id="rId859" xr:uid="{00000000-0004-0000-0D00-00005A030000}"/>
    <hyperlink ref="K862" r:id="rId860" xr:uid="{00000000-0004-0000-0D00-00005B030000}"/>
    <hyperlink ref="K863" r:id="rId861" xr:uid="{00000000-0004-0000-0D00-00005C030000}"/>
    <hyperlink ref="K864" r:id="rId862" xr:uid="{00000000-0004-0000-0D00-00005D030000}"/>
    <hyperlink ref="K865" r:id="rId863" xr:uid="{00000000-0004-0000-0D00-00005E030000}"/>
    <hyperlink ref="K866" r:id="rId864" xr:uid="{00000000-0004-0000-0D00-00005F030000}"/>
    <hyperlink ref="K867" r:id="rId865" xr:uid="{00000000-0004-0000-0D00-000060030000}"/>
    <hyperlink ref="K868" r:id="rId866" xr:uid="{00000000-0004-0000-0D00-000061030000}"/>
    <hyperlink ref="K869" r:id="rId867" xr:uid="{00000000-0004-0000-0D00-000062030000}"/>
    <hyperlink ref="K870" r:id="rId868" xr:uid="{00000000-0004-0000-0D00-000063030000}"/>
    <hyperlink ref="K871" r:id="rId869" xr:uid="{00000000-0004-0000-0D00-000064030000}"/>
    <hyperlink ref="K872" r:id="rId870" xr:uid="{00000000-0004-0000-0D00-000065030000}"/>
    <hyperlink ref="K873" r:id="rId871" xr:uid="{00000000-0004-0000-0D00-000066030000}"/>
    <hyperlink ref="K874" r:id="rId872" xr:uid="{00000000-0004-0000-0D00-000067030000}"/>
    <hyperlink ref="K875" r:id="rId873" xr:uid="{00000000-0004-0000-0D00-000068030000}"/>
    <hyperlink ref="K876" r:id="rId874" xr:uid="{00000000-0004-0000-0D00-000069030000}"/>
    <hyperlink ref="K877" r:id="rId875" xr:uid="{00000000-0004-0000-0D00-00006A030000}"/>
    <hyperlink ref="K878" r:id="rId876" xr:uid="{00000000-0004-0000-0D00-00006B030000}"/>
    <hyperlink ref="K879" r:id="rId877" xr:uid="{00000000-0004-0000-0D00-00006C030000}"/>
    <hyperlink ref="K880" r:id="rId878" xr:uid="{00000000-0004-0000-0D00-00006D030000}"/>
    <hyperlink ref="K881" r:id="rId879" xr:uid="{00000000-0004-0000-0D00-00006E030000}"/>
    <hyperlink ref="K882" r:id="rId880" xr:uid="{00000000-0004-0000-0D00-00006F030000}"/>
    <hyperlink ref="K883" r:id="rId881" xr:uid="{00000000-0004-0000-0D00-000070030000}"/>
    <hyperlink ref="K884" r:id="rId882" xr:uid="{00000000-0004-0000-0D00-000071030000}"/>
    <hyperlink ref="K885" r:id="rId883" xr:uid="{00000000-0004-0000-0D00-000072030000}"/>
    <hyperlink ref="K886" r:id="rId884" xr:uid="{00000000-0004-0000-0D00-000073030000}"/>
    <hyperlink ref="K887" r:id="rId885" xr:uid="{00000000-0004-0000-0D00-000074030000}"/>
    <hyperlink ref="K888" r:id="rId886" xr:uid="{00000000-0004-0000-0D00-000075030000}"/>
    <hyperlink ref="K889" r:id="rId887" xr:uid="{00000000-0004-0000-0D00-000076030000}"/>
    <hyperlink ref="K890" r:id="rId888" xr:uid="{00000000-0004-0000-0D00-000077030000}"/>
    <hyperlink ref="K891" r:id="rId889" xr:uid="{00000000-0004-0000-0D00-000078030000}"/>
    <hyperlink ref="K892" r:id="rId890" xr:uid="{00000000-0004-0000-0D00-000079030000}"/>
    <hyperlink ref="K893" r:id="rId891" xr:uid="{00000000-0004-0000-0D00-00007A030000}"/>
    <hyperlink ref="K894" r:id="rId892" xr:uid="{00000000-0004-0000-0D00-00007B030000}"/>
    <hyperlink ref="K895" r:id="rId893" xr:uid="{00000000-0004-0000-0D00-00007C030000}"/>
    <hyperlink ref="K896" r:id="rId894" xr:uid="{00000000-0004-0000-0D00-00007D030000}"/>
    <hyperlink ref="K897" r:id="rId895" xr:uid="{00000000-0004-0000-0D00-00007E030000}"/>
    <hyperlink ref="K898" r:id="rId896" xr:uid="{00000000-0004-0000-0D00-00007F030000}"/>
    <hyperlink ref="K899" r:id="rId897" xr:uid="{00000000-0004-0000-0D00-000080030000}"/>
    <hyperlink ref="K900" r:id="rId898" xr:uid="{00000000-0004-0000-0D00-000081030000}"/>
    <hyperlink ref="K901" r:id="rId899" xr:uid="{00000000-0004-0000-0D00-000082030000}"/>
    <hyperlink ref="K902" r:id="rId900" xr:uid="{00000000-0004-0000-0D00-000083030000}"/>
    <hyperlink ref="K903" r:id="rId901" xr:uid="{00000000-0004-0000-0D00-000084030000}"/>
    <hyperlink ref="K904" r:id="rId902" xr:uid="{00000000-0004-0000-0D00-000085030000}"/>
    <hyperlink ref="K905" r:id="rId903" xr:uid="{00000000-0004-0000-0D00-000086030000}"/>
    <hyperlink ref="K906" r:id="rId904" xr:uid="{00000000-0004-0000-0D00-000087030000}"/>
    <hyperlink ref="K907" r:id="rId905" xr:uid="{00000000-0004-0000-0D00-000088030000}"/>
    <hyperlink ref="K908" r:id="rId906" xr:uid="{00000000-0004-0000-0D00-000089030000}"/>
    <hyperlink ref="K909" r:id="rId907" xr:uid="{00000000-0004-0000-0D00-00008A030000}"/>
    <hyperlink ref="K910" r:id="rId908" xr:uid="{00000000-0004-0000-0D00-00008B030000}"/>
    <hyperlink ref="K911" r:id="rId909" xr:uid="{00000000-0004-0000-0D00-00008C030000}"/>
    <hyperlink ref="K912" r:id="rId910" xr:uid="{00000000-0004-0000-0D00-00008D030000}"/>
    <hyperlink ref="K913" r:id="rId911" xr:uid="{00000000-0004-0000-0D00-00008E030000}"/>
    <hyperlink ref="K914" r:id="rId912" xr:uid="{00000000-0004-0000-0D00-00008F030000}"/>
    <hyperlink ref="K915" r:id="rId913" xr:uid="{00000000-0004-0000-0D00-000090030000}"/>
    <hyperlink ref="K916" r:id="rId914" xr:uid="{00000000-0004-0000-0D00-000091030000}"/>
    <hyperlink ref="K917" r:id="rId915" xr:uid="{00000000-0004-0000-0D00-000092030000}"/>
    <hyperlink ref="K918" r:id="rId916" xr:uid="{00000000-0004-0000-0D00-000093030000}"/>
    <hyperlink ref="K919" r:id="rId917" xr:uid="{00000000-0004-0000-0D00-000094030000}"/>
    <hyperlink ref="K920" r:id="rId918" xr:uid="{00000000-0004-0000-0D00-000095030000}"/>
    <hyperlink ref="K921" r:id="rId919" xr:uid="{00000000-0004-0000-0D00-000096030000}"/>
    <hyperlink ref="K922" r:id="rId920" xr:uid="{00000000-0004-0000-0D00-000097030000}"/>
    <hyperlink ref="K923" r:id="rId921" xr:uid="{00000000-0004-0000-0D00-000098030000}"/>
    <hyperlink ref="K924" r:id="rId922" xr:uid="{00000000-0004-0000-0D00-000099030000}"/>
    <hyperlink ref="K925" r:id="rId923" xr:uid="{00000000-0004-0000-0D00-00009A030000}"/>
    <hyperlink ref="K926" r:id="rId924" xr:uid="{00000000-0004-0000-0D00-00009B030000}"/>
    <hyperlink ref="K927" r:id="rId925" xr:uid="{00000000-0004-0000-0D00-00009C030000}"/>
    <hyperlink ref="K928" r:id="rId926" xr:uid="{00000000-0004-0000-0D00-00009D030000}"/>
    <hyperlink ref="K929" r:id="rId927" xr:uid="{00000000-0004-0000-0D00-00009E030000}"/>
    <hyperlink ref="K930" r:id="rId928" xr:uid="{00000000-0004-0000-0D00-00009F030000}"/>
    <hyperlink ref="K931" r:id="rId929" xr:uid="{00000000-0004-0000-0D00-0000A0030000}"/>
    <hyperlink ref="K932" r:id="rId930" xr:uid="{00000000-0004-0000-0D00-0000A1030000}"/>
    <hyperlink ref="K933" r:id="rId931" xr:uid="{00000000-0004-0000-0D00-0000A2030000}"/>
    <hyperlink ref="K934" r:id="rId932" xr:uid="{00000000-0004-0000-0D00-0000A3030000}"/>
    <hyperlink ref="K935" r:id="rId933" xr:uid="{00000000-0004-0000-0D00-0000A4030000}"/>
    <hyperlink ref="K936" r:id="rId934" xr:uid="{00000000-0004-0000-0D00-0000A5030000}"/>
    <hyperlink ref="K937" r:id="rId935" xr:uid="{00000000-0004-0000-0D00-0000A6030000}"/>
    <hyperlink ref="K938" r:id="rId936" xr:uid="{00000000-0004-0000-0D00-0000A7030000}"/>
    <hyperlink ref="K939" r:id="rId937" xr:uid="{00000000-0004-0000-0D00-0000A8030000}"/>
    <hyperlink ref="K940" r:id="rId938" xr:uid="{00000000-0004-0000-0D00-0000A9030000}"/>
    <hyperlink ref="K941" r:id="rId939" xr:uid="{00000000-0004-0000-0D00-0000AA030000}"/>
    <hyperlink ref="K942" r:id="rId940" xr:uid="{00000000-0004-0000-0D00-0000AB030000}"/>
    <hyperlink ref="K943" r:id="rId941" xr:uid="{00000000-0004-0000-0D00-0000AC030000}"/>
    <hyperlink ref="K944" r:id="rId942" xr:uid="{00000000-0004-0000-0D00-0000AD030000}"/>
    <hyperlink ref="K945" r:id="rId943" xr:uid="{00000000-0004-0000-0D00-0000AE030000}"/>
    <hyperlink ref="K946" r:id="rId944" xr:uid="{00000000-0004-0000-0D00-0000AF030000}"/>
    <hyperlink ref="K947" r:id="rId945" xr:uid="{00000000-0004-0000-0D00-0000B0030000}"/>
    <hyperlink ref="K948" r:id="rId946" xr:uid="{00000000-0004-0000-0D00-0000B1030000}"/>
    <hyperlink ref="K949" r:id="rId947" xr:uid="{00000000-0004-0000-0D00-0000B2030000}"/>
    <hyperlink ref="K950" r:id="rId948" xr:uid="{00000000-0004-0000-0D00-0000B3030000}"/>
    <hyperlink ref="K951" r:id="rId949" xr:uid="{00000000-0004-0000-0D00-0000B4030000}"/>
    <hyperlink ref="K952" r:id="rId950" xr:uid="{00000000-0004-0000-0D00-0000B5030000}"/>
    <hyperlink ref="K953" r:id="rId951" xr:uid="{00000000-0004-0000-0D00-0000B6030000}"/>
    <hyperlink ref="K954" r:id="rId952" xr:uid="{00000000-0004-0000-0D00-0000B7030000}"/>
    <hyperlink ref="K955" r:id="rId953" xr:uid="{00000000-0004-0000-0D00-0000B8030000}"/>
    <hyperlink ref="K956" r:id="rId954" xr:uid="{00000000-0004-0000-0D00-0000B9030000}"/>
    <hyperlink ref="K957" r:id="rId955" xr:uid="{00000000-0004-0000-0D00-0000BA030000}"/>
    <hyperlink ref="K958" r:id="rId956" xr:uid="{00000000-0004-0000-0D00-0000BB030000}"/>
    <hyperlink ref="K959" r:id="rId957" xr:uid="{00000000-0004-0000-0D00-0000BC030000}"/>
    <hyperlink ref="K960" r:id="rId958" xr:uid="{00000000-0004-0000-0D00-0000BD030000}"/>
    <hyperlink ref="K961" r:id="rId959" xr:uid="{00000000-0004-0000-0D00-0000BE030000}"/>
    <hyperlink ref="K962" r:id="rId960" xr:uid="{00000000-0004-0000-0D00-0000BF030000}"/>
    <hyperlink ref="K963" r:id="rId961" xr:uid="{00000000-0004-0000-0D00-0000C0030000}"/>
    <hyperlink ref="K964" r:id="rId962" xr:uid="{00000000-0004-0000-0D00-0000C1030000}"/>
    <hyperlink ref="K965" r:id="rId963" xr:uid="{00000000-0004-0000-0D00-0000C2030000}"/>
    <hyperlink ref="K966" r:id="rId964" xr:uid="{00000000-0004-0000-0D00-0000C3030000}"/>
    <hyperlink ref="K967" r:id="rId965" xr:uid="{00000000-0004-0000-0D00-0000C4030000}"/>
    <hyperlink ref="K968" r:id="rId966" xr:uid="{00000000-0004-0000-0D00-0000C5030000}"/>
    <hyperlink ref="K969" r:id="rId967" xr:uid="{00000000-0004-0000-0D00-0000C6030000}"/>
    <hyperlink ref="K970" r:id="rId968" xr:uid="{00000000-0004-0000-0D00-0000C7030000}"/>
    <hyperlink ref="K971" r:id="rId969" xr:uid="{00000000-0004-0000-0D00-0000C8030000}"/>
    <hyperlink ref="K972" r:id="rId970" xr:uid="{00000000-0004-0000-0D00-0000C9030000}"/>
    <hyperlink ref="K973" r:id="rId971" xr:uid="{00000000-0004-0000-0D00-0000CA030000}"/>
    <hyperlink ref="K974" r:id="rId972" xr:uid="{00000000-0004-0000-0D00-0000CB030000}"/>
    <hyperlink ref="K975" r:id="rId973" xr:uid="{00000000-0004-0000-0D00-0000CC030000}"/>
    <hyperlink ref="K976" r:id="rId974" xr:uid="{00000000-0004-0000-0D00-0000CD030000}"/>
    <hyperlink ref="K977" r:id="rId975" xr:uid="{00000000-0004-0000-0D00-0000CE030000}"/>
    <hyperlink ref="K978" r:id="rId976" xr:uid="{00000000-0004-0000-0D00-0000CF030000}"/>
    <hyperlink ref="K979" r:id="rId977" xr:uid="{00000000-0004-0000-0D00-0000D0030000}"/>
    <hyperlink ref="K980" r:id="rId978" xr:uid="{00000000-0004-0000-0D00-0000D1030000}"/>
    <hyperlink ref="K981" r:id="rId979" xr:uid="{00000000-0004-0000-0D00-0000D2030000}"/>
    <hyperlink ref="K982" r:id="rId980" xr:uid="{00000000-0004-0000-0D00-0000D3030000}"/>
    <hyperlink ref="K983" r:id="rId981" xr:uid="{00000000-0004-0000-0D00-0000D4030000}"/>
    <hyperlink ref="K984" r:id="rId982" xr:uid="{00000000-0004-0000-0D00-0000D5030000}"/>
    <hyperlink ref="K985" r:id="rId983" xr:uid="{00000000-0004-0000-0D00-0000D6030000}"/>
    <hyperlink ref="K986" r:id="rId984" xr:uid="{00000000-0004-0000-0D00-0000D7030000}"/>
    <hyperlink ref="K987" r:id="rId985" xr:uid="{00000000-0004-0000-0D00-0000D8030000}"/>
    <hyperlink ref="K988" r:id="rId986" xr:uid="{00000000-0004-0000-0D00-0000D9030000}"/>
    <hyperlink ref="K989" r:id="rId987" xr:uid="{00000000-0004-0000-0D00-0000DA030000}"/>
    <hyperlink ref="K990" r:id="rId988" xr:uid="{00000000-0004-0000-0D00-0000DB030000}"/>
    <hyperlink ref="K991" r:id="rId989" xr:uid="{00000000-0004-0000-0D00-0000DC030000}"/>
    <hyperlink ref="K992" r:id="rId990" xr:uid="{00000000-0004-0000-0D00-0000DD030000}"/>
    <hyperlink ref="K993" r:id="rId991" xr:uid="{00000000-0004-0000-0D00-0000DE030000}"/>
    <hyperlink ref="K994" r:id="rId992" xr:uid="{00000000-0004-0000-0D00-0000DF030000}"/>
    <hyperlink ref="K995" r:id="rId993" xr:uid="{00000000-0004-0000-0D00-0000E0030000}"/>
    <hyperlink ref="K996" r:id="rId994" xr:uid="{00000000-0004-0000-0D00-0000E1030000}"/>
    <hyperlink ref="K997" r:id="rId995" xr:uid="{00000000-0004-0000-0D00-0000E2030000}"/>
    <hyperlink ref="K998" r:id="rId996" xr:uid="{00000000-0004-0000-0D00-0000E3030000}"/>
    <hyperlink ref="K999" r:id="rId997" xr:uid="{00000000-0004-0000-0D00-0000E4030000}"/>
    <hyperlink ref="K1000" r:id="rId998" xr:uid="{00000000-0004-0000-0D00-0000E5030000}"/>
    <hyperlink ref="K1001" r:id="rId999" xr:uid="{00000000-0004-0000-0D00-0000E6030000}"/>
    <hyperlink ref="K1002" r:id="rId1000" xr:uid="{00000000-0004-0000-0D00-0000E7030000}"/>
    <hyperlink ref="K1003" r:id="rId1001" xr:uid="{00000000-0004-0000-0D00-0000E8030000}"/>
    <hyperlink ref="K1004" r:id="rId1002" xr:uid="{00000000-0004-0000-0D00-0000E9030000}"/>
    <hyperlink ref="K1005" r:id="rId1003" xr:uid="{00000000-0004-0000-0D00-0000EA030000}"/>
    <hyperlink ref="K1006" r:id="rId1004" xr:uid="{00000000-0004-0000-0D00-0000EB030000}"/>
    <hyperlink ref="K1007" r:id="rId1005" xr:uid="{00000000-0004-0000-0D00-0000EC030000}"/>
    <hyperlink ref="K1008" r:id="rId1006" xr:uid="{00000000-0004-0000-0D00-0000ED030000}"/>
    <hyperlink ref="K1009" r:id="rId1007" xr:uid="{00000000-0004-0000-0D00-0000EE030000}"/>
    <hyperlink ref="K1010" r:id="rId1008" xr:uid="{00000000-0004-0000-0D00-0000EF030000}"/>
    <hyperlink ref="K1011" r:id="rId1009" xr:uid="{00000000-0004-0000-0D00-0000F0030000}"/>
    <hyperlink ref="K1012" r:id="rId1010" xr:uid="{00000000-0004-0000-0D00-0000F1030000}"/>
    <hyperlink ref="K1013" r:id="rId1011" xr:uid="{00000000-0004-0000-0D00-0000F2030000}"/>
    <hyperlink ref="K1014" r:id="rId1012" xr:uid="{00000000-0004-0000-0D00-0000F3030000}"/>
    <hyperlink ref="K1015" r:id="rId1013" xr:uid="{00000000-0004-0000-0D00-0000F4030000}"/>
    <hyperlink ref="K1016" r:id="rId1014" xr:uid="{00000000-0004-0000-0D00-0000F5030000}"/>
    <hyperlink ref="K1017" r:id="rId1015" xr:uid="{00000000-0004-0000-0D00-0000F6030000}"/>
    <hyperlink ref="K1018" r:id="rId1016" xr:uid="{00000000-0004-0000-0D00-0000F7030000}"/>
    <hyperlink ref="K1019" r:id="rId1017" xr:uid="{00000000-0004-0000-0D00-0000F8030000}"/>
    <hyperlink ref="K1020" r:id="rId1018" xr:uid="{00000000-0004-0000-0D00-0000F9030000}"/>
    <hyperlink ref="K1021" r:id="rId1019" xr:uid="{00000000-0004-0000-0D00-0000FA030000}"/>
    <hyperlink ref="K1022" r:id="rId1020" xr:uid="{00000000-0004-0000-0D00-0000FB030000}"/>
    <hyperlink ref="K1023" r:id="rId1021" xr:uid="{00000000-0004-0000-0D00-0000FC030000}"/>
    <hyperlink ref="K1024" r:id="rId1022" xr:uid="{00000000-0004-0000-0D00-0000FD030000}"/>
    <hyperlink ref="K1025" r:id="rId1023" xr:uid="{00000000-0004-0000-0D00-0000FE030000}"/>
    <hyperlink ref="K1026" r:id="rId1024" xr:uid="{00000000-0004-0000-0D00-0000FF030000}"/>
    <hyperlink ref="K1027" r:id="rId1025" xr:uid="{00000000-0004-0000-0D00-000000040000}"/>
    <hyperlink ref="K1028" r:id="rId1026" xr:uid="{00000000-0004-0000-0D00-000001040000}"/>
    <hyperlink ref="K1029" r:id="rId1027" xr:uid="{00000000-0004-0000-0D00-000002040000}"/>
    <hyperlink ref="K1030" r:id="rId1028" xr:uid="{00000000-0004-0000-0D00-000003040000}"/>
    <hyperlink ref="K1031" r:id="rId1029" xr:uid="{00000000-0004-0000-0D00-000004040000}"/>
    <hyperlink ref="K1032" r:id="rId1030" xr:uid="{00000000-0004-0000-0D00-000005040000}"/>
    <hyperlink ref="K1033" r:id="rId1031" xr:uid="{00000000-0004-0000-0D00-000006040000}"/>
    <hyperlink ref="K1034" r:id="rId1032" xr:uid="{00000000-0004-0000-0D00-000007040000}"/>
    <hyperlink ref="K1035" r:id="rId1033" xr:uid="{00000000-0004-0000-0D00-000008040000}"/>
    <hyperlink ref="K1036" r:id="rId1034" xr:uid="{00000000-0004-0000-0D00-000009040000}"/>
    <hyperlink ref="K1037" r:id="rId1035" xr:uid="{00000000-0004-0000-0D00-00000A040000}"/>
    <hyperlink ref="K1038" r:id="rId1036" xr:uid="{00000000-0004-0000-0D00-00000B040000}"/>
    <hyperlink ref="K1039" r:id="rId1037" xr:uid="{00000000-0004-0000-0D00-00000C040000}"/>
    <hyperlink ref="K1040" r:id="rId1038" xr:uid="{00000000-0004-0000-0D00-00000D040000}"/>
    <hyperlink ref="K1041" r:id="rId1039" xr:uid="{00000000-0004-0000-0D00-00000E040000}"/>
    <hyperlink ref="K1042" r:id="rId1040" xr:uid="{00000000-0004-0000-0D00-00000F040000}"/>
    <hyperlink ref="K1043" r:id="rId1041" xr:uid="{00000000-0004-0000-0D00-000010040000}"/>
    <hyperlink ref="K1044" r:id="rId1042" xr:uid="{00000000-0004-0000-0D00-000011040000}"/>
    <hyperlink ref="K1045" r:id="rId1043" xr:uid="{00000000-0004-0000-0D00-000012040000}"/>
    <hyperlink ref="K1046" r:id="rId1044" xr:uid="{00000000-0004-0000-0D00-000013040000}"/>
    <hyperlink ref="K1047" r:id="rId1045" xr:uid="{00000000-0004-0000-0D00-000014040000}"/>
    <hyperlink ref="K1048" r:id="rId1046" xr:uid="{00000000-0004-0000-0D00-000015040000}"/>
    <hyperlink ref="K1049" r:id="rId1047" xr:uid="{00000000-0004-0000-0D00-000016040000}"/>
    <hyperlink ref="K1050" r:id="rId1048" xr:uid="{00000000-0004-0000-0D00-000017040000}"/>
    <hyperlink ref="K1051" r:id="rId1049" xr:uid="{00000000-0004-0000-0D00-000018040000}"/>
    <hyperlink ref="K1052" r:id="rId1050" xr:uid="{00000000-0004-0000-0D00-000019040000}"/>
    <hyperlink ref="K1053" r:id="rId1051" xr:uid="{00000000-0004-0000-0D00-00001A040000}"/>
    <hyperlink ref="K1054" r:id="rId1052" xr:uid="{00000000-0004-0000-0D00-00001B040000}"/>
    <hyperlink ref="K1055" r:id="rId1053" xr:uid="{00000000-0004-0000-0D00-00001C040000}"/>
    <hyperlink ref="K1056" r:id="rId1054" xr:uid="{00000000-0004-0000-0D00-00001D040000}"/>
    <hyperlink ref="K1057" r:id="rId1055" xr:uid="{00000000-0004-0000-0D00-00001E040000}"/>
    <hyperlink ref="K1058" r:id="rId1056" xr:uid="{00000000-0004-0000-0D00-00001F040000}"/>
    <hyperlink ref="K1059" r:id="rId1057" xr:uid="{00000000-0004-0000-0D00-000020040000}"/>
    <hyperlink ref="K1060" r:id="rId1058" xr:uid="{00000000-0004-0000-0D00-000021040000}"/>
    <hyperlink ref="K1061" r:id="rId1059" xr:uid="{00000000-0004-0000-0D00-000022040000}"/>
    <hyperlink ref="K1062" r:id="rId1060" xr:uid="{00000000-0004-0000-0D00-000023040000}"/>
    <hyperlink ref="K1063" r:id="rId1061" xr:uid="{00000000-0004-0000-0D00-000024040000}"/>
    <hyperlink ref="K1064" r:id="rId1062" xr:uid="{00000000-0004-0000-0D00-000025040000}"/>
    <hyperlink ref="K1065" r:id="rId1063" xr:uid="{00000000-0004-0000-0D00-000026040000}"/>
    <hyperlink ref="K1066" r:id="rId1064" xr:uid="{00000000-0004-0000-0D00-000027040000}"/>
    <hyperlink ref="K1067" r:id="rId1065" xr:uid="{00000000-0004-0000-0D00-000028040000}"/>
    <hyperlink ref="K1068" r:id="rId1066" xr:uid="{00000000-0004-0000-0D00-000029040000}"/>
    <hyperlink ref="K1069" r:id="rId1067" xr:uid="{00000000-0004-0000-0D00-00002A040000}"/>
    <hyperlink ref="K1070" r:id="rId1068" xr:uid="{00000000-0004-0000-0D00-00002B040000}"/>
    <hyperlink ref="K1071" r:id="rId1069" xr:uid="{00000000-0004-0000-0D00-00002C040000}"/>
    <hyperlink ref="K1072" r:id="rId1070" xr:uid="{00000000-0004-0000-0D00-00002D040000}"/>
    <hyperlink ref="K1073" r:id="rId1071" xr:uid="{00000000-0004-0000-0D00-00002E040000}"/>
    <hyperlink ref="K1074" r:id="rId1072" xr:uid="{00000000-0004-0000-0D00-00002F040000}"/>
    <hyperlink ref="K1075" r:id="rId1073" xr:uid="{00000000-0004-0000-0D00-000030040000}"/>
    <hyperlink ref="K1076" r:id="rId1074" xr:uid="{00000000-0004-0000-0D00-000031040000}"/>
    <hyperlink ref="K1077" r:id="rId1075" xr:uid="{00000000-0004-0000-0D00-000032040000}"/>
    <hyperlink ref="K1078" r:id="rId1076" xr:uid="{00000000-0004-0000-0D00-000033040000}"/>
    <hyperlink ref="K1079" r:id="rId1077" xr:uid="{00000000-0004-0000-0D00-000034040000}"/>
    <hyperlink ref="K1080" r:id="rId1078" xr:uid="{00000000-0004-0000-0D00-000035040000}"/>
    <hyperlink ref="K1081" r:id="rId1079" xr:uid="{00000000-0004-0000-0D00-000036040000}"/>
    <hyperlink ref="K1082" r:id="rId1080" xr:uid="{00000000-0004-0000-0D00-000037040000}"/>
    <hyperlink ref="K1083" r:id="rId1081" xr:uid="{00000000-0004-0000-0D00-000038040000}"/>
    <hyperlink ref="K1084" r:id="rId1082" xr:uid="{00000000-0004-0000-0D00-000039040000}"/>
    <hyperlink ref="K1085" r:id="rId1083" xr:uid="{00000000-0004-0000-0D00-00003A040000}"/>
    <hyperlink ref="K1086" r:id="rId1084" xr:uid="{00000000-0004-0000-0D00-00003B040000}"/>
    <hyperlink ref="K1087" r:id="rId1085" xr:uid="{00000000-0004-0000-0D00-00003C040000}"/>
    <hyperlink ref="K1088" r:id="rId1086" xr:uid="{00000000-0004-0000-0D00-00003D040000}"/>
    <hyperlink ref="K1089" r:id="rId1087" xr:uid="{00000000-0004-0000-0D00-00003E040000}"/>
    <hyperlink ref="K1090" r:id="rId1088" xr:uid="{00000000-0004-0000-0D00-00003F040000}"/>
    <hyperlink ref="K1091" r:id="rId1089" xr:uid="{00000000-0004-0000-0D00-000040040000}"/>
    <hyperlink ref="K1092" r:id="rId1090" xr:uid="{00000000-0004-0000-0D00-000041040000}"/>
    <hyperlink ref="K1093" r:id="rId1091" xr:uid="{00000000-0004-0000-0D00-000042040000}"/>
    <hyperlink ref="K1094" r:id="rId1092" xr:uid="{00000000-0004-0000-0D00-000043040000}"/>
    <hyperlink ref="K1095" r:id="rId1093" xr:uid="{00000000-0004-0000-0D00-000044040000}"/>
    <hyperlink ref="K1096" r:id="rId1094" xr:uid="{00000000-0004-0000-0D00-000045040000}"/>
    <hyperlink ref="K1097" r:id="rId1095" xr:uid="{00000000-0004-0000-0D00-000046040000}"/>
    <hyperlink ref="K1098" r:id="rId1096" xr:uid="{00000000-0004-0000-0D00-000047040000}"/>
    <hyperlink ref="K1099" r:id="rId1097" xr:uid="{00000000-0004-0000-0D00-000048040000}"/>
    <hyperlink ref="K1100" r:id="rId1098" xr:uid="{00000000-0004-0000-0D00-000049040000}"/>
    <hyperlink ref="K1101" r:id="rId1099" xr:uid="{00000000-0004-0000-0D00-00004A040000}"/>
    <hyperlink ref="K1102" r:id="rId1100" xr:uid="{00000000-0004-0000-0D00-00004B040000}"/>
    <hyperlink ref="K1103" r:id="rId1101" xr:uid="{00000000-0004-0000-0D00-00004C040000}"/>
    <hyperlink ref="K1104" r:id="rId1102" xr:uid="{00000000-0004-0000-0D00-00004D040000}"/>
    <hyperlink ref="K1105" r:id="rId1103" xr:uid="{00000000-0004-0000-0D00-00004E040000}"/>
    <hyperlink ref="K1106" r:id="rId1104" xr:uid="{00000000-0004-0000-0D00-00004F040000}"/>
    <hyperlink ref="K1107" r:id="rId1105" xr:uid="{00000000-0004-0000-0D00-000050040000}"/>
    <hyperlink ref="K1108" r:id="rId1106" xr:uid="{00000000-0004-0000-0D00-000051040000}"/>
    <hyperlink ref="K1109" r:id="rId1107" xr:uid="{00000000-0004-0000-0D00-000052040000}"/>
    <hyperlink ref="K1110" r:id="rId1108" xr:uid="{00000000-0004-0000-0D00-000053040000}"/>
    <hyperlink ref="K1111" r:id="rId1109" xr:uid="{00000000-0004-0000-0D00-000054040000}"/>
    <hyperlink ref="K1112" r:id="rId1110" xr:uid="{00000000-0004-0000-0D00-000055040000}"/>
    <hyperlink ref="K1113" r:id="rId1111" xr:uid="{00000000-0004-0000-0D00-000056040000}"/>
    <hyperlink ref="K1114" r:id="rId1112" xr:uid="{00000000-0004-0000-0D00-000057040000}"/>
    <hyperlink ref="K1115" r:id="rId1113" xr:uid="{00000000-0004-0000-0D00-000058040000}"/>
    <hyperlink ref="K1116" r:id="rId1114" xr:uid="{00000000-0004-0000-0D00-000059040000}"/>
    <hyperlink ref="K1117" r:id="rId1115" xr:uid="{00000000-0004-0000-0D00-00005A040000}"/>
    <hyperlink ref="K1118" r:id="rId1116" xr:uid="{00000000-0004-0000-0D00-00005B040000}"/>
    <hyperlink ref="K1119" r:id="rId1117" xr:uid="{00000000-0004-0000-0D00-00005C040000}"/>
    <hyperlink ref="K1120" r:id="rId1118" xr:uid="{00000000-0004-0000-0D00-00005D040000}"/>
    <hyperlink ref="K1121" r:id="rId1119" xr:uid="{00000000-0004-0000-0D00-00005E040000}"/>
    <hyperlink ref="K1122" r:id="rId1120" xr:uid="{00000000-0004-0000-0D00-00005F040000}"/>
    <hyperlink ref="K1123" r:id="rId1121" xr:uid="{00000000-0004-0000-0D00-000060040000}"/>
    <hyperlink ref="K1124" r:id="rId1122" xr:uid="{00000000-0004-0000-0D00-000061040000}"/>
    <hyperlink ref="K1125" r:id="rId1123" xr:uid="{00000000-0004-0000-0D00-000062040000}"/>
    <hyperlink ref="K1126" r:id="rId1124" xr:uid="{00000000-0004-0000-0D00-000063040000}"/>
    <hyperlink ref="K1127" r:id="rId1125" xr:uid="{00000000-0004-0000-0D00-000064040000}"/>
    <hyperlink ref="K1128" r:id="rId1126" xr:uid="{00000000-0004-0000-0D00-000065040000}"/>
    <hyperlink ref="K1129" r:id="rId1127" xr:uid="{00000000-0004-0000-0D00-000066040000}"/>
    <hyperlink ref="K1130" r:id="rId1128" xr:uid="{00000000-0004-0000-0D00-000067040000}"/>
    <hyperlink ref="K1131" r:id="rId1129" xr:uid="{00000000-0004-0000-0D00-000068040000}"/>
    <hyperlink ref="K1132" r:id="rId1130" xr:uid="{00000000-0004-0000-0D00-000069040000}"/>
    <hyperlink ref="K1133" r:id="rId1131" xr:uid="{00000000-0004-0000-0D00-00006A040000}"/>
    <hyperlink ref="K1134" r:id="rId1132" xr:uid="{00000000-0004-0000-0D00-00006B040000}"/>
    <hyperlink ref="K1135" r:id="rId1133" xr:uid="{00000000-0004-0000-0D00-00006C040000}"/>
    <hyperlink ref="K1136" r:id="rId1134" xr:uid="{00000000-0004-0000-0D00-00006D040000}"/>
    <hyperlink ref="K1137" r:id="rId1135" xr:uid="{00000000-0004-0000-0D00-00006E040000}"/>
    <hyperlink ref="K1138" r:id="rId1136" xr:uid="{00000000-0004-0000-0D00-00006F040000}"/>
    <hyperlink ref="K1139" r:id="rId1137" xr:uid="{00000000-0004-0000-0D00-000070040000}"/>
    <hyperlink ref="K1140" r:id="rId1138" xr:uid="{00000000-0004-0000-0D00-000071040000}"/>
    <hyperlink ref="K1141" r:id="rId1139" xr:uid="{00000000-0004-0000-0D00-000072040000}"/>
    <hyperlink ref="K1142" r:id="rId1140" xr:uid="{00000000-0004-0000-0D00-000073040000}"/>
    <hyperlink ref="K1143" r:id="rId1141" xr:uid="{00000000-0004-0000-0D00-000074040000}"/>
    <hyperlink ref="K1144" r:id="rId1142" xr:uid="{00000000-0004-0000-0D00-000075040000}"/>
    <hyperlink ref="K1145" r:id="rId1143" xr:uid="{00000000-0004-0000-0D00-000076040000}"/>
    <hyperlink ref="K1146" r:id="rId1144" xr:uid="{00000000-0004-0000-0D00-000077040000}"/>
    <hyperlink ref="K1147" r:id="rId1145" xr:uid="{00000000-0004-0000-0D00-000078040000}"/>
    <hyperlink ref="K1148" r:id="rId1146" xr:uid="{00000000-0004-0000-0D00-000079040000}"/>
    <hyperlink ref="K1149" r:id="rId1147" xr:uid="{00000000-0004-0000-0D00-00007A040000}"/>
    <hyperlink ref="K1150" r:id="rId1148" xr:uid="{00000000-0004-0000-0D00-00007B040000}"/>
    <hyperlink ref="K1151" r:id="rId1149" xr:uid="{00000000-0004-0000-0D00-00007C040000}"/>
    <hyperlink ref="K1152" r:id="rId1150" xr:uid="{00000000-0004-0000-0D00-00007D040000}"/>
    <hyperlink ref="K1153" r:id="rId1151" xr:uid="{00000000-0004-0000-0D00-00007E040000}"/>
    <hyperlink ref="K1154" r:id="rId1152" xr:uid="{00000000-0004-0000-0D00-00007F040000}"/>
    <hyperlink ref="K1155" r:id="rId1153" xr:uid="{00000000-0004-0000-0D00-000080040000}"/>
    <hyperlink ref="K1156" r:id="rId1154" xr:uid="{00000000-0004-0000-0D00-000081040000}"/>
    <hyperlink ref="K1157" r:id="rId1155" xr:uid="{00000000-0004-0000-0D00-000082040000}"/>
    <hyperlink ref="K1158" r:id="rId1156" xr:uid="{00000000-0004-0000-0D00-000083040000}"/>
    <hyperlink ref="K1159" r:id="rId1157" xr:uid="{00000000-0004-0000-0D00-000084040000}"/>
    <hyperlink ref="K1160" r:id="rId1158" xr:uid="{00000000-0004-0000-0D00-000085040000}"/>
    <hyperlink ref="K1161" r:id="rId1159" xr:uid="{00000000-0004-0000-0D00-000086040000}"/>
    <hyperlink ref="K1162" r:id="rId1160" xr:uid="{00000000-0004-0000-0D00-000087040000}"/>
    <hyperlink ref="K1163" r:id="rId1161" xr:uid="{00000000-0004-0000-0D00-000088040000}"/>
    <hyperlink ref="K1164" r:id="rId1162" xr:uid="{00000000-0004-0000-0D00-000089040000}"/>
    <hyperlink ref="K1165" r:id="rId1163" xr:uid="{00000000-0004-0000-0D00-00008A040000}"/>
    <hyperlink ref="K1166" r:id="rId1164" xr:uid="{00000000-0004-0000-0D00-00008B040000}"/>
    <hyperlink ref="K1167" r:id="rId1165" xr:uid="{00000000-0004-0000-0D00-00008C040000}"/>
    <hyperlink ref="K1168" r:id="rId1166" xr:uid="{00000000-0004-0000-0D00-00008D040000}"/>
    <hyperlink ref="K1169" r:id="rId1167" xr:uid="{00000000-0004-0000-0D00-00008E040000}"/>
    <hyperlink ref="K1170" r:id="rId1168" xr:uid="{00000000-0004-0000-0D00-00008F040000}"/>
    <hyperlink ref="K1171" r:id="rId1169" xr:uid="{00000000-0004-0000-0D00-000090040000}"/>
    <hyperlink ref="K1172" r:id="rId1170" xr:uid="{00000000-0004-0000-0D00-000091040000}"/>
    <hyperlink ref="K1173" r:id="rId1171" xr:uid="{00000000-0004-0000-0D00-000092040000}"/>
    <hyperlink ref="K1174" r:id="rId1172" xr:uid="{00000000-0004-0000-0D00-000093040000}"/>
    <hyperlink ref="K1175" r:id="rId1173" xr:uid="{00000000-0004-0000-0D00-000094040000}"/>
    <hyperlink ref="K1176" r:id="rId1174" xr:uid="{00000000-0004-0000-0D00-000095040000}"/>
    <hyperlink ref="K1177" r:id="rId1175" xr:uid="{00000000-0004-0000-0D00-000096040000}"/>
    <hyperlink ref="K1178" r:id="rId1176" xr:uid="{00000000-0004-0000-0D00-000097040000}"/>
    <hyperlink ref="K1179" r:id="rId1177" xr:uid="{00000000-0004-0000-0D00-000098040000}"/>
    <hyperlink ref="K1180" r:id="rId1178" xr:uid="{00000000-0004-0000-0D00-000099040000}"/>
    <hyperlink ref="K1181" r:id="rId1179" xr:uid="{00000000-0004-0000-0D00-00009A040000}"/>
    <hyperlink ref="K1182" r:id="rId1180" xr:uid="{00000000-0004-0000-0D00-00009B040000}"/>
    <hyperlink ref="K1183" r:id="rId1181" xr:uid="{00000000-0004-0000-0D00-00009C040000}"/>
    <hyperlink ref="K1184" r:id="rId1182" xr:uid="{00000000-0004-0000-0D00-00009D040000}"/>
    <hyperlink ref="K1185" r:id="rId1183" xr:uid="{00000000-0004-0000-0D00-00009E040000}"/>
    <hyperlink ref="K1186" r:id="rId1184" xr:uid="{00000000-0004-0000-0D00-00009F040000}"/>
    <hyperlink ref="K1187" r:id="rId1185" xr:uid="{00000000-0004-0000-0D00-0000A0040000}"/>
    <hyperlink ref="K1188" r:id="rId1186" xr:uid="{00000000-0004-0000-0D00-0000A1040000}"/>
    <hyperlink ref="K1189" r:id="rId1187" xr:uid="{00000000-0004-0000-0D00-0000A2040000}"/>
    <hyperlink ref="K1190" r:id="rId1188" xr:uid="{00000000-0004-0000-0D00-0000A3040000}"/>
    <hyperlink ref="K1191" r:id="rId1189" xr:uid="{00000000-0004-0000-0D00-0000A4040000}"/>
    <hyperlink ref="K1192" r:id="rId1190" xr:uid="{00000000-0004-0000-0D00-0000A5040000}"/>
    <hyperlink ref="K1193" r:id="rId1191" xr:uid="{00000000-0004-0000-0D00-0000A6040000}"/>
    <hyperlink ref="K1194" r:id="rId1192" xr:uid="{00000000-0004-0000-0D00-0000A7040000}"/>
    <hyperlink ref="K1195" r:id="rId1193" xr:uid="{00000000-0004-0000-0D00-0000A8040000}"/>
    <hyperlink ref="K1196" r:id="rId1194" xr:uid="{00000000-0004-0000-0D00-0000A9040000}"/>
    <hyperlink ref="K1197" r:id="rId1195" xr:uid="{00000000-0004-0000-0D00-0000AA040000}"/>
    <hyperlink ref="K1198" r:id="rId1196" xr:uid="{00000000-0004-0000-0D00-0000AB040000}"/>
    <hyperlink ref="K1199" r:id="rId1197" xr:uid="{00000000-0004-0000-0D00-0000AC040000}"/>
    <hyperlink ref="K1200" r:id="rId1198" xr:uid="{00000000-0004-0000-0D00-0000AD040000}"/>
    <hyperlink ref="K1201" r:id="rId1199" xr:uid="{00000000-0004-0000-0D00-0000AE040000}"/>
    <hyperlink ref="K1202" r:id="rId1200" xr:uid="{00000000-0004-0000-0D00-0000AF040000}"/>
    <hyperlink ref="K1203" r:id="rId1201" xr:uid="{00000000-0004-0000-0D00-0000B0040000}"/>
    <hyperlink ref="K1204" r:id="rId1202" xr:uid="{00000000-0004-0000-0D00-0000B1040000}"/>
    <hyperlink ref="K1205" r:id="rId1203" xr:uid="{00000000-0004-0000-0D00-0000B2040000}"/>
    <hyperlink ref="K1206" r:id="rId1204" xr:uid="{00000000-0004-0000-0D00-0000B3040000}"/>
    <hyperlink ref="K1207" r:id="rId1205" xr:uid="{00000000-0004-0000-0D00-0000B4040000}"/>
    <hyperlink ref="K1208" r:id="rId1206" xr:uid="{00000000-0004-0000-0D00-0000B5040000}"/>
    <hyperlink ref="K1209" r:id="rId1207" xr:uid="{00000000-0004-0000-0D00-0000B6040000}"/>
    <hyperlink ref="K1210" r:id="rId1208" xr:uid="{00000000-0004-0000-0D00-0000B7040000}"/>
    <hyperlink ref="K1211" r:id="rId1209" xr:uid="{00000000-0004-0000-0D00-0000B8040000}"/>
    <hyperlink ref="K1212" r:id="rId1210" xr:uid="{00000000-0004-0000-0D00-0000B9040000}"/>
    <hyperlink ref="K1213" r:id="rId1211" xr:uid="{00000000-0004-0000-0D00-0000BA040000}"/>
    <hyperlink ref="K1214" r:id="rId1212" xr:uid="{00000000-0004-0000-0D00-0000BB040000}"/>
    <hyperlink ref="K1215" r:id="rId1213" xr:uid="{00000000-0004-0000-0D00-0000BC040000}"/>
    <hyperlink ref="K1216" r:id="rId1214" xr:uid="{00000000-0004-0000-0D00-0000BD040000}"/>
    <hyperlink ref="K1217" r:id="rId1215" xr:uid="{00000000-0004-0000-0D00-0000BE040000}"/>
    <hyperlink ref="K1218" r:id="rId1216" xr:uid="{00000000-0004-0000-0D00-0000BF040000}"/>
    <hyperlink ref="K1219" r:id="rId1217" xr:uid="{00000000-0004-0000-0D00-0000C0040000}"/>
    <hyperlink ref="K1220" r:id="rId1218" xr:uid="{00000000-0004-0000-0D00-0000C1040000}"/>
    <hyperlink ref="K1221" r:id="rId1219" xr:uid="{00000000-0004-0000-0D00-0000C2040000}"/>
    <hyperlink ref="K1222" r:id="rId1220" xr:uid="{00000000-0004-0000-0D00-0000C3040000}"/>
    <hyperlink ref="K1223" r:id="rId1221" xr:uid="{00000000-0004-0000-0D00-0000C4040000}"/>
    <hyperlink ref="K1224" r:id="rId1222" xr:uid="{00000000-0004-0000-0D00-0000C5040000}"/>
    <hyperlink ref="K1225" r:id="rId1223" xr:uid="{00000000-0004-0000-0D00-0000C6040000}"/>
    <hyperlink ref="K1226" r:id="rId1224" xr:uid="{00000000-0004-0000-0D00-0000C7040000}"/>
    <hyperlink ref="K1227" r:id="rId1225" xr:uid="{00000000-0004-0000-0D00-0000C8040000}"/>
    <hyperlink ref="K1228" r:id="rId1226" xr:uid="{00000000-0004-0000-0D00-0000C9040000}"/>
    <hyperlink ref="K1229" r:id="rId1227" xr:uid="{00000000-0004-0000-0D00-0000CA040000}"/>
    <hyperlink ref="K1230" r:id="rId1228" xr:uid="{00000000-0004-0000-0D00-0000CB040000}"/>
    <hyperlink ref="K1231" r:id="rId1229" xr:uid="{00000000-0004-0000-0D00-0000CC040000}"/>
    <hyperlink ref="K1232" r:id="rId1230" xr:uid="{00000000-0004-0000-0D00-0000CD040000}"/>
    <hyperlink ref="K1233" r:id="rId1231" xr:uid="{00000000-0004-0000-0D00-0000CE040000}"/>
    <hyperlink ref="K1234" r:id="rId1232" xr:uid="{00000000-0004-0000-0D00-0000CF040000}"/>
    <hyperlink ref="K1235" r:id="rId1233" xr:uid="{00000000-0004-0000-0D00-0000D0040000}"/>
    <hyperlink ref="K1236" r:id="rId1234" xr:uid="{00000000-0004-0000-0D00-0000D1040000}"/>
    <hyperlink ref="K1237" r:id="rId1235" xr:uid="{00000000-0004-0000-0D00-0000D2040000}"/>
    <hyperlink ref="K1238" r:id="rId1236" xr:uid="{00000000-0004-0000-0D00-0000D3040000}"/>
    <hyperlink ref="K1239" r:id="rId1237" xr:uid="{00000000-0004-0000-0D00-0000D4040000}"/>
    <hyperlink ref="K1240" r:id="rId1238" xr:uid="{00000000-0004-0000-0D00-0000D5040000}"/>
    <hyperlink ref="K1241" r:id="rId1239" xr:uid="{00000000-0004-0000-0D00-0000D6040000}"/>
    <hyperlink ref="K1242" r:id="rId1240" xr:uid="{00000000-0004-0000-0D00-0000D7040000}"/>
    <hyperlink ref="K1243" r:id="rId1241" xr:uid="{00000000-0004-0000-0D00-0000D8040000}"/>
    <hyperlink ref="K1244" r:id="rId1242" xr:uid="{00000000-0004-0000-0D00-0000D9040000}"/>
    <hyperlink ref="K1245" r:id="rId1243" xr:uid="{00000000-0004-0000-0D00-0000DA040000}"/>
    <hyperlink ref="K1246" r:id="rId1244" xr:uid="{00000000-0004-0000-0D00-0000DB040000}"/>
    <hyperlink ref="K1247" r:id="rId1245" xr:uid="{00000000-0004-0000-0D00-0000DC040000}"/>
    <hyperlink ref="K1248" r:id="rId1246" xr:uid="{00000000-0004-0000-0D00-0000DD040000}"/>
    <hyperlink ref="K1249" r:id="rId1247" xr:uid="{00000000-0004-0000-0D00-0000DE040000}"/>
    <hyperlink ref="K1250" r:id="rId1248" xr:uid="{00000000-0004-0000-0D00-0000DF040000}"/>
    <hyperlink ref="K1251" r:id="rId1249" xr:uid="{00000000-0004-0000-0D00-0000E0040000}"/>
    <hyperlink ref="K1252" r:id="rId1250" xr:uid="{00000000-0004-0000-0D00-0000E1040000}"/>
    <hyperlink ref="K1253" r:id="rId1251" xr:uid="{00000000-0004-0000-0D00-0000E2040000}"/>
    <hyperlink ref="K1254" r:id="rId1252" xr:uid="{00000000-0004-0000-0D00-0000E3040000}"/>
    <hyperlink ref="K1255" r:id="rId1253" xr:uid="{00000000-0004-0000-0D00-0000E4040000}"/>
    <hyperlink ref="K1256" r:id="rId1254" xr:uid="{00000000-0004-0000-0D00-0000E5040000}"/>
    <hyperlink ref="K1257" r:id="rId1255" xr:uid="{00000000-0004-0000-0D00-0000E6040000}"/>
    <hyperlink ref="K1258" r:id="rId1256" xr:uid="{00000000-0004-0000-0D00-0000E7040000}"/>
    <hyperlink ref="K1259" r:id="rId1257" xr:uid="{00000000-0004-0000-0D00-0000E8040000}"/>
    <hyperlink ref="K1260" r:id="rId1258" xr:uid="{00000000-0004-0000-0D00-0000E9040000}"/>
    <hyperlink ref="K1261" r:id="rId1259" xr:uid="{00000000-0004-0000-0D00-0000EA040000}"/>
    <hyperlink ref="K1262" r:id="rId1260" xr:uid="{00000000-0004-0000-0D00-0000EB040000}"/>
    <hyperlink ref="K1263" r:id="rId1261" xr:uid="{00000000-0004-0000-0D00-0000EC040000}"/>
    <hyperlink ref="K1264" r:id="rId1262" xr:uid="{00000000-0004-0000-0D00-0000ED040000}"/>
    <hyperlink ref="K1265" r:id="rId1263" xr:uid="{00000000-0004-0000-0D00-0000EE040000}"/>
    <hyperlink ref="K1266" r:id="rId1264" xr:uid="{00000000-0004-0000-0D00-0000EF040000}"/>
    <hyperlink ref="K1267" r:id="rId1265" xr:uid="{00000000-0004-0000-0D00-0000F0040000}"/>
    <hyperlink ref="K1268" r:id="rId1266" xr:uid="{00000000-0004-0000-0D00-0000F1040000}"/>
    <hyperlink ref="K1269" r:id="rId1267" xr:uid="{00000000-0004-0000-0D00-0000F2040000}"/>
    <hyperlink ref="K1270" r:id="rId1268" xr:uid="{00000000-0004-0000-0D00-0000F3040000}"/>
    <hyperlink ref="K1271" r:id="rId1269" xr:uid="{00000000-0004-0000-0D00-0000F4040000}"/>
    <hyperlink ref="K1272" r:id="rId1270" xr:uid="{00000000-0004-0000-0D00-0000F5040000}"/>
    <hyperlink ref="K1273" r:id="rId1271" xr:uid="{00000000-0004-0000-0D00-0000F6040000}"/>
    <hyperlink ref="K1274" r:id="rId1272" xr:uid="{00000000-0004-0000-0D00-0000F7040000}"/>
    <hyperlink ref="K1275" r:id="rId1273" xr:uid="{00000000-0004-0000-0D00-0000F8040000}"/>
    <hyperlink ref="K1276" r:id="rId1274" xr:uid="{00000000-0004-0000-0D00-0000F9040000}"/>
    <hyperlink ref="K1277" r:id="rId1275" xr:uid="{00000000-0004-0000-0D00-0000FA040000}"/>
    <hyperlink ref="K1278" r:id="rId1276" xr:uid="{00000000-0004-0000-0D00-0000FB040000}"/>
    <hyperlink ref="K1279" r:id="rId1277" xr:uid="{00000000-0004-0000-0D00-0000FC040000}"/>
    <hyperlink ref="K1280" r:id="rId1278" xr:uid="{00000000-0004-0000-0D00-0000FD040000}"/>
    <hyperlink ref="K1281" r:id="rId1279" xr:uid="{00000000-0004-0000-0D00-0000FE040000}"/>
    <hyperlink ref="K1282" r:id="rId1280" xr:uid="{00000000-0004-0000-0D00-0000FF040000}"/>
    <hyperlink ref="K1283" r:id="rId1281" xr:uid="{00000000-0004-0000-0D00-000000050000}"/>
    <hyperlink ref="K1284" r:id="rId1282" xr:uid="{00000000-0004-0000-0D00-000001050000}"/>
    <hyperlink ref="K1285" r:id="rId1283" xr:uid="{00000000-0004-0000-0D00-000002050000}"/>
    <hyperlink ref="K1286" r:id="rId1284" xr:uid="{00000000-0004-0000-0D00-000003050000}"/>
    <hyperlink ref="K1287" r:id="rId1285" xr:uid="{00000000-0004-0000-0D00-000004050000}"/>
    <hyperlink ref="K1288" r:id="rId1286" xr:uid="{00000000-0004-0000-0D00-000005050000}"/>
    <hyperlink ref="K1289" r:id="rId1287" xr:uid="{00000000-0004-0000-0D00-000006050000}"/>
    <hyperlink ref="K1290" r:id="rId1288" xr:uid="{00000000-0004-0000-0D00-000007050000}"/>
    <hyperlink ref="K1291" r:id="rId1289" xr:uid="{00000000-0004-0000-0D00-000008050000}"/>
    <hyperlink ref="K1292" r:id="rId1290" xr:uid="{00000000-0004-0000-0D00-000009050000}"/>
    <hyperlink ref="K1293" r:id="rId1291" xr:uid="{00000000-0004-0000-0D00-00000A050000}"/>
    <hyperlink ref="K1294" r:id="rId1292" xr:uid="{00000000-0004-0000-0D00-00000B050000}"/>
    <hyperlink ref="K1295" r:id="rId1293" xr:uid="{00000000-0004-0000-0D00-00000C050000}"/>
    <hyperlink ref="K1296" r:id="rId1294" xr:uid="{00000000-0004-0000-0D00-00000D050000}"/>
    <hyperlink ref="K1297" r:id="rId1295" xr:uid="{00000000-0004-0000-0D00-00000E050000}"/>
    <hyperlink ref="K1298" r:id="rId1296" xr:uid="{00000000-0004-0000-0D00-00000F050000}"/>
    <hyperlink ref="K1299" r:id="rId1297" xr:uid="{00000000-0004-0000-0D00-000010050000}"/>
    <hyperlink ref="K1300" r:id="rId1298" xr:uid="{00000000-0004-0000-0D00-000011050000}"/>
    <hyperlink ref="K1301" r:id="rId1299" xr:uid="{00000000-0004-0000-0D00-000012050000}"/>
    <hyperlink ref="K1302" r:id="rId1300" xr:uid="{00000000-0004-0000-0D00-000013050000}"/>
    <hyperlink ref="K1303" r:id="rId1301" xr:uid="{00000000-0004-0000-0D00-000014050000}"/>
    <hyperlink ref="K1304" r:id="rId1302" xr:uid="{00000000-0004-0000-0D00-000015050000}"/>
    <hyperlink ref="K1305" r:id="rId1303" xr:uid="{00000000-0004-0000-0D00-000016050000}"/>
    <hyperlink ref="K1306" r:id="rId1304" xr:uid="{00000000-0004-0000-0D00-000017050000}"/>
    <hyperlink ref="K1307" r:id="rId1305" xr:uid="{00000000-0004-0000-0D00-000018050000}"/>
    <hyperlink ref="K1308" r:id="rId1306" xr:uid="{00000000-0004-0000-0D00-000019050000}"/>
    <hyperlink ref="K1309" r:id="rId1307" xr:uid="{00000000-0004-0000-0D00-00001A050000}"/>
    <hyperlink ref="K1310" r:id="rId1308" xr:uid="{00000000-0004-0000-0D00-00001B050000}"/>
    <hyperlink ref="K1311" r:id="rId1309" xr:uid="{00000000-0004-0000-0D00-00001C050000}"/>
    <hyperlink ref="K1312" r:id="rId1310" xr:uid="{00000000-0004-0000-0D00-00001D050000}"/>
    <hyperlink ref="K1313" r:id="rId1311" xr:uid="{00000000-0004-0000-0D00-00001E050000}"/>
    <hyperlink ref="K1314" r:id="rId1312" xr:uid="{00000000-0004-0000-0D00-00001F050000}"/>
    <hyperlink ref="K1315" r:id="rId1313" xr:uid="{00000000-0004-0000-0D00-000020050000}"/>
    <hyperlink ref="K1316" r:id="rId1314" xr:uid="{00000000-0004-0000-0D00-000021050000}"/>
    <hyperlink ref="K1317" r:id="rId1315" xr:uid="{00000000-0004-0000-0D00-000022050000}"/>
    <hyperlink ref="K1318" r:id="rId1316" xr:uid="{00000000-0004-0000-0D00-000023050000}"/>
    <hyperlink ref="K1319" r:id="rId1317" xr:uid="{00000000-0004-0000-0D00-000024050000}"/>
    <hyperlink ref="K1320" r:id="rId1318" xr:uid="{00000000-0004-0000-0D00-000025050000}"/>
    <hyperlink ref="K1321" r:id="rId1319" xr:uid="{00000000-0004-0000-0D00-000026050000}"/>
    <hyperlink ref="K1322" r:id="rId1320" xr:uid="{00000000-0004-0000-0D00-000027050000}"/>
    <hyperlink ref="K1323" r:id="rId1321" xr:uid="{00000000-0004-0000-0D00-000028050000}"/>
    <hyperlink ref="K1324" r:id="rId1322" xr:uid="{00000000-0004-0000-0D00-000029050000}"/>
    <hyperlink ref="K1325" r:id="rId1323" xr:uid="{00000000-0004-0000-0D00-00002A050000}"/>
    <hyperlink ref="K1326" r:id="rId1324" xr:uid="{00000000-0004-0000-0D00-00002B050000}"/>
    <hyperlink ref="K1327" r:id="rId1325" xr:uid="{00000000-0004-0000-0D00-00002C050000}"/>
    <hyperlink ref="K1328" r:id="rId1326" xr:uid="{00000000-0004-0000-0D00-00002D050000}"/>
    <hyperlink ref="K1329" r:id="rId1327" xr:uid="{00000000-0004-0000-0D00-00002E050000}"/>
    <hyperlink ref="K1330" r:id="rId1328" xr:uid="{00000000-0004-0000-0D00-00002F050000}"/>
    <hyperlink ref="K1331" r:id="rId1329" xr:uid="{00000000-0004-0000-0D00-000030050000}"/>
    <hyperlink ref="K1332" r:id="rId1330" xr:uid="{00000000-0004-0000-0D00-000031050000}"/>
    <hyperlink ref="K1333" r:id="rId1331" xr:uid="{00000000-0004-0000-0D00-000032050000}"/>
    <hyperlink ref="K1334" r:id="rId1332" xr:uid="{00000000-0004-0000-0D00-000033050000}"/>
    <hyperlink ref="K1335" r:id="rId1333" xr:uid="{00000000-0004-0000-0D00-000034050000}"/>
    <hyperlink ref="K1336" r:id="rId1334" xr:uid="{00000000-0004-0000-0D00-000035050000}"/>
    <hyperlink ref="K1337" r:id="rId1335" xr:uid="{00000000-0004-0000-0D00-000036050000}"/>
    <hyperlink ref="K1338" r:id="rId1336" xr:uid="{00000000-0004-0000-0D00-000037050000}"/>
    <hyperlink ref="K1339" r:id="rId1337" xr:uid="{00000000-0004-0000-0D00-000038050000}"/>
    <hyperlink ref="K1340" r:id="rId1338" xr:uid="{00000000-0004-0000-0D00-000039050000}"/>
    <hyperlink ref="K1341" r:id="rId1339" xr:uid="{00000000-0004-0000-0D00-00003A050000}"/>
    <hyperlink ref="K1342" r:id="rId1340" xr:uid="{00000000-0004-0000-0D00-00003B050000}"/>
    <hyperlink ref="K1343" r:id="rId1341" xr:uid="{00000000-0004-0000-0D00-00003C050000}"/>
    <hyperlink ref="K1344" r:id="rId1342" xr:uid="{00000000-0004-0000-0D00-00003D050000}"/>
    <hyperlink ref="K1345" r:id="rId1343" xr:uid="{00000000-0004-0000-0D00-00003E050000}"/>
    <hyperlink ref="K1346" r:id="rId1344" xr:uid="{00000000-0004-0000-0D00-00003F050000}"/>
    <hyperlink ref="K1347" r:id="rId1345" xr:uid="{00000000-0004-0000-0D00-000040050000}"/>
    <hyperlink ref="K1348" r:id="rId1346" xr:uid="{00000000-0004-0000-0D00-000041050000}"/>
    <hyperlink ref="K1349" r:id="rId1347" xr:uid="{00000000-0004-0000-0D00-000042050000}"/>
    <hyperlink ref="K1350" r:id="rId1348" xr:uid="{00000000-0004-0000-0D00-000043050000}"/>
    <hyperlink ref="K1351" r:id="rId1349" xr:uid="{00000000-0004-0000-0D00-000044050000}"/>
    <hyperlink ref="K1352" r:id="rId1350" xr:uid="{00000000-0004-0000-0D00-000045050000}"/>
    <hyperlink ref="K1353" r:id="rId1351" xr:uid="{00000000-0004-0000-0D00-000046050000}"/>
    <hyperlink ref="K1354" r:id="rId1352" xr:uid="{00000000-0004-0000-0D00-000047050000}"/>
    <hyperlink ref="K1355" r:id="rId1353" xr:uid="{00000000-0004-0000-0D00-000048050000}"/>
    <hyperlink ref="K1356" r:id="rId1354" xr:uid="{00000000-0004-0000-0D00-000049050000}"/>
    <hyperlink ref="K1357" r:id="rId1355" xr:uid="{00000000-0004-0000-0D00-00004A050000}"/>
    <hyperlink ref="K1358" r:id="rId1356" xr:uid="{00000000-0004-0000-0D00-00004B050000}"/>
    <hyperlink ref="K1359" r:id="rId1357" xr:uid="{00000000-0004-0000-0D00-00004C050000}"/>
    <hyperlink ref="K1360" r:id="rId1358" xr:uid="{00000000-0004-0000-0D00-00004D050000}"/>
    <hyperlink ref="K1361" r:id="rId1359" xr:uid="{00000000-0004-0000-0D00-00004E050000}"/>
    <hyperlink ref="K1362" r:id="rId1360" xr:uid="{00000000-0004-0000-0D00-00004F050000}"/>
    <hyperlink ref="K1363" r:id="rId1361" xr:uid="{00000000-0004-0000-0D00-000050050000}"/>
    <hyperlink ref="K1364" r:id="rId1362" xr:uid="{00000000-0004-0000-0D00-000051050000}"/>
    <hyperlink ref="K1365" r:id="rId1363" xr:uid="{00000000-0004-0000-0D00-000052050000}"/>
    <hyperlink ref="K1366" r:id="rId1364" xr:uid="{00000000-0004-0000-0D00-000053050000}"/>
    <hyperlink ref="K1367" r:id="rId1365" xr:uid="{00000000-0004-0000-0D00-000054050000}"/>
    <hyperlink ref="K1368" r:id="rId1366" xr:uid="{00000000-0004-0000-0D00-000055050000}"/>
    <hyperlink ref="K1369" r:id="rId1367" xr:uid="{00000000-0004-0000-0D00-000056050000}"/>
    <hyperlink ref="K1370" r:id="rId1368" xr:uid="{00000000-0004-0000-0D00-000057050000}"/>
    <hyperlink ref="K1371" r:id="rId1369" xr:uid="{00000000-0004-0000-0D00-000058050000}"/>
    <hyperlink ref="K1372" r:id="rId1370" xr:uid="{00000000-0004-0000-0D00-000059050000}"/>
    <hyperlink ref="K1373" r:id="rId1371" xr:uid="{00000000-0004-0000-0D00-00005A050000}"/>
    <hyperlink ref="K1374" r:id="rId1372" xr:uid="{00000000-0004-0000-0D00-00005B050000}"/>
    <hyperlink ref="K1375" r:id="rId1373" xr:uid="{00000000-0004-0000-0D00-00005C050000}"/>
    <hyperlink ref="K1376" r:id="rId1374" xr:uid="{00000000-0004-0000-0D00-00005D050000}"/>
    <hyperlink ref="K1377" r:id="rId1375" xr:uid="{00000000-0004-0000-0D00-00005E050000}"/>
    <hyperlink ref="K1378" r:id="rId1376" xr:uid="{00000000-0004-0000-0D00-00005F050000}"/>
    <hyperlink ref="K1379" r:id="rId1377" xr:uid="{00000000-0004-0000-0D00-000060050000}"/>
    <hyperlink ref="K1380" r:id="rId1378" xr:uid="{00000000-0004-0000-0D00-000061050000}"/>
    <hyperlink ref="K1381" r:id="rId1379" xr:uid="{00000000-0004-0000-0D00-000062050000}"/>
    <hyperlink ref="K1382" r:id="rId1380" xr:uid="{00000000-0004-0000-0D00-000063050000}"/>
    <hyperlink ref="K1383" r:id="rId1381" xr:uid="{00000000-0004-0000-0D00-000064050000}"/>
    <hyperlink ref="K1384" r:id="rId1382" xr:uid="{00000000-0004-0000-0D00-000065050000}"/>
    <hyperlink ref="K1385" r:id="rId1383" xr:uid="{00000000-0004-0000-0D00-000066050000}"/>
    <hyperlink ref="K1386" r:id="rId1384" xr:uid="{00000000-0004-0000-0D00-000067050000}"/>
    <hyperlink ref="K1387" r:id="rId1385" xr:uid="{00000000-0004-0000-0D00-000068050000}"/>
    <hyperlink ref="K1388" r:id="rId1386" xr:uid="{00000000-0004-0000-0D00-000069050000}"/>
    <hyperlink ref="K1389" r:id="rId1387" xr:uid="{00000000-0004-0000-0D00-00006A050000}"/>
    <hyperlink ref="K1390" r:id="rId1388" xr:uid="{00000000-0004-0000-0D00-00006B050000}"/>
    <hyperlink ref="K1391" r:id="rId1389" xr:uid="{00000000-0004-0000-0D00-00006C050000}"/>
    <hyperlink ref="K1392" r:id="rId1390" xr:uid="{00000000-0004-0000-0D00-00006D050000}"/>
    <hyperlink ref="K1393" r:id="rId1391" xr:uid="{00000000-0004-0000-0D00-00006E050000}"/>
    <hyperlink ref="K1394" r:id="rId1392" xr:uid="{00000000-0004-0000-0D00-00006F050000}"/>
    <hyperlink ref="K1395" r:id="rId1393" xr:uid="{00000000-0004-0000-0D00-000070050000}"/>
    <hyperlink ref="K1396" r:id="rId1394" xr:uid="{00000000-0004-0000-0D00-000071050000}"/>
    <hyperlink ref="K1397" r:id="rId1395" xr:uid="{00000000-0004-0000-0D00-000072050000}"/>
    <hyperlink ref="K1398" r:id="rId1396" xr:uid="{00000000-0004-0000-0D00-000073050000}"/>
    <hyperlink ref="K1399" r:id="rId1397" xr:uid="{00000000-0004-0000-0D00-000074050000}"/>
    <hyperlink ref="K1400" r:id="rId1398" xr:uid="{00000000-0004-0000-0D00-000075050000}"/>
    <hyperlink ref="K1401" r:id="rId1399" xr:uid="{00000000-0004-0000-0D00-000076050000}"/>
    <hyperlink ref="K1402" r:id="rId1400" xr:uid="{00000000-0004-0000-0D00-000077050000}"/>
    <hyperlink ref="K1403" r:id="rId1401" xr:uid="{00000000-0004-0000-0D00-000078050000}"/>
    <hyperlink ref="K1404" r:id="rId1402" xr:uid="{00000000-0004-0000-0D00-000079050000}"/>
    <hyperlink ref="K1405" r:id="rId1403" xr:uid="{00000000-0004-0000-0D00-00007A050000}"/>
    <hyperlink ref="K1406" r:id="rId1404" xr:uid="{00000000-0004-0000-0D00-00007B050000}"/>
    <hyperlink ref="K1407" r:id="rId1405" xr:uid="{00000000-0004-0000-0D00-00007C050000}"/>
    <hyperlink ref="K1408" r:id="rId1406" xr:uid="{00000000-0004-0000-0D00-00007D050000}"/>
    <hyperlink ref="K1409" r:id="rId1407" xr:uid="{00000000-0004-0000-0D00-00007E050000}"/>
    <hyperlink ref="K1410" r:id="rId1408" xr:uid="{00000000-0004-0000-0D00-00007F050000}"/>
    <hyperlink ref="K1411" r:id="rId1409" xr:uid="{00000000-0004-0000-0D00-000080050000}"/>
    <hyperlink ref="K1412" r:id="rId1410" xr:uid="{00000000-0004-0000-0D00-000081050000}"/>
    <hyperlink ref="K1413" r:id="rId1411" xr:uid="{00000000-0004-0000-0D00-000082050000}"/>
    <hyperlink ref="K1414" r:id="rId1412" xr:uid="{00000000-0004-0000-0D00-000083050000}"/>
    <hyperlink ref="K1415" r:id="rId1413" xr:uid="{00000000-0004-0000-0D00-000084050000}"/>
    <hyperlink ref="K1416" r:id="rId1414" xr:uid="{00000000-0004-0000-0D00-000085050000}"/>
    <hyperlink ref="K1417" r:id="rId1415" xr:uid="{00000000-0004-0000-0D00-000086050000}"/>
    <hyperlink ref="K1418" r:id="rId1416" xr:uid="{00000000-0004-0000-0D00-000087050000}"/>
    <hyperlink ref="K1419" r:id="rId1417" xr:uid="{00000000-0004-0000-0D00-000088050000}"/>
    <hyperlink ref="K1420" r:id="rId1418" xr:uid="{00000000-0004-0000-0D00-000089050000}"/>
    <hyperlink ref="K1421" r:id="rId1419" xr:uid="{00000000-0004-0000-0D00-00008A050000}"/>
    <hyperlink ref="K1422" r:id="rId1420" xr:uid="{00000000-0004-0000-0D00-00008B050000}"/>
    <hyperlink ref="K1423" r:id="rId1421" xr:uid="{00000000-0004-0000-0D00-00008C050000}"/>
    <hyperlink ref="K1424" r:id="rId1422" xr:uid="{00000000-0004-0000-0D00-00008D050000}"/>
    <hyperlink ref="K1425" r:id="rId1423" xr:uid="{00000000-0004-0000-0D00-00008E050000}"/>
    <hyperlink ref="K1426" r:id="rId1424" xr:uid="{00000000-0004-0000-0D00-00008F050000}"/>
    <hyperlink ref="K1427" r:id="rId1425" xr:uid="{00000000-0004-0000-0D00-000090050000}"/>
    <hyperlink ref="K1428" r:id="rId1426" xr:uid="{00000000-0004-0000-0D00-000091050000}"/>
    <hyperlink ref="K1429" r:id="rId1427" xr:uid="{00000000-0004-0000-0D00-000092050000}"/>
    <hyperlink ref="K1430" r:id="rId1428" xr:uid="{00000000-0004-0000-0D00-000093050000}"/>
    <hyperlink ref="K1431" r:id="rId1429" xr:uid="{00000000-0004-0000-0D00-000094050000}"/>
    <hyperlink ref="K1432" r:id="rId1430" xr:uid="{00000000-0004-0000-0D00-000095050000}"/>
    <hyperlink ref="K1433" r:id="rId1431" xr:uid="{00000000-0004-0000-0D00-000096050000}"/>
    <hyperlink ref="K1434" r:id="rId1432" xr:uid="{00000000-0004-0000-0D00-000097050000}"/>
    <hyperlink ref="K1435" r:id="rId1433" xr:uid="{00000000-0004-0000-0D00-000098050000}"/>
    <hyperlink ref="K1436" r:id="rId1434" xr:uid="{00000000-0004-0000-0D00-000099050000}"/>
    <hyperlink ref="K1437" r:id="rId1435" xr:uid="{00000000-0004-0000-0D00-00009A050000}"/>
    <hyperlink ref="K1438" r:id="rId1436" xr:uid="{00000000-0004-0000-0D00-00009B050000}"/>
    <hyperlink ref="K1439" r:id="rId1437" xr:uid="{00000000-0004-0000-0D00-00009C050000}"/>
    <hyperlink ref="K1440" r:id="rId1438" xr:uid="{00000000-0004-0000-0D00-00009D050000}"/>
    <hyperlink ref="K1441" r:id="rId1439" xr:uid="{00000000-0004-0000-0D00-00009E050000}"/>
    <hyperlink ref="K1442" r:id="rId1440" xr:uid="{00000000-0004-0000-0D00-00009F050000}"/>
    <hyperlink ref="K1443" r:id="rId1441" xr:uid="{00000000-0004-0000-0D00-0000A0050000}"/>
    <hyperlink ref="K1444" r:id="rId1442" xr:uid="{00000000-0004-0000-0D00-0000A1050000}"/>
    <hyperlink ref="K1445" r:id="rId1443" xr:uid="{00000000-0004-0000-0D00-0000A2050000}"/>
    <hyperlink ref="K1446" r:id="rId1444" xr:uid="{00000000-0004-0000-0D00-0000A3050000}"/>
    <hyperlink ref="K1447" r:id="rId1445" xr:uid="{00000000-0004-0000-0D00-0000A4050000}"/>
    <hyperlink ref="K1448" r:id="rId1446" xr:uid="{00000000-0004-0000-0D00-0000A5050000}"/>
    <hyperlink ref="K1449" r:id="rId1447" xr:uid="{00000000-0004-0000-0D00-0000A6050000}"/>
    <hyperlink ref="K1450" r:id="rId1448" xr:uid="{00000000-0004-0000-0D00-0000A7050000}"/>
    <hyperlink ref="K1451" r:id="rId1449" xr:uid="{00000000-0004-0000-0D00-0000A8050000}"/>
    <hyperlink ref="K1452" r:id="rId1450" xr:uid="{00000000-0004-0000-0D00-0000A9050000}"/>
    <hyperlink ref="K1453" r:id="rId1451" xr:uid="{00000000-0004-0000-0D00-0000AA050000}"/>
    <hyperlink ref="K1454" r:id="rId1452" xr:uid="{00000000-0004-0000-0D00-0000AB050000}"/>
    <hyperlink ref="K1455" r:id="rId1453" xr:uid="{00000000-0004-0000-0D00-0000AC050000}"/>
    <hyperlink ref="K1456" r:id="rId1454" xr:uid="{00000000-0004-0000-0D00-0000AD050000}"/>
    <hyperlink ref="K1457" r:id="rId1455" xr:uid="{00000000-0004-0000-0D00-0000AE050000}"/>
    <hyperlink ref="K1458" r:id="rId1456" xr:uid="{00000000-0004-0000-0D00-0000AF050000}"/>
    <hyperlink ref="K1459" r:id="rId1457" xr:uid="{00000000-0004-0000-0D00-0000B0050000}"/>
    <hyperlink ref="K1460" r:id="rId1458" xr:uid="{00000000-0004-0000-0D00-0000B1050000}"/>
    <hyperlink ref="K1461" r:id="rId1459" xr:uid="{00000000-0004-0000-0D00-0000B2050000}"/>
    <hyperlink ref="K1462" r:id="rId1460" xr:uid="{00000000-0004-0000-0D00-0000B3050000}"/>
    <hyperlink ref="K1463" r:id="rId1461" xr:uid="{00000000-0004-0000-0D00-0000B4050000}"/>
    <hyperlink ref="K1464" r:id="rId1462" xr:uid="{00000000-0004-0000-0D00-0000B5050000}"/>
    <hyperlink ref="K1465" r:id="rId1463" xr:uid="{00000000-0004-0000-0D00-0000B6050000}"/>
    <hyperlink ref="K1466" r:id="rId1464" xr:uid="{00000000-0004-0000-0D00-0000B7050000}"/>
    <hyperlink ref="K1467" r:id="rId1465" xr:uid="{00000000-0004-0000-0D00-0000B8050000}"/>
    <hyperlink ref="K1468" r:id="rId1466" xr:uid="{00000000-0004-0000-0D00-0000B9050000}"/>
    <hyperlink ref="K1469" r:id="rId1467" xr:uid="{00000000-0004-0000-0D00-0000BA050000}"/>
    <hyperlink ref="K1470" r:id="rId1468" xr:uid="{00000000-0004-0000-0D00-0000BB050000}"/>
    <hyperlink ref="K1471" r:id="rId1469" xr:uid="{00000000-0004-0000-0D00-0000BC050000}"/>
    <hyperlink ref="K1472" r:id="rId1470" xr:uid="{00000000-0004-0000-0D00-0000BD050000}"/>
    <hyperlink ref="K1473" r:id="rId1471" xr:uid="{00000000-0004-0000-0D00-0000BE050000}"/>
    <hyperlink ref="K1474" r:id="rId1472" xr:uid="{00000000-0004-0000-0D00-0000BF050000}"/>
    <hyperlink ref="K1475" r:id="rId1473" xr:uid="{00000000-0004-0000-0D00-0000C0050000}"/>
    <hyperlink ref="K1476" r:id="rId1474" xr:uid="{00000000-0004-0000-0D00-0000C1050000}"/>
    <hyperlink ref="K1477" r:id="rId1475" xr:uid="{00000000-0004-0000-0D00-0000C2050000}"/>
    <hyperlink ref="K1478" r:id="rId1476" xr:uid="{00000000-0004-0000-0D00-0000C3050000}"/>
    <hyperlink ref="K1479" r:id="rId1477" xr:uid="{00000000-0004-0000-0D00-0000C4050000}"/>
    <hyperlink ref="K1480" r:id="rId1478" xr:uid="{00000000-0004-0000-0D00-0000C5050000}"/>
    <hyperlink ref="K1481" r:id="rId1479" xr:uid="{00000000-0004-0000-0D00-0000C6050000}"/>
    <hyperlink ref="K1482" r:id="rId1480" xr:uid="{00000000-0004-0000-0D00-0000C7050000}"/>
    <hyperlink ref="K1483" r:id="rId1481" xr:uid="{00000000-0004-0000-0D00-0000C8050000}"/>
    <hyperlink ref="K1484" r:id="rId1482" xr:uid="{00000000-0004-0000-0D00-0000C9050000}"/>
    <hyperlink ref="K1485" r:id="rId1483" xr:uid="{00000000-0004-0000-0D00-0000CA050000}"/>
    <hyperlink ref="K1486" r:id="rId1484" xr:uid="{00000000-0004-0000-0D00-0000CB050000}"/>
    <hyperlink ref="K1487" r:id="rId1485" xr:uid="{00000000-0004-0000-0D00-0000CC050000}"/>
    <hyperlink ref="K1488" r:id="rId1486" xr:uid="{00000000-0004-0000-0D00-0000CD050000}"/>
    <hyperlink ref="K1489" r:id="rId1487" xr:uid="{00000000-0004-0000-0D00-0000CE050000}"/>
    <hyperlink ref="K1490" r:id="rId1488" xr:uid="{00000000-0004-0000-0D00-0000CF050000}"/>
    <hyperlink ref="K1491" r:id="rId1489" xr:uid="{00000000-0004-0000-0D00-0000D0050000}"/>
    <hyperlink ref="K1492" r:id="rId1490" xr:uid="{00000000-0004-0000-0D00-0000D1050000}"/>
    <hyperlink ref="K1493" r:id="rId1491" xr:uid="{00000000-0004-0000-0D00-0000D2050000}"/>
    <hyperlink ref="K1494" r:id="rId1492" xr:uid="{00000000-0004-0000-0D00-0000D3050000}"/>
    <hyperlink ref="K1495" r:id="rId1493" xr:uid="{00000000-0004-0000-0D00-0000D4050000}"/>
    <hyperlink ref="K1496" r:id="rId1494" xr:uid="{00000000-0004-0000-0D00-0000D5050000}"/>
    <hyperlink ref="K1497" r:id="rId1495" xr:uid="{00000000-0004-0000-0D00-0000D6050000}"/>
    <hyperlink ref="K1498" r:id="rId1496" xr:uid="{00000000-0004-0000-0D00-0000D7050000}"/>
    <hyperlink ref="K1499" r:id="rId1497" xr:uid="{00000000-0004-0000-0D00-0000D8050000}"/>
    <hyperlink ref="K1500" r:id="rId1498" xr:uid="{00000000-0004-0000-0D00-0000D9050000}"/>
    <hyperlink ref="K1501" r:id="rId1499" xr:uid="{00000000-0004-0000-0D00-0000DA050000}"/>
    <hyperlink ref="K1502" r:id="rId1500" xr:uid="{00000000-0004-0000-0D00-0000DB050000}"/>
    <hyperlink ref="K1503" r:id="rId1501" xr:uid="{00000000-0004-0000-0D00-0000DC050000}"/>
    <hyperlink ref="K1504" r:id="rId1502" xr:uid="{00000000-0004-0000-0D00-0000DD050000}"/>
    <hyperlink ref="K1505" r:id="rId1503" xr:uid="{00000000-0004-0000-0D00-0000DE050000}"/>
    <hyperlink ref="K1506" r:id="rId1504" xr:uid="{00000000-0004-0000-0D00-0000DF050000}"/>
    <hyperlink ref="K1507" r:id="rId1505" xr:uid="{00000000-0004-0000-0D00-0000E0050000}"/>
    <hyperlink ref="K1508" r:id="rId1506" xr:uid="{00000000-0004-0000-0D00-0000E1050000}"/>
    <hyperlink ref="K1509" r:id="rId1507" xr:uid="{00000000-0004-0000-0D00-0000E2050000}"/>
    <hyperlink ref="K1510" r:id="rId1508" xr:uid="{00000000-0004-0000-0D00-0000E3050000}"/>
    <hyperlink ref="K1511" r:id="rId1509" xr:uid="{00000000-0004-0000-0D00-0000E4050000}"/>
    <hyperlink ref="K1512" r:id="rId1510" xr:uid="{00000000-0004-0000-0D00-0000E5050000}"/>
    <hyperlink ref="K1513" r:id="rId1511" xr:uid="{00000000-0004-0000-0D00-0000E6050000}"/>
    <hyperlink ref="K1514" r:id="rId1512" xr:uid="{00000000-0004-0000-0D00-0000E7050000}"/>
    <hyperlink ref="K1515" r:id="rId1513" xr:uid="{00000000-0004-0000-0D00-0000E8050000}"/>
    <hyperlink ref="K1516" r:id="rId1514" xr:uid="{00000000-0004-0000-0D00-0000E9050000}"/>
    <hyperlink ref="K1517" r:id="rId1515" xr:uid="{00000000-0004-0000-0D00-0000EA050000}"/>
    <hyperlink ref="K1518" r:id="rId1516" xr:uid="{00000000-0004-0000-0D00-0000EB050000}"/>
    <hyperlink ref="K1519" r:id="rId1517" xr:uid="{00000000-0004-0000-0D00-0000EC050000}"/>
    <hyperlink ref="K1520" r:id="rId1518" xr:uid="{00000000-0004-0000-0D00-0000ED050000}"/>
    <hyperlink ref="K1521" r:id="rId1519" xr:uid="{00000000-0004-0000-0D00-0000EE050000}"/>
    <hyperlink ref="K1522" r:id="rId1520" xr:uid="{00000000-0004-0000-0D00-0000EF050000}"/>
    <hyperlink ref="K1523" r:id="rId1521" xr:uid="{00000000-0004-0000-0D00-0000F0050000}"/>
    <hyperlink ref="K1524" r:id="rId1522" xr:uid="{00000000-0004-0000-0D00-0000F1050000}"/>
    <hyperlink ref="K1525" r:id="rId1523" xr:uid="{00000000-0004-0000-0D00-0000F2050000}"/>
    <hyperlink ref="K1526" r:id="rId1524" xr:uid="{00000000-0004-0000-0D00-0000F3050000}"/>
    <hyperlink ref="K1527" r:id="rId1525" xr:uid="{00000000-0004-0000-0D00-0000F4050000}"/>
    <hyperlink ref="K1528" r:id="rId1526" xr:uid="{00000000-0004-0000-0D00-0000F5050000}"/>
    <hyperlink ref="K1529" r:id="rId1527" xr:uid="{00000000-0004-0000-0D00-0000F6050000}"/>
    <hyperlink ref="K1530" r:id="rId1528" xr:uid="{00000000-0004-0000-0D00-0000F7050000}"/>
    <hyperlink ref="K1531" r:id="rId1529" xr:uid="{00000000-0004-0000-0D00-0000F8050000}"/>
    <hyperlink ref="K1532" r:id="rId1530" xr:uid="{00000000-0004-0000-0D00-0000F9050000}"/>
    <hyperlink ref="K1533" r:id="rId1531" xr:uid="{00000000-0004-0000-0D00-0000FA050000}"/>
    <hyperlink ref="K1534" r:id="rId1532" xr:uid="{00000000-0004-0000-0D00-0000FB050000}"/>
    <hyperlink ref="K1535" r:id="rId1533" xr:uid="{00000000-0004-0000-0D00-0000FC050000}"/>
    <hyperlink ref="K1536" r:id="rId1534" xr:uid="{00000000-0004-0000-0D00-0000FD050000}"/>
    <hyperlink ref="K1537" r:id="rId1535" xr:uid="{00000000-0004-0000-0D00-0000FE050000}"/>
    <hyperlink ref="K1538" r:id="rId1536" xr:uid="{00000000-0004-0000-0D00-0000FF050000}"/>
    <hyperlink ref="K1539" r:id="rId1537" xr:uid="{00000000-0004-0000-0D00-000000060000}"/>
    <hyperlink ref="K1540" r:id="rId1538" xr:uid="{00000000-0004-0000-0D00-000001060000}"/>
    <hyperlink ref="K1541" r:id="rId1539" xr:uid="{00000000-0004-0000-0D00-000002060000}"/>
    <hyperlink ref="K1542" r:id="rId1540" xr:uid="{00000000-0004-0000-0D00-000003060000}"/>
    <hyperlink ref="K1543" r:id="rId1541" xr:uid="{00000000-0004-0000-0D00-000004060000}"/>
    <hyperlink ref="K1544" r:id="rId1542" xr:uid="{00000000-0004-0000-0D00-000005060000}"/>
    <hyperlink ref="K1545" r:id="rId1543" xr:uid="{00000000-0004-0000-0D00-000006060000}"/>
    <hyperlink ref="K1546" r:id="rId1544" xr:uid="{00000000-0004-0000-0D00-000007060000}"/>
    <hyperlink ref="K1547" r:id="rId1545" xr:uid="{00000000-0004-0000-0D00-000008060000}"/>
    <hyperlink ref="K1548" r:id="rId1546" xr:uid="{00000000-0004-0000-0D00-000009060000}"/>
    <hyperlink ref="K1549" r:id="rId1547" xr:uid="{00000000-0004-0000-0D00-00000A060000}"/>
    <hyperlink ref="K1550" r:id="rId1548" xr:uid="{00000000-0004-0000-0D00-00000B060000}"/>
    <hyperlink ref="K1551" r:id="rId1549" xr:uid="{00000000-0004-0000-0D00-00000C060000}"/>
    <hyperlink ref="K1552" r:id="rId1550" xr:uid="{00000000-0004-0000-0D00-00000D060000}"/>
    <hyperlink ref="K1553" r:id="rId1551" xr:uid="{00000000-0004-0000-0D00-00000E060000}"/>
    <hyperlink ref="K1554" r:id="rId1552" xr:uid="{00000000-0004-0000-0D00-00000F060000}"/>
    <hyperlink ref="K1555" r:id="rId1553" xr:uid="{00000000-0004-0000-0D00-000010060000}"/>
    <hyperlink ref="K1556" r:id="rId1554" xr:uid="{00000000-0004-0000-0D00-000011060000}"/>
    <hyperlink ref="K1557" r:id="rId1555" xr:uid="{00000000-0004-0000-0D00-000012060000}"/>
    <hyperlink ref="K1558" r:id="rId1556" xr:uid="{00000000-0004-0000-0D00-000013060000}"/>
    <hyperlink ref="K1559" r:id="rId1557" xr:uid="{00000000-0004-0000-0D00-000014060000}"/>
    <hyperlink ref="K1560" r:id="rId1558" xr:uid="{00000000-0004-0000-0D00-000015060000}"/>
    <hyperlink ref="K1561" r:id="rId1559" xr:uid="{00000000-0004-0000-0D00-000016060000}"/>
    <hyperlink ref="K1562" r:id="rId1560" xr:uid="{00000000-0004-0000-0D00-000017060000}"/>
    <hyperlink ref="K1563" r:id="rId1561" xr:uid="{00000000-0004-0000-0D00-000018060000}"/>
    <hyperlink ref="K1564" r:id="rId1562" xr:uid="{00000000-0004-0000-0D00-000019060000}"/>
    <hyperlink ref="K1565" r:id="rId1563" xr:uid="{00000000-0004-0000-0D00-00001A060000}"/>
    <hyperlink ref="K1566" r:id="rId1564" xr:uid="{00000000-0004-0000-0D00-00001B060000}"/>
    <hyperlink ref="K1567" r:id="rId1565" xr:uid="{00000000-0004-0000-0D00-00001C060000}"/>
    <hyperlink ref="K1568" r:id="rId1566" xr:uid="{00000000-0004-0000-0D00-00001D060000}"/>
    <hyperlink ref="K1569" r:id="rId1567" xr:uid="{00000000-0004-0000-0D00-00001E060000}"/>
    <hyperlink ref="K1570" r:id="rId1568" xr:uid="{00000000-0004-0000-0D00-00001F060000}"/>
    <hyperlink ref="K1571" r:id="rId1569" xr:uid="{00000000-0004-0000-0D00-000020060000}"/>
    <hyperlink ref="K1572" r:id="rId1570" xr:uid="{00000000-0004-0000-0D00-000021060000}"/>
    <hyperlink ref="K1573" r:id="rId1571" xr:uid="{00000000-0004-0000-0D00-000022060000}"/>
    <hyperlink ref="K1574" r:id="rId1572" xr:uid="{00000000-0004-0000-0D00-000023060000}"/>
    <hyperlink ref="K1575" r:id="rId1573" xr:uid="{00000000-0004-0000-0D00-000024060000}"/>
    <hyperlink ref="K1576" r:id="rId1574" xr:uid="{00000000-0004-0000-0D00-000025060000}"/>
    <hyperlink ref="K1577" r:id="rId1575" xr:uid="{00000000-0004-0000-0D00-000026060000}"/>
    <hyperlink ref="K1578" r:id="rId1576" xr:uid="{00000000-0004-0000-0D00-000027060000}"/>
    <hyperlink ref="K1579" r:id="rId1577" xr:uid="{00000000-0004-0000-0D00-000028060000}"/>
    <hyperlink ref="K1580" r:id="rId1578" xr:uid="{00000000-0004-0000-0D00-000029060000}"/>
    <hyperlink ref="K1581" r:id="rId1579" xr:uid="{00000000-0004-0000-0D00-00002A060000}"/>
    <hyperlink ref="K1582" r:id="rId1580" xr:uid="{00000000-0004-0000-0D00-00002B060000}"/>
    <hyperlink ref="K1583" r:id="rId1581" xr:uid="{00000000-0004-0000-0D00-00002C060000}"/>
    <hyperlink ref="K1584" r:id="rId1582" xr:uid="{00000000-0004-0000-0D00-00002D060000}"/>
    <hyperlink ref="K1585" r:id="rId1583" xr:uid="{00000000-0004-0000-0D00-00002E060000}"/>
    <hyperlink ref="K1586" r:id="rId1584" xr:uid="{00000000-0004-0000-0D00-00002F060000}"/>
    <hyperlink ref="K1587" r:id="rId1585" xr:uid="{00000000-0004-0000-0D00-000030060000}"/>
    <hyperlink ref="K1588" r:id="rId1586" xr:uid="{00000000-0004-0000-0D00-000031060000}"/>
    <hyperlink ref="K1589" r:id="rId1587" xr:uid="{00000000-0004-0000-0D00-000032060000}"/>
    <hyperlink ref="K1590" r:id="rId1588" xr:uid="{00000000-0004-0000-0D00-000033060000}"/>
    <hyperlink ref="K1591" r:id="rId1589" xr:uid="{00000000-0004-0000-0D00-000034060000}"/>
    <hyperlink ref="K1592" r:id="rId1590" xr:uid="{00000000-0004-0000-0D00-000035060000}"/>
    <hyperlink ref="K1593" r:id="rId1591" xr:uid="{00000000-0004-0000-0D00-000036060000}"/>
    <hyperlink ref="K1594" r:id="rId1592" xr:uid="{00000000-0004-0000-0D00-000037060000}"/>
    <hyperlink ref="K1595" r:id="rId1593" xr:uid="{00000000-0004-0000-0D00-000038060000}"/>
    <hyperlink ref="K1596" r:id="rId1594" xr:uid="{00000000-0004-0000-0D00-000039060000}"/>
    <hyperlink ref="K1597" r:id="rId1595" xr:uid="{00000000-0004-0000-0D00-00003A060000}"/>
    <hyperlink ref="K1598" r:id="rId1596" xr:uid="{00000000-0004-0000-0D00-00003B060000}"/>
    <hyperlink ref="K1599" r:id="rId1597" xr:uid="{00000000-0004-0000-0D00-00003C060000}"/>
    <hyperlink ref="K1600" r:id="rId1598" xr:uid="{00000000-0004-0000-0D00-00003D060000}"/>
    <hyperlink ref="K1601" r:id="rId1599" xr:uid="{00000000-0004-0000-0D00-00003E060000}"/>
    <hyperlink ref="K1602" r:id="rId1600" xr:uid="{00000000-0004-0000-0D00-00003F060000}"/>
    <hyperlink ref="K1603" r:id="rId1601" xr:uid="{00000000-0004-0000-0D00-000040060000}"/>
    <hyperlink ref="K1604" r:id="rId1602" xr:uid="{00000000-0004-0000-0D00-000041060000}"/>
    <hyperlink ref="K1605" r:id="rId1603" xr:uid="{00000000-0004-0000-0D00-000042060000}"/>
    <hyperlink ref="K1606" r:id="rId1604" xr:uid="{00000000-0004-0000-0D00-000043060000}"/>
    <hyperlink ref="K1607" r:id="rId1605" xr:uid="{00000000-0004-0000-0D00-000044060000}"/>
    <hyperlink ref="K1608" r:id="rId1606" xr:uid="{00000000-0004-0000-0D00-000045060000}"/>
    <hyperlink ref="K1609" r:id="rId1607" xr:uid="{00000000-0004-0000-0D00-000046060000}"/>
    <hyperlink ref="K1610" r:id="rId1608" xr:uid="{00000000-0004-0000-0D00-000047060000}"/>
    <hyperlink ref="K1611" r:id="rId1609" xr:uid="{00000000-0004-0000-0D00-000048060000}"/>
    <hyperlink ref="K1612" r:id="rId1610" xr:uid="{00000000-0004-0000-0D00-000049060000}"/>
    <hyperlink ref="K1613" r:id="rId1611" xr:uid="{00000000-0004-0000-0D00-00004A060000}"/>
    <hyperlink ref="K1614" r:id="rId1612" xr:uid="{00000000-0004-0000-0D00-00004B060000}"/>
    <hyperlink ref="K1615" r:id="rId1613" xr:uid="{00000000-0004-0000-0D00-00004C060000}"/>
    <hyperlink ref="K1616" r:id="rId1614" xr:uid="{00000000-0004-0000-0D00-00004D060000}"/>
    <hyperlink ref="K1617" r:id="rId1615" xr:uid="{00000000-0004-0000-0D00-00004E060000}"/>
    <hyperlink ref="K1618" r:id="rId1616" xr:uid="{00000000-0004-0000-0D00-00004F060000}"/>
    <hyperlink ref="K1619" r:id="rId1617" xr:uid="{00000000-0004-0000-0D00-000050060000}"/>
    <hyperlink ref="K1620" r:id="rId1618" xr:uid="{00000000-0004-0000-0D00-000051060000}"/>
    <hyperlink ref="K1621" r:id="rId1619" xr:uid="{00000000-0004-0000-0D00-000052060000}"/>
    <hyperlink ref="K1622" r:id="rId1620" xr:uid="{00000000-0004-0000-0D00-000053060000}"/>
    <hyperlink ref="K1623" r:id="rId1621" xr:uid="{00000000-0004-0000-0D00-000054060000}"/>
    <hyperlink ref="K1624" r:id="rId1622" xr:uid="{00000000-0004-0000-0D00-000055060000}"/>
    <hyperlink ref="K1625" r:id="rId1623" xr:uid="{00000000-0004-0000-0D00-000056060000}"/>
    <hyperlink ref="K1626" r:id="rId1624" xr:uid="{00000000-0004-0000-0D00-000057060000}"/>
    <hyperlink ref="K1627" r:id="rId1625" xr:uid="{00000000-0004-0000-0D00-000058060000}"/>
    <hyperlink ref="K1628" r:id="rId1626" xr:uid="{00000000-0004-0000-0D00-000059060000}"/>
    <hyperlink ref="K1629" r:id="rId1627" xr:uid="{00000000-0004-0000-0D00-00005A060000}"/>
    <hyperlink ref="K1630" r:id="rId1628" xr:uid="{00000000-0004-0000-0D00-00005B060000}"/>
    <hyperlink ref="K1631" r:id="rId1629" xr:uid="{00000000-0004-0000-0D00-00005C060000}"/>
    <hyperlink ref="K1632" r:id="rId1630" xr:uid="{00000000-0004-0000-0D00-00005D060000}"/>
    <hyperlink ref="K1633" r:id="rId1631" xr:uid="{00000000-0004-0000-0D00-00005E060000}"/>
    <hyperlink ref="K1634" r:id="rId1632" xr:uid="{00000000-0004-0000-0D00-00005F060000}"/>
    <hyperlink ref="K1635" r:id="rId1633" xr:uid="{00000000-0004-0000-0D00-000060060000}"/>
    <hyperlink ref="K1636" r:id="rId1634" xr:uid="{00000000-0004-0000-0D00-000061060000}"/>
    <hyperlink ref="K1637" r:id="rId1635" xr:uid="{00000000-0004-0000-0D00-000062060000}"/>
    <hyperlink ref="K1638" r:id="rId1636" xr:uid="{00000000-0004-0000-0D00-000063060000}"/>
    <hyperlink ref="K1639" r:id="rId1637" xr:uid="{00000000-0004-0000-0D00-000064060000}"/>
    <hyperlink ref="K1640" r:id="rId1638" xr:uid="{00000000-0004-0000-0D00-000065060000}"/>
    <hyperlink ref="K1641" r:id="rId1639" xr:uid="{00000000-0004-0000-0D00-000066060000}"/>
    <hyperlink ref="K1642" r:id="rId1640" xr:uid="{00000000-0004-0000-0D00-000067060000}"/>
    <hyperlink ref="K1643" r:id="rId1641" xr:uid="{00000000-0004-0000-0D00-000068060000}"/>
    <hyperlink ref="K1644" r:id="rId1642" xr:uid="{00000000-0004-0000-0D00-000069060000}"/>
    <hyperlink ref="K1645" r:id="rId1643" xr:uid="{00000000-0004-0000-0D00-00006A060000}"/>
    <hyperlink ref="K1646" r:id="rId1644" xr:uid="{00000000-0004-0000-0D00-00006B060000}"/>
    <hyperlink ref="K1647" r:id="rId1645" xr:uid="{00000000-0004-0000-0D00-00006C060000}"/>
    <hyperlink ref="K1648" r:id="rId1646" xr:uid="{00000000-0004-0000-0D00-00006D060000}"/>
    <hyperlink ref="K1649" r:id="rId1647" xr:uid="{00000000-0004-0000-0D00-00006E060000}"/>
    <hyperlink ref="K1650" r:id="rId1648" xr:uid="{00000000-0004-0000-0D00-00006F060000}"/>
    <hyperlink ref="K1651" r:id="rId1649" xr:uid="{00000000-0004-0000-0D00-000070060000}"/>
    <hyperlink ref="K1652" r:id="rId1650" xr:uid="{00000000-0004-0000-0D00-000071060000}"/>
    <hyperlink ref="K1653" r:id="rId1651" xr:uid="{00000000-0004-0000-0D00-000072060000}"/>
    <hyperlink ref="K1654" r:id="rId1652" xr:uid="{00000000-0004-0000-0D00-000073060000}"/>
    <hyperlink ref="K1655" r:id="rId1653" xr:uid="{00000000-0004-0000-0D00-000074060000}"/>
    <hyperlink ref="K1656" r:id="rId1654" xr:uid="{00000000-0004-0000-0D00-000075060000}"/>
    <hyperlink ref="K1657" r:id="rId1655" xr:uid="{00000000-0004-0000-0D00-000076060000}"/>
    <hyperlink ref="K1658" r:id="rId1656" xr:uid="{00000000-0004-0000-0D00-000077060000}"/>
    <hyperlink ref="K1659" r:id="rId1657" xr:uid="{00000000-0004-0000-0D00-000078060000}"/>
    <hyperlink ref="K1660" r:id="rId1658" xr:uid="{00000000-0004-0000-0D00-000079060000}"/>
    <hyperlink ref="K1661" r:id="rId1659" xr:uid="{00000000-0004-0000-0D00-00007A060000}"/>
    <hyperlink ref="K1662" r:id="rId1660" xr:uid="{00000000-0004-0000-0D00-00007B060000}"/>
    <hyperlink ref="K1663" r:id="rId1661" xr:uid="{00000000-0004-0000-0D00-00007C060000}"/>
    <hyperlink ref="K1664" r:id="rId1662" xr:uid="{00000000-0004-0000-0D00-00007D060000}"/>
    <hyperlink ref="K1665" r:id="rId1663" xr:uid="{00000000-0004-0000-0D00-00007E060000}"/>
    <hyperlink ref="K1666" r:id="rId1664" xr:uid="{00000000-0004-0000-0D00-00007F060000}"/>
    <hyperlink ref="K1667" r:id="rId1665" xr:uid="{00000000-0004-0000-0D00-000080060000}"/>
    <hyperlink ref="K1668" r:id="rId1666" xr:uid="{00000000-0004-0000-0D00-000081060000}"/>
    <hyperlink ref="K1669" r:id="rId1667" xr:uid="{00000000-0004-0000-0D00-000082060000}"/>
    <hyperlink ref="K1670" r:id="rId1668" xr:uid="{00000000-0004-0000-0D00-000083060000}"/>
    <hyperlink ref="K1671" r:id="rId1669" xr:uid="{00000000-0004-0000-0D00-000084060000}"/>
    <hyperlink ref="K1672" r:id="rId1670" xr:uid="{00000000-0004-0000-0D00-000085060000}"/>
    <hyperlink ref="K1673" r:id="rId1671" xr:uid="{00000000-0004-0000-0D00-000086060000}"/>
    <hyperlink ref="K1674" r:id="rId1672" xr:uid="{00000000-0004-0000-0D00-000087060000}"/>
    <hyperlink ref="K1675" r:id="rId1673" xr:uid="{00000000-0004-0000-0D00-000088060000}"/>
    <hyperlink ref="K1676" r:id="rId1674" xr:uid="{00000000-0004-0000-0D00-000089060000}"/>
    <hyperlink ref="K1677" r:id="rId1675" xr:uid="{00000000-0004-0000-0D00-00008A060000}"/>
    <hyperlink ref="K1678" r:id="rId1676" xr:uid="{00000000-0004-0000-0D00-00008B060000}"/>
    <hyperlink ref="K1679" r:id="rId1677" xr:uid="{00000000-0004-0000-0D00-00008C060000}"/>
    <hyperlink ref="K1680" r:id="rId1678" xr:uid="{00000000-0004-0000-0D00-00008D060000}"/>
    <hyperlink ref="K1681" r:id="rId1679" xr:uid="{00000000-0004-0000-0D00-00008E060000}"/>
    <hyperlink ref="K1682" r:id="rId1680" xr:uid="{00000000-0004-0000-0D00-00008F060000}"/>
    <hyperlink ref="K1683" r:id="rId1681" xr:uid="{00000000-0004-0000-0D00-000090060000}"/>
    <hyperlink ref="K1684" r:id="rId1682" xr:uid="{00000000-0004-0000-0D00-000091060000}"/>
    <hyperlink ref="K1685" r:id="rId1683" xr:uid="{00000000-0004-0000-0D00-000092060000}"/>
    <hyperlink ref="K1686" r:id="rId1684" xr:uid="{00000000-0004-0000-0D00-000093060000}"/>
    <hyperlink ref="K1687" r:id="rId1685" xr:uid="{00000000-0004-0000-0D00-000094060000}"/>
    <hyperlink ref="K1688" r:id="rId1686" xr:uid="{00000000-0004-0000-0D00-000095060000}"/>
    <hyperlink ref="K1689" r:id="rId1687" xr:uid="{00000000-0004-0000-0D00-000096060000}"/>
    <hyperlink ref="K1690" r:id="rId1688" xr:uid="{00000000-0004-0000-0D00-000097060000}"/>
    <hyperlink ref="K1691" r:id="rId1689" xr:uid="{00000000-0004-0000-0D00-000098060000}"/>
    <hyperlink ref="K1692" r:id="rId1690" xr:uid="{00000000-0004-0000-0D00-000099060000}"/>
    <hyperlink ref="K1693" r:id="rId1691" xr:uid="{00000000-0004-0000-0D00-00009A060000}"/>
    <hyperlink ref="K1694" r:id="rId1692" xr:uid="{00000000-0004-0000-0D00-00009B060000}"/>
    <hyperlink ref="K1695" r:id="rId1693" xr:uid="{00000000-0004-0000-0D00-00009C060000}"/>
    <hyperlink ref="K1696" r:id="rId1694" xr:uid="{00000000-0004-0000-0D00-00009D060000}"/>
    <hyperlink ref="K1697" r:id="rId1695" xr:uid="{00000000-0004-0000-0D00-00009E060000}"/>
    <hyperlink ref="K1698" r:id="rId1696" xr:uid="{00000000-0004-0000-0D00-00009F060000}"/>
    <hyperlink ref="K1699" r:id="rId1697" xr:uid="{00000000-0004-0000-0D00-0000A0060000}"/>
    <hyperlink ref="K1700" r:id="rId1698" xr:uid="{00000000-0004-0000-0D00-0000A1060000}"/>
    <hyperlink ref="K1701" r:id="rId1699" xr:uid="{00000000-0004-0000-0D00-0000A2060000}"/>
    <hyperlink ref="K1702" r:id="rId1700" xr:uid="{00000000-0004-0000-0D00-0000A3060000}"/>
    <hyperlink ref="K1703" r:id="rId1701" xr:uid="{00000000-0004-0000-0D00-0000A4060000}"/>
    <hyperlink ref="K1704" r:id="rId1702" xr:uid="{00000000-0004-0000-0D00-0000A5060000}"/>
    <hyperlink ref="K1705" r:id="rId1703" xr:uid="{00000000-0004-0000-0D00-0000A6060000}"/>
    <hyperlink ref="K1706" r:id="rId1704" xr:uid="{00000000-0004-0000-0D00-0000A7060000}"/>
    <hyperlink ref="K1707" r:id="rId1705" xr:uid="{00000000-0004-0000-0D00-0000A8060000}"/>
    <hyperlink ref="K1708" r:id="rId1706" xr:uid="{00000000-0004-0000-0D00-0000A9060000}"/>
    <hyperlink ref="K1709" r:id="rId1707" xr:uid="{00000000-0004-0000-0D00-0000AA060000}"/>
    <hyperlink ref="K1710" r:id="rId1708" xr:uid="{00000000-0004-0000-0D00-0000AB060000}"/>
    <hyperlink ref="K1711" r:id="rId1709" xr:uid="{00000000-0004-0000-0D00-0000AC060000}"/>
    <hyperlink ref="K1712" r:id="rId1710" xr:uid="{00000000-0004-0000-0D00-0000AD060000}"/>
    <hyperlink ref="K1713" r:id="rId1711" xr:uid="{00000000-0004-0000-0D00-0000AE060000}"/>
    <hyperlink ref="K1714" r:id="rId1712" xr:uid="{00000000-0004-0000-0D00-0000AF060000}"/>
    <hyperlink ref="K1715" r:id="rId1713" xr:uid="{00000000-0004-0000-0D00-0000B0060000}"/>
    <hyperlink ref="K1716" r:id="rId1714" xr:uid="{00000000-0004-0000-0D00-0000B1060000}"/>
    <hyperlink ref="K1717" r:id="rId1715" xr:uid="{00000000-0004-0000-0D00-0000B2060000}"/>
    <hyperlink ref="K1718" r:id="rId1716" xr:uid="{00000000-0004-0000-0D00-0000B3060000}"/>
    <hyperlink ref="K1719" r:id="rId1717" xr:uid="{00000000-0004-0000-0D00-0000B4060000}"/>
    <hyperlink ref="K1720" r:id="rId1718" xr:uid="{00000000-0004-0000-0D00-0000B5060000}"/>
    <hyperlink ref="K1721" r:id="rId1719" xr:uid="{00000000-0004-0000-0D00-0000B6060000}"/>
    <hyperlink ref="K1722" r:id="rId1720" xr:uid="{00000000-0004-0000-0D00-0000B7060000}"/>
    <hyperlink ref="K1723" r:id="rId1721" xr:uid="{00000000-0004-0000-0D00-0000B8060000}"/>
    <hyperlink ref="K1724" r:id="rId1722" xr:uid="{00000000-0004-0000-0D00-0000B9060000}"/>
    <hyperlink ref="K1725" r:id="rId1723" xr:uid="{00000000-0004-0000-0D00-0000BA060000}"/>
    <hyperlink ref="K1726" r:id="rId1724" xr:uid="{00000000-0004-0000-0D00-0000BB060000}"/>
    <hyperlink ref="K1727" r:id="rId1725" xr:uid="{00000000-0004-0000-0D00-0000BC060000}"/>
    <hyperlink ref="K1728" r:id="rId1726" xr:uid="{00000000-0004-0000-0D00-0000BD060000}"/>
    <hyperlink ref="K1729" r:id="rId1727" xr:uid="{00000000-0004-0000-0D00-0000BE060000}"/>
    <hyperlink ref="K1730" r:id="rId1728" xr:uid="{00000000-0004-0000-0D00-0000BF060000}"/>
    <hyperlink ref="K1731" r:id="rId1729" xr:uid="{00000000-0004-0000-0D00-0000C0060000}"/>
    <hyperlink ref="K1732" r:id="rId1730" xr:uid="{00000000-0004-0000-0D00-0000C1060000}"/>
    <hyperlink ref="K1733" r:id="rId1731" xr:uid="{00000000-0004-0000-0D00-0000C2060000}"/>
    <hyperlink ref="K1734" r:id="rId1732" xr:uid="{00000000-0004-0000-0D00-0000C3060000}"/>
    <hyperlink ref="K1735" r:id="rId1733" xr:uid="{00000000-0004-0000-0D00-0000C4060000}"/>
    <hyperlink ref="K1736" r:id="rId1734" xr:uid="{00000000-0004-0000-0D00-0000C5060000}"/>
    <hyperlink ref="K1737" r:id="rId1735" xr:uid="{00000000-0004-0000-0D00-0000C6060000}"/>
    <hyperlink ref="K1738" r:id="rId1736" xr:uid="{00000000-0004-0000-0D00-0000C7060000}"/>
    <hyperlink ref="K1739" r:id="rId1737" xr:uid="{00000000-0004-0000-0D00-0000C8060000}"/>
    <hyperlink ref="K1740" r:id="rId1738" xr:uid="{00000000-0004-0000-0D00-0000C9060000}"/>
    <hyperlink ref="K1741" r:id="rId1739" xr:uid="{00000000-0004-0000-0D00-0000CA060000}"/>
    <hyperlink ref="K1742" r:id="rId1740" xr:uid="{00000000-0004-0000-0D00-0000CB060000}"/>
    <hyperlink ref="K1743" r:id="rId1741" xr:uid="{00000000-0004-0000-0D00-0000CC060000}"/>
    <hyperlink ref="K1744" r:id="rId1742" xr:uid="{00000000-0004-0000-0D00-0000CD060000}"/>
    <hyperlink ref="K1745" r:id="rId1743" xr:uid="{00000000-0004-0000-0D00-0000CE060000}"/>
    <hyperlink ref="K1746" r:id="rId1744" xr:uid="{00000000-0004-0000-0D00-0000CF060000}"/>
    <hyperlink ref="K1747" r:id="rId1745" xr:uid="{00000000-0004-0000-0D00-0000D0060000}"/>
    <hyperlink ref="K1748" r:id="rId1746" xr:uid="{00000000-0004-0000-0D00-0000D1060000}"/>
    <hyperlink ref="K1749" r:id="rId1747" xr:uid="{00000000-0004-0000-0D00-0000D2060000}"/>
    <hyperlink ref="K1750" r:id="rId1748" xr:uid="{00000000-0004-0000-0D00-0000D3060000}"/>
    <hyperlink ref="K1751" r:id="rId1749" xr:uid="{00000000-0004-0000-0D00-0000D4060000}"/>
    <hyperlink ref="K1752" r:id="rId1750" xr:uid="{00000000-0004-0000-0D00-0000D5060000}"/>
    <hyperlink ref="K1753" r:id="rId1751" xr:uid="{00000000-0004-0000-0D00-0000D6060000}"/>
    <hyperlink ref="K1754" r:id="rId1752" xr:uid="{00000000-0004-0000-0D00-0000D7060000}"/>
    <hyperlink ref="K1755" r:id="rId1753" xr:uid="{00000000-0004-0000-0D00-0000D8060000}"/>
    <hyperlink ref="K1756" r:id="rId1754" xr:uid="{00000000-0004-0000-0D00-0000D9060000}"/>
    <hyperlink ref="K1757" r:id="rId1755" xr:uid="{00000000-0004-0000-0D00-0000DA060000}"/>
    <hyperlink ref="K1758" r:id="rId1756" xr:uid="{00000000-0004-0000-0D00-0000DB060000}"/>
    <hyperlink ref="K1759" r:id="rId1757" xr:uid="{00000000-0004-0000-0D00-0000DC060000}"/>
    <hyperlink ref="K1760" r:id="rId1758" xr:uid="{00000000-0004-0000-0D00-0000DD060000}"/>
    <hyperlink ref="K1761" r:id="rId1759" xr:uid="{00000000-0004-0000-0D00-0000DE060000}"/>
    <hyperlink ref="K1762" r:id="rId1760" xr:uid="{00000000-0004-0000-0D00-0000DF060000}"/>
    <hyperlink ref="K1763" r:id="rId1761" xr:uid="{00000000-0004-0000-0D00-0000E0060000}"/>
    <hyperlink ref="K1764" r:id="rId1762" xr:uid="{00000000-0004-0000-0D00-0000E1060000}"/>
    <hyperlink ref="K1765" r:id="rId1763" xr:uid="{00000000-0004-0000-0D00-0000E2060000}"/>
    <hyperlink ref="K1766" r:id="rId1764" xr:uid="{00000000-0004-0000-0D00-0000E3060000}"/>
    <hyperlink ref="K1767" r:id="rId1765" xr:uid="{00000000-0004-0000-0D00-0000E4060000}"/>
    <hyperlink ref="K1768" r:id="rId1766" xr:uid="{00000000-0004-0000-0D00-0000E5060000}"/>
    <hyperlink ref="K1769" r:id="rId1767" xr:uid="{00000000-0004-0000-0D00-0000E6060000}"/>
    <hyperlink ref="K1770" r:id="rId1768" xr:uid="{00000000-0004-0000-0D00-0000E7060000}"/>
    <hyperlink ref="K1771" r:id="rId1769" xr:uid="{00000000-0004-0000-0D00-0000E8060000}"/>
    <hyperlink ref="K1772" r:id="rId1770" xr:uid="{00000000-0004-0000-0D00-0000E9060000}"/>
    <hyperlink ref="K1773" r:id="rId1771" xr:uid="{00000000-0004-0000-0D00-0000EA060000}"/>
    <hyperlink ref="K1774" r:id="rId1772" xr:uid="{00000000-0004-0000-0D00-0000EB060000}"/>
    <hyperlink ref="K1775" r:id="rId1773" xr:uid="{00000000-0004-0000-0D00-0000EC060000}"/>
    <hyperlink ref="K1776" r:id="rId1774" xr:uid="{00000000-0004-0000-0D00-0000ED060000}"/>
    <hyperlink ref="K1777" r:id="rId1775" xr:uid="{00000000-0004-0000-0D00-0000EE060000}"/>
    <hyperlink ref="K1778" r:id="rId1776" xr:uid="{00000000-0004-0000-0D00-0000EF060000}"/>
    <hyperlink ref="K1779" r:id="rId1777" xr:uid="{00000000-0004-0000-0D00-0000F0060000}"/>
    <hyperlink ref="K1780" r:id="rId1778" xr:uid="{00000000-0004-0000-0D00-0000F1060000}"/>
    <hyperlink ref="K1781" r:id="rId1779" xr:uid="{00000000-0004-0000-0D00-0000F2060000}"/>
    <hyperlink ref="K1782" r:id="rId1780" xr:uid="{00000000-0004-0000-0D00-0000F3060000}"/>
    <hyperlink ref="K1783" r:id="rId1781" xr:uid="{00000000-0004-0000-0D00-0000F4060000}"/>
    <hyperlink ref="K1784" r:id="rId1782" xr:uid="{00000000-0004-0000-0D00-0000F5060000}"/>
    <hyperlink ref="K1785" r:id="rId1783" xr:uid="{00000000-0004-0000-0D00-0000F6060000}"/>
    <hyperlink ref="K1786" r:id="rId1784" xr:uid="{00000000-0004-0000-0D00-0000F7060000}"/>
    <hyperlink ref="K1787" r:id="rId1785" xr:uid="{00000000-0004-0000-0D00-0000F8060000}"/>
    <hyperlink ref="K1788" r:id="rId1786" xr:uid="{00000000-0004-0000-0D00-0000F9060000}"/>
    <hyperlink ref="K1789" r:id="rId1787" xr:uid="{00000000-0004-0000-0D00-0000FA060000}"/>
    <hyperlink ref="K1790" r:id="rId1788" xr:uid="{00000000-0004-0000-0D00-0000FB060000}"/>
    <hyperlink ref="K1791" r:id="rId1789" xr:uid="{00000000-0004-0000-0D00-0000FC060000}"/>
    <hyperlink ref="K1792" r:id="rId1790" xr:uid="{00000000-0004-0000-0D00-0000FD060000}"/>
    <hyperlink ref="K1793" r:id="rId1791" xr:uid="{00000000-0004-0000-0D00-0000FE060000}"/>
    <hyperlink ref="K1794" r:id="rId1792" xr:uid="{00000000-0004-0000-0D00-0000FF060000}"/>
    <hyperlink ref="K1795" r:id="rId1793" xr:uid="{00000000-0004-0000-0D00-000000070000}"/>
    <hyperlink ref="K1796" r:id="rId1794" xr:uid="{00000000-0004-0000-0D00-000001070000}"/>
    <hyperlink ref="K1797" r:id="rId1795" xr:uid="{00000000-0004-0000-0D00-000002070000}"/>
    <hyperlink ref="K1798" r:id="rId1796" xr:uid="{00000000-0004-0000-0D00-000003070000}"/>
    <hyperlink ref="K1799" r:id="rId1797" xr:uid="{00000000-0004-0000-0D00-000004070000}"/>
    <hyperlink ref="K1800" r:id="rId1798" xr:uid="{00000000-0004-0000-0D00-000005070000}"/>
    <hyperlink ref="K1801" r:id="rId1799" xr:uid="{00000000-0004-0000-0D00-000006070000}"/>
    <hyperlink ref="K1802" r:id="rId1800" xr:uid="{00000000-0004-0000-0D00-000007070000}"/>
    <hyperlink ref="K1803" r:id="rId1801" xr:uid="{00000000-0004-0000-0D00-000008070000}"/>
    <hyperlink ref="K1804" r:id="rId1802" xr:uid="{00000000-0004-0000-0D00-000009070000}"/>
    <hyperlink ref="K1805" r:id="rId1803" xr:uid="{00000000-0004-0000-0D00-00000A070000}"/>
    <hyperlink ref="K1806" r:id="rId1804" xr:uid="{00000000-0004-0000-0D00-00000B070000}"/>
    <hyperlink ref="K1807" r:id="rId1805" xr:uid="{00000000-0004-0000-0D00-00000C070000}"/>
    <hyperlink ref="K1808" r:id="rId1806" xr:uid="{00000000-0004-0000-0D00-00000D070000}"/>
    <hyperlink ref="K1809" r:id="rId1807" xr:uid="{00000000-0004-0000-0D00-00000E070000}"/>
    <hyperlink ref="K1810" r:id="rId1808" xr:uid="{00000000-0004-0000-0D00-00000F070000}"/>
    <hyperlink ref="K1811" r:id="rId1809" xr:uid="{00000000-0004-0000-0D00-000010070000}"/>
    <hyperlink ref="K1812" r:id="rId1810" xr:uid="{00000000-0004-0000-0D00-000011070000}"/>
    <hyperlink ref="K1813" r:id="rId1811" xr:uid="{00000000-0004-0000-0D00-000012070000}"/>
    <hyperlink ref="K1814" r:id="rId1812" xr:uid="{00000000-0004-0000-0D00-000013070000}"/>
    <hyperlink ref="K1815" r:id="rId1813" xr:uid="{00000000-0004-0000-0D00-000014070000}"/>
    <hyperlink ref="K1816" r:id="rId1814" xr:uid="{00000000-0004-0000-0D00-000015070000}"/>
    <hyperlink ref="K1817" r:id="rId1815" xr:uid="{00000000-0004-0000-0D00-000016070000}"/>
    <hyperlink ref="K1818" r:id="rId1816" xr:uid="{00000000-0004-0000-0D00-000017070000}"/>
    <hyperlink ref="K1819" r:id="rId1817" xr:uid="{00000000-0004-0000-0D00-000018070000}"/>
    <hyperlink ref="K1820" r:id="rId1818" xr:uid="{00000000-0004-0000-0D00-000019070000}"/>
    <hyperlink ref="K1821" r:id="rId1819" xr:uid="{00000000-0004-0000-0D00-00001A070000}"/>
    <hyperlink ref="K1822" r:id="rId1820" xr:uid="{00000000-0004-0000-0D00-00001B070000}"/>
    <hyperlink ref="K1823" r:id="rId1821" xr:uid="{00000000-0004-0000-0D00-00001C070000}"/>
    <hyperlink ref="K1824" r:id="rId1822" xr:uid="{00000000-0004-0000-0D00-00001D070000}"/>
    <hyperlink ref="K1825" r:id="rId1823" xr:uid="{00000000-0004-0000-0D00-00001E070000}"/>
    <hyperlink ref="K1826" r:id="rId1824" xr:uid="{00000000-0004-0000-0D00-00001F070000}"/>
    <hyperlink ref="K1827" r:id="rId1825" xr:uid="{00000000-0004-0000-0D00-000020070000}"/>
    <hyperlink ref="K1828" r:id="rId1826" xr:uid="{00000000-0004-0000-0D00-000021070000}"/>
    <hyperlink ref="K1829" r:id="rId1827" xr:uid="{00000000-0004-0000-0D00-000022070000}"/>
    <hyperlink ref="K1830" r:id="rId1828" xr:uid="{00000000-0004-0000-0D00-000023070000}"/>
    <hyperlink ref="K1831" r:id="rId1829" xr:uid="{00000000-0004-0000-0D00-000024070000}"/>
    <hyperlink ref="K1832" r:id="rId1830" xr:uid="{00000000-0004-0000-0D00-000025070000}"/>
    <hyperlink ref="K1833" r:id="rId1831" xr:uid="{00000000-0004-0000-0D00-000026070000}"/>
    <hyperlink ref="K1834" r:id="rId1832" xr:uid="{00000000-0004-0000-0D00-000027070000}"/>
    <hyperlink ref="K1835" r:id="rId1833" xr:uid="{00000000-0004-0000-0D00-000028070000}"/>
    <hyperlink ref="K1836" r:id="rId1834" xr:uid="{00000000-0004-0000-0D00-000029070000}"/>
    <hyperlink ref="K1837" r:id="rId1835" xr:uid="{00000000-0004-0000-0D00-00002A070000}"/>
    <hyperlink ref="K1838" r:id="rId1836" xr:uid="{00000000-0004-0000-0D00-00002B070000}"/>
    <hyperlink ref="K1839" r:id="rId1837" xr:uid="{00000000-0004-0000-0D00-00002C070000}"/>
    <hyperlink ref="K1840" r:id="rId1838" xr:uid="{00000000-0004-0000-0D00-00002D070000}"/>
    <hyperlink ref="K1841" r:id="rId1839" xr:uid="{00000000-0004-0000-0D00-00002E070000}"/>
    <hyperlink ref="K1842" r:id="rId1840" xr:uid="{00000000-0004-0000-0D00-00002F070000}"/>
    <hyperlink ref="K1843" r:id="rId1841" xr:uid="{00000000-0004-0000-0D00-000030070000}"/>
    <hyperlink ref="K1844" r:id="rId1842" xr:uid="{00000000-0004-0000-0D00-000031070000}"/>
    <hyperlink ref="K1845" r:id="rId1843" xr:uid="{00000000-0004-0000-0D00-000032070000}"/>
    <hyperlink ref="K1846" r:id="rId1844" xr:uid="{00000000-0004-0000-0D00-000033070000}"/>
    <hyperlink ref="K1847" r:id="rId1845" xr:uid="{00000000-0004-0000-0D00-000034070000}"/>
    <hyperlink ref="K1848" r:id="rId1846" xr:uid="{00000000-0004-0000-0D00-000035070000}"/>
    <hyperlink ref="K1849" r:id="rId1847" xr:uid="{00000000-0004-0000-0D00-000036070000}"/>
    <hyperlink ref="K1850" r:id="rId1848" xr:uid="{00000000-0004-0000-0D00-000037070000}"/>
    <hyperlink ref="K1851" r:id="rId1849" xr:uid="{00000000-0004-0000-0D00-000038070000}"/>
    <hyperlink ref="K1852" r:id="rId1850" xr:uid="{00000000-0004-0000-0D00-000039070000}"/>
    <hyperlink ref="K1853" r:id="rId1851" xr:uid="{00000000-0004-0000-0D00-00003A070000}"/>
    <hyperlink ref="K1854" r:id="rId1852" xr:uid="{00000000-0004-0000-0D00-00003B070000}"/>
    <hyperlink ref="K1855" r:id="rId1853" xr:uid="{00000000-0004-0000-0D00-00003C070000}"/>
    <hyperlink ref="K1856" r:id="rId1854" xr:uid="{00000000-0004-0000-0D00-00003D070000}"/>
    <hyperlink ref="K1857" r:id="rId1855" xr:uid="{00000000-0004-0000-0D00-00003E070000}"/>
    <hyperlink ref="K1858" r:id="rId1856" xr:uid="{00000000-0004-0000-0D00-00003F070000}"/>
    <hyperlink ref="K1859" r:id="rId1857" xr:uid="{00000000-0004-0000-0D00-000040070000}"/>
    <hyperlink ref="K1860" r:id="rId1858" xr:uid="{00000000-0004-0000-0D00-000041070000}"/>
    <hyperlink ref="K1861" r:id="rId1859" xr:uid="{00000000-0004-0000-0D00-000042070000}"/>
    <hyperlink ref="K1862" r:id="rId1860" xr:uid="{00000000-0004-0000-0D00-000043070000}"/>
    <hyperlink ref="K1863" r:id="rId1861" xr:uid="{00000000-0004-0000-0D00-000044070000}"/>
    <hyperlink ref="K1864" r:id="rId1862" xr:uid="{00000000-0004-0000-0D00-000045070000}"/>
    <hyperlink ref="K1865" r:id="rId1863" xr:uid="{00000000-0004-0000-0D00-000046070000}"/>
    <hyperlink ref="K1866" r:id="rId1864" xr:uid="{00000000-0004-0000-0D00-000047070000}"/>
    <hyperlink ref="K1867" r:id="rId1865" xr:uid="{00000000-0004-0000-0D00-000048070000}"/>
    <hyperlink ref="K1868" r:id="rId1866" xr:uid="{00000000-0004-0000-0D00-000049070000}"/>
    <hyperlink ref="K1869" r:id="rId1867" xr:uid="{00000000-0004-0000-0D00-00004A070000}"/>
    <hyperlink ref="K1870" r:id="rId1868" xr:uid="{00000000-0004-0000-0D00-00004B070000}"/>
    <hyperlink ref="K1871" r:id="rId1869" xr:uid="{00000000-0004-0000-0D00-00004C070000}"/>
    <hyperlink ref="K1872" r:id="rId1870" xr:uid="{00000000-0004-0000-0D00-00004D070000}"/>
    <hyperlink ref="K1873" r:id="rId1871" xr:uid="{00000000-0004-0000-0D00-00004E070000}"/>
    <hyperlink ref="K1874" r:id="rId1872" xr:uid="{00000000-0004-0000-0D00-00004F070000}"/>
    <hyperlink ref="K1875" r:id="rId1873" xr:uid="{00000000-0004-0000-0D00-000050070000}"/>
    <hyperlink ref="K1876" r:id="rId1874" xr:uid="{00000000-0004-0000-0D00-000051070000}"/>
    <hyperlink ref="K1877" r:id="rId1875" xr:uid="{00000000-0004-0000-0D00-000052070000}"/>
    <hyperlink ref="K1878" r:id="rId1876" xr:uid="{00000000-0004-0000-0D00-000053070000}"/>
    <hyperlink ref="K1879" r:id="rId1877" xr:uid="{00000000-0004-0000-0D00-000054070000}"/>
    <hyperlink ref="K1880" r:id="rId1878" xr:uid="{00000000-0004-0000-0D00-000055070000}"/>
    <hyperlink ref="K1881" r:id="rId1879" xr:uid="{00000000-0004-0000-0D00-000056070000}"/>
    <hyperlink ref="K1882" r:id="rId1880" xr:uid="{00000000-0004-0000-0D00-000057070000}"/>
    <hyperlink ref="K1883" r:id="rId1881" xr:uid="{00000000-0004-0000-0D00-000058070000}"/>
    <hyperlink ref="K1884" r:id="rId1882" xr:uid="{00000000-0004-0000-0D00-000059070000}"/>
    <hyperlink ref="K1885" r:id="rId1883" xr:uid="{00000000-0004-0000-0D00-00005A070000}"/>
    <hyperlink ref="K1886" r:id="rId1884" xr:uid="{00000000-0004-0000-0D00-00005B070000}"/>
    <hyperlink ref="K1887" r:id="rId1885" xr:uid="{00000000-0004-0000-0D00-00005C070000}"/>
    <hyperlink ref="K1888" r:id="rId1886" xr:uid="{00000000-0004-0000-0D00-00005D070000}"/>
    <hyperlink ref="K1889" r:id="rId1887" xr:uid="{00000000-0004-0000-0D00-00005E070000}"/>
    <hyperlink ref="K1890" r:id="rId1888" xr:uid="{00000000-0004-0000-0D00-00005F070000}"/>
    <hyperlink ref="K1891" r:id="rId1889" xr:uid="{00000000-0004-0000-0D00-000060070000}"/>
    <hyperlink ref="K1892" r:id="rId1890" xr:uid="{00000000-0004-0000-0D00-000061070000}"/>
    <hyperlink ref="K1893" r:id="rId1891" xr:uid="{00000000-0004-0000-0D00-000062070000}"/>
    <hyperlink ref="K1894" r:id="rId1892" xr:uid="{00000000-0004-0000-0D00-000063070000}"/>
    <hyperlink ref="K1895" r:id="rId1893" xr:uid="{00000000-0004-0000-0D00-000064070000}"/>
    <hyperlink ref="K1896" r:id="rId1894" xr:uid="{00000000-0004-0000-0D00-000065070000}"/>
    <hyperlink ref="K1897" r:id="rId1895" xr:uid="{00000000-0004-0000-0D00-000066070000}"/>
    <hyperlink ref="K1898" r:id="rId1896" xr:uid="{00000000-0004-0000-0D00-000067070000}"/>
    <hyperlink ref="K1899" r:id="rId1897" xr:uid="{00000000-0004-0000-0D00-000068070000}"/>
    <hyperlink ref="K1900" r:id="rId1898" xr:uid="{00000000-0004-0000-0D00-000069070000}"/>
    <hyperlink ref="K1901" r:id="rId1899" xr:uid="{00000000-0004-0000-0D00-00006A070000}"/>
    <hyperlink ref="K1902" r:id="rId1900" xr:uid="{00000000-0004-0000-0D00-00006B070000}"/>
    <hyperlink ref="K1903" r:id="rId1901" xr:uid="{00000000-0004-0000-0D00-00006C070000}"/>
    <hyperlink ref="K1904" r:id="rId1902" xr:uid="{00000000-0004-0000-0D00-00006D070000}"/>
    <hyperlink ref="K1905" r:id="rId1903" xr:uid="{00000000-0004-0000-0D00-00006E070000}"/>
    <hyperlink ref="K1906" r:id="rId1904" xr:uid="{00000000-0004-0000-0D00-00006F070000}"/>
    <hyperlink ref="K1907" r:id="rId1905" xr:uid="{00000000-0004-0000-0D00-000070070000}"/>
    <hyperlink ref="K1908" r:id="rId1906" xr:uid="{00000000-0004-0000-0D00-000071070000}"/>
    <hyperlink ref="K1909" r:id="rId1907" xr:uid="{00000000-0004-0000-0D00-000072070000}"/>
    <hyperlink ref="K1910" r:id="rId1908" xr:uid="{00000000-0004-0000-0D00-000073070000}"/>
    <hyperlink ref="K1911" r:id="rId1909" xr:uid="{00000000-0004-0000-0D00-000074070000}"/>
    <hyperlink ref="K1912" r:id="rId1910" xr:uid="{00000000-0004-0000-0D00-000075070000}"/>
    <hyperlink ref="K1913" r:id="rId1911" xr:uid="{00000000-0004-0000-0D00-000076070000}"/>
    <hyperlink ref="K1914" r:id="rId1912" xr:uid="{00000000-0004-0000-0D00-000077070000}"/>
    <hyperlink ref="K1915" r:id="rId1913" xr:uid="{00000000-0004-0000-0D00-000078070000}"/>
    <hyperlink ref="K1916" r:id="rId1914" xr:uid="{00000000-0004-0000-0D00-000079070000}"/>
    <hyperlink ref="K1917" r:id="rId1915" xr:uid="{00000000-0004-0000-0D00-00007A070000}"/>
    <hyperlink ref="K1918" r:id="rId1916" xr:uid="{00000000-0004-0000-0D00-00007B070000}"/>
    <hyperlink ref="K1919" r:id="rId1917" xr:uid="{00000000-0004-0000-0D00-00007C070000}"/>
    <hyperlink ref="K1920" r:id="rId1918" xr:uid="{00000000-0004-0000-0D00-00007D070000}"/>
    <hyperlink ref="K1921" r:id="rId1919" xr:uid="{00000000-0004-0000-0D00-00007E070000}"/>
    <hyperlink ref="K1922" r:id="rId1920" xr:uid="{00000000-0004-0000-0D00-00007F070000}"/>
    <hyperlink ref="K1923" r:id="rId1921" xr:uid="{00000000-0004-0000-0D00-000080070000}"/>
    <hyperlink ref="K1924" r:id="rId1922" xr:uid="{00000000-0004-0000-0D00-000081070000}"/>
    <hyperlink ref="K1925" r:id="rId1923" xr:uid="{00000000-0004-0000-0D00-000082070000}"/>
    <hyperlink ref="K1926" r:id="rId1924" xr:uid="{00000000-0004-0000-0D00-000083070000}"/>
    <hyperlink ref="K1927" r:id="rId1925" xr:uid="{00000000-0004-0000-0D00-000084070000}"/>
    <hyperlink ref="K1928" r:id="rId1926" xr:uid="{00000000-0004-0000-0D00-000085070000}"/>
    <hyperlink ref="K1929" r:id="rId1927" xr:uid="{00000000-0004-0000-0D00-000086070000}"/>
    <hyperlink ref="K1930" r:id="rId1928" xr:uid="{00000000-0004-0000-0D00-000087070000}"/>
    <hyperlink ref="K1931" r:id="rId1929" xr:uid="{00000000-0004-0000-0D00-000088070000}"/>
    <hyperlink ref="K1932" r:id="rId1930" xr:uid="{00000000-0004-0000-0D00-000089070000}"/>
    <hyperlink ref="K1933" r:id="rId1931" xr:uid="{00000000-0004-0000-0D00-00008A070000}"/>
    <hyperlink ref="K1934" r:id="rId1932" xr:uid="{00000000-0004-0000-0D00-00008B070000}"/>
    <hyperlink ref="K1935" r:id="rId1933" xr:uid="{00000000-0004-0000-0D00-00008C070000}"/>
    <hyperlink ref="K1936" r:id="rId1934" xr:uid="{00000000-0004-0000-0D00-00008D070000}"/>
    <hyperlink ref="K1937" r:id="rId1935" xr:uid="{00000000-0004-0000-0D00-00008E070000}"/>
    <hyperlink ref="K1938" r:id="rId1936" xr:uid="{00000000-0004-0000-0D00-00008F070000}"/>
    <hyperlink ref="K1939" r:id="rId1937" xr:uid="{00000000-0004-0000-0D00-000090070000}"/>
    <hyperlink ref="K1940" r:id="rId1938" xr:uid="{00000000-0004-0000-0D00-000091070000}"/>
    <hyperlink ref="K1941" r:id="rId1939" xr:uid="{00000000-0004-0000-0D00-000092070000}"/>
    <hyperlink ref="K1942" r:id="rId1940" xr:uid="{00000000-0004-0000-0D00-000093070000}"/>
    <hyperlink ref="K1943" r:id="rId1941" xr:uid="{00000000-0004-0000-0D00-000094070000}"/>
    <hyperlink ref="K1944" r:id="rId1942" xr:uid="{00000000-0004-0000-0D00-000095070000}"/>
    <hyperlink ref="K1945" r:id="rId1943" xr:uid="{00000000-0004-0000-0D00-000096070000}"/>
    <hyperlink ref="K1946" r:id="rId1944" xr:uid="{00000000-0004-0000-0D00-000097070000}"/>
    <hyperlink ref="K1947" r:id="rId1945" xr:uid="{00000000-0004-0000-0D00-000098070000}"/>
    <hyperlink ref="K1948" r:id="rId1946" xr:uid="{00000000-0004-0000-0D00-000099070000}"/>
    <hyperlink ref="K1949" r:id="rId1947" xr:uid="{00000000-0004-0000-0D00-00009A070000}"/>
    <hyperlink ref="K1950" r:id="rId1948" xr:uid="{00000000-0004-0000-0D00-00009B070000}"/>
    <hyperlink ref="K1951" r:id="rId1949" xr:uid="{00000000-0004-0000-0D00-00009C070000}"/>
    <hyperlink ref="K1952" r:id="rId1950" xr:uid="{00000000-0004-0000-0D00-00009D070000}"/>
    <hyperlink ref="K1953" r:id="rId1951" xr:uid="{00000000-0004-0000-0D00-00009E070000}"/>
    <hyperlink ref="K1954" r:id="rId1952" xr:uid="{00000000-0004-0000-0D00-00009F070000}"/>
    <hyperlink ref="K1955" r:id="rId1953" xr:uid="{00000000-0004-0000-0D00-0000A0070000}"/>
    <hyperlink ref="K1956" r:id="rId1954" xr:uid="{00000000-0004-0000-0D00-0000A1070000}"/>
    <hyperlink ref="K1957" r:id="rId1955" xr:uid="{00000000-0004-0000-0D00-0000A2070000}"/>
    <hyperlink ref="K1958" r:id="rId1956" xr:uid="{00000000-0004-0000-0D00-0000A3070000}"/>
    <hyperlink ref="K1959" r:id="rId1957" xr:uid="{00000000-0004-0000-0D00-0000A4070000}"/>
    <hyperlink ref="K1960" r:id="rId1958" xr:uid="{00000000-0004-0000-0D00-0000A5070000}"/>
    <hyperlink ref="K1961" r:id="rId1959" xr:uid="{00000000-0004-0000-0D00-0000A6070000}"/>
    <hyperlink ref="K1962" r:id="rId1960" xr:uid="{00000000-0004-0000-0D00-0000A7070000}"/>
    <hyperlink ref="K1963" r:id="rId1961" xr:uid="{00000000-0004-0000-0D00-0000A8070000}"/>
    <hyperlink ref="K1964" r:id="rId1962" xr:uid="{00000000-0004-0000-0D00-0000A9070000}"/>
    <hyperlink ref="K1965" r:id="rId1963" xr:uid="{00000000-0004-0000-0D00-0000AA070000}"/>
    <hyperlink ref="K1966" r:id="rId1964" xr:uid="{00000000-0004-0000-0D00-0000AB070000}"/>
    <hyperlink ref="K1967" r:id="rId1965" xr:uid="{00000000-0004-0000-0D00-0000AC070000}"/>
    <hyperlink ref="K1968" r:id="rId1966" xr:uid="{00000000-0004-0000-0D00-0000AD070000}"/>
    <hyperlink ref="K1969" r:id="rId1967" xr:uid="{00000000-0004-0000-0D00-0000AE070000}"/>
    <hyperlink ref="K1970" r:id="rId1968" xr:uid="{00000000-0004-0000-0D00-0000AF070000}"/>
    <hyperlink ref="K1971" r:id="rId1969" xr:uid="{00000000-0004-0000-0D00-0000B0070000}"/>
    <hyperlink ref="K1972" r:id="rId1970" xr:uid="{00000000-0004-0000-0D00-0000B1070000}"/>
    <hyperlink ref="K1973" r:id="rId1971" xr:uid="{00000000-0004-0000-0D00-0000B2070000}"/>
    <hyperlink ref="K1974" r:id="rId1972" xr:uid="{00000000-0004-0000-0D00-0000B3070000}"/>
    <hyperlink ref="K1975" r:id="rId1973" xr:uid="{00000000-0004-0000-0D00-0000B4070000}"/>
    <hyperlink ref="K1976" r:id="rId1974" xr:uid="{00000000-0004-0000-0D00-0000B5070000}"/>
    <hyperlink ref="K1977" r:id="rId1975" xr:uid="{00000000-0004-0000-0D00-0000B6070000}"/>
    <hyperlink ref="K1978" r:id="rId1976" xr:uid="{00000000-0004-0000-0D00-0000B7070000}"/>
    <hyperlink ref="K1979" r:id="rId1977" xr:uid="{00000000-0004-0000-0D00-0000B8070000}"/>
    <hyperlink ref="K1980" r:id="rId1978" xr:uid="{00000000-0004-0000-0D00-0000B9070000}"/>
    <hyperlink ref="K1981" r:id="rId1979" xr:uid="{00000000-0004-0000-0D00-0000BA070000}"/>
    <hyperlink ref="K1982" r:id="rId1980" xr:uid="{00000000-0004-0000-0D00-0000BB070000}"/>
    <hyperlink ref="K1983" r:id="rId1981" xr:uid="{00000000-0004-0000-0D00-0000BC070000}"/>
    <hyperlink ref="K1984" r:id="rId1982" xr:uid="{00000000-0004-0000-0D00-0000BD070000}"/>
    <hyperlink ref="K1985" r:id="rId1983" xr:uid="{00000000-0004-0000-0D00-0000BE070000}"/>
    <hyperlink ref="K1986" r:id="rId1984" xr:uid="{00000000-0004-0000-0D00-0000BF070000}"/>
    <hyperlink ref="K1987" r:id="rId1985" xr:uid="{00000000-0004-0000-0D00-0000C0070000}"/>
    <hyperlink ref="K1988" r:id="rId1986" xr:uid="{00000000-0004-0000-0D00-0000C1070000}"/>
    <hyperlink ref="K1989" r:id="rId1987" xr:uid="{00000000-0004-0000-0D00-0000C2070000}"/>
    <hyperlink ref="K1990" r:id="rId1988" xr:uid="{00000000-0004-0000-0D00-0000C3070000}"/>
    <hyperlink ref="K1991" r:id="rId1989" xr:uid="{00000000-0004-0000-0D00-0000C4070000}"/>
    <hyperlink ref="K1992" r:id="rId1990" xr:uid="{00000000-0004-0000-0D00-0000C5070000}"/>
    <hyperlink ref="K1993" r:id="rId1991" xr:uid="{00000000-0004-0000-0D00-0000C6070000}"/>
    <hyperlink ref="K1994" r:id="rId1992" xr:uid="{00000000-0004-0000-0D00-0000C7070000}"/>
    <hyperlink ref="K1995" r:id="rId1993" xr:uid="{00000000-0004-0000-0D00-0000C8070000}"/>
    <hyperlink ref="K1996" r:id="rId1994" xr:uid="{00000000-0004-0000-0D00-0000C9070000}"/>
    <hyperlink ref="K1997" r:id="rId1995" xr:uid="{00000000-0004-0000-0D00-0000CA070000}"/>
    <hyperlink ref="K1998" r:id="rId1996" xr:uid="{00000000-0004-0000-0D00-0000CB070000}"/>
    <hyperlink ref="K1999" r:id="rId1997" xr:uid="{00000000-0004-0000-0D00-0000CC070000}"/>
    <hyperlink ref="K2000" r:id="rId1998" xr:uid="{00000000-0004-0000-0D00-0000CD070000}"/>
    <hyperlink ref="K2001" r:id="rId1999" xr:uid="{00000000-0004-0000-0D00-0000CE070000}"/>
    <hyperlink ref="K2002" r:id="rId2000" xr:uid="{00000000-0004-0000-0D00-0000CF070000}"/>
    <hyperlink ref="K2003" r:id="rId2001" xr:uid="{00000000-0004-0000-0D00-0000D0070000}"/>
    <hyperlink ref="K2004" r:id="rId2002" xr:uid="{00000000-0004-0000-0D00-0000D1070000}"/>
    <hyperlink ref="K2005" r:id="rId2003" xr:uid="{00000000-0004-0000-0D00-0000D2070000}"/>
    <hyperlink ref="K2006" r:id="rId2004" xr:uid="{00000000-0004-0000-0D00-0000D3070000}"/>
    <hyperlink ref="K2007" r:id="rId2005" xr:uid="{00000000-0004-0000-0D00-0000D4070000}"/>
    <hyperlink ref="K2008" r:id="rId2006" xr:uid="{00000000-0004-0000-0D00-0000D5070000}"/>
    <hyperlink ref="K2009" r:id="rId2007" xr:uid="{00000000-0004-0000-0D00-0000D6070000}"/>
    <hyperlink ref="K2010" r:id="rId2008" xr:uid="{00000000-0004-0000-0D00-0000D7070000}"/>
    <hyperlink ref="K2011" r:id="rId2009" xr:uid="{00000000-0004-0000-0D00-0000D8070000}"/>
    <hyperlink ref="K2012" r:id="rId2010" xr:uid="{00000000-0004-0000-0D00-0000D9070000}"/>
    <hyperlink ref="K2013" r:id="rId2011" xr:uid="{00000000-0004-0000-0D00-0000DA070000}"/>
    <hyperlink ref="K2014" r:id="rId2012" xr:uid="{00000000-0004-0000-0D00-0000DB070000}"/>
    <hyperlink ref="K2015" r:id="rId2013" xr:uid="{00000000-0004-0000-0D00-0000DC070000}"/>
    <hyperlink ref="K2016" r:id="rId2014" xr:uid="{00000000-0004-0000-0D00-0000DD070000}"/>
    <hyperlink ref="K2017" r:id="rId2015" xr:uid="{00000000-0004-0000-0D00-0000DE070000}"/>
    <hyperlink ref="K2018" r:id="rId2016" xr:uid="{00000000-0004-0000-0D00-0000DF070000}"/>
    <hyperlink ref="K2019" r:id="rId2017" xr:uid="{00000000-0004-0000-0D00-0000E0070000}"/>
    <hyperlink ref="K2020" r:id="rId2018" xr:uid="{00000000-0004-0000-0D00-0000E1070000}"/>
    <hyperlink ref="K2021" r:id="rId2019" xr:uid="{00000000-0004-0000-0D00-0000E2070000}"/>
    <hyperlink ref="K2022" r:id="rId2020" xr:uid="{00000000-0004-0000-0D00-0000E3070000}"/>
    <hyperlink ref="K2023" r:id="rId2021" xr:uid="{00000000-0004-0000-0D00-0000E4070000}"/>
    <hyperlink ref="K2024" r:id="rId2022" xr:uid="{00000000-0004-0000-0D00-0000E5070000}"/>
    <hyperlink ref="K2025" r:id="rId2023" xr:uid="{00000000-0004-0000-0D00-0000E6070000}"/>
    <hyperlink ref="K2026" r:id="rId2024" xr:uid="{00000000-0004-0000-0D00-0000E7070000}"/>
    <hyperlink ref="K2027" r:id="rId2025" xr:uid="{00000000-0004-0000-0D00-0000E8070000}"/>
    <hyperlink ref="K2028" r:id="rId2026" xr:uid="{00000000-0004-0000-0D00-0000E9070000}"/>
    <hyperlink ref="K2029" r:id="rId2027" xr:uid="{00000000-0004-0000-0D00-0000EA070000}"/>
    <hyperlink ref="K2030" r:id="rId2028" xr:uid="{00000000-0004-0000-0D00-0000EB070000}"/>
    <hyperlink ref="K2031" r:id="rId2029" xr:uid="{00000000-0004-0000-0D00-0000EC070000}"/>
    <hyperlink ref="K2032" r:id="rId2030" xr:uid="{00000000-0004-0000-0D00-0000ED070000}"/>
    <hyperlink ref="K2033" r:id="rId2031" xr:uid="{00000000-0004-0000-0D00-0000EE070000}"/>
    <hyperlink ref="K2034" r:id="rId2032" xr:uid="{00000000-0004-0000-0D00-0000EF070000}"/>
    <hyperlink ref="K2035" r:id="rId2033" xr:uid="{00000000-0004-0000-0D00-0000F0070000}"/>
    <hyperlink ref="K2036" r:id="rId2034" xr:uid="{00000000-0004-0000-0D00-0000F1070000}"/>
    <hyperlink ref="K2037" r:id="rId2035" xr:uid="{00000000-0004-0000-0D00-0000F2070000}"/>
    <hyperlink ref="K2038" r:id="rId2036" xr:uid="{00000000-0004-0000-0D00-0000F3070000}"/>
    <hyperlink ref="K2039" r:id="rId2037" xr:uid="{00000000-0004-0000-0D00-0000F4070000}"/>
    <hyperlink ref="K2040" r:id="rId2038" xr:uid="{00000000-0004-0000-0D00-0000F5070000}"/>
    <hyperlink ref="K2041" r:id="rId2039" xr:uid="{00000000-0004-0000-0D00-0000F6070000}"/>
    <hyperlink ref="K2042" r:id="rId2040" xr:uid="{00000000-0004-0000-0D00-0000F7070000}"/>
    <hyperlink ref="K2043" r:id="rId2041" xr:uid="{00000000-0004-0000-0D00-0000F8070000}"/>
    <hyperlink ref="K2044" r:id="rId2042" xr:uid="{00000000-0004-0000-0D00-0000F9070000}"/>
    <hyperlink ref="K2045" r:id="rId2043" xr:uid="{00000000-0004-0000-0D00-0000FA070000}"/>
    <hyperlink ref="K2046" r:id="rId2044" xr:uid="{00000000-0004-0000-0D00-0000FB070000}"/>
    <hyperlink ref="K2047" r:id="rId2045" xr:uid="{00000000-0004-0000-0D00-0000FC070000}"/>
    <hyperlink ref="K2048" r:id="rId2046" xr:uid="{00000000-0004-0000-0D00-0000FD070000}"/>
    <hyperlink ref="K2049" r:id="rId2047" xr:uid="{00000000-0004-0000-0D00-0000FE070000}"/>
    <hyperlink ref="K2050" r:id="rId2048" xr:uid="{00000000-0004-0000-0D00-0000FF070000}"/>
    <hyperlink ref="K2051" r:id="rId2049" xr:uid="{00000000-0004-0000-0D00-000000080000}"/>
    <hyperlink ref="K2052" r:id="rId2050" xr:uid="{00000000-0004-0000-0D00-000001080000}"/>
    <hyperlink ref="K2053" r:id="rId2051" xr:uid="{00000000-0004-0000-0D00-000002080000}"/>
    <hyperlink ref="K2054" r:id="rId2052" xr:uid="{00000000-0004-0000-0D00-000003080000}"/>
    <hyperlink ref="K2055" r:id="rId2053" xr:uid="{00000000-0004-0000-0D00-000004080000}"/>
    <hyperlink ref="K2056" r:id="rId2054" xr:uid="{00000000-0004-0000-0D00-000005080000}"/>
    <hyperlink ref="K2057" r:id="rId2055" xr:uid="{00000000-0004-0000-0D00-000006080000}"/>
    <hyperlink ref="K2058" r:id="rId2056" xr:uid="{00000000-0004-0000-0D00-000007080000}"/>
    <hyperlink ref="K2059" r:id="rId2057" xr:uid="{00000000-0004-0000-0D00-000008080000}"/>
    <hyperlink ref="K2060" r:id="rId2058" xr:uid="{00000000-0004-0000-0D00-000009080000}"/>
    <hyperlink ref="K2061" r:id="rId2059" xr:uid="{00000000-0004-0000-0D00-00000A080000}"/>
    <hyperlink ref="K2062" r:id="rId2060" xr:uid="{00000000-0004-0000-0D00-00000B080000}"/>
    <hyperlink ref="K2063" r:id="rId2061" xr:uid="{00000000-0004-0000-0D00-00000C080000}"/>
    <hyperlink ref="K2064" r:id="rId2062" xr:uid="{00000000-0004-0000-0D00-00000D080000}"/>
    <hyperlink ref="K2065" r:id="rId2063" xr:uid="{00000000-0004-0000-0D00-00000E080000}"/>
    <hyperlink ref="K2066" r:id="rId2064" xr:uid="{00000000-0004-0000-0D00-00000F080000}"/>
    <hyperlink ref="K2067" r:id="rId2065" xr:uid="{00000000-0004-0000-0D00-000010080000}"/>
    <hyperlink ref="K2068" r:id="rId2066" xr:uid="{00000000-0004-0000-0D00-000011080000}"/>
    <hyperlink ref="K2069" r:id="rId2067" xr:uid="{00000000-0004-0000-0D00-000012080000}"/>
    <hyperlink ref="K2070" r:id="rId2068" xr:uid="{00000000-0004-0000-0D00-000013080000}"/>
    <hyperlink ref="K2071" r:id="rId2069" xr:uid="{00000000-0004-0000-0D00-000014080000}"/>
    <hyperlink ref="K2072" r:id="rId2070" xr:uid="{00000000-0004-0000-0D00-000015080000}"/>
    <hyperlink ref="K2073" r:id="rId2071" xr:uid="{00000000-0004-0000-0D00-000016080000}"/>
    <hyperlink ref="K2074" r:id="rId2072" xr:uid="{00000000-0004-0000-0D00-000017080000}"/>
    <hyperlink ref="K2075" r:id="rId2073" xr:uid="{00000000-0004-0000-0D00-000018080000}"/>
    <hyperlink ref="K2076" r:id="rId2074" xr:uid="{00000000-0004-0000-0D00-000019080000}"/>
    <hyperlink ref="K2077" r:id="rId2075" xr:uid="{00000000-0004-0000-0D00-00001A080000}"/>
    <hyperlink ref="K2078" r:id="rId2076" xr:uid="{00000000-0004-0000-0D00-00001B080000}"/>
    <hyperlink ref="K2079" r:id="rId2077" xr:uid="{00000000-0004-0000-0D00-00001C080000}"/>
    <hyperlink ref="K2080" r:id="rId2078" xr:uid="{00000000-0004-0000-0D00-00001D080000}"/>
    <hyperlink ref="K2081" r:id="rId2079" xr:uid="{00000000-0004-0000-0D00-00001E080000}"/>
    <hyperlink ref="K2082" r:id="rId2080" xr:uid="{00000000-0004-0000-0D00-00001F080000}"/>
    <hyperlink ref="K2083" r:id="rId2081" xr:uid="{00000000-0004-0000-0D00-000020080000}"/>
    <hyperlink ref="K2084" r:id="rId2082" xr:uid="{00000000-0004-0000-0D00-000021080000}"/>
    <hyperlink ref="K2085" r:id="rId2083" xr:uid="{00000000-0004-0000-0D00-000022080000}"/>
    <hyperlink ref="K2086" r:id="rId2084" xr:uid="{00000000-0004-0000-0D00-000023080000}"/>
    <hyperlink ref="K2087" r:id="rId2085" xr:uid="{00000000-0004-0000-0D00-000024080000}"/>
    <hyperlink ref="K2088" r:id="rId2086" xr:uid="{00000000-0004-0000-0D00-000025080000}"/>
    <hyperlink ref="K2089" r:id="rId2087" xr:uid="{00000000-0004-0000-0D00-000026080000}"/>
    <hyperlink ref="K2090" r:id="rId2088" xr:uid="{00000000-0004-0000-0D00-000027080000}"/>
    <hyperlink ref="K2091" r:id="rId2089" xr:uid="{00000000-0004-0000-0D00-000028080000}"/>
    <hyperlink ref="K2092" r:id="rId2090" xr:uid="{00000000-0004-0000-0D00-000029080000}"/>
    <hyperlink ref="K2093" r:id="rId2091" xr:uid="{00000000-0004-0000-0D00-00002A080000}"/>
    <hyperlink ref="K2094" r:id="rId2092" xr:uid="{00000000-0004-0000-0D00-00002B080000}"/>
    <hyperlink ref="K2095" r:id="rId2093" xr:uid="{00000000-0004-0000-0D00-00002C080000}"/>
    <hyperlink ref="K2096" r:id="rId2094" xr:uid="{00000000-0004-0000-0D00-00002D080000}"/>
    <hyperlink ref="K2097" r:id="rId2095" xr:uid="{00000000-0004-0000-0D00-00002E080000}"/>
    <hyperlink ref="K2098" r:id="rId2096" xr:uid="{00000000-0004-0000-0D00-00002F080000}"/>
    <hyperlink ref="K2099" r:id="rId2097" xr:uid="{00000000-0004-0000-0D00-000030080000}"/>
    <hyperlink ref="K2100" r:id="rId2098" xr:uid="{00000000-0004-0000-0D00-000031080000}"/>
    <hyperlink ref="K2101" r:id="rId2099" xr:uid="{00000000-0004-0000-0D00-000032080000}"/>
    <hyperlink ref="K2102" r:id="rId2100" xr:uid="{00000000-0004-0000-0D00-000033080000}"/>
    <hyperlink ref="K2103" r:id="rId2101" xr:uid="{00000000-0004-0000-0D00-000034080000}"/>
    <hyperlink ref="K2104" r:id="rId2102" xr:uid="{00000000-0004-0000-0D00-000035080000}"/>
    <hyperlink ref="K2105" r:id="rId2103" xr:uid="{00000000-0004-0000-0D00-000036080000}"/>
    <hyperlink ref="K2106" r:id="rId2104" xr:uid="{00000000-0004-0000-0D00-000037080000}"/>
    <hyperlink ref="K2107" r:id="rId2105" xr:uid="{00000000-0004-0000-0D00-000038080000}"/>
    <hyperlink ref="K2108" r:id="rId2106" xr:uid="{00000000-0004-0000-0D00-000039080000}"/>
    <hyperlink ref="K2109" r:id="rId2107" xr:uid="{00000000-0004-0000-0D00-00003A080000}"/>
    <hyperlink ref="K2110" r:id="rId2108" xr:uid="{00000000-0004-0000-0D00-00003B080000}"/>
    <hyperlink ref="K2111" r:id="rId2109" xr:uid="{00000000-0004-0000-0D00-00003C080000}"/>
    <hyperlink ref="K2112" r:id="rId2110" xr:uid="{00000000-0004-0000-0D00-00003D080000}"/>
    <hyperlink ref="K2113" r:id="rId2111" xr:uid="{00000000-0004-0000-0D00-00003E080000}"/>
    <hyperlink ref="K2114" r:id="rId2112" xr:uid="{00000000-0004-0000-0D00-00003F080000}"/>
    <hyperlink ref="K2115" r:id="rId2113" xr:uid="{00000000-0004-0000-0D00-000040080000}"/>
    <hyperlink ref="K2116" r:id="rId2114" xr:uid="{00000000-0004-0000-0D00-000041080000}"/>
    <hyperlink ref="K2117" r:id="rId2115" xr:uid="{00000000-0004-0000-0D00-000042080000}"/>
    <hyperlink ref="K2118" r:id="rId2116" xr:uid="{00000000-0004-0000-0D00-000043080000}"/>
    <hyperlink ref="K2119" r:id="rId2117" xr:uid="{00000000-0004-0000-0D00-000044080000}"/>
    <hyperlink ref="K2120" r:id="rId2118" xr:uid="{00000000-0004-0000-0D00-000045080000}"/>
    <hyperlink ref="K2121" r:id="rId2119" xr:uid="{00000000-0004-0000-0D00-000046080000}"/>
    <hyperlink ref="K2122" r:id="rId2120" xr:uid="{00000000-0004-0000-0D00-000047080000}"/>
    <hyperlink ref="K2123" r:id="rId2121" xr:uid="{00000000-0004-0000-0D00-000048080000}"/>
    <hyperlink ref="K2124" r:id="rId2122" xr:uid="{00000000-0004-0000-0D00-000049080000}"/>
    <hyperlink ref="K2125" r:id="rId2123" xr:uid="{00000000-0004-0000-0D00-00004A080000}"/>
    <hyperlink ref="K2126" r:id="rId2124" xr:uid="{00000000-0004-0000-0D00-00004B080000}"/>
    <hyperlink ref="K2127" r:id="rId2125" xr:uid="{00000000-0004-0000-0D00-00004C080000}"/>
    <hyperlink ref="K2128" r:id="rId2126" xr:uid="{00000000-0004-0000-0D00-00004D080000}"/>
    <hyperlink ref="K2129" r:id="rId2127" xr:uid="{00000000-0004-0000-0D00-00004E080000}"/>
    <hyperlink ref="K2130" r:id="rId2128" xr:uid="{00000000-0004-0000-0D00-00004F080000}"/>
    <hyperlink ref="K2131" r:id="rId2129" xr:uid="{00000000-0004-0000-0D00-000050080000}"/>
    <hyperlink ref="K2132" r:id="rId2130" xr:uid="{00000000-0004-0000-0D00-000051080000}"/>
    <hyperlink ref="K2133" r:id="rId2131" xr:uid="{00000000-0004-0000-0D00-000052080000}"/>
    <hyperlink ref="K2134" r:id="rId2132" xr:uid="{00000000-0004-0000-0D00-000053080000}"/>
    <hyperlink ref="K2135" r:id="rId2133" xr:uid="{00000000-0004-0000-0D00-000054080000}"/>
    <hyperlink ref="K2136" r:id="rId2134" xr:uid="{00000000-0004-0000-0D00-000055080000}"/>
    <hyperlink ref="K2137" r:id="rId2135" xr:uid="{00000000-0004-0000-0D00-000056080000}"/>
    <hyperlink ref="K2138" r:id="rId2136" xr:uid="{00000000-0004-0000-0D00-000057080000}"/>
    <hyperlink ref="K2139" r:id="rId2137" xr:uid="{00000000-0004-0000-0D00-000058080000}"/>
    <hyperlink ref="K2140" r:id="rId2138" xr:uid="{00000000-0004-0000-0D00-000059080000}"/>
    <hyperlink ref="K2141" r:id="rId2139" xr:uid="{00000000-0004-0000-0D00-00005A080000}"/>
    <hyperlink ref="K2142" r:id="rId2140" xr:uid="{00000000-0004-0000-0D00-00005B080000}"/>
    <hyperlink ref="K2143" r:id="rId2141" xr:uid="{00000000-0004-0000-0D00-00005C080000}"/>
    <hyperlink ref="K2144" r:id="rId2142" xr:uid="{00000000-0004-0000-0D00-00005D080000}"/>
    <hyperlink ref="K2145" r:id="rId2143" xr:uid="{00000000-0004-0000-0D00-00005E080000}"/>
    <hyperlink ref="K2146" r:id="rId2144" xr:uid="{00000000-0004-0000-0D00-00005F080000}"/>
    <hyperlink ref="K2147" r:id="rId2145" xr:uid="{00000000-0004-0000-0D00-000060080000}"/>
    <hyperlink ref="K2148" r:id="rId2146" xr:uid="{00000000-0004-0000-0D00-000061080000}"/>
    <hyperlink ref="K2149" r:id="rId2147" xr:uid="{00000000-0004-0000-0D00-000062080000}"/>
    <hyperlink ref="K2150" r:id="rId2148" xr:uid="{00000000-0004-0000-0D00-000063080000}"/>
    <hyperlink ref="K2151" r:id="rId2149" xr:uid="{00000000-0004-0000-0D00-000064080000}"/>
    <hyperlink ref="K2152" r:id="rId2150" xr:uid="{00000000-0004-0000-0D00-000065080000}"/>
    <hyperlink ref="K2153" r:id="rId2151" xr:uid="{00000000-0004-0000-0D00-000066080000}"/>
    <hyperlink ref="K2154" r:id="rId2152" xr:uid="{00000000-0004-0000-0D00-000067080000}"/>
    <hyperlink ref="K2155" r:id="rId2153" xr:uid="{00000000-0004-0000-0D00-000068080000}"/>
    <hyperlink ref="K2156" r:id="rId2154" xr:uid="{00000000-0004-0000-0D00-000069080000}"/>
    <hyperlink ref="K2157" r:id="rId2155" xr:uid="{00000000-0004-0000-0D00-00006A080000}"/>
    <hyperlink ref="K2158" r:id="rId2156" xr:uid="{00000000-0004-0000-0D00-00006B080000}"/>
    <hyperlink ref="K2159" r:id="rId2157" xr:uid="{00000000-0004-0000-0D00-00006C080000}"/>
    <hyperlink ref="K2160" r:id="rId2158" xr:uid="{00000000-0004-0000-0D00-00006D080000}"/>
    <hyperlink ref="K2161" r:id="rId2159" xr:uid="{00000000-0004-0000-0D00-00006E080000}"/>
    <hyperlink ref="K2162" r:id="rId2160" xr:uid="{00000000-0004-0000-0D00-00006F080000}"/>
    <hyperlink ref="K2163" r:id="rId2161" xr:uid="{00000000-0004-0000-0D00-000070080000}"/>
    <hyperlink ref="K2164" r:id="rId2162" xr:uid="{00000000-0004-0000-0D00-000071080000}"/>
    <hyperlink ref="K2165" r:id="rId2163" xr:uid="{00000000-0004-0000-0D00-000072080000}"/>
    <hyperlink ref="K2166" r:id="rId2164" xr:uid="{00000000-0004-0000-0D00-000073080000}"/>
    <hyperlink ref="K2167" r:id="rId2165" xr:uid="{00000000-0004-0000-0D00-000074080000}"/>
    <hyperlink ref="K2168" r:id="rId2166" xr:uid="{00000000-0004-0000-0D00-000075080000}"/>
    <hyperlink ref="K2169" r:id="rId2167" xr:uid="{00000000-0004-0000-0D00-000076080000}"/>
    <hyperlink ref="K2170" r:id="rId2168" xr:uid="{00000000-0004-0000-0D00-000077080000}"/>
    <hyperlink ref="K2171" r:id="rId2169" xr:uid="{00000000-0004-0000-0D00-000078080000}"/>
    <hyperlink ref="K2172" r:id="rId2170" xr:uid="{00000000-0004-0000-0D00-000079080000}"/>
    <hyperlink ref="K2173" r:id="rId2171" xr:uid="{00000000-0004-0000-0D00-00007A080000}"/>
    <hyperlink ref="K2174" r:id="rId2172" xr:uid="{00000000-0004-0000-0D00-00007B080000}"/>
    <hyperlink ref="K2175" r:id="rId2173" xr:uid="{00000000-0004-0000-0D00-00007C080000}"/>
    <hyperlink ref="K2176" r:id="rId2174" xr:uid="{00000000-0004-0000-0D00-00007D080000}"/>
    <hyperlink ref="K2177" r:id="rId2175" xr:uid="{00000000-0004-0000-0D00-00007E080000}"/>
    <hyperlink ref="K2178" r:id="rId2176" xr:uid="{00000000-0004-0000-0D00-00007F080000}"/>
    <hyperlink ref="K2179" r:id="rId2177" xr:uid="{00000000-0004-0000-0D00-000080080000}"/>
    <hyperlink ref="K2180" r:id="rId2178" xr:uid="{00000000-0004-0000-0D00-000081080000}"/>
    <hyperlink ref="K2181" r:id="rId2179" xr:uid="{00000000-0004-0000-0D00-000082080000}"/>
    <hyperlink ref="K2182" r:id="rId2180" xr:uid="{00000000-0004-0000-0D00-000083080000}"/>
    <hyperlink ref="K2183" r:id="rId2181" xr:uid="{00000000-0004-0000-0D00-000084080000}"/>
    <hyperlink ref="K2184" r:id="rId2182" xr:uid="{00000000-0004-0000-0D00-000085080000}"/>
    <hyperlink ref="K2185" r:id="rId2183" xr:uid="{00000000-0004-0000-0D00-000086080000}"/>
    <hyperlink ref="K2186" r:id="rId2184" xr:uid="{00000000-0004-0000-0D00-000087080000}"/>
    <hyperlink ref="K2187" r:id="rId2185" xr:uid="{00000000-0004-0000-0D00-000088080000}"/>
    <hyperlink ref="K2188" r:id="rId2186" xr:uid="{00000000-0004-0000-0D00-000089080000}"/>
    <hyperlink ref="K2189" r:id="rId2187" xr:uid="{00000000-0004-0000-0D00-00008A080000}"/>
    <hyperlink ref="K2190" r:id="rId2188" xr:uid="{00000000-0004-0000-0D00-00008B080000}"/>
    <hyperlink ref="K2191" r:id="rId2189" xr:uid="{00000000-0004-0000-0D00-00008C080000}"/>
    <hyperlink ref="K2192" r:id="rId2190" xr:uid="{00000000-0004-0000-0D00-00008D080000}"/>
    <hyperlink ref="K2193" r:id="rId2191" xr:uid="{00000000-0004-0000-0D00-00008E080000}"/>
    <hyperlink ref="K2194" r:id="rId2192" xr:uid="{00000000-0004-0000-0D00-00008F080000}"/>
    <hyperlink ref="K2195" r:id="rId2193" xr:uid="{00000000-0004-0000-0D00-000090080000}"/>
    <hyperlink ref="K2196" r:id="rId2194" xr:uid="{00000000-0004-0000-0D00-000091080000}"/>
    <hyperlink ref="K2197" r:id="rId2195" xr:uid="{00000000-0004-0000-0D00-000092080000}"/>
    <hyperlink ref="K2198" r:id="rId2196" xr:uid="{00000000-0004-0000-0D00-000093080000}"/>
    <hyperlink ref="K2199" r:id="rId2197" xr:uid="{00000000-0004-0000-0D00-000094080000}"/>
    <hyperlink ref="K2200" r:id="rId2198" xr:uid="{00000000-0004-0000-0D00-000095080000}"/>
    <hyperlink ref="K2201" r:id="rId2199" xr:uid="{00000000-0004-0000-0D00-000096080000}"/>
    <hyperlink ref="K2202" r:id="rId2200" xr:uid="{00000000-0004-0000-0D00-000097080000}"/>
    <hyperlink ref="K2203" r:id="rId2201" xr:uid="{00000000-0004-0000-0D00-000098080000}"/>
    <hyperlink ref="K2204" r:id="rId2202" xr:uid="{00000000-0004-0000-0D00-000099080000}"/>
    <hyperlink ref="K2205" r:id="rId2203" xr:uid="{00000000-0004-0000-0D00-00009A080000}"/>
    <hyperlink ref="K2206" r:id="rId2204" xr:uid="{00000000-0004-0000-0D00-00009B080000}"/>
    <hyperlink ref="K2207" r:id="rId2205" xr:uid="{00000000-0004-0000-0D00-00009C080000}"/>
    <hyperlink ref="K2208" r:id="rId2206" xr:uid="{00000000-0004-0000-0D00-00009D080000}"/>
    <hyperlink ref="K2209" r:id="rId2207" xr:uid="{00000000-0004-0000-0D00-00009E080000}"/>
    <hyperlink ref="K2210" r:id="rId2208" xr:uid="{00000000-0004-0000-0D00-00009F080000}"/>
    <hyperlink ref="K2211" r:id="rId2209" xr:uid="{00000000-0004-0000-0D00-0000A0080000}"/>
    <hyperlink ref="K2212" r:id="rId2210" xr:uid="{00000000-0004-0000-0D00-0000A1080000}"/>
    <hyperlink ref="K2213" r:id="rId2211" xr:uid="{00000000-0004-0000-0D00-0000A2080000}"/>
    <hyperlink ref="K2214" r:id="rId2212" xr:uid="{00000000-0004-0000-0D00-0000A3080000}"/>
    <hyperlink ref="K2215" r:id="rId2213" xr:uid="{00000000-0004-0000-0D00-0000A4080000}"/>
    <hyperlink ref="K2216" r:id="rId2214" xr:uid="{00000000-0004-0000-0D00-0000A5080000}"/>
    <hyperlink ref="K2217" r:id="rId2215" xr:uid="{00000000-0004-0000-0D00-0000A6080000}"/>
    <hyperlink ref="K2218" r:id="rId2216" xr:uid="{00000000-0004-0000-0D00-0000A7080000}"/>
    <hyperlink ref="K2219" r:id="rId2217" xr:uid="{00000000-0004-0000-0D00-0000A8080000}"/>
    <hyperlink ref="K2220" r:id="rId2218" xr:uid="{00000000-0004-0000-0D00-0000A9080000}"/>
    <hyperlink ref="K2221" r:id="rId2219" xr:uid="{00000000-0004-0000-0D00-0000AA080000}"/>
    <hyperlink ref="K2222" r:id="rId2220" xr:uid="{00000000-0004-0000-0D00-0000AB080000}"/>
    <hyperlink ref="K2223" r:id="rId2221" xr:uid="{00000000-0004-0000-0D00-0000AC080000}"/>
    <hyperlink ref="K2224" r:id="rId2222" xr:uid="{00000000-0004-0000-0D00-0000AD080000}"/>
    <hyperlink ref="K2225" r:id="rId2223" xr:uid="{00000000-0004-0000-0D00-0000AE080000}"/>
    <hyperlink ref="K2226" r:id="rId2224" xr:uid="{00000000-0004-0000-0D00-0000AF080000}"/>
    <hyperlink ref="K2227" r:id="rId2225" xr:uid="{00000000-0004-0000-0D00-0000B0080000}"/>
    <hyperlink ref="K2228" r:id="rId2226" xr:uid="{00000000-0004-0000-0D00-0000B1080000}"/>
    <hyperlink ref="K2229" r:id="rId2227" xr:uid="{00000000-0004-0000-0D00-0000B2080000}"/>
    <hyperlink ref="K2230" r:id="rId2228" xr:uid="{00000000-0004-0000-0D00-0000B3080000}"/>
    <hyperlink ref="K2231" r:id="rId2229" xr:uid="{00000000-0004-0000-0D00-0000B4080000}"/>
    <hyperlink ref="K2232" r:id="rId2230" xr:uid="{00000000-0004-0000-0D00-0000B5080000}"/>
    <hyperlink ref="K2233" r:id="rId2231" xr:uid="{00000000-0004-0000-0D00-0000B6080000}"/>
    <hyperlink ref="K2234" r:id="rId2232" xr:uid="{00000000-0004-0000-0D00-0000B7080000}"/>
    <hyperlink ref="K2235" r:id="rId2233" xr:uid="{00000000-0004-0000-0D00-0000B8080000}"/>
    <hyperlink ref="K2236" r:id="rId2234" xr:uid="{00000000-0004-0000-0D00-0000B9080000}"/>
    <hyperlink ref="K2237" r:id="rId2235" xr:uid="{00000000-0004-0000-0D00-0000BA080000}"/>
    <hyperlink ref="K2238" r:id="rId2236" xr:uid="{00000000-0004-0000-0D00-0000BB080000}"/>
    <hyperlink ref="K2239" r:id="rId2237" xr:uid="{00000000-0004-0000-0D00-0000BC080000}"/>
    <hyperlink ref="K2240" r:id="rId2238" xr:uid="{00000000-0004-0000-0D00-0000BD080000}"/>
    <hyperlink ref="K2241" r:id="rId2239" xr:uid="{00000000-0004-0000-0D00-0000BE080000}"/>
    <hyperlink ref="K2242" r:id="rId2240" xr:uid="{00000000-0004-0000-0D00-0000BF080000}"/>
    <hyperlink ref="K2243" r:id="rId2241" xr:uid="{00000000-0004-0000-0D00-0000C0080000}"/>
    <hyperlink ref="K2244" r:id="rId2242" xr:uid="{00000000-0004-0000-0D00-0000C1080000}"/>
    <hyperlink ref="K2245" r:id="rId2243" xr:uid="{00000000-0004-0000-0D00-0000C2080000}"/>
    <hyperlink ref="K2246" r:id="rId2244" xr:uid="{00000000-0004-0000-0D00-0000C3080000}"/>
    <hyperlink ref="K2247" r:id="rId2245" xr:uid="{00000000-0004-0000-0D00-0000C4080000}"/>
    <hyperlink ref="K2248" r:id="rId2246" xr:uid="{00000000-0004-0000-0D00-0000C5080000}"/>
    <hyperlink ref="K2249" r:id="rId2247" xr:uid="{00000000-0004-0000-0D00-0000C6080000}"/>
    <hyperlink ref="K2250" r:id="rId2248" xr:uid="{00000000-0004-0000-0D00-0000C7080000}"/>
    <hyperlink ref="K2251" r:id="rId2249" xr:uid="{00000000-0004-0000-0D00-0000C8080000}"/>
    <hyperlink ref="K2252" r:id="rId2250" xr:uid="{00000000-0004-0000-0D00-0000C9080000}"/>
    <hyperlink ref="K2253" r:id="rId2251" xr:uid="{00000000-0004-0000-0D00-0000CA080000}"/>
    <hyperlink ref="K2254" r:id="rId2252" xr:uid="{00000000-0004-0000-0D00-0000CB080000}"/>
    <hyperlink ref="K2255" r:id="rId2253" xr:uid="{00000000-0004-0000-0D00-0000CC080000}"/>
    <hyperlink ref="K2256" r:id="rId2254" xr:uid="{00000000-0004-0000-0D00-0000CD080000}"/>
    <hyperlink ref="K2257" r:id="rId2255" xr:uid="{00000000-0004-0000-0D00-0000CE080000}"/>
    <hyperlink ref="K2258" r:id="rId2256" xr:uid="{00000000-0004-0000-0D00-0000CF080000}"/>
    <hyperlink ref="K2259" r:id="rId2257" xr:uid="{00000000-0004-0000-0D00-0000D0080000}"/>
    <hyperlink ref="K2260" r:id="rId2258" xr:uid="{00000000-0004-0000-0D00-0000D1080000}"/>
    <hyperlink ref="K2261" r:id="rId2259" xr:uid="{00000000-0004-0000-0D00-0000D2080000}"/>
    <hyperlink ref="K2262" r:id="rId2260" xr:uid="{00000000-0004-0000-0D00-0000D3080000}"/>
    <hyperlink ref="K2263" r:id="rId2261" xr:uid="{00000000-0004-0000-0D00-0000D4080000}"/>
    <hyperlink ref="K2264" r:id="rId2262" xr:uid="{00000000-0004-0000-0D00-0000D5080000}"/>
    <hyperlink ref="K2265" r:id="rId2263" xr:uid="{00000000-0004-0000-0D00-0000D6080000}"/>
    <hyperlink ref="K2266" r:id="rId2264" xr:uid="{00000000-0004-0000-0D00-0000D7080000}"/>
    <hyperlink ref="K2267" r:id="rId2265" xr:uid="{00000000-0004-0000-0D00-0000D8080000}"/>
    <hyperlink ref="K2268" r:id="rId2266" xr:uid="{00000000-0004-0000-0D00-0000D9080000}"/>
    <hyperlink ref="K2269" r:id="rId2267" xr:uid="{00000000-0004-0000-0D00-0000DA080000}"/>
    <hyperlink ref="K2270" r:id="rId2268" xr:uid="{00000000-0004-0000-0D00-0000DB080000}"/>
    <hyperlink ref="K2271" r:id="rId2269" xr:uid="{00000000-0004-0000-0D00-0000DC080000}"/>
    <hyperlink ref="K2272" r:id="rId2270" xr:uid="{00000000-0004-0000-0D00-0000DD080000}"/>
    <hyperlink ref="K2273" r:id="rId2271" xr:uid="{00000000-0004-0000-0D00-0000DE080000}"/>
    <hyperlink ref="K2274" r:id="rId2272" xr:uid="{00000000-0004-0000-0D00-0000DF080000}"/>
    <hyperlink ref="K2275" r:id="rId2273" xr:uid="{00000000-0004-0000-0D00-0000E0080000}"/>
    <hyperlink ref="K2276" r:id="rId2274" xr:uid="{00000000-0004-0000-0D00-0000E1080000}"/>
    <hyperlink ref="K2277" r:id="rId2275" xr:uid="{00000000-0004-0000-0D00-0000E2080000}"/>
    <hyperlink ref="K2278" r:id="rId2276" xr:uid="{00000000-0004-0000-0D00-0000E3080000}"/>
    <hyperlink ref="K2279" r:id="rId2277" xr:uid="{00000000-0004-0000-0D00-0000E4080000}"/>
    <hyperlink ref="K2280" r:id="rId2278" xr:uid="{00000000-0004-0000-0D00-0000E5080000}"/>
    <hyperlink ref="K2281" r:id="rId2279" xr:uid="{00000000-0004-0000-0D00-0000E6080000}"/>
    <hyperlink ref="K2282" r:id="rId2280" xr:uid="{00000000-0004-0000-0D00-0000E7080000}"/>
    <hyperlink ref="K2283" r:id="rId2281" xr:uid="{00000000-0004-0000-0D00-0000E8080000}"/>
    <hyperlink ref="K2284" r:id="rId2282" xr:uid="{00000000-0004-0000-0D00-0000E9080000}"/>
    <hyperlink ref="K2285" r:id="rId2283" xr:uid="{00000000-0004-0000-0D00-0000EA080000}"/>
    <hyperlink ref="K2286" r:id="rId2284" xr:uid="{00000000-0004-0000-0D00-0000EB080000}"/>
    <hyperlink ref="K2287" r:id="rId2285" xr:uid="{00000000-0004-0000-0D00-0000EC080000}"/>
    <hyperlink ref="K2288" r:id="rId2286" xr:uid="{00000000-0004-0000-0D00-0000ED080000}"/>
    <hyperlink ref="K2289" r:id="rId2287" xr:uid="{00000000-0004-0000-0D00-0000EE080000}"/>
    <hyperlink ref="K2290" r:id="rId2288" xr:uid="{00000000-0004-0000-0D00-0000EF080000}"/>
    <hyperlink ref="K2291" r:id="rId2289" xr:uid="{00000000-0004-0000-0D00-0000F0080000}"/>
    <hyperlink ref="K2292" r:id="rId2290" xr:uid="{00000000-0004-0000-0D00-0000F1080000}"/>
    <hyperlink ref="K2293" r:id="rId2291" xr:uid="{00000000-0004-0000-0D00-0000F2080000}"/>
    <hyperlink ref="K2294" r:id="rId2292" xr:uid="{00000000-0004-0000-0D00-0000F3080000}"/>
    <hyperlink ref="K2295" r:id="rId2293" xr:uid="{00000000-0004-0000-0D00-0000F4080000}"/>
    <hyperlink ref="K2296" r:id="rId2294" xr:uid="{00000000-0004-0000-0D00-0000F5080000}"/>
    <hyperlink ref="K2297" r:id="rId2295" xr:uid="{00000000-0004-0000-0D00-0000F6080000}"/>
    <hyperlink ref="K2298" r:id="rId2296" xr:uid="{00000000-0004-0000-0D00-0000F7080000}"/>
    <hyperlink ref="K2299" r:id="rId2297" xr:uid="{00000000-0004-0000-0D00-0000F8080000}"/>
    <hyperlink ref="K2300" r:id="rId2298" xr:uid="{00000000-0004-0000-0D00-0000F9080000}"/>
    <hyperlink ref="K2301" r:id="rId2299" xr:uid="{00000000-0004-0000-0D00-0000FA080000}"/>
    <hyperlink ref="K2302" r:id="rId2300" xr:uid="{00000000-0004-0000-0D00-0000FB080000}"/>
    <hyperlink ref="K2303" r:id="rId2301" xr:uid="{00000000-0004-0000-0D00-0000FC080000}"/>
    <hyperlink ref="K2304" r:id="rId2302" xr:uid="{00000000-0004-0000-0D00-0000FD080000}"/>
    <hyperlink ref="K2305" r:id="rId2303" xr:uid="{00000000-0004-0000-0D00-0000FE080000}"/>
    <hyperlink ref="K2306" r:id="rId2304" xr:uid="{00000000-0004-0000-0D00-0000FF080000}"/>
    <hyperlink ref="K2307" r:id="rId2305" xr:uid="{00000000-0004-0000-0D00-000000090000}"/>
    <hyperlink ref="K2308" r:id="rId2306" xr:uid="{00000000-0004-0000-0D00-000001090000}"/>
    <hyperlink ref="K2309" r:id="rId2307" xr:uid="{00000000-0004-0000-0D00-000002090000}"/>
    <hyperlink ref="K2310" r:id="rId2308" xr:uid="{00000000-0004-0000-0D00-000003090000}"/>
    <hyperlink ref="K2311" r:id="rId2309" xr:uid="{00000000-0004-0000-0D00-000004090000}"/>
    <hyperlink ref="K2312" r:id="rId2310" xr:uid="{00000000-0004-0000-0D00-000005090000}"/>
    <hyperlink ref="K2313" r:id="rId2311" xr:uid="{00000000-0004-0000-0D00-000006090000}"/>
    <hyperlink ref="K2314" r:id="rId2312" xr:uid="{00000000-0004-0000-0D00-000007090000}"/>
    <hyperlink ref="K2315" r:id="rId2313" xr:uid="{00000000-0004-0000-0D00-000008090000}"/>
    <hyperlink ref="K2316" r:id="rId2314" xr:uid="{00000000-0004-0000-0D00-000009090000}"/>
    <hyperlink ref="K2317" r:id="rId2315" xr:uid="{00000000-0004-0000-0D00-00000A090000}"/>
    <hyperlink ref="K2318" r:id="rId2316" xr:uid="{00000000-0004-0000-0D00-00000B090000}"/>
    <hyperlink ref="K2319" r:id="rId2317" xr:uid="{00000000-0004-0000-0D00-00000C090000}"/>
    <hyperlink ref="K2320" r:id="rId2318" xr:uid="{00000000-0004-0000-0D00-00000D090000}"/>
    <hyperlink ref="K2321" r:id="rId2319" xr:uid="{00000000-0004-0000-0D00-00000E090000}"/>
    <hyperlink ref="K2322" r:id="rId2320" xr:uid="{00000000-0004-0000-0D00-00000F090000}"/>
    <hyperlink ref="K2323" r:id="rId2321" xr:uid="{00000000-0004-0000-0D00-000010090000}"/>
    <hyperlink ref="K2324" r:id="rId2322" xr:uid="{00000000-0004-0000-0D00-000011090000}"/>
    <hyperlink ref="K2325" r:id="rId2323" xr:uid="{00000000-0004-0000-0D00-000012090000}"/>
    <hyperlink ref="K2326" r:id="rId2324" xr:uid="{00000000-0004-0000-0D00-000013090000}"/>
    <hyperlink ref="K2327" r:id="rId2325" xr:uid="{00000000-0004-0000-0D00-000014090000}"/>
    <hyperlink ref="K2328" r:id="rId2326" xr:uid="{00000000-0004-0000-0D00-000015090000}"/>
    <hyperlink ref="K2329" r:id="rId2327" xr:uid="{00000000-0004-0000-0D00-000016090000}"/>
    <hyperlink ref="K2330" r:id="rId2328" xr:uid="{00000000-0004-0000-0D00-000017090000}"/>
    <hyperlink ref="K2331" r:id="rId2329" xr:uid="{00000000-0004-0000-0D00-000018090000}"/>
    <hyperlink ref="K2332" r:id="rId2330" xr:uid="{00000000-0004-0000-0D00-000019090000}"/>
    <hyperlink ref="K2333" r:id="rId2331" xr:uid="{00000000-0004-0000-0D00-00001A090000}"/>
    <hyperlink ref="K2334" r:id="rId2332" xr:uid="{00000000-0004-0000-0D00-00001B090000}"/>
    <hyperlink ref="K2335" r:id="rId2333" xr:uid="{00000000-0004-0000-0D00-00001C090000}"/>
    <hyperlink ref="K2336" r:id="rId2334" xr:uid="{00000000-0004-0000-0D00-00001D090000}"/>
    <hyperlink ref="K2337" r:id="rId2335" xr:uid="{00000000-0004-0000-0D00-00001E090000}"/>
    <hyperlink ref="K2338" r:id="rId2336" xr:uid="{00000000-0004-0000-0D00-00001F090000}"/>
    <hyperlink ref="K2339" r:id="rId2337" xr:uid="{00000000-0004-0000-0D00-000020090000}"/>
    <hyperlink ref="K2340" r:id="rId2338" xr:uid="{00000000-0004-0000-0D00-000021090000}"/>
    <hyperlink ref="K2341" r:id="rId2339" xr:uid="{00000000-0004-0000-0D00-000022090000}"/>
    <hyperlink ref="K2342" r:id="rId2340" xr:uid="{00000000-0004-0000-0D00-000023090000}"/>
    <hyperlink ref="K2343" r:id="rId2341" xr:uid="{00000000-0004-0000-0D00-000024090000}"/>
    <hyperlink ref="K2344" r:id="rId2342" xr:uid="{00000000-0004-0000-0D00-000025090000}"/>
    <hyperlink ref="K2345" r:id="rId2343" xr:uid="{00000000-0004-0000-0D00-000026090000}"/>
    <hyperlink ref="K2346" r:id="rId2344" xr:uid="{00000000-0004-0000-0D00-000027090000}"/>
    <hyperlink ref="K2347" r:id="rId2345" xr:uid="{00000000-0004-0000-0D00-000028090000}"/>
    <hyperlink ref="K2348" r:id="rId2346" xr:uid="{00000000-0004-0000-0D00-000029090000}"/>
    <hyperlink ref="K2349" r:id="rId2347" xr:uid="{00000000-0004-0000-0D00-00002A090000}"/>
    <hyperlink ref="K2350" r:id="rId2348" xr:uid="{00000000-0004-0000-0D00-00002B090000}"/>
    <hyperlink ref="K2351" r:id="rId2349" xr:uid="{00000000-0004-0000-0D00-00002C090000}"/>
    <hyperlink ref="K2352" r:id="rId2350" xr:uid="{00000000-0004-0000-0D00-00002D090000}"/>
    <hyperlink ref="K2353" r:id="rId2351" xr:uid="{00000000-0004-0000-0D00-00002E090000}"/>
    <hyperlink ref="K2354" r:id="rId2352" xr:uid="{00000000-0004-0000-0D00-00002F090000}"/>
    <hyperlink ref="K2355" r:id="rId2353" xr:uid="{00000000-0004-0000-0D00-000030090000}"/>
    <hyperlink ref="K2356" r:id="rId2354" xr:uid="{00000000-0004-0000-0D00-000031090000}"/>
    <hyperlink ref="K2357" r:id="rId2355" xr:uid="{00000000-0004-0000-0D00-000032090000}"/>
    <hyperlink ref="K2358" r:id="rId2356" xr:uid="{00000000-0004-0000-0D00-000033090000}"/>
    <hyperlink ref="K2359" r:id="rId2357" xr:uid="{00000000-0004-0000-0D00-000034090000}"/>
    <hyperlink ref="K2360" r:id="rId2358" xr:uid="{00000000-0004-0000-0D00-000035090000}"/>
    <hyperlink ref="K2361" r:id="rId2359" xr:uid="{00000000-0004-0000-0D00-000036090000}"/>
    <hyperlink ref="K2362" r:id="rId2360" xr:uid="{00000000-0004-0000-0D00-000037090000}"/>
    <hyperlink ref="K2363" r:id="rId2361" xr:uid="{00000000-0004-0000-0D00-000038090000}"/>
    <hyperlink ref="K2364" r:id="rId2362" xr:uid="{00000000-0004-0000-0D00-000039090000}"/>
    <hyperlink ref="K2365" r:id="rId2363" xr:uid="{00000000-0004-0000-0D00-00003A090000}"/>
    <hyperlink ref="K2366" r:id="rId2364" xr:uid="{00000000-0004-0000-0D00-00003B090000}"/>
    <hyperlink ref="K2367" r:id="rId2365" xr:uid="{00000000-0004-0000-0D00-00003C090000}"/>
    <hyperlink ref="K2368" r:id="rId2366" xr:uid="{00000000-0004-0000-0D00-00003D090000}"/>
    <hyperlink ref="K2369" r:id="rId2367" xr:uid="{00000000-0004-0000-0D00-00003E090000}"/>
    <hyperlink ref="K2370" r:id="rId2368" xr:uid="{00000000-0004-0000-0D00-00003F090000}"/>
    <hyperlink ref="K2371" r:id="rId2369" xr:uid="{00000000-0004-0000-0D00-000040090000}"/>
    <hyperlink ref="K2372" r:id="rId2370" xr:uid="{00000000-0004-0000-0D00-000041090000}"/>
    <hyperlink ref="K2373" r:id="rId2371" xr:uid="{00000000-0004-0000-0D00-000042090000}"/>
    <hyperlink ref="K2374" r:id="rId2372" xr:uid="{00000000-0004-0000-0D00-000043090000}"/>
    <hyperlink ref="K2375" r:id="rId2373" xr:uid="{00000000-0004-0000-0D00-000044090000}"/>
    <hyperlink ref="K2376" r:id="rId2374" xr:uid="{00000000-0004-0000-0D00-000045090000}"/>
    <hyperlink ref="K2377" r:id="rId2375" xr:uid="{00000000-0004-0000-0D00-000046090000}"/>
    <hyperlink ref="K2378" r:id="rId2376" xr:uid="{00000000-0004-0000-0D00-000047090000}"/>
    <hyperlink ref="K2379" r:id="rId2377" xr:uid="{00000000-0004-0000-0D00-000048090000}"/>
    <hyperlink ref="K2380" r:id="rId2378" xr:uid="{00000000-0004-0000-0D00-000049090000}"/>
    <hyperlink ref="K2381" r:id="rId2379" xr:uid="{00000000-0004-0000-0D00-00004A090000}"/>
    <hyperlink ref="K2382" r:id="rId2380" xr:uid="{00000000-0004-0000-0D00-00004B090000}"/>
    <hyperlink ref="K2383" r:id="rId2381" xr:uid="{00000000-0004-0000-0D00-00004C090000}"/>
    <hyperlink ref="K2384" r:id="rId2382" xr:uid="{00000000-0004-0000-0D00-00004D090000}"/>
    <hyperlink ref="K2385" r:id="rId2383" xr:uid="{00000000-0004-0000-0D00-00004E090000}"/>
    <hyperlink ref="K2386" r:id="rId2384" xr:uid="{00000000-0004-0000-0D00-00004F090000}"/>
    <hyperlink ref="K2387" r:id="rId2385" xr:uid="{00000000-0004-0000-0D00-000050090000}"/>
    <hyperlink ref="K2388" r:id="rId2386" xr:uid="{00000000-0004-0000-0D00-000051090000}"/>
    <hyperlink ref="K2389" r:id="rId2387" xr:uid="{00000000-0004-0000-0D00-000052090000}"/>
    <hyperlink ref="K2390" r:id="rId2388" xr:uid="{00000000-0004-0000-0D00-000053090000}"/>
    <hyperlink ref="K2391" r:id="rId2389" xr:uid="{00000000-0004-0000-0D00-000054090000}"/>
    <hyperlink ref="K2392" r:id="rId2390" xr:uid="{00000000-0004-0000-0D00-000055090000}"/>
    <hyperlink ref="K2393" r:id="rId2391" xr:uid="{00000000-0004-0000-0D00-000056090000}"/>
    <hyperlink ref="K2394" r:id="rId2392" xr:uid="{00000000-0004-0000-0D00-000057090000}"/>
    <hyperlink ref="K2395" r:id="rId2393" xr:uid="{00000000-0004-0000-0D00-000058090000}"/>
    <hyperlink ref="K2396" r:id="rId2394" xr:uid="{00000000-0004-0000-0D00-000059090000}"/>
    <hyperlink ref="K2397" r:id="rId2395" xr:uid="{00000000-0004-0000-0D00-00005A090000}"/>
    <hyperlink ref="K2398" r:id="rId2396" xr:uid="{00000000-0004-0000-0D00-00005B090000}"/>
    <hyperlink ref="K2399" r:id="rId2397" xr:uid="{00000000-0004-0000-0D00-00005C090000}"/>
    <hyperlink ref="K2400" r:id="rId2398" xr:uid="{00000000-0004-0000-0D00-00005D090000}"/>
    <hyperlink ref="K2401" r:id="rId2399" xr:uid="{00000000-0004-0000-0D00-00005E090000}"/>
    <hyperlink ref="K2402" r:id="rId2400" xr:uid="{00000000-0004-0000-0D00-00005F090000}"/>
    <hyperlink ref="K2403" r:id="rId2401" xr:uid="{00000000-0004-0000-0D00-000060090000}"/>
    <hyperlink ref="K2404" r:id="rId2402" xr:uid="{00000000-0004-0000-0D00-000061090000}"/>
    <hyperlink ref="K2405" r:id="rId2403" xr:uid="{00000000-0004-0000-0D00-000062090000}"/>
    <hyperlink ref="K2406" r:id="rId2404" xr:uid="{00000000-0004-0000-0D00-000063090000}"/>
    <hyperlink ref="K2407" r:id="rId2405" xr:uid="{00000000-0004-0000-0D00-000064090000}"/>
    <hyperlink ref="K2408" r:id="rId2406" xr:uid="{00000000-0004-0000-0D00-000065090000}"/>
    <hyperlink ref="K2409" r:id="rId2407" xr:uid="{00000000-0004-0000-0D00-000066090000}"/>
    <hyperlink ref="K2410" r:id="rId2408" xr:uid="{00000000-0004-0000-0D00-000067090000}"/>
    <hyperlink ref="K2411" r:id="rId2409" xr:uid="{00000000-0004-0000-0D00-000068090000}"/>
    <hyperlink ref="K2412" r:id="rId2410" xr:uid="{00000000-0004-0000-0D00-000069090000}"/>
    <hyperlink ref="K2413" r:id="rId2411" xr:uid="{00000000-0004-0000-0D00-00006A090000}"/>
    <hyperlink ref="K2414" r:id="rId2412" xr:uid="{00000000-0004-0000-0D00-00006B090000}"/>
    <hyperlink ref="K2415" r:id="rId2413" xr:uid="{00000000-0004-0000-0D00-00006C090000}"/>
    <hyperlink ref="K2416" r:id="rId2414" xr:uid="{00000000-0004-0000-0D00-00006D090000}"/>
    <hyperlink ref="K2417" r:id="rId2415" xr:uid="{00000000-0004-0000-0D00-00006E090000}"/>
    <hyperlink ref="K2418" r:id="rId2416" xr:uid="{00000000-0004-0000-0D00-00006F090000}"/>
    <hyperlink ref="K2419" r:id="rId2417" xr:uid="{00000000-0004-0000-0D00-000070090000}"/>
    <hyperlink ref="K2420" r:id="rId2418" xr:uid="{00000000-0004-0000-0D00-000071090000}"/>
    <hyperlink ref="K2421" r:id="rId2419" xr:uid="{00000000-0004-0000-0D00-000072090000}"/>
    <hyperlink ref="K2422" r:id="rId2420" xr:uid="{00000000-0004-0000-0D00-000073090000}"/>
    <hyperlink ref="K2423" r:id="rId2421" xr:uid="{00000000-0004-0000-0D00-000074090000}"/>
    <hyperlink ref="K2424" r:id="rId2422" xr:uid="{00000000-0004-0000-0D00-000075090000}"/>
    <hyperlink ref="K2425" r:id="rId2423" xr:uid="{00000000-0004-0000-0D00-000076090000}"/>
    <hyperlink ref="K2426" r:id="rId2424" xr:uid="{00000000-0004-0000-0D00-000077090000}"/>
    <hyperlink ref="K2427" r:id="rId2425" xr:uid="{00000000-0004-0000-0D00-000078090000}"/>
    <hyperlink ref="K2428" r:id="rId2426" xr:uid="{00000000-0004-0000-0D00-000079090000}"/>
    <hyperlink ref="K2429" r:id="rId2427" xr:uid="{00000000-0004-0000-0D00-00007A090000}"/>
    <hyperlink ref="K2430" r:id="rId2428" xr:uid="{00000000-0004-0000-0D00-00007B090000}"/>
    <hyperlink ref="K2431" r:id="rId2429" xr:uid="{00000000-0004-0000-0D00-00007C090000}"/>
    <hyperlink ref="K2432" r:id="rId2430" xr:uid="{00000000-0004-0000-0D00-00007D090000}"/>
    <hyperlink ref="K2433" r:id="rId2431" xr:uid="{00000000-0004-0000-0D00-00007E090000}"/>
    <hyperlink ref="K2434" r:id="rId2432" xr:uid="{00000000-0004-0000-0D00-00007F090000}"/>
    <hyperlink ref="K2435" r:id="rId2433" xr:uid="{00000000-0004-0000-0D00-000080090000}"/>
    <hyperlink ref="K2436" r:id="rId2434" xr:uid="{00000000-0004-0000-0D00-000081090000}"/>
    <hyperlink ref="K2437" r:id="rId2435" xr:uid="{00000000-0004-0000-0D00-000082090000}"/>
    <hyperlink ref="K2438" r:id="rId2436" xr:uid="{00000000-0004-0000-0D00-000083090000}"/>
    <hyperlink ref="K2439" r:id="rId2437" xr:uid="{00000000-0004-0000-0D00-000084090000}"/>
    <hyperlink ref="K2440" r:id="rId2438" xr:uid="{00000000-0004-0000-0D00-000085090000}"/>
    <hyperlink ref="K2441" r:id="rId2439" xr:uid="{00000000-0004-0000-0D00-000086090000}"/>
    <hyperlink ref="K2442" r:id="rId2440" xr:uid="{00000000-0004-0000-0D00-000087090000}"/>
    <hyperlink ref="K2443" r:id="rId2441" xr:uid="{00000000-0004-0000-0D00-000088090000}"/>
    <hyperlink ref="K2444" r:id="rId2442" xr:uid="{00000000-0004-0000-0D00-000089090000}"/>
    <hyperlink ref="K2445" r:id="rId2443" xr:uid="{00000000-0004-0000-0D00-00008A090000}"/>
    <hyperlink ref="K2446" r:id="rId2444" xr:uid="{00000000-0004-0000-0D00-00008B090000}"/>
    <hyperlink ref="K2447" r:id="rId2445" xr:uid="{00000000-0004-0000-0D00-00008C090000}"/>
    <hyperlink ref="K2448" r:id="rId2446" xr:uid="{00000000-0004-0000-0D00-00008D090000}"/>
    <hyperlink ref="K2449" r:id="rId2447" xr:uid="{00000000-0004-0000-0D00-00008E090000}"/>
    <hyperlink ref="K2450" r:id="rId2448" xr:uid="{00000000-0004-0000-0D00-00008F090000}"/>
    <hyperlink ref="K2451" r:id="rId2449" xr:uid="{00000000-0004-0000-0D00-000090090000}"/>
    <hyperlink ref="K2452" r:id="rId2450" xr:uid="{00000000-0004-0000-0D00-000091090000}"/>
    <hyperlink ref="K2453" r:id="rId2451" xr:uid="{00000000-0004-0000-0D00-000092090000}"/>
    <hyperlink ref="K2454" r:id="rId2452" xr:uid="{00000000-0004-0000-0D00-000093090000}"/>
    <hyperlink ref="K2455" r:id="rId2453" xr:uid="{00000000-0004-0000-0D00-000094090000}"/>
    <hyperlink ref="K2456" r:id="rId2454" xr:uid="{00000000-0004-0000-0D00-000095090000}"/>
    <hyperlink ref="K2457" r:id="rId2455" xr:uid="{00000000-0004-0000-0D00-000096090000}"/>
    <hyperlink ref="K2458" r:id="rId2456" xr:uid="{00000000-0004-0000-0D00-000097090000}"/>
    <hyperlink ref="K2459" r:id="rId2457" xr:uid="{00000000-0004-0000-0D00-000098090000}"/>
    <hyperlink ref="K2460" r:id="rId2458" xr:uid="{00000000-0004-0000-0D00-000099090000}"/>
    <hyperlink ref="K2461" r:id="rId2459" xr:uid="{00000000-0004-0000-0D00-00009A090000}"/>
    <hyperlink ref="K2462" r:id="rId2460" xr:uid="{00000000-0004-0000-0D00-00009B090000}"/>
    <hyperlink ref="K2463" r:id="rId2461" xr:uid="{00000000-0004-0000-0D00-00009C090000}"/>
    <hyperlink ref="K2464" r:id="rId2462" xr:uid="{00000000-0004-0000-0D00-00009D090000}"/>
    <hyperlink ref="K2465" r:id="rId2463" xr:uid="{00000000-0004-0000-0D00-00009E090000}"/>
    <hyperlink ref="K2466" r:id="rId2464" xr:uid="{00000000-0004-0000-0D00-00009F090000}"/>
    <hyperlink ref="K2467" r:id="rId2465" xr:uid="{00000000-0004-0000-0D00-0000A0090000}"/>
    <hyperlink ref="K2468" r:id="rId2466" xr:uid="{00000000-0004-0000-0D00-0000A1090000}"/>
    <hyperlink ref="K2469" r:id="rId2467" xr:uid="{00000000-0004-0000-0D00-0000A2090000}"/>
    <hyperlink ref="K2470" r:id="rId2468" xr:uid="{00000000-0004-0000-0D00-0000A3090000}"/>
    <hyperlink ref="K2471" r:id="rId2469" xr:uid="{00000000-0004-0000-0D00-0000A4090000}"/>
    <hyperlink ref="K2472" r:id="rId2470" xr:uid="{00000000-0004-0000-0D00-0000A5090000}"/>
    <hyperlink ref="K2473" r:id="rId2471" xr:uid="{00000000-0004-0000-0D00-0000A6090000}"/>
    <hyperlink ref="K2474" r:id="rId2472" xr:uid="{00000000-0004-0000-0D00-0000A7090000}"/>
    <hyperlink ref="K2475" r:id="rId2473" xr:uid="{00000000-0004-0000-0D00-0000A8090000}"/>
    <hyperlink ref="K2476" r:id="rId2474" xr:uid="{00000000-0004-0000-0D00-0000A9090000}"/>
    <hyperlink ref="K2477" r:id="rId2475" xr:uid="{00000000-0004-0000-0D00-0000AA090000}"/>
    <hyperlink ref="K2478" r:id="rId2476" xr:uid="{00000000-0004-0000-0D00-0000AB090000}"/>
    <hyperlink ref="K2479" r:id="rId2477" xr:uid="{00000000-0004-0000-0D00-0000AC090000}"/>
    <hyperlink ref="K2480" r:id="rId2478" xr:uid="{00000000-0004-0000-0D00-0000AD090000}"/>
    <hyperlink ref="K2481" r:id="rId2479" xr:uid="{00000000-0004-0000-0D00-0000AE090000}"/>
    <hyperlink ref="K2482" r:id="rId2480" xr:uid="{00000000-0004-0000-0D00-0000AF090000}"/>
    <hyperlink ref="K2483" r:id="rId2481" xr:uid="{00000000-0004-0000-0D00-0000B0090000}"/>
    <hyperlink ref="K2484" r:id="rId2482" xr:uid="{00000000-0004-0000-0D00-0000B1090000}"/>
    <hyperlink ref="K2485" r:id="rId2483" xr:uid="{00000000-0004-0000-0D00-0000B2090000}"/>
    <hyperlink ref="K2486" r:id="rId2484" xr:uid="{00000000-0004-0000-0D00-0000B3090000}"/>
    <hyperlink ref="K2487" r:id="rId2485" xr:uid="{00000000-0004-0000-0D00-0000B4090000}"/>
    <hyperlink ref="K2488" r:id="rId2486" xr:uid="{00000000-0004-0000-0D00-0000B5090000}"/>
    <hyperlink ref="K2489" r:id="rId2487" xr:uid="{00000000-0004-0000-0D00-0000B6090000}"/>
    <hyperlink ref="K2490" r:id="rId2488" xr:uid="{00000000-0004-0000-0D00-0000B7090000}"/>
    <hyperlink ref="K2491" r:id="rId2489" xr:uid="{00000000-0004-0000-0D00-0000B8090000}"/>
    <hyperlink ref="K2492" r:id="rId2490" xr:uid="{00000000-0004-0000-0D00-0000B9090000}"/>
    <hyperlink ref="K2493" r:id="rId2491" xr:uid="{00000000-0004-0000-0D00-0000BA090000}"/>
    <hyperlink ref="K2494" r:id="rId2492" xr:uid="{00000000-0004-0000-0D00-0000BB090000}"/>
    <hyperlink ref="K2495" r:id="rId2493" xr:uid="{00000000-0004-0000-0D00-0000BC090000}"/>
    <hyperlink ref="K2496" r:id="rId2494" xr:uid="{00000000-0004-0000-0D00-0000BD090000}"/>
    <hyperlink ref="K2497" r:id="rId2495" xr:uid="{00000000-0004-0000-0D00-0000BE090000}"/>
    <hyperlink ref="K2498" r:id="rId2496" xr:uid="{00000000-0004-0000-0D00-0000BF090000}"/>
    <hyperlink ref="K2499" r:id="rId2497" xr:uid="{00000000-0004-0000-0D00-0000C0090000}"/>
    <hyperlink ref="K2500" r:id="rId2498" xr:uid="{00000000-0004-0000-0D00-0000C1090000}"/>
    <hyperlink ref="K2501" r:id="rId2499" xr:uid="{00000000-0004-0000-0D00-0000C2090000}"/>
    <hyperlink ref="K2502" r:id="rId2500" xr:uid="{00000000-0004-0000-0D00-0000C3090000}"/>
    <hyperlink ref="K2503" r:id="rId2501" xr:uid="{00000000-0004-0000-0D00-0000C4090000}"/>
    <hyperlink ref="K2504" r:id="rId2502" xr:uid="{00000000-0004-0000-0D00-0000C5090000}"/>
    <hyperlink ref="K2505" r:id="rId2503" xr:uid="{00000000-0004-0000-0D00-0000C6090000}"/>
    <hyperlink ref="K2506" r:id="rId2504" xr:uid="{00000000-0004-0000-0D00-0000C7090000}"/>
    <hyperlink ref="K2507" r:id="rId2505" xr:uid="{00000000-0004-0000-0D00-0000C8090000}"/>
    <hyperlink ref="K2508" r:id="rId2506" xr:uid="{00000000-0004-0000-0D00-0000C9090000}"/>
    <hyperlink ref="K2509" r:id="rId2507" xr:uid="{00000000-0004-0000-0D00-0000CA090000}"/>
    <hyperlink ref="K2510" r:id="rId2508" xr:uid="{00000000-0004-0000-0D00-0000CB090000}"/>
    <hyperlink ref="K2511" r:id="rId2509" xr:uid="{00000000-0004-0000-0D00-0000CC090000}"/>
    <hyperlink ref="K2512" r:id="rId2510" xr:uid="{00000000-0004-0000-0D00-0000CD090000}"/>
    <hyperlink ref="K2513" r:id="rId2511" xr:uid="{00000000-0004-0000-0D00-0000CE090000}"/>
    <hyperlink ref="K2514" r:id="rId2512" xr:uid="{00000000-0004-0000-0D00-0000CF090000}"/>
    <hyperlink ref="K2515" r:id="rId2513" xr:uid="{00000000-0004-0000-0D00-0000D0090000}"/>
    <hyperlink ref="K2516" r:id="rId2514" xr:uid="{00000000-0004-0000-0D00-0000D1090000}"/>
    <hyperlink ref="K2517" r:id="rId2515" xr:uid="{00000000-0004-0000-0D00-0000D2090000}"/>
    <hyperlink ref="K2518" r:id="rId2516" xr:uid="{00000000-0004-0000-0D00-0000D3090000}"/>
    <hyperlink ref="K2519" r:id="rId2517" xr:uid="{00000000-0004-0000-0D00-0000D4090000}"/>
    <hyperlink ref="K2520" r:id="rId2518" xr:uid="{00000000-0004-0000-0D00-0000D5090000}"/>
    <hyperlink ref="K2521" r:id="rId2519" xr:uid="{00000000-0004-0000-0D00-0000D6090000}"/>
    <hyperlink ref="K2522" r:id="rId2520" xr:uid="{00000000-0004-0000-0D00-0000D7090000}"/>
    <hyperlink ref="K2523" r:id="rId2521" xr:uid="{00000000-0004-0000-0D00-0000D8090000}"/>
    <hyperlink ref="K2524" r:id="rId2522" xr:uid="{00000000-0004-0000-0D00-0000D9090000}"/>
    <hyperlink ref="K2525" r:id="rId2523" xr:uid="{00000000-0004-0000-0D00-0000DA090000}"/>
    <hyperlink ref="K2526" r:id="rId2524" xr:uid="{00000000-0004-0000-0D00-0000DB090000}"/>
    <hyperlink ref="K2527" r:id="rId2525" xr:uid="{00000000-0004-0000-0D00-0000DC090000}"/>
    <hyperlink ref="K2528" r:id="rId2526" xr:uid="{00000000-0004-0000-0D00-0000DD090000}"/>
    <hyperlink ref="K2529" r:id="rId2527" xr:uid="{00000000-0004-0000-0D00-0000DE090000}"/>
    <hyperlink ref="K2530" r:id="rId2528" xr:uid="{00000000-0004-0000-0D00-0000DF090000}"/>
    <hyperlink ref="K2531" r:id="rId2529" xr:uid="{00000000-0004-0000-0D00-0000E0090000}"/>
    <hyperlink ref="K2532" r:id="rId2530" xr:uid="{00000000-0004-0000-0D00-0000E1090000}"/>
    <hyperlink ref="K2533" r:id="rId2531" xr:uid="{00000000-0004-0000-0D00-0000E2090000}"/>
    <hyperlink ref="K2534" r:id="rId2532" xr:uid="{00000000-0004-0000-0D00-0000E3090000}"/>
    <hyperlink ref="K2535" r:id="rId2533" xr:uid="{00000000-0004-0000-0D00-0000E4090000}"/>
    <hyperlink ref="K2536" r:id="rId2534" xr:uid="{00000000-0004-0000-0D00-0000E5090000}"/>
    <hyperlink ref="K2537" r:id="rId2535" xr:uid="{00000000-0004-0000-0D00-0000E6090000}"/>
    <hyperlink ref="K2538" r:id="rId2536" xr:uid="{00000000-0004-0000-0D00-0000E7090000}"/>
    <hyperlink ref="K2539" r:id="rId2537" xr:uid="{00000000-0004-0000-0D00-0000E8090000}"/>
    <hyperlink ref="K2540" r:id="rId2538" xr:uid="{00000000-0004-0000-0D00-0000E9090000}"/>
    <hyperlink ref="K2541" r:id="rId2539" xr:uid="{00000000-0004-0000-0D00-0000EA090000}"/>
    <hyperlink ref="K2542" r:id="rId2540" xr:uid="{00000000-0004-0000-0D00-0000EB090000}"/>
    <hyperlink ref="K2543" r:id="rId2541" xr:uid="{00000000-0004-0000-0D00-0000EC090000}"/>
    <hyperlink ref="K2544" r:id="rId2542" xr:uid="{00000000-0004-0000-0D00-0000ED090000}"/>
    <hyperlink ref="K2545" r:id="rId2543" xr:uid="{00000000-0004-0000-0D00-0000EE090000}"/>
    <hyperlink ref="K2546" r:id="rId2544" xr:uid="{00000000-0004-0000-0D00-0000EF090000}"/>
    <hyperlink ref="K2547" r:id="rId2545" xr:uid="{00000000-0004-0000-0D00-0000F0090000}"/>
    <hyperlink ref="K2548" r:id="rId2546" xr:uid="{00000000-0004-0000-0D00-0000F1090000}"/>
    <hyperlink ref="K2549" r:id="rId2547" xr:uid="{00000000-0004-0000-0D00-0000F2090000}"/>
    <hyperlink ref="K2550" r:id="rId2548" xr:uid="{00000000-0004-0000-0D00-0000F3090000}"/>
    <hyperlink ref="K2551" r:id="rId2549" xr:uid="{00000000-0004-0000-0D00-0000F4090000}"/>
    <hyperlink ref="K2552" r:id="rId2550" xr:uid="{00000000-0004-0000-0D00-0000F5090000}"/>
    <hyperlink ref="K2553" r:id="rId2551" xr:uid="{00000000-0004-0000-0D00-0000F6090000}"/>
    <hyperlink ref="K2554" r:id="rId2552" xr:uid="{00000000-0004-0000-0D00-0000F7090000}"/>
    <hyperlink ref="K2555" r:id="rId2553" xr:uid="{00000000-0004-0000-0D00-0000F8090000}"/>
    <hyperlink ref="K2556" r:id="rId2554" xr:uid="{00000000-0004-0000-0D00-0000F9090000}"/>
    <hyperlink ref="K2557" r:id="rId2555" xr:uid="{00000000-0004-0000-0D00-0000FA090000}"/>
    <hyperlink ref="K2558" r:id="rId2556" xr:uid="{00000000-0004-0000-0D00-0000FB090000}"/>
    <hyperlink ref="K2559" r:id="rId2557" xr:uid="{00000000-0004-0000-0D00-0000FC090000}"/>
    <hyperlink ref="K2560" r:id="rId2558" xr:uid="{00000000-0004-0000-0D00-0000FD090000}"/>
    <hyperlink ref="K2561" r:id="rId2559" xr:uid="{00000000-0004-0000-0D00-0000FE090000}"/>
    <hyperlink ref="K2562" r:id="rId2560" xr:uid="{00000000-0004-0000-0D00-0000FF090000}"/>
    <hyperlink ref="K2563" r:id="rId2561" xr:uid="{00000000-0004-0000-0D00-0000000A0000}"/>
    <hyperlink ref="K2564" r:id="rId2562" xr:uid="{00000000-0004-0000-0D00-0000010A0000}"/>
    <hyperlink ref="K2565" r:id="rId2563" xr:uid="{00000000-0004-0000-0D00-0000020A0000}"/>
    <hyperlink ref="K2566" r:id="rId2564" xr:uid="{00000000-0004-0000-0D00-0000030A0000}"/>
    <hyperlink ref="K2567" r:id="rId2565" xr:uid="{00000000-0004-0000-0D00-0000040A0000}"/>
    <hyperlink ref="K2568" r:id="rId2566" xr:uid="{00000000-0004-0000-0D00-0000050A0000}"/>
    <hyperlink ref="K2569" r:id="rId2567" xr:uid="{00000000-0004-0000-0D00-0000060A0000}"/>
    <hyperlink ref="K2570" r:id="rId2568" xr:uid="{00000000-0004-0000-0D00-0000070A0000}"/>
    <hyperlink ref="K2571" r:id="rId2569" xr:uid="{00000000-0004-0000-0D00-0000080A0000}"/>
    <hyperlink ref="K2572" r:id="rId2570" xr:uid="{00000000-0004-0000-0D00-0000090A0000}"/>
    <hyperlink ref="K2573" r:id="rId2571" xr:uid="{00000000-0004-0000-0D00-00000A0A0000}"/>
    <hyperlink ref="K2574" r:id="rId2572" xr:uid="{00000000-0004-0000-0D00-00000B0A0000}"/>
    <hyperlink ref="K2575" r:id="rId2573" xr:uid="{00000000-0004-0000-0D00-00000C0A0000}"/>
    <hyperlink ref="K2576" r:id="rId2574" xr:uid="{00000000-0004-0000-0D00-00000D0A0000}"/>
    <hyperlink ref="K2577" r:id="rId2575" xr:uid="{00000000-0004-0000-0D00-00000E0A0000}"/>
    <hyperlink ref="K2578" r:id="rId2576" xr:uid="{00000000-0004-0000-0D00-00000F0A0000}"/>
    <hyperlink ref="K2579" r:id="rId2577" xr:uid="{00000000-0004-0000-0D00-0000100A0000}"/>
    <hyperlink ref="K2580" r:id="rId2578" xr:uid="{00000000-0004-0000-0D00-0000110A0000}"/>
    <hyperlink ref="K2581" r:id="rId2579" xr:uid="{00000000-0004-0000-0D00-0000120A0000}"/>
    <hyperlink ref="K2582" r:id="rId2580" xr:uid="{00000000-0004-0000-0D00-0000130A0000}"/>
    <hyperlink ref="K2583" r:id="rId2581" xr:uid="{00000000-0004-0000-0D00-0000140A0000}"/>
    <hyperlink ref="K2584" r:id="rId2582" xr:uid="{00000000-0004-0000-0D00-0000150A0000}"/>
    <hyperlink ref="K2585" r:id="rId2583" xr:uid="{00000000-0004-0000-0D00-0000160A0000}"/>
    <hyperlink ref="K2586" r:id="rId2584" xr:uid="{00000000-0004-0000-0D00-0000170A0000}"/>
    <hyperlink ref="K2587" r:id="rId2585" xr:uid="{00000000-0004-0000-0D00-0000180A0000}"/>
    <hyperlink ref="K2588" r:id="rId2586" xr:uid="{00000000-0004-0000-0D00-0000190A0000}"/>
    <hyperlink ref="K2589" r:id="rId2587" xr:uid="{00000000-0004-0000-0D00-00001A0A0000}"/>
    <hyperlink ref="K2590" r:id="rId2588" xr:uid="{00000000-0004-0000-0D00-00001B0A0000}"/>
    <hyperlink ref="K2591" r:id="rId2589" xr:uid="{00000000-0004-0000-0D00-00001C0A0000}"/>
    <hyperlink ref="K2592" r:id="rId2590" xr:uid="{00000000-0004-0000-0D00-00001D0A0000}"/>
    <hyperlink ref="K2593" r:id="rId2591" xr:uid="{00000000-0004-0000-0D00-00001E0A0000}"/>
    <hyperlink ref="K2594" r:id="rId2592" xr:uid="{00000000-0004-0000-0D00-00001F0A0000}"/>
    <hyperlink ref="K2595" r:id="rId2593" xr:uid="{00000000-0004-0000-0D00-0000200A0000}"/>
    <hyperlink ref="K2596" r:id="rId2594" xr:uid="{00000000-0004-0000-0D00-0000210A0000}"/>
    <hyperlink ref="K2597" r:id="rId2595" xr:uid="{00000000-0004-0000-0D00-0000220A0000}"/>
    <hyperlink ref="K2598" r:id="rId2596" xr:uid="{00000000-0004-0000-0D00-0000230A0000}"/>
    <hyperlink ref="K2599" r:id="rId2597" xr:uid="{00000000-0004-0000-0D00-0000240A0000}"/>
    <hyperlink ref="K2600" r:id="rId2598" xr:uid="{00000000-0004-0000-0D00-0000250A0000}"/>
    <hyperlink ref="K2601" r:id="rId2599" xr:uid="{00000000-0004-0000-0D00-0000260A0000}"/>
    <hyperlink ref="K2602" r:id="rId2600" xr:uid="{00000000-0004-0000-0D00-0000270A0000}"/>
    <hyperlink ref="K2603" r:id="rId2601" xr:uid="{00000000-0004-0000-0D00-0000280A0000}"/>
    <hyperlink ref="K2604" r:id="rId2602" xr:uid="{00000000-0004-0000-0D00-0000290A0000}"/>
    <hyperlink ref="K2605" r:id="rId2603" xr:uid="{00000000-0004-0000-0D00-00002A0A0000}"/>
    <hyperlink ref="K2606" r:id="rId2604" xr:uid="{00000000-0004-0000-0D00-00002B0A0000}"/>
    <hyperlink ref="K2607" r:id="rId2605" xr:uid="{00000000-0004-0000-0D00-00002C0A0000}"/>
    <hyperlink ref="K2608" r:id="rId2606" xr:uid="{00000000-0004-0000-0D00-00002D0A0000}"/>
    <hyperlink ref="K2609" r:id="rId2607" xr:uid="{00000000-0004-0000-0D00-00002E0A0000}"/>
    <hyperlink ref="K2610" r:id="rId2608" xr:uid="{00000000-0004-0000-0D00-00002F0A0000}"/>
    <hyperlink ref="K2611" r:id="rId2609" xr:uid="{00000000-0004-0000-0D00-0000300A0000}"/>
    <hyperlink ref="K2612" r:id="rId2610" xr:uid="{00000000-0004-0000-0D00-0000310A0000}"/>
    <hyperlink ref="K2613" r:id="rId2611" xr:uid="{00000000-0004-0000-0D00-0000320A0000}"/>
    <hyperlink ref="K2614" r:id="rId2612" xr:uid="{00000000-0004-0000-0D00-0000330A0000}"/>
    <hyperlink ref="K2615" r:id="rId2613" xr:uid="{00000000-0004-0000-0D00-0000340A0000}"/>
    <hyperlink ref="K2616" r:id="rId2614" xr:uid="{00000000-0004-0000-0D00-0000350A0000}"/>
    <hyperlink ref="K2617" r:id="rId2615" xr:uid="{00000000-0004-0000-0D00-0000360A0000}"/>
    <hyperlink ref="K2618" r:id="rId2616" xr:uid="{00000000-0004-0000-0D00-0000370A0000}"/>
    <hyperlink ref="K2619" r:id="rId2617" xr:uid="{00000000-0004-0000-0D00-0000380A0000}"/>
    <hyperlink ref="K2620" r:id="rId2618" xr:uid="{00000000-0004-0000-0D00-0000390A0000}"/>
    <hyperlink ref="K2621" r:id="rId2619" xr:uid="{00000000-0004-0000-0D00-00003A0A0000}"/>
    <hyperlink ref="K2622" r:id="rId2620" xr:uid="{00000000-0004-0000-0D00-00003B0A0000}"/>
    <hyperlink ref="K2623" r:id="rId2621" xr:uid="{00000000-0004-0000-0D00-00003C0A0000}"/>
    <hyperlink ref="K2624" r:id="rId2622" xr:uid="{00000000-0004-0000-0D00-00003D0A0000}"/>
    <hyperlink ref="K2625" r:id="rId2623" xr:uid="{00000000-0004-0000-0D00-00003E0A0000}"/>
    <hyperlink ref="K2626" r:id="rId2624" xr:uid="{00000000-0004-0000-0D00-00003F0A0000}"/>
    <hyperlink ref="K2627" r:id="rId2625" xr:uid="{00000000-0004-0000-0D00-0000400A0000}"/>
    <hyperlink ref="K2628" r:id="rId2626" xr:uid="{00000000-0004-0000-0D00-0000410A0000}"/>
    <hyperlink ref="K2629" r:id="rId2627" xr:uid="{00000000-0004-0000-0D00-0000420A0000}"/>
    <hyperlink ref="K2630" r:id="rId2628" xr:uid="{00000000-0004-0000-0D00-0000430A0000}"/>
    <hyperlink ref="K2631" r:id="rId2629" xr:uid="{00000000-0004-0000-0D00-0000440A0000}"/>
    <hyperlink ref="K2632" r:id="rId2630" xr:uid="{00000000-0004-0000-0D00-0000450A0000}"/>
    <hyperlink ref="K2633" r:id="rId2631" xr:uid="{00000000-0004-0000-0D00-0000460A0000}"/>
    <hyperlink ref="K2634" r:id="rId2632" xr:uid="{00000000-0004-0000-0D00-0000470A0000}"/>
    <hyperlink ref="K2635" r:id="rId2633" xr:uid="{00000000-0004-0000-0D00-0000480A0000}"/>
    <hyperlink ref="K2636" r:id="rId2634" xr:uid="{00000000-0004-0000-0D00-0000490A0000}"/>
    <hyperlink ref="K2637" r:id="rId2635" xr:uid="{00000000-0004-0000-0D00-00004A0A0000}"/>
    <hyperlink ref="K2638" r:id="rId2636" xr:uid="{00000000-0004-0000-0D00-00004B0A0000}"/>
    <hyperlink ref="K2639" r:id="rId2637" xr:uid="{00000000-0004-0000-0D00-00004C0A0000}"/>
    <hyperlink ref="K2640" r:id="rId2638" xr:uid="{00000000-0004-0000-0D00-00004D0A0000}"/>
    <hyperlink ref="K2641" r:id="rId2639" xr:uid="{00000000-0004-0000-0D00-00004E0A0000}"/>
    <hyperlink ref="K2642" r:id="rId2640" xr:uid="{00000000-0004-0000-0D00-00004F0A0000}"/>
    <hyperlink ref="K2643" r:id="rId2641" xr:uid="{00000000-0004-0000-0D00-0000500A0000}"/>
    <hyperlink ref="K2644" r:id="rId2642" xr:uid="{00000000-0004-0000-0D00-0000510A0000}"/>
    <hyperlink ref="K2645" r:id="rId2643" xr:uid="{00000000-0004-0000-0D00-0000520A0000}"/>
    <hyperlink ref="K2646" r:id="rId2644" xr:uid="{00000000-0004-0000-0D00-0000530A0000}"/>
    <hyperlink ref="K2647" r:id="rId2645" xr:uid="{00000000-0004-0000-0D00-0000540A0000}"/>
    <hyperlink ref="K2648" r:id="rId2646" xr:uid="{00000000-0004-0000-0D00-0000550A0000}"/>
    <hyperlink ref="K2649" r:id="rId2647" xr:uid="{00000000-0004-0000-0D00-0000560A0000}"/>
    <hyperlink ref="K2650" r:id="rId2648" xr:uid="{00000000-0004-0000-0D00-0000570A0000}"/>
    <hyperlink ref="K2651" r:id="rId2649" xr:uid="{00000000-0004-0000-0D00-0000580A0000}"/>
    <hyperlink ref="K2652" r:id="rId2650" xr:uid="{00000000-0004-0000-0D00-0000590A0000}"/>
    <hyperlink ref="K2653" r:id="rId2651" xr:uid="{00000000-0004-0000-0D00-00005A0A0000}"/>
    <hyperlink ref="K2654" r:id="rId2652" xr:uid="{00000000-0004-0000-0D00-00005B0A0000}"/>
    <hyperlink ref="K2655" r:id="rId2653" xr:uid="{00000000-0004-0000-0D00-00005C0A0000}"/>
    <hyperlink ref="K2656" r:id="rId2654" xr:uid="{00000000-0004-0000-0D00-00005D0A0000}"/>
    <hyperlink ref="K2657" r:id="rId2655" xr:uid="{00000000-0004-0000-0D00-00005E0A0000}"/>
    <hyperlink ref="K2658" r:id="rId2656" xr:uid="{00000000-0004-0000-0D00-00005F0A0000}"/>
    <hyperlink ref="K2659" r:id="rId2657" xr:uid="{00000000-0004-0000-0D00-0000600A0000}"/>
    <hyperlink ref="K2660" r:id="rId2658" xr:uid="{00000000-0004-0000-0D00-0000610A0000}"/>
    <hyperlink ref="K2661" r:id="rId2659" xr:uid="{00000000-0004-0000-0D00-0000620A0000}"/>
    <hyperlink ref="K2662" r:id="rId2660" xr:uid="{00000000-0004-0000-0D00-0000630A0000}"/>
    <hyperlink ref="K2663" r:id="rId2661" xr:uid="{00000000-0004-0000-0D00-0000640A0000}"/>
    <hyperlink ref="K2664" r:id="rId2662" xr:uid="{00000000-0004-0000-0D00-0000650A0000}"/>
    <hyperlink ref="K2665" r:id="rId2663" xr:uid="{00000000-0004-0000-0D00-0000660A0000}"/>
    <hyperlink ref="K2666" r:id="rId2664" xr:uid="{00000000-0004-0000-0D00-0000670A0000}"/>
    <hyperlink ref="K2667" r:id="rId2665" xr:uid="{00000000-0004-0000-0D00-0000680A0000}"/>
    <hyperlink ref="K2668" r:id="rId2666" xr:uid="{00000000-0004-0000-0D00-0000690A0000}"/>
    <hyperlink ref="K2669" r:id="rId2667" xr:uid="{00000000-0004-0000-0D00-00006A0A0000}"/>
    <hyperlink ref="K2670" r:id="rId2668" xr:uid="{00000000-0004-0000-0D00-00006B0A0000}"/>
    <hyperlink ref="K2671" r:id="rId2669" xr:uid="{00000000-0004-0000-0D00-00006C0A0000}"/>
    <hyperlink ref="K2672" r:id="rId2670" xr:uid="{00000000-0004-0000-0D00-00006D0A0000}"/>
    <hyperlink ref="K2673" r:id="rId2671" xr:uid="{00000000-0004-0000-0D00-00006E0A0000}"/>
    <hyperlink ref="K2674" r:id="rId2672" xr:uid="{00000000-0004-0000-0D00-00006F0A0000}"/>
    <hyperlink ref="K2675" r:id="rId2673" xr:uid="{00000000-0004-0000-0D00-0000700A0000}"/>
    <hyperlink ref="K2676" r:id="rId2674" xr:uid="{00000000-0004-0000-0D00-0000710A0000}"/>
    <hyperlink ref="K2677" r:id="rId2675" xr:uid="{00000000-0004-0000-0D00-0000720A0000}"/>
    <hyperlink ref="K2678" r:id="rId2676" xr:uid="{00000000-0004-0000-0D00-0000730A0000}"/>
    <hyperlink ref="K2679" r:id="rId2677" xr:uid="{00000000-0004-0000-0D00-0000740A0000}"/>
    <hyperlink ref="K2680" r:id="rId2678" xr:uid="{00000000-0004-0000-0D00-0000750A0000}"/>
    <hyperlink ref="K2681" r:id="rId2679" xr:uid="{00000000-0004-0000-0D00-0000760A0000}"/>
    <hyperlink ref="K2682" r:id="rId2680" xr:uid="{00000000-0004-0000-0D00-0000770A0000}"/>
    <hyperlink ref="K2683" r:id="rId2681" xr:uid="{00000000-0004-0000-0D00-0000780A0000}"/>
    <hyperlink ref="K2684" r:id="rId2682" xr:uid="{00000000-0004-0000-0D00-0000790A0000}"/>
    <hyperlink ref="K2685" r:id="rId2683" xr:uid="{00000000-0004-0000-0D00-00007A0A0000}"/>
    <hyperlink ref="K2686" r:id="rId2684" xr:uid="{00000000-0004-0000-0D00-00007B0A0000}"/>
    <hyperlink ref="K2687" r:id="rId2685" xr:uid="{00000000-0004-0000-0D00-00007C0A0000}"/>
    <hyperlink ref="K2688" r:id="rId2686" xr:uid="{00000000-0004-0000-0D00-00007D0A0000}"/>
    <hyperlink ref="K2689" r:id="rId2687" xr:uid="{00000000-0004-0000-0D00-00007E0A0000}"/>
    <hyperlink ref="K2690" r:id="rId2688" xr:uid="{00000000-0004-0000-0D00-00007F0A0000}"/>
    <hyperlink ref="K2691" r:id="rId2689" xr:uid="{00000000-0004-0000-0D00-0000800A0000}"/>
    <hyperlink ref="K2692" r:id="rId2690" xr:uid="{00000000-0004-0000-0D00-0000810A0000}"/>
    <hyperlink ref="K2693" r:id="rId2691" xr:uid="{00000000-0004-0000-0D00-0000820A0000}"/>
    <hyperlink ref="K2694" r:id="rId2692" xr:uid="{00000000-0004-0000-0D00-0000830A0000}"/>
    <hyperlink ref="K2695" r:id="rId2693" xr:uid="{00000000-0004-0000-0D00-0000840A0000}"/>
    <hyperlink ref="K2696" r:id="rId2694" xr:uid="{00000000-0004-0000-0D00-0000850A0000}"/>
    <hyperlink ref="K2697" r:id="rId2695" xr:uid="{00000000-0004-0000-0D00-0000860A0000}"/>
    <hyperlink ref="K2698" r:id="rId2696" xr:uid="{00000000-0004-0000-0D00-0000870A0000}"/>
    <hyperlink ref="K2699" r:id="rId2697" xr:uid="{00000000-0004-0000-0D00-0000880A0000}"/>
    <hyperlink ref="K2700" r:id="rId2698" xr:uid="{00000000-0004-0000-0D00-0000890A0000}"/>
    <hyperlink ref="K2701" r:id="rId2699" xr:uid="{00000000-0004-0000-0D00-00008A0A0000}"/>
    <hyperlink ref="K2702" r:id="rId2700" xr:uid="{00000000-0004-0000-0D00-00008B0A0000}"/>
    <hyperlink ref="K2703" r:id="rId2701" xr:uid="{00000000-0004-0000-0D00-00008C0A0000}"/>
    <hyperlink ref="K2704" r:id="rId2702" xr:uid="{00000000-0004-0000-0D00-00008D0A0000}"/>
    <hyperlink ref="K2705" r:id="rId2703" xr:uid="{00000000-0004-0000-0D00-00008E0A0000}"/>
    <hyperlink ref="K2706" r:id="rId2704" xr:uid="{00000000-0004-0000-0D00-00008F0A0000}"/>
    <hyperlink ref="K2707" r:id="rId2705" xr:uid="{00000000-0004-0000-0D00-0000900A0000}"/>
    <hyperlink ref="K2708" r:id="rId2706" xr:uid="{00000000-0004-0000-0D00-0000910A0000}"/>
    <hyperlink ref="K2709" r:id="rId2707" xr:uid="{00000000-0004-0000-0D00-0000920A0000}"/>
    <hyperlink ref="K2710" r:id="rId2708" xr:uid="{00000000-0004-0000-0D00-0000930A0000}"/>
    <hyperlink ref="K2711" r:id="rId2709" xr:uid="{00000000-0004-0000-0D00-0000940A0000}"/>
    <hyperlink ref="K2712" r:id="rId2710" xr:uid="{00000000-0004-0000-0D00-0000950A0000}"/>
    <hyperlink ref="K2713" r:id="rId2711" xr:uid="{00000000-0004-0000-0D00-0000960A0000}"/>
    <hyperlink ref="K2714" r:id="rId2712" xr:uid="{00000000-0004-0000-0D00-0000970A0000}"/>
    <hyperlink ref="K2715" r:id="rId2713" xr:uid="{00000000-0004-0000-0D00-0000980A0000}"/>
    <hyperlink ref="K2716" r:id="rId2714" xr:uid="{00000000-0004-0000-0D00-0000990A0000}"/>
    <hyperlink ref="K2717" r:id="rId2715" xr:uid="{00000000-0004-0000-0D00-00009A0A0000}"/>
    <hyperlink ref="K2718" r:id="rId2716" xr:uid="{00000000-0004-0000-0D00-00009B0A0000}"/>
    <hyperlink ref="K2719" r:id="rId2717" xr:uid="{00000000-0004-0000-0D00-00009C0A0000}"/>
    <hyperlink ref="K2720" r:id="rId2718" xr:uid="{00000000-0004-0000-0D00-00009D0A0000}"/>
    <hyperlink ref="K2721" r:id="rId2719" xr:uid="{00000000-0004-0000-0D00-00009E0A0000}"/>
    <hyperlink ref="K2722" r:id="rId2720" xr:uid="{00000000-0004-0000-0D00-00009F0A0000}"/>
    <hyperlink ref="K2723" r:id="rId2721" xr:uid="{00000000-0004-0000-0D00-0000A00A0000}"/>
    <hyperlink ref="K2724" r:id="rId2722" xr:uid="{00000000-0004-0000-0D00-0000A10A0000}"/>
    <hyperlink ref="K2725" r:id="rId2723" xr:uid="{00000000-0004-0000-0D00-0000A20A0000}"/>
    <hyperlink ref="K2726" r:id="rId2724" xr:uid="{00000000-0004-0000-0D00-0000A30A0000}"/>
    <hyperlink ref="K2727" r:id="rId2725" xr:uid="{00000000-0004-0000-0D00-0000A40A0000}"/>
    <hyperlink ref="K2728" r:id="rId2726" xr:uid="{00000000-0004-0000-0D00-0000A50A0000}"/>
    <hyperlink ref="K2729" r:id="rId2727" xr:uid="{00000000-0004-0000-0D00-0000A60A0000}"/>
    <hyperlink ref="K2730" r:id="rId2728" xr:uid="{00000000-0004-0000-0D00-0000A70A0000}"/>
    <hyperlink ref="K2731" r:id="rId2729" xr:uid="{00000000-0004-0000-0D00-0000A80A0000}"/>
    <hyperlink ref="K2732" r:id="rId2730" xr:uid="{00000000-0004-0000-0D00-0000A90A0000}"/>
    <hyperlink ref="K2733" r:id="rId2731" xr:uid="{00000000-0004-0000-0D00-0000AA0A0000}"/>
    <hyperlink ref="K2734" r:id="rId2732" xr:uid="{00000000-0004-0000-0D00-0000AB0A0000}"/>
    <hyperlink ref="K2735" r:id="rId2733" xr:uid="{00000000-0004-0000-0D00-0000AC0A0000}"/>
    <hyperlink ref="K2736" r:id="rId2734" xr:uid="{00000000-0004-0000-0D00-0000AD0A0000}"/>
    <hyperlink ref="K2737" r:id="rId2735" xr:uid="{00000000-0004-0000-0D00-0000AE0A0000}"/>
    <hyperlink ref="K2738" r:id="rId2736" xr:uid="{00000000-0004-0000-0D00-0000AF0A0000}"/>
    <hyperlink ref="K2739" r:id="rId2737" xr:uid="{00000000-0004-0000-0D00-0000B00A0000}"/>
    <hyperlink ref="K2740" r:id="rId2738" xr:uid="{00000000-0004-0000-0D00-0000B10A0000}"/>
    <hyperlink ref="K2741" r:id="rId2739" xr:uid="{00000000-0004-0000-0D00-0000B20A0000}"/>
    <hyperlink ref="K2742" r:id="rId2740" xr:uid="{00000000-0004-0000-0D00-0000B30A0000}"/>
    <hyperlink ref="K2743" r:id="rId2741" xr:uid="{00000000-0004-0000-0D00-0000B40A0000}"/>
    <hyperlink ref="K2744" r:id="rId2742" xr:uid="{00000000-0004-0000-0D00-0000B50A0000}"/>
    <hyperlink ref="K2745" r:id="rId2743" xr:uid="{00000000-0004-0000-0D00-0000B60A0000}"/>
    <hyperlink ref="K2746" r:id="rId2744" xr:uid="{00000000-0004-0000-0D00-0000B70A0000}"/>
    <hyperlink ref="K2747" r:id="rId2745" xr:uid="{00000000-0004-0000-0D00-0000B80A0000}"/>
    <hyperlink ref="K2748" r:id="rId2746" xr:uid="{00000000-0004-0000-0D00-0000B90A0000}"/>
    <hyperlink ref="K2749" r:id="rId2747" xr:uid="{00000000-0004-0000-0D00-0000BA0A0000}"/>
    <hyperlink ref="K2750" r:id="rId2748" xr:uid="{00000000-0004-0000-0D00-0000BB0A0000}"/>
    <hyperlink ref="K2751" r:id="rId2749" xr:uid="{00000000-0004-0000-0D00-0000BC0A0000}"/>
    <hyperlink ref="K2752" r:id="rId2750" xr:uid="{00000000-0004-0000-0D00-0000BD0A0000}"/>
    <hyperlink ref="K2753" r:id="rId2751" xr:uid="{00000000-0004-0000-0D00-0000BE0A0000}"/>
    <hyperlink ref="K2754" r:id="rId2752" xr:uid="{00000000-0004-0000-0D00-0000BF0A0000}"/>
    <hyperlink ref="K2755" r:id="rId2753" xr:uid="{00000000-0004-0000-0D00-0000C00A0000}"/>
    <hyperlink ref="K2756" r:id="rId2754" xr:uid="{00000000-0004-0000-0D00-0000C10A0000}"/>
    <hyperlink ref="K2757" r:id="rId2755" xr:uid="{00000000-0004-0000-0D00-0000C20A0000}"/>
    <hyperlink ref="K2758" r:id="rId2756" xr:uid="{00000000-0004-0000-0D00-0000C30A0000}"/>
    <hyperlink ref="K2759" r:id="rId2757" xr:uid="{00000000-0004-0000-0D00-0000C40A0000}"/>
    <hyperlink ref="K2760" r:id="rId2758" xr:uid="{00000000-0004-0000-0D00-0000C50A0000}"/>
    <hyperlink ref="K2761" r:id="rId2759" xr:uid="{00000000-0004-0000-0D00-0000C60A0000}"/>
    <hyperlink ref="K2762" r:id="rId2760" xr:uid="{00000000-0004-0000-0D00-0000C70A0000}"/>
    <hyperlink ref="K2763" r:id="rId2761" xr:uid="{00000000-0004-0000-0D00-0000C80A0000}"/>
    <hyperlink ref="K2764" r:id="rId2762" xr:uid="{00000000-0004-0000-0D00-0000C90A0000}"/>
    <hyperlink ref="K2765" r:id="rId2763" xr:uid="{00000000-0004-0000-0D00-0000CA0A0000}"/>
    <hyperlink ref="K2766" r:id="rId2764" xr:uid="{00000000-0004-0000-0D00-0000CB0A0000}"/>
    <hyperlink ref="K2767" r:id="rId2765" xr:uid="{00000000-0004-0000-0D00-0000CC0A0000}"/>
    <hyperlink ref="K2768" r:id="rId2766" xr:uid="{00000000-0004-0000-0D00-0000CD0A0000}"/>
    <hyperlink ref="K2769" r:id="rId2767" xr:uid="{00000000-0004-0000-0D00-0000CE0A0000}"/>
    <hyperlink ref="K2770" r:id="rId2768" xr:uid="{00000000-0004-0000-0D00-0000CF0A0000}"/>
    <hyperlink ref="K2771" r:id="rId2769" xr:uid="{00000000-0004-0000-0D00-0000D00A0000}"/>
    <hyperlink ref="K2772" r:id="rId2770" xr:uid="{00000000-0004-0000-0D00-0000D10A0000}"/>
    <hyperlink ref="K2773" r:id="rId2771" xr:uid="{00000000-0004-0000-0D00-0000D20A0000}"/>
    <hyperlink ref="K2774" r:id="rId2772" xr:uid="{00000000-0004-0000-0D00-0000D30A0000}"/>
    <hyperlink ref="K2775" r:id="rId2773" xr:uid="{00000000-0004-0000-0D00-0000D40A0000}"/>
    <hyperlink ref="K2776" r:id="rId2774" xr:uid="{00000000-0004-0000-0D00-0000D50A0000}"/>
    <hyperlink ref="K2777" r:id="rId2775" xr:uid="{00000000-0004-0000-0D00-0000D60A0000}"/>
    <hyperlink ref="K2778" r:id="rId2776" xr:uid="{00000000-0004-0000-0D00-0000D70A0000}"/>
    <hyperlink ref="K2779" r:id="rId2777" xr:uid="{00000000-0004-0000-0D00-0000D80A0000}"/>
    <hyperlink ref="K2780" r:id="rId2778" xr:uid="{00000000-0004-0000-0D00-0000D90A0000}"/>
    <hyperlink ref="K2781" r:id="rId2779" xr:uid="{00000000-0004-0000-0D00-0000DA0A0000}"/>
    <hyperlink ref="K2782" r:id="rId2780" xr:uid="{00000000-0004-0000-0D00-0000DB0A0000}"/>
    <hyperlink ref="K2783" r:id="rId2781" xr:uid="{00000000-0004-0000-0D00-0000DC0A0000}"/>
    <hyperlink ref="K2784" r:id="rId2782" xr:uid="{00000000-0004-0000-0D00-0000DD0A0000}"/>
    <hyperlink ref="K2785" r:id="rId2783" xr:uid="{00000000-0004-0000-0D00-0000DE0A0000}"/>
    <hyperlink ref="K2786" r:id="rId2784" xr:uid="{00000000-0004-0000-0D00-0000DF0A0000}"/>
    <hyperlink ref="K2787" r:id="rId2785" xr:uid="{00000000-0004-0000-0D00-0000E00A0000}"/>
    <hyperlink ref="K2788" r:id="rId2786" xr:uid="{00000000-0004-0000-0D00-0000E10A0000}"/>
    <hyperlink ref="K2789" r:id="rId2787" xr:uid="{00000000-0004-0000-0D00-0000E20A0000}"/>
    <hyperlink ref="K2790" r:id="rId2788" xr:uid="{00000000-0004-0000-0D00-0000E30A0000}"/>
    <hyperlink ref="K2791" r:id="rId2789" xr:uid="{00000000-0004-0000-0D00-0000E40A0000}"/>
    <hyperlink ref="K2792" r:id="rId2790" xr:uid="{00000000-0004-0000-0D00-0000E50A0000}"/>
    <hyperlink ref="K2793" r:id="rId2791" xr:uid="{00000000-0004-0000-0D00-0000E60A0000}"/>
    <hyperlink ref="K2794" r:id="rId2792" xr:uid="{00000000-0004-0000-0D00-0000E70A0000}"/>
    <hyperlink ref="K2795" r:id="rId2793" xr:uid="{00000000-0004-0000-0D00-0000E80A0000}"/>
    <hyperlink ref="K2796" r:id="rId2794" xr:uid="{00000000-0004-0000-0D00-0000E90A0000}"/>
    <hyperlink ref="K2797" r:id="rId2795" xr:uid="{00000000-0004-0000-0D00-0000EA0A0000}"/>
    <hyperlink ref="K2798" r:id="rId2796" xr:uid="{00000000-0004-0000-0D00-0000EB0A0000}"/>
    <hyperlink ref="K2799" r:id="rId2797" xr:uid="{00000000-0004-0000-0D00-0000EC0A0000}"/>
    <hyperlink ref="K2800" r:id="rId2798" xr:uid="{00000000-0004-0000-0D00-0000ED0A0000}"/>
    <hyperlink ref="K2801" r:id="rId2799" xr:uid="{00000000-0004-0000-0D00-0000EE0A0000}"/>
    <hyperlink ref="K2802" r:id="rId2800" xr:uid="{00000000-0004-0000-0D00-0000EF0A0000}"/>
    <hyperlink ref="K2803" r:id="rId2801" xr:uid="{00000000-0004-0000-0D00-0000F00A0000}"/>
    <hyperlink ref="K2804" r:id="rId2802" xr:uid="{00000000-0004-0000-0D00-0000F10A0000}"/>
    <hyperlink ref="K2805" r:id="rId2803" xr:uid="{00000000-0004-0000-0D00-0000F20A0000}"/>
    <hyperlink ref="K2806" r:id="rId2804" xr:uid="{00000000-0004-0000-0D00-0000F30A0000}"/>
    <hyperlink ref="K2807" r:id="rId2805" xr:uid="{00000000-0004-0000-0D00-0000F40A0000}"/>
    <hyperlink ref="K2808" r:id="rId2806" xr:uid="{00000000-0004-0000-0D00-0000F50A0000}"/>
    <hyperlink ref="K2809" r:id="rId2807" xr:uid="{00000000-0004-0000-0D00-0000F60A0000}"/>
    <hyperlink ref="K2810" r:id="rId2808" xr:uid="{00000000-0004-0000-0D00-0000F70A0000}"/>
    <hyperlink ref="K2811" r:id="rId2809" xr:uid="{00000000-0004-0000-0D00-0000F80A0000}"/>
    <hyperlink ref="K2812" r:id="rId2810" xr:uid="{00000000-0004-0000-0D00-0000F90A0000}"/>
    <hyperlink ref="K2813" r:id="rId2811" xr:uid="{00000000-0004-0000-0D00-0000FA0A0000}"/>
    <hyperlink ref="K2814" r:id="rId2812" xr:uid="{00000000-0004-0000-0D00-0000FB0A0000}"/>
    <hyperlink ref="K2815" r:id="rId2813" xr:uid="{00000000-0004-0000-0D00-0000FC0A0000}"/>
    <hyperlink ref="K2816" r:id="rId2814" xr:uid="{00000000-0004-0000-0D00-0000FD0A0000}"/>
    <hyperlink ref="K2817" r:id="rId2815" xr:uid="{00000000-0004-0000-0D00-0000FE0A0000}"/>
    <hyperlink ref="K2818" r:id="rId2816" xr:uid="{00000000-0004-0000-0D00-0000FF0A0000}"/>
    <hyperlink ref="K2819" r:id="rId2817" xr:uid="{00000000-0004-0000-0D00-0000000B0000}"/>
    <hyperlink ref="K2820" r:id="rId2818" xr:uid="{00000000-0004-0000-0D00-0000010B0000}"/>
    <hyperlink ref="K2821" r:id="rId2819" xr:uid="{00000000-0004-0000-0D00-0000020B0000}"/>
    <hyperlink ref="K2822" r:id="rId2820" xr:uid="{00000000-0004-0000-0D00-0000030B0000}"/>
    <hyperlink ref="K2823" r:id="rId2821" xr:uid="{00000000-0004-0000-0D00-0000040B0000}"/>
    <hyperlink ref="K2824" r:id="rId2822" xr:uid="{00000000-0004-0000-0D00-0000050B0000}"/>
    <hyperlink ref="K2825" r:id="rId2823" xr:uid="{00000000-0004-0000-0D00-0000060B0000}"/>
    <hyperlink ref="K2826" r:id="rId2824" xr:uid="{00000000-0004-0000-0D00-0000070B0000}"/>
    <hyperlink ref="K2827" r:id="rId2825" xr:uid="{00000000-0004-0000-0D00-0000080B0000}"/>
    <hyperlink ref="K2828" r:id="rId2826" xr:uid="{00000000-0004-0000-0D00-0000090B0000}"/>
    <hyperlink ref="K2829" r:id="rId2827" xr:uid="{00000000-0004-0000-0D00-00000A0B0000}"/>
    <hyperlink ref="K2830" r:id="rId2828" xr:uid="{00000000-0004-0000-0D00-00000B0B0000}"/>
    <hyperlink ref="K2831" r:id="rId2829" xr:uid="{00000000-0004-0000-0D00-00000C0B0000}"/>
    <hyperlink ref="K2832" r:id="rId2830" xr:uid="{00000000-0004-0000-0D00-00000D0B0000}"/>
    <hyperlink ref="K2833" r:id="rId2831" xr:uid="{00000000-0004-0000-0D00-00000E0B0000}"/>
    <hyperlink ref="K2834" r:id="rId2832" xr:uid="{00000000-0004-0000-0D00-00000F0B0000}"/>
    <hyperlink ref="K2835" r:id="rId2833" xr:uid="{00000000-0004-0000-0D00-0000100B0000}"/>
    <hyperlink ref="K2836" r:id="rId2834" xr:uid="{00000000-0004-0000-0D00-0000110B0000}"/>
    <hyperlink ref="K2837" r:id="rId2835" xr:uid="{00000000-0004-0000-0D00-0000120B0000}"/>
    <hyperlink ref="K2838" r:id="rId2836" xr:uid="{00000000-0004-0000-0D00-0000130B0000}"/>
    <hyperlink ref="K2839" r:id="rId2837" xr:uid="{00000000-0004-0000-0D00-0000140B0000}"/>
    <hyperlink ref="K2840" r:id="rId2838" xr:uid="{00000000-0004-0000-0D00-0000150B0000}"/>
    <hyperlink ref="K2841" r:id="rId2839" xr:uid="{00000000-0004-0000-0D00-0000160B0000}"/>
    <hyperlink ref="K2842" r:id="rId2840" xr:uid="{00000000-0004-0000-0D00-0000170B0000}"/>
    <hyperlink ref="K2843" r:id="rId2841" xr:uid="{00000000-0004-0000-0D00-0000180B0000}"/>
    <hyperlink ref="K2844" r:id="rId2842" xr:uid="{00000000-0004-0000-0D00-0000190B0000}"/>
    <hyperlink ref="K2845" r:id="rId2843" xr:uid="{00000000-0004-0000-0D00-00001A0B0000}"/>
    <hyperlink ref="K2846" r:id="rId2844" xr:uid="{00000000-0004-0000-0D00-00001B0B0000}"/>
    <hyperlink ref="K2847" r:id="rId2845" xr:uid="{00000000-0004-0000-0D00-00001C0B0000}"/>
    <hyperlink ref="K2848" r:id="rId2846" xr:uid="{00000000-0004-0000-0D00-00001D0B0000}"/>
    <hyperlink ref="K2849" r:id="rId2847" xr:uid="{00000000-0004-0000-0D00-00001E0B0000}"/>
    <hyperlink ref="K2850" r:id="rId2848" xr:uid="{00000000-0004-0000-0D00-00001F0B0000}"/>
    <hyperlink ref="K2851" r:id="rId2849" xr:uid="{00000000-0004-0000-0D00-0000200B0000}"/>
    <hyperlink ref="K2852" r:id="rId2850" xr:uid="{00000000-0004-0000-0D00-0000210B0000}"/>
    <hyperlink ref="K2853" r:id="rId2851" xr:uid="{00000000-0004-0000-0D00-0000220B0000}"/>
    <hyperlink ref="K2854" r:id="rId2852" xr:uid="{00000000-0004-0000-0D00-0000230B0000}"/>
    <hyperlink ref="K2855" r:id="rId2853" xr:uid="{00000000-0004-0000-0D00-0000240B0000}"/>
    <hyperlink ref="K2856" r:id="rId2854" xr:uid="{00000000-0004-0000-0D00-0000250B0000}"/>
    <hyperlink ref="K2857" r:id="rId2855" xr:uid="{00000000-0004-0000-0D00-0000260B0000}"/>
    <hyperlink ref="K2858" r:id="rId2856" xr:uid="{00000000-0004-0000-0D00-0000270B0000}"/>
    <hyperlink ref="K2859" r:id="rId2857" xr:uid="{00000000-0004-0000-0D00-0000280B0000}"/>
    <hyperlink ref="K2860" r:id="rId2858" xr:uid="{00000000-0004-0000-0D00-0000290B0000}"/>
    <hyperlink ref="K2861" r:id="rId2859" xr:uid="{00000000-0004-0000-0D00-00002A0B0000}"/>
    <hyperlink ref="K2862" r:id="rId2860" xr:uid="{00000000-0004-0000-0D00-00002B0B0000}"/>
    <hyperlink ref="K2863" r:id="rId2861" xr:uid="{00000000-0004-0000-0D00-00002C0B0000}"/>
    <hyperlink ref="K2864" r:id="rId2862" xr:uid="{00000000-0004-0000-0D00-00002D0B0000}"/>
    <hyperlink ref="K2865" r:id="rId2863" xr:uid="{00000000-0004-0000-0D00-00002E0B0000}"/>
    <hyperlink ref="K2866" r:id="rId2864" xr:uid="{00000000-0004-0000-0D00-00002F0B0000}"/>
    <hyperlink ref="K2867" r:id="rId2865" xr:uid="{00000000-0004-0000-0D00-0000300B0000}"/>
    <hyperlink ref="K2868" r:id="rId2866" xr:uid="{00000000-0004-0000-0D00-0000310B0000}"/>
    <hyperlink ref="K2869" r:id="rId2867" xr:uid="{00000000-0004-0000-0D00-0000320B0000}"/>
    <hyperlink ref="K2870" r:id="rId2868" xr:uid="{00000000-0004-0000-0D00-0000330B0000}"/>
    <hyperlink ref="K2871" r:id="rId2869" xr:uid="{00000000-0004-0000-0D00-0000340B0000}"/>
    <hyperlink ref="K2872" r:id="rId2870" xr:uid="{00000000-0004-0000-0D00-0000350B0000}"/>
    <hyperlink ref="K2873" r:id="rId2871" xr:uid="{00000000-0004-0000-0D00-0000360B0000}"/>
    <hyperlink ref="K2874" r:id="rId2872" xr:uid="{00000000-0004-0000-0D00-0000370B0000}"/>
    <hyperlink ref="K2875" r:id="rId2873" xr:uid="{00000000-0004-0000-0D00-0000380B0000}"/>
    <hyperlink ref="K2876" r:id="rId2874" xr:uid="{00000000-0004-0000-0D00-0000390B0000}"/>
    <hyperlink ref="K2877" r:id="rId2875" xr:uid="{00000000-0004-0000-0D00-00003A0B0000}"/>
    <hyperlink ref="K2878" r:id="rId2876" xr:uid="{00000000-0004-0000-0D00-00003B0B0000}"/>
    <hyperlink ref="K2879" r:id="rId2877" xr:uid="{00000000-0004-0000-0D00-00003C0B0000}"/>
    <hyperlink ref="K2880" r:id="rId2878" xr:uid="{00000000-0004-0000-0D00-00003D0B0000}"/>
    <hyperlink ref="K2881" r:id="rId2879" xr:uid="{00000000-0004-0000-0D00-00003E0B0000}"/>
    <hyperlink ref="K2882" r:id="rId2880" xr:uid="{00000000-0004-0000-0D00-00003F0B0000}"/>
    <hyperlink ref="K2883" r:id="rId2881" xr:uid="{00000000-0004-0000-0D00-0000400B0000}"/>
    <hyperlink ref="K2884" r:id="rId2882" xr:uid="{00000000-0004-0000-0D00-0000410B0000}"/>
    <hyperlink ref="K2885" r:id="rId2883" xr:uid="{00000000-0004-0000-0D00-0000420B0000}"/>
    <hyperlink ref="K2886" r:id="rId2884" xr:uid="{00000000-0004-0000-0D00-0000430B0000}"/>
    <hyperlink ref="K2887" r:id="rId2885" xr:uid="{00000000-0004-0000-0D00-0000440B0000}"/>
    <hyperlink ref="K2888" r:id="rId2886" xr:uid="{00000000-0004-0000-0D00-0000450B0000}"/>
    <hyperlink ref="K2889" r:id="rId2887" xr:uid="{00000000-0004-0000-0D00-0000460B0000}"/>
    <hyperlink ref="K2890" r:id="rId2888" xr:uid="{00000000-0004-0000-0D00-0000470B0000}"/>
    <hyperlink ref="K2891" r:id="rId2889" xr:uid="{00000000-0004-0000-0D00-0000480B0000}"/>
    <hyperlink ref="K2892" r:id="rId2890" xr:uid="{00000000-0004-0000-0D00-0000490B0000}"/>
    <hyperlink ref="K2893" r:id="rId2891" xr:uid="{00000000-0004-0000-0D00-00004A0B0000}"/>
    <hyperlink ref="K2894" r:id="rId2892" xr:uid="{00000000-0004-0000-0D00-00004B0B0000}"/>
    <hyperlink ref="K2895" r:id="rId2893" xr:uid="{00000000-0004-0000-0D00-00004C0B0000}"/>
    <hyperlink ref="K2896" r:id="rId2894" xr:uid="{00000000-0004-0000-0D00-00004D0B0000}"/>
    <hyperlink ref="K2897" r:id="rId2895" xr:uid="{00000000-0004-0000-0D00-00004E0B0000}"/>
    <hyperlink ref="K2898" r:id="rId2896" xr:uid="{00000000-0004-0000-0D00-00004F0B0000}"/>
    <hyperlink ref="K2899" r:id="rId2897" xr:uid="{00000000-0004-0000-0D00-0000500B0000}"/>
    <hyperlink ref="K2900" r:id="rId2898" xr:uid="{00000000-0004-0000-0D00-0000510B0000}"/>
    <hyperlink ref="K2901" r:id="rId2899" xr:uid="{00000000-0004-0000-0D00-0000520B0000}"/>
    <hyperlink ref="K2902" r:id="rId2900" xr:uid="{00000000-0004-0000-0D00-0000530B0000}"/>
    <hyperlink ref="K2903" r:id="rId2901" xr:uid="{00000000-0004-0000-0D00-0000540B0000}"/>
    <hyperlink ref="K2904" r:id="rId2902" xr:uid="{00000000-0004-0000-0D00-0000550B0000}"/>
    <hyperlink ref="K2905" r:id="rId2903" xr:uid="{00000000-0004-0000-0D00-0000560B0000}"/>
    <hyperlink ref="K2906" r:id="rId2904" xr:uid="{00000000-0004-0000-0D00-0000570B0000}"/>
    <hyperlink ref="K2907" r:id="rId2905" xr:uid="{00000000-0004-0000-0D00-0000580B0000}"/>
    <hyperlink ref="K2908" r:id="rId2906" xr:uid="{00000000-0004-0000-0D00-0000590B0000}"/>
    <hyperlink ref="K2909" r:id="rId2907" xr:uid="{00000000-0004-0000-0D00-00005A0B0000}"/>
    <hyperlink ref="K2910" r:id="rId2908" xr:uid="{00000000-0004-0000-0D00-00005B0B0000}"/>
    <hyperlink ref="K2911" r:id="rId2909" xr:uid="{00000000-0004-0000-0D00-00005C0B0000}"/>
    <hyperlink ref="K2912" r:id="rId2910" xr:uid="{00000000-0004-0000-0D00-00005D0B0000}"/>
    <hyperlink ref="K2913" r:id="rId2911" xr:uid="{00000000-0004-0000-0D00-00005E0B0000}"/>
    <hyperlink ref="K2914" r:id="rId2912" xr:uid="{00000000-0004-0000-0D00-00005F0B0000}"/>
    <hyperlink ref="K2915" r:id="rId2913" xr:uid="{00000000-0004-0000-0D00-0000600B0000}"/>
    <hyperlink ref="K2916" r:id="rId2914" xr:uid="{00000000-0004-0000-0D00-0000610B0000}"/>
    <hyperlink ref="K2917" r:id="rId2915" xr:uid="{00000000-0004-0000-0D00-0000620B0000}"/>
    <hyperlink ref="K2918" r:id="rId2916" xr:uid="{00000000-0004-0000-0D00-0000630B0000}"/>
    <hyperlink ref="K2919" r:id="rId2917" xr:uid="{00000000-0004-0000-0D00-0000640B0000}"/>
    <hyperlink ref="K2920" r:id="rId2918" xr:uid="{00000000-0004-0000-0D00-0000650B0000}"/>
    <hyperlink ref="K2921" r:id="rId2919" xr:uid="{00000000-0004-0000-0D00-0000660B0000}"/>
    <hyperlink ref="K2922" r:id="rId2920" xr:uid="{00000000-0004-0000-0D00-0000670B0000}"/>
    <hyperlink ref="K2923" r:id="rId2921" xr:uid="{00000000-0004-0000-0D00-0000680B0000}"/>
    <hyperlink ref="K2924" r:id="rId2922" xr:uid="{00000000-0004-0000-0D00-0000690B0000}"/>
    <hyperlink ref="K2925" r:id="rId2923" xr:uid="{00000000-0004-0000-0D00-00006A0B0000}"/>
    <hyperlink ref="K2926" r:id="rId2924" xr:uid="{00000000-0004-0000-0D00-00006B0B0000}"/>
    <hyperlink ref="K2927" r:id="rId2925" xr:uid="{00000000-0004-0000-0D00-00006C0B0000}"/>
    <hyperlink ref="K2928" r:id="rId2926" xr:uid="{00000000-0004-0000-0D00-00006D0B0000}"/>
    <hyperlink ref="K2929" r:id="rId2927" xr:uid="{00000000-0004-0000-0D00-00006E0B0000}"/>
    <hyperlink ref="K2930" r:id="rId2928" xr:uid="{00000000-0004-0000-0D00-00006F0B0000}"/>
    <hyperlink ref="K2931" r:id="rId2929" xr:uid="{00000000-0004-0000-0D00-0000700B0000}"/>
    <hyperlink ref="K2932" r:id="rId2930" xr:uid="{00000000-0004-0000-0D00-0000710B0000}"/>
    <hyperlink ref="K2933" r:id="rId2931" xr:uid="{00000000-0004-0000-0D00-0000720B0000}"/>
    <hyperlink ref="K2934" r:id="rId2932" xr:uid="{00000000-0004-0000-0D00-0000730B0000}"/>
    <hyperlink ref="K2935" r:id="rId2933" xr:uid="{00000000-0004-0000-0D00-0000740B0000}"/>
    <hyperlink ref="K2936" r:id="rId2934" xr:uid="{00000000-0004-0000-0D00-0000750B0000}"/>
    <hyperlink ref="K2937" r:id="rId2935" xr:uid="{00000000-0004-0000-0D00-0000760B0000}"/>
    <hyperlink ref="K2938" r:id="rId2936" xr:uid="{00000000-0004-0000-0D00-0000770B0000}"/>
    <hyperlink ref="K2939" r:id="rId2937" xr:uid="{00000000-0004-0000-0D00-0000780B0000}"/>
    <hyperlink ref="K2940" r:id="rId2938" xr:uid="{00000000-0004-0000-0D00-0000790B0000}"/>
    <hyperlink ref="K2941" r:id="rId2939" xr:uid="{00000000-0004-0000-0D00-00007A0B0000}"/>
    <hyperlink ref="K2942" r:id="rId2940" xr:uid="{00000000-0004-0000-0D00-00007B0B0000}"/>
    <hyperlink ref="K2943" r:id="rId2941" xr:uid="{00000000-0004-0000-0D00-00007C0B0000}"/>
    <hyperlink ref="K2944" r:id="rId2942" xr:uid="{00000000-0004-0000-0D00-00007D0B0000}"/>
    <hyperlink ref="K2945" r:id="rId2943" xr:uid="{00000000-0004-0000-0D00-00007E0B0000}"/>
    <hyperlink ref="K2946" r:id="rId2944" xr:uid="{00000000-0004-0000-0D00-00007F0B0000}"/>
    <hyperlink ref="K2947" r:id="rId2945" xr:uid="{00000000-0004-0000-0D00-0000800B0000}"/>
    <hyperlink ref="K2948" r:id="rId2946" xr:uid="{00000000-0004-0000-0D00-0000810B0000}"/>
    <hyperlink ref="K2949" r:id="rId2947" xr:uid="{00000000-0004-0000-0D00-0000820B0000}"/>
    <hyperlink ref="K2950" r:id="rId2948" xr:uid="{00000000-0004-0000-0D00-0000830B0000}"/>
    <hyperlink ref="K2951" r:id="rId2949" xr:uid="{00000000-0004-0000-0D00-0000840B0000}"/>
    <hyperlink ref="K2952" r:id="rId2950" xr:uid="{00000000-0004-0000-0D00-0000850B0000}"/>
    <hyperlink ref="K2953" r:id="rId2951" xr:uid="{00000000-0004-0000-0D00-0000860B0000}"/>
    <hyperlink ref="K2954" r:id="rId2952" xr:uid="{00000000-0004-0000-0D00-0000870B0000}"/>
    <hyperlink ref="K2955" r:id="rId2953" xr:uid="{00000000-0004-0000-0D00-0000880B0000}"/>
    <hyperlink ref="K2956" r:id="rId2954" xr:uid="{00000000-0004-0000-0D00-0000890B0000}"/>
    <hyperlink ref="K2957" r:id="rId2955" xr:uid="{00000000-0004-0000-0D00-00008A0B0000}"/>
    <hyperlink ref="K2958" r:id="rId2956" xr:uid="{00000000-0004-0000-0D00-00008B0B0000}"/>
    <hyperlink ref="K2959" r:id="rId2957" xr:uid="{00000000-0004-0000-0D00-00008C0B0000}"/>
    <hyperlink ref="K2960" r:id="rId2958" xr:uid="{00000000-0004-0000-0D00-00008D0B0000}"/>
    <hyperlink ref="K2961" r:id="rId2959" xr:uid="{00000000-0004-0000-0D00-00008E0B0000}"/>
    <hyperlink ref="K2962" r:id="rId2960" xr:uid="{00000000-0004-0000-0D00-00008F0B0000}"/>
    <hyperlink ref="K2963" r:id="rId2961" xr:uid="{00000000-0004-0000-0D00-0000900B0000}"/>
    <hyperlink ref="K2964" r:id="rId2962" xr:uid="{00000000-0004-0000-0D00-0000910B0000}"/>
    <hyperlink ref="K2965" r:id="rId2963" xr:uid="{00000000-0004-0000-0D00-0000920B0000}"/>
    <hyperlink ref="K2966" r:id="rId2964" xr:uid="{00000000-0004-0000-0D00-0000930B0000}"/>
    <hyperlink ref="K2967" r:id="rId2965" xr:uid="{00000000-0004-0000-0D00-0000940B0000}"/>
    <hyperlink ref="K2968" r:id="rId2966" xr:uid="{00000000-0004-0000-0D00-0000950B0000}"/>
    <hyperlink ref="K2969" r:id="rId2967" xr:uid="{00000000-0004-0000-0D00-0000960B0000}"/>
    <hyperlink ref="K2970" r:id="rId2968" xr:uid="{00000000-0004-0000-0D00-0000970B0000}"/>
    <hyperlink ref="K2971" r:id="rId2969" xr:uid="{00000000-0004-0000-0D00-0000980B0000}"/>
    <hyperlink ref="K2972" r:id="rId2970" xr:uid="{00000000-0004-0000-0D00-0000990B0000}"/>
    <hyperlink ref="K2973" r:id="rId2971" xr:uid="{00000000-0004-0000-0D00-00009A0B0000}"/>
    <hyperlink ref="K2974" r:id="rId2972" xr:uid="{00000000-0004-0000-0D00-00009B0B0000}"/>
    <hyperlink ref="K2975" r:id="rId2973" xr:uid="{00000000-0004-0000-0D00-00009C0B0000}"/>
    <hyperlink ref="K2976" r:id="rId2974" xr:uid="{00000000-0004-0000-0D00-00009D0B0000}"/>
    <hyperlink ref="K2977" r:id="rId2975" xr:uid="{00000000-0004-0000-0D00-00009E0B0000}"/>
    <hyperlink ref="K2978" r:id="rId2976" xr:uid="{00000000-0004-0000-0D00-00009F0B0000}"/>
    <hyperlink ref="K2979" r:id="rId2977" xr:uid="{00000000-0004-0000-0D00-0000A00B0000}"/>
    <hyperlink ref="K2980" r:id="rId2978" xr:uid="{00000000-0004-0000-0D00-0000A10B0000}"/>
    <hyperlink ref="K2981" r:id="rId2979" xr:uid="{00000000-0004-0000-0D00-0000A20B0000}"/>
    <hyperlink ref="K2982" r:id="rId2980" xr:uid="{00000000-0004-0000-0D00-0000A30B0000}"/>
    <hyperlink ref="K2983" r:id="rId2981" xr:uid="{00000000-0004-0000-0D00-0000A40B0000}"/>
    <hyperlink ref="K2984" r:id="rId2982" xr:uid="{00000000-0004-0000-0D00-0000A50B0000}"/>
    <hyperlink ref="K2985" r:id="rId2983" xr:uid="{00000000-0004-0000-0D00-0000A60B0000}"/>
    <hyperlink ref="K2986" r:id="rId2984" xr:uid="{00000000-0004-0000-0D00-0000A70B0000}"/>
    <hyperlink ref="K2987" r:id="rId2985" xr:uid="{00000000-0004-0000-0D00-0000A80B0000}"/>
    <hyperlink ref="K2988" r:id="rId2986" xr:uid="{00000000-0004-0000-0D00-0000A90B0000}"/>
    <hyperlink ref="K2989" r:id="rId2987" xr:uid="{00000000-0004-0000-0D00-0000AA0B0000}"/>
    <hyperlink ref="K2990" r:id="rId2988" xr:uid="{00000000-0004-0000-0D00-0000AB0B0000}"/>
    <hyperlink ref="K2991" r:id="rId2989" xr:uid="{00000000-0004-0000-0D00-0000AC0B0000}"/>
    <hyperlink ref="K2992" r:id="rId2990" xr:uid="{00000000-0004-0000-0D00-0000AD0B0000}"/>
    <hyperlink ref="K2993" r:id="rId2991" xr:uid="{00000000-0004-0000-0D00-0000AE0B0000}"/>
    <hyperlink ref="K2994" r:id="rId2992" xr:uid="{00000000-0004-0000-0D00-0000AF0B0000}"/>
    <hyperlink ref="K2995" r:id="rId2993" xr:uid="{00000000-0004-0000-0D00-0000B00B0000}"/>
    <hyperlink ref="K2996" r:id="rId2994" xr:uid="{00000000-0004-0000-0D00-0000B10B0000}"/>
    <hyperlink ref="K2997" r:id="rId2995" xr:uid="{00000000-0004-0000-0D00-0000B20B0000}"/>
    <hyperlink ref="K2998" r:id="rId2996" xr:uid="{00000000-0004-0000-0D00-0000B30B0000}"/>
    <hyperlink ref="K2999" r:id="rId2997" xr:uid="{00000000-0004-0000-0D00-0000B40B0000}"/>
    <hyperlink ref="K3000" r:id="rId2998" xr:uid="{00000000-0004-0000-0D00-0000B50B0000}"/>
    <hyperlink ref="K3001" r:id="rId2999" xr:uid="{00000000-0004-0000-0D00-0000B60B0000}"/>
    <hyperlink ref="K3002" r:id="rId3000" xr:uid="{00000000-0004-0000-0D00-0000B70B0000}"/>
    <hyperlink ref="K3003" r:id="rId3001" xr:uid="{00000000-0004-0000-0D00-0000B80B0000}"/>
    <hyperlink ref="K3004" r:id="rId3002" xr:uid="{00000000-0004-0000-0D00-0000B90B0000}"/>
    <hyperlink ref="K3005" r:id="rId3003" xr:uid="{00000000-0004-0000-0D00-0000BA0B0000}"/>
    <hyperlink ref="K3006" r:id="rId3004" xr:uid="{00000000-0004-0000-0D00-0000BB0B0000}"/>
    <hyperlink ref="K3007" r:id="rId3005" xr:uid="{00000000-0004-0000-0D00-0000BC0B0000}"/>
    <hyperlink ref="K3008" r:id="rId3006" xr:uid="{00000000-0004-0000-0D00-0000BD0B0000}"/>
    <hyperlink ref="K3009" r:id="rId3007" xr:uid="{00000000-0004-0000-0D00-0000BE0B0000}"/>
    <hyperlink ref="K3010" r:id="rId3008" xr:uid="{00000000-0004-0000-0D00-0000BF0B0000}"/>
    <hyperlink ref="K3011" r:id="rId3009" xr:uid="{00000000-0004-0000-0D00-0000C00B0000}"/>
    <hyperlink ref="K3012" r:id="rId3010" xr:uid="{00000000-0004-0000-0D00-0000C10B0000}"/>
    <hyperlink ref="K3013" r:id="rId3011" xr:uid="{00000000-0004-0000-0D00-0000C20B0000}"/>
    <hyperlink ref="K3014" r:id="rId3012" xr:uid="{00000000-0004-0000-0D00-0000C30B0000}"/>
    <hyperlink ref="K3015" r:id="rId3013" xr:uid="{00000000-0004-0000-0D00-0000C40B0000}"/>
    <hyperlink ref="K3016" r:id="rId3014" xr:uid="{00000000-0004-0000-0D00-0000C50B0000}"/>
    <hyperlink ref="K3017" r:id="rId3015" xr:uid="{00000000-0004-0000-0D00-0000C60B0000}"/>
    <hyperlink ref="K3018" r:id="rId3016" xr:uid="{00000000-0004-0000-0D00-0000C70B0000}"/>
    <hyperlink ref="K3019" r:id="rId3017" xr:uid="{00000000-0004-0000-0D00-0000C80B0000}"/>
    <hyperlink ref="K3020" r:id="rId3018" xr:uid="{00000000-0004-0000-0D00-0000C90B0000}"/>
    <hyperlink ref="K3021" r:id="rId3019" xr:uid="{00000000-0004-0000-0D00-0000CA0B0000}"/>
    <hyperlink ref="K3022" r:id="rId3020" xr:uid="{00000000-0004-0000-0D00-0000CB0B0000}"/>
    <hyperlink ref="K3023" r:id="rId3021" xr:uid="{00000000-0004-0000-0D00-0000CC0B0000}"/>
    <hyperlink ref="K3024" r:id="rId3022" xr:uid="{00000000-0004-0000-0D00-0000CD0B0000}"/>
    <hyperlink ref="K3025" r:id="rId3023" xr:uid="{00000000-0004-0000-0D00-0000CE0B0000}"/>
    <hyperlink ref="K3026" r:id="rId3024" xr:uid="{00000000-0004-0000-0D00-0000CF0B0000}"/>
    <hyperlink ref="K3027" r:id="rId3025" xr:uid="{00000000-0004-0000-0D00-0000D00B0000}"/>
    <hyperlink ref="K3028" r:id="rId3026" xr:uid="{00000000-0004-0000-0D00-0000D10B0000}"/>
    <hyperlink ref="K3029" r:id="rId3027" xr:uid="{00000000-0004-0000-0D00-0000D20B0000}"/>
    <hyperlink ref="K3030" r:id="rId3028" xr:uid="{00000000-0004-0000-0D00-0000D30B0000}"/>
    <hyperlink ref="K3031" r:id="rId3029" xr:uid="{00000000-0004-0000-0D00-0000D40B0000}"/>
    <hyperlink ref="K3032" r:id="rId3030" xr:uid="{00000000-0004-0000-0D00-0000D50B0000}"/>
    <hyperlink ref="K3033" r:id="rId3031" xr:uid="{00000000-0004-0000-0D00-0000D60B0000}"/>
    <hyperlink ref="K3034" r:id="rId3032" xr:uid="{00000000-0004-0000-0D00-0000D70B0000}"/>
    <hyperlink ref="K3035" r:id="rId3033" xr:uid="{00000000-0004-0000-0D00-0000D80B0000}"/>
    <hyperlink ref="K3036" r:id="rId3034" xr:uid="{00000000-0004-0000-0D00-0000D90B0000}"/>
    <hyperlink ref="K3037" r:id="rId3035" xr:uid="{00000000-0004-0000-0D00-0000DA0B0000}"/>
    <hyperlink ref="K3038" r:id="rId3036" xr:uid="{00000000-0004-0000-0D00-0000DB0B0000}"/>
    <hyperlink ref="K3039" r:id="rId3037" xr:uid="{00000000-0004-0000-0D00-0000DC0B0000}"/>
    <hyperlink ref="K3040" r:id="rId3038" xr:uid="{00000000-0004-0000-0D00-0000DD0B0000}"/>
    <hyperlink ref="K3041" r:id="rId3039" xr:uid="{00000000-0004-0000-0D00-0000DE0B0000}"/>
    <hyperlink ref="K3042" r:id="rId3040" xr:uid="{00000000-0004-0000-0D00-0000DF0B0000}"/>
    <hyperlink ref="K3043" r:id="rId3041" xr:uid="{00000000-0004-0000-0D00-0000E00B0000}"/>
    <hyperlink ref="K3044" r:id="rId3042" xr:uid="{00000000-0004-0000-0D00-0000E10B0000}"/>
    <hyperlink ref="K3045" r:id="rId3043" xr:uid="{00000000-0004-0000-0D00-0000E20B0000}"/>
    <hyperlink ref="K3046" r:id="rId3044" xr:uid="{00000000-0004-0000-0D00-0000E30B0000}"/>
    <hyperlink ref="K3047" r:id="rId3045" xr:uid="{00000000-0004-0000-0D00-0000E40B0000}"/>
    <hyperlink ref="K3048" r:id="rId3046" xr:uid="{00000000-0004-0000-0D00-0000E50B0000}"/>
    <hyperlink ref="K3049" r:id="rId3047" xr:uid="{00000000-0004-0000-0D00-0000E60B0000}"/>
    <hyperlink ref="K3050" r:id="rId3048" xr:uid="{00000000-0004-0000-0D00-0000E70B0000}"/>
    <hyperlink ref="K3051" r:id="rId3049" xr:uid="{00000000-0004-0000-0D00-0000E80B0000}"/>
    <hyperlink ref="K3052" r:id="rId3050" xr:uid="{00000000-0004-0000-0D00-0000E90B0000}"/>
    <hyperlink ref="K3053" r:id="rId3051" xr:uid="{00000000-0004-0000-0D00-0000EA0B0000}"/>
    <hyperlink ref="K3054" r:id="rId3052" xr:uid="{00000000-0004-0000-0D00-0000EB0B0000}"/>
    <hyperlink ref="K3055" r:id="rId3053" xr:uid="{00000000-0004-0000-0D00-0000EC0B0000}"/>
    <hyperlink ref="K3056" r:id="rId3054" xr:uid="{00000000-0004-0000-0D00-0000ED0B0000}"/>
    <hyperlink ref="K3057" r:id="rId3055" xr:uid="{00000000-0004-0000-0D00-0000EE0B0000}"/>
    <hyperlink ref="K3058" r:id="rId3056" xr:uid="{00000000-0004-0000-0D00-0000EF0B0000}"/>
    <hyperlink ref="K3059" r:id="rId3057" xr:uid="{00000000-0004-0000-0D00-0000F00B0000}"/>
    <hyperlink ref="K3060" r:id="rId3058" xr:uid="{00000000-0004-0000-0D00-0000F10B0000}"/>
    <hyperlink ref="K3061" r:id="rId3059" xr:uid="{00000000-0004-0000-0D00-0000F20B0000}"/>
    <hyperlink ref="K3062" r:id="rId3060" xr:uid="{00000000-0004-0000-0D00-0000F30B0000}"/>
    <hyperlink ref="K3063" r:id="rId3061" xr:uid="{00000000-0004-0000-0D00-0000F40B0000}"/>
    <hyperlink ref="K3064" r:id="rId3062" xr:uid="{00000000-0004-0000-0D00-0000F50B0000}"/>
    <hyperlink ref="K3065" r:id="rId3063" xr:uid="{00000000-0004-0000-0D00-0000F60B0000}"/>
    <hyperlink ref="K3066" r:id="rId3064" xr:uid="{00000000-0004-0000-0D00-0000F70B0000}"/>
    <hyperlink ref="K3067" r:id="rId3065" xr:uid="{00000000-0004-0000-0D00-0000F80B0000}"/>
    <hyperlink ref="K3068" r:id="rId3066" xr:uid="{00000000-0004-0000-0D00-0000F90B0000}"/>
    <hyperlink ref="K3069" r:id="rId3067" xr:uid="{00000000-0004-0000-0D00-0000FA0B0000}"/>
    <hyperlink ref="K3070" r:id="rId3068" xr:uid="{00000000-0004-0000-0D00-0000FB0B0000}"/>
    <hyperlink ref="K3071" r:id="rId3069" xr:uid="{00000000-0004-0000-0D00-0000FC0B0000}"/>
    <hyperlink ref="K3072" r:id="rId3070" xr:uid="{00000000-0004-0000-0D00-0000FD0B0000}"/>
    <hyperlink ref="K3073" r:id="rId3071" xr:uid="{00000000-0004-0000-0D00-0000FE0B0000}"/>
    <hyperlink ref="K3074" r:id="rId3072" xr:uid="{00000000-0004-0000-0D00-0000FF0B0000}"/>
    <hyperlink ref="K3075" r:id="rId3073" xr:uid="{00000000-0004-0000-0D00-0000000C0000}"/>
    <hyperlink ref="K3076" r:id="rId3074" xr:uid="{00000000-0004-0000-0D00-0000010C0000}"/>
    <hyperlink ref="K3077" r:id="rId3075" xr:uid="{00000000-0004-0000-0D00-0000020C0000}"/>
    <hyperlink ref="K3078" r:id="rId3076" xr:uid="{00000000-0004-0000-0D00-0000030C0000}"/>
    <hyperlink ref="K3079" r:id="rId3077" xr:uid="{00000000-0004-0000-0D00-0000040C0000}"/>
    <hyperlink ref="K3080" r:id="rId3078" xr:uid="{00000000-0004-0000-0D00-0000050C0000}"/>
    <hyperlink ref="K3081" r:id="rId3079" xr:uid="{00000000-0004-0000-0D00-0000060C0000}"/>
    <hyperlink ref="K3082" r:id="rId3080" xr:uid="{00000000-0004-0000-0D00-0000070C0000}"/>
    <hyperlink ref="K3083" r:id="rId3081" xr:uid="{00000000-0004-0000-0D00-0000080C0000}"/>
    <hyperlink ref="K3084" r:id="rId3082" xr:uid="{00000000-0004-0000-0D00-0000090C0000}"/>
    <hyperlink ref="K3085" r:id="rId3083" xr:uid="{00000000-0004-0000-0D00-00000A0C0000}"/>
    <hyperlink ref="K3086" r:id="rId3084" xr:uid="{00000000-0004-0000-0D00-00000B0C0000}"/>
    <hyperlink ref="K3087" r:id="rId3085" xr:uid="{00000000-0004-0000-0D00-00000C0C0000}"/>
    <hyperlink ref="K3088" r:id="rId3086" xr:uid="{00000000-0004-0000-0D00-00000D0C0000}"/>
    <hyperlink ref="K3089" r:id="rId3087" xr:uid="{00000000-0004-0000-0D00-00000E0C0000}"/>
    <hyperlink ref="K3090" r:id="rId3088" xr:uid="{00000000-0004-0000-0D00-00000F0C0000}"/>
    <hyperlink ref="K3091" r:id="rId3089" xr:uid="{00000000-0004-0000-0D00-0000100C0000}"/>
    <hyperlink ref="K3092" r:id="rId3090" xr:uid="{00000000-0004-0000-0D00-0000110C0000}"/>
    <hyperlink ref="K3093" r:id="rId3091" xr:uid="{00000000-0004-0000-0D00-0000120C0000}"/>
    <hyperlink ref="K3094" r:id="rId3092" xr:uid="{00000000-0004-0000-0D00-0000130C0000}"/>
    <hyperlink ref="K3095" r:id="rId3093" xr:uid="{00000000-0004-0000-0D00-0000140C0000}"/>
    <hyperlink ref="K3096" r:id="rId3094" xr:uid="{00000000-0004-0000-0D00-0000150C0000}"/>
    <hyperlink ref="K3097" r:id="rId3095" xr:uid="{00000000-0004-0000-0D00-0000160C0000}"/>
    <hyperlink ref="K3098" r:id="rId3096" xr:uid="{00000000-0004-0000-0D00-0000170C0000}"/>
    <hyperlink ref="K3099" r:id="rId3097" xr:uid="{00000000-0004-0000-0D00-0000180C0000}"/>
    <hyperlink ref="K3100" r:id="rId3098" xr:uid="{00000000-0004-0000-0D00-0000190C0000}"/>
    <hyperlink ref="K3101" r:id="rId3099" xr:uid="{00000000-0004-0000-0D00-00001A0C0000}"/>
    <hyperlink ref="K3102" r:id="rId3100" xr:uid="{00000000-0004-0000-0D00-00001B0C0000}"/>
    <hyperlink ref="K3103" r:id="rId3101" xr:uid="{00000000-0004-0000-0D00-00001C0C0000}"/>
    <hyperlink ref="K3104" r:id="rId3102" xr:uid="{00000000-0004-0000-0D00-00001D0C0000}"/>
    <hyperlink ref="K3105" r:id="rId3103" xr:uid="{00000000-0004-0000-0D00-00001E0C0000}"/>
    <hyperlink ref="K3106" r:id="rId3104" xr:uid="{00000000-0004-0000-0D00-00001F0C0000}"/>
    <hyperlink ref="K3107" r:id="rId3105" xr:uid="{00000000-0004-0000-0D00-0000200C0000}"/>
    <hyperlink ref="K3108" r:id="rId3106" xr:uid="{00000000-0004-0000-0D00-0000210C0000}"/>
    <hyperlink ref="K3109" r:id="rId3107" xr:uid="{00000000-0004-0000-0D00-0000220C0000}"/>
    <hyperlink ref="K3110" r:id="rId3108" xr:uid="{00000000-0004-0000-0D00-0000230C0000}"/>
    <hyperlink ref="K3111" r:id="rId3109" xr:uid="{00000000-0004-0000-0D00-0000240C0000}"/>
    <hyperlink ref="K3112" r:id="rId3110" xr:uid="{00000000-0004-0000-0D00-0000250C0000}"/>
    <hyperlink ref="K3113" r:id="rId3111" xr:uid="{00000000-0004-0000-0D00-0000260C0000}"/>
    <hyperlink ref="K3114" r:id="rId3112" xr:uid="{00000000-0004-0000-0D00-0000270C0000}"/>
    <hyperlink ref="K3115" r:id="rId3113" xr:uid="{00000000-0004-0000-0D00-0000280C0000}"/>
    <hyperlink ref="K3116" r:id="rId3114" xr:uid="{00000000-0004-0000-0D00-0000290C0000}"/>
    <hyperlink ref="K3117" r:id="rId3115" xr:uid="{00000000-0004-0000-0D00-00002A0C0000}"/>
    <hyperlink ref="K3118" r:id="rId3116" xr:uid="{00000000-0004-0000-0D00-00002B0C0000}"/>
    <hyperlink ref="K3119" r:id="rId3117" xr:uid="{00000000-0004-0000-0D00-00002C0C0000}"/>
    <hyperlink ref="K3120" r:id="rId3118" xr:uid="{00000000-0004-0000-0D00-00002D0C0000}"/>
    <hyperlink ref="K3121" r:id="rId3119" xr:uid="{00000000-0004-0000-0D00-00002E0C0000}"/>
    <hyperlink ref="K3122" r:id="rId3120" xr:uid="{00000000-0004-0000-0D00-00002F0C0000}"/>
    <hyperlink ref="K3123" r:id="rId3121" xr:uid="{00000000-0004-0000-0D00-0000300C0000}"/>
    <hyperlink ref="K3124" r:id="rId3122" xr:uid="{00000000-0004-0000-0D00-0000310C0000}"/>
    <hyperlink ref="K3125" r:id="rId3123" xr:uid="{00000000-0004-0000-0D00-0000320C0000}"/>
    <hyperlink ref="K3126" r:id="rId3124" xr:uid="{00000000-0004-0000-0D00-0000330C0000}"/>
    <hyperlink ref="K3127" r:id="rId3125" xr:uid="{00000000-0004-0000-0D00-0000340C0000}"/>
    <hyperlink ref="K3128" r:id="rId3126" xr:uid="{00000000-0004-0000-0D00-0000350C0000}"/>
    <hyperlink ref="K3129" r:id="rId3127" xr:uid="{00000000-0004-0000-0D00-0000360C0000}"/>
    <hyperlink ref="K3130" r:id="rId3128" xr:uid="{00000000-0004-0000-0D00-0000370C0000}"/>
    <hyperlink ref="K3131" r:id="rId3129" xr:uid="{00000000-0004-0000-0D00-0000380C0000}"/>
    <hyperlink ref="K3132" r:id="rId3130" xr:uid="{00000000-0004-0000-0D00-0000390C0000}"/>
    <hyperlink ref="K3133" r:id="rId3131" xr:uid="{00000000-0004-0000-0D00-00003A0C0000}"/>
    <hyperlink ref="K3134" r:id="rId3132" xr:uid="{00000000-0004-0000-0D00-00003B0C0000}"/>
    <hyperlink ref="K3135" r:id="rId3133" xr:uid="{00000000-0004-0000-0D00-00003C0C0000}"/>
    <hyperlink ref="K3136" r:id="rId3134" xr:uid="{00000000-0004-0000-0D00-00003D0C0000}"/>
    <hyperlink ref="K3137" r:id="rId3135" xr:uid="{00000000-0004-0000-0D00-00003E0C0000}"/>
    <hyperlink ref="K3138" r:id="rId3136" xr:uid="{00000000-0004-0000-0D00-00003F0C0000}"/>
    <hyperlink ref="K3139" r:id="rId3137" xr:uid="{00000000-0004-0000-0D00-0000400C0000}"/>
    <hyperlink ref="K3140" r:id="rId3138" xr:uid="{00000000-0004-0000-0D00-0000410C0000}"/>
    <hyperlink ref="K3141" r:id="rId3139" xr:uid="{00000000-0004-0000-0D00-0000420C0000}"/>
    <hyperlink ref="K3142" r:id="rId3140" xr:uid="{00000000-0004-0000-0D00-0000430C0000}"/>
    <hyperlink ref="K3143" r:id="rId3141" xr:uid="{00000000-0004-0000-0D00-0000440C0000}"/>
    <hyperlink ref="K3144" r:id="rId3142" xr:uid="{00000000-0004-0000-0D00-0000450C0000}"/>
    <hyperlink ref="K3145" r:id="rId3143" xr:uid="{00000000-0004-0000-0D00-0000460C0000}"/>
    <hyperlink ref="K3146" r:id="rId3144" xr:uid="{00000000-0004-0000-0D00-0000470C0000}"/>
    <hyperlink ref="K3147" r:id="rId3145" xr:uid="{00000000-0004-0000-0D00-0000480C0000}"/>
    <hyperlink ref="K3148" r:id="rId3146" xr:uid="{00000000-0004-0000-0D00-0000490C0000}"/>
    <hyperlink ref="K3149" r:id="rId3147" xr:uid="{00000000-0004-0000-0D00-00004A0C0000}"/>
    <hyperlink ref="K3150" r:id="rId3148" xr:uid="{00000000-0004-0000-0D00-00004B0C0000}"/>
    <hyperlink ref="K3151" r:id="rId3149" xr:uid="{00000000-0004-0000-0D00-00004C0C0000}"/>
    <hyperlink ref="K3152" r:id="rId3150" xr:uid="{00000000-0004-0000-0D00-00004D0C0000}"/>
    <hyperlink ref="K3153" r:id="rId3151" xr:uid="{00000000-0004-0000-0D00-00004E0C0000}"/>
    <hyperlink ref="K3154" r:id="rId3152" xr:uid="{00000000-0004-0000-0D00-00004F0C0000}"/>
    <hyperlink ref="K3155" r:id="rId3153" xr:uid="{00000000-0004-0000-0D00-0000500C0000}"/>
    <hyperlink ref="K3156" r:id="rId3154" xr:uid="{00000000-0004-0000-0D00-0000510C0000}"/>
    <hyperlink ref="K3157" r:id="rId3155" xr:uid="{00000000-0004-0000-0D00-0000520C0000}"/>
    <hyperlink ref="K3158" r:id="rId3156" xr:uid="{00000000-0004-0000-0D00-0000530C0000}"/>
    <hyperlink ref="K3159" r:id="rId3157" xr:uid="{00000000-0004-0000-0D00-0000540C0000}"/>
    <hyperlink ref="K3160" r:id="rId3158" xr:uid="{00000000-0004-0000-0D00-0000550C0000}"/>
    <hyperlink ref="K3161" r:id="rId3159" xr:uid="{00000000-0004-0000-0D00-0000560C0000}"/>
    <hyperlink ref="K3162" r:id="rId3160" xr:uid="{00000000-0004-0000-0D00-0000570C0000}"/>
    <hyperlink ref="K3163" r:id="rId3161" xr:uid="{00000000-0004-0000-0D00-0000580C0000}"/>
    <hyperlink ref="K3164" r:id="rId3162" xr:uid="{00000000-0004-0000-0D00-0000590C0000}"/>
    <hyperlink ref="K3165" r:id="rId3163" xr:uid="{00000000-0004-0000-0D00-00005A0C0000}"/>
    <hyperlink ref="K3166" r:id="rId3164" xr:uid="{00000000-0004-0000-0D00-00005B0C0000}"/>
    <hyperlink ref="K3167" r:id="rId3165" xr:uid="{00000000-0004-0000-0D00-00005C0C0000}"/>
    <hyperlink ref="K3168" r:id="rId3166" xr:uid="{00000000-0004-0000-0D00-00005D0C0000}"/>
    <hyperlink ref="K3169" r:id="rId3167" xr:uid="{00000000-0004-0000-0D00-00005E0C0000}"/>
    <hyperlink ref="K3170" r:id="rId3168" xr:uid="{00000000-0004-0000-0D00-00005F0C0000}"/>
    <hyperlink ref="K3171" r:id="rId3169" xr:uid="{00000000-0004-0000-0D00-0000600C0000}"/>
    <hyperlink ref="K3172" r:id="rId3170" xr:uid="{00000000-0004-0000-0D00-0000610C0000}"/>
    <hyperlink ref="K3173" r:id="rId3171" xr:uid="{00000000-0004-0000-0D00-0000620C0000}"/>
    <hyperlink ref="K3174" r:id="rId3172" xr:uid="{00000000-0004-0000-0D00-0000630C0000}"/>
    <hyperlink ref="K3175" r:id="rId3173" xr:uid="{00000000-0004-0000-0D00-0000640C0000}"/>
    <hyperlink ref="K3176" r:id="rId3174" xr:uid="{00000000-0004-0000-0D00-0000650C0000}"/>
    <hyperlink ref="K3177" r:id="rId3175" xr:uid="{00000000-0004-0000-0D00-0000660C0000}"/>
    <hyperlink ref="K3178" r:id="rId3176" xr:uid="{00000000-0004-0000-0D00-0000670C0000}"/>
    <hyperlink ref="K3179" r:id="rId3177" xr:uid="{00000000-0004-0000-0D00-0000680C0000}"/>
    <hyperlink ref="K3180" r:id="rId3178" xr:uid="{00000000-0004-0000-0D00-0000690C0000}"/>
    <hyperlink ref="K3181" r:id="rId3179" xr:uid="{00000000-0004-0000-0D00-00006A0C0000}"/>
    <hyperlink ref="K3182" r:id="rId3180" xr:uid="{00000000-0004-0000-0D00-00006B0C0000}"/>
    <hyperlink ref="K3183" r:id="rId3181" xr:uid="{00000000-0004-0000-0D00-00006C0C0000}"/>
    <hyperlink ref="K3184" r:id="rId3182" xr:uid="{00000000-0004-0000-0D00-00006D0C0000}"/>
    <hyperlink ref="K3185" r:id="rId3183" xr:uid="{00000000-0004-0000-0D00-00006E0C0000}"/>
    <hyperlink ref="K3186" r:id="rId3184" xr:uid="{00000000-0004-0000-0D00-00006F0C0000}"/>
    <hyperlink ref="K3187" r:id="rId3185" xr:uid="{00000000-0004-0000-0D00-0000700C0000}"/>
    <hyperlink ref="K3188" r:id="rId3186" xr:uid="{00000000-0004-0000-0D00-0000710C0000}"/>
    <hyperlink ref="K3189" r:id="rId3187" xr:uid="{00000000-0004-0000-0D00-0000720C0000}"/>
    <hyperlink ref="K3190" r:id="rId3188" xr:uid="{00000000-0004-0000-0D00-0000730C0000}"/>
    <hyperlink ref="K3191" r:id="rId3189" xr:uid="{00000000-0004-0000-0D00-0000740C0000}"/>
    <hyperlink ref="K3192" r:id="rId3190" xr:uid="{00000000-0004-0000-0D00-0000750C0000}"/>
    <hyperlink ref="K3193" r:id="rId3191" xr:uid="{00000000-0004-0000-0D00-0000760C0000}"/>
    <hyperlink ref="K3194" r:id="rId3192" xr:uid="{00000000-0004-0000-0D00-0000770C0000}"/>
    <hyperlink ref="K3195" r:id="rId3193" xr:uid="{00000000-0004-0000-0D00-0000780C0000}"/>
    <hyperlink ref="K3196" r:id="rId3194" xr:uid="{00000000-0004-0000-0D00-0000790C0000}"/>
    <hyperlink ref="K3197" r:id="rId3195" xr:uid="{00000000-0004-0000-0D00-00007A0C0000}"/>
    <hyperlink ref="K3198" r:id="rId3196" xr:uid="{00000000-0004-0000-0D00-00007B0C0000}"/>
    <hyperlink ref="K3199" r:id="rId3197" xr:uid="{00000000-0004-0000-0D00-00007C0C0000}"/>
    <hyperlink ref="K3200" r:id="rId3198" xr:uid="{00000000-0004-0000-0D00-00007D0C0000}"/>
    <hyperlink ref="K3201" r:id="rId3199" xr:uid="{00000000-0004-0000-0D00-00007E0C0000}"/>
    <hyperlink ref="K3202" r:id="rId3200" xr:uid="{00000000-0004-0000-0D00-00007F0C0000}"/>
    <hyperlink ref="K3203" r:id="rId3201" xr:uid="{00000000-0004-0000-0D00-0000800C0000}"/>
    <hyperlink ref="K3204" r:id="rId3202" xr:uid="{00000000-0004-0000-0D00-0000810C0000}"/>
    <hyperlink ref="K3205" r:id="rId3203" xr:uid="{00000000-0004-0000-0D00-0000820C0000}"/>
    <hyperlink ref="K3206" r:id="rId3204" xr:uid="{00000000-0004-0000-0D00-0000830C0000}"/>
    <hyperlink ref="K3207" r:id="rId3205" xr:uid="{00000000-0004-0000-0D00-0000840C0000}"/>
    <hyperlink ref="K3208" r:id="rId3206" xr:uid="{00000000-0004-0000-0D00-0000850C0000}"/>
    <hyperlink ref="K3209" r:id="rId3207" xr:uid="{00000000-0004-0000-0D00-0000860C0000}"/>
    <hyperlink ref="K3210" r:id="rId3208" xr:uid="{00000000-0004-0000-0D00-0000870C0000}"/>
    <hyperlink ref="K3211" r:id="rId3209" xr:uid="{00000000-0004-0000-0D00-0000880C0000}"/>
    <hyperlink ref="K3212" r:id="rId3210" xr:uid="{00000000-0004-0000-0D00-0000890C0000}"/>
    <hyperlink ref="K3213" r:id="rId3211" xr:uid="{00000000-0004-0000-0D00-00008A0C0000}"/>
    <hyperlink ref="K3214" r:id="rId3212" xr:uid="{00000000-0004-0000-0D00-00008B0C0000}"/>
    <hyperlink ref="K3215" r:id="rId3213" xr:uid="{00000000-0004-0000-0D00-00008C0C0000}"/>
    <hyperlink ref="K3216" r:id="rId3214" xr:uid="{00000000-0004-0000-0D00-00008D0C0000}"/>
    <hyperlink ref="K3217" r:id="rId3215" xr:uid="{00000000-0004-0000-0D00-00008E0C0000}"/>
    <hyperlink ref="K3218" r:id="rId3216" xr:uid="{00000000-0004-0000-0D00-00008F0C0000}"/>
    <hyperlink ref="K3219" r:id="rId3217" xr:uid="{00000000-0004-0000-0D00-0000900C0000}"/>
    <hyperlink ref="K3220" r:id="rId3218" xr:uid="{00000000-0004-0000-0D00-0000910C0000}"/>
    <hyperlink ref="K3221" r:id="rId3219" xr:uid="{00000000-0004-0000-0D00-0000920C0000}"/>
    <hyperlink ref="K3222" r:id="rId3220" xr:uid="{00000000-0004-0000-0D00-0000930C0000}"/>
    <hyperlink ref="K3223" r:id="rId3221" xr:uid="{00000000-0004-0000-0D00-0000940C0000}"/>
    <hyperlink ref="K3224" r:id="rId3222" xr:uid="{00000000-0004-0000-0D00-0000950C0000}"/>
    <hyperlink ref="K3225" r:id="rId3223" xr:uid="{00000000-0004-0000-0D00-0000960C0000}"/>
    <hyperlink ref="K3226" r:id="rId3224" xr:uid="{00000000-0004-0000-0D00-0000970C0000}"/>
    <hyperlink ref="K3227" r:id="rId3225" xr:uid="{00000000-0004-0000-0D00-0000980C0000}"/>
    <hyperlink ref="K3228" r:id="rId3226" xr:uid="{00000000-0004-0000-0D00-0000990C0000}"/>
    <hyperlink ref="K3229" r:id="rId3227" xr:uid="{00000000-0004-0000-0D00-00009A0C0000}"/>
    <hyperlink ref="K3230" r:id="rId3228" xr:uid="{00000000-0004-0000-0D00-00009B0C0000}"/>
    <hyperlink ref="K3231" r:id="rId3229" xr:uid="{00000000-0004-0000-0D00-00009C0C0000}"/>
    <hyperlink ref="K3232" r:id="rId3230" xr:uid="{00000000-0004-0000-0D00-00009D0C0000}"/>
    <hyperlink ref="K3233" r:id="rId3231" xr:uid="{00000000-0004-0000-0D00-00009E0C0000}"/>
    <hyperlink ref="K3234" r:id="rId3232" xr:uid="{00000000-0004-0000-0D00-00009F0C0000}"/>
    <hyperlink ref="K3235" r:id="rId3233" xr:uid="{00000000-0004-0000-0D00-0000A00C0000}"/>
    <hyperlink ref="K3236" r:id="rId3234" xr:uid="{00000000-0004-0000-0D00-0000A10C0000}"/>
    <hyperlink ref="K3237" r:id="rId3235" xr:uid="{00000000-0004-0000-0D00-0000A20C0000}"/>
    <hyperlink ref="K3238" r:id="rId3236" xr:uid="{00000000-0004-0000-0D00-0000A30C0000}"/>
    <hyperlink ref="K3239" r:id="rId3237" xr:uid="{00000000-0004-0000-0D00-0000A40C0000}"/>
    <hyperlink ref="K3240" r:id="rId3238" xr:uid="{00000000-0004-0000-0D00-0000A50C0000}"/>
    <hyperlink ref="K3241" r:id="rId3239" xr:uid="{00000000-0004-0000-0D00-0000A60C0000}"/>
    <hyperlink ref="K3242" r:id="rId3240" xr:uid="{00000000-0004-0000-0D00-0000A70C0000}"/>
    <hyperlink ref="K3243" r:id="rId3241" xr:uid="{00000000-0004-0000-0D00-0000A80C0000}"/>
    <hyperlink ref="K3244" r:id="rId3242" xr:uid="{00000000-0004-0000-0D00-0000A90C0000}"/>
    <hyperlink ref="K3245" r:id="rId3243" xr:uid="{00000000-0004-0000-0D00-0000AA0C0000}"/>
    <hyperlink ref="K3246" r:id="rId3244" xr:uid="{00000000-0004-0000-0D00-0000AB0C0000}"/>
    <hyperlink ref="K3247" r:id="rId3245" xr:uid="{00000000-0004-0000-0D00-0000AC0C0000}"/>
    <hyperlink ref="K3248" r:id="rId3246" xr:uid="{00000000-0004-0000-0D00-0000AD0C0000}"/>
    <hyperlink ref="K3249" r:id="rId3247" xr:uid="{00000000-0004-0000-0D00-0000AE0C0000}"/>
    <hyperlink ref="K3250" r:id="rId3248" xr:uid="{00000000-0004-0000-0D00-0000AF0C0000}"/>
    <hyperlink ref="K3251" r:id="rId3249" xr:uid="{00000000-0004-0000-0D00-0000B00C0000}"/>
    <hyperlink ref="K3252" r:id="rId3250" xr:uid="{00000000-0004-0000-0D00-0000B10C0000}"/>
    <hyperlink ref="K3253" r:id="rId3251" xr:uid="{00000000-0004-0000-0D00-0000B20C0000}"/>
    <hyperlink ref="K3254" r:id="rId3252" xr:uid="{00000000-0004-0000-0D00-0000B30C0000}"/>
    <hyperlink ref="K3255" r:id="rId3253" xr:uid="{00000000-0004-0000-0D00-0000B40C0000}"/>
    <hyperlink ref="K3256" r:id="rId3254" xr:uid="{00000000-0004-0000-0D00-0000B50C0000}"/>
    <hyperlink ref="K3257" r:id="rId3255" xr:uid="{00000000-0004-0000-0D00-0000B60C0000}"/>
    <hyperlink ref="K3258" r:id="rId3256" xr:uid="{00000000-0004-0000-0D00-0000B70C0000}"/>
    <hyperlink ref="K3259" r:id="rId3257" xr:uid="{00000000-0004-0000-0D00-0000B80C0000}"/>
    <hyperlink ref="K3260" r:id="rId3258" xr:uid="{00000000-0004-0000-0D00-0000B90C0000}"/>
    <hyperlink ref="K3261" r:id="rId3259" xr:uid="{00000000-0004-0000-0D00-0000BA0C0000}"/>
    <hyperlink ref="K3262" r:id="rId3260" xr:uid="{00000000-0004-0000-0D00-0000BB0C0000}"/>
    <hyperlink ref="K3263" r:id="rId3261" xr:uid="{00000000-0004-0000-0D00-0000BC0C0000}"/>
    <hyperlink ref="K3264" r:id="rId3262" xr:uid="{00000000-0004-0000-0D00-0000BD0C0000}"/>
    <hyperlink ref="K3265" r:id="rId3263" xr:uid="{00000000-0004-0000-0D00-0000BE0C0000}"/>
    <hyperlink ref="K3266" r:id="rId3264" xr:uid="{00000000-0004-0000-0D00-0000BF0C0000}"/>
    <hyperlink ref="K3267" r:id="rId3265" xr:uid="{00000000-0004-0000-0D00-0000C00C0000}"/>
    <hyperlink ref="K3268" r:id="rId3266" xr:uid="{00000000-0004-0000-0D00-0000C10C0000}"/>
    <hyperlink ref="K3269" r:id="rId3267" xr:uid="{00000000-0004-0000-0D00-0000C20C0000}"/>
    <hyperlink ref="K3270" r:id="rId3268" xr:uid="{00000000-0004-0000-0D00-0000C30C0000}"/>
    <hyperlink ref="K3271" r:id="rId3269" xr:uid="{00000000-0004-0000-0D00-0000C40C0000}"/>
    <hyperlink ref="K3272" r:id="rId3270" xr:uid="{00000000-0004-0000-0D00-0000C50C0000}"/>
    <hyperlink ref="K3273" r:id="rId3271" xr:uid="{00000000-0004-0000-0D00-0000C60C0000}"/>
    <hyperlink ref="K3274" r:id="rId3272" xr:uid="{00000000-0004-0000-0D00-0000C70C0000}"/>
    <hyperlink ref="K3275" r:id="rId3273" xr:uid="{00000000-0004-0000-0D00-0000C80C0000}"/>
    <hyperlink ref="K3276" r:id="rId3274" xr:uid="{00000000-0004-0000-0D00-0000C90C0000}"/>
    <hyperlink ref="K3277" r:id="rId3275" xr:uid="{00000000-0004-0000-0D00-0000CA0C0000}"/>
    <hyperlink ref="K3278" r:id="rId3276" xr:uid="{00000000-0004-0000-0D00-0000CB0C0000}"/>
    <hyperlink ref="K3279" r:id="rId3277" xr:uid="{00000000-0004-0000-0D00-0000CC0C0000}"/>
    <hyperlink ref="K3280" r:id="rId3278" xr:uid="{00000000-0004-0000-0D00-0000CD0C0000}"/>
    <hyperlink ref="K3281" r:id="rId3279" xr:uid="{00000000-0004-0000-0D00-0000CE0C0000}"/>
    <hyperlink ref="K3282" r:id="rId3280" xr:uid="{00000000-0004-0000-0D00-0000CF0C0000}"/>
    <hyperlink ref="K3283" r:id="rId3281" xr:uid="{00000000-0004-0000-0D00-0000D00C0000}"/>
    <hyperlink ref="K3284" r:id="rId3282" xr:uid="{00000000-0004-0000-0D00-0000D10C0000}"/>
    <hyperlink ref="K3285" r:id="rId3283" xr:uid="{00000000-0004-0000-0D00-0000D20C0000}"/>
    <hyperlink ref="K3286" r:id="rId3284" xr:uid="{00000000-0004-0000-0D00-0000D30C0000}"/>
    <hyperlink ref="K3287" r:id="rId3285" xr:uid="{00000000-0004-0000-0D00-0000D40C0000}"/>
    <hyperlink ref="K3288" r:id="rId3286" xr:uid="{00000000-0004-0000-0D00-0000D50C0000}"/>
    <hyperlink ref="K3289" r:id="rId3287" xr:uid="{00000000-0004-0000-0D00-0000D60C0000}"/>
    <hyperlink ref="K3290" r:id="rId3288" xr:uid="{00000000-0004-0000-0D00-0000D70C0000}"/>
    <hyperlink ref="K3291" r:id="rId3289" xr:uid="{00000000-0004-0000-0D00-0000D80C0000}"/>
    <hyperlink ref="K3292" r:id="rId3290" xr:uid="{00000000-0004-0000-0D00-0000D90C0000}"/>
    <hyperlink ref="K3293" r:id="rId3291" xr:uid="{00000000-0004-0000-0D00-0000DA0C0000}"/>
    <hyperlink ref="K3294" r:id="rId3292" xr:uid="{00000000-0004-0000-0D00-0000DB0C0000}"/>
    <hyperlink ref="K3295" r:id="rId3293" xr:uid="{00000000-0004-0000-0D00-0000DC0C0000}"/>
    <hyperlink ref="K3296" r:id="rId3294" xr:uid="{00000000-0004-0000-0D00-0000DD0C0000}"/>
    <hyperlink ref="K3297" r:id="rId3295" xr:uid="{00000000-0004-0000-0D00-0000DE0C0000}"/>
    <hyperlink ref="K3298" r:id="rId3296" xr:uid="{00000000-0004-0000-0D00-0000DF0C0000}"/>
    <hyperlink ref="K3299" r:id="rId3297" xr:uid="{00000000-0004-0000-0D00-0000E00C0000}"/>
    <hyperlink ref="K3300" r:id="rId3298" xr:uid="{00000000-0004-0000-0D00-0000E10C0000}"/>
    <hyperlink ref="K3301" r:id="rId3299" xr:uid="{00000000-0004-0000-0D00-0000E20C0000}"/>
    <hyperlink ref="K3302" r:id="rId3300" xr:uid="{00000000-0004-0000-0D00-0000E30C0000}"/>
    <hyperlink ref="K3303" r:id="rId3301" xr:uid="{00000000-0004-0000-0D00-0000E40C0000}"/>
    <hyperlink ref="K3304" r:id="rId3302" xr:uid="{00000000-0004-0000-0D00-0000E50C0000}"/>
    <hyperlink ref="K3305" r:id="rId3303" xr:uid="{00000000-0004-0000-0D00-0000E60C0000}"/>
    <hyperlink ref="K3306" r:id="rId3304" xr:uid="{00000000-0004-0000-0D00-0000E70C0000}"/>
    <hyperlink ref="K3307" r:id="rId3305" xr:uid="{00000000-0004-0000-0D00-0000E80C0000}"/>
    <hyperlink ref="K3308" r:id="rId3306" xr:uid="{00000000-0004-0000-0D00-0000E90C0000}"/>
    <hyperlink ref="K3309" r:id="rId3307" xr:uid="{00000000-0004-0000-0D00-0000EA0C0000}"/>
    <hyperlink ref="K3310" r:id="rId3308" xr:uid="{00000000-0004-0000-0D00-0000EB0C0000}"/>
    <hyperlink ref="K3311" r:id="rId3309" xr:uid="{00000000-0004-0000-0D00-0000EC0C0000}"/>
    <hyperlink ref="K3312" r:id="rId3310" xr:uid="{00000000-0004-0000-0D00-0000ED0C0000}"/>
    <hyperlink ref="K3313" r:id="rId3311" xr:uid="{00000000-0004-0000-0D00-0000EE0C0000}"/>
    <hyperlink ref="K3314" r:id="rId3312" xr:uid="{00000000-0004-0000-0D00-0000EF0C0000}"/>
    <hyperlink ref="K3315" r:id="rId3313" xr:uid="{00000000-0004-0000-0D00-0000F00C0000}"/>
    <hyperlink ref="K3316" r:id="rId3314" xr:uid="{00000000-0004-0000-0D00-0000F10C0000}"/>
    <hyperlink ref="K3317" r:id="rId3315" xr:uid="{00000000-0004-0000-0D00-0000F20C0000}"/>
    <hyperlink ref="K3318" r:id="rId3316" xr:uid="{00000000-0004-0000-0D00-0000F30C0000}"/>
    <hyperlink ref="K3319" r:id="rId3317" xr:uid="{00000000-0004-0000-0D00-0000F40C0000}"/>
    <hyperlink ref="K3320" r:id="rId3318" xr:uid="{00000000-0004-0000-0D00-0000F50C0000}"/>
    <hyperlink ref="K3321" r:id="rId3319" xr:uid="{00000000-0004-0000-0D00-0000F60C0000}"/>
    <hyperlink ref="K3322" r:id="rId3320" xr:uid="{00000000-0004-0000-0D00-0000F70C0000}"/>
    <hyperlink ref="K3323" r:id="rId3321" xr:uid="{00000000-0004-0000-0D00-0000F80C0000}"/>
    <hyperlink ref="K3324" r:id="rId3322" xr:uid="{00000000-0004-0000-0D00-0000F90C0000}"/>
    <hyperlink ref="K3325" r:id="rId3323" xr:uid="{00000000-0004-0000-0D00-0000FA0C0000}"/>
    <hyperlink ref="K3326" r:id="rId3324" xr:uid="{00000000-0004-0000-0D00-0000FB0C0000}"/>
    <hyperlink ref="K3327" r:id="rId3325" xr:uid="{00000000-0004-0000-0D00-0000FC0C0000}"/>
    <hyperlink ref="K3328" r:id="rId3326" xr:uid="{00000000-0004-0000-0D00-0000FD0C0000}"/>
    <hyperlink ref="K3329" r:id="rId3327" xr:uid="{00000000-0004-0000-0D00-0000FE0C0000}"/>
    <hyperlink ref="K3330" r:id="rId3328" xr:uid="{00000000-0004-0000-0D00-0000FF0C0000}"/>
    <hyperlink ref="K3331" r:id="rId3329" xr:uid="{00000000-0004-0000-0D00-0000000D0000}"/>
    <hyperlink ref="K3332" r:id="rId3330" xr:uid="{00000000-0004-0000-0D00-0000010D0000}"/>
    <hyperlink ref="K3333" r:id="rId3331" xr:uid="{00000000-0004-0000-0D00-0000020D0000}"/>
    <hyperlink ref="K3334" r:id="rId3332" xr:uid="{00000000-0004-0000-0D00-0000030D0000}"/>
    <hyperlink ref="K3335" r:id="rId3333" xr:uid="{00000000-0004-0000-0D00-0000040D0000}"/>
    <hyperlink ref="K3336" r:id="rId3334" xr:uid="{00000000-0004-0000-0D00-0000050D0000}"/>
    <hyperlink ref="K3337" r:id="rId3335" xr:uid="{00000000-0004-0000-0D00-0000060D0000}"/>
    <hyperlink ref="K3338" r:id="rId3336" xr:uid="{00000000-0004-0000-0D00-0000070D0000}"/>
    <hyperlink ref="K3339" r:id="rId3337" xr:uid="{00000000-0004-0000-0D00-0000080D0000}"/>
    <hyperlink ref="K3340" r:id="rId3338" xr:uid="{00000000-0004-0000-0D00-0000090D0000}"/>
    <hyperlink ref="K3341" r:id="rId3339" xr:uid="{00000000-0004-0000-0D00-00000A0D0000}"/>
    <hyperlink ref="K3342" r:id="rId3340" xr:uid="{00000000-0004-0000-0D00-00000B0D0000}"/>
    <hyperlink ref="K3343" r:id="rId3341" xr:uid="{00000000-0004-0000-0D00-00000C0D0000}"/>
    <hyperlink ref="K3344" r:id="rId3342" xr:uid="{00000000-0004-0000-0D00-00000D0D0000}"/>
    <hyperlink ref="K3345" r:id="rId3343" xr:uid="{00000000-0004-0000-0D00-00000E0D0000}"/>
    <hyperlink ref="K3346" r:id="rId3344" xr:uid="{00000000-0004-0000-0D00-00000F0D0000}"/>
    <hyperlink ref="K3347" r:id="rId3345" xr:uid="{00000000-0004-0000-0D00-0000100D0000}"/>
    <hyperlink ref="K3348" r:id="rId3346" xr:uid="{00000000-0004-0000-0D00-0000110D0000}"/>
    <hyperlink ref="K3349" r:id="rId3347" xr:uid="{00000000-0004-0000-0D00-0000120D0000}"/>
    <hyperlink ref="K3350" r:id="rId3348" xr:uid="{00000000-0004-0000-0D00-0000130D0000}"/>
    <hyperlink ref="K3351" r:id="rId3349" xr:uid="{00000000-0004-0000-0D00-0000140D0000}"/>
    <hyperlink ref="K3352" r:id="rId3350" xr:uid="{00000000-0004-0000-0D00-0000150D0000}"/>
    <hyperlink ref="K3353" r:id="rId3351" xr:uid="{00000000-0004-0000-0D00-0000160D0000}"/>
    <hyperlink ref="K3354" r:id="rId3352" xr:uid="{00000000-0004-0000-0D00-0000170D0000}"/>
    <hyperlink ref="K3355" r:id="rId3353" xr:uid="{00000000-0004-0000-0D00-0000180D0000}"/>
    <hyperlink ref="K3356" r:id="rId3354" xr:uid="{00000000-0004-0000-0D00-0000190D0000}"/>
    <hyperlink ref="K3357" r:id="rId3355" xr:uid="{00000000-0004-0000-0D00-00001A0D0000}"/>
    <hyperlink ref="K3358" r:id="rId3356" xr:uid="{00000000-0004-0000-0D00-00001B0D0000}"/>
    <hyperlink ref="K3359" r:id="rId3357" xr:uid="{00000000-0004-0000-0D00-00001C0D0000}"/>
    <hyperlink ref="K3360" r:id="rId3358" xr:uid="{00000000-0004-0000-0D00-00001D0D0000}"/>
    <hyperlink ref="K3361" r:id="rId3359" xr:uid="{00000000-0004-0000-0D00-00001E0D0000}"/>
    <hyperlink ref="K3362" r:id="rId3360" xr:uid="{00000000-0004-0000-0D00-00001F0D0000}"/>
    <hyperlink ref="K3363" r:id="rId3361" xr:uid="{00000000-0004-0000-0D00-0000200D0000}"/>
    <hyperlink ref="K3364" r:id="rId3362" xr:uid="{00000000-0004-0000-0D00-0000210D0000}"/>
    <hyperlink ref="K3365" r:id="rId3363" xr:uid="{00000000-0004-0000-0D00-0000220D0000}"/>
    <hyperlink ref="K3366" r:id="rId3364" xr:uid="{00000000-0004-0000-0D00-0000230D0000}"/>
    <hyperlink ref="K3367" r:id="rId3365" xr:uid="{00000000-0004-0000-0D00-0000240D0000}"/>
    <hyperlink ref="K3368" r:id="rId3366" xr:uid="{00000000-0004-0000-0D00-0000250D0000}"/>
    <hyperlink ref="K3369" r:id="rId3367" xr:uid="{00000000-0004-0000-0D00-0000260D0000}"/>
    <hyperlink ref="K3370" r:id="rId3368" xr:uid="{00000000-0004-0000-0D00-0000270D0000}"/>
    <hyperlink ref="K3371" r:id="rId3369" xr:uid="{00000000-0004-0000-0D00-0000280D0000}"/>
    <hyperlink ref="K3372" r:id="rId3370" xr:uid="{00000000-0004-0000-0D00-0000290D0000}"/>
    <hyperlink ref="K3373" r:id="rId3371" xr:uid="{00000000-0004-0000-0D00-00002A0D0000}"/>
    <hyperlink ref="K3374" r:id="rId3372" xr:uid="{00000000-0004-0000-0D00-00002B0D0000}"/>
    <hyperlink ref="K3375" r:id="rId3373" xr:uid="{00000000-0004-0000-0D00-00002C0D0000}"/>
    <hyperlink ref="K3376" r:id="rId3374" xr:uid="{00000000-0004-0000-0D00-00002D0D0000}"/>
    <hyperlink ref="K3377" r:id="rId3375" xr:uid="{00000000-0004-0000-0D00-00002E0D0000}"/>
    <hyperlink ref="K3378" r:id="rId3376" xr:uid="{00000000-0004-0000-0D00-00002F0D0000}"/>
    <hyperlink ref="K3379" r:id="rId3377" xr:uid="{00000000-0004-0000-0D00-0000300D0000}"/>
    <hyperlink ref="K3380" r:id="rId3378" xr:uid="{00000000-0004-0000-0D00-0000310D0000}"/>
    <hyperlink ref="K3381" r:id="rId3379" xr:uid="{00000000-0004-0000-0D00-0000320D0000}"/>
    <hyperlink ref="K3382" r:id="rId3380" xr:uid="{00000000-0004-0000-0D00-0000330D0000}"/>
    <hyperlink ref="K3383" r:id="rId3381" xr:uid="{00000000-0004-0000-0D00-0000340D0000}"/>
    <hyperlink ref="K3384" r:id="rId3382" xr:uid="{00000000-0004-0000-0D00-0000350D0000}"/>
    <hyperlink ref="K3385" r:id="rId3383" xr:uid="{00000000-0004-0000-0D00-0000360D0000}"/>
    <hyperlink ref="K3386" r:id="rId3384" xr:uid="{00000000-0004-0000-0D00-0000370D0000}"/>
    <hyperlink ref="K3387" r:id="rId3385" xr:uid="{00000000-0004-0000-0D00-0000380D0000}"/>
    <hyperlink ref="K3388" r:id="rId3386" xr:uid="{00000000-0004-0000-0D00-0000390D0000}"/>
    <hyperlink ref="K3389" r:id="rId3387" xr:uid="{00000000-0004-0000-0D00-00003A0D0000}"/>
    <hyperlink ref="K3390" r:id="rId3388" xr:uid="{00000000-0004-0000-0D00-00003B0D0000}"/>
    <hyperlink ref="K3391" r:id="rId3389" xr:uid="{00000000-0004-0000-0D00-00003C0D0000}"/>
    <hyperlink ref="K3392" r:id="rId3390" xr:uid="{00000000-0004-0000-0D00-00003D0D0000}"/>
    <hyperlink ref="K3393" r:id="rId3391" xr:uid="{00000000-0004-0000-0D00-00003E0D0000}"/>
    <hyperlink ref="K3394" r:id="rId3392" xr:uid="{00000000-0004-0000-0D00-00003F0D0000}"/>
    <hyperlink ref="K3395" r:id="rId3393" xr:uid="{00000000-0004-0000-0D00-0000400D0000}"/>
    <hyperlink ref="K3396" r:id="rId3394" xr:uid="{00000000-0004-0000-0D00-0000410D0000}"/>
    <hyperlink ref="K3397" r:id="rId3395" xr:uid="{00000000-0004-0000-0D00-0000420D0000}"/>
    <hyperlink ref="K3398" r:id="rId3396" xr:uid="{00000000-0004-0000-0D00-0000430D0000}"/>
    <hyperlink ref="K3399" r:id="rId3397" xr:uid="{00000000-0004-0000-0D00-0000440D0000}"/>
    <hyperlink ref="K3400" r:id="rId3398" xr:uid="{00000000-0004-0000-0D00-0000450D0000}"/>
    <hyperlink ref="K3401" r:id="rId3399" xr:uid="{00000000-0004-0000-0D00-0000460D0000}"/>
    <hyperlink ref="K3402" r:id="rId3400" xr:uid="{00000000-0004-0000-0D00-0000470D0000}"/>
    <hyperlink ref="K3403" r:id="rId3401" xr:uid="{00000000-0004-0000-0D00-0000480D0000}"/>
    <hyperlink ref="K3404" r:id="rId3402" xr:uid="{00000000-0004-0000-0D00-0000490D0000}"/>
    <hyperlink ref="K3405" r:id="rId3403" xr:uid="{00000000-0004-0000-0D00-00004A0D0000}"/>
    <hyperlink ref="K3406" r:id="rId3404" xr:uid="{00000000-0004-0000-0D00-00004B0D0000}"/>
    <hyperlink ref="K3407" r:id="rId3405" xr:uid="{00000000-0004-0000-0D00-00004C0D0000}"/>
    <hyperlink ref="K3408" r:id="rId3406" xr:uid="{00000000-0004-0000-0D00-00004D0D0000}"/>
    <hyperlink ref="K3409" r:id="rId3407" xr:uid="{00000000-0004-0000-0D00-00004E0D0000}"/>
    <hyperlink ref="K3410" r:id="rId3408" xr:uid="{00000000-0004-0000-0D00-00004F0D0000}"/>
    <hyperlink ref="K3411" r:id="rId3409" xr:uid="{00000000-0004-0000-0D00-0000500D0000}"/>
    <hyperlink ref="K3412" r:id="rId3410" xr:uid="{00000000-0004-0000-0D00-0000510D0000}"/>
    <hyperlink ref="K3413" r:id="rId3411" xr:uid="{00000000-0004-0000-0D00-0000520D0000}"/>
    <hyperlink ref="K3414" r:id="rId3412" xr:uid="{00000000-0004-0000-0D00-0000530D0000}"/>
    <hyperlink ref="K3415" r:id="rId3413" xr:uid="{00000000-0004-0000-0D00-0000540D0000}"/>
    <hyperlink ref="K3416" r:id="rId3414" xr:uid="{00000000-0004-0000-0D00-0000550D0000}"/>
    <hyperlink ref="K3417" r:id="rId3415" xr:uid="{00000000-0004-0000-0D00-0000560D0000}"/>
    <hyperlink ref="K3418" r:id="rId3416" xr:uid="{00000000-0004-0000-0D00-0000570D0000}"/>
    <hyperlink ref="K3419" r:id="rId3417" xr:uid="{00000000-0004-0000-0D00-0000580D0000}"/>
    <hyperlink ref="K3420" r:id="rId3418" xr:uid="{00000000-0004-0000-0D00-0000590D0000}"/>
    <hyperlink ref="K3421" r:id="rId3419" xr:uid="{00000000-0004-0000-0D00-00005A0D0000}"/>
    <hyperlink ref="K3422" r:id="rId3420" xr:uid="{00000000-0004-0000-0D00-00005B0D0000}"/>
    <hyperlink ref="K3423" r:id="rId3421" xr:uid="{00000000-0004-0000-0D00-00005C0D0000}"/>
    <hyperlink ref="K3424" r:id="rId3422" xr:uid="{00000000-0004-0000-0D00-00005D0D0000}"/>
    <hyperlink ref="K3425" r:id="rId3423" xr:uid="{00000000-0004-0000-0D00-00005E0D0000}"/>
    <hyperlink ref="K3426" r:id="rId3424" xr:uid="{00000000-0004-0000-0D00-00005F0D0000}"/>
    <hyperlink ref="K3427" r:id="rId3425" xr:uid="{00000000-0004-0000-0D00-0000600D0000}"/>
    <hyperlink ref="K3428" r:id="rId3426" xr:uid="{00000000-0004-0000-0D00-0000610D0000}"/>
    <hyperlink ref="K3429" r:id="rId3427" xr:uid="{00000000-0004-0000-0D00-0000620D0000}"/>
    <hyperlink ref="K3430" r:id="rId3428" xr:uid="{00000000-0004-0000-0D00-0000630D0000}"/>
    <hyperlink ref="K3431" r:id="rId3429" xr:uid="{00000000-0004-0000-0D00-0000640D0000}"/>
    <hyperlink ref="K3432" r:id="rId3430" xr:uid="{00000000-0004-0000-0D00-0000650D0000}"/>
    <hyperlink ref="K3433" r:id="rId3431" xr:uid="{00000000-0004-0000-0D00-0000660D0000}"/>
    <hyperlink ref="K3434" r:id="rId3432" xr:uid="{00000000-0004-0000-0D00-0000670D0000}"/>
    <hyperlink ref="K3435" r:id="rId3433" xr:uid="{00000000-0004-0000-0D00-0000680D0000}"/>
    <hyperlink ref="K3436" r:id="rId3434" xr:uid="{00000000-0004-0000-0D00-0000690D0000}"/>
    <hyperlink ref="K3437" r:id="rId3435" xr:uid="{00000000-0004-0000-0D00-00006A0D0000}"/>
    <hyperlink ref="K3438" r:id="rId3436" xr:uid="{00000000-0004-0000-0D00-00006B0D0000}"/>
    <hyperlink ref="K3439" r:id="rId3437" xr:uid="{00000000-0004-0000-0D00-00006C0D0000}"/>
    <hyperlink ref="K3440" r:id="rId3438" xr:uid="{00000000-0004-0000-0D00-00006D0D0000}"/>
    <hyperlink ref="K3441" r:id="rId3439" xr:uid="{00000000-0004-0000-0D00-00006E0D0000}"/>
    <hyperlink ref="K3442" r:id="rId3440" xr:uid="{00000000-0004-0000-0D00-00006F0D0000}"/>
    <hyperlink ref="K3443" r:id="rId3441" xr:uid="{00000000-0004-0000-0D00-0000700D0000}"/>
    <hyperlink ref="K3444" r:id="rId3442" xr:uid="{00000000-0004-0000-0D00-0000710D0000}"/>
    <hyperlink ref="K3445" r:id="rId3443" xr:uid="{00000000-0004-0000-0D00-0000720D0000}"/>
    <hyperlink ref="K3446" r:id="rId3444" xr:uid="{00000000-0004-0000-0D00-0000730D0000}"/>
    <hyperlink ref="K3447" r:id="rId3445" xr:uid="{00000000-0004-0000-0D00-0000740D0000}"/>
    <hyperlink ref="K3448" r:id="rId3446" xr:uid="{00000000-0004-0000-0D00-0000750D0000}"/>
    <hyperlink ref="K3449" r:id="rId3447" xr:uid="{00000000-0004-0000-0D00-0000760D0000}"/>
    <hyperlink ref="K3450" r:id="rId3448" xr:uid="{00000000-0004-0000-0D00-0000770D0000}"/>
    <hyperlink ref="K3451" r:id="rId3449" xr:uid="{00000000-0004-0000-0D00-0000780D0000}"/>
    <hyperlink ref="K3452" r:id="rId3450" xr:uid="{00000000-0004-0000-0D00-0000790D0000}"/>
    <hyperlink ref="K3453" r:id="rId3451" xr:uid="{00000000-0004-0000-0D00-00007A0D0000}"/>
    <hyperlink ref="K3454" r:id="rId3452" xr:uid="{00000000-0004-0000-0D00-00007B0D0000}"/>
    <hyperlink ref="K3455" r:id="rId3453" xr:uid="{00000000-0004-0000-0D00-00007C0D0000}"/>
    <hyperlink ref="K3456" r:id="rId3454" xr:uid="{00000000-0004-0000-0D00-00007D0D0000}"/>
    <hyperlink ref="K3457" r:id="rId3455" xr:uid="{00000000-0004-0000-0D00-00007E0D0000}"/>
    <hyperlink ref="K3458" r:id="rId3456" xr:uid="{00000000-0004-0000-0D00-00007F0D0000}"/>
    <hyperlink ref="K3459" r:id="rId3457" xr:uid="{00000000-0004-0000-0D00-0000800D0000}"/>
    <hyperlink ref="K3460" r:id="rId3458" xr:uid="{00000000-0004-0000-0D00-0000810D0000}"/>
    <hyperlink ref="K3461" r:id="rId3459" xr:uid="{00000000-0004-0000-0D00-0000820D0000}"/>
    <hyperlink ref="K3462" r:id="rId3460" xr:uid="{00000000-0004-0000-0D00-0000830D0000}"/>
    <hyperlink ref="K3463" r:id="rId3461" xr:uid="{00000000-0004-0000-0D00-0000840D0000}"/>
    <hyperlink ref="K3464" r:id="rId3462" xr:uid="{00000000-0004-0000-0D00-0000850D0000}"/>
    <hyperlink ref="K3465" r:id="rId3463" xr:uid="{00000000-0004-0000-0D00-0000860D0000}"/>
    <hyperlink ref="K3466" r:id="rId3464" xr:uid="{00000000-0004-0000-0D00-0000870D0000}"/>
    <hyperlink ref="K3467" r:id="rId3465" xr:uid="{00000000-0004-0000-0D00-0000880D0000}"/>
    <hyperlink ref="K3468" r:id="rId3466" xr:uid="{00000000-0004-0000-0D00-0000890D0000}"/>
    <hyperlink ref="K3469" r:id="rId3467" xr:uid="{00000000-0004-0000-0D00-00008A0D0000}"/>
    <hyperlink ref="K3470" r:id="rId3468" xr:uid="{00000000-0004-0000-0D00-00008B0D0000}"/>
    <hyperlink ref="K3471" r:id="rId3469" xr:uid="{00000000-0004-0000-0D00-00008C0D0000}"/>
    <hyperlink ref="K3472" r:id="rId3470" xr:uid="{00000000-0004-0000-0D00-00008D0D0000}"/>
    <hyperlink ref="K3473" r:id="rId3471" xr:uid="{00000000-0004-0000-0D00-00008E0D0000}"/>
    <hyperlink ref="K3474" r:id="rId3472" xr:uid="{00000000-0004-0000-0D00-00008F0D0000}"/>
    <hyperlink ref="K3475" r:id="rId3473" xr:uid="{00000000-0004-0000-0D00-0000900D0000}"/>
    <hyperlink ref="K3476" r:id="rId3474" xr:uid="{00000000-0004-0000-0D00-0000910D0000}"/>
    <hyperlink ref="K3477" r:id="rId3475" xr:uid="{00000000-0004-0000-0D00-0000920D0000}"/>
    <hyperlink ref="K3478" r:id="rId3476" xr:uid="{00000000-0004-0000-0D00-0000930D0000}"/>
    <hyperlink ref="K3479" r:id="rId3477" xr:uid="{00000000-0004-0000-0D00-0000940D0000}"/>
    <hyperlink ref="K3480" r:id="rId3478" xr:uid="{00000000-0004-0000-0D00-0000950D0000}"/>
    <hyperlink ref="K3481" r:id="rId3479" xr:uid="{00000000-0004-0000-0D00-0000960D0000}"/>
    <hyperlink ref="K3482" r:id="rId3480" xr:uid="{00000000-0004-0000-0D00-0000970D0000}"/>
    <hyperlink ref="K3483" r:id="rId3481" xr:uid="{00000000-0004-0000-0D00-0000980D0000}"/>
    <hyperlink ref="K3484" r:id="rId3482" xr:uid="{00000000-0004-0000-0D00-0000990D0000}"/>
    <hyperlink ref="K3485" r:id="rId3483" xr:uid="{00000000-0004-0000-0D00-00009A0D0000}"/>
    <hyperlink ref="K3486" r:id="rId3484" xr:uid="{00000000-0004-0000-0D00-00009B0D0000}"/>
    <hyperlink ref="K3487" r:id="rId3485" xr:uid="{00000000-0004-0000-0D00-00009C0D0000}"/>
    <hyperlink ref="K3488" r:id="rId3486" xr:uid="{00000000-0004-0000-0D00-00009D0D0000}"/>
    <hyperlink ref="K3489" r:id="rId3487" xr:uid="{00000000-0004-0000-0D00-00009E0D0000}"/>
    <hyperlink ref="K3490" r:id="rId3488" xr:uid="{00000000-0004-0000-0D00-00009F0D0000}"/>
    <hyperlink ref="K3491" r:id="rId3489" xr:uid="{00000000-0004-0000-0D00-0000A00D0000}"/>
    <hyperlink ref="K3492" r:id="rId3490" xr:uid="{00000000-0004-0000-0D00-0000A10D0000}"/>
    <hyperlink ref="K3493" r:id="rId3491" xr:uid="{00000000-0004-0000-0D00-0000A20D0000}"/>
    <hyperlink ref="K3494" r:id="rId3492" xr:uid="{00000000-0004-0000-0D00-0000A30D0000}"/>
    <hyperlink ref="K3495" r:id="rId3493" xr:uid="{00000000-0004-0000-0D00-0000A40D0000}"/>
    <hyperlink ref="K3496" r:id="rId3494" xr:uid="{00000000-0004-0000-0D00-0000A50D0000}"/>
    <hyperlink ref="K3497" r:id="rId3495" xr:uid="{00000000-0004-0000-0D00-0000A60D0000}"/>
    <hyperlink ref="K3498" r:id="rId3496" xr:uid="{00000000-0004-0000-0D00-0000A70D0000}"/>
    <hyperlink ref="K3499" r:id="rId3497" xr:uid="{00000000-0004-0000-0D00-0000A80D0000}"/>
    <hyperlink ref="K3500" r:id="rId3498" xr:uid="{00000000-0004-0000-0D00-0000A90D0000}"/>
    <hyperlink ref="K3501" r:id="rId3499" xr:uid="{00000000-0004-0000-0D00-0000AA0D0000}"/>
    <hyperlink ref="K3502" r:id="rId3500" xr:uid="{00000000-0004-0000-0D00-0000AB0D0000}"/>
    <hyperlink ref="K3503" r:id="rId3501" xr:uid="{00000000-0004-0000-0D00-0000AC0D0000}"/>
    <hyperlink ref="K3504" r:id="rId3502" xr:uid="{00000000-0004-0000-0D00-0000AD0D0000}"/>
    <hyperlink ref="K3505" r:id="rId3503" xr:uid="{00000000-0004-0000-0D00-0000AE0D0000}"/>
    <hyperlink ref="K3506" r:id="rId3504" xr:uid="{00000000-0004-0000-0D00-0000AF0D0000}"/>
    <hyperlink ref="K3507" r:id="rId3505" xr:uid="{00000000-0004-0000-0D00-0000B00D0000}"/>
    <hyperlink ref="K3508" r:id="rId3506" xr:uid="{00000000-0004-0000-0D00-0000B10D0000}"/>
    <hyperlink ref="K3509" r:id="rId3507" xr:uid="{00000000-0004-0000-0D00-0000B20D0000}"/>
    <hyperlink ref="K3510" r:id="rId3508" xr:uid="{00000000-0004-0000-0D00-0000B30D0000}"/>
    <hyperlink ref="K3511" r:id="rId3509" xr:uid="{00000000-0004-0000-0D00-0000B40D0000}"/>
    <hyperlink ref="K3512" r:id="rId3510" xr:uid="{00000000-0004-0000-0D00-0000B50D0000}"/>
    <hyperlink ref="K3513" r:id="rId3511" xr:uid="{00000000-0004-0000-0D00-0000B60D0000}"/>
    <hyperlink ref="K3514" r:id="rId3512" xr:uid="{00000000-0004-0000-0D00-0000B70D0000}"/>
    <hyperlink ref="K3515" r:id="rId3513" xr:uid="{00000000-0004-0000-0D00-0000B80D0000}"/>
    <hyperlink ref="K3516" r:id="rId3514" xr:uid="{00000000-0004-0000-0D00-0000B90D0000}"/>
    <hyperlink ref="K3517" r:id="rId3515" xr:uid="{00000000-0004-0000-0D00-0000BA0D0000}"/>
    <hyperlink ref="K3518" r:id="rId3516" xr:uid="{00000000-0004-0000-0D00-0000BB0D0000}"/>
    <hyperlink ref="K3519" r:id="rId3517" xr:uid="{00000000-0004-0000-0D00-0000BC0D0000}"/>
    <hyperlink ref="K3520" r:id="rId3518" xr:uid="{00000000-0004-0000-0D00-0000BD0D0000}"/>
    <hyperlink ref="K3521" r:id="rId3519" xr:uid="{00000000-0004-0000-0D00-0000BE0D0000}"/>
    <hyperlink ref="K3522" r:id="rId3520" xr:uid="{00000000-0004-0000-0D00-0000BF0D0000}"/>
    <hyperlink ref="K3523" r:id="rId3521" xr:uid="{00000000-0004-0000-0D00-0000C00D0000}"/>
    <hyperlink ref="K3524" r:id="rId3522" xr:uid="{00000000-0004-0000-0D00-0000C10D0000}"/>
    <hyperlink ref="K3525" r:id="rId3523" xr:uid="{00000000-0004-0000-0D00-0000C20D0000}"/>
    <hyperlink ref="K3526" r:id="rId3524" xr:uid="{00000000-0004-0000-0D00-0000C30D0000}"/>
    <hyperlink ref="K3527" r:id="rId3525" xr:uid="{00000000-0004-0000-0D00-0000C40D0000}"/>
    <hyperlink ref="K3528" r:id="rId3526" xr:uid="{00000000-0004-0000-0D00-0000C50D0000}"/>
    <hyperlink ref="K3529" r:id="rId3527" xr:uid="{00000000-0004-0000-0D00-0000C60D0000}"/>
    <hyperlink ref="K3530" r:id="rId3528" xr:uid="{00000000-0004-0000-0D00-0000C70D0000}"/>
    <hyperlink ref="K3531" r:id="rId3529" xr:uid="{00000000-0004-0000-0D00-0000C80D0000}"/>
    <hyperlink ref="K3532" r:id="rId3530" xr:uid="{00000000-0004-0000-0D00-0000C90D0000}"/>
    <hyperlink ref="K3533" r:id="rId3531" xr:uid="{00000000-0004-0000-0D00-0000CA0D0000}"/>
    <hyperlink ref="K3534" r:id="rId3532" xr:uid="{00000000-0004-0000-0D00-0000CB0D0000}"/>
    <hyperlink ref="K3535" r:id="rId3533" xr:uid="{00000000-0004-0000-0D00-0000CC0D0000}"/>
    <hyperlink ref="K3536" r:id="rId3534" xr:uid="{00000000-0004-0000-0D00-0000CD0D0000}"/>
    <hyperlink ref="K3537" r:id="rId3535" xr:uid="{00000000-0004-0000-0D00-0000CE0D0000}"/>
    <hyperlink ref="K3538" r:id="rId3536" xr:uid="{00000000-0004-0000-0D00-0000CF0D0000}"/>
    <hyperlink ref="K3539" r:id="rId3537" xr:uid="{00000000-0004-0000-0D00-0000D00D0000}"/>
    <hyperlink ref="K3540" r:id="rId3538" xr:uid="{00000000-0004-0000-0D00-0000D10D0000}"/>
    <hyperlink ref="K3541" r:id="rId3539" xr:uid="{00000000-0004-0000-0D00-0000D20D0000}"/>
    <hyperlink ref="K3542" r:id="rId3540" xr:uid="{00000000-0004-0000-0D00-0000D30D0000}"/>
    <hyperlink ref="K3543" r:id="rId3541" xr:uid="{00000000-0004-0000-0D00-0000D40D0000}"/>
    <hyperlink ref="K3544" r:id="rId3542" xr:uid="{00000000-0004-0000-0D00-0000D50D0000}"/>
    <hyperlink ref="K3545" r:id="rId3543" xr:uid="{00000000-0004-0000-0D00-0000D60D0000}"/>
    <hyperlink ref="K3546" r:id="rId3544" xr:uid="{00000000-0004-0000-0D00-0000D70D0000}"/>
    <hyperlink ref="K3547" r:id="rId3545" xr:uid="{00000000-0004-0000-0D00-0000D80D0000}"/>
    <hyperlink ref="K3548" r:id="rId3546" xr:uid="{00000000-0004-0000-0D00-0000D90D0000}"/>
    <hyperlink ref="K3549" r:id="rId3547" xr:uid="{00000000-0004-0000-0D00-0000DA0D0000}"/>
    <hyperlink ref="K3550" r:id="rId3548" xr:uid="{00000000-0004-0000-0D00-0000DB0D0000}"/>
    <hyperlink ref="K3551" r:id="rId3549" xr:uid="{00000000-0004-0000-0D00-0000DC0D0000}"/>
    <hyperlink ref="K3552" r:id="rId3550" xr:uid="{00000000-0004-0000-0D00-0000DD0D0000}"/>
    <hyperlink ref="K3553" r:id="rId3551" xr:uid="{00000000-0004-0000-0D00-0000DE0D0000}"/>
    <hyperlink ref="K3554" r:id="rId3552" xr:uid="{00000000-0004-0000-0D00-0000DF0D0000}"/>
    <hyperlink ref="K3555" r:id="rId3553" xr:uid="{00000000-0004-0000-0D00-0000E00D0000}"/>
    <hyperlink ref="K3556" r:id="rId3554" xr:uid="{00000000-0004-0000-0D00-0000E10D0000}"/>
    <hyperlink ref="K3557" r:id="rId3555" xr:uid="{00000000-0004-0000-0D00-0000E20D0000}"/>
    <hyperlink ref="K3558" r:id="rId3556" xr:uid="{00000000-0004-0000-0D00-0000E30D0000}"/>
    <hyperlink ref="K3559" r:id="rId3557" xr:uid="{00000000-0004-0000-0D00-0000E40D0000}"/>
    <hyperlink ref="K3560" r:id="rId3558" xr:uid="{00000000-0004-0000-0D00-0000E50D0000}"/>
    <hyperlink ref="K3561" r:id="rId3559" xr:uid="{00000000-0004-0000-0D00-0000E60D0000}"/>
    <hyperlink ref="K3562" r:id="rId3560" xr:uid="{00000000-0004-0000-0D00-0000E70D0000}"/>
    <hyperlink ref="K3563" r:id="rId3561" xr:uid="{00000000-0004-0000-0D00-0000E80D0000}"/>
    <hyperlink ref="K3564" r:id="rId3562" xr:uid="{00000000-0004-0000-0D00-0000E90D0000}"/>
    <hyperlink ref="K3565" r:id="rId3563" xr:uid="{00000000-0004-0000-0D00-0000EA0D0000}"/>
    <hyperlink ref="K3566" r:id="rId3564" xr:uid="{00000000-0004-0000-0D00-0000EB0D0000}"/>
    <hyperlink ref="K3567" r:id="rId3565" xr:uid="{00000000-0004-0000-0D00-0000EC0D0000}"/>
    <hyperlink ref="K3568" r:id="rId3566" xr:uid="{00000000-0004-0000-0D00-0000ED0D0000}"/>
    <hyperlink ref="K3569" r:id="rId3567" xr:uid="{00000000-0004-0000-0D00-0000EE0D0000}"/>
    <hyperlink ref="K3570" r:id="rId3568" xr:uid="{00000000-0004-0000-0D00-0000EF0D0000}"/>
    <hyperlink ref="K3571" r:id="rId3569" xr:uid="{00000000-0004-0000-0D00-0000F00D0000}"/>
    <hyperlink ref="K3572" r:id="rId3570" xr:uid="{00000000-0004-0000-0D00-0000F10D0000}"/>
    <hyperlink ref="K3573" r:id="rId3571" xr:uid="{00000000-0004-0000-0D00-0000F20D0000}"/>
    <hyperlink ref="K3574" r:id="rId3572" xr:uid="{00000000-0004-0000-0D00-0000F30D0000}"/>
    <hyperlink ref="K3575" r:id="rId3573" xr:uid="{00000000-0004-0000-0D00-0000F40D0000}"/>
    <hyperlink ref="K3576" r:id="rId3574" xr:uid="{00000000-0004-0000-0D00-0000F50D0000}"/>
    <hyperlink ref="K3577" r:id="rId3575" xr:uid="{00000000-0004-0000-0D00-0000F60D0000}"/>
    <hyperlink ref="K3578" r:id="rId3576" xr:uid="{00000000-0004-0000-0D00-0000F70D0000}"/>
    <hyperlink ref="K3579" r:id="rId3577" xr:uid="{00000000-0004-0000-0D00-0000F80D0000}"/>
    <hyperlink ref="K3580" r:id="rId3578" xr:uid="{00000000-0004-0000-0D00-0000F90D0000}"/>
    <hyperlink ref="K3581" r:id="rId3579" xr:uid="{00000000-0004-0000-0D00-0000FA0D0000}"/>
    <hyperlink ref="K3582" r:id="rId3580" xr:uid="{00000000-0004-0000-0D00-0000FB0D0000}"/>
    <hyperlink ref="K3583" r:id="rId3581" xr:uid="{00000000-0004-0000-0D00-0000FC0D0000}"/>
    <hyperlink ref="K3584" r:id="rId3582" xr:uid="{00000000-0004-0000-0D00-0000FD0D0000}"/>
    <hyperlink ref="K3585" r:id="rId3583" xr:uid="{00000000-0004-0000-0D00-0000FE0D0000}"/>
    <hyperlink ref="K3586" r:id="rId3584" xr:uid="{00000000-0004-0000-0D00-0000FF0D0000}"/>
    <hyperlink ref="K3587" r:id="rId3585" xr:uid="{00000000-0004-0000-0D00-0000000E0000}"/>
    <hyperlink ref="K3588" r:id="rId3586" xr:uid="{00000000-0004-0000-0D00-0000010E0000}"/>
    <hyperlink ref="K3589" r:id="rId3587" xr:uid="{00000000-0004-0000-0D00-0000020E0000}"/>
    <hyperlink ref="K3590" r:id="rId3588" xr:uid="{00000000-0004-0000-0D00-0000030E0000}"/>
    <hyperlink ref="K3591" r:id="rId3589" xr:uid="{00000000-0004-0000-0D00-0000040E0000}"/>
    <hyperlink ref="K3592" r:id="rId3590" xr:uid="{00000000-0004-0000-0D00-0000050E0000}"/>
    <hyperlink ref="K3593" r:id="rId3591" xr:uid="{00000000-0004-0000-0D00-0000060E0000}"/>
    <hyperlink ref="K3594" r:id="rId3592" xr:uid="{00000000-0004-0000-0D00-0000070E0000}"/>
    <hyperlink ref="K3595" r:id="rId3593" xr:uid="{00000000-0004-0000-0D00-0000080E0000}"/>
    <hyperlink ref="K3596" r:id="rId3594" xr:uid="{00000000-0004-0000-0D00-0000090E0000}"/>
    <hyperlink ref="K3597" r:id="rId3595" xr:uid="{00000000-0004-0000-0D00-00000A0E0000}"/>
    <hyperlink ref="K3598" r:id="rId3596" xr:uid="{00000000-0004-0000-0D00-00000B0E0000}"/>
    <hyperlink ref="K3599" r:id="rId3597" xr:uid="{00000000-0004-0000-0D00-00000C0E0000}"/>
    <hyperlink ref="K3600" r:id="rId3598" xr:uid="{00000000-0004-0000-0D00-00000D0E0000}"/>
    <hyperlink ref="K3601" r:id="rId3599" xr:uid="{00000000-0004-0000-0D00-00000E0E0000}"/>
    <hyperlink ref="K3602" r:id="rId3600" xr:uid="{00000000-0004-0000-0D00-00000F0E0000}"/>
    <hyperlink ref="K3603" r:id="rId3601" xr:uid="{00000000-0004-0000-0D00-0000100E0000}"/>
    <hyperlink ref="K3604" r:id="rId3602" xr:uid="{00000000-0004-0000-0D00-0000110E0000}"/>
    <hyperlink ref="K3605" r:id="rId3603" xr:uid="{00000000-0004-0000-0D00-0000120E0000}"/>
    <hyperlink ref="K3606" r:id="rId3604" xr:uid="{00000000-0004-0000-0D00-0000130E0000}"/>
    <hyperlink ref="K3607" r:id="rId3605" xr:uid="{00000000-0004-0000-0D00-0000140E0000}"/>
    <hyperlink ref="K3608" r:id="rId3606" xr:uid="{00000000-0004-0000-0D00-0000150E0000}"/>
    <hyperlink ref="K3609" r:id="rId3607" xr:uid="{00000000-0004-0000-0D00-0000160E0000}"/>
    <hyperlink ref="K3610" r:id="rId3608" xr:uid="{00000000-0004-0000-0D00-0000170E0000}"/>
    <hyperlink ref="K3611" r:id="rId3609" xr:uid="{00000000-0004-0000-0D00-0000180E0000}"/>
    <hyperlink ref="K3612" r:id="rId3610" xr:uid="{00000000-0004-0000-0D00-0000190E0000}"/>
    <hyperlink ref="K3613" r:id="rId3611" xr:uid="{00000000-0004-0000-0D00-00001A0E0000}"/>
    <hyperlink ref="K3614" r:id="rId3612" xr:uid="{00000000-0004-0000-0D00-00001B0E0000}"/>
    <hyperlink ref="K3615" r:id="rId3613" xr:uid="{00000000-0004-0000-0D00-00001C0E0000}"/>
    <hyperlink ref="K3616" r:id="rId3614" xr:uid="{00000000-0004-0000-0D00-00001D0E0000}"/>
    <hyperlink ref="K3617" r:id="rId3615" xr:uid="{00000000-0004-0000-0D00-00001E0E0000}"/>
    <hyperlink ref="K3618" r:id="rId3616" xr:uid="{00000000-0004-0000-0D00-00001F0E0000}"/>
    <hyperlink ref="K3619" r:id="rId3617" xr:uid="{00000000-0004-0000-0D00-0000200E0000}"/>
    <hyperlink ref="K3620" r:id="rId3618" xr:uid="{00000000-0004-0000-0D00-0000210E0000}"/>
    <hyperlink ref="K3621" r:id="rId3619" xr:uid="{00000000-0004-0000-0D00-0000220E0000}"/>
    <hyperlink ref="K3622" r:id="rId3620" xr:uid="{00000000-0004-0000-0D00-0000230E0000}"/>
    <hyperlink ref="K3623" r:id="rId3621" xr:uid="{00000000-0004-0000-0D00-0000240E0000}"/>
    <hyperlink ref="K3624" r:id="rId3622" xr:uid="{00000000-0004-0000-0D00-0000250E0000}"/>
    <hyperlink ref="K3625" r:id="rId3623" xr:uid="{00000000-0004-0000-0D00-0000260E0000}"/>
    <hyperlink ref="K3626" r:id="rId3624" xr:uid="{00000000-0004-0000-0D00-0000270E0000}"/>
    <hyperlink ref="K3627" r:id="rId3625" xr:uid="{00000000-0004-0000-0D00-0000280E0000}"/>
    <hyperlink ref="K3628" r:id="rId3626" xr:uid="{00000000-0004-0000-0D00-0000290E0000}"/>
    <hyperlink ref="K3629" r:id="rId3627" xr:uid="{00000000-0004-0000-0D00-00002A0E0000}"/>
    <hyperlink ref="K3630" r:id="rId3628" xr:uid="{00000000-0004-0000-0D00-00002B0E0000}"/>
    <hyperlink ref="K3631" r:id="rId3629" xr:uid="{00000000-0004-0000-0D00-00002C0E0000}"/>
    <hyperlink ref="K3632" r:id="rId3630" xr:uid="{00000000-0004-0000-0D00-00002D0E0000}"/>
    <hyperlink ref="K3633" r:id="rId3631" xr:uid="{00000000-0004-0000-0D00-00002E0E0000}"/>
    <hyperlink ref="K3634" r:id="rId3632" xr:uid="{00000000-0004-0000-0D00-00002F0E0000}"/>
    <hyperlink ref="K3635" r:id="rId3633" xr:uid="{00000000-0004-0000-0D00-0000300E0000}"/>
    <hyperlink ref="K3636" r:id="rId3634" xr:uid="{00000000-0004-0000-0D00-0000310E0000}"/>
    <hyperlink ref="K3637" r:id="rId3635" xr:uid="{00000000-0004-0000-0D00-0000320E0000}"/>
    <hyperlink ref="K3638" r:id="rId3636" xr:uid="{00000000-0004-0000-0D00-0000330E0000}"/>
    <hyperlink ref="K3639" r:id="rId3637" xr:uid="{00000000-0004-0000-0D00-0000340E0000}"/>
    <hyperlink ref="K3640" r:id="rId3638" xr:uid="{00000000-0004-0000-0D00-0000350E0000}"/>
    <hyperlink ref="K3641" r:id="rId3639" xr:uid="{00000000-0004-0000-0D00-0000360E0000}"/>
    <hyperlink ref="K3642" r:id="rId3640" xr:uid="{00000000-0004-0000-0D00-0000370E0000}"/>
    <hyperlink ref="K3643" r:id="rId3641" xr:uid="{00000000-0004-0000-0D00-0000380E0000}"/>
    <hyperlink ref="K3644" r:id="rId3642" xr:uid="{00000000-0004-0000-0D00-0000390E0000}"/>
    <hyperlink ref="K3645" r:id="rId3643" xr:uid="{00000000-0004-0000-0D00-00003A0E0000}"/>
    <hyperlink ref="K3646" r:id="rId3644" xr:uid="{00000000-0004-0000-0D00-00003B0E0000}"/>
    <hyperlink ref="K3647" r:id="rId3645" xr:uid="{00000000-0004-0000-0D00-00003C0E0000}"/>
    <hyperlink ref="K3648" r:id="rId3646" xr:uid="{00000000-0004-0000-0D00-00003D0E0000}"/>
    <hyperlink ref="K3649" r:id="rId3647" xr:uid="{00000000-0004-0000-0D00-00003E0E0000}"/>
    <hyperlink ref="K3650" r:id="rId3648" xr:uid="{00000000-0004-0000-0D00-00003F0E0000}"/>
    <hyperlink ref="K3651" r:id="rId3649" xr:uid="{00000000-0004-0000-0D00-0000400E0000}"/>
    <hyperlink ref="K3652" r:id="rId3650" xr:uid="{00000000-0004-0000-0D00-0000410E0000}"/>
    <hyperlink ref="K3653" r:id="rId3651" xr:uid="{00000000-0004-0000-0D00-0000420E0000}"/>
    <hyperlink ref="K3654" r:id="rId3652" xr:uid="{00000000-0004-0000-0D00-0000430E0000}"/>
    <hyperlink ref="K3655" r:id="rId3653" xr:uid="{00000000-0004-0000-0D00-0000440E0000}"/>
    <hyperlink ref="K3656" r:id="rId3654" xr:uid="{00000000-0004-0000-0D00-0000450E0000}"/>
    <hyperlink ref="K3657" r:id="rId3655" xr:uid="{00000000-0004-0000-0D00-0000460E0000}"/>
    <hyperlink ref="K3658" r:id="rId3656" xr:uid="{00000000-0004-0000-0D00-0000470E0000}"/>
    <hyperlink ref="K3659" r:id="rId3657" xr:uid="{00000000-0004-0000-0D00-0000480E0000}"/>
    <hyperlink ref="K3660" r:id="rId3658" xr:uid="{00000000-0004-0000-0D00-0000490E0000}"/>
    <hyperlink ref="K3661" r:id="rId3659" xr:uid="{00000000-0004-0000-0D00-00004A0E0000}"/>
    <hyperlink ref="K3662" r:id="rId3660" xr:uid="{00000000-0004-0000-0D00-00004B0E0000}"/>
    <hyperlink ref="K3663" r:id="rId3661" xr:uid="{00000000-0004-0000-0D00-00004C0E0000}"/>
    <hyperlink ref="K3664" r:id="rId3662" xr:uid="{00000000-0004-0000-0D00-00004D0E0000}"/>
    <hyperlink ref="K3665" r:id="rId3663" xr:uid="{00000000-0004-0000-0D00-00004E0E0000}"/>
    <hyperlink ref="K3666" r:id="rId3664" xr:uid="{00000000-0004-0000-0D00-00004F0E0000}"/>
    <hyperlink ref="K3667" r:id="rId3665" xr:uid="{00000000-0004-0000-0D00-0000500E0000}"/>
    <hyperlink ref="K3668" r:id="rId3666" xr:uid="{00000000-0004-0000-0D00-0000510E0000}"/>
    <hyperlink ref="K3669" r:id="rId3667" xr:uid="{00000000-0004-0000-0D00-0000520E0000}"/>
    <hyperlink ref="K3670" r:id="rId3668" xr:uid="{00000000-0004-0000-0D00-0000530E0000}"/>
    <hyperlink ref="K3671" r:id="rId3669" xr:uid="{00000000-0004-0000-0D00-0000540E0000}"/>
    <hyperlink ref="K3672" r:id="rId3670" xr:uid="{00000000-0004-0000-0D00-0000550E0000}"/>
    <hyperlink ref="K3673" r:id="rId3671" xr:uid="{00000000-0004-0000-0D00-0000560E0000}"/>
    <hyperlink ref="K3674" r:id="rId3672" xr:uid="{00000000-0004-0000-0D00-0000570E0000}"/>
    <hyperlink ref="K3675" r:id="rId3673" xr:uid="{00000000-0004-0000-0D00-0000580E0000}"/>
    <hyperlink ref="K3676" r:id="rId3674" xr:uid="{00000000-0004-0000-0D00-0000590E0000}"/>
    <hyperlink ref="K3677" r:id="rId3675" xr:uid="{00000000-0004-0000-0D00-00005A0E0000}"/>
    <hyperlink ref="K3678" r:id="rId3676" xr:uid="{00000000-0004-0000-0D00-00005B0E0000}"/>
    <hyperlink ref="K3679" r:id="rId3677" xr:uid="{00000000-0004-0000-0D00-00005C0E0000}"/>
    <hyperlink ref="K3680" r:id="rId3678" xr:uid="{00000000-0004-0000-0D00-00005D0E0000}"/>
    <hyperlink ref="K3681" r:id="rId3679" xr:uid="{00000000-0004-0000-0D00-00005E0E0000}"/>
    <hyperlink ref="K3682" r:id="rId3680" xr:uid="{00000000-0004-0000-0D00-00005F0E0000}"/>
    <hyperlink ref="K3683" r:id="rId3681" xr:uid="{00000000-0004-0000-0D00-0000600E0000}"/>
    <hyperlink ref="K3684" r:id="rId3682" xr:uid="{00000000-0004-0000-0D00-0000610E0000}"/>
    <hyperlink ref="K3685" r:id="rId3683" xr:uid="{00000000-0004-0000-0D00-0000620E0000}"/>
    <hyperlink ref="K3686" r:id="rId3684" xr:uid="{00000000-0004-0000-0D00-0000630E0000}"/>
    <hyperlink ref="K3687" r:id="rId3685" xr:uid="{00000000-0004-0000-0D00-0000640E0000}"/>
    <hyperlink ref="K3688" r:id="rId3686" xr:uid="{00000000-0004-0000-0D00-0000650E0000}"/>
    <hyperlink ref="K3689" r:id="rId3687" xr:uid="{00000000-0004-0000-0D00-0000660E0000}"/>
    <hyperlink ref="K3690" r:id="rId3688" xr:uid="{00000000-0004-0000-0D00-0000670E0000}"/>
    <hyperlink ref="K3691" r:id="rId3689" xr:uid="{00000000-0004-0000-0D00-0000680E0000}"/>
    <hyperlink ref="K3692" r:id="rId3690" xr:uid="{00000000-0004-0000-0D00-0000690E0000}"/>
    <hyperlink ref="K3693" r:id="rId3691" xr:uid="{00000000-0004-0000-0D00-00006A0E0000}"/>
    <hyperlink ref="K3694" r:id="rId3692" xr:uid="{00000000-0004-0000-0D00-00006B0E0000}"/>
    <hyperlink ref="K3695" r:id="rId3693" xr:uid="{00000000-0004-0000-0D00-00006C0E0000}"/>
    <hyperlink ref="K3696" r:id="rId3694" xr:uid="{00000000-0004-0000-0D00-00006D0E0000}"/>
    <hyperlink ref="K3697" r:id="rId3695" xr:uid="{00000000-0004-0000-0D00-00006E0E0000}"/>
    <hyperlink ref="K3698" r:id="rId3696" xr:uid="{00000000-0004-0000-0D00-00006F0E0000}"/>
    <hyperlink ref="K3699" r:id="rId3697" xr:uid="{00000000-0004-0000-0D00-0000700E0000}"/>
    <hyperlink ref="K3700" r:id="rId3698" xr:uid="{00000000-0004-0000-0D00-0000710E0000}"/>
    <hyperlink ref="K3701" r:id="rId3699" xr:uid="{00000000-0004-0000-0D00-0000720E0000}"/>
    <hyperlink ref="K3702" r:id="rId3700" xr:uid="{00000000-0004-0000-0D00-0000730E0000}"/>
    <hyperlink ref="K3703" r:id="rId3701" xr:uid="{00000000-0004-0000-0D00-0000740E0000}"/>
    <hyperlink ref="K3704" r:id="rId3702" xr:uid="{00000000-0004-0000-0D00-0000750E0000}"/>
    <hyperlink ref="K3705" r:id="rId3703" xr:uid="{00000000-0004-0000-0D00-0000760E0000}"/>
    <hyperlink ref="K3706" r:id="rId3704" xr:uid="{00000000-0004-0000-0D00-0000770E0000}"/>
    <hyperlink ref="K3707" r:id="rId3705" xr:uid="{00000000-0004-0000-0D00-0000780E0000}"/>
    <hyperlink ref="K3708" r:id="rId3706" xr:uid="{00000000-0004-0000-0D00-0000790E0000}"/>
    <hyperlink ref="K3709" r:id="rId3707" xr:uid="{00000000-0004-0000-0D00-00007A0E0000}"/>
    <hyperlink ref="K3710" r:id="rId3708" xr:uid="{00000000-0004-0000-0D00-00007B0E0000}"/>
    <hyperlink ref="K3711" r:id="rId3709" xr:uid="{00000000-0004-0000-0D00-00007C0E0000}"/>
    <hyperlink ref="K3712" r:id="rId3710" xr:uid="{00000000-0004-0000-0D00-00007D0E0000}"/>
    <hyperlink ref="K3713" r:id="rId3711" xr:uid="{00000000-0004-0000-0D00-00007E0E0000}"/>
    <hyperlink ref="K3714" r:id="rId3712" xr:uid="{00000000-0004-0000-0D00-00007F0E0000}"/>
    <hyperlink ref="K3715" r:id="rId3713" xr:uid="{00000000-0004-0000-0D00-0000800E0000}"/>
    <hyperlink ref="K3716" r:id="rId3714" xr:uid="{00000000-0004-0000-0D00-0000810E0000}"/>
    <hyperlink ref="K3717" r:id="rId3715" xr:uid="{00000000-0004-0000-0D00-0000820E0000}"/>
    <hyperlink ref="K3718" r:id="rId3716" xr:uid="{00000000-0004-0000-0D00-0000830E0000}"/>
    <hyperlink ref="K3719" r:id="rId3717" xr:uid="{00000000-0004-0000-0D00-0000840E0000}"/>
    <hyperlink ref="K3720" r:id="rId3718" xr:uid="{00000000-0004-0000-0D00-0000850E0000}"/>
    <hyperlink ref="K3721" r:id="rId3719" xr:uid="{00000000-0004-0000-0D00-0000860E0000}"/>
    <hyperlink ref="K3722" r:id="rId3720" xr:uid="{00000000-0004-0000-0D00-0000870E0000}"/>
    <hyperlink ref="K3723" r:id="rId3721" xr:uid="{00000000-0004-0000-0D00-0000880E0000}"/>
    <hyperlink ref="K3724" r:id="rId3722" xr:uid="{00000000-0004-0000-0D00-0000890E0000}"/>
    <hyperlink ref="K3725" r:id="rId3723" xr:uid="{00000000-0004-0000-0D00-00008A0E0000}"/>
    <hyperlink ref="K3726" r:id="rId3724" xr:uid="{00000000-0004-0000-0D00-00008B0E0000}"/>
    <hyperlink ref="K3727" r:id="rId3725" xr:uid="{00000000-0004-0000-0D00-00008C0E0000}"/>
    <hyperlink ref="K3728" r:id="rId3726" xr:uid="{00000000-0004-0000-0D00-00008D0E0000}"/>
    <hyperlink ref="K3729" r:id="rId3727" xr:uid="{00000000-0004-0000-0D00-00008E0E0000}"/>
    <hyperlink ref="K3730" r:id="rId3728" xr:uid="{00000000-0004-0000-0D00-00008F0E0000}"/>
    <hyperlink ref="K3731" r:id="rId3729" xr:uid="{00000000-0004-0000-0D00-0000900E0000}"/>
    <hyperlink ref="K3732" r:id="rId3730" xr:uid="{00000000-0004-0000-0D00-0000910E0000}"/>
    <hyperlink ref="K3733" r:id="rId3731" xr:uid="{00000000-0004-0000-0D00-0000920E0000}"/>
    <hyperlink ref="K3734" r:id="rId3732" xr:uid="{00000000-0004-0000-0D00-0000930E0000}"/>
    <hyperlink ref="K3735" r:id="rId3733" xr:uid="{00000000-0004-0000-0D00-0000940E0000}"/>
    <hyperlink ref="K3736" r:id="rId3734" xr:uid="{00000000-0004-0000-0D00-0000950E0000}"/>
    <hyperlink ref="K3737" r:id="rId3735" xr:uid="{00000000-0004-0000-0D00-0000960E0000}"/>
    <hyperlink ref="K3738" r:id="rId3736" xr:uid="{00000000-0004-0000-0D00-0000970E0000}"/>
    <hyperlink ref="K3739" r:id="rId3737" xr:uid="{00000000-0004-0000-0D00-0000980E0000}"/>
    <hyperlink ref="K3740" r:id="rId3738" xr:uid="{00000000-0004-0000-0D00-0000990E0000}"/>
    <hyperlink ref="K3741" r:id="rId3739" xr:uid="{00000000-0004-0000-0D00-00009A0E0000}"/>
    <hyperlink ref="K3742" r:id="rId3740" xr:uid="{00000000-0004-0000-0D00-00009B0E0000}"/>
    <hyperlink ref="K3743" r:id="rId3741" xr:uid="{00000000-0004-0000-0D00-00009C0E0000}"/>
    <hyperlink ref="K3744" r:id="rId3742" xr:uid="{00000000-0004-0000-0D00-00009D0E0000}"/>
    <hyperlink ref="K3745" r:id="rId3743" xr:uid="{00000000-0004-0000-0D00-00009E0E0000}"/>
    <hyperlink ref="K3746" r:id="rId3744" xr:uid="{00000000-0004-0000-0D00-00009F0E0000}"/>
    <hyperlink ref="K3747" r:id="rId3745" xr:uid="{00000000-0004-0000-0D00-0000A00E0000}"/>
    <hyperlink ref="K3748" r:id="rId3746" xr:uid="{00000000-0004-0000-0D00-0000A10E0000}"/>
    <hyperlink ref="K3749" r:id="rId3747" xr:uid="{00000000-0004-0000-0D00-0000A20E0000}"/>
    <hyperlink ref="K3750" r:id="rId3748" xr:uid="{00000000-0004-0000-0D00-0000A30E0000}"/>
    <hyperlink ref="K3751" r:id="rId3749" xr:uid="{00000000-0004-0000-0D00-0000A40E0000}"/>
    <hyperlink ref="K3752" r:id="rId3750" xr:uid="{00000000-0004-0000-0D00-0000A50E0000}"/>
    <hyperlink ref="K3753" r:id="rId3751" xr:uid="{00000000-0004-0000-0D00-0000A60E0000}"/>
    <hyperlink ref="K3754" r:id="rId3752" xr:uid="{00000000-0004-0000-0D00-0000A70E0000}"/>
    <hyperlink ref="K3755" r:id="rId3753" xr:uid="{00000000-0004-0000-0D00-0000A80E0000}"/>
    <hyperlink ref="K3756" r:id="rId3754" xr:uid="{00000000-0004-0000-0D00-0000A90E0000}"/>
    <hyperlink ref="K3757" r:id="rId3755" xr:uid="{00000000-0004-0000-0D00-0000AA0E0000}"/>
    <hyperlink ref="K3758" r:id="rId3756" xr:uid="{00000000-0004-0000-0D00-0000AB0E0000}"/>
    <hyperlink ref="K3759" r:id="rId3757" xr:uid="{00000000-0004-0000-0D00-0000AC0E0000}"/>
    <hyperlink ref="K3760" r:id="rId3758" xr:uid="{00000000-0004-0000-0D00-0000AD0E0000}"/>
    <hyperlink ref="K3761" r:id="rId3759" xr:uid="{00000000-0004-0000-0D00-0000AE0E0000}"/>
    <hyperlink ref="K3762" r:id="rId3760" xr:uid="{00000000-0004-0000-0D00-0000AF0E0000}"/>
    <hyperlink ref="K3763" r:id="rId3761" xr:uid="{00000000-0004-0000-0D00-0000B00E0000}"/>
    <hyperlink ref="K3764" r:id="rId3762" xr:uid="{00000000-0004-0000-0D00-0000B10E0000}"/>
    <hyperlink ref="K3765" r:id="rId3763" xr:uid="{00000000-0004-0000-0D00-0000B20E0000}"/>
    <hyperlink ref="K3766" r:id="rId3764" xr:uid="{00000000-0004-0000-0D00-0000B30E0000}"/>
    <hyperlink ref="K3767" r:id="rId3765" xr:uid="{00000000-0004-0000-0D00-0000B40E0000}"/>
    <hyperlink ref="K3768" r:id="rId3766" xr:uid="{00000000-0004-0000-0D00-0000B50E0000}"/>
    <hyperlink ref="K3769" r:id="rId3767" xr:uid="{00000000-0004-0000-0D00-0000B60E0000}"/>
    <hyperlink ref="K3770" r:id="rId3768" xr:uid="{00000000-0004-0000-0D00-0000B70E0000}"/>
    <hyperlink ref="K3771" r:id="rId3769" xr:uid="{00000000-0004-0000-0D00-0000B80E0000}"/>
    <hyperlink ref="K3772" r:id="rId3770" xr:uid="{00000000-0004-0000-0D00-0000B90E0000}"/>
    <hyperlink ref="K3773" r:id="rId3771" xr:uid="{00000000-0004-0000-0D00-0000BA0E0000}"/>
    <hyperlink ref="K3774" r:id="rId3772" xr:uid="{00000000-0004-0000-0D00-0000BB0E0000}"/>
    <hyperlink ref="K3775" r:id="rId3773" xr:uid="{00000000-0004-0000-0D00-0000BC0E0000}"/>
    <hyperlink ref="K3776" r:id="rId3774" xr:uid="{00000000-0004-0000-0D00-0000BD0E0000}"/>
    <hyperlink ref="K3777" r:id="rId3775" xr:uid="{00000000-0004-0000-0D00-0000BE0E0000}"/>
    <hyperlink ref="K3778" r:id="rId3776" xr:uid="{00000000-0004-0000-0D00-0000BF0E0000}"/>
    <hyperlink ref="K3779" r:id="rId3777" xr:uid="{00000000-0004-0000-0D00-0000C00E0000}"/>
    <hyperlink ref="K3780" r:id="rId3778" xr:uid="{00000000-0004-0000-0D00-0000C10E0000}"/>
    <hyperlink ref="K3781" r:id="rId3779" xr:uid="{00000000-0004-0000-0D00-0000C20E0000}"/>
    <hyperlink ref="K3782" r:id="rId3780" xr:uid="{00000000-0004-0000-0D00-0000C30E0000}"/>
    <hyperlink ref="K3783" r:id="rId3781" xr:uid="{00000000-0004-0000-0D00-0000C40E0000}"/>
    <hyperlink ref="K3784" r:id="rId3782" xr:uid="{00000000-0004-0000-0D00-0000C50E0000}"/>
    <hyperlink ref="K3785" r:id="rId3783" xr:uid="{00000000-0004-0000-0D00-0000C60E0000}"/>
    <hyperlink ref="K3786" r:id="rId3784" xr:uid="{00000000-0004-0000-0D00-0000C70E0000}"/>
    <hyperlink ref="K3787" r:id="rId3785" xr:uid="{00000000-0004-0000-0D00-0000C80E0000}"/>
    <hyperlink ref="K3788" r:id="rId3786" xr:uid="{00000000-0004-0000-0D00-0000C90E0000}"/>
    <hyperlink ref="K3789" r:id="rId3787" xr:uid="{00000000-0004-0000-0D00-0000CA0E0000}"/>
    <hyperlink ref="K3790" r:id="rId3788" xr:uid="{00000000-0004-0000-0D00-0000CB0E0000}"/>
    <hyperlink ref="K3791" r:id="rId3789" xr:uid="{00000000-0004-0000-0D00-0000CC0E0000}"/>
    <hyperlink ref="K3792" r:id="rId3790" xr:uid="{00000000-0004-0000-0D00-0000CD0E0000}"/>
    <hyperlink ref="K3793" r:id="rId3791" xr:uid="{00000000-0004-0000-0D00-0000CE0E0000}"/>
    <hyperlink ref="K3794" r:id="rId3792" xr:uid="{00000000-0004-0000-0D00-0000CF0E0000}"/>
    <hyperlink ref="K3795" r:id="rId3793" xr:uid="{00000000-0004-0000-0D00-0000D00E0000}"/>
    <hyperlink ref="K3796" r:id="rId3794" xr:uid="{00000000-0004-0000-0D00-0000D10E0000}"/>
    <hyperlink ref="K3797" r:id="rId3795" xr:uid="{00000000-0004-0000-0D00-0000D20E0000}"/>
    <hyperlink ref="K3798" r:id="rId3796" xr:uid="{00000000-0004-0000-0D00-0000D30E0000}"/>
    <hyperlink ref="K3799" r:id="rId3797" xr:uid="{00000000-0004-0000-0D00-0000D40E0000}"/>
    <hyperlink ref="K3800" r:id="rId3798" xr:uid="{00000000-0004-0000-0D00-0000D50E0000}"/>
    <hyperlink ref="K3801" r:id="rId3799" xr:uid="{00000000-0004-0000-0D00-0000D60E0000}"/>
    <hyperlink ref="K3802" r:id="rId3800" xr:uid="{00000000-0004-0000-0D00-0000D70E0000}"/>
    <hyperlink ref="K3803" r:id="rId3801" xr:uid="{00000000-0004-0000-0D00-0000D80E0000}"/>
    <hyperlink ref="K3804" r:id="rId3802" xr:uid="{00000000-0004-0000-0D00-0000D90E0000}"/>
    <hyperlink ref="K3805" r:id="rId3803" xr:uid="{00000000-0004-0000-0D00-0000DA0E0000}"/>
    <hyperlink ref="K3806" r:id="rId3804" xr:uid="{00000000-0004-0000-0D00-0000DB0E0000}"/>
    <hyperlink ref="K3807" r:id="rId3805" xr:uid="{00000000-0004-0000-0D00-0000DC0E0000}"/>
    <hyperlink ref="K3808" r:id="rId3806" xr:uid="{00000000-0004-0000-0D00-0000DD0E0000}"/>
    <hyperlink ref="K3809" r:id="rId3807" xr:uid="{00000000-0004-0000-0D00-0000DE0E0000}"/>
    <hyperlink ref="K3810" r:id="rId3808" xr:uid="{00000000-0004-0000-0D00-0000DF0E0000}"/>
    <hyperlink ref="K3811" r:id="rId3809" xr:uid="{00000000-0004-0000-0D00-0000E00E0000}"/>
    <hyperlink ref="K3812" r:id="rId3810" xr:uid="{00000000-0004-0000-0D00-0000E10E0000}"/>
    <hyperlink ref="K3813" r:id="rId3811" xr:uid="{00000000-0004-0000-0D00-0000E20E0000}"/>
    <hyperlink ref="K3814" r:id="rId3812" xr:uid="{00000000-0004-0000-0D00-0000E30E0000}"/>
    <hyperlink ref="K3815" r:id="rId3813" xr:uid="{00000000-0004-0000-0D00-0000E40E0000}"/>
    <hyperlink ref="K3816" r:id="rId3814" xr:uid="{00000000-0004-0000-0D00-0000E50E0000}"/>
    <hyperlink ref="K3817" r:id="rId3815" xr:uid="{00000000-0004-0000-0D00-0000E60E0000}"/>
    <hyperlink ref="K3818" r:id="rId3816" xr:uid="{00000000-0004-0000-0D00-0000E70E0000}"/>
    <hyperlink ref="K3819" r:id="rId3817" xr:uid="{00000000-0004-0000-0D00-0000E80E0000}"/>
    <hyperlink ref="K3820" r:id="rId3818" xr:uid="{00000000-0004-0000-0D00-0000E90E0000}"/>
    <hyperlink ref="K3821" r:id="rId3819" xr:uid="{00000000-0004-0000-0D00-0000EA0E0000}"/>
    <hyperlink ref="K3822" r:id="rId3820" xr:uid="{00000000-0004-0000-0D00-0000EB0E0000}"/>
    <hyperlink ref="K3823" r:id="rId3821" xr:uid="{00000000-0004-0000-0D00-0000EC0E0000}"/>
    <hyperlink ref="K3824" r:id="rId3822" xr:uid="{00000000-0004-0000-0D00-0000ED0E0000}"/>
    <hyperlink ref="K3825" r:id="rId3823" xr:uid="{00000000-0004-0000-0D00-0000EE0E0000}"/>
    <hyperlink ref="K3826" r:id="rId3824" xr:uid="{00000000-0004-0000-0D00-0000EF0E0000}"/>
    <hyperlink ref="K3827" r:id="rId3825" xr:uid="{00000000-0004-0000-0D00-0000F00E0000}"/>
    <hyperlink ref="K3828" r:id="rId3826" xr:uid="{00000000-0004-0000-0D00-0000F10E0000}"/>
    <hyperlink ref="K3829" r:id="rId3827" xr:uid="{00000000-0004-0000-0D00-0000F20E0000}"/>
    <hyperlink ref="K3830" r:id="rId3828" xr:uid="{00000000-0004-0000-0D00-0000F30E0000}"/>
    <hyperlink ref="K3831" r:id="rId3829" xr:uid="{00000000-0004-0000-0D00-0000F40E0000}"/>
    <hyperlink ref="K3832" r:id="rId3830" xr:uid="{00000000-0004-0000-0D00-0000F50E0000}"/>
    <hyperlink ref="K3833" r:id="rId3831" xr:uid="{00000000-0004-0000-0D00-0000F60E0000}"/>
    <hyperlink ref="K3834" r:id="rId3832" xr:uid="{00000000-0004-0000-0D00-0000F70E0000}"/>
    <hyperlink ref="K3835" r:id="rId3833" xr:uid="{00000000-0004-0000-0D00-0000F80E0000}"/>
    <hyperlink ref="K3836" r:id="rId3834" xr:uid="{00000000-0004-0000-0D00-0000F90E0000}"/>
    <hyperlink ref="K3837" r:id="rId3835" xr:uid="{00000000-0004-0000-0D00-0000FA0E0000}"/>
    <hyperlink ref="K3838" r:id="rId3836" xr:uid="{00000000-0004-0000-0D00-0000FB0E0000}"/>
    <hyperlink ref="K3839" r:id="rId3837" xr:uid="{00000000-0004-0000-0D00-0000FC0E0000}"/>
    <hyperlink ref="K3840" r:id="rId3838" xr:uid="{00000000-0004-0000-0D00-0000FD0E0000}"/>
    <hyperlink ref="K3841" r:id="rId3839" xr:uid="{00000000-0004-0000-0D00-0000FE0E0000}"/>
    <hyperlink ref="K3842" r:id="rId3840" xr:uid="{00000000-0004-0000-0D00-0000FF0E0000}"/>
    <hyperlink ref="K3843" r:id="rId3841" xr:uid="{00000000-0004-0000-0D00-0000000F0000}"/>
    <hyperlink ref="K3844" r:id="rId3842" xr:uid="{00000000-0004-0000-0D00-0000010F0000}"/>
    <hyperlink ref="K3845" r:id="rId3843" xr:uid="{00000000-0004-0000-0D00-0000020F0000}"/>
    <hyperlink ref="K3846" r:id="rId3844" xr:uid="{00000000-0004-0000-0D00-0000030F0000}"/>
    <hyperlink ref="K3847" r:id="rId3845" xr:uid="{00000000-0004-0000-0D00-0000040F0000}"/>
    <hyperlink ref="K3848" r:id="rId3846" xr:uid="{00000000-0004-0000-0D00-0000050F0000}"/>
    <hyperlink ref="K3849" r:id="rId3847" xr:uid="{00000000-0004-0000-0D00-0000060F0000}"/>
    <hyperlink ref="K3850" r:id="rId3848" xr:uid="{00000000-0004-0000-0D00-0000070F0000}"/>
    <hyperlink ref="K3851" r:id="rId3849" xr:uid="{00000000-0004-0000-0D00-0000080F0000}"/>
    <hyperlink ref="K3852" r:id="rId3850" xr:uid="{00000000-0004-0000-0D00-0000090F0000}"/>
    <hyperlink ref="K3853" r:id="rId3851" xr:uid="{00000000-0004-0000-0D00-00000A0F0000}"/>
    <hyperlink ref="K3854" r:id="rId3852" xr:uid="{00000000-0004-0000-0D00-00000B0F0000}"/>
    <hyperlink ref="K3855" r:id="rId3853" xr:uid="{00000000-0004-0000-0D00-00000C0F0000}"/>
    <hyperlink ref="K3856" r:id="rId3854" xr:uid="{00000000-0004-0000-0D00-00000D0F0000}"/>
    <hyperlink ref="K3857" r:id="rId3855" xr:uid="{00000000-0004-0000-0D00-00000E0F0000}"/>
    <hyperlink ref="K3858" r:id="rId3856" xr:uid="{00000000-0004-0000-0D00-00000F0F0000}"/>
    <hyperlink ref="K3859" r:id="rId3857" xr:uid="{00000000-0004-0000-0D00-0000100F0000}"/>
    <hyperlink ref="K3860" r:id="rId3858" xr:uid="{00000000-0004-0000-0D00-0000110F0000}"/>
    <hyperlink ref="K3861" r:id="rId3859" xr:uid="{00000000-0004-0000-0D00-0000120F0000}"/>
    <hyperlink ref="K3862" r:id="rId3860" xr:uid="{00000000-0004-0000-0D00-0000130F0000}"/>
    <hyperlink ref="K3863" r:id="rId3861" xr:uid="{00000000-0004-0000-0D00-0000140F0000}"/>
    <hyperlink ref="K3864" r:id="rId3862" xr:uid="{00000000-0004-0000-0D00-0000150F0000}"/>
    <hyperlink ref="K3865" r:id="rId3863" xr:uid="{00000000-0004-0000-0D00-0000160F0000}"/>
    <hyperlink ref="K3866" r:id="rId3864" xr:uid="{00000000-0004-0000-0D00-0000170F0000}"/>
    <hyperlink ref="K3867" r:id="rId3865" xr:uid="{00000000-0004-0000-0D00-0000180F0000}"/>
    <hyperlink ref="K3868" r:id="rId3866" xr:uid="{00000000-0004-0000-0D00-0000190F0000}"/>
    <hyperlink ref="K3869" r:id="rId3867" xr:uid="{00000000-0004-0000-0D00-00001A0F0000}"/>
    <hyperlink ref="K3870" r:id="rId3868" xr:uid="{00000000-0004-0000-0D00-00001B0F0000}"/>
    <hyperlink ref="K3871" r:id="rId3869" xr:uid="{00000000-0004-0000-0D00-00001C0F0000}"/>
    <hyperlink ref="K3872" r:id="rId3870" xr:uid="{00000000-0004-0000-0D00-00001D0F0000}"/>
    <hyperlink ref="K3873" r:id="rId3871" xr:uid="{00000000-0004-0000-0D00-00001E0F0000}"/>
    <hyperlink ref="K3874" r:id="rId3872" xr:uid="{00000000-0004-0000-0D00-00001F0F0000}"/>
    <hyperlink ref="K3875" r:id="rId3873" xr:uid="{00000000-0004-0000-0D00-0000200F0000}"/>
    <hyperlink ref="K3876" r:id="rId3874" xr:uid="{00000000-0004-0000-0D00-0000210F0000}"/>
    <hyperlink ref="K3877" r:id="rId3875" xr:uid="{00000000-0004-0000-0D00-0000220F0000}"/>
    <hyperlink ref="K3878" r:id="rId3876" xr:uid="{00000000-0004-0000-0D00-0000230F0000}"/>
    <hyperlink ref="K3879" r:id="rId3877" xr:uid="{00000000-0004-0000-0D00-0000240F0000}"/>
    <hyperlink ref="K3880" r:id="rId3878" xr:uid="{00000000-0004-0000-0D00-0000250F0000}"/>
    <hyperlink ref="K3881" r:id="rId3879" xr:uid="{00000000-0004-0000-0D00-0000260F0000}"/>
    <hyperlink ref="K3882" r:id="rId3880" xr:uid="{00000000-0004-0000-0D00-0000270F0000}"/>
    <hyperlink ref="K3883" r:id="rId3881" xr:uid="{00000000-0004-0000-0D00-0000280F0000}"/>
    <hyperlink ref="K3884" r:id="rId3882" xr:uid="{00000000-0004-0000-0D00-0000290F0000}"/>
    <hyperlink ref="K3885" r:id="rId3883" xr:uid="{00000000-0004-0000-0D00-00002A0F0000}"/>
    <hyperlink ref="K3886" r:id="rId3884" xr:uid="{00000000-0004-0000-0D00-00002B0F0000}"/>
    <hyperlink ref="K3887" r:id="rId3885" xr:uid="{00000000-0004-0000-0D00-00002C0F0000}"/>
    <hyperlink ref="K3888" r:id="rId3886" xr:uid="{00000000-0004-0000-0D00-00002D0F0000}"/>
    <hyperlink ref="K3889" r:id="rId3887" xr:uid="{00000000-0004-0000-0D00-00002E0F0000}"/>
    <hyperlink ref="K3890" r:id="rId3888" xr:uid="{00000000-0004-0000-0D00-00002F0F0000}"/>
    <hyperlink ref="K3891" r:id="rId3889" xr:uid="{00000000-0004-0000-0D00-0000300F0000}"/>
    <hyperlink ref="K3892" r:id="rId3890" xr:uid="{00000000-0004-0000-0D00-0000310F0000}"/>
    <hyperlink ref="K3893" r:id="rId3891" xr:uid="{00000000-0004-0000-0D00-0000320F0000}"/>
    <hyperlink ref="K3894" r:id="rId3892" xr:uid="{00000000-0004-0000-0D00-0000330F0000}"/>
    <hyperlink ref="K3895" r:id="rId3893" xr:uid="{00000000-0004-0000-0D00-0000340F0000}"/>
    <hyperlink ref="K3896" r:id="rId3894" xr:uid="{00000000-0004-0000-0D00-0000350F0000}"/>
    <hyperlink ref="K3897" r:id="rId3895" xr:uid="{00000000-0004-0000-0D00-0000360F0000}"/>
    <hyperlink ref="K3898" r:id="rId3896" xr:uid="{00000000-0004-0000-0D00-0000370F0000}"/>
    <hyperlink ref="K3899" r:id="rId3897" xr:uid="{00000000-0004-0000-0D00-0000380F0000}"/>
    <hyperlink ref="K3900" r:id="rId3898" xr:uid="{00000000-0004-0000-0D00-0000390F0000}"/>
    <hyperlink ref="K3901" r:id="rId3899" xr:uid="{00000000-0004-0000-0D00-00003A0F0000}"/>
    <hyperlink ref="K3902" r:id="rId3900" xr:uid="{00000000-0004-0000-0D00-00003B0F0000}"/>
    <hyperlink ref="K3903" r:id="rId3901" xr:uid="{00000000-0004-0000-0D00-00003C0F0000}"/>
    <hyperlink ref="K3904" r:id="rId3902" xr:uid="{00000000-0004-0000-0D00-00003D0F0000}"/>
    <hyperlink ref="K3905" r:id="rId3903" xr:uid="{00000000-0004-0000-0D00-00003E0F0000}"/>
    <hyperlink ref="K3906" r:id="rId3904" xr:uid="{00000000-0004-0000-0D00-00003F0F0000}"/>
    <hyperlink ref="K3907" r:id="rId3905" xr:uid="{00000000-0004-0000-0D00-0000400F0000}"/>
    <hyperlink ref="K3908" r:id="rId3906" xr:uid="{00000000-0004-0000-0D00-0000410F0000}"/>
    <hyperlink ref="K3909" r:id="rId3907" xr:uid="{00000000-0004-0000-0D00-0000420F0000}"/>
    <hyperlink ref="K3910" r:id="rId3908" xr:uid="{00000000-0004-0000-0D00-0000430F0000}"/>
    <hyperlink ref="K3911" r:id="rId3909" xr:uid="{00000000-0004-0000-0D00-0000440F0000}"/>
    <hyperlink ref="K3912" r:id="rId3910" xr:uid="{00000000-0004-0000-0D00-0000450F0000}"/>
    <hyperlink ref="K3913" r:id="rId3911" xr:uid="{00000000-0004-0000-0D00-0000460F0000}"/>
    <hyperlink ref="K3914" r:id="rId3912" xr:uid="{00000000-0004-0000-0D00-0000470F0000}"/>
    <hyperlink ref="K3915" r:id="rId3913" xr:uid="{00000000-0004-0000-0D00-0000480F0000}"/>
    <hyperlink ref="K3916" r:id="rId3914" xr:uid="{00000000-0004-0000-0D00-0000490F0000}"/>
    <hyperlink ref="K3917" r:id="rId3915" xr:uid="{00000000-0004-0000-0D00-00004A0F0000}"/>
    <hyperlink ref="K3918" r:id="rId3916" xr:uid="{00000000-0004-0000-0D00-00004B0F0000}"/>
    <hyperlink ref="K3919" r:id="rId3917" xr:uid="{00000000-0004-0000-0D00-00004C0F0000}"/>
    <hyperlink ref="K3920" r:id="rId3918" xr:uid="{00000000-0004-0000-0D00-00004D0F0000}"/>
    <hyperlink ref="K3921" r:id="rId3919" xr:uid="{00000000-0004-0000-0D00-00004E0F0000}"/>
    <hyperlink ref="K3922" r:id="rId3920" xr:uid="{00000000-0004-0000-0D00-00004F0F0000}"/>
    <hyperlink ref="K3923" r:id="rId3921" xr:uid="{00000000-0004-0000-0D00-0000500F0000}"/>
    <hyperlink ref="K3924" r:id="rId3922" xr:uid="{00000000-0004-0000-0D00-0000510F0000}"/>
    <hyperlink ref="K3925" r:id="rId3923" xr:uid="{00000000-0004-0000-0D00-0000520F0000}"/>
    <hyperlink ref="K3926" r:id="rId3924" xr:uid="{00000000-0004-0000-0D00-0000530F0000}"/>
    <hyperlink ref="K3927" r:id="rId3925" xr:uid="{00000000-0004-0000-0D00-0000540F0000}"/>
    <hyperlink ref="K3928" r:id="rId3926" xr:uid="{00000000-0004-0000-0D00-0000550F0000}"/>
    <hyperlink ref="K3929" r:id="rId3927" xr:uid="{00000000-0004-0000-0D00-0000560F0000}"/>
    <hyperlink ref="K3930" r:id="rId3928" xr:uid="{00000000-0004-0000-0D00-0000570F0000}"/>
    <hyperlink ref="K3931" r:id="rId3929" xr:uid="{00000000-0004-0000-0D00-0000580F0000}"/>
    <hyperlink ref="K3932" r:id="rId3930" xr:uid="{00000000-0004-0000-0D00-0000590F0000}"/>
    <hyperlink ref="K3933" r:id="rId3931" xr:uid="{00000000-0004-0000-0D00-00005A0F0000}"/>
    <hyperlink ref="K3934" r:id="rId3932" xr:uid="{00000000-0004-0000-0D00-00005B0F0000}"/>
    <hyperlink ref="K3935" r:id="rId3933" xr:uid="{00000000-0004-0000-0D00-00005C0F0000}"/>
    <hyperlink ref="K3936" r:id="rId3934" xr:uid="{00000000-0004-0000-0D00-00005D0F0000}"/>
    <hyperlink ref="K3937" r:id="rId3935" xr:uid="{00000000-0004-0000-0D00-00005E0F0000}"/>
    <hyperlink ref="K3938" r:id="rId3936" xr:uid="{00000000-0004-0000-0D00-00005F0F0000}"/>
    <hyperlink ref="K3939" r:id="rId3937" xr:uid="{00000000-0004-0000-0D00-0000600F0000}"/>
    <hyperlink ref="K3940" r:id="rId3938" xr:uid="{00000000-0004-0000-0D00-0000610F0000}"/>
    <hyperlink ref="K3941" r:id="rId3939" xr:uid="{00000000-0004-0000-0D00-0000620F0000}"/>
    <hyperlink ref="K3942" r:id="rId3940" xr:uid="{00000000-0004-0000-0D00-0000630F0000}"/>
    <hyperlink ref="K3943" r:id="rId3941" xr:uid="{00000000-0004-0000-0D00-0000640F0000}"/>
    <hyperlink ref="K3944" r:id="rId3942" xr:uid="{00000000-0004-0000-0D00-0000650F0000}"/>
    <hyperlink ref="K3945" r:id="rId3943" xr:uid="{00000000-0004-0000-0D00-0000660F0000}"/>
    <hyperlink ref="K3946" r:id="rId3944" xr:uid="{00000000-0004-0000-0D00-0000670F0000}"/>
    <hyperlink ref="K3947" r:id="rId3945" xr:uid="{00000000-0004-0000-0D00-0000680F0000}"/>
    <hyperlink ref="K3948" r:id="rId3946" xr:uid="{00000000-0004-0000-0D00-0000690F0000}"/>
    <hyperlink ref="K3949" r:id="rId3947" xr:uid="{00000000-0004-0000-0D00-00006A0F0000}"/>
    <hyperlink ref="K3950" r:id="rId3948" xr:uid="{00000000-0004-0000-0D00-00006B0F0000}"/>
    <hyperlink ref="K3951" r:id="rId3949" xr:uid="{00000000-0004-0000-0D00-00006C0F0000}"/>
    <hyperlink ref="K3952" r:id="rId3950" xr:uid="{00000000-0004-0000-0D00-00006D0F0000}"/>
    <hyperlink ref="K3953" r:id="rId3951" xr:uid="{00000000-0004-0000-0D00-00006E0F0000}"/>
    <hyperlink ref="K3954" r:id="rId3952" xr:uid="{00000000-0004-0000-0D00-00006F0F0000}"/>
    <hyperlink ref="K3955" r:id="rId3953" xr:uid="{00000000-0004-0000-0D00-0000700F0000}"/>
    <hyperlink ref="K3956" r:id="rId3954" xr:uid="{00000000-0004-0000-0D00-0000710F0000}"/>
    <hyperlink ref="K3957" r:id="rId3955" xr:uid="{00000000-0004-0000-0D00-0000720F0000}"/>
    <hyperlink ref="K3958" r:id="rId3956" xr:uid="{00000000-0004-0000-0D00-0000730F0000}"/>
    <hyperlink ref="K3959" r:id="rId3957" xr:uid="{00000000-0004-0000-0D00-0000740F0000}"/>
    <hyperlink ref="K3960" r:id="rId3958" xr:uid="{00000000-0004-0000-0D00-0000750F0000}"/>
    <hyperlink ref="K3961" r:id="rId3959" xr:uid="{00000000-0004-0000-0D00-0000760F0000}"/>
    <hyperlink ref="K3962" r:id="rId3960" xr:uid="{00000000-0004-0000-0D00-0000770F0000}"/>
    <hyperlink ref="K3963" r:id="rId3961" xr:uid="{00000000-0004-0000-0D00-0000780F0000}"/>
    <hyperlink ref="K3964" r:id="rId3962" xr:uid="{00000000-0004-0000-0D00-0000790F0000}"/>
    <hyperlink ref="K3965" r:id="rId3963" xr:uid="{00000000-0004-0000-0D00-00007A0F0000}"/>
    <hyperlink ref="K3966" r:id="rId3964" xr:uid="{00000000-0004-0000-0D00-00007B0F0000}"/>
    <hyperlink ref="K3967" r:id="rId3965" xr:uid="{00000000-0004-0000-0D00-00007C0F0000}"/>
    <hyperlink ref="K3968" r:id="rId3966" xr:uid="{00000000-0004-0000-0D00-00007D0F0000}"/>
    <hyperlink ref="K3969" r:id="rId3967" xr:uid="{00000000-0004-0000-0D00-00007E0F0000}"/>
    <hyperlink ref="K3970" r:id="rId3968" xr:uid="{00000000-0004-0000-0D00-00007F0F0000}"/>
    <hyperlink ref="K3971" r:id="rId3969" xr:uid="{00000000-0004-0000-0D00-0000800F0000}"/>
    <hyperlink ref="K3972" r:id="rId3970" xr:uid="{00000000-0004-0000-0D00-0000810F0000}"/>
    <hyperlink ref="K3973" r:id="rId3971" xr:uid="{00000000-0004-0000-0D00-0000820F0000}"/>
    <hyperlink ref="K3974" r:id="rId3972" xr:uid="{00000000-0004-0000-0D00-0000830F0000}"/>
    <hyperlink ref="K3975" r:id="rId3973" xr:uid="{00000000-0004-0000-0D00-0000840F0000}"/>
    <hyperlink ref="K3976" r:id="rId3974" xr:uid="{00000000-0004-0000-0D00-0000850F0000}"/>
    <hyperlink ref="K3977" r:id="rId3975" xr:uid="{00000000-0004-0000-0D00-0000860F0000}"/>
    <hyperlink ref="K3978" r:id="rId3976" xr:uid="{00000000-0004-0000-0D00-0000870F0000}"/>
    <hyperlink ref="K3979" r:id="rId3977" xr:uid="{00000000-0004-0000-0D00-0000880F0000}"/>
    <hyperlink ref="K3980" r:id="rId3978" xr:uid="{00000000-0004-0000-0D00-0000890F0000}"/>
    <hyperlink ref="K3981" r:id="rId3979" xr:uid="{00000000-0004-0000-0D00-00008A0F0000}"/>
    <hyperlink ref="K3982" r:id="rId3980" xr:uid="{00000000-0004-0000-0D00-00008B0F0000}"/>
    <hyperlink ref="K3983" r:id="rId3981" xr:uid="{00000000-0004-0000-0D00-00008C0F0000}"/>
    <hyperlink ref="K3984" r:id="rId3982" xr:uid="{00000000-0004-0000-0D00-00008D0F0000}"/>
    <hyperlink ref="K3985" r:id="rId3983" xr:uid="{00000000-0004-0000-0D00-00008E0F0000}"/>
    <hyperlink ref="K3986" r:id="rId3984" xr:uid="{00000000-0004-0000-0D00-00008F0F0000}"/>
    <hyperlink ref="K3987" r:id="rId3985" xr:uid="{00000000-0004-0000-0D00-0000900F0000}"/>
    <hyperlink ref="K3988" r:id="rId3986" xr:uid="{00000000-0004-0000-0D00-0000910F0000}"/>
    <hyperlink ref="K3989" r:id="rId3987" xr:uid="{00000000-0004-0000-0D00-0000920F0000}"/>
    <hyperlink ref="K3990" r:id="rId3988" xr:uid="{00000000-0004-0000-0D00-0000930F0000}"/>
    <hyperlink ref="K3991" r:id="rId3989" xr:uid="{00000000-0004-0000-0D00-0000940F0000}"/>
    <hyperlink ref="K3992" r:id="rId3990" xr:uid="{00000000-0004-0000-0D00-0000950F0000}"/>
    <hyperlink ref="K3993" r:id="rId3991" xr:uid="{00000000-0004-0000-0D00-0000960F0000}"/>
    <hyperlink ref="K3994" r:id="rId3992" xr:uid="{00000000-0004-0000-0D00-0000970F0000}"/>
    <hyperlink ref="K3995" r:id="rId3993" xr:uid="{00000000-0004-0000-0D00-0000980F0000}"/>
    <hyperlink ref="K3996" r:id="rId3994" xr:uid="{00000000-0004-0000-0D00-0000990F0000}"/>
    <hyperlink ref="K3997" r:id="rId3995" xr:uid="{00000000-0004-0000-0D00-00009A0F0000}"/>
    <hyperlink ref="K3998" r:id="rId3996" xr:uid="{00000000-0004-0000-0D00-00009B0F0000}"/>
    <hyperlink ref="K3999" r:id="rId3997" xr:uid="{00000000-0004-0000-0D00-00009C0F0000}"/>
    <hyperlink ref="K4000" r:id="rId3998" xr:uid="{00000000-0004-0000-0D00-00009D0F0000}"/>
    <hyperlink ref="K4001" r:id="rId3999" xr:uid="{00000000-0004-0000-0D00-00009E0F0000}"/>
    <hyperlink ref="K4002" r:id="rId4000" xr:uid="{00000000-0004-0000-0D00-00009F0F0000}"/>
    <hyperlink ref="K4003" r:id="rId4001" xr:uid="{00000000-0004-0000-0D00-0000A00F0000}"/>
    <hyperlink ref="K4004" r:id="rId4002" xr:uid="{00000000-0004-0000-0D00-0000A10F0000}"/>
    <hyperlink ref="K4005" r:id="rId4003" xr:uid="{00000000-0004-0000-0D00-0000A20F0000}"/>
    <hyperlink ref="K4006" r:id="rId4004" xr:uid="{00000000-0004-0000-0D00-0000A30F0000}"/>
    <hyperlink ref="K4007" r:id="rId4005" xr:uid="{00000000-0004-0000-0D00-0000A40F0000}"/>
    <hyperlink ref="K4008" r:id="rId4006" xr:uid="{00000000-0004-0000-0D00-0000A50F0000}"/>
    <hyperlink ref="K4009" r:id="rId4007" xr:uid="{00000000-0004-0000-0D00-0000A60F0000}"/>
    <hyperlink ref="K4010" r:id="rId4008" xr:uid="{00000000-0004-0000-0D00-0000A70F0000}"/>
    <hyperlink ref="K4011" r:id="rId4009" xr:uid="{00000000-0004-0000-0D00-0000A80F0000}"/>
    <hyperlink ref="K4012" r:id="rId4010" xr:uid="{00000000-0004-0000-0D00-0000A90F0000}"/>
    <hyperlink ref="K4013" r:id="rId4011" xr:uid="{00000000-0004-0000-0D00-0000AA0F0000}"/>
    <hyperlink ref="K4014" r:id="rId4012" xr:uid="{00000000-0004-0000-0D00-0000AB0F0000}"/>
    <hyperlink ref="K4015" r:id="rId4013" xr:uid="{00000000-0004-0000-0D00-0000AC0F0000}"/>
    <hyperlink ref="K4016" r:id="rId4014" xr:uid="{00000000-0004-0000-0D00-0000AD0F0000}"/>
    <hyperlink ref="K4017" r:id="rId4015" xr:uid="{00000000-0004-0000-0D00-0000AE0F0000}"/>
    <hyperlink ref="K4018" r:id="rId4016" xr:uid="{00000000-0004-0000-0D00-0000AF0F0000}"/>
    <hyperlink ref="K4019" r:id="rId4017" xr:uid="{00000000-0004-0000-0D00-0000B00F0000}"/>
    <hyperlink ref="K4020" r:id="rId4018" xr:uid="{00000000-0004-0000-0D00-0000B10F0000}"/>
    <hyperlink ref="K4021" r:id="rId4019" xr:uid="{00000000-0004-0000-0D00-0000B20F0000}"/>
    <hyperlink ref="K4022" r:id="rId4020" xr:uid="{00000000-0004-0000-0D00-0000B30F0000}"/>
    <hyperlink ref="K4023" r:id="rId4021" xr:uid="{00000000-0004-0000-0D00-0000B40F0000}"/>
    <hyperlink ref="K4024" r:id="rId4022" xr:uid="{00000000-0004-0000-0D00-0000B50F0000}"/>
    <hyperlink ref="K4025" r:id="rId4023" xr:uid="{00000000-0004-0000-0D00-0000B60F0000}"/>
    <hyperlink ref="K4026" r:id="rId4024" xr:uid="{00000000-0004-0000-0D00-0000B70F0000}"/>
    <hyperlink ref="K4027" r:id="rId4025" xr:uid="{00000000-0004-0000-0D00-0000B80F0000}"/>
    <hyperlink ref="K4028" r:id="rId4026" xr:uid="{00000000-0004-0000-0D00-0000B90F0000}"/>
    <hyperlink ref="K4029" r:id="rId4027" xr:uid="{00000000-0004-0000-0D00-0000BA0F0000}"/>
    <hyperlink ref="K4030" r:id="rId4028" xr:uid="{00000000-0004-0000-0D00-0000BB0F0000}"/>
    <hyperlink ref="K4031" r:id="rId4029" xr:uid="{00000000-0004-0000-0D00-0000BC0F0000}"/>
    <hyperlink ref="K4032" r:id="rId4030" xr:uid="{00000000-0004-0000-0D00-0000BD0F0000}"/>
    <hyperlink ref="K4033" r:id="rId4031" xr:uid="{00000000-0004-0000-0D00-0000BE0F0000}"/>
    <hyperlink ref="K4034" r:id="rId4032" xr:uid="{00000000-0004-0000-0D00-0000BF0F0000}"/>
    <hyperlink ref="K4035" r:id="rId4033" xr:uid="{00000000-0004-0000-0D00-0000C00F0000}"/>
    <hyperlink ref="K4036" r:id="rId4034" xr:uid="{00000000-0004-0000-0D00-0000C10F0000}"/>
    <hyperlink ref="K4037" r:id="rId4035" xr:uid="{00000000-0004-0000-0D00-0000C20F0000}"/>
    <hyperlink ref="K4038" r:id="rId4036" xr:uid="{00000000-0004-0000-0D00-0000C30F0000}"/>
    <hyperlink ref="K4039" r:id="rId4037" xr:uid="{00000000-0004-0000-0D00-0000C40F0000}"/>
    <hyperlink ref="K4040" r:id="rId4038" xr:uid="{00000000-0004-0000-0D00-0000C50F0000}"/>
    <hyperlink ref="K4041" r:id="rId4039" xr:uid="{00000000-0004-0000-0D00-0000C60F0000}"/>
    <hyperlink ref="K4042" r:id="rId4040" xr:uid="{00000000-0004-0000-0D00-0000C70F0000}"/>
    <hyperlink ref="K4043" r:id="rId4041" xr:uid="{00000000-0004-0000-0D00-0000C80F0000}"/>
    <hyperlink ref="K4044" r:id="rId4042" xr:uid="{00000000-0004-0000-0D00-0000C90F0000}"/>
    <hyperlink ref="K4045" r:id="rId4043" xr:uid="{00000000-0004-0000-0D00-0000CA0F0000}"/>
    <hyperlink ref="K4046" r:id="rId4044" xr:uid="{00000000-0004-0000-0D00-0000CB0F0000}"/>
    <hyperlink ref="K4047" r:id="rId4045" xr:uid="{00000000-0004-0000-0D00-0000CC0F0000}"/>
    <hyperlink ref="K4048" r:id="rId4046" xr:uid="{00000000-0004-0000-0D00-0000CD0F0000}"/>
    <hyperlink ref="K4049" r:id="rId4047" xr:uid="{00000000-0004-0000-0D00-0000CE0F0000}"/>
    <hyperlink ref="K4050" r:id="rId4048" xr:uid="{00000000-0004-0000-0D00-0000CF0F0000}"/>
    <hyperlink ref="K4051" r:id="rId4049" xr:uid="{00000000-0004-0000-0D00-0000D00F0000}"/>
    <hyperlink ref="K4052" r:id="rId4050" xr:uid="{00000000-0004-0000-0D00-0000D10F0000}"/>
    <hyperlink ref="K4053" r:id="rId4051" xr:uid="{00000000-0004-0000-0D00-0000D20F0000}"/>
    <hyperlink ref="K4054" r:id="rId4052" xr:uid="{00000000-0004-0000-0D00-0000D30F0000}"/>
    <hyperlink ref="K4055" r:id="rId4053" xr:uid="{00000000-0004-0000-0D00-0000D40F0000}"/>
    <hyperlink ref="K4056" r:id="rId4054" xr:uid="{00000000-0004-0000-0D00-0000D50F0000}"/>
    <hyperlink ref="K4057" r:id="rId4055" xr:uid="{00000000-0004-0000-0D00-0000D60F0000}"/>
    <hyperlink ref="K4058" r:id="rId4056" xr:uid="{00000000-0004-0000-0D00-0000D70F0000}"/>
    <hyperlink ref="K4059" r:id="rId4057" xr:uid="{00000000-0004-0000-0D00-0000D80F0000}"/>
    <hyperlink ref="K4060" r:id="rId4058" xr:uid="{00000000-0004-0000-0D00-0000D90F0000}"/>
    <hyperlink ref="K4061" r:id="rId4059" xr:uid="{00000000-0004-0000-0D00-0000DA0F0000}"/>
    <hyperlink ref="K4062" r:id="rId4060" xr:uid="{00000000-0004-0000-0D00-0000DB0F0000}"/>
    <hyperlink ref="K4063" r:id="rId4061" xr:uid="{00000000-0004-0000-0D00-0000DC0F0000}"/>
    <hyperlink ref="K4064" r:id="rId4062" xr:uid="{00000000-0004-0000-0D00-0000DD0F0000}"/>
    <hyperlink ref="K4065" r:id="rId4063" xr:uid="{00000000-0004-0000-0D00-0000DE0F0000}"/>
    <hyperlink ref="K4066" r:id="rId4064" xr:uid="{00000000-0004-0000-0D00-0000DF0F0000}"/>
    <hyperlink ref="K4067" r:id="rId4065" xr:uid="{00000000-0004-0000-0D00-0000E00F0000}"/>
    <hyperlink ref="K4068" r:id="rId4066" xr:uid="{00000000-0004-0000-0D00-0000E10F0000}"/>
    <hyperlink ref="K4069" r:id="rId4067" xr:uid="{00000000-0004-0000-0D00-0000E20F0000}"/>
    <hyperlink ref="K4070" r:id="rId4068" xr:uid="{00000000-0004-0000-0D00-0000E30F0000}"/>
    <hyperlink ref="K4071" r:id="rId4069" xr:uid="{00000000-0004-0000-0D00-0000E40F0000}"/>
    <hyperlink ref="K4072" r:id="rId4070" xr:uid="{00000000-0004-0000-0D00-0000E50F0000}"/>
    <hyperlink ref="K4073" r:id="rId4071" xr:uid="{00000000-0004-0000-0D00-0000E60F0000}"/>
    <hyperlink ref="K4074" r:id="rId4072" xr:uid="{00000000-0004-0000-0D00-0000E70F0000}"/>
    <hyperlink ref="K4075" r:id="rId4073" xr:uid="{00000000-0004-0000-0D00-0000E80F0000}"/>
    <hyperlink ref="K4076" r:id="rId4074" xr:uid="{00000000-0004-0000-0D00-0000E90F0000}"/>
    <hyperlink ref="K4077" r:id="rId4075" xr:uid="{00000000-0004-0000-0D00-0000EA0F0000}"/>
    <hyperlink ref="K4078" r:id="rId4076" xr:uid="{00000000-0004-0000-0D00-0000EB0F0000}"/>
    <hyperlink ref="K4079" r:id="rId4077" xr:uid="{00000000-0004-0000-0D00-0000EC0F0000}"/>
    <hyperlink ref="K4080" r:id="rId4078" xr:uid="{00000000-0004-0000-0D00-0000ED0F0000}"/>
    <hyperlink ref="K4081" r:id="rId4079" xr:uid="{00000000-0004-0000-0D00-0000EE0F0000}"/>
    <hyperlink ref="K4082" r:id="rId4080" xr:uid="{00000000-0004-0000-0D00-0000EF0F0000}"/>
    <hyperlink ref="K4083" r:id="rId4081" xr:uid="{00000000-0004-0000-0D00-0000F00F0000}"/>
    <hyperlink ref="K4084" r:id="rId4082" xr:uid="{00000000-0004-0000-0D00-0000F10F0000}"/>
    <hyperlink ref="K4085" r:id="rId4083" xr:uid="{00000000-0004-0000-0D00-0000F20F0000}"/>
    <hyperlink ref="K4086" r:id="rId4084" xr:uid="{00000000-0004-0000-0D00-0000F30F0000}"/>
    <hyperlink ref="K4087" r:id="rId4085" xr:uid="{00000000-0004-0000-0D00-0000F40F0000}"/>
    <hyperlink ref="K4088" r:id="rId4086" xr:uid="{00000000-0004-0000-0D00-0000F50F0000}"/>
    <hyperlink ref="K4089" r:id="rId4087" xr:uid="{00000000-0004-0000-0D00-0000F60F0000}"/>
    <hyperlink ref="K4090" r:id="rId4088" xr:uid="{00000000-0004-0000-0D00-0000F70F0000}"/>
    <hyperlink ref="K4091" r:id="rId4089" xr:uid="{00000000-0004-0000-0D00-0000F80F0000}"/>
    <hyperlink ref="K4092" r:id="rId4090" xr:uid="{00000000-0004-0000-0D00-0000F90F0000}"/>
    <hyperlink ref="K4093" r:id="rId4091" xr:uid="{00000000-0004-0000-0D00-0000FA0F0000}"/>
    <hyperlink ref="K4094" r:id="rId4092" xr:uid="{00000000-0004-0000-0D00-0000FB0F0000}"/>
    <hyperlink ref="K4095" r:id="rId4093" xr:uid="{00000000-0004-0000-0D00-0000FC0F0000}"/>
    <hyperlink ref="K4096" r:id="rId4094" xr:uid="{00000000-0004-0000-0D00-0000FD0F0000}"/>
    <hyperlink ref="K4097" r:id="rId4095" xr:uid="{00000000-0004-0000-0D00-0000FE0F0000}"/>
    <hyperlink ref="K4098" r:id="rId4096" xr:uid="{00000000-0004-0000-0D00-0000FF0F0000}"/>
    <hyperlink ref="K4099" r:id="rId4097" xr:uid="{00000000-0004-0000-0D00-000000100000}"/>
    <hyperlink ref="K4100" r:id="rId4098" xr:uid="{00000000-0004-0000-0D00-000001100000}"/>
    <hyperlink ref="K4101" r:id="rId4099" xr:uid="{00000000-0004-0000-0D00-000002100000}"/>
    <hyperlink ref="K4102" r:id="rId4100" xr:uid="{00000000-0004-0000-0D00-000003100000}"/>
    <hyperlink ref="K4103" r:id="rId4101" xr:uid="{00000000-0004-0000-0D00-000004100000}"/>
    <hyperlink ref="K4104" r:id="rId4102" xr:uid="{00000000-0004-0000-0D00-000005100000}"/>
    <hyperlink ref="K4105" r:id="rId4103" xr:uid="{00000000-0004-0000-0D00-000006100000}"/>
    <hyperlink ref="K4106" r:id="rId4104" xr:uid="{00000000-0004-0000-0D00-000007100000}"/>
    <hyperlink ref="K4107" r:id="rId4105" xr:uid="{00000000-0004-0000-0D00-000008100000}"/>
    <hyperlink ref="K4108" r:id="rId4106" xr:uid="{00000000-0004-0000-0D00-000009100000}"/>
    <hyperlink ref="K4109" r:id="rId4107" xr:uid="{00000000-0004-0000-0D00-00000A100000}"/>
    <hyperlink ref="K4110" r:id="rId4108" xr:uid="{00000000-0004-0000-0D00-00000B100000}"/>
    <hyperlink ref="K4111" r:id="rId4109" xr:uid="{00000000-0004-0000-0D00-00000C100000}"/>
    <hyperlink ref="K4112" r:id="rId4110" xr:uid="{00000000-0004-0000-0D00-00000D100000}"/>
    <hyperlink ref="K4113" r:id="rId4111" xr:uid="{00000000-0004-0000-0D00-00000E100000}"/>
    <hyperlink ref="K4114" r:id="rId4112" xr:uid="{00000000-0004-0000-0D00-00000F100000}"/>
    <hyperlink ref="K4115" r:id="rId4113" xr:uid="{00000000-0004-0000-0D00-000010100000}"/>
    <hyperlink ref="K4116" r:id="rId4114" xr:uid="{00000000-0004-0000-0D00-000011100000}"/>
    <hyperlink ref="K4117" r:id="rId4115" xr:uid="{00000000-0004-0000-0D00-000012100000}"/>
    <hyperlink ref="K4118" r:id="rId4116" xr:uid="{00000000-0004-0000-0D00-000013100000}"/>
    <hyperlink ref="K4119" r:id="rId4117" xr:uid="{00000000-0004-0000-0D00-000014100000}"/>
    <hyperlink ref="K4120" r:id="rId4118" xr:uid="{00000000-0004-0000-0D00-000015100000}"/>
    <hyperlink ref="K4121" r:id="rId4119" xr:uid="{00000000-0004-0000-0D00-000016100000}"/>
    <hyperlink ref="K4122" r:id="rId4120" xr:uid="{00000000-0004-0000-0D00-000017100000}"/>
    <hyperlink ref="K4123" r:id="rId4121" xr:uid="{00000000-0004-0000-0D00-000018100000}"/>
    <hyperlink ref="K4124" r:id="rId4122" xr:uid="{00000000-0004-0000-0D00-000019100000}"/>
    <hyperlink ref="K4125" r:id="rId4123" xr:uid="{00000000-0004-0000-0D00-00001A100000}"/>
    <hyperlink ref="K4126" r:id="rId4124" xr:uid="{00000000-0004-0000-0D00-00001B100000}"/>
    <hyperlink ref="K4127" r:id="rId4125" xr:uid="{00000000-0004-0000-0D00-00001C100000}"/>
    <hyperlink ref="K4128" r:id="rId4126" xr:uid="{00000000-0004-0000-0D00-00001D100000}"/>
    <hyperlink ref="K4129" r:id="rId4127" xr:uid="{00000000-0004-0000-0D00-00001E100000}"/>
    <hyperlink ref="K4130" r:id="rId4128" xr:uid="{00000000-0004-0000-0D00-00001F100000}"/>
    <hyperlink ref="K4131" r:id="rId4129" xr:uid="{00000000-0004-0000-0D00-000020100000}"/>
    <hyperlink ref="K4132" r:id="rId4130" xr:uid="{00000000-0004-0000-0D00-000021100000}"/>
    <hyperlink ref="K4133" r:id="rId4131" xr:uid="{00000000-0004-0000-0D00-000022100000}"/>
    <hyperlink ref="K4134" r:id="rId4132" xr:uid="{00000000-0004-0000-0D00-000023100000}"/>
    <hyperlink ref="K4135" r:id="rId4133" xr:uid="{00000000-0004-0000-0D00-000024100000}"/>
    <hyperlink ref="K4136" r:id="rId4134" xr:uid="{00000000-0004-0000-0D00-000025100000}"/>
    <hyperlink ref="K4137" r:id="rId4135" xr:uid="{00000000-0004-0000-0D00-000026100000}"/>
    <hyperlink ref="K4138" r:id="rId4136" xr:uid="{00000000-0004-0000-0D00-000027100000}"/>
    <hyperlink ref="K4139" r:id="rId4137" xr:uid="{00000000-0004-0000-0D00-000028100000}"/>
    <hyperlink ref="K4140" r:id="rId4138" xr:uid="{00000000-0004-0000-0D00-000029100000}"/>
    <hyperlink ref="K4141" r:id="rId4139" xr:uid="{00000000-0004-0000-0D00-00002A100000}"/>
    <hyperlink ref="K4142" r:id="rId4140" xr:uid="{00000000-0004-0000-0D00-00002B100000}"/>
    <hyperlink ref="K4143" r:id="rId4141" xr:uid="{00000000-0004-0000-0D00-00002C100000}"/>
    <hyperlink ref="K4144" r:id="rId4142" xr:uid="{00000000-0004-0000-0D00-00002D100000}"/>
    <hyperlink ref="K4145" r:id="rId4143" xr:uid="{00000000-0004-0000-0D00-00002E100000}"/>
    <hyperlink ref="K4146" r:id="rId4144" xr:uid="{00000000-0004-0000-0D00-00002F100000}"/>
    <hyperlink ref="K4147" r:id="rId4145" xr:uid="{00000000-0004-0000-0D00-000030100000}"/>
    <hyperlink ref="K4148" r:id="rId4146" xr:uid="{00000000-0004-0000-0D00-000031100000}"/>
    <hyperlink ref="K4149" r:id="rId4147" xr:uid="{00000000-0004-0000-0D00-000032100000}"/>
    <hyperlink ref="K4150" r:id="rId4148" xr:uid="{00000000-0004-0000-0D00-000033100000}"/>
    <hyperlink ref="K4151" r:id="rId4149" xr:uid="{00000000-0004-0000-0D00-000034100000}"/>
    <hyperlink ref="K4152" r:id="rId4150" xr:uid="{00000000-0004-0000-0D00-000035100000}"/>
    <hyperlink ref="K4153" r:id="rId4151" xr:uid="{00000000-0004-0000-0D00-000036100000}"/>
    <hyperlink ref="K4154" r:id="rId4152" xr:uid="{00000000-0004-0000-0D00-000037100000}"/>
    <hyperlink ref="K4155" r:id="rId4153" xr:uid="{00000000-0004-0000-0D00-000038100000}"/>
    <hyperlink ref="K4156" r:id="rId4154" xr:uid="{00000000-0004-0000-0D00-000039100000}"/>
    <hyperlink ref="K4157" r:id="rId4155" xr:uid="{00000000-0004-0000-0D00-00003A100000}"/>
    <hyperlink ref="K4158" r:id="rId4156" xr:uid="{00000000-0004-0000-0D00-00003B100000}"/>
    <hyperlink ref="K4159" r:id="rId4157" xr:uid="{00000000-0004-0000-0D00-00003C100000}"/>
    <hyperlink ref="K4160" r:id="rId4158" xr:uid="{00000000-0004-0000-0D00-00003D100000}"/>
    <hyperlink ref="K4161" r:id="rId4159" xr:uid="{00000000-0004-0000-0D00-00003E100000}"/>
    <hyperlink ref="K4162" r:id="rId4160" xr:uid="{00000000-0004-0000-0D00-00003F100000}"/>
    <hyperlink ref="K4163" r:id="rId4161" xr:uid="{00000000-0004-0000-0D00-000040100000}"/>
    <hyperlink ref="K4164" r:id="rId4162" xr:uid="{00000000-0004-0000-0D00-000041100000}"/>
    <hyperlink ref="K4165" r:id="rId4163" xr:uid="{00000000-0004-0000-0D00-000042100000}"/>
    <hyperlink ref="K4166" r:id="rId4164" xr:uid="{00000000-0004-0000-0D00-000043100000}"/>
    <hyperlink ref="K4167" r:id="rId4165" xr:uid="{00000000-0004-0000-0D00-000044100000}"/>
    <hyperlink ref="K4168" r:id="rId4166" xr:uid="{00000000-0004-0000-0D00-000045100000}"/>
    <hyperlink ref="K4169" r:id="rId4167" xr:uid="{00000000-0004-0000-0D00-000046100000}"/>
    <hyperlink ref="K4170" r:id="rId4168" xr:uid="{00000000-0004-0000-0D00-000047100000}"/>
    <hyperlink ref="K4171" r:id="rId4169" xr:uid="{00000000-0004-0000-0D00-000048100000}"/>
    <hyperlink ref="K4172" r:id="rId4170" xr:uid="{00000000-0004-0000-0D00-000049100000}"/>
    <hyperlink ref="K4173" r:id="rId4171" xr:uid="{00000000-0004-0000-0D00-00004A100000}"/>
    <hyperlink ref="K4174" r:id="rId4172" xr:uid="{00000000-0004-0000-0D00-00004B100000}"/>
    <hyperlink ref="K4175" r:id="rId4173" xr:uid="{00000000-0004-0000-0D00-00004C100000}"/>
    <hyperlink ref="K4176" r:id="rId4174" xr:uid="{00000000-0004-0000-0D00-00004D100000}"/>
    <hyperlink ref="K4177" r:id="rId4175" xr:uid="{00000000-0004-0000-0D00-00004E100000}"/>
    <hyperlink ref="K4178" r:id="rId4176" xr:uid="{00000000-0004-0000-0D00-00004F100000}"/>
    <hyperlink ref="K4179" r:id="rId4177" xr:uid="{00000000-0004-0000-0D00-000050100000}"/>
    <hyperlink ref="K4180" r:id="rId4178" xr:uid="{00000000-0004-0000-0D00-000051100000}"/>
    <hyperlink ref="K4181" r:id="rId4179" xr:uid="{00000000-0004-0000-0D00-000052100000}"/>
    <hyperlink ref="K4182" r:id="rId4180" xr:uid="{00000000-0004-0000-0D00-000053100000}"/>
    <hyperlink ref="K4183" r:id="rId4181" xr:uid="{00000000-0004-0000-0D00-000054100000}"/>
    <hyperlink ref="K4184" r:id="rId4182" xr:uid="{00000000-0004-0000-0D00-000055100000}"/>
    <hyperlink ref="K4185" r:id="rId4183" xr:uid="{00000000-0004-0000-0D00-000056100000}"/>
    <hyperlink ref="K4186" r:id="rId4184" xr:uid="{00000000-0004-0000-0D00-000057100000}"/>
    <hyperlink ref="K4187" r:id="rId4185" xr:uid="{00000000-0004-0000-0D00-000058100000}"/>
    <hyperlink ref="K4188" r:id="rId4186" xr:uid="{00000000-0004-0000-0D00-000059100000}"/>
    <hyperlink ref="K4189" r:id="rId4187" xr:uid="{00000000-0004-0000-0D00-00005A100000}"/>
    <hyperlink ref="K4190" r:id="rId4188" xr:uid="{00000000-0004-0000-0D00-00005B100000}"/>
    <hyperlink ref="K4191" r:id="rId4189" xr:uid="{00000000-0004-0000-0D00-00005C100000}"/>
    <hyperlink ref="K4192" r:id="rId4190" xr:uid="{00000000-0004-0000-0D00-00005D100000}"/>
    <hyperlink ref="K4193" r:id="rId4191" xr:uid="{00000000-0004-0000-0D00-00005E100000}"/>
    <hyperlink ref="K4194" r:id="rId4192" xr:uid="{00000000-0004-0000-0D00-00005F100000}"/>
    <hyperlink ref="K4195" r:id="rId4193" xr:uid="{00000000-0004-0000-0D00-000060100000}"/>
    <hyperlink ref="K4196" r:id="rId4194" xr:uid="{00000000-0004-0000-0D00-000061100000}"/>
    <hyperlink ref="K4197" r:id="rId4195" xr:uid="{00000000-0004-0000-0D00-000062100000}"/>
    <hyperlink ref="K4198" r:id="rId4196" xr:uid="{00000000-0004-0000-0D00-000063100000}"/>
    <hyperlink ref="K4199" r:id="rId4197" xr:uid="{00000000-0004-0000-0D00-000064100000}"/>
    <hyperlink ref="K4200" r:id="rId4198" xr:uid="{00000000-0004-0000-0D00-000065100000}"/>
    <hyperlink ref="K4201" r:id="rId4199" xr:uid="{00000000-0004-0000-0D00-000066100000}"/>
    <hyperlink ref="K4202" r:id="rId4200" xr:uid="{00000000-0004-0000-0D00-000067100000}"/>
    <hyperlink ref="K4203" r:id="rId4201" xr:uid="{00000000-0004-0000-0D00-000068100000}"/>
    <hyperlink ref="K4204" r:id="rId4202" xr:uid="{00000000-0004-0000-0D00-000069100000}"/>
    <hyperlink ref="K4205" r:id="rId4203" xr:uid="{00000000-0004-0000-0D00-00006A100000}"/>
    <hyperlink ref="K4206" r:id="rId4204" xr:uid="{00000000-0004-0000-0D00-00006B100000}"/>
    <hyperlink ref="K4207" r:id="rId4205" xr:uid="{00000000-0004-0000-0D00-00006C100000}"/>
    <hyperlink ref="K4208" r:id="rId4206" xr:uid="{00000000-0004-0000-0D00-00006D100000}"/>
    <hyperlink ref="K4209" r:id="rId4207" xr:uid="{00000000-0004-0000-0D00-00006E100000}"/>
    <hyperlink ref="K4210" r:id="rId4208" xr:uid="{00000000-0004-0000-0D00-00006F100000}"/>
    <hyperlink ref="K4211" r:id="rId4209" xr:uid="{00000000-0004-0000-0D00-000070100000}"/>
    <hyperlink ref="K4212" r:id="rId4210" xr:uid="{00000000-0004-0000-0D00-000071100000}"/>
    <hyperlink ref="K4213" r:id="rId4211" xr:uid="{00000000-0004-0000-0D00-000072100000}"/>
    <hyperlink ref="K4214" r:id="rId4212" xr:uid="{00000000-0004-0000-0D00-000073100000}"/>
    <hyperlink ref="K4215" r:id="rId4213" xr:uid="{00000000-0004-0000-0D00-000074100000}"/>
    <hyperlink ref="K4216" r:id="rId4214" xr:uid="{00000000-0004-0000-0D00-000075100000}"/>
    <hyperlink ref="K4217" r:id="rId4215" xr:uid="{00000000-0004-0000-0D00-000076100000}"/>
    <hyperlink ref="K4218" r:id="rId4216" xr:uid="{00000000-0004-0000-0D00-000077100000}"/>
    <hyperlink ref="K4219" r:id="rId4217" xr:uid="{00000000-0004-0000-0D00-000078100000}"/>
    <hyperlink ref="K4220" r:id="rId4218" xr:uid="{00000000-0004-0000-0D00-000079100000}"/>
    <hyperlink ref="K4221" r:id="rId4219" xr:uid="{00000000-0004-0000-0D00-00007A100000}"/>
    <hyperlink ref="K4222" r:id="rId4220" xr:uid="{00000000-0004-0000-0D00-00007B100000}"/>
    <hyperlink ref="K4223" r:id="rId4221" xr:uid="{00000000-0004-0000-0D00-00007C100000}"/>
    <hyperlink ref="K4224" r:id="rId4222" xr:uid="{00000000-0004-0000-0D00-00007D100000}"/>
    <hyperlink ref="K4225" r:id="rId4223" xr:uid="{00000000-0004-0000-0D00-00007E100000}"/>
    <hyperlink ref="K4226" r:id="rId4224" xr:uid="{00000000-0004-0000-0D00-00007F100000}"/>
    <hyperlink ref="K4227" r:id="rId4225" xr:uid="{00000000-0004-0000-0D00-000080100000}"/>
    <hyperlink ref="K4228" r:id="rId4226" xr:uid="{00000000-0004-0000-0D00-000081100000}"/>
    <hyperlink ref="K4229" r:id="rId4227" xr:uid="{00000000-0004-0000-0D00-000082100000}"/>
    <hyperlink ref="K4230" r:id="rId4228" xr:uid="{00000000-0004-0000-0D00-000083100000}"/>
    <hyperlink ref="K4231" r:id="rId4229" xr:uid="{00000000-0004-0000-0D00-000084100000}"/>
    <hyperlink ref="K4232" r:id="rId4230" xr:uid="{00000000-0004-0000-0D00-000085100000}"/>
    <hyperlink ref="K4233" r:id="rId4231" xr:uid="{00000000-0004-0000-0D00-000086100000}"/>
    <hyperlink ref="K4234" r:id="rId4232" xr:uid="{00000000-0004-0000-0D00-000087100000}"/>
    <hyperlink ref="K4235" r:id="rId4233" xr:uid="{00000000-0004-0000-0D00-000088100000}"/>
    <hyperlink ref="K4236" r:id="rId4234" xr:uid="{00000000-0004-0000-0D00-000089100000}"/>
    <hyperlink ref="K4237" r:id="rId4235" xr:uid="{00000000-0004-0000-0D00-00008A100000}"/>
    <hyperlink ref="K4238" r:id="rId4236" xr:uid="{00000000-0004-0000-0D00-00008B100000}"/>
    <hyperlink ref="K4239" r:id="rId4237" xr:uid="{00000000-0004-0000-0D00-00008C100000}"/>
    <hyperlink ref="K4240" r:id="rId4238" xr:uid="{00000000-0004-0000-0D00-00008D100000}"/>
    <hyperlink ref="K4241" r:id="rId4239" xr:uid="{00000000-0004-0000-0D00-00008E100000}"/>
    <hyperlink ref="K4242" r:id="rId4240" xr:uid="{00000000-0004-0000-0D00-00008F100000}"/>
    <hyperlink ref="K4243" r:id="rId4241" xr:uid="{00000000-0004-0000-0D00-000090100000}"/>
    <hyperlink ref="K4244" r:id="rId4242" xr:uid="{00000000-0004-0000-0D00-000091100000}"/>
    <hyperlink ref="K4245" r:id="rId4243" xr:uid="{00000000-0004-0000-0D00-000092100000}"/>
    <hyperlink ref="K4246" r:id="rId4244" xr:uid="{00000000-0004-0000-0D00-000093100000}"/>
    <hyperlink ref="K4247" r:id="rId4245" xr:uid="{00000000-0004-0000-0D00-000094100000}"/>
    <hyperlink ref="K4248" r:id="rId4246" xr:uid="{00000000-0004-0000-0D00-000095100000}"/>
    <hyperlink ref="K4249" r:id="rId4247" xr:uid="{00000000-0004-0000-0D00-000096100000}"/>
    <hyperlink ref="K4250" r:id="rId4248" xr:uid="{00000000-0004-0000-0D00-000097100000}"/>
    <hyperlink ref="K4251" r:id="rId4249" xr:uid="{00000000-0004-0000-0D00-000098100000}"/>
    <hyperlink ref="K4252" r:id="rId4250" xr:uid="{00000000-0004-0000-0D00-000099100000}"/>
    <hyperlink ref="K4253" r:id="rId4251" xr:uid="{00000000-0004-0000-0D00-00009A100000}"/>
    <hyperlink ref="K4254" r:id="rId4252" xr:uid="{00000000-0004-0000-0D00-00009B100000}"/>
    <hyperlink ref="K4255" r:id="rId4253" xr:uid="{00000000-0004-0000-0D00-00009C100000}"/>
    <hyperlink ref="K4256" r:id="rId4254" xr:uid="{00000000-0004-0000-0D00-00009D100000}"/>
    <hyperlink ref="K4257" r:id="rId4255" xr:uid="{00000000-0004-0000-0D00-00009E100000}"/>
    <hyperlink ref="K4258" r:id="rId4256" xr:uid="{00000000-0004-0000-0D00-00009F100000}"/>
    <hyperlink ref="K4259" r:id="rId4257" xr:uid="{00000000-0004-0000-0D00-0000A0100000}"/>
    <hyperlink ref="K4260" r:id="rId4258" xr:uid="{00000000-0004-0000-0D00-0000A1100000}"/>
    <hyperlink ref="K4261" r:id="rId4259" xr:uid="{00000000-0004-0000-0D00-0000A2100000}"/>
    <hyperlink ref="K4262" r:id="rId4260" xr:uid="{00000000-0004-0000-0D00-0000A3100000}"/>
    <hyperlink ref="K4263" r:id="rId4261" xr:uid="{00000000-0004-0000-0D00-0000A4100000}"/>
    <hyperlink ref="K4264" r:id="rId4262" xr:uid="{00000000-0004-0000-0D00-0000A5100000}"/>
    <hyperlink ref="K4265" r:id="rId4263" xr:uid="{00000000-0004-0000-0D00-0000A6100000}"/>
    <hyperlink ref="K4266" r:id="rId4264" xr:uid="{00000000-0004-0000-0D00-0000A7100000}"/>
    <hyperlink ref="K4267" r:id="rId4265" xr:uid="{00000000-0004-0000-0D00-0000A8100000}"/>
    <hyperlink ref="K4268" r:id="rId4266" xr:uid="{00000000-0004-0000-0D00-0000A9100000}"/>
    <hyperlink ref="K4269" r:id="rId4267" xr:uid="{00000000-0004-0000-0D00-0000AA100000}"/>
    <hyperlink ref="K4270" r:id="rId4268" xr:uid="{00000000-0004-0000-0D00-0000AB100000}"/>
    <hyperlink ref="K4271" r:id="rId4269" xr:uid="{00000000-0004-0000-0D00-0000AC100000}"/>
    <hyperlink ref="K4272" r:id="rId4270" xr:uid="{00000000-0004-0000-0D00-0000AD100000}"/>
    <hyperlink ref="K4273" r:id="rId4271" xr:uid="{00000000-0004-0000-0D00-0000AE100000}"/>
    <hyperlink ref="K4274" r:id="rId4272" xr:uid="{00000000-0004-0000-0D00-0000AF100000}"/>
    <hyperlink ref="K4275" r:id="rId4273" xr:uid="{00000000-0004-0000-0D00-0000B0100000}"/>
    <hyperlink ref="K4276" r:id="rId4274" xr:uid="{00000000-0004-0000-0D00-0000B1100000}"/>
    <hyperlink ref="K4277" r:id="rId4275" xr:uid="{00000000-0004-0000-0D00-0000B2100000}"/>
    <hyperlink ref="K4278" r:id="rId4276" xr:uid="{00000000-0004-0000-0D00-0000B3100000}"/>
    <hyperlink ref="K4279" r:id="rId4277" xr:uid="{00000000-0004-0000-0D00-0000B4100000}"/>
    <hyperlink ref="K4280" r:id="rId4278" xr:uid="{00000000-0004-0000-0D00-0000B5100000}"/>
    <hyperlink ref="K4281" r:id="rId4279" xr:uid="{00000000-0004-0000-0D00-0000B6100000}"/>
    <hyperlink ref="K4282" r:id="rId4280" xr:uid="{00000000-0004-0000-0D00-0000B7100000}"/>
    <hyperlink ref="K4283" r:id="rId4281" xr:uid="{00000000-0004-0000-0D00-0000B8100000}"/>
    <hyperlink ref="K4284" r:id="rId4282" xr:uid="{00000000-0004-0000-0D00-0000B9100000}"/>
    <hyperlink ref="K4285" r:id="rId4283" xr:uid="{00000000-0004-0000-0D00-0000BA100000}"/>
    <hyperlink ref="K4286" r:id="rId4284" xr:uid="{00000000-0004-0000-0D00-0000BB100000}"/>
    <hyperlink ref="K4287" r:id="rId4285" xr:uid="{00000000-0004-0000-0D00-0000BC100000}"/>
    <hyperlink ref="K4288" r:id="rId4286" xr:uid="{00000000-0004-0000-0D00-0000BD100000}"/>
    <hyperlink ref="K4289" r:id="rId4287" xr:uid="{00000000-0004-0000-0D00-0000BE100000}"/>
    <hyperlink ref="K4290" r:id="rId4288" xr:uid="{00000000-0004-0000-0D00-0000BF100000}"/>
    <hyperlink ref="K4291" r:id="rId4289" xr:uid="{00000000-0004-0000-0D00-0000C0100000}"/>
    <hyperlink ref="K4292" r:id="rId4290" xr:uid="{00000000-0004-0000-0D00-0000C1100000}"/>
    <hyperlink ref="K4293" r:id="rId4291" xr:uid="{00000000-0004-0000-0D00-0000C2100000}"/>
    <hyperlink ref="K4294" r:id="rId4292" xr:uid="{00000000-0004-0000-0D00-0000C3100000}"/>
    <hyperlink ref="K4295" r:id="rId4293" xr:uid="{00000000-0004-0000-0D00-0000C4100000}"/>
    <hyperlink ref="K4296" r:id="rId4294" xr:uid="{00000000-0004-0000-0D00-0000C5100000}"/>
    <hyperlink ref="K4297" r:id="rId4295" xr:uid="{00000000-0004-0000-0D00-0000C6100000}"/>
    <hyperlink ref="K4298" r:id="rId4296" xr:uid="{00000000-0004-0000-0D00-0000C7100000}"/>
    <hyperlink ref="K4299" r:id="rId4297" xr:uid="{00000000-0004-0000-0D00-0000C8100000}"/>
    <hyperlink ref="K4300" r:id="rId4298" xr:uid="{00000000-0004-0000-0D00-0000C9100000}"/>
    <hyperlink ref="K4301" r:id="rId4299" xr:uid="{00000000-0004-0000-0D00-0000CA100000}"/>
    <hyperlink ref="K4302" r:id="rId4300" xr:uid="{00000000-0004-0000-0D00-0000CB100000}"/>
    <hyperlink ref="K4303" r:id="rId4301" xr:uid="{00000000-0004-0000-0D00-0000CC100000}"/>
    <hyperlink ref="K4304" r:id="rId4302" xr:uid="{00000000-0004-0000-0D00-0000CD100000}"/>
    <hyperlink ref="K4305" r:id="rId4303" xr:uid="{00000000-0004-0000-0D00-0000CE100000}"/>
    <hyperlink ref="K4306" r:id="rId4304" xr:uid="{00000000-0004-0000-0D00-0000CF100000}"/>
    <hyperlink ref="K4307" r:id="rId4305" xr:uid="{00000000-0004-0000-0D00-0000D0100000}"/>
    <hyperlink ref="K4308" r:id="rId4306" xr:uid="{00000000-0004-0000-0D00-0000D1100000}"/>
    <hyperlink ref="K4309" r:id="rId4307" xr:uid="{00000000-0004-0000-0D00-0000D2100000}"/>
    <hyperlink ref="K4310" r:id="rId4308" xr:uid="{00000000-0004-0000-0D00-0000D3100000}"/>
    <hyperlink ref="K4311" r:id="rId4309" xr:uid="{00000000-0004-0000-0D00-0000D4100000}"/>
    <hyperlink ref="K4312" r:id="rId4310" xr:uid="{00000000-0004-0000-0D00-0000D5100000}"/>
    <hyperlink ref="K4313" r:id="rId4311" xr:uid="{00000000-0004-0000-0D00-0000D6100000}"/>
    <hyperlink ref="K4314" r:id="rId4312" xr:uid="{00000000-0004-0000-0D00-0000D7100000}"/>
    <hyperlink ref="K4315" r:id="rId4313" xr:uid="{00000000-0004-0000-0D00-0000D8100000}"/>
    <hyperlink ref="K4316" r:id="rId4314" xr:uid="{00000000-0004-0000-0D00-0000D9100000}"/>
    <hyperlink ref="K4317" r:id="rId4315" xr:uid="{00000000-0004-0000-0D00-0000DA100000}"/>
    <hyperlink ref="K4318" r:id="rId4316" xr:uid="{00000000-0004-0000-0D00-0000DB100000}"/>
    <hyperlink ref="K4319" r:id="rId4317" xr:uid="{00000000-0004-0000-0D00-0000DC100000}"/>
    <hyperlink ref="K4320" r:id="rId4318" xr:uid="{00000000-0004-0000-0D00-0000DD100000}"/>
    <hyperlink ref="K4321" r:id="rId4319" xr:uid="{00000000-0004-0000-0D00-0000DE100000}"/>
    <hyperlink ref="K4322" r:id="rId4320" xr:uid="{00000000-0004-0000-0D00-0000DF100000}"/>
    <hyperlink ref="K4323" r:id="rId4321" xr:uid="{00000000-0004-0000-0D00-0000E0100000}"/>
    <hyperlink ref="K4324" r:id="rId4322" xr:uid="{00000000-0004-0000-0D00-0000E1100000}"/>
    <hyperlink ref="K4325" r:id="rId4323" xr:uid="{00000000-0004-0000-0D00-0000E2100000}"/>
    <hyperlink ref="K4326" r:id="rId4324" xr:uid="{00000000-0004-0000-0D00-0000E3100000}"/>
    <hyperlink ref="K4327" r:id="rId4325" xr:uid="{00000000-0004-0000-0D00-0000E4100000}"/>
    <hyperlink ref="K4328" r:id="rId4326" xr:uid="{00000000-0004-0000-0D00-0000E5100000}"/>
    <hyperlink ref="K4329" r:id="rId4327" xr:uid="{00000000-0004-0000-0D00-0000E6100000}"/>
    <hyperlink ref="K4330" r:id="rId4328" xr:uid="{00000000-0004-0000-0D00-0000E7100000}"/>
    <hyperlink ref="K4331" r:id="rId4329" xr:uid="{00000000-0004-0000-0D00-0000E8100000}"/>
    <hyperlink ref="K4332" r:id="rId4330" xr:uid="{00000000-0004-0000-0D00-0000E9100000}"/>
    <hyperlink ref="K4333" r:id="rId4331" xr:uid="{00000000-0004-0000-0D00-0000EA100000}"/>
    <hyperlink ref="K4334" r:id="rId4332" xr:uid="{00000000-0004-0000-0D00-0000EB100000}"/>
    <hyperlink ref="K4335" r:id="rId4333" xr:uid="{00000000-0004-0000-0D00-0000EC100000}"/>
    <hyperlink ref="K4336" r:id="rId4334" xr:uid="{00000000-0004-0000-0D00-0000ED100000}"/>
    <hyperlink ref="K4337" r:id="rId4335" xr:uid="{00000000-0004-0000-0D00-0000EE100000}"/>
    <hyperlink ref="K4338" r:id="rId4336" xr:uid="{00000000-0004-0000-0D00-0000EF100000}"/>
    <hyperlink ref="K4339" r:id="rId4337" xr:uid="{00000000-0004-0000-0D00-0000F0100000}"/>
    <hyperlink ref="K4340" r:id="rId4338" xr:uid="{00000000-0004-0000-0D00-0000F1100000}"/>
    <hyperlink ref="K4341" r:id="rId4339" xr:uid="{00000000-0004-0000-0D00-0000F2100000}"/>
    <hyperlink ref="K4342" r:id="rId4340" xr:uid="{00000000-0004-0000-0D00-0000F3100000}"/>
    <hyperlink ref="K4343" r:id="rId4341" xr:uid="{00000000-0004-0000-0D00-0000F4100000}"/>
    <hyperlink ref="K4344" r:id="rId4342" xr:uid="{00000000-0004-0000-0D00-0000F5100000}"/>
    <hyperlink ref="K4345" r:id="rId4343" xr:uid="{00000000-0004-0000-0D00-0000F6100000}"/>
    <hyperlink ref="K4346" r:id="rId4344" xr:uid="{00000000-0004-0000-0D00-0000F7100000}"/>
    <hyperlink ref="K4347" r:id="rId4345" xr:uid="{00000000-0004-0000-0D00-0000F8100000}"/>
    <hyperlink ref="K4348" r:id="rId4346" xr:uid="{00000000-0004-0000-0D00-0000F9100000}"/>
    <hyperlink ref="K4349" r:id="rId4347" xr:uid="{00000000-0004-0000-0D00-0000FA100000}"/>
    <hyperlink ref="K4350" r:id="rId4348" xr:uid="{00000000-0004-0000-0D00-0000FB100000}"/>
    <hyperlink ref="K4351" r:id="rId4349" xr:uid="{00000000-0004-0000-0D00-0000FC100000}"/>
    <hyperlink ref="K4352" r:id="rId4350" xr:uid="{00000000-0004-0000-0D00-0000FD100000}"/>
    <hyperlink ref="K4353" r:id="rId4351" xr:uid="{00000000-0004-0000-0D00-0000FE100000}"/>
    <hyperlink ref="K4354" r:id="rId4352" xr:uid="{00000000-0004-0000-0D00-0000FF100000}"/>
    <hyperlink ref="K4355" r:id="rId4353" xr:uid="{00000000-0004-0000-0D00-000000110000}"/>
    <hyperlink ref="K4356" r:id="rId4354" xr:uid="{00000000-0004-0000-0D00-000001110000}"/>
    <hyperlink ref="K4357" r:id="rId4355" xr:uid="{00000000-0004-0000-0D00-000002110000}"/>
    <hyperlink ref="K4358" r:id="rId4356" xr:uid="{00000000-0004-0000-0D00-000003110000}"/>
    <hyperlink ref="K4359" r:id="rId4357" xr:uid="{00000000-0004-0000-0D00-000004110000}"/>
    <hyperlink ref="K4360" r:id="rId4358" xr:uid="{00000000-0004-0000-0D00-000005110000}"/>
    <hyperlink ref="K4361" r:id="rId4359" xr:uid="{00000000-0004-0000-0D00-000006110000}"/>
    <hyperlink ref="K4362" r:id="rId4360" xr:uid="{00000000-0004-0000-0D00-000007110000}"/>
    <hyperlink ref="K4363" r:id="rId4361" xr:uid="{00000000-0004-0000-0D00-000008110000}"/>
    <hyperlink ref="K4364" r:id="rId4362" xr:uid="{00000000-0004-0000-0D00-000009110000}"/>
    <hyperlink ref="K4365" r:id="rId4363" xr:uid="{00000000-0004-0000-0D00-00000A110000}"/>
    <hyperlink ref="K4366" r:id="rId4364" xr:uid="{00000000-0004-0000-0D00-00000B110000}"/>
    <hyperlink ref="K4367" r:id="rId4365" xr:uid="{00000000-0004-0000-0D00-00000C110000}"/>
    <hyperlink ref="K4368" r:id="rId4366" xr:uid="{00000000-0004-0000-0D00-00000D110000}"/>
    <hyperlink ref="K4369" r:id="rId4367" xr:uid="{00000000-0004-0000-0D00-00000E110000}"/>
    <hyperlink ref="K4370" r:id="rId4368" xr:uid="{00000000-0004-0000-0D00-00000F110000}"/>
    <hyperlink ref="K4371" r:id="rId4369" xr:uid="{00000000-0004-0000-0D00-000010110000}"/>
    <hyperlink ref="K4372" r:id="rId4370" xr:uid="{00000000-0004-0000-0D00-000011110000}"/>
    <hyperlink ref="K4373" r:id="rId4371" xr:uid="{00000000-0004-0000-0D00-000012110000}"/>
    <hyperlink ref="K4374" r:id="rId4372" xr:uid="{00000000-0004-0000-0D00-000013110000}"/>
    <hyperlink ref="K4375" r:id="rId4373" xr:uid="{00000000-0004-0000-0D00-000014110000}"/>
    <hyperlink ref="K4376" r:id="rId4374" xr:uid="{00000000-0004-0000-0D00-000015110000}"/>
    <hyperlink ref="K4377" r:id="rId4375" xr:uid="{00000000-0004-0000-0D00-000016110000}"/>
    <hyperlink ref="K4378" r:id="rId4376" xr:uid="{00000000-0004-0000-0D00-000017110000}"/>
    <hyperlink ref="K4379" r:id="rId4377" xr:uid="{00000000-0004-0000-0D00-000018110000}"/>
    <hyperlink ref="K4380" r:id="rId4378" xr:uid="{00000000-0004-0000-0D00-000019110000}"/>
    <hyperlink ref="K4381" r:id="rId4379" xr:uid="{00000000-0004-0000-0D00-00001A110000}"/>
    <hyperlink ref="K4382" r:id="rId4380" xr:uid="{00000000-0004-0000-0D00-00001B110000}"/>
    <hyperlink ref="K4383" r:id="rId4381" xr:uid="{00000000-0004-0000-0D00-00001C110000}"/>
    <hyperlink ref="K4384" r:id="rId4382" xr:uid="{00000000-0004-0000-0D00-00001D110000}"/>
    <hyperlink ref="K4385" r:id="rId4383" xr:uid="{00000000-0004-0000-0D00-00001E110000}"/>
    <hyperlink ref="K4386" r:id="rId4384" xr:uid="{00000000-0004-0000-0D00-00001F110000}"/>
    <hyperlink ref="K4387" r:id="rId4385" xr:uid="{00000000-0004-0000-0D00-000020110000}"/>
    <hyperlink ref="K4388" r:id="rId4386" xr:uid="{00000000-0004-0000-0D00-000021110000}"/>
    <hyperlink ref="K4389" r:id="rId4387" xr:uid="{00000000-0004-0000-0D00-000022110000}"/>
    <hyperlink ref="K4390" r:id="rId4388" xr:uid="{00000000-0004-0000-0D00-000023110000}"/>
    <hyperlink ref="K4391" r:id="rId4389" xr:uid="{00000000-0004-0000-0D00-000024110000}"/>
    <hyperlink ref="K4392" r:id="rId4390" xr:uid="{00000000-0004-0000-0D00-000025110000}"/>
    <hyperlink ref="K4393" r:id="rId4391" xr:uid="{00000000-0004-0000-0D00-000026110000}"/>
    <hyperlink ref="K4394" r:id="rId4392" xr:uid="{00000000-0004-0000-0D00-000027110000}"/>
    <hyperlink ref="K4395" r:id="rId4393" xr:uid="{00000000-0004-0000-0D00-000028110000}"/>
    <hyperlink ref="K4396" r:id="rId4394" xr:uid="{00000000-0004-0000-0D00-000029110000}"/>
    <hyperlink ref="K4397" r:id="rId4395" xr:uid="{00000000-0004-0000-0D00-00002A110000}"/>
    <hyperlink ref="K4398" r:id="rId4396" xr:uid="{00000000-0004-0000-0D00-00002B110000}"/>
    <hyperlink ref="K4399" r:id="rId4397" xr:uid="{00000000-0004-0000-0D00-00002C110000}"/>
    <hyperlink ref="K4400" r:id="rId4398" xr:uid="{00000000-0004-0000-0D00-00002D110000}"/>
    <hyperlink ref="K4401" r:id="rId4399" xr:uid="{00000000-0004-0000-0D00-00002E110000}"/>
    <hyperlink ref="K4402" r:id="rId4400" xr:uid="{00000000-0004-0000-0D00-00002F110000}"/>
    <hyperlink ref="K4403" r:id="rId4401" xr:uid="{00000000-0004-0000-0D00-000030110000}"/>
    <hyperlink ref="K4404" r:id="rId4402" xr:uid="{00000000-0004-0000-0D00-000031110000}"/>
    <hyperlink ref="K4405" r:id="rId4403" xr:uid="{00000000-0004-0000-0D00-000032110000}"/>
    <hyperlink ref="K4406" r:id="rId4404" xr:uid="{00000000-0004-0000-0D00-000033110000}"/>
    <hyperlink ref="K4407" r:id="rId4405" xr:uid="{00000000-0004-0000-0D00-000034110000}"/>
    <hyperlink ref="K4408" r:id="rId4406" xr:uid="{00000000-0004-0000-0D00-000035110000}"/>
    <hyperlink ref="K4409" r:id="rId4407" xr:uid="{00000000-0004-0000-0D00-000036110000}"/>
    <hyperlink ref="K4410" r:id="rId4408" xr:uid="{00000000-0004-0000-0D00-000037110000}"/>
    <hyperlink ref="K4411" r:id="rId4409" xr:uid="{00000000-0004-0000-0D00-000038110000}"/>
    <hyperlink ref="K4412" r:id="rId4410" xr:uid="{00000000-0004-0000-0D00-000039110000}"/>
    <hyperlink ref="K4413" r:id="rId4411" xr:uid="{00000000-0004-0000-0D00-00003A110000}"/>
    <hyperlink ref="K4414" r:id="rId4412" xr:uid="{00000000-0004-0000-0D00-00003B110000}"/>
    <hyperlink ref="K4415" r:id="rId4413" xr:uid="{00000000-0004-0000-0D00-00003C110000}"/>
    <hyperlink ref="K4416" r:id="rId4414" xr:uid="{00000000-0004-0000-0D00-00003D110000}"/>
    <hyperlink ref="K4417" r:id="rId4415" xr:uid="{00000000-0004-0000-0D00-00003E110000}"/>
    <hyperlink ref="K4418" r:id="rId4416" xr:uid="{00000000-0004-0000-0D00-00003F110000}"/>
    <hyperlink ref="K4419" r:id="rId4417" xr:uid="{00000000-0004-0000-0D00-000040110000}"/>
    <hyperlink ref="K4420" r:id="rId4418" xr:uid="{00000000-0004-0000-0D00-000041110000}"/>
    <hyperlink ref="K4421" r:id="rId4419" xr:uid="{00000000-0004-0000-0D00-000042110000}"/>
    <hyperlink ref="K4422" r:id="rId4420" xr:uid="{00000000-0004-0000-0D00-000043110000}"/>
    <hyperlink ref="K4423" r:id="rId4421" xr:uid="{00000000-0004-0000-0D00-000044110000}"/>
    <hyperlink ref="K4424" r:id="rId4422" xr:uid="{00000000-0004-0000-0D00-000045110000}"/>
    <hyperlink ref="K4425" r:id="rId4423" xr:uid="{00000000-0004-0000-0D00-000046110000}"/>
    <hyperlink ref="K4426" r:id="rId4424" xr:uid="{00000000-0004-0000-0D00-000047110000}"/>
    <hyperlink ref="K4427" r:id="rId4425" xr:uid="{00000000-0004-0000-0D00-000048110000}"/>
    <hyperlink ref="K4428" r:id="rId4426" xr:uid="{00000000-0004-0000-0D00-000049110000}"/>
    <hyperlink ref="K4429" r:id="rId4427" xr:uid="{00000000-0004-0000-0D00-00004A110000}"/>
    <hyperlink ref="K4430" r:id="rId4428" xr:uid="{00000000-0004-0000-0D00-00004B110000}"/>
    <hyperlink ref="K4431" r:id="rId4429" xr:uid="{00000000-0004-0000-0D00-00004C110000}"/>
    <hyperlink ref="K4432" r:id="rId4430" xr:uid="{00000000-0004-0000-0D00-00004D110000}"/>
    <hyperlink ref="K4433" r:id="rId4431" xr:uid="{00000000-0004-0000-0D00-00004E110000}"/>
    <hyperlink ref="K4434" r:id="rId4432" xr:uid="{00000000-0004-0000-0D00-00004F110000}"/>
    <hyperlink ref="K4435" r:id="rId4433" xr:uid="{00000000-0004-0000-0D00-000050110000}"/>
    <hyperlink ref="K4436" r:id="rId4434" xr:uid="{00000000-0004-0000-0D00-000051110000}"/>
    <hyperlink ref="K4437" r:id="rId4435" xr:uid="{00000000-0004-0000-0D00-000052110000}"/>
    <hyperlink ref="K4438" r:id="rId4436" xr:uid="{00000000-0004-0000-0D00-000053110000}"/>
    <hyperlink ref="K4439" r:id="rId4437" xr:uid="{00000000-0004-0000-0D00-000054110000}"/>
    <hyperlink ref="K4440" r:id="rId4438" xr:uid="{00000000-0004-0000-0D00-000055110000}"/>
    <hyperlink ref="K4441" r:id="rId4439" xr:uid="{00000000-0004-0000-0D00-000056110000}"/>
    <hyperlink ref="K4442" r:id="rId4440" xr:uid="{00000000-0004-0000-0D00-000057110000}"/>
    <hyperlink ref="K4443" r:id="rId4441" xr:uid="{00000000-0004-0000-0D00-000058110000}"/>
    <hyperlink ref="K4444" r:id="rId4442" xr:uid="{00000000-0004-0000-0D00-000059110000}"/>
    <hyperlink ref="K4445" r:id="rId4443" xr:uid="{00000000-0004-0000-0D00-00005A110000}"/>
    <hyperlink ref="K4446" r:id="rId4444" xr:uid="{00000000-0004-0000-0D00-00005B110000}"/>
    <hyperlink ref="K4447" r:id="rId4445" xr:uid="{00000000-0004-0000-0D00-00005C110000}"/>
    <hyperlink ref="K4448" r:id="rId4446" xr:uid="{00000000-0004-0000-0D00-00005D110000}"/>
    <hyperlink ref="K4449" r:id="rId4447" xr:uid="{00000000-0004-0000-0D00-00005E110000}"/>
    <hyperlink ref="K4450" r:id="rId4448" xr:uid="{00000000-0004-0000-0D00-00005F110000}"/>
    <hyperlink ref="K4451" r:id="rId4449" xr:uid="{00000000-0004-0000-0D00-000060110000}"/>
    <hyperlink ref="K4452" r:id="rId4450" xr:uid="{00000000-0004-0000-0D00-000061110000}"/>
    <hyperlink ref="K4453" r:id="rId4451" xr:uid="{00000000-0004-0000-0D00-000062110000}"/>
    <hyperlink ref="K4454" r:id="rId4452" xr:uid="{00000000-0004-0000-0D00-000063110000}"/>
    <hyperlink ref="K4455" r:id="rId4453" xr:uid="{00000000-0004-0000-0D00-000064110000}"/>
    <hyperlink ref="K4456" r:id="rId4454" xr:uid="{00000000-0004-0000-0D00-000065110000}"/>
    <hyperlink ref="K4457" r:id="rId4455" xr:uid="{00000000-0004-0000-0D00-000066110000}"/>
    <hyperlink ref="K4458" r:id="rId4456" xr:uid="{00000000-0004-0000-0D00-000067110000}"/>
    <hyperlink ref="K4459" r:id="rId4457" xr:uid="{00000000-0004-0000-0D00-000068110000}"/>
    <hyperlink ref="K4460" r:id="rId4458" xr:uid="{00000000-0004-0000-0D00-000069110000}"/>
    <hyperlink ref="K4461" r:id="rId4459" xr:uid="{00000000-0004-0000-0D00-00006A110000}"/>
    <hyperlink ref="K4462" r:id="rId4460" xr:uid="{00000000-0004-0000-0D00-00006B11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BB195"/>
  <sheetViews>
    <sheetView workbookViewId="0"/>
  </sheetViews>
  <sheetFormatPr defaultColWidth="12.5703125" defaultRowHeight="15.75" customHeight="1"/>
  <cols>
    <col min="1" max="1" width="53.28515625" customWidth="1"/>
    <col min="2" max="2" width="38.5703125" customWidth="1"/>
    <col min="4" max="4" width="56.5703125" customWidth="1"/>
    <col min="5" max="5" width="21.42578125" customWidth="1"/>
    <col min="10" max="10" width="59.7109375" customWidth="1"/>
  </cols>
  <sheetData>
    <row r="1" spans="1:54">
      <c r="A1" s="5815" t="s">
        <v>13059</v>
      </c>
      <c r="B1" s="5815" t="s">
        <v>13060</v>
      </c>
      <c r="C1" s="5815" t="s">
        <v>13061</v>
      </c>
      <c r="D1" s="5815" t="s">
        <v>1522</v>
      </c>
      <c r="E1" s="5815" t="s">
        <v>13062</v>
      </c>
      <c r="F1" s="5815" t="s">
        <v>1523</v>
      </c>
      <c r="G1" s="5815"/>
      <c r="H1" s="5815" t="s">
        <v>46</v>
      </c>
      <c r="I1" s="5815"/>
      <c r="J1" s="5815"/>
      <c r="K1" s="5815"/>
      <c r="L1" s="5815"/>
      <c r="M1" s="5815"/>
      <c r="N1" s="5815"/>
      <c r="O1" s="5815"/>
      <c r="P1" s="5815"/>
      <c r="Q1" s="5815"/>
      <c r="R1" s="5815"/>
      <c r="S1" s="5815"/>
      <c r="T1" s="5816"/>
      <c r="U1" s="5815"/>
      <c r="V1" s="5815"/>
      <c r="W1" s="5815"/>
      <c r="X1" s="5815"/>
      <c r="Y1" s="5815"/>
      <c r="Z1" s="5815"/>
      <c r="AA1" s="5815"/>
      <c r="AB1" s="5815"/>
      <c r="AC1" s="5815"/>
      <c r="AD1" s="5815"/>
      <c r="AE1" s="5815"/>
      <c r="AF1" s="5815"/>
      <c r="AG1" s="5815"/>
      <c r="AH1" s="5815"/>
      <c r="AI1" s="5815"/>
      <c r="AJ1" s="5815"/>
      <c r="AK1" s="5815"/>
      <c r="AL1" s="5815"/>
      <c r="AM1" s="5815"/>
      <c r="AN1" s="5815"/>
      <c r="AO1" s="5815"/>
      <c r="AP1" s="5815"/>
      <c r="AQ1" s="5815"/>
      <c r="AR1" s="5815"/>
      <c r="AS1" s="5815"/>
      <c r="AT1" s="5815"/>
      <c r="AU1" s="5815"/>
      <c r="AV1" s="5815"/>
      <c r="AW1" s="5815"/>
      <c r="AX1" s="5815"/>
      <c r="AY1" s="5815"/>
      <c r="AZ1" s="5815"/>
      <c r="BA1" s="5815"/>
      <c r="BB1" s="5815"/>
    </row>
    <row r="2" spans="1:54">
      <c r="A2" s="5817">
        <f>COUNTA(A4:A999)</f>
        <v>192</v>
      </c>
      <c r="B2" s="5817">
        <f>COUNTIF($E$2:$E$800, "Decision*")</f>
        <v>85</v>
      </c>
      <c r="C2" s="5818">
        <f>SUM(B2/$A$2)</f>
        <v>0.44270833333333331</v>
      </c>
      <c r="D2" s="5817">
        <f>COUNTIF($E$3:$E$999, "Decision - Unanimous")</f>
        <v>62</v>
      </c>
      <c r="E2" s="5819">
        <f>COUNTIF($E$3:$E$999, "Decision - Split")</f>
        <v>19</v>
      </c>
      <c r="F2" s="5817">
        <f>COUNTIF($E$3:$E$999, "Submission")</f>
        <v>34</v>
      </c>
      <c r="G2" s="5818">
        <f>SUM(F2/$A$2)</f>
        <v>0.17708333333333334</v>
      </c>
      <c r="H2" s="5817">
        <f>COUNTIF($E$3:$E$1000, "KO/TKO")</f>
        <v>69</v>
      </c>
      <c r="I2" s="5818">
        <f>SUM(H2/$A$2)</f>
        <v>0.359375</v>
      </c>
      <c r="J2" s="5820"/>
      <c r="K2" s="5820"/>
      <c r="L2" s="5820"/>
      <c r="M2" s="5820"/>
      <c r="N2" s="5820"/>
      <c r="O2" s="5820"/>
      <c r="P2" s="5820"/>
      <c r="Q2" s="5820"/>
      <c r="R2" s="5820"/>
      <c r="S2" s="5820"/>
      <c r="T2" s="5821"/>
      <c r="U2" s="5820"/>
      <c r="V2" s="5820"/>
      <c r="W2" s="5820"/>
      <c r="X2" s="5820"/>
      <c r="Y2" s="5820"/>
      <c r="Z2" s="5820"/>
      <c r="AA2" s="5820"/>
      <c r="AB2" s="5820"/>
      <c r="AC2" s="5820"/>
      <c r="AD2" s="5820"/>
      <c r="AE2" s="5820"/>
      <c r="AF2" s="5820"/>
      <c r="AG2" s="5820"/>
      <c r="AH2" s="5820"/>
      <c r="AI2" s="5820"/>
      <c r="AJ2" s="5820"/>
      <c r="AK2" s="5820"/>
      <c r="AL2" s="5820"/>
      <c r="AM2" s="5820"/>
      <c r="AN2" s="5820"/>
      <c r="AO2" s="5820"/>
      <c r="AP2" s="5820"/>
      <c r="AQ2" s="5820"/>
      <c r="AR2" s="5820"/>
      <c r="AS2" s="5820"/>
      <c r="AT2" s="5820"/>
      <c r="AU2" s="5820"/>
      <c r="AV2" s="5820"/>
      <c r="AW2" s="5820"/>
      <c r="AX2" s="5820"/>
      <c r="AY2" s="5820"/>
      <c r="AZ2" s="5820"/>
      <c r="BA2" s="5820"/>
      <c r="BB2" s="5820"/>
    </row>
    <row r="3" spans="1:54">
      <c r="A3" s="21" t="s">
        <v>2034</v>
      </c>
      <c r="B3" s="21" t="s">
        <v>2035</v>
      </c>
      <c r="C3" s="21" t="s">
        <v>2036</v>
      </c>
      <c r="D3" s="21" t="s">
        <v>2037</v>
      </c>
      <c r="E3" s="21" t="s">
        <v>2038</v>
      </c>
      <c r="F3" s="21" t="s">
        <v>2039</v>
      </c>
      <c r="G3" s="21" t="s">
        <v>2040</v>
      </c>
      <c r="H3" s="21" t="s">
        <v>2041</v>
      </c>
      <c r="I3" s="21" t="s">
        <v>2042</v>
      </c>
      <c r="J3" s="21" t="s">
        <v>2043</v>
      </c>
      <c r="K3" s="21" t="s">
        <v>2044</v>
      </c>
    </row>
    <row r="4" spans="1:54">
      <c r="A4" s="21" t="s">
        <v>3872</v>
      </c>
      <c r="B4" s="21" t="s">
        <v>9549</v>
      </c>
      <c r="C4" s="21" t="s">
        <v>8</v>
      </c>
      <c r="D4" s="21" t="s">
        <v>1085</v>
      </c>
      <c r="E4" s="21" t="s">
        <v>193</v>
      </c>
      <c r="F4" s="5812">
        <v>5</v>
      </c>
      <c r="G4" s="5813">
        <v>0.20833333333333334</v>
      </c>
      <c r="H4" s="21" t="s">
        <v>54</v>
      </c>
      <c r="I4" s="21" t="s">
        <v>55</v>
      </c>
      <c r="J4" s="21" t="s">
        <v>9550</v>
      </c>
      <c r="K4" s="5814" t="s">
        <v>9551</v>
      </c>
    </row>
    <row r="5" spans="1:54">
      <c r="A5" s="21" t="s">
        <v>2433</v>
      </c>
      <c r="B5" s="21" t="s">
        <v>9552</v>
      </c>
      <c r="C5" s="21" t="s">
        <v>8</v>
      </c>
      <c r="D5" s="21" t="s">
        <v>1085</v>
      </c>
      <c r="E5" s="21" t="s">
        <v>193</v>
      </c>
      <c r="F5" s="5812">
        <v>5</v>
      </c>
      <c r="G5" s="5813">
        <v>0.20833333333333334</v>
      </c>
      <c r="H5" s="21" t="s">
        <v>54</v>
      </c>
      <c r="I5" s="21" t="s">
        <v>11</v>
      </c>
      <c r="J5" s="21" t="s">
        <v>9553</v>
      </c>
      <c r="K5" s="5814" t="s">
        <v>9554</v>
      </c>
    </row>
    <row r="6" spans="1:54">
      <c r="A6" s="21" t="s">
        <v>3144</v>
      </c>
      <c r="B6" s="21" t="s">
        <v>9555</v>
      </c>
      <c r="C6" s="21" t="s">
        <v>22</v>
      </c>
      <c r="D6" s="21" t="s">
        <v>1085</v>
      </c>
      <c r="E6" s="21" t="s">
        <v>193</v>
      </c>
      <c r="F6" s="5812">
        <v>5</v>
      </c>
      <c r="G6" s="5813">
        <v>0.20833333333333334</v>
      </c>
      <c r="H6" s="21" t="s">
        <v>54</v>
      </c>
      <c r="I6" s="21" t="s">
        <v>55</v>
      </c>
      <c r="J6" s="21" t="s">
        <v>9556</v>
      </c>
      <c r="K6" s="5814" t="s">
        <v>9557</v>
      </c>
    </row>
    <row r="7" spans="1:54">
      <c r="A7" s="21" t="s">
        <v>135</v>
      </c>
      <c r="B7" s="21" t="s">
        <v>1084</v>
      </c>
      <c r="C7" s="21" t="s">
        <v>8</v>
      </c>
      <c r="D7" s="21" t="s">
        <v>1085</v>
      </c>
      <c r="E7" s="21" t="s">
        <v>9</v>
      </c>
      <c r="F7" s="5812">
        <v>5</v>
      </c>
      <c r="G7" s="5813">
        <v>0.20833333333333334</v>
      </c>
      <c r="H7" s="21" t="s">
        <v>54</v>
      </c>
      <c r="I7" s="21" t="s">
        <v>11</v>
      </c>
      <c r="J7" s="21" t="s">
        <v>1086</v>
      </c>
      <c r="K7" s="5814" t="s">
        <v>1087</v>
      </c>
    </row>
    <row r="8" spans="1:54">
      <c r="A8" s="21" t="s">
        <v>2800</v>
      </c>
      <c r="B8" s="21" t="s">
        <v>9558</v>
      </c>
      <c r="C8" s="21" t="s">
        <v>22</v>
      </c>
      <c r="D8" s="21" t="s">
        <v>1085</v>
      </c>
      <c r="E8" s="21" t="s">
        <v>9</v>
      </c>
      <c r="F8" s="5812">
        <v>5</v>
      </c>
      <c r="G8" s="5813">
        <v>0.20833333333333334</v>
      </c>
      <c r="H8" s="21" t="s">
        <v>54</v>
      </c>
      <c r="I8" s="21" t="s">
        <v>2297</v>
      </c>
      <c r="J8" s="21" t="s">
        <v>9559</v>
      </c>
      <c r="K8" s="5814" t="s">
        <v>9560</v>
      </c>
    </row>
    <row r="9" spans="1:54">
      <c r="A9" s="21" t="s">
        <v>4383</v>
      </c>
      <c r="B9" s="21" t="s">
        <v>9561</v>
      </c>
      <c r="C9" s="21" t="s">
        <v>8</v>
      </c>
      <c r="D9" s="21" t="s">
        <v>1085</v>
      </c>
      <c r="E9" s="21" t="s">
        <v>9</v>
      </c>
      <c r="F9" s="5812">
        <v>5</v>
      </c>
      <c r="G9" s="5813">
        <v>0.20833333333333334</v>
      </c>
      <c r="H9" s="21" t="s">
        <v>54</v>
      </c>
      <c r="I9" s="21" t="s">
        <v>55</v>
      </c>
      <c r="J9" s="21" t="s">
        <v>9562</v>
      </c>
      <c r="K9" s="5814" t="s">
        <v>9563</v>
      </c>
    </row>
    <row r="10" spans="1:54">
      <c r="A10" s="21" t="s">
        <v>2123</v>
      </c>
      <c r="B10" s="21" t="s">
        <v>9564</v>
      </c>
      <c r="C10" s="21" t="s">
        <v>22</v>
      </c>
      <c r="D10" s="21" t="s">
        <v>1085</v>
      </c>
      <c r="E10" s="21" t="s">
        <v>466</v>
      </c>
      <c r="F10" s="5812">
        <v>4</v>
      </c>
      <c r="G10" s="5813">
        <v>0.18680555555555556</v>
      </c>
      <c r="H10" s="21" t="s">
        <v>54</v>
      </c>
      <c r="I10" s="21" t="s">
        <v>39</v>
      </c>
      <c r="J10" s="21" t="s">
        <v>9565</v>
      </c>
      <c r="K10" s="5814" t="s">
        <v>9566</v>
      </c>
    </row>
    <row r="11" spans="1:54">
      <c r="A11" s="21" t="s">
        <v>2201</v>
      </c>
      <c r="B11" s="21" t="s">
        <v>9567</v>
      </c>
      <c r="C11" s="21" t="s">
        <v>8</v>
      </c>
      <c r="D11" s="21" t="s">
        <v>1085</v>
      </c>
      <c r="E11" s="21" t="s">
        <v>46</v>
      </c>
      <c r="F11" s="5812">
        <v>1</v>
      </c>
      <c r="G11" s="5813">
        <v>0.1736111111111111</v>
      </c>
      <c r="H11" s="21" t="s">
        <v>54</v>
      </c>
      <c r="I11" s="21" t="s">
        <v>55</v>
      </c>
      <c r="J11" s="21" t="s">
        <v>97</v>
      </c>
      <c r="K11" s="5814" t="s">
        <v>9568</v>
      </c>
    </row>
    <row r="12" spans="1:54">
      <c r="A12" s="21" t="s">
        <v>2300</v>
      </c>
      <c r="B12" s="21" t="s">
        <v>9569</v>
      </c>
      <c r="C12" s="21" t="s">
        <v>22</v>
      </c>
      <c r="D12" s="21" t="s">
        <v>1085</v>
      </c>
      <c r="E12" s="21" t="s">
        <v>46</v>
      </c>
      <c r="F12" s="5812">
        <v>2</v>
      </c>
      <c r="G12" s="5813">
        <v>3.5416666666666666E-2</v>
      </c>
      <c r="H12" s="21" t="s">
        <v>54</v>
      </c>
      <c r="I12" s="21" t="s">
        <v>47</v>
      </c>
      <c r="J12" s="21" t="s">
        <v>127</v>
      </c>
      <c r="K12" s="5814" t="s">
        <v>9570</v>
      </c>
    </row>
    <row r="13" spans="1:54">
      <c r="A13" s="21" t="s">
        <v>3195</v>
      </c>
      <c r="B13" s="21" t="s">
        <v>9571</v>
      </c>
      <c r="C13" s="21" t="s">
        <v>22</v>
      </c>
      <c r="D13" s="21" t="s">
        <v>1085</v>
      </c>
      <c r="E13" s="21" t="s">
        <v>46</v>
      </c>
      <c r="F13" s="5812">
        <v>2</v>
      </c>
      <c r="G13" s="5813">
        <v>0.11180555555555556</v>
      </c>
      <c r="H13" s="21" t="s">
        <v>54</v>
      </c>
      <c r="I13" s="21" t="s">
        <v>226</v>
      </c>
      <c r="J13" s="21" t="s">
        <v>48</v>
      </c>
      <c r="K13" s="5814" t="s">
        <v>9572</v>
      </c>
    </row>
    <row r="14" spans="1:54">
      <c r="A14" s="21" t="s">
        <v>2096</v>
      </c>
      <c r="B14" s="21" t="s">
        <v>9573</v>
      </c>
      <c r="C14" s="21" t="s">
        <v>8</v>
      </c>
      <c r="D14" s="21" t="s">
        <v>1085</v>
      </c>
      <c r="E14" s="21" t="s">
        <v>46</v>
      </c>
      <c r="F14" s="5812">
        <v>2</v>
      </c>
      <c r="G14" s="5813">
        <v>0.15555555555555556</v>
      </c>
      <c r="H14" s="21" t="s">
        <v>54</v>
      </c>
      <c r="I14" s="21" t="s">
        <v>47</v>
      </c>
      <c r="J14" s="21" t="s">
        <v>258</v>
      </c>
      <c r="K14" s="5814" t="s">
        <v>9574</v>
      </c>
    </row>
    <row r="15" spans="1:54">
      <c r="A15" s="21" t="s">
        <v>4116</v>
      </c>
      <c r="B15" s="21" t="s">
        <v>9575</v>
      </c>
      <c r="C15" s="21" t="s">
        <v>8</v>
      </c>
      <c r="D15" s="21" t="s">
        <v>1085</v>
      </c>
      <c r="E15" s="21" t="s">
        <v>46</v>
      </c>
      <c r="F15" s="5812">
        <v>2</v>
      </c>
      <c r="G15" s="5813">
        <v>0.20694444444444443</v>
      </c>
      <c r="H15" s="21" t="s">
        <v>54</v>
      </c>
      <c r="I15" s="21" t="s">
        <v>11</v>
      </c>
      <c r="J15" s="21" t="s">
        <v>2953</v>
      </c>
      <c r="K15" s="5814" t="s">
        <v>9576</v>
      </c>
    </row>
    <row r="16" spans="1:54">
      <c r="A16" s="21" t="s">
        <v>2609</v>
      </c>
      <c r="B16" s="21" t="s">
        <v>9577</v>
      </c>
      <c r="C16" s="21" t="s">
        <v>8</v>
      </c>
      <c r="D16" s="21" t="s">
        <v>1085</v>
      </c>
      <c r="E16" s="21" t="s">
        <v>46</v>
      </c>
      <c r="F16" s="5812">
        <v>3</v>
      </c>
      <c r="G16" s="5813">
        <v>0.20208333333333334</v>
      </c>
      <c r="H16" s="21" t="s">
        <v>54</v>
      </c>
      <c r="I16" s="21" t="s">
        <v>47</v>
      </c>
      <c r="J16" s="21" t="s">
        <v>127</v>
      </c>
      <c r="K16" s="5814" t="s">
        <v>9578</v>
      </c>
    </row>
    <row r="17" spans="1:11">
      <c r="A17" s="21" t="s">
        <v>2870</v>
      </c>
      <c r="B17" s="21" t="s">
        <v>9579</v>
      </c>
      <c r="C17" s="21" t="s">
        <v>8</v>
      </c>
      <c r="D17" s="21" t="s">
        <v>1085</v>
      </c>
      <c r="E17" s="21" t="s">
        <v>46</v>
      </c>
      <c r="F17" s="5812">
        <v>4</v>
      </c>
      <c r="G17" s="5813">
        <v>2.4305555555555556E-2</v>
      </c>
      <c r="H17" s="21" t="s">
        <v>54</v>
      </c>
      <c r="I17" s="21" t="s">
        <v>55</v>
      </c>
      <c r="J17" s="21" t="s">
        <v>97</v>
      </c>
      <c r="K17" s="5814" t="s">
        <v>9580</v>
      </c>
    </row>
    <row r="18" spans="1:11">
      <c r="A18" s="21" t="s">
        <v>3203</v>
      </c>
      <c r="B18" s="21" t="s">
        <v>9581</v>
      </c>
      <c r="C18" s="21" t="s">
        <v>8</v>
      </c>
      <c r="D18" s="21" t="s">
        <v>1085</v>
      </c>
      <c r="E18" s="21" t="s">
        <v>46</v>
      </c>
      <c r="F18" s="5812">
        <v>5</v>
      </c>
      <c r="G18" s="5813">
        <v>0.14166666666666666</v>
      </c>
      <c r="H18" s="21" t="s">
        <v>54</v>
      </c>
      <c r="I18" s="21" t="s">
        <v>2713</v>
      </c>
      <c r="J18" s="21" t="s">
        <v>127</v>
      </c>
      <c r="K18" s="5814" t="s">
        <v>9582</v>
      </c>
    </row>
    <row r="19" spans="1:11">
      <c r="A19" s="21" t="s">
        <v>3203</v>
      </c>
      <c r="B19" s="21" t="s">
        <v>9583</v>
      </c>
      <c r="C19" s="21" t="s">
        <v>8</v>
      </c>
      <c r="D19" s="21" t="s">
        <v>1092</v>
      </c>
      <c r="E19" s="21" t="s">
        <v>193</v>
      </c>
      <c r="F19" s="5812">
        <v>5</v>
      </c>
      <c r="G19" s="5813">
        <v>0.20833333333333334</v>
      </c>
      <c r="H19" s="21" t="s">
        <v>54</v>
      </c>
      <c r="I19" s="21" t="s">
        <v>55</v>
      </c>
      <c r="J19" s="21" t="s">
        <v>9584</v>
      </c>
      <c r="K19" s="5814" t="s">
        <v>9585</v>
      </c>
    </row>
    <row r="20" spans="1:11">
      <c r="A20" s="21" t="s">
        <v>2045</v>
      </c>
      <c r="B20" s="21" t="s">
        <v>9583</v>
      </c>
      <c r="C20" s="21" t="s">
        <v>8</v>
      </c>
      <c r="D20" s="21" t="s">
        <v>1092</v>
      </c>
      <c r="E20" s="21" t="s">
        <v>9</v>
      </c>
      <c r="F20" s="5812">
        <v>5</v>
      </c>
      <c r="G20" s="5813">
        <v>0.20833333333333334</v>
      </c>
      <c r="H20" s="21" t="s">
        <v>54</v>
      </c>
      <c r="I20" s="21" t="s">
        <v>47</v>
      </c>
      <c r="J20" s="21" t="s">
        <v>9586</v>
      </c>
      <c r="K20" s="5814" t="s">
        <v>9587</v>
      </c>
    </row>
    <row r="21" spans="1:11">
      <c r="A21" s="21" t="s">
        <v>3152</v>
      </c>
      <c r="B21" s="21" t="s">
        <v>9588</v>
      </c>
      <c r="C21" s="21" t="s">
        <v>8</v>
      </c>
      <c r="D21" s="21" t="s">
        <v>1092</v>
      </c>
      <c r="E21" s="21" t="s">
        <v>9</v>
      </c>
      <c r="F21" s="5812">
        <v>5</v>
      </c>
      <c r="G21" s="5813">
        <v>0.20833333333333334</v>
      </c>
      <c r="H21" s="21" t="s">
        <v>54</v>
      </c>
      <c r="I21" s="21" t="s">
        <v>55</v>
      </c>
      <c r="J21" s="21" t="s">
        <v>9589</v>
      </c>
      <c r="K21" s="5814" t="s">
        <v>9590</v>
      </c>
    </row>
    <row r="22" spans="1:11">
      <c r="A22" s="21" t="s">
        <v>2156</v>
      </c>
      <c r="B22" s="21" t="s">
        <v>9591</v>
      </c>
      <c r="C22" s="21" t="s">
        <v>22</v>
      </c>
      <c r="D22" s="21" t="s">
        <v>1092</v>
      </c>
      <c r="E22" s="21" t="s">
        <v>9</v>
      </c>
      <c r="F22" s="5812">
        <v>5</v>
      </c>
      <c r="G22" s="5813">
        <v>0.20833333333333334</v>
      </c>
      <c r="H22" s="21" t="s">
        <v>54</v>
      </c>
      <c r="I22" s="21" t="s">
        <v>96</v>
      </c>
      <c r="J22" s="21" t="s">
        <v>9592</v>
      </c>
      <c r="K22" s="5814" t="s">
        <v>9593</v>
      </c>
    </row>
    <row r="23" spans="1:11">
      <c r="A23" s="21" t="s">
        <v>4724</v>
      </c>
      <c r="B23" s="21" t="s">
        <v>9594</v>
      </c>
      <c r="C23" s="21" t="s">
        <v>8</v>
      </c>
      <c r="D23" s="21" t="s">
        <v>1092</v>
      </c>
      <c r="E23" s="21" t="s">
        <v>9</v>
      </c>
      <c r="F23" s="5812">
        <v>5</v>
      </c>
      <c r="G23" s="5813">
        <v>0.20833333333333334</v>
      </c>
      <c r="H23" s="21" t="s">
        <v>54</v>
      </c>
      <c r="I23" s="21" t="s">
        <v>55</v>
      </c>
      <c r="J23" s="21" t="s">
        <v>9595</v>
      </c>
      <c r="K23" s="5814" t="s">
        <v>9596</v>
      </c>
    </row>
    <row r="24" spans="1:11">
      <c r="A24" s="21" t="s">
        <v>2850</v>
      </c>
      <c r="B24" s="21" t="s">
        <v>9597</v>
      </c>
      <c r="C24" s="21" t="s">
        <v>22</v>
      </c>
      <c r="D24" s="21" t="s">
        <v>1092</v>
      </c>
      <c r="E24" s="21" t="s">
        <v>46</v>
      </c>
      <c r="F24" s="5812">
        <v>1</v>
      </c>
      <c r="G24" s="5813">
        <v>9.0277777777777769E-3</v>
      </c>
      <c r="H24" s="21" t="s">
        <v>54</v>
      </c>
      <c r="I24" s="21" t="s">
        <v>2297</v>
      </c>
      <c r="J24" s="21" t="s">
        <v>48</v>
      </c>
      <c r="K24" s="5814" t="s">
        <v>9598</v>
      </c>
    </row>
    <row r="25" spans="1:11">
      <c r="A25" s="21" t="s">
        <v>166</v>
      </c>
      <c r="B25" s="21" t="s">
        <v>1091</v>
      </c>
      <c r="C25" s="21" t="s">
        <v>22</v>
      </c>
      <c r="D25" s="21" t="s">
        <v>1092</v>
      </c>
      <c r="E25" s="21" t="s">
        <v>46</v>
      </c>
      <c r="F25" s="5812">
        <v>2</v>
      </c>
      <c r="G25" s="5813">
        <v>0.14722222222222223</v>
      </c>
      <c r="H25" s="21" t="s">
        <v>54</v>
      </c>
      <c r="I25" s="21" t="s">
        <v>96</v>
      </c>
      <c r="J25" s="21" t="s">
        <v>48</v>
      </c>
      <c r="K25" s="5814" t="s">
        <v>1093</v>
      </c>
    </row>
    <row r="26" spans="1:11">
      <c r="A26" s="21" t="s">
        <v>2229</v>
      </c>
      <c r="B26" s="21" t="s">
        <v>9599</v>
      </c>
      <c r="C26" s="21" t="s">
        <v>22</v>
      </c>
      <c r="D26" s="21" t="s">
        <v>1092</v>
      </c>
      <c r="E26" s="21" t="s">
        <v>46</v>
      </c>
      <c r="F26" s="5812">
        <v>3</v>
      </c>
      <c r="G26" s="5813">
        <v>0.17569444444444443</v>
      </c>
      <c r="H26" s="21" t="s">
        <v>54</v>
      </c>
      <c r="I26" s="21" t="s">
        <v>2297</v>
      </c>
      <c r="J26" s="21" t="s">
        <v>258</v>
      </c>
      <c r="K26" s="5814" t="s">
        <v>9600</v>
      </c>
    </row>
    <row r="27" spans="1:11">
      <c r="A27" s="21" t="s">
        <v>3029</v>
      </c>
      <c r="B27" s="21" t="s">
        <v>9601</v>
      </c>
      <c r="C27" s="21" t="s">
        <v>8</v>
      </c>
      <c r="D27" s="21" t="s">
        <v>1092</v>
      </c>
      <c r="E27" s="21" t="s">
        <v>46</v>
      </c>
      <c r="F27" s="5812">
        <v>3</v>
      </c>
      <c r="G27" s="5813">
        <v>0.17986111111111111</v>
      </c>
      <c r="H27" s="21" t="s">
        <v>54</v>
      </c>
      <c r="I27" s="21" t="s">
        <v>55</v>
      </c>
      <c r="J27" s="21" t="s">
        <v>127</v>
      </c>
      <c r="K27" s="5814" t="s">
        <v>9602</v>
      </c>
    </row>
    <row r="28" spans="1:11">
      <c r="A28" s="21" t="s">
        <v>5168</v>
      </c>
      <c r="B28" s="21" t="s">
        <v>9603</v>
      </c>
      <c r="C28" s="21" t="s">
        <v>8</v>
      </c>
      <c r="D28" s="21" t="s">
        <v>1092</v>
      </c>
      <c r="E28" s="21" t="s">
        <v>46</v>
      </c>
      <c r="F28" s="5812">
        <v>3</v>
      </c>
      <c r="G28" s="5813">
        <v>0.20208333333333334</v>
      </c>
      <c r="H28" s="21" t="s">
        <v>54</v>
      </c>
      <c r="I28" s="21" t="s">
        <v>55</v>
      </c>
      <c r="J28" s="21" t="s">
        <v>127</v>
      </c>
      <c r="K28" s="5814" t="s">
        <v>9604</v>
      </c>
    </row>
    <row r="29" spans="1:11">
      <c r="A29" s="21" t="s">
        <v>2433</v>
      </c>
      <c r="B29" s="21" t="s">
        <v>9605</v>
      </c>
      <c r="C29" s="21" t="s">
        <v>8</v>
      </c>
      <c r="D29" s="21" t="s">
        <v>1092</v>
      </c>
      <c r="E29" s="21" t="s">
        <v>46</v>
      </c>
      <c r="F29" s="5812">
        <v>4</v>
      </c>
      <c r="G29" s="5813">
        <v>3.125E-2</v>
      </c>
      <c r="H29" s="21" t="s">
        <v>54</v>
      </c>
      <c r="I29" s="21" t="s">
        <v>55</v>
      </c>
      <c r="J29" s="21" t="s">
        <v>97</v>
      </c>
      <c r="K29" s="5814" t="s">
        <v>9606</v>
      </c>
    </row>
    <row r="30" spans="1:11">
      <c r="A30" s="21" t="s">
        <v>2668</v>
      </c>
      <c r="B30" s="21" t="s">
        <v>9607</v>
      </c>
      <c r="C30" s="21" t="s">
        <v>8</v>
      </c>
      <c r="D30" s="21" t="s">
        <v>1092</v>
      </c>
      <c r="E30" s="21" t="s">
        <v>244</v>
      </c>
      <c r="F30" s="5812">
        <v>4</v>
      </c>
      <c r="G30" s="5813">
        <v>0.20833333333333334</v>
      </c>
      <c r="H30" s="21" t="s">
        <v>54</v>
      </c>
      <c r="I30" s="21" t="s">
        <v>2872</v>
      </c>
      <c r="J30" s="21"/>
      <c r="K30" s="5814" t="s">
        <v>9608</v>
      </c>
    </row>
    <row r="31" spans="1:11">
      <c r="A31" s="21" t="s">
        <v>4047</v>
      </c>
      <c r="B31" s="21" t="s">
        <v>9609</v>
      </c>
      <c r="C31" s="21" t="s">
        <v>709</v>
      </c>
      <c r="D31" s="21" t="s">
        <v>1098</v>
      </c>
      <c r="E31" s="21" t="s">
        <v>710</v>
      </c>
      <c r="F31" s="5812">
        <v>5</v>
      </c>
      <c r="G31" s="5813">
        <v>0.20833333333333334</v>
      </c>
      <c r="H31" s="21" t="s">
        <v>54</v>
      </c>
      <c r="I31" s="21" t="s">
        <v>96</v>
      </c>
      <c r="J31" s="21" t="s">
        <v>9610</v>
      </c>
      <c r="K31" s="5814" t="s">
        <v>9611</v>
      </c>
    </row>
    <row r="32" spans="1:11">
      <c r="A32" s="21" t="s">
        <v>3029</v>
      </c>
      <c r="B32" s="21" t="s">
        <v>5152</v>
      </c>
      <c r="C32" s="21" t="s">
        <v>22</v>
      </c>
      <c r="D32" s="21" t="s">
        <v>1098</v>
      </c>
      <c r="E32" s="21" t="s">
        <v>193</v>
      </c>
      <c r="F32" s="5812">
        <v>5</v>
      </c>
      <c r="G32" s="5813">
        <v>0.20833333333333334</v>
      </c>
      <c r="H32" s="21" t="s">
        <v>54</v>
      </c>
      <c r="I32" s="21" t="s">
        <v>96</v>
      </c>
      <c r="J32" s="21" t="s">
        <v>9612</v>
      </c>
      <c r="K32" s="5814" t="s">
        <v>9613</v>
      </c>
    </row>
    <row r="33" spans="1:11">
      <c r="A33" s="21" t="s">
        <v>2201</v>
      </c>
      <c r="B33" s="21" t="s">
        <v>9614</v>
      </c>
      <c r="C33" s="21" t="s">
        <v>22</v>
      </c>
      <c r="D33" s="21" t="s">
        <v>1098</v>
      </c>
      <c r="E33" s="21" t="s">
        <v>193</v>
      </c>
      <c r="F33" s="5812">
        <v>5</v>
      </c>
      <c r="G33" s="5813">
        <v>0.20833333333333334</v>
      </c>
      <c r="H33" s="21" t="s">
        <v>54</v>
      </c>
      <c r="I33" s="21" t="s">
        <v>89</v>
      </c>
      <c r="J33" s="21" t="s">
        <v>9615</v>
      </c>
      <c r="K33" s="5814" t="s">
        <v>9616</v>
      </c>
    </row>
    <row r="34" spans="1:11">
      <c r="A34" s="21" t="s">
        <v>87</v>
      </c>
      <c r="B34" s="21" t="s">
        <v>1097</v>
      </c>
      <c r="C34" s="21" t="s">
        <v>8</v>
      </c>
      <c r="D34" s="21" t="s">
        <v>1098</v>
      </c>
      <c r="E34" s="21" t="s">
        <v>9</v>
      </c>
      <c r="F34" s="5812">
        <v>5</v>
      </c>
      <c r="G34" s="5813">
        <v>0.20833333333333334</v>
      </c>
      <c r="H34" s="21" t="s">
        <v>54</v>
      </c>
      <c r="I34" s="21" t="s">
        <v>47</v>
      </c>
      <c r="J34" s="21" t="s">
        <v>1099</v>
      </c>
      <c r="K34" s="5814" t="s">
        <v>1100</v>
      </c>
    </row>
    <row r="35" spans="1:11">
      <c r="A35" s="21" t="s">
        <v>44</v>
      </c>
      <c r="B35" s="21" t="s">
        <v>1101</v>
      </c>
      <c r="C35" s="21" t="s">
        <v>8</v>
      </c>
      <c r="D35" s="21" t="s">
        <v>1098</v>
      </c>
      <c r="E35" s="21" t="s">
        <v>9</v>
      </c>
      <c r="F35" s="5812">
        <v>5</v>
      </c>
      <c r="G35" s="5813">
        <v>0.20833333333333334</v>
      </c>
      <c r="H35" s="21" t="s">
        <v>54</v>
      </c>
      <c r="I35" s="21" t="s">
        <v>47</v>
      </c>
      <c r="J35" s="21" t="s">
        <v>1102</v>
      </c>
      <c r="K35" s="5814" t="s">
        <v>1103</v>
      </c>
    </row>
    <row r="36" spans="1:11">
      <c r="A36" s="21" t="s">
        <v>2454</v>
      </c>
      <c r="B36" s="21" t="s">
        <v>9617</v>
      </c>
      <c r="C36" s="21" t="s">
        <v>22</v>
      </c>
      <c r="D36" s="21" t="s">
        <v>1098</v>
      </c>
      <c r="E36" s="21" t="s">
        <v>9</v>
      </c>
      <c r="F36" s="5812">
        <v>5</v>
      </c>
      <c r="G36" s="5813">
        <v>0.20833333333333334</v>
      </c>
      <c r="H36" s="21" t="s">
        <v>54</v>
      </c>
      <c r="I36" s="21" t="s">
        <v>96</v>
      </c>
      <c r="J36" s="21" t="s">
        <v>9618</v>
      </c>
      <c r="K36" s="5814" t="s">
        <v>9619</v>
      </c>
    </row>
    <row r="37" spans="1:11">
      <c r="A37" s="21" t="s">
        <v>3044</v>
      </c>
      <c r="B37" s="21" t="s">
        <v>9620</v>
      </c>
      <c r="C37" s="21" t="s">
        <v>8</v>
      </c>
      <c r="D37" s="21" t="s">
        <v>1098</v>
      </c>
      <c r="E37" s="21" t="s">
        <v>9</v>
      </c>
      <c r="F37" s="5812">
        <v>5</v>
      </c>
      <c r="G37" s="5813">
        <v>0.20833333333333334</v>
      </c>
      <c r="H37" s="21" t="s">
        <v>54</v>
      </c>
      <c r="I37" s="21" t="s">
        <v>55</v>
      </c>
      <c r="J37" s="21" t="s">
        <v>9621</v>
      </c>
      <c r="K37" s="5814" t="s">
        <v>9622</v>
      </c>
    </row>
    <row r="38" spans="1:11">
      <c r="A38" s="21" t="s">
        <v>3293</v>
      </c>
      <c r="B38" s="21" t="s">
        <v>9623</v>
      </c>
      <c r="C38" s="21" t="s">
        <v>8</v>
      </c>
      <c r="D38" s="21" t="s">
        <v>1098</v>
      </c>
      <c r="E38" s="21" t="s">
        <v>9</v>
      </c>
      <c r="F38" s="5812">
        <v>5</v>
      </c>
      <c r="G38" s="5813">
        <v>0.20833333333333334</v>
      </c>
      <c r="H38" s="21" t="s">
        <v>54</v>
      </c>
      <c r="I38" s="21" t="s">
        <v>55</v>
      </c>
      <c r="J38" s="21" t="s">
        <v>9624</v>
      </c>
      <c r="K38" s="5814" t="s">
        <v>9625</v>
      </c>
    </row>
    <row r="39" spans="1:11">
      <c r="A39" s="21" t="s">
        <v>3328</v>
      </c>
      <c r="B39" s="21" t="s">
        <v>9626</v>
      </c>
      <c r="C39" s="21" t="s">
        <v>8</v>
      </c>
      <c r="D39" s="21" t="s">
        <v>1098</v>
      </c>
      <c r="E39" s="21" t="s">
        <v>46</v>
      </c>
      <c r="F39" s="5812">
        <v>1</v>
      </c>
      <c r="G39" s="5813">
        <v>2.2222222222222223E-2</v>
      </c>
      <c r="H39" s="21" t="s">
        <v>54</v>
      </c>
      <c r="I39" s="21" t="s">
        <v>187</v>
      </c>
      <c r="J39" s="21" t="s">
        <v>127</v>
      </c>
      <c r="K39" s="5814" t="s">
        <v>9627</v>
      </c>
    </row>
    <row r="40" spans="1:11">
      <c r="A40" s="21" t="s">
        <v>4645</v>
      </c>
      <c r="B40" s="21" t="s">
        <v>9614</v>
      </c>
      <c r="C40" s="21" t="s">
        <v>8</v>
      </c>
      <c r="D40" s="21" t="s">
        <v>1098</v>
      </c>
      <c r="E40" s="21" t="s">
        <v>46</v>
      </c>
      <c r="F40" s="5812">
        <v>1</v>
      </c>
      <c r="G40" s="5813">
        <v>0.11736111111111111</v>
      </c>
      <c r="H40" s="21" t="s">
        <v>54</v>
      </c>
      <c r="I40" s="21" t="s">
        <v>2297</v>
      </c>
      <c r="J40" s="21" t="s">
        <v>7866</v>
      </c>
      <c r="K40" s="5814" t="s">
        <v>9628</v>
      </c>
    </row>
    <row r="41" spans="1:11">
      <c r="A41" s="21" t="s">
        <v>5335</v>
      </c>
      <c r="B41" s="21" t="s">
        <v>9629</v>
      </c>
      <c r="C41" s="21" t="s">
        <v>8</v>
      </c>
      <c r="D41" s="21" t="s">
        <v>1098</v>
      </c>
      <c r="E41" s="21" t="s">
        <v>61</v>
      </c>
      <c r="F41" s="5812">
        <v>1</v>
      </c>
      <c r="G41" s="5813">
        <v>8.1250000000000003E-2</v>
      </c>
      <c r="H41" s="21" t="s">
        <v>54</v>
      </c>
      <c r="I41" s="21" t="s">
        <v>47</v>
      </c>
      <c r="J41" s="21" t="s">
        <v>3350</v>
      </c>
      <c r="K41" s="5814" t="s">
        <v>9630</v>
      </c>
    </row>
    <row r="42" spans="1:11">
      <c r="A42" s="21" t="s">
        <v>2542</v>
      </c>
      <c r="B42" s="21" t="s">
        <v>9631</v>
      </c>
      <c r="C42" s="21" t="s">
        <v>8</v>
      </c>
      <c r="D42" s="21" t="s">
        <v>1098</v>
      </c>
      <c r="E42" s="21" t="s">
        <v>61</v>
      </c>
      <c r="F42" s="5812">
        <v>1</v>
      </c>
      <c r="G42" s="5813">
        <v>0.2</v>
      </c>
      <c r="H42" s="21" t="s">
        <v>54</v>
      </c>
      <c r="I42" s="21" t="s">
        <v>47</v>
      </c>
      <c r="J42" s="21" t="s">
        <v>67</v>
      </c>
      <c r="K42" s="5814" t="s">
        <v>9632</v>
      </c>
    </row>
    <row r="43" spans="1:11">
      <c r="A43" s="21" t="s">
        <v>3984</v>
      </c>
      <c r="B43" s="21" t="s">
        <v>9609</v>
      </c>
      <c r="C43" s="21" t="s">
        <v>22</v>
      </c>
      <c r="D43" s="21" t="s">
        <v>1098</v>
      </c>
      <c r="E43" s="21" t="s">
        <v>61</v>
      </c>
      <c r="F43" s="5812">
        <v>3</v>
      </c>
      <c r="G43" s="5813">
        <v>0.10138888888888889</v>
      </c>
      <c r="H43" s="21" t="s">
        <v>54</v>
      </c>
      <c r="I43" s="21" t="s">
        <v>89</v>
      </c>
      <c r="J43" s="21" t="s">
        <v>67</v>
      </c>
      <c r="K43" s="5814" t="s">
        <v>9633</v>
      </c>
    </row>
    <row r="44" spans="1:11">
      <c r="A44" s="21" t="s">
        <v>2784</v>
      </c>
      <c r="B44" s="21" t="s">
        <v>9634</v>
      </c>
      <c r="C44" s="21" t="s">
        <v>8</v>
      </c>
      <c r="D44" s="21" t="s">
        <v>1098</v>
      </c>
      <c r="E44" s="21" t="s">
        <v>61</v>
      </c>
      <c r="F44" s="5812">
        <v>3</v>
      </c>
      <c r="G44" s="5813">
        <v>0.20069444444444445</v>
      </c>
      <c r="H44" s="21" t="s">
        <v>54</v>
      </c>
      <c r="I44" s="21" t="s">
        <v>226</v>
      </c>
      <c r="J44" s="21" t="s">
        <v>1444</v>
      </c>
      <c r="K44" s="5814" t="s">
        <v>9635</v>
      </c>
    </row>
    <row r="45" spans="1:11">
      <c r="A45" s="21" t="s">
        <v>2221</v>
      </c>
      <c r="B45" s="21" t="s">
        <v>9636</v>
      </c>
      <c r="C45" s="21" t="s">
        <v>8</v>
      </c>
      <c r="D45" s="21" t="s">
        <v>1098</v>
      </c>
      <c r="E45" s="21" t="s">
        <v>61</v>
      </c>
      <c r="F45" s="5812">
        <v>5</v>
      </c>
      <c r="G45" s="5813">
        <v>0.13541666666666666</v>
      </c>
      <c r="H45" s="21" t="s">
        <v>54</v>
      </c>
      <c r="I45" s="21" t="s">
        <v>226</v>
      </c>
      <c r="J45" s="21" t="s">
        <v>1379</v>
      </c>
      <c r="K45" s="5814" t="s">
        <v>9637</v>
      </c>
    </row>
    <row r="46" spans="1:11">
      <c r="A46" s="21" t="s">
        <v>3056</v>
      </c>
      <c r="B46" s="21" t="s">
        <v>9638</v>
      </c>
      <c r="C46" s="21" t="s">
        <v>8</v>
      </c>
      <c r="D46" s="21" t="s">
        <v>1098</v>
      </c>
      <c r="E46" s="21" t="s">
        <v>61</v>
      </c>
      <c r="F46" s="5812">
        <v>5</v>
      </c>
      <c r="G46" s="5813">
        <v>0.2076388888888889</v>
      </c>
      <c r="H46" s="21" t="s">
        <v>54</v>
      </c>
      <c r="I46" s="21" t="s">
        <v>2872</v>
      </c>
      <c r="J46" s="21" t="s">
        <v>1444</v>
      </c>
      <c r="K46" s="5814" t="s">
        <v>9639</v>
      </c>
    </row>
    <row r="47" spans="1:11">
      <c r="A47" s="21" t="s">
        <v>2354</v>
      </c>
      <c r="B47" s="21" t="s">
        <v>9609</v>
      </c>
      <c r="C47" s="21" t="s">
        <v>22</v>
      </c>
      <c r="D47" s="21" t="s">
        <v>1098</v>
      </c>
      <c r="E47" s="21" t="s">
        <v>244</v>
      </c>
      <c r="F47" s="5812">
        <v>3</v>
      </c>
      <c r="G47" s="5813">
        <v>0.20833333333333334</v>
      </c>
      <c r="H47" s="21" t="s">
        <v>54</v>
      </c>
      <c r="I47" s="21" t="s">
        <v>55</v>
      </c>
      <c r="J47" s="21" t="s">
        <v>3622</v>
      </c>
      <c r="K47" s="5814" t="s">
        <v>9640</v>
      </c>
    </row>
    <row r="48" spans="1:11">
      <c r="A48" s="21" t="s">
        <v>2454</v>
      </c>
      <c r="B48" s="21" t="s">
        <v>9641</v>
      </c>
      <c r="C48" s="21" t="s">
        <v>8</v>
      </c>
      <c r="D48" s="21" t="s">
        <v>9642</v>
      </c>
      <c r="E48" s="21" t="s">
        <v>9</v>
      </c>
      <c r="F48" s="5812">
        <v>5</v>
      </c>
      <c r="G48" s="5813">
        <v>0.20833333333333334</v>
      </c>
      <c r="H48" s="21" t="s">
        <v>54</v>
      </c>
      <c r="I48" s="21" t="s">
        <v>55</v>
      </c>
      <c r="J48" s="21" t="s">
        <v>9643</v>
      </c>
      <c r="K48" s="5814" t="s">
        <v>9644</v>
      </c>
    </row>
    <row r="49" spans="1:11">
      <c r="A49" s="21" t="s">
        <v>2530</v>
      </c>
      <c r="B49" s="21" t="s">
        <v>9645</v>
      </c>
      <c r="C49" s="21" t="s">
        <v>8</v>
      </c>
      <c r="D49" s="21" t="s">
        <v>9642</v>
      </c>
      <c r="E49" s="21" t="s">
        <v>9</v>
      </c>
      <c r="F49" s="5812">
        <v>5</v>
      </c>
      <c r="G49" s="5813">
        <v>0.20833333333333334</v>
      </c>
      <c r="H49" s="21" t="s">
        <v>54</v>
      </c>
      <c r="I49" s="21" t="s">
        <v>47</v>
      </c>
      <c r="J49" s="21" t="s">
        <v>9646</v>
      </c>
      <c r="K49" s="5814" t="s">
        <v>9647</v>
      </c>
    </row>
    <row r="50" spans="1:11">
      <c r="A50" s="21" t="s">
        <v>3125</v>
      </c>
      <c r="B50" s="21" t="s">
        <v>9648</v>
      </c>
      <c r="C50" s="21" t="s">
        <v>8</v>
      </c>
      <c r="D50" s="21" t="s">
        <v>9642</v>
      </c>
      <c r="E50" s="21" t="s">
        <v>9</v>
      </c>
      <c r="F50" s="5812">
        <v>5</v>
      </c>
      <c r="G50" s="5813">
        <v>0.20833333333333334</v>
      </c>
      <c r="H50" s="21" t="s">
        <v>54</v>
      </c>
      <c r="I50" s="21" t="s">
        <v>55</v>
      </c>
      <c r="J50" s="21" t="s">
        <v>9649</v>
      </c>
      <c r="K50" s="5814" t="s">
        <v>9650</v>
      </c>
    </row>
    <row r="51" spans="1:11">
      <c r="A51" s="21" t="s">
        <v>4321</v>
      </c>
      <c r="B51" s="21" t="s">
        <v>9651</v>
      </c>
      <c r="C51" s="21" t="s">
        <v>8</v>
      </c>
      <c r="D51" s="21" t="s">
        <v>9642</v>
      </c>
      <c r="E51" s="21" t="s">
        <v>46</v>
      </c>
      <c r="F51" s="5812">
        <v>1</v>
      </c>
      <c r="G51" s="5813">
        <v>9.8611111111111108E-2</v>
      </c>
      <c r="H51" s="21" t="s">
        <v>54</v>
      </c>
      <c r="I51" s="21" t="s">
        <v>55</v>
      </c>
      <c r="J51" s="21" t="s">
        <v>406</v>
      </c>
      <c r="K51" s="5814" t="s">
        <v>9652</v>
      </c>
    </row>
    <row r="52" spans="1:11">
      <c r="A52" s="21" t="s">
        <v>2839</v>
      </c>
      <c r="B52" s="21" t="s">
        <v>9653</v>
      </c>
      <c r="C52" s="21" t="s">
        <v>22</v>
      </c>
      <c r="D52" s="21" t="s">
        <v>9642</v>
      </c>
      <c r="E52" s="21" t="s">
        <v>46</v>
      </c>
      <c r="F52" s="5812">
        <v>1</v>
      </c>
      <c r="G52" s="5813">
        <v>0.11597222222222223</v>
      </c>
      <c r="H52" s="21" t="s">
        <v>54</v>
      </c>
      <c r="I52" s="21" t="s">
        <v>226</v>
      </c>
      <c r="J52" s="21" t="s">
        <v>406</v>
      </c>
      <c r="K52" s="5814" t="s">
        <v>9654</v>
      </c>
    </row>
    <row r="53" spans="1:11">
      <c r="A53" s="21" t="s">
        <v>2824</v>
      </c>
      <c r="B53" s="21" t="s">
        <v>9655</v>
      </c>
      <c r="C53" s="21" t="s">
        <v>8</v>
      </c>
      <c r="D53" s="21" t="s">
        <v>9642</v>
      </c>
      <c r="E53" s="21" t="s">
        <v>46</v>
      </c>
      <c r="F53" s="5812">
        <v>1</v>
      </c>
      <c r="G53" s="5813">
        <v>0.18541666666666667</v>
      </c>
      <c r="H53" s="21" t="s">
        <v>54</v>
      </c>
      <c r="I53" s="21" t="s">
        <v>47</v>
      </c>
      <c r="J53" s="21" t="s">
        <v>5326</v>
      </c>
      <c r="K53" s="5814" t="s">
        <v>9656</v>
      </c>
    </row>
    <row r="54" spans="1:11">
      <c r="A54" s="21" t="s">
        <v>2707</v>
      </c>
      <c r="B54" s="21" t="s">
        <v>9645</v>
      </c>
      <c r="C54" s="21" t="s">
        <v>22</v>
      </c>
      <c r="D54" s="21" t="s">
        <v>9642</v>
      </c>
      <c r="E54" s="21" t="s">
        <v>46</v>
      </c>
      <c r="F54" s="5812">
        <v>1</v>
      </c>
      <c r="G54" s="5813">
        <v>0.18958333333333333</v>
      </c>
      <c r="H54" s="21" t="s">
        <v>54</v>
      </c>
      <c r="I54" s="21" t="s">
        <v>47</v>
      </c>
      <c r="J54" s="21" t="s">
        <v>1076</v>
      </c>
      <c r="K54" s="5814" t="s">
        <v>9657</v>
      </c>
    </row>
    <row r="55" spans="1:11">
      <c r="A55" s="21" t="s">
        <v>3224</v>
      </c>
      <c r="B55" s="21" t="s">
        <v>9648</v>
      </c>
      <c r="C55" s="21" t="s">
        <v>22</v>
      </c>
      <c r="D55" s="21" t="s">
        <v>9642</v>
      </c>
      <c r="E55" s="21" t="s">
        <v>46</v>
      </c>
      <c r="F55" s="5812">
        <v>2</v>
      </c>
      <c r="G55" s="5813">
        <v>3.6111111111111108E-2</v>
      </c>
      <c r="H55" s="21" t="s">
        <v>54</v>
      </c>
      <c r="I55" s="21" t="s">
        <v>55</v>
      </c>
      <c r="J55" s="21" t="s">
        <v>48</v>
      </c>
      <c r="K55" s="5814" t="s">
        <v>9658</v>
      </c>
    </row>
    <row r="56" spans="1:11">
      <c r="A56" s="21" t="s">
        <v>2169</v>
      </c>
      <c r="B56" s="21" t="s">
        <v>9659</v>
      </c>
      <c r="C56" s="21" t="s">
        <v>22</v>
      </c>
      <c r="D56" s="21" t="s">
        <v>9642</v>
      </c>
      <c r="E56" s="21" t="s">
        <v>46</v>
      </c>
      <c r="F56" s="5812">
        <v>4</v>
      </c>
      <c r="G56" s="5813">
        <v>0.17291666666666666</v>
      </c>
      <c r="H56" s="21" t="s">
        <v>54</v>
      </c>
      <c r="I56" s="21" t="s">
        <v>55</v>
      </c>
      <c r="J56" s="21" t="s">
        <v>97</v>
      </c>
      <c r="K56" s="5814" t="s">
        <v>9660</v>
      </c>
    </row>
    <row r="57" spans="1:11">
      <c r="A57" s="21" t="s">
        <v>2049</v>
      </c>
      <c r="B57" s="21" t="s">
        <v>9661</v>
      </c>
      <c r="C57" s="21" t="s">
        <v>8</v>
      </c>
      <c r="D57" s="21" t="s">
        <v>9642</v>
      </c>
      <c r="E57" s="21" t="s">
        <v>61</v>
      </c>
      <c r="F57" s="5812">
        <v>1</v>
      </c>
      <c r="G57" s="5813">
        <v>8.611111111111111E-2</v>
      </c>
      <c r="H57" s="21" t="s">
        <v>54</v>
      </c>
      <c r="I57" s="21" t="s">
        <v>47</v>
      </c>
      <c r="J57" s="21" t="s">
        <v>3313</v>
      </c>
      <c r="K57" s="5814" t="s">
        <v>9662</v>
      </c>
    </row>
    <row r="58" spans="1:11">
      <c r="A58" s="21" t="s">
        <v>3741</v>
      </c>
      <c r="B58" s="21" t="s">
        <v>9663</v>
      </c>
      <c r="C58" s="21" t="s">
        <v>8</v>
      </c>
      <c r="D58" s="21" t="s">
        <v>9642</v>
      </c>
      <c r="E58" s="21" t="s">
        <v>61</v>
      </c>
      <c r="F58" s="5812">
        <v>2</v>
      </c>
      <c r="G58" s="5813">
        <v>9.3055555555555558E-2</v>
      </c>
      <c r="H58" s="21" t="s">
        <v>54</v>
      </c>
      <c r="I58" s="21" t="s">
        <v>55</v>
      </c>
      <c r="J58" s="21" t="s">
        <v>67</v>
      </c>
      <c r="K58" s="5814" t="s">
        <v>9664</v>
      </c>
    </row>
    <row r="59" spans="1:11">
      <c r="A59" s="21" t="s">
        <v>3260</v>
      </c>
      <c r="B59" s="21" t="s">
        <v>9665</v>
      </c>
      <c r="C59" s="21" t="s">
        <v>22</v>
      </c>
      <c r="D59" s="21" t="s">
        <v>9642</v>
      </c>
      <c r="E59" s="21" t="s">
        <v>61</v>
      </c>
      <c r="F59" s="5812">
        <v>3</v>
      </c>
      <c r="G59" s="5813">
        <v>9.2361111111111116E-2</v>
      </c>
      <c r="H59" s="21" t="s">
        <v>54</v>
      </c>
      <c r="I59" s="21" t="s">
        <v>55</v>
      </c>
      <c r="J59" s="21" t="s">
        <v>3313</v>
      </c>
      <c r="K59" s="5814" t="s">
        <v>9666</v>
      </c>
    </row>
    <row r="60" spans="1:11">
      <c r="A60" s="21" t="s">
        <v>3974</v>
      </c>
      <c r="B60" s="21" t="s">
        <v>9667</v>
      </c>
      <c r="C60" s="21" t="s">
        <v>8</v>
      </c>
      <c r="D60" s="21" t="s">
        <v>9668</v>
      </c>
      <c r="E60" s="21" t="s">
        <v>9</v>
      </c>
      <c r="F60" s="5812">
        <v>5</v>
      </c>
      <c r="G60" s="5813">
        <v>0.20833333333333334</v>
      </c>
      <c r="H60" s="21" t="s">
        <v>54</v>
      </c>
      <c r="I60" s="21" t="s">
        <v>96</v>
      </c>
      <c r="J60" s="21" t="s">
        <v>9669</v>
      </c>
      <c r="K60" s="5814" t="s">
        <v>9670</v>
      </c>
    </row>
    <row r="61" spans="1:11">
      <c r="A61" s="21" t="s">
        <v>2835</v>
      </c>
      <c r="B61" s="21" t="s">
        <v>9671</v>
      </c>
      <c r="C61" s="21" t="s">
        <v>8</v>
      </c>
      <c r="D61" s="21" t="s">
        <v>9672</v>
      </c>
      <c r="E61" s="21" t="s">
        <v>9</v>
      </c>
      <c r="F61" s="5812">
        <v>5</v>
      </c>
      <c r="G61" s="5813">
        <v>0.20833333333333334</v>
      </c>
      <c r="H61" s="21" t="s">
        <v>54</v>
      </c>
      <c r="I61" s="21" t="s">
        <v>47</v>
      </c>
      <c r="J61" s="21" t="s">
        <v>9673</v>
      </c>
      <c r="K61" s="5814" t="s">
        <v>9674</v>
      </c>
    </row>
    <row r="62" spans="1:11">
      <c r="A62" s="21" t="s">
        <v>2882</v>
      </c>
      <c r="B62" s="21" t="s">
        <v>9675</v>
      </c>
      <c r="C62" s="21" t="s">
        <v>22</v>
      </c>
      <c r="D62" s="21" t="s">
        <v>9672</v>
      </c>
      <c r="E62" s="21" t="s">
        <v>46</v>
      </c>
      <c r="F62" s="5812">
        <v>2</v>
      </c>
      <c r="G62" s="5813">
        <v>0.20624999999999999</v>
      </c>
      <c r="H62" s="21" t="s">
        <v>54</v>
      </c>
      <c r="I62" s="21" t="s">
        <v>55</v>
      </c>
      <c r="J62" s="21" t="s">
        <v>48</v>
      </c>
      <c r="K62" s="5814" t="s">
        <v>9676</v>
      </c>
    </row>
    <row r="63" spans="1:11">
      <c r="A63" s="21" t="s">
        <v>2808</v>
      </c>
      <c r="B63" s="21" t="s">
        <v>9677</v>
      </c>
      <c r="C63" s="21" t="s">
        <v>8</v>
      </c>
      <c r="D63" s="21" t="s">
        <v>9672</v>
      </c>
      <c r="E63" s="21" t="s">
        <v>46</v>
      </c>
      <c r="F63" s="5812">
        <v>3</v>
      </c>
      <c r="G63" s="5813">
        <v>0.2013888888888889</v>
      </c>
      <c r="H63" s="21" t="s">
        <v>54</v>
      </c>
      <c r="I63" s="21" t="s">
        <v>2872</v>
      </c>
      <c r="J63" s="21" t="s">
        <v>97</v>
      </c>
      <c r="K63" s="5814" t="s">
        <v>9678</v>
      </c>
    </row>
    <row r="64" spans="1:11">
      <c r="A64" s="21" t="s">
        <v>3886</v>
      </c>
      <c r="B64" s="21" t="s">
        <v>9679</v>
      </c>
      <c r="C64" s="21" t="s">
        <v>8</v>
      </c>
      <c r="D64" s="21" t="s">
        <v>9672</v>
      </c>
      <c r="E64" s="21" t="s">
        <v>61</v>
      </c>
      <c r="F64" s="5812">
        <v>2</v>
      </c>
      <c r="G64" s="5813">
        <v>0.17986111111111111</v>
      </c>
      <c r="H64" s="21" t="s">
        <v>54</v>
      </c>
      <c r="I64" s="21" t="s">
        <v>96</v>
      </c>
      <c r="J64" s="21" t="s">
        <v>3326</v>
      </c>
      <c r="K64" s="5814" t="s">
        <v>9680</v>
      </c>
    </row>
    <row r="65" spans="1:11">
      <c r="A65" s="21" t="s">
        <v>5390</v>
      </c>
      <c r="B65" s="21" t="s">
        <v>5121</v>
      </c>
      <c r="C65" s="21" t="s">
        <v>8</v>
      </c>
      <c r="D65" s="21" t="s">
        <v>9681</v>
      </c>
      <c r="E65" s="21" t="s">
        <v>46</v>
      </c>
      <c r="F65" s="5812">
        <v>3</v>
      </c>
      <c r="G65" s="5813">
        <v>0.19027777777777777</v>
      </c>
      <c r="H65" s="21" t="s">
        <v>54</v>
      </c>
      <c r="I65" s="21" t="s">
        <v>55</v>
      </c>
      <c r="J65" s="21" t="s">
        <v>3004</v>
      </c>
      <c r="K65" s="5814" t="s">
        <v>9682</v>
      </c>
    </row>
    <row r="66" spans="1:11">
      <c r="A66" s="21" t="s">
        <v>223</v>
      </c>
      <c r="B66" s="21" t="s">
        <v>1106</v>
      </c>
      <c r="C66" s="21" t="s">
        <v>22</v>
      </c>
      <c r="D66" s="21" t="s">
        <v>1107</v>
      </c>
      <c r="E66" s="21" t="s">
        <v>46</v>
      </c>
      <c r="F66" s="5812">
        <v>1</v>
      </c>
      <c r="G66" s="5813">
        <v>4.791666666666667E-2</v>
      </c>
      <c r="H66" s="21" t="s">
        <v>54</v>
      </c>
      <c r="I66" s="21" t="s">
        <v>226</v>
      </c>
      <c r="J66" s="21" t="s">
        <v>48</v>
      </c>
      <c r="K66" s="5814" t="s">
        <v>1108</v>
      </c>
    </row>
    <row r="67" spans="1:11">
      <c r="A67" s="21" t="s">
        <v>2115</v>
      </c>
      <c r="B67" s="21" t="s">
        <v>9683</v>
      </c>
      <c r="C67" s="21" t="s">
        <v>22</v>
      </c>
      <c r="D67" s="21" t="s">
        <v>1107</v>
      </c>
      <c r="E67" s="21" t="s">
        <v>46</v>
      </c>
      <c r="F67" s="5812">
        <v>3</v>
      </c>
      <c r="G67" s="5813">
        <v>0.17430555555555555</v>
      </c>
      <c r="H67" s="21" t="s">
        <v>54</v>
      </c>
      <c r="I67" s="21" t="s">
        <v>226</v>
      </c>
      <c r="J67" s="21" t="s">
        <v>127</v>
      </c>
      <c r="K67" s="5814" t="s">
        <v>9684</v>
      </c>
    </row>
    <row r="68" spans="1:11">
      <c r="A68" s="21" t="s">
        <v>4645</v>
      </c>
      <c r="B68" s="21" t="s">
        <v>9685</v>
      </c>
      <c r="C68" s="21" t="s">
        <v>8</v>
      </c>
      <c r="D68" s="21" t="s">
        <v>9686</v>
      </c>
      <c r="E68" s="21" t="s">
        <v>9</v>
      </c>
      <c r="F68" s="5812">
        <v>5</v>
      </c>
      <c r="G68" s="5813">
        <v>0.20833333333333334</v>
      </c>
      <c r="H68" s="21" t="s">
        <v>54</v>
      </c>
      <c r="I68" s="21" t="s">
        <v>55</v>
      </c>
      <c r="J68" s="21" t="s">
        <v>9687</v>
      </c>
      <c r="K68" s="5814" t="s">
        <v>9688</v>
      </c>
    </row>
    <row r="69" spans="1:11">
      <c r="A69" s="21" t="s">
        <v>2626</v>
      </c>
      <c r="B69" s="21" t="s">
        <v>9689</v>
      </c>
      <c r="C69" s="21" t="s">
        <v>22</v>
      </c>
      <c r="D69" s="21" t="s">
        <v>9690</v>
      </c>
      <c r="E69" s="21" t="s">
        <v>9</v>
      </c>
      <c r="F69" s="5812">
        <v>5</v>
      </c>
      <c r="G69" s="5813">
        <v>0.20833333333333334</v>
      </c>
      <c r="H69" s="21" t="s">
        <v>54</v>
      </c>
      <c r="I69" s="21" t="s">
        <v>2692</v>
      </c>
      <c r="J69" s="21" t="s">
        <v>9691</v>
      </c>
      <c r="K69" s="5814" t="s">
        <v>9692</v>
      </c>
    </row>
    <row r="70" spans="1:11">
      <c r="A70" s="21" t="s">
        <v>4116</v>
      </c>
      <c r="B70" s="21" t="s">
        <v>9693</v>
      </c>
      <c r="C70" s="21" t="s">
        <v>22</v>
      </c>
      <c r="D70" s="21" t="s">
        <v>9690</v>
      </c>
      <c r="E70" s="21" t="s">
        <v>46</v>
      </c>
      <c r="F70" s="5812">
        <v>5</v>
      </c>
      <c r="G70" s="5813">
        <v>0.15208333333333332</v>
      </c>
      <c r="H70" s="21" t="s">
        <v>54</v>
      </c>
      <c r="I70" s="21" t="s">
        <v>55</v>
      </c>
      <c r="J70" s="21" t="s">
        <v>48</v>
      </c>
      <c r="K70" s="5814" t="s">
        <v>9694</v>
      </c>
    </row>
    <row r="71" spans="1:11">
      <c r="A71" s="21" t="s">
        <v>2221</v>
      </c>
      <c r="B71" s="21" t="s">
        <v>9695</v>
      </c>
      <c r="C71" s="21" t="s">
        <v>8</v>
      </c>
      <c r="D71" s="21" t="s">
        <v>9690</v>
      </c>
      <c r="E71" s="21" t="s">
        <v>61</v>
      </c>
      <c r="F71" s="5812">
        <v>3</v>
      </c>
      <c r="G71" s="5813">
        <v>0.16805555555555557</v>
      </c>
      <c r="H71" s="21" t="s">
        <v>54</v>
      </c>
      <c r="I71" s="21" t="s">
        <v>55</v>
      </c>
      <c r="J71" s="21" t="s">
        <v>3326</v>
      </c>
      <c r="K71" s="5814" t="s">
        <v>9696</v>
      </c>
    </row>
    <row r="72" spans="1:11">
      <c r="A72" s="21" t="s">
        <v>2626</v>
      </c>
      <c r="B72" s="21" t="s">
        <v>9697</v>
      </c>
      <c r="C72" s="21" t="s">
        <v>22</v>
      </c>
      <c r="D72" s="21" t="s">
        <v>9698</v>
      </c>
      <c r="E72" s="21" t="s">
        <v>9</v>
      </c>
      <c r="F72" s="5812">
        <v>5</v>
      </c>
      <c r="G72" s="5813">
        <v>0.20833333333333334</v>
      </c>
      <c r="H72" s="21" t="s">
        <v>54</v>
      </c>
      <c r="I72" s="21" t="s">
        <v>47</v>
      </c>
      <c r="J72" s="21" t="s">
        <v>9699</v>
      </c>
      <c r="K72" s="5814" t="s">
        <v>9700</v>
      </c>
    </row>
    <row r="73" spans="1:11">
      <c r="A73" s="21" t="s">
        <v>3430</v>
      </c>
      <c r="B73" s="21" t="s">
        <v>9701</v>
      </c>
      <c r="C73" s="21" t="s">
        <v>22</v>
      </c>
      <c r="D73" s="21" t="s">
        <v>9698</v>
      </c>
      <c r="E73" s="21" t="s">
        <v>9</v>
      </c>
      <c r="F73" s="5812">
        <v>5</v>
      </c>
      <c r="G73" s="5813">
        <v>0.20833333333333334</v>
      </c>
      <c r="H73" s="21" t="s">
        <v>54</v>
      </c>
      <c r="I73" s="21" t="s">
        <v>2297</v>
      </c>
      <c r="J73" s="21" t="s">
        <v>9702</v>
      </c>
      <c r="K73" s="5814" t="s">
        <v>9703</v>
      </c>
    </row>
    <row r="74" spans="1:11">
      <c r="A74" s="21" t="s">
        <v>2741</v>
      </c>
      <c r="B74" s="21" t="s">
        <v>9704</v>
      </c>
      <c r="C74" s="21" t="s">
        <v>8</v>
      </c>
      <c r="D74" s="21" t="s">
        <v>9698</v>
      </c>
      <c r="E74" s="21" t="s">
        <v>46</v>
      </c>
      <c r="F74" s="5812">
        <v>3</v>
      </c>
      <c r="G74" s="5813">
        <v>7.4999999999999997E-2</v>
      </c>
      <c r="H74" s="21" t="s">
        <v>54</v>
      </c>
      <c r="I74" s="21" t="s">
        <v>47</v>
      </c>
      <c r="J74" s="21" t="s">
        <v>48</v>
      </c>
      <c r="K74" s="5814" t="s">
        <v>9705</v>
      </c>
    </row>
    <row r="75" spans="1:11">
      <c r="A75" s="21" t="s">
        <v>3757</v>
      </c>
      <c r="B75" s="21" t="s">
        <v>9706</v>
      </c>
      <c r="C75" s="21" t="s">
        <v>22</v>
      </c>
      <c r="D75" s="21" t="s">
        <v>9707</v>
      </c>
      <c r="E75" s="21" t="s">
        <v>9</v>
      </c>
      <c r="F75" s="5812">
        <v>5</v>
      </c>
      <c r="G75" s="5813">
        <v>0.20833333333333334</v>
      </c>
      <c r="H75" s="21" t="s">
        <v>54</v>
      </c>
      <c r="I75" s="21" t="s">
        <v>55</v>
      </c>
      <c r="J75" s="21" t="s">
        <v>9708</v>
      </c>
      <c r="K75" s="5814" t="s">
        <v>9709</v>
      </c>
    </row>
    <row r="76" spans="1:11">
      <c r="A76" s="21" t="s">
        <v>3230</v>
      </c>
      <c r="B76" s="21" t="s">
        <v>9710</v>
      </c>
      <c r="C76" s="21" t="s">
        <v>709</v>
      </c>
      <c r="D76" s="21" t="s">
        <v>1114</v>
      </c>
      <c r="E76" s="21" t="s">
        <v>193</v>
      </c>
      <c r="F76" s="5812">
        <v>5</v>
      </c>
      <c r="G76" s="5813">
        <v>0.20833333333333334</v>
      </c>
      <c r="H76" s="21" t="s">
        <v>54</v>
      </c>
      <c r="I76" s="21" t="s">
        <v>47</v>
      </c>
      <c r="J76" s="21" t="s">
        <v>9711</v>
      </c>
      <c r="K76" s="5814" t="s">
        <v>9712</v>
      </c>
    </row>
    <row r="77" spans="1:11">
      <c r="A77" s="21" t="s">
        <v>2985</v>
      </c>
      <c r="B77" s="21" t="s">
        <v>9713</v>
      </c>
      <c r="C77" s="21" t="s">
        <v>8</v>
      </c>
      <c r="D77" s="21" t="s">
        <v>1114</v>
      </c>
      <c r="E77" s="21" t="s">
        <v>193</v>
      </c>
      <c r="F77" s="5812">
        <v>5</v>
      </c>
      <c r="G77" s="5813">
        <v>0.20833333333333334</v>
      </c>
      <c r="H77" s="21" t="s">
        <v>54</v>
      </c>
      <c r="I77" s="21" t="s">
        <v>55</v>
      </c>
      <c r="J77" s="21" t="s">
        <v>9714</v>
      </c>
      <c r="K77" s="5814" t="s">
        <v>9715</v>
      </c>
    </row>
    <row r="78" spans="1:11">
      <c r="A78" s="21" t="s">
        <v>4434</v>
      </c>
      <c r="B78" s="21" t="s">
        <v>9716</v>
      </c>
      <c r="C78" s="21" t="s">
        <v>8</v>
      </c>
      <c r="D78" s="21" t="s">
        <v>1114</v>
      </c>
      <c r="E78" s="21" t="s">
        <v>193</v>
      </c>
      <c r="F78" s="5812">
        <v>5</v>
      </c>
      <c r="G78" s="5813">
        <v>0.20833333333333334</v>
      </c>
      <c r="H78" s="21" t="s">
        <v>54</v>
      </c>
      <c r="I78" s="21" t="s">
        <v>55</v>
      </c>
      <c r="J78" s="21" t="s">
        <v>9717</v>
      </c>
      <c r="K78" s="5814" t="s">
        <v>9718</v>
      </c>
    </row>
    <row r="79" spans="1:11">
      <c r="A79" s="21" t="s">
        <v>2354</v>
      </c>
      <c r="B79" s="21" t="s">
        <v>9719</v>
      </c>
      <c r="C79" s="21" t="s">
        <v>22</v>
      </c>
      <c r="D79" s="21" t="s">
        <v>1114</v>
      </c>
      <c r="E79" s="21" t="s">
        <v>9</v>
      </c>
      <c r="F79" s="5812">
        <v>5</v>
      </c>
      <c r="G79" s="5813">
        <v>0.20833333333333334</v>
      </c>
      <c r="H79" s="21" t="s">
        <v>54</v>
      </c>
      <c r="I79" s="21" t="s">
        <v>47</v>
      </c>
      <c r="J79" s="21" t="s">
        <v>9720</v>
      </c>
      <c r="K79" s="5814" t="s">
        <v>9721</v>
      </c>
    </row>
    <row r="80" spans="1:11">
      <c r="A80" s="21" t="s">
        <v>2123</v>
      </c>
      <c r="B80" s="21" t="s">
        <v>9722</v>
      </c>
      <c r="C80" s="21" t="s">
        <v>8</v>
      </c>
      <c r="D80" s="21" t="s">
        <v>1114</v>
      </c>
      <c r="E80" s="21" t="s">
        <v>9</v>
      </c>
      <c r="F80" s="5812">
        <v>5</v>
      </c>
      <c r="G80" s="5813">
        <v>0.20833333333333334</v>
      </c>
      <c r="H80" s="21" t="s">
        <v>54</v>
      </c>
      <c r="I80" s="21" t="s">
        <v>55</v>
      </c>
      <c r="J80" s="21" t="s">
        <v>9723</v>
      </c>
      <c r="K80" s="5814" t="s">
        <v>9724</v>
      </c>
    </row>
    <row r="81" spans="1:11">
      <c r="A81" s="21" t="s">
        <v>2143</v>
      </c>
      <c r="B81" s="21" t="s">
        <v>9725</v>
      </c>
      <c r="C81" s="21" t="s">
        <v>8</v>
      </c>
      <c r="D81" s="21" t="s">
        <v>1114</v>
      </c>
      <c r="E81" s="21" t="s">
        <v>9</v>
      </c>
      <c r="F81" s="5812">
        <v>5</v>
      </c>
      <c r="G81" s="5813">
        <v>0.20833333333333334</v>
      </c>
      <c r="H81" s="21" t="s">
        <v>54</v>
      </c>
      <c r="I81" s="21" t="s">
        <v>226</v>
      </c>
      <c r="J81" s="21" t="s">
        <v>9726</v>
      </c>
      <c r="K81" s="5814" t="s">
        <v>9727</v>
      </c>
    </row>
    <row r="82" spans="1:11">
      <c r="A82" s="21" t="s">
        <v>2643</v>
      </c>
      <c r="B82" s="21" t="s">
        <v>9728</v>
      </c>
      <c r="C82" s="21" t="s">
        <v>8</v>
      </c>
      <c r="D82" s="21" t="s">
        <v>1114</v>
      </c>
      <c r="E82" s="21" t="s">
        <v>9</v>
      </c>
      <c r="F82" s="5812">
        <v>5</v>
      </c>
      <c r="G82" s="5813">
        <v>0.20833333333333334</v>
      </c>
      <c r="H82" s="21" t="s">
        <v>54</v>
      </c>
      <c r="I82" s="21" t="s">
        <v>55</v>
      </c>
      <c r="J82" s="21" t="s">
        <v>9729</v>
      </c>
      <c r="K82" s="5814" t="s">
        <v>9730</v>
      </c>
    </row>
    <row r="83" spans="1:11">
      <c r="A83" s="21" t="s">
        <v>103</v>
      </c>
      <c r="B83" s="21" t="s">
        <v>1113</v>
      </c>
      <c r="C83" s="21" t="s">
        <v>8</v>
      </c>
      <c r="D83" s="21" t="s">
        <v>1114</v>
      </c>
      <c r="E83" s="21" t="s">
        <v>46</v>
      </c>
      <c r="F83" s="5812">
        <v>1</v>
      </c>
      <c r="G83" s="5813">
        <v>0.13472222222222222</v>
      </c>
      <c r="H83" s="21" t="s">
        <v>54</v>
      </c>
      <c r="I83" s="21" t="s">
        <v>96</v>
      </c>
      <c r="J83" s="21" t="s">
        <v>48</v>
      </c>
      <c r="K83" s="5814" t="s">
        <v>1115</v>
      </c>
    </row>
    <row r="84" spans="1:11">
      <c r="A84" s="21" t="s">
        <v>3125</v>
      </c>
      <c r="B84" s="21" t="s">
        <v>9731</v>
      </c>
      <c r="C84" s="21" t="s">
        <v>8</v>
      </c>
      <c r="D84" s="21" t="s">
        <v>1114</v>
      </c>
      <c r="E84" s="21" t="s">
        <v>46</v>
      </c>
      <c r="F84" s="5812">
        <v>2</v>
      </c>
      <c r="G84" s="5813">
        <v>8.3333333333333329E-2</v>
      </c>
      <c r="H84" s="21" t="s">
        <v>54</v>
      </c>
      <c r="I84" s="21" t="s">
        <v>187</v>
      </c>
      <c r="J84" s="21" t="s">
        <v>9732</v>
      </c>
      <c r="K84" s="5814" t="s">
        <v>9733</v>
      </c>
    </row>
    <row r="85" spans="1:11">
      <c r="A85" s="21" t="s">
        <v>223</v>
      </c>
      <c r="B85" s="21" t="s">
        <v>1116</v>
      </c>
      <c r="C85" s="21" t="s">
        <v>22</v>
      </c>
      <c r="D85" s="21" t="s">
        <v>1114</v>
      </c>
      <c r="E85" s="21" t="s">
        <v>46</v>
      </c>
      <c r="F85" s="5812">
        <v>2</v>
      </c>
      <c r="G85" s="5813">
        <v>0.17222222222222222</v>
      </c>
      <c r="H85" s="21" t="s">
        <v>54</v>
      </c>
      <c r="I85" s="21" t="s">
        <v>47</v>
      </c>
      <c r="J85" s="21" t="s">
        <v>1117</v>
      </c>
      <c r="K85" s="5814" t="s">
        <v>1118</v>
      </c>
    </row>
    <row r="86" spans="1:11">
      <c r="A86" s="21" t="s">
        <v>3703</v>
      </c>
      <c r="B86" s="21" t="s">
        <v>9734</v>
      </c>
      <c r="C86" s="21" t="s">
        <v>22</v>
      </c>
      <c r="D86" s="21" t="s">
        <v>1114</v>
      </c>
      <c r="E86" s="21" t="s">
        <v>46</v>
      </c>
      <c r="F86" s="5812">
        <v>2</v>
      </c>
      <c r="G86" s="5813">
        <v>0.19166666666666668</v>
      </c>
      <c r="H86" s="21" t="s">
        <v>54</v>
      </c>
      <c r="I86" s="21" t="s">
        <v>2523</v>
      </c>
      <c r="J86" s="21" t="s">
        <v>48</v>
      </c>
      <c r="K86" s="5814" t="s">
        <v>9735</v>
      </c>
    </row>
    <row r="87" spans="1:11">
      <c r="A87" s="21" t="s">
        <v>3173</v>
      </c>
      <c r="B87" s="21" t="s">
        <v>9736</v>
      </c>
      <c r="C87" s="21" t="s">
        <v>8</v>
      </c>
      <c r="D87" s="21" t="s">
        <v>1114</v>
      </c>
      <c r="E87" s="21" t="s">
        <v>46</v>
      </c>
      <c r="F87" s="5812">
        <v>3</v>
      </c>
      <c r="G87" s="5813">
        <v>8.4722222222222227E-2</v>
      </c>
      <c r="H87" s="21" t="s">
        <v>54</v>
      </c>
      <c r="I87" s="21" t="s">
        <v>89</v>
      </c>
      <c r="J87" s="21" t="s">
        <v>258</v>
      </c>
      <c r="K87" s="5814" t="s">
        <v>9737</v>
      </c>
    </row>
    <row r="88" spans="1:11">
      <c r="A88" s="21" t="s">
        <v>3537</v>
      </c>
      <c r="B88" s="21" t="s">
        <v>9738</v>
      </c>
      <c r="C88" s="21" t="s">
        <v>179</v>
      </c>
      <c r="D88" s="21" t="s">
        <v>1114</v>
      </c>
      <c r="E88" s="21" t="s">
        <v>920</v>
      </c>
      <c r="F88" s="5812">
        <v>3</v>
      </c>
      <c r="G88" s="5813">
        <v>0.12569444444444444</v>
      </c>
      <c r="H88" s="21" t="s">
        <v>54</v>
      </c>
      <c r="I88" s="21" t="s">
        <v>2297</v>
      </c>
      <c r="J88" s="21" t="s">
        <v>3588</v>
      </c>
      <c r="K88" s="5814" t="s">
        <v>9739</v>
      </c>
    </row>
    <row r="89" spans="1:11">
      <c r="A89" s="21" t="s">
        <v>3974</v>
      </c>
      <c r="B89" s="21" t="s">
        <v>9740</v>
      </c>
      <c r="C89" s="21" t="s">
        <v>22</v>
      </c>
      <c r="D89" s="21" t="s">
        <v>1114</v>
      </c>
      <c r="E89" s="21" t="s">
        <v>61</v>
      </c>
      <c r="F89" s="5812">
        <v>2</v>
      </c>
      <c r="G89" s="5813">
        <v>0.12638888888888888</v>
      </c>
      <c r="H89" s="21" t="s">
        <v>54</v>
      </c>
      <c r="I89" s="21" t="s">
        <v>47</v>
      </c>
      <c r="J89" s="21" t="s">
        <v>67</v>
      </c>
      <c r="K89" s="5814" t="s">
        <v>9741</v>
      </c>
    </row>
    <row r="90" spans="1:11">
      <c r="A90" s="21" t="s">
        <v>4568</v>
      </c>
      <c r="B90" s="21" t="s">
        <v>9742</v>
      </c>
      <c r="C90" s="21" t="s">
        <v>8</v>
      </c>
      <c r="D90" s="21" t="s">
        <v>1114</v>
      </c>
      <c r="E90" s="21" t="s">
        <v>61</v>
      </c>
      <c r="F90" s="5812">
        <v>2</v>
      </c>
      <c r="G90" s="5813">
        <v>0.15069444444444444</v>
      </c>
      <c r="H90" s="21" t="s">
        <v>54</v>
      </c>
      <c r="I90" s="21" t="s">
        <v>2297</v>
      </c>
      <c r="J90" s="21" t="s">
        <v>67</v>
      </c>
      <c r="K90" s="5814" t="s">
        <v>9743</v>
      </c>
    </row>
    <row r="91" spans="1:11">
      <c r="A91" s="21" t="s">
        <v>5264</v>
      </c>
      <c r="B91" s="21" t="s">
        <v>9744</v>
      </c>
      <c r="C91" s="21" t="s">
        <v>22</v>
      </c>
      <c r="D91" s="21" t="s">
        <v>1114</v>
      </c>
      <c r="E91" s="21" t="s">
        <v>61</v>
      </c>
      <c r="F91" s="5812">
        <v>3</v>
      </c>
      <c r="G91" s="5813">
        <v>0.11041666666666666</v>
      </c>
      <c r="H91" s="21" t="s">
        <v>54</v>
      </c>
      <c r="I91" s="21" t="s">
        <v>2297</v>
      </c>
      <c r="J91" s="21" t="s">
        <v>67</v>
      </c>
      <c r="K91" s="5814" t="s">
        <v>9745</v>
      </c>
    </row>
    <row r="92" spans="1:11">
      <c r="A92" s="21" t="s">
        <v>2420</v>
      </c>
      <c r="B92" s="21" t="s">
        <v>9746</v>
      </c>
      <c r="C92" s="21" t="s">
        <v>22</v>
      </c>
      <c r="D92" s="21" t="s">
        <v>1114</v>
      </c>
      <c r="E92" s="21" t="s">
        <v>61</v>
      </c>
      <c r="F92" s="5812">
        <v>5</v>
      </c>
      <c r="G92" s="5813">
        <v>0.18888888888888888</v>
      </c>
      <c r="H92" s="21" t="s">
        <v>54</v>
      </c>
      <c r="I92" s="21" t="s">
        <v>47</v>
      </c>
      <c r="J92" s="21" t="s">
        <v>67</v>
      </c>
      <c r="K92" s="5814" t="s">
        <v>9747</v>
      </c>
    </row>
    <row r="93" spans="1:11">
      <c r="A93" s="21" t="s">
        <v>3886</v>
      </c>
      <c r="B93" s="21" t="s">
        <v>9748</v>
      </c>
      <c r="C93" s="21" t="s">
        <v>8</v>
      </c>
      <c r="D93" s="21" t="s">
        <v>9749</v>
      </c>
      <c r="E93" s="21" t="s">
        <v>9</v>
      </c>
      <c r="F93" s="5812">
        <v>5</v>
      </c>
      <c r="G93" s="5813">
        <v>0.20833333333333334</v>
      </c>
      <c r="H93" s="21" t="s">
        <v>54</v>
      </c>
      <c r="I93" s="21" t="s">
        <v>47</v>
      </c>
      <c r="J93" s="21" t="s">
        <v>9750</v>
      </c>
      <c r="K93" s="5814" t="s">
        <v>9751</v>
      </c>
    </row>
    <row r="94" spans="1:11">
      <c r="A94" s="21" t="s">
        <v>4249</v>
      </c>
      <c r="B94" s="21" t="s">
        <v>9752</v>
      </c>
      <c r="C94" s="21" t="s">
        <v>8</v>
      </c>
      <c r="D94" s="21" t="s">
        <v>9749</v>
      </c>
      <c r="E94" s="21" t="s">
        <v>9</v>
      </c>
      <c r="F94" s="5812">
        <v>5</v>
      </c>
      <c r="G94" s="5813">
        <v>0.20833333333333334</v>
      </c>
      <c r="H94" s="21" t="s">
        <v>54</v>
      </c>
      <c r="I94" s="21" t="s">
        <v>226</v>
      </c>
      <c r="J94" s="21" t="s">
        <v>9753</v>
      </c>
      <c r="K94" s="5814" t="s">
        <v>9754</v>
      </c>
    </row>
    <row r="95" spans="1:11">
      <c r="A95" s="21" t="s">
        <v>3630</v>
      </c>
      <c r="B95" s="21" t="s">
        <v>9755</v>
      </c>
      <c r="C95" s="21" t="s">
        <v>8</v>
      </c>
      <c r="D95" s="21" t="s">
        <v>9749</v>
      </c>
      <c r="E95" s="21" t="s">
        <v>46</v>
      </c>
      <c r="F95" s="5812">
        <v>1</v>
      </c>
      <c r="G95" s="5813">
        <v>4.583333333333333E-2</v>
      </c>
      <c r="H95" s="21" t="s">
        <v>54</v>
      </c>
      <c r="I95" s="21" t="s">
        <v>55</v>
      </c>
      <c r="J95" s="21" t="s">
        <v>127</v>
      </c>
      <c r="K95" s="5814" t="s">
        <v>9756</v>
      </c>
    </row>
    <row r="96" spans="1:11">
      <c r="A96" s="21" t="s">
        <v>2250</v>
      </c>
      <c r="B96" s="21" t="s">
        <v>9757</v>
      </c>
      <c r="C96" s="21" t="s">
        <v>22</v>
      </c>
      <c r="D96" s="21" t="s">
        <v>9749</v>
      </c>
      <c r="E96" s="21" t="s">
        <v>46</v>
      </c>
      <c r="F96" s="5812">
        <v>1</v>
      </c>
      <c r="G96" s="5813">
        <v>0.15902777777777777</v>
      </c>
      <c r="H96" s="21" t="s">
        <v>54</v>
      </c>
      <c r="I96" s="21" t="s">
        <v>55</v>
      </c>
      <c r="J96" s="21" t="s">
        <v>1076</v>
      </c>
      <c r="K96" s="5814" t="s">
        <v>9758</v>
      </c>
    </row>
    <row r="97" spans="1:11">
      <c r="A97" s="21" t="s">
        <v>3256</v>
      </c>
      <c r="B97" s="21" t="s">
        <v>9759</v>
      </c>
      <c r="C97" s="21" t="s">
        <v>8</v>
      </c>
      <c r="D97" s="21" t="s">
        <v>9749</v>
      </c>
      <c r="E97" s="21" t="s">
        <v>46</v>
      </c>
      <c r="F97" s="5812">
        <v>2</v>
      </c>
      <c r="G97" s="5813">
        <v>1.3194444444444444E-2</v>
      </c>
      <c r="H97" s="21" t="s">
        <v>54</v>
      </c>
      <c r="I97" s="21" t="s">
        <v>226</v>
      </c>
      <c r="J97" s="21" t="s">
        <v>48</v>
      </c>
      <c r="K97" s="5814" t="s">
        <v>9760</v>
      </c>
    </row>
    <row r="98" spans="1:11">
      <c r="A98" s="21" t="s">
        <v>3541</v>
      </c>
      <c r="B98" s="21" t="s">
        <v>9761</v>
      </c>
      <c r="C98" s="21" t="s">
        <v>22</v>
      </c>
      <c r="D98" s="21" t="s">
        <v>9749</v>
      </c>
      <c r="E98" s="21" t="s">
        <v>46</v>
      </c>
      <c r="F98" s="5812">
        <v>2</v>
      </c>
      <c r="G98" s="5813">
        <v>0.12777777777777777</v>
      </c>
      <c r="H98" s="21" t="s">
        <v>54</v>
      </c>
      <c r="I98" s="21" t="s">
        <v>2297</v>
      </c>
      <c r="J98" s="21" t="s">
        <v>97</v>
      </c>
      <c r="K98" s="5814" t="s">
        <v>9762</v>
      </c>
    </row>
    <row r="99" spans="1:11">
      <c r="A99" s="21" t="s">
        <v>3515</v>
      </c>
      <c r="B99" s="21" t="s">
        <v>9763</v>
      </c>
      <c r="C99" s="21" t="s">
        <v>8</v>
      </c>
      <c r="D99" s="21" t="s">
        <v>9749</v>
      </c>
      <c r="E99" s="21" t="s">
        <v>61</v>
      </c>
      <c r="F99" s="5812">
        <v>2</v>
      </c>
      <c r="G99" s="5813">
        <v>6.5277777777777782E-2</v>
      </c>
      <c r="H99" s="21" t="s">
        <v>54</v>
      </c>
      <c r="I99" s="21" t="s">
        <v>96</v>
      </c>
      <c r="J99" s="21" t="s">
        <v>3326</v>
      </c>
      <c r="K99" s="5814" t="s">
        <v>9764</v>
      </c>
    </row>
    <row r="100" spans="1:11">
      <c r="A100" s="21" t="s">
        <v>2096</v>
      </c>
      <c r="B100" s="21" t="s">
        <v>9765</v>
      </c>
      <c r="C100" s="21" t="s">
        <v>22</v>
      </c>
      <c r="D100" s="21" t="s">
        <v>9749</v>
      </c>
      <c r="E100" s="21" t="s">
        <v>61</v>
      </c>
      <c r="F100" s="5812">
        <v>2</v>
      </c>
      <c r="G100" s="5813">
        <v>0.1361111111111111</v>
      </c>
      <c r="H100" s="21" t="s">
        <v>54</v>
      </c>
      <c r="I100" s="21" t="s">
        <v>96</v>
      </c>
      <c r="J100" s="21" t="s">
        <v>62</v>
      </c>
      <c r="K100" s="5814" t="s">
        <v>9766</v>
      </c>
    </row>
    <row r="101" spans="1:11">
      <c r="A101" s="21" t="s">
        <v>2461</v>
      </c>
      <c r="B101" s="21" t="s">
        <v>9767</v>
      </c>
      <c r="C101" s="21" t="s">
        <v>8</v>
      </c>
      <c r="D101" s="21" t="s">
        <v>9749</v>
      </c>
      <c r="E101" s="21" t="s">
        <v>61</v>
      </c>
      <c r="F101" s="5812">
        <v>3</v>
      </c>
      <c r="G101" s="5813">
        <v>4.3055555555555555E-2</v>
      </c>
      <c r="H101" s="21" t="s">
        <v>54</v>
      </c>
      <c r="I101" s="21" t="s">
        <v>55</v>
      </c>
      <c r="J101" s="21" t="s">
        <v>67</v>
      </c>
      <c r="K101" s="5814" t="s">
        <v>9768</v>
      </c>
    </row>
    <row r="102" spans="1:11">
      <c r="A102" s="21" t="s">
        <v>3728</v>
      </c>
      <c r="B102" s="21" t="s">
        <v>9769</v>
      </c>
      <c r="C102" s="21" t="s">
        <v>8</v>
      </c>
      <c r="D102" s="21" t="s">
        <v>9749</v>
      </c>
      <c r="E102" s="21" t="s">
        <v>61</v>
      </c>
      <c r="F102" s="5812">
        <v>3</v>
      </c>
      <c r="G102" s="5813">
        <v>8.7499999999999994E-2</v>
      </c>
      <c r="H102" s="21" t="s">
        <v>54</v>
      </c>
      <c r="I102" s="21" t="s">
        <v>47</v>
      </c>
      <c r="J102" s="21" t="s">
        <v>67</v>
      </c>
      <c r="K102" s="5814" t="s">
        <v>9770</v>
      </c>
    </row>
    <row r="103" spans="1:11">
      <c r="A103" s="21" t="s">
        <v>5148</v>
      </c>
      <c r="B103" s="21" t="s">
        <v>9771</v>
      </c>
      <c r="C103" s="21" t="s">
        <v>8</v>
      </c>
      <c r="D103" s="21" t="s">
        <v>9749</v>
      </c>
      <c r="E103" s="21" t="s">
        <v>61</v>
      </c>
      <c r="F103" s="5812">
        <v>4</v>
      </c>
      <c r="G103" s="5813">
        <v>0.12708333333333333</v>
      </c>
      <c r="H103" s="21" t="s">
        <v>54</v>
      </c>
      <c r="I103" s="21" t="s">
        <v>55</v>
      </c>
      <c r="J103" s="21" t="s">
        <v>897</v>
      </c>
      <c r="K103" s="5814" t="s">
        <v>9772</v>
      </c>
    </row>
    <row r="104" spans="1:11">
      <c r="A104" s="21" t="s">
        <v>185</v>
      </c>
      <c r="B104" s="21" t="s">
        <v>1121</v>
      </c>
      <c r="C104" s="21" t="s">
        <v>22</v>
      </c>
      <c r="D104" s="21" t="s">
        <v>1122</v>
      </c>
      <c r="E104" s="21" t="s">
        <v>193</v>
      </c>
      <c r="F104" s="5812">
        <v>5</v>
      </c>
      <c r="G104" s="5813">
        <v>0.20833333333333334</v>
      </c>
      <c r="H104" s="21" t="s">
        <v>54</v>
      </c>
      <c r="I104" s="21" t="s">
        <v>47</v>
      </c>
      <c r="J104" s="21" t="s">
        <v>1123</v>
      </c>
      <c r="K104" s="5814" t="s">
        <v>1124</v>
      </c>
    </row>
    <row r="105" spans="1:11">
      <c r="A105" s="21" t="s">
        <v>4654</v>
      </c>
      <c r="B105" s="21" t="s">
        <v>9773</v>
      </c>
      <c r="C105" s="21" t="s">
        <v>22</v>
      </c>
      <c r="D105" s="21" t="s">
        <v>1122</v>
      </c>
      <c r="E105" s="21" t="s">
        <v>9</v>
      </c>
      <c r="F105" s="5812">
        <v>5</v>
      </c>
      <c r="G105" s="5813">
        <v>0.20833333333333334</v>
      </c>
      <c r="H105" s="21" t="s">
        <v>54</v>
      </c>
      <c r="I105" s="21" t="s">
        <v>47</v>
      </c>
      <c r="J105" s="21" t="s">
        <v>9774</v>
      </c>
      <c r="K105" s="5814" t="s">
        <v>9775</v>
      </c>
    </row>
    <row r="106" spans="1:11">
      <c r="A106" s="21" t="s">
        <v>2045</v>
      </c>
      <c r="B106" s="21" t="s">
        <v>9776</v>
      </c>
      <c r="C106" s="21" t="s">
        <v>8</v>
      </c>
      <c r="D106" s="21" t="s">
        <v>1122</v>
      </c>
      <c r="E106" s="21" t="s">
        <v>9</v>
      </c>
      <c r="F106" s="5812">
        <v>5</v>
      </c>
      <c r="G106" s="5813">
        <v>0.20833333333333334</v>
      </c>
      <c r="H106" s="21" t="s">
        <v>54</v>
      </c>
      <c r="I106" s="21" t="s">
        <v>55</v>
      </c>
      <c r="J106" s="21" t="s">
        <v>9777</v>
      </c>
      <c r="K106" s="5814" t="s">
        <v>9778</v>
      </c>
    </row>
    <row r="107" spans="1:11">
      <c r="A107" s="21" t="s">
        <v>2450</v>
      </c>
      <c r="B107" s="21" t="s">
        <v>9779</v>
      </c>
      <c r="C107" s="21" t="s">
        <v>8</v>
      </c>
      <c r="D107" s="21" t="s">
        <v>1122</v>
      </c>
      <c r="E107" s="21" t="s">
        <v>9</v>
      </c>
      <c r="F107" s="5812">
        <v>5</v>
      </c>
      <c r="G107" s="5813">
        <v>0.20833333333333334</v>
      </c>
      <c r="H107" s="21" t="s">
        <v>54</v>
      </c>
      <c r="I107" s="21" t="s">
        <v>55</v>
      </c>
      <c r="J107" s="21" t="s">
        <v>9780</v>
      </c>
      <c r="K107" s="5814" t="s">
        <v>9781</v>
      </c>
    </row>
    <row r="108" spans="1:11">
      <c r="A108" s="21" t="s">
        <v>3984</v>
      </c>
      <c r="B108" s="21" t="s">
        <v>8554</v>
      </c>
      <c r="C108" s="21" t="s">
        <v>8</v>
      </c>
      <c r="D108" s="21" t="s">
        <v>1122</v>
      </c>
      <c r="E108" s="21" t="s">
        <v>9</v>
      </c>
      <c r="F108" s="5812">
        <v>5</v>
      </c>
      <c r="G108" s="5813">
        <v>0.20833333333333334</v>
      </c>
      <c r="H108" s="21" t="s">
        <v>54</v>
      </c>
      <c r="I108" s="21" t="s">
        <v>47</v>
      </c>
      <c r="J108" s="21" t="s">
        <v>9782</v>
      </c>
      <c r="K108" s="5814" t="s">
        <v>9783</v>
      </c>
    </row>
    <row r="109" spans="1:11">
      <c r="A109" s="21" t="s">
        <v>2979</v>
      </c>
      <c r="B109" s="21" t="s">
        <v>9784</v>
      </c>
      <c r="C109" s="21" t="s">
        <v>8</v>
      </c>
      <c r="D109" s="21" t="s">
        <v>1122</v>
      </c>
      <c r="E109" s="21" t="s">
        <v>9</v>
      </c>
      <c r="F109" s="5812">
        <v>5</v>
      </c>
      <c r="G109" s="5813">
        <v>0.20833333333333334</v>
      </c>
      <c r="H109" s="21" t="s">
        <v>54</v>
      </c>
      <c r="I109" s="21" t="s">
        <v>226</v>
      </c>
      <c r="J109" s="21" t="s">
        <v>9785</v>
      </c>
      <c r="K109" s="5814" t="s">
        <v>9786</v>
      </c>
    </row>
    <row r="110" spans="1:11">
      <c r="A110" s="21" t="s">
        <v>3286</v>
      </c>
      <c r="B110" s="21" t="s">
        <v>9787</v>
      </c>
      <c r="C110" s="21" t="s">
        <v>8</v>
      </c>
      <c r="D110" s="21" t="s">
        <v>1122</v>
      </c>
      <c r="E110" s="21" t="s">
        <v>9</v>
      </c>
      <c r="F110" s="5812">
        <v>5</v>
      </c>
      <c r="G110" s="5813">
        <v>0.20833333333333334</v>
      </c>
      <c r="H110" s="21" t="s">
        <v>54</v>
      </c>
      <c r="I110" s="21" t="s">
        <v>2872</v>
      </c>
      <c r="J110" s="21" t="s">
        <v>9788</v>
      </c>
      <c r="K110" s="5814" t="s">
        <v>9789</v>
      </c>
    </row>
    <row r="111" spans="1:11">
      <c r="A111" s="21" t="s">
        <v>5264</v>
      </c>
      <c r="B111" s="21" t="s">
        <v>9790</v>
      </c>
      <c r="C111" s="21" t="s">
        <v>8</v>
      </c>
      <c r="D111" s="21" t="s">
        <v>1122</v>
      </c>
      <c r="E111" s="21" t="s">
        <v>46</v>
      </c>
      <c r="F111" s="5812">
        <v>1</v>
      </c>
      <c r="G111" s="5813">
        <v>0.12013888888888889</v>
      </c>
      <c r="H111" s="21" t="s">
        <v>54</v>
      </c>
      <c r="I111" s="21" t="s">
        <v>55</v>
      </c>
      <c r="J111" s="21" t="s">
        <v>9791</v>
      </c>
      <c r="K111" s="5814" t="s">
        <v>9792</v>
      </c>
    </row>
    <row r="112" spans="1:11">
      <c r="A112" s="21" t="s">
        <v>4383</v>
      </c>
      <c r="B112" s="21" t="s">
        <v>9793</v>
      </c>
      <c r="C112" s="21" t="s">
        <v>22</v>
      </c>
      <c r="D112" s="21" t="s">
        <v>1122</v>
      </c>
      <c r="E112" s="21" t="s">
        <v>46</v>
      </c>
      <c r="F112" s="5812">
        <v>1</v>
      </c>
      <c r="G112" s="5813">
        <v>0.15</v>
      </c>
      <c r="H112" s="21" t="s">
        <v>54</v>
      </c>
      <c r="I112" s="21" t="s">
        <v>2297</v>
      </c>
      <c r="J112" s="21" t="s">
        <v>48</v>
      </c>
      <c r="K112" s="5814" t="s">
        <v>9794</v>
      </c>
    </row>
    <row r="113" spans="1:11">
      <c r="A113" s="21" t="s">
        <v>3252</v>
      </c>
      <c r="B113" s="21" t="s">
        <v>9795</v>
      </c>
      <c r="C113" s="21" t="s">
        <v>22</v>
      </c>
      <c r="D113" s="21" t="s">
        <v>1122</v>
      </c>
      <c r="E113" s="21" t="s">
        <v>46</v>
      </c>
      <c r="F113" s="5812">
        <v>2</v>
      </c>
      <c r="G113" s="5813">
        <v>0.14791666666666667</v>
      </c>
      <c r="H113" s="21" t="s">
        <v>54</v>
      </c>
      <c r="I113" s="21" t="s">
        <v>47</v>
      </c>
      <c r="J113" s="21" t="s">
        <v>48</v>
      </c>
      <c r="K113" s="5814" t="s">
        <v>9796</v>
      </c>
    </row>
    <row r="114" spans="1:11">
      <c r="A114" s="21" t="s">
        <v>3703</v>
      </c>
      <c r="B114" s="21" t="s">
        <v>9797</v>
      </c>
      <c r="C114" s="21" t="s">
        <v>8</v>
      </c>
      <c r="D114" s="21" t="s">
        <v>1122</v>
      </c>
      <c r="E114" s="21" t="s">
        <v>46</v>
      </c>
      <c r="F114" s="5812">
        <v>2</v>
      </c>
      <c r="G114" s="5813">
        <v>0.16597222222222222</v>
      </c>
      <c r="H114" s="21" t="s">
        <v>54</v>
      </c>
      <c r="I114" s="21" t="s">
        <v>96</v>
      </c>
      <c r="J114" s="21" t="s">
        <v>48</v>
      </c>
      <c r="K114" s="5814" t="s">
        <v>9798</v>
      </c>
    </row>
    <row r="115" spans="1:11">
      <c r="A115" s="21" t="s">
        <v>2341</v>
      </c>
      <c r="B115" s="21" t="s">
        <v>9799</v>
      </c>
      <c r="C115" s="21" t="s">
        <v>22</v>
      </c>
      <c r="D115" s="21" t="s">
        <v>1122</v>
      </c>
      <c r="E115" s="21" t="s">
        <v>46</v>
      </c>
      <c r="F115" s="5812">
        <v>2</v>
      </c>
      <c r="G115" s="5813">
        <v>0.18124999999999999</v>
      </c>
      <c r="H115" s="21" t="s">
        <v>54</v>
      </c>
      <c r="I115" s="21" t="s">
        <v>226</v>
      </c>
      <c r="J115" s="21" t="s">
        <v>48</v>
      </c>
      <c r="K115" s="5814" t="s">
        <v>9800</v>
      </c>
    </row>
    <row r="116" spans="1:11">
      <c r="A116" s="21" t="s">
        <v>2850</v>
      </c>
      <c r="B116" s="21" t="s">
        <v>9801</v>
      </c>
      <c r="C116" s="21" t="s">
        <v>22</v>
      </c>
      <c r="D116" s="21" t="s">
        <v>1122</v>
      </c>
      <c r="E116" s="21" t="s">
        <v>46</v>
      </c>
      <c r="F116" s="5812">
        <v>4</v>
      </c>
      <c r="G116" s="5813">
        <v>0.13333333333333333</v>
      </c>
      <c r="H116" s="21" t="s">
        <v>54</v>
      </c>
      <c r="I116" s="21" t="s">
        <v>55</v>
      </c>
      <c r="J116" s="21" t="s">
        <v>4586</v>
      </c>
      <c r="K116" s="5814" t="s">
        <v>9802</v>
      </c>
    </row>
    <row r="117" spans="1:11">
      <c r="A117" s="21" t="s">
        <v>2372</v>
      </c>
      <c r="B117" s="21" t="s">
        <v>9803</v>
      </c>
      <c r="C117" s="21" t="s">
        <v>22</v>
      </c>
      <c r="D117" s="21" t="s">
        <v>1122</v>
      </c>
      <c r="E117" s="21" t="s">
        <v>46</v>
      </c>
      <c r="F117" s="5812">
        <v>5</v>
      </c>
      <c r="G117" s="5813">
        <v>8.4027777777777785E-2</v>
      </c>
      <c r="H117" s="21" t="s">
        <v>54</v>
      </c>
      <c r="I117" s="21" t="s">
        <v>47</v>
      </c>
      <c r="J117" s="21" t="s">
        <v>97</v>
      </c>
      <c r="K117" s="5814" t="s">
        <v>9804</v>
      </c>
    </row>
    <row r="118" spans="1:11">
      <c r="A118" s="21" t="s">
        <v>3195</v>
      </c>
      <c r="B118" s="21" t="s">
        <v>9805</v>
      </c>
      <c r="C118" s="21" t="s">
        <v>22</v>
      </c>
      <c r="D118" s="21" t="s">
        <v>1122</v>
      </c>
      <c r="E118" s="21" t="s">
        <v>61</v>
      </c>
      <c r="F118" s="5812">
        <v>3</v>
      </c>
      <c r="G118" s="5813">
        <v>0.18263888888888888</v>
      </c>
      <c r="H118" s="21" t="s">
        <v>54</v>
      </c>
      <c r="I118" s="21" t="s">
        <v>2297</v>
      </c>
      <c r="J118" s="21" t="s">
        <v>5466</v>
      </c>
      <c r="K118" s="5814" t="s">
        <v>9806</v>
      </c>
    </row>
    <row r="119" spans="1:11">
      <c r="A119" s="21" t="s">
        <v>3671</v>
      </c>
      <c r="B119" s="21" t="s">
        <v>9807</v>
      </c>
      <c r="C119" s="21" t="s">
        <v>8</v>
      </c>
      <c r="D119" s="21" t="s">
        <v>1128</v>
      </c>
      <c r="E119" s="21" t="s">
        <v>710</v>
      </c>
      <c r="F119" s="5812">
        <v>5</v>
      </c>
      <c r="G119" s="5813">
        <v>0.20833333333333334</v>
      </c>
      <c r="H119" s="21" t="s">
        <v>54</v>
      </c>
      <c r="I119" s="21" t="s">
        <v>55</v>
      </c>
      <c r="J119" s="21" t="s">
        <v>9808</v>
      </c>
      <c r="K119" s="5814" t="s">
        <v>9809</v>
      </c>
    </row>
    <row r="120" spans="1:11">
      <c r="A120" s="21" t="s">
        <v>2233</v>
      </c>
      <c r="B120" s="21" t="s">
        <v>9810</v>
      </c>
      <c r="C120" s="21" t="s">
        <v>8</v>
      </c>
      <c r="D120" s="21" t="s">
        <v>1128</v>
      </c>
      <c r="E120" s="21" t="s">
        <v>710</v>
      </c>
      <c r="F120" s="5812">
        <v>5</v>
      </c>
      <c r="G120" s="5813">
        <v>0.20833333333333334</v>
      </c>
      <c r="H120" s="21" t="s">
        <v>54</v>
      </c>
      <c r="I120" s="21" t="s">
        <v>2297</v>
      </c>
      <c r="J120" s="21" t="s">
        <v>9811</v>
      </c>
      <c r="K120" s="5814" t="s">
        <v>9812</v>
      </c>
    </row>
    <row r="121" spans="1:11">
      <c r="A121" s="21" t="s">
        <v>3541</v>
      </c>
      <c r="B121" s="21" t="s">
        <v>9810</v>
      </c>
      <c r="C121" s="21" t="s">
        <v>709</v>
      </c>
      <c r="D121" s="21" t="s">
        <v>1128</v>
      </c>
      <c r="E121" s="21" t="s">
        <v>710</v>
      </c>
      <c r="F121" s="5812">
        <v>5</v>
      </c>
      <c r="G121" s="5813">
        <v>0.20833333333333334</v>
      </c>
      <c r="H121" s="21" t="s">
        <v>54</v>
      </c>
      <c r="I121" s="21" t="s">
        <v>226</v>
      </c>
      <c r="J121" s="21" t="s">
        <v>9813</v>
      </c>
      <c r="K121" s="5814" t="s">
        <v>9814</v>
      </c>
    </row>
    <row r="122" spans="1:11">
      <c r="A122" s="21" t="s">
        <v>2263</v>
      </c>
      <c r="B122" s="21" t="s">
        <v>9815</v>
      </c>
      <c r="C122" s="21" t="s">
        <v>8</v>
      </c>
      <c r="D122" s="21" t="s">
        <v>1128</v>
      </c>
      <c r="E122" s="21" t="s">
        <v>193</v>
      </c>
      <c r="F122" s="5812">
        <v>5</v>
      </c>
      <c r="G122" s="5813">
        <v>0.20833333333333334</v>
      </c>
      <c r="H122" s="21" t="s">
        <v>54</v>
      </c>
      <c r="I122" s="21" t="s">
        <v>2297</v>
      </c>
      <c r="J122" s="21" t="s">
        <v>9816</v>
      </c>
      <c r="K122" s="5814" t="s">
        <v>9817</v>
      </c>
    </row>
    <row r="123" spans="1:11">
      <c r="A123" s="21" t="s">
        <v>44</v>
      </c>
      <c r="B123" s="21" t="s">
        <v>1127</v>
      </c>
      <c r="C123" s="21" t="s">
        <v>8</v>
      </c>
      <c r="D123" s="21" t="s">
        <v>1128</v>
      </c>
      <c r="E123" s="21" t="s">
        <v>9</v>
      </c>
      <c r="F123" s="5812">
        <v>5</v>
      </c>
      <c r="G123" s="5813">
        <v>0.20833333333333334</v>
      </c>
      <c r="H123" s="21" t="s">
        <v>54</v>
      </c>
      <c r="I123" s="21" t="s">
        <v>55</v>
      </c>
      <c r="J123" s="21" t="s">
        <v>1129</v>
      </c>
      <c r="K123" s="5814" t="s">
        <v>1130</v>
      </c>
    </row>
    <row r="124" spans="1:11">
      <c r="A124" s="21" t="s">
        <v>3220</v>
      </c>
      <c r="B124" s="21" t="s">
        <v>9818</v>
      </c>
      <c r="C124" s="21" t="s">
        <v>8</v>
      </c>
      <c r="D124" s="21" t="s">
        <v>1128</v>
      </c>
      <c r="E124" s="21" t="s">
        <v>9</v>
      </c>
      <c r="F124" s="5812">
        <v>5</v>
      </c>
      <c r="G124" s="5813">
        <v>0.20833333333333334</v>
      </c>
      <c r="H124" s="21" t="s">
        <v>54</v>
      </c>
      <c r="I124" s="21" t="s">
        <v>226</v>
      </c>
      <c r="J124" s="21" t="s">
        <v>9819</v>
      </c>
      <c r="K124" s="5814" t="s">
        <v>9820</v>
      </c>
    </row>
    <row r="125" spans="1:11">
      <c r="A125" s="21" t="s">
        <v>3203</v>
      </c>
      <c r="B125" s="21" t="s">
        <v>9821</v>
      </c>
      <c r="C125" s="21" t="s">
        <v>8</v>
      </c>
      <c r="D125" s="21" t="s">
        <v>1128</v>
      </c>
      <c r="E125" s="21" t="s">
        <v>9</v>
      </c>
      <c r="F125" s="5812">
        <v>5</v>
      </c>
      <c r="G125" s="5813">
        <v>0.20833333333333334</v>
      </c>
      <c r="H125" s="21" t="s">
        <v>54</v>
      </c>
      <c r="I125" s="21" t="s">
        <v>47</v>
      </c>
      <c r="J125" s="21" t="s">
        <v>9822</v>
      </c>
      <c r="K125" s="5814" t="s">
        <v>9823</v>
      </c>
    </row>
    <row r="126" spans="1:11">
      <c r="A126" s="21" t="s">
        <v>2643</v>
      </c>
      <c r="B126" s="21" t="s">
        <v>9824</v>
      </c>
      <c r="C126" s="21" t="s">
        <v>22</v>
      </c>
      <c r="D126" s="21" t="s">
        <v>1128</v>
      </c>
      <c r="E126" s="21" t="s">
        <v>9</v>
      </c>
      <c r="F126" s="5812">
        <v>5</v>
      </c>
      <c r="G126" s="5813">
        <v>0.20833333333333334</v>
      </c>
      <c r="H126" s="21" t="s">
        <v>54</v>
      </c>
      <c r="I126" s="21" t="s">
        <v>47</v>
      </c>
      <c r="J126" s="21" t="s">
        <v>9825</v>
      </c>
      <c r="K126" s="5814" t="s">
        <v>9826</v>
      </c>
    </row>
    <row r="127" spans="1:11">
      <c r="A127" s="21" t="s">
        <v>3537</v>
      </c>
      <c r="B127" s="21" t="s">
        <v>9827</v>
      </c>
      <c r="C127" s="21" t="s">
        <v>8</v>
      </c>
      <c r="D127" s="21" t="s">
        <v>1128</v>
      </c>
      <c r="E127" s="21" t="s">
        <v>9</v>
      </c>
      <c r="F127" s="5812">
        <v>5</v>
      </c>
      <c r="G127" s="5813">
        <v>0.20833333333333334</v>
      </c>
      <c r="H127" s="21" t="s">
        <v>54</v>
      </c>
      <c r="I127" s="21" t="s">
        <v>55</v>
      </c>
      <c r="J127" s="21" t="s">
        <v>9828</v>
      </c>
      <c r="K127" s="5814" t="s">
        <v>9829</v>
      </c>
    </row>
    <row r="128" spans="1:11">
      <c r="A128" s="21" t="s">
        <v>2831</v>
      </c>
      <c r="B128" s="21" t="s">
        <v>9830</v>
      </c>
      <c r="C128" s="21" t="s">
        <v>22</v>
      </c>
      <c r="D128" s="21" t="s">
        <v>1128</v>
      </c>
      <c r="E128" s="21" t="s">
        <v>46</v>
      </c>
      <c r="F128" s="5812">
        <v>1</v>
      </c>
      <c r="G128" s="5813">
        <v>9.166666666666666E-2</v>
      </c>
      <c r="H128" s="21" t="s">
        <v>54</v>
      </c>
      <c r="I128" s="21" t="s">
        <v>226</v>
      </c>
      <c r="J128" s="21" t="s">
        <v>48</v>
      </c>
      <c r="K128" s="5814" t="s">
        <v>9831</v>
      </c>
    </row>
    <row r="129" spans="1:11">
      <c r="A129" s="21" t="s">
        <v>2935</v>
      </c>
      <c r="B129" s="21" t="s">
        <v>9821</v>
      </c>
      <c r="C129" s="21" t="s">
        <v>8</v>
      </c>
      <c r="D129" s="21" t="s">
        <v>1128</v>
      </c>
      <c r="E129" s="21" t="s">
        <v>46</v>
      </c>
      <c r="F129" s="5812">
        <v>2</v>
      </c>
      <c r="G129" s="5813">
        <v>4.3055555555555555E-2</v>
      </c>
      <c r="H129" s="21" t="s">
        <v>54</v>
      </c>
      <c r="I129" s="21" t="s">
        <v>55</v>
      </c>
      <c r="J129" s="21" t="s">
        <v>48</v>
      </c>
      <c r="K129" s="5814" t="s">
        <v>9832</v>
      </c>
    </row>
    <row r="130" spans="1:11">
      <c r="A130" s="21" t="s">
        <v>3505</v>
      </c>
      <c r="B130" s="21" t="s">
        <v>9833</v>
      </c>
      <c r="C130" s="21" t="s">
        <v>8</v>
      </c>
      <c r="D130" s="21" t="s">
        <v>1128</v>
      </c>
      <c r="E130" s="21" t="s">
        <v>46</v>
      </c>
      <c r="F130" s="5812">
        <v>3</v>
      </c>
      <c r="G130" s="5813">
        <v>2.361111111111111E-2</v>
      </c>
      <c r="H130" s="21" t="s">
        <v>54</v>
      </c>
      <c r="I130" s="21" t="s">
        <v>55</v>
      </c>
      <c r="J130" s="21" t="s">
        <v>127</v>
      </c>
      <c r="K130" s="5814" t="s">
        <v>9834</v>
      </c>
    </row>
    <row r="131" spans="1:11">
      <c r="A131" s="21" t="s">
        <v>2882</v>
      </c>
      <c r="B131" s="21" t="s">
        <v>9835</v>
      </c>
      <c r="C131" s="21" t="s">
        <v>8</v>
      </c>
      <c r="D131" s="21" t="s">
        <v>1128</v>
      </c>
      <c r="E131" s="21" t="s">
        <v>46</v>
      </c>
      <c r="F131" s="5812">
        <v>5</v>
      </c>
      <c r="G131" s="5813">
        <v>4.1666666666666664E-2</v>
      </c>
      <c r="H131" s="21" t="s">
        <v>54</v>
      </c>
      <c r="I131" s="21" t="s">
        <v>2297</v>
      </c>
      <c r="J131" s="21" t="s">
        <v>48</v>
      </c>
      <c r="K131" s="5814" t="s">
        <v>9836</v>
      </c>
    </row>
    <row r="132" spans="1:11">
      <c r="A132" s="21" t="s">
        <v>2395</v>
      </c>
      <c r="B132" s="21" t="s">
        <v>9837</v>
      </c>
      <c r="C132" s="21" t="s">
        <v>22</v>
      </c>
      <c r="D132" s="21" t="s">
        <v>1128</v>
      </c>
      <c r="E132" s="21" t="s">
        <v>46</v>
      </c>
      <c r="F132" s="5812">
        <v>5</v>
      </c>
      <c r="G132" s="5813">
        <v>0.16944444444444445</v>
      </c>
      <c r="H132" s="21" t="s">
        <v>54</v>
      </c>
      <c r="I132" s="21" t="s">
        <v>55</v>
      </c>
      <c r="J132" s="21" t="s">
        <v>722</v>
      </c>
      <c r="K132" s="5814" t="s">
        <v>9838</v>
      </c>
    </row>
    <row r="133" spans="1:11">
      <c r="A133" s="21" t="s">
        <v>2156</v>
      </c>
      <c r="B133" s="21" t="s">
        <v>9818</v>
      </c>
      <c r="C133" s="21" t="s">
        <v>8</v>
      </c>
      <c r="D133" s="21" t="s">
        <v>1128</v>
      </c>
      <c r="E133" s="21" t="s">
        <v>46</v>
      </c>
      <c r="F133" s="5812">
        <v>5</v>
      </c>
      <c r="G133" s="5813">
        <v>0.1736111111111111</v>
      </c>
      <c r="H133" s="21" t="s">
        <v>54</v>
      </c>
      <c r="I133" s="21" t="s">
        <v>47</v>
      </c>
      <c r="J133" s="21" t="s">
        <v>48</v>
      </c>
      <c r="K133" s="5814" t="s">
        <v>9839</v>
      </c>
    </row>
    <row r="134" spans="1:11">
      <c r="A134" s="21" t="s">
        <v>2687</v>
      </c>
      <c r="B134" s="21" t="s">
        <v>9840</v>
      </c>
      <c r="C134" s="21" t="s">
        <v>8</v>
      </c>
      <c r="D134" s="21" t="s">
        <v>1128</v>
      </c>
      <c r="E134" s="21" t="s">
        <v>61</v>
      </c>
      <c r="F134" s="5812">
        <v>2</v>
      </c>
      <c r="G134" s="5813">
        <v>0.17986111111111111</v>
      </c>
      <c r="H134" s="21" t="s">
        <v>54</v>
      </c>
      <c r="I134" s="21" t="s">
        <v>226</v>
      </c>
      <c r="J134" s="21" t="s">
        <v>3607</v>
      </c>
      <c r="K134" s="5814" t="s">
        <v>9841</v>
      </c>
    </row>
    <row r="135" spans="1:11">
      <c r="A135" s="21" t="s">
        <v>4293</v>
      </c>
      <c r="B135" s="21" t="s">
        <v>9842</v>
      </c>
      <c r="C135" s="21" t="s">
        <v>8</v>
      </c>
      <c r="D135" s="21" t="s">
        <v>1134</v>
      </c>
      <c r="E135" s="21" t="s">
        <v>193</v>
      </c>
      <c r="F135" s="5812">
        <v>5</v>
      </c>
      <c r="G135" s="5813">
        <v>0.20833333333333334</v>
      </c>
      <c r="H135" s="21" t="s">
        <v>54</v>
      </c>
      <c r="I135" s="21" t="s">
        <v>2297</v>
      </c>
      <c r="J135" s="21" t="s">
        <v>9843</v>
      </c>
      <c r="K135" s="5814" t="s">
        <v>9844</v>
      </c>
    </row>
    <row r="136" spans="1:11">
      <c r="A136" s="21" t="s">
        <v>185</v>
      </c>
      <c r="B136" s="21" t="s">
        <v>1133</v>
      </c>
      <c r="C136" s="21" t="s">
        <v>8</v>
      </c>
      <c r="D136" s="21" t="s">
        <v>1134</v>
      </c>
      <c r="E136" s="21" t="s">
        <v>9</v>
      </c>
      <c r="F136" s="5812">
        <v>5</v>
      </c>
      <c r="G136" s="5813">
        <v>0.20833333333333334</v>
      </c>
      <c r="H136" s="21" t="s">
        <v>54</v>
      </c>
      <c r="I136" s="21" t="s">
        <v>400</v>
      </c>
      <c r="J136" s="21" t="s">
        <v>1135</v>
      </c>
      <c r="K136" s="5814" t="s">
        <v>1136</v>
      </c>
    </row>
    <row r="137" spans="1:11">
      <c r="A137" s="21" t="s">
        <v>2947</v>
      </c>
      <c r="B137" s="21" t="s">
        <v>9845</v>
      </c>
      <c r="C137" s="21" t="s">
        <v>8</v>
      </c>
      <c r="D137" s="21" t="s">
        <v>1134</v>
      </c>
      <c r="E137" s="21" t="s">
        <v>9</v>
      </c>
      <c r="F137" s="5812">
        <v>5</v>
      </c>
      <c r="G137" s="5813">
        <v>0.20833333333333334</v>
      </c>
      <c r="H137" s="21" t="s">
        <v>54</v>
      </c>
      <c r="I137" s="21" t="s">
        <v>226</v>
      </c>
      <c r="J137" s="21" t="s">
        <v>9846</v>
      </c>
      <c r="K137" s="5814" t="s">
        <v>9847</v>
      </c>
    </row>
    <row r="138" spans="1:11">
      <c r="A138" s="21" t="s">
        <v>5390</v>
      </c>
      <c r="B138" s="21" t="s">
        <v>9848</v>
      </c>
      <c r="C138" s="21" t="s">
        <v>22</v>
      </c>
      <c r="D138" s="21" t="s">
        <v>1134</v>
      </c>
      <c r="E138" s="21" t="s">
        <v>9</v>
      </c>
      <c r="F138" s="5812">
        <v>5</v>
      </c>
      <c r="G138" s="5813">
        <v>0.20833333333333334</v>
      </c>
      <c r="H138" s="21" t="s">
        <v>54</v>
      </c>
      <c r="I138" s="21" t="s">
        <v>89</v>
      </c>
      <c r="J138" s="21" t="s">
        <v>9849</v>
      </c>
      <c r="K138" s="5814" t="s">
        <v>9850</v>
      </c>
    </row>
    <row r="139" spans="1:11">
      <c r="A139" s="21" t="s">
        <v>2156</v>
      </c>
      <c r="B139" s="21" t="s">
        <v>9851</v>
      </c>
      <c r="C139" s="21" t="s">
        <v>8</v>
      </c>
      <c r="D139" s="21" t="s">
        <v>1134</v>
      </c>
      <c r="E139" s="21" t="s">
        <v>9</v>
      </c>
      <c r="F139" s="5812">
        <v>5</v>
      </c>
      <c r="G139" s="5813">
        <v>0.20833333333333334</v>
      </c>
      <c r="H139" s="21" t="s">
        <v>54</v>
      </c>
      <c r="I139" s="21" t="s">
        <v>11</v>
      </c>
      <c r="J139" s="21" t="s">
        <v>9852</v>
      </c>
      <c r="K139" s="5814" t="s">
        <v>9853</v>
      </c>
    </row>
    <row r="140" spans="1:11">
      <c r="A140" s="21" t="s">
        <v>2863</v>
      </c>
      <c r="B140" s="21" t="s">
        <v>9854</v>
      </c>
      <c r="C140" s="21" t="s">
        <v>8</v>
      </c>
      <c r="D140" s="21" t="s">
        <v>1134</v>
      </c>
      <c r="E140" s="21" t="s">
        <v>46</v>
      </c>
      <c r="F140" s="5812">
        <v>1</v>
      </c>
      <c r="G140" s="5813">
        <v>2.361111111111111E-2</v>
      </c>
      <c r="H140" s="21" t="s">
        <v>54</v>
      </c>
      <c r="I140" s="21" t="s">
        <v>2297</v>
      </c>
      <c r="J140" s="21" t="s">
        <v>48</v>
      </c>
      <c r="K140" s="5814" t="s">
        <v>9855</v>
      </c>
    </row>
    <row r="141" spans="1:11">
      <c r="A141" s="21" t="s">
        <v>2800</v>
      </c>
      <c r="B141" s="21" t="s">
        <v>9856</v>
      </c>
      <c r="C141" s="21" t="s">
        <v>8</v>
      </c>
      <c r="D141" s="21" t="s">
        <v>1134</v>
      </c>
      <c r="E141" s="21" t="s">
        <v>46</v>
      </c>
      <c r="F141" s="5812">
        <v>1</v>
      </c>
      <c r="G141" s="5813">
        <v>3.3333333333333333E-2</v>
      </c>
      <c r="H141" s="21" t="s">
        <v>54</v>
      </c>
      <c r="I141" s="21" t="s">
        <v>55</v>
      </c>
      <c r="J141" s="21" t="s">
        <v>97</v>
      </c>
      <c r="K141" s="5814" t="s">
        <v>9857</v>
      </c>
    </row>
    <row r="142" spans="1:11">
      <c r="A142" s="21" t="s">
        <v>2985</v>
      </c>
      <c r="B142" s="21" t="s">
        <v>9858</v>
      </c>
      <c r="C142" s="21" t="s">
        <v>8</v>
      </c>
      <c r="D142" s="21" t="s">
        <v>1134</v>
      </c>
      <c r="E142" s="21" t="s">
        <v>46</v>
      </c>
      <c r="F142" s="5812">
        <v>1</v>
      </c>
      <c r="G142" s="5813">
        <v>0.1736111111111111</v>
      </c>
      <c r="H142" s="21" t="s">
        <v>54</v>
      </c>
      <c r="I142" s="21" t="s">
        <v>47</v>
      </c>
      <c r="J142" s="21" t="s">
        <v>722</v>
      </c>
      <c r="K142" s="5814" t="s">
        <v>9859</v>
      </c>
    </row>
    <row r="143" spans="1:11">
      <c r="A143" s="21" t="s">
        <v>5235</v>
      </c>
      <c r="B143" s="21" t="s">
        <v>9860</v>
      </c>
      <c r="C143" s="21" t="s">
        <v>22</v>
      </c>
      <c r="D143" s="21" t="s">
        <v>1134</v>
      </c>
      <c r="E143" s="21" t="s">
        <v>46</v>
      </c>
      <c r="F143" s="5812">
        <v>2</v>
      </c>
      <c r="G143" s="5813">
        <v>4.0972222222222222E-2</v>
      </c>
      <c r="H143" s="21" t="s">
        <v>54</v>
      </c>
      <c r="I143" s="21" t="s">
        <v>55</v>
      </c>
      <c r="J143" s="21" t="s">
        <v>722</v>
      </c>
      <c r="K143" s="5814" t="s">
        <v>9861</v>
      </c>
    </row>
    <row r="144" spans="1:11">
      <c r="A144" s="21" t="s">
        <v>3217</v>
      </c>
      <c r="B144" s="21" t="s">
        <v>9862</v>
      </c>
      <c r="C144" s="21" t="s">
        <v>8</v>
      </c>
      <c r="D144" s="21" t="s">
        <v>1134</v>
      </c>
      <c r="E144" s="21" t="s">
        <v>46</v>
      </c>
      <c r="F144" s="5812">
        <v>5</v>
      </c>
      <c r="G144" s="5813">
        <v>0.10833333333333334</v>
      </c>
      <c r="H144" s="21" t="s">
        <v>54</v>
      </c>
      <c r="I144" s="21" t="s">
        <v>47</v>
      </c>
      <c r="J144" s="21" t="s">
        <v>258</v>
      </c>
      <c r="K144" s="5814" t="s">
        <v>9863</v>
      </c>
    </row>
    <row r="145" spans="1:11">
      <c r="A145" s="21" t="s">
        <v>2835</v>
      </c>
      <c r="B145" s="21" t="s">
        <v>9864</v>
      </c>
      <c r="C145" s="21" t="s">
        <v>22</v>
      </c>
      <c r="D145" s="21" t="s">
        <v>1134</v>
      </c>
      <c r="E145" s="21" t="s">
        <v>61</v>
      </c>
      <c r="F145" s="5812">
        <v>1</v>
      </c>
      <c r="G145" s="5813">
        <v>0.1361111111111111</v>
      </c>
      <c r="H145" s="21" t="s">
        <v>54</v>
      </c>
      <c r="I145" s="21" t="s">
        <v>55</v>
      </c>
      <c r="J145" s="21" t="s">
        <v>67</v>
      </c>
      <c r="K145" s="5814" t="s">
        <v>9865</v>
      </c>
    </row>
    <row r="146" spans="1:11">
      <c r="A146" s="21" t="s">
        <v>2461</v>
      </c>
      <c r="B146" s="21" t="s">
        <v>9866</v>
      </c>
      <c r="C146" s="21" t="s">
        <v>22</v>
      </c>
      <c r="D146" s="21" t="s">
        <v>1134</v>
      </c>
      <c r="E146" s="21" t="s">
        <v>61</v>
      </c>
      <c r="F146" s="5812">
        <v>2</v>
      </c>
      <c r="G146" s="5813">
        <v>0.14305555555555555</v>
      </c>
      <c r="H146" s="21" t="s">
        <v>54</v>
      </c>
      <c r="I146" s="21" t="s">
        <v>47</v>
      </c>
      <c r="J146" s="21" t="s">
        <v>67</v>
      </c>
      <c r="K146" s="5814" t="s">
        <v>9867</v>
      </c>
    </row>
    <row r="147" spans="1:11">
      <c r="A147" s="21" t="s">
        <v>4396</v>
      </c>
      <c r="B147" s="21" t="s">
        <v>9868</v>
      </c>
      <c r="C147" s="21" t="s">
        <v>22</v>
      </c>
      <c r="D147" s="21" t="s">
        <v>1134</v>
      </c>
      <c r="E147" s="21" t="s">
        <v>61</v>
      </c>
      <c r="F147" s="5812">
        <v>5</v>
      </c>
      <c r="G147" s="5813">
        <v>0.14583333333333334</v>
      </c>
      <c r="H147" s="21" t="s">
        <v>54</v>
      </c>
      <c r="I147" s="21" t="s">
        <v>2297</v>
      </c>
      <c r="J147" s="21" t="s">
        <v>5466</v>
      </c>
      <c r="K147" s="5814" t="s">
        <v>9869</v>
      </c>
    </row>
    <row r="148" spans="1:11">
      <c r="A148" s="21" t="s">
        <v>2966</v>
      </c>
      <c r="B148" s="21" t="s">
        <v>9870</v>
      </c>
      <c r="C148" s="21" t="s">
        <v>8</v>
      </c>
      <c r="D148" s="21" t="s">
        <v>9871</v>
      </c>
      <c r="E148" s="21" t="s">
        <v>9</v>
      </c>
      <c r="F148" s="5812">
        <v>5</v>
      </c>
      <c r="G148" s="5813">
        <v>0.20833333333333334</v>
      </c>
      <c r="H148" s="21" t="s">
        <v>54</v>
      </c>
      <c r="I148" s="21" t="s">
        <v>55</v>
      </c>
      <c r="J148" s="21" t="s">
        <v>9872</v>
      </c>
      <c r="K148" s="5814" t="s">
        <v>9873</v>
      </c>
    </row>
    <row r="149" spans="1:11">
      <c r="A149" s="21" t="s">
        <v>3369</v>
      </c>
      <c r="B149" s="21" t="s">
        <v>9874</v>
      </c>
      <c r="C149" s="21" t="s">
        <v>8</v>
      </c>
      <c r="D149" s="21" t="s">
        <v>9871</v>
      </c>
      <c r="E149" s="21" t="s">
        <v>9</v>
      </c>
      <c r="F149" s="5812">
        <v>5</v>
      </c>
      <c r="G149" s="5813">
        <v>0.20833333333333334</v>
      </c>
      <c r="H149" s="21" t="s">
        <v>54</v>
      </c>
      <c r="I149" s="21" t="s">
        <v>55</v>
      </c>
      <c r="J149" s="21" t="s">
        <v>9875</v>
      </c>
      <c r="K149" s="5814" t="s">
        <v>9876</v>
      </c>
    </row>
    <row r="150" spans="1:11">
      <c r="A150" s="21" t="s">
        <v>3783</v>
      </c>
      <c r="B150" s="21" t="s">
        <v>9877</v>
      </c>
      <c r="C150" s="21" t="s">
        <v>22</v>
      </c>
      <c r="D150" s="21" t="s">
        <v>9871</v>
      </c>
      <c r="E150" s="21" t="s">
        <v>9</v>
      </c>
      <c r="F150" s="5812">
        <v>5</v>
      </c>
      <c r="G150" s="5813">
        <v>0.20833333333333334</v>
      </c>
      <c r="H150" s="21" t="s">
        <v>54</v>
      </c>
      <c r="I150" s="21" t="s">
        <v>194</v>
      </c>
      <c r="J150" s="21" t="s">
        <v>9878</v>
      </c>
      <c r="K150" s="5814" t="s">
        <v>9879</v>
      </c>
    </row>
    <row r="151" spans="1:11">
      <c r="A151" s="21" t="s">
        <v>3173</v>
      </c>
      <c r="B151" s="21" t="s">
        <v>9880</v>
      </c>
      <c r="C151" s="21" t="s">
        <v>22</v>
      </c>
      <c r="D151" s="21" t="s">
        <v>9871</v>
      </c>
      <c r="E151" s="21" t="s">
        <v>46</v>
      </c>
      <c r="F151" s="5812">
        <v>1</v>
      </c>
      <c r="G151" s="5813">
        <v>3.5416666666666666E-2</v>
      </c>
      <c r="H151" s="21" t="s">
        <v>54</v>
      </c>
      <c r="I151" s="21" t="s">
        <v>47</v>
      </c>
      <c r="J151" s="21" t="s">
        <v>97</v>
      </c>
      <c r="K151" s="5814" t="s">
        <v>9881</v>
      </c>
    </row>
    <row r="152" spans="1:11">
      <c r="A152" s="21" t="s">
        <v>2205</v>
      </c>
      <c r="B152" s="21" t="s">
        <v>9882</v>
      </c>
      <c r="C152" s="21" t="s">
        <v>8</v>
      </c>
      <c r="D152" s="21" t="s">
        <v>9871</v>
      </c>
      <c r="E152" s="21" t="s">
        <v>46</v>
      </c>
      <c r="F152" s="5812">
        <v>1</v>
      </c>
      <c r="G152" s="5813">
        <v>0.1423611111111111</v>
      </c>
      <c r="H152" s="21" t="s">
        <v>54</v>
      </c>
      <c r="I152" s="21" t="s">
        <v>55</v>
      </c>
      <c r="J152" s="21" t="s">
        <v>127</v>
      </c>
      <c r="K152" s="5814" t="s">
        <v>9883</v>
      </c>
    </row>
    <row r="153" spans="1:11">
      <c r="A153" s="21" t="s">
        <v>3537</v>
      </c>
      <c r="B153" s="21" t="s">
        <v>9884</v>
      </c>
      <c r="C153" s="21" t="s">
        <v>8</v>
      </c>
      <c r="D153" s="21" t="s">
        <v>9871</v>
      </c>
      <c r="E153" s="21" t="s">
        <v>46</v>
      </c>
      <c r="F153" s="5812">
        <v>3</v>
      </c>
      <c r="G153" s="5813">
        <v>8.0555555555555561E-2</v>
      </c>
      <c r="H153" s="21" t="s">
        <v>54</v>
      </c>
      <c r="I153" s="21" t="s">
        <v>89</v>
      </c>
      <c r="J153" s="21" t="s">
        <v>1203</v>
      </c>
      <c r="K153" s="5814" t="s">
        <v>9885</v>
      </c>
    </row>
    <row r="154" spans="1:11">
      <c r="A154" s="21" t="s">
        <v>2123</v>
      </c>
      <c r="B154" s="21" t="s">
        <v>9886</v>
      </c>
      <c r="C154" s="21" t="s">
        <v>8</v>
      </c>
      <c r="D154" s="21" t="s">
        <v>9871</v>
      </c>
      <c r="E154" s="21" t="s">
        <v>61</v>
      </c>
      <c r="F154" s="5812">
        <v>1</v>
      </c>
      <c r="G154" s="5813">
        <v>8.5416666666666669E-2</v>
      </c>
      <c r="H154" s="21" t="s">
        <v>54</v>
      </c>
      <c r="I154" s="21" t="s">
        <v>96</v>
      </c>
      <c r="J154" s="21" t="s">
        <v>3360</v>
      </c>
      <c r="K154" s="5814" t="s">
        <v>9887</v>
      </c>
    </row>
    <row r="155" spans="1:11">
      <c r="A155" s="21" t="s">
        <v>2941</v>
      </c>
      <c r="B155" s="21" t="s">
        <v>9888</v>
      </c>
      <c r="C155" s="21" t="s">
        <v>709</v>
      </c>
      <c r="D155" s="21" t="s">
        <v>9889</v>
      </c>
      <c r="E155" s="21" t="s">
        <v>193</v>
      </c>
      <c r="F155" s="5812">
        <v>5</v>
      </c>
      <c r="G155" s="5813">
        <v>0.20833333333333334</v>
      </c>
      <c r="H155" s="21" t="s">
        <v>54</v>
      </c>
      <c r="I155" s="21" t="s">
        <v>55</v>
      </c>
      <c r="J155" s="21" t="s">
        <v>9890</v>
      </c>
      <c r="K155" s="5814" t="s">
        <v>9891</v>
      </c>
    </row>
    <row r="156" spans="1:11">
      <c r="A156" s="21" t="s">
        <v>2420</v>
      </c>
      <c r="B156" s="21" t="s">
        <v>9892</v>
      </c>
      <c r="C156" s="21" t="s">
        <v>8</v>
      </c>
      <c r="D156" s="21" t="s">
        <v>9889</v>
      </c>
      <c r="E156" s="21" t="s">
        <v>193</v>
      </c>
      <c r="F156" s="5812">
        <v>5</v>
      </c>
      <c r="G156" s="5813">
        <v>0.20833333333333334</v>
      </c>
      <c r="H156" s="21" t="s">
        <v>54</v>
      </c>
      <c r="I156" s="21" t="s">
        <v>96</v>
      </c>
      <c r="J156" s="21" t="s">
        <v>9893</v>
      </c>
      <c r="K156" s="5814" t="s">
        <v>9894</v>
      </c>
    </row>
    <row r="157" spans="1:11">
      <c r="A157" s="21" t="s">
        <v>5335</v>
      </c>
      <c r="B157" s="21" t="s">
        <v>9895</v>
      </c>
      <c r="C157" s="21" t="s">
        <v>8</v>
      </c>
      <c r="D157" s="21" t="s">
        <v>9889</v>
      </c>
      <c r="E157" s="21" t="s">
        <v>9</v>
      </c>
      <c r="F157" s="5812">
        <v>5</v>
      </c>
      <c r="G157" s="5813">
        <v>0.20833333333333334</v>
      </c>
      <c r="H157" s="21" t="s">
        <v>54</v>
      </c>
      <c r="I157" s="21" t="s">
        <v>55</v>
      </c>
      <c r="J157" s="21" t="s">
        <v>9896</v>
      </c>
      <c r="K157" s="5814" t="s">
        <v>9897</v>
      </c>
    </row>
    <row r="158" spans="1:11">
      <c r="A158" s="21" t="s">
        <v>2174</v>
      </c>
      <c r="B158" s="21" t="s">
        <v>9898</v>
      </c>
      <c r="C158" s="21" t="s">
        <v>8</v>
      </c>
      <c r="D158" s="21" t="s">
        <v>9889</v>
      </c>
      <c r="E158" s="21" t="s">
        <v>9</v>
      </c>
      <c r="F158" s="5812">
        <v>5</v>
      </c>
      <c r="G158" s="5813">
        <v>0.20833333333333334</v>
      </c>
      <c r="H158" s="21" t="s">
        <v>54</v>
      </c>
      <c r="I158" s="21" t="s">
        <v>11</v>
      </c>
      <c r="J158" s="21" t="s">
        <v>9899</v>
      </c>
      <c r="K158" s="5814" t="s">
        <v>9900</v>
      </c>
    </row>
    <row r="159" spans="1:11">
      <c r="A159" s="21" t="s">
        <v>2668</v>
      </c>
      <c r="B159" s="21" t="s">
        <v>9901</v>
      </c>
      <c r="C159" s="21" t="s">
        <v>8</v>
      </c>
      <c r="D159" s="21" t="s">
        <v>9889</v>
      </c>
      <c r="E159" s="21" t="s">
        <v>9</v>
      </c>
      <c r="F159" s="5812">
        <v>5</v>
      </c>
      <c r="G159" s="5813">
        <v>0.20833333333333334</v>
      </c>
      <c r="H159" s="21" t="s">
        <v>54</v>
      </c>
      <c r="I159" s="21" t="s">
        <v>194</v>
      </c>
      <c r="J159" s="21" t="s">
        <v>9902</v>
      </c>
      <c r="K159" s="5814" t="s">
        <v>9903</v>
      </c>
    </row>
    <row r="160" spans="1:11">
      <c r="A160" s="21" t="s">
        <v>2757</v>
      </c>
      <c r="B160" s="21" t="s">
        <v>9904</v>
      </c>
      <c r="C160" s="21" t="s">
        <v>8</v>
      </c>
      <c r="D160" s="21" t="s">
        <v>9889</v>
      </c>
      <c r="E160" s="21" t="s">
        <v>9</v>
      </c>
      <c r="F160" s="5812">
        <v>5</v>
      </c>
      <c r="G160" s="5813">
        <v>0.20833333333333334</v>
      </c>
      <c r="H160" s="21" t="s">
        <v>54</v>
      </c>
      <c r="I160" s="21" t="s">
        <v>2297</v>
      </c>
      <c r="J160" s="21" t="s">
        <v>9905</v>
      </c>
      <c r="K160" s="5814" t="s">
        <v>9906</v>
      </c>
    </row>
    <row r="161" spans="1:11">
      <c r="A161" s="21" t="s">
        <v>2609</v>
      </c>
      <c r="B161" s="21" t="s">
        <v>9907</v>
      </c>
      <c r="C161" s="21" t="s">
        <v>8</v>
      </c>
      <c r="D161" s="21" t="s">
        <v>9889</v>
      </c>
      <c r="E161" s="21" t="s">
        <v>46</v>
      </c>
      <c r="F161" s="5812">
        <v>2</v>
      </c>
      <c r="G161" s="5813">
        <v>1.8055555555555554E-2</v>
      </c>
      <c r="H161" s="21" t="s">
        <v>54</v>
      </c>
      <c r="I161" s="21" t="s">
        <v>2665</v>
      </c>
      <c r="J161" s="21" t="s">
        <v>722</v>
      </c>
      <c r="K161" s="5814" t="s">
        <v>9908</v>
      </c>
    </row>
    <row r="162" spans="1:11">
      <c r="A162" s="21" t="s">
        <v>2935</v>
      </c>
      <c r="B162" s="21" t="s">
        <v>9909</v>
      </c>
      <c r="C162" s="21" t="s">
        <v>8</v>
      </c>
      <c r="D162" s="21" t="s">
        <v>9889</v>
      </c>
      <c r="E162" s="21" t="s">
        <v>46</v>
      </c>
      <c r="F162" s="5812">
        <v>2</v>
      </c>
      <c r="G162" s="5813">
        <v>0.13819444444444445</v>
      </c>
      <c r="H162" s="21" t="s">
        <v>54</v>
      </c>
      <c r="I162" s="21" t="s">
        <v>226</v>
      </c>
      <c r="J162" s="21" t="s">
        <v>4687</v>
      </c>
      <c r="K162" s="5814" t="s">
        <v>9910</v>
      </c>
    </row>
    <row r="163" spans="1:11">
      <c r="A163" s="21" t="s">
        <v>2143</v>
      </c>
      <c r="B163" s="21" t="s">
        <v>9911</v>
      </c>
      <c r="C163" s="21" t="s">
        <v>8</v>
      </c>
      <c r="D163" s="21" t="s">
        <v>9889</v>
      </c>
      <c r="E163" s="21" t="s">
        <v>46</v>
      </c>
      <c r="F163" s="5812">
        <v>3</v>
      </c>
      <c r="G163" s="5813">
        <v>4.3749999999999997E-2</v>
      </c>
      <c r="H163" s="21" t="s">
        <v>54</v>
      </c>
      <c r="I163" s="21" t="s">
        <v>654</v>
      </c>
      <c r="J163" s="21" t="s">
        <v>9732</v>
      </c>
      <c r="K163" s="5814" t="s">
        <v>9912</v>
      </c>
    </row>
    <row r="164" spans="1:11">
      <c r="A164" s="21" t="s">
        <v>3152</v>
      </c>
      <c r="B164" s="21" t="s">
        <v>9913</v>
      </c>
      <c r="C164" s="21" t="s">
        <v>8</v>
      </c>
      <c r="D164" s="21" t="s">
        <v>9889</v>
      </c>
      <c r="E164" s="21" t="s">
        <v>46</v>
      </c>
      <c r="F164" s="5812">
        <v>4</v>
      </c>
      <c r="G164" s="5813">
        <v>0.16666666666666666</v>
      </c>
      <c r="H164" s="21" t="s">
        <v>54</v>
      </c>
      <c r="I164" s="21" t="s">
        <v>11</v>
      </c>
      <c r="J164" s="21" t="s">
        <v>4586</v>
      </c>
      <c r="K164" s="5814" t="s">
        <v>9914</v>
      </c>
    </row>
    <row r="165" spans="1:11">
      <c r="A165" s="21" t="s">
        <v>2049</v>
      </c>
      <c r="B165" s="21" t="s">
        <v>9915</v>
      </c>
      <c r="C165" s="21" t="s">
        <v>22</v>
      </c>
      <c r="D165" s="21" t="s">
        <v>9889</v>
      </c>
      <c r="E165" s="21" t="s">
        <v>61</v>
      </c>
      <c r="F165" s="5812">
        <v>4</v>
      </c>
      <c r="G165" s="5813">
        <v>0.19027777777777777</v>
      </c>
      <c r="H165" s="21" t="s">
        <v>54</v>
      </c>
      <c r="I165" s="21" t="s">
        <v>96</v>
      </c>
      <c r="J165" s="21" t="s">
        <v>67</v>
      </c>
      <c r="K165" s="5814" t="s">
        <v>9916</v>
      </c>
    </row>
    <row r="166" spans="1:11">
      <c r="A166" s="21" t="s">
        <v>2428</v>
      </c>
      <c r="B166" s="21" t="s">
        <v>9917</v>
      </c>
      <c r="C166" s="21" t="s">
        <v>22</v>
      </c>
      <c r="D166" s="21" t="s">
        <v>1142</v>
      </c>
      <c r="E166" s="21" t="s">
        <v>193</v>
      </c>
      <c r="F166" s="5812">
        <v>5</v>
      </c>
      <c r="G166" s="5813">
        <v>0.20833333333333334</v>
      </c>
      <c r="H166" s="21" t="s">
        <v>54</v>
      </c>
      <c r="I166" s="21" t="s">
        <v>11</v>
      </c>
      <c r="J166" s="21" t="s">
        <v>9918</v>
      </c>
      <c r="K166" s="5814" t="s">
        <v>9919</v>
      </c>
    </row>
    <row r="167" spans="1:11">
      <c r="A167" s="21" t="s">
        <v>3220</v>
      </c>
      <c r="B167" s="21" t="s">
        <v>9920</v>
      </c>
      <c r="C167" s="21" t="s">
        <v>8</v>
      </c>
      <c r="D167" s="21" t="s">
        <v>1142</v>
      </c>
      <c r="E167" s="21" t="s">
        <v>193</v>
      </c>
      <c r="F167" s="5812">
        <v>5</v>
      </c>
      <c r="G167" s="5813">
        <v>0.20833333333333334</v>
      </c>
      <c r="H167" s="21" t="s">
        <v>54</v>
      </c>
      <c r="I167" s="21" t="s">
        <v>47</v>
      </c>
      <c r="J167" s="21" t="s">
        <v>9921</v>
      </c>
      <c r="K167" s="5814" t="s">
        <v>9922</v>
      </c>
    </row>
    <row r="168" spans="1:11">
      <c r="A168" s="21" t="s">
        <v>2979</v>
      </c>
      <c r="B168" s="21" t="s">
        <v>9923</v>
      </c>
      <c r="C168" s="21" t="s">
        <v>8</v>
      </c>
      <c r="D168" s="21" t="s">
        <v>1142</v>
      </c>
      <c r="E168" s="21" t="s">
        <v>193</v>
      </c>
      <c r="F168" s="5812">
        <v>5</v>
      </c>
      <c r="G168" s="5813">
        <v>0.20833333333333334</v>
      </c>
      <c r="H168" s="21" t="s">
        <v>54</v>
      </c>
      <c r="I168" s="21" t="s">
        <v>11</v>
      </c>
      <c r="J168" s="21" t="s">
        <v>9924</v>
      </c>
      <c r="K168" s="5814" t="s">
        <v>9925</v>
      </c>
    </row>
    <row r="169" spans="1:11">
      <c r="A169" s="21" t="s">
        <v>103</v>
      </c>
      <c r="B169" s="21" t="s">
        <v>1141</v>
      </c>
      <c r="C169" s="21" t="s">
        <v>8</v>
      </c>
      <c r="D169" s="21" t="s">
        <v>1142</v>
      </c>
      <c r="E169" s="21" t="s">
        <v>9</v>
      </c>
      <c r="F169" s="5812">
        <v>5</v>
      </c>
      <c r="G169" s="5813">
        <v>0.20833333333333334</v>
      </c>
      <c r="H169" s="21" t="s">
        <v>54</v>
      </c>
      <c r="I169" s="21" t="s">
        <v>96</v>
      </c>
      <c r="J169" s="21" t="s">
        <v>1143</v>
      </c>
      <c r="K169" s="5814" t="s">
        <v>1144</v>
      </c>
    </row>
    <row r="170" spans="1:11">
      <c r="A170" s="21" t="s">
        <v>2300</v>
      </c>
      <c r="B170" s="21" t="s">
        <v>9926</v>
      </c>
      <c r="C170" s="21" t="s">
        <v>8</v>
      </c>
      <c r="D170" s="21" t="s">
        <v>1142</v>
      </c>
      <c r="E170" s="21" t="s">
        <v>9</v>
      </c>
      <c r="F170" s="5812">
        <v>5</v>
      </c>
      <c r="G170" s="5813">
        <v>0.20833333333333334</v>
      </c>
      <c r="H170" s="21" t="s">
        <v>54</v>
      </c>
      <c r="I170" s="21" t="s">
        <v>187</v>
      </c>
      <c r="J170" s="21" t="s">
        <v>9927</v>
      </c>
      <c r="K170" s="5814" t="s">
        <v>9928</v>
      </c>
    </row>
    <row r="171" spans="1:11">
      <c r="A171" s="21" t="s">
        <v>4249</v>
      </c>
      <c r="B171" s="21" t="s">
        <v>9929</v>
      </c>
      <c r="C171" s="21" t="s">
        <v>8</v>
      </c>
      <c r="D171" s="21" t="s">
        <v>1142</v>
      </c>
      <c r="E171" s="21" t="s">
        <v>9</v>
      </c>
      <c r="F171" s="5812">
        <v>5</v>
      </c>
      <c r="G171" s="5813">
        <v>0.20833333333333334</v>
      </c>
      <c r="H171" s="21" t="s">
        <v>54</v>
      </c>
      <c r="I171" s="21" t="s">
        <v>11</v>
      </c>
      <c r="J171" s="21" t="s">
        <v>9930</v>
      </c>
      <c r="K171" s="5814" t="s">
        <v>9931</v>
      </c>
    </row>
    <row r="172" spans="1:11">
      <c r="A172" s="21" t="s">
        <v>4321</v>
      </c>
      <c r="B172" s="21" t="s">
        <v>9932</v>
      </c>
      <c r="C172" s="21" t="s">
        <v>8</v>
      </c>
      <c r="D172" s="21" t="s">
        <v>1142</v>
      </c>
      <c r="E172" s="21" t="s">
        <v>9</v>
      </c>
      <c r="F172" s="5812">
        <v>5</v>
      </c>
      <c r="G172" s="5813">
        <v>0.20833333333333334</v>
      </c>
      <c r="H172" s="21" t="s">
        <v>54</v>
      </c>
      <c r="I172" s="21" t="s">
        <v>654</v>
      </c>
      <c r="J172" s="21" t="s">
        <v>9933</v>
      </c>
      <c r="K172" s="5814" t="s">
        <v>9934</v>
      </c>
    </row>
    <row r="173" spans="1:11">
      <c r="A173" s="21" t="s">
        <v>3541</v>
      </c>
      <c r="B173" s="21" t="s">
        <v>9935</v>
      </c>
      <c r="C173" s="21" t="s">
        <v>8</v>
      </c>
      <c r="D173" s="21" t="s">
        <v>1142</v>
      </c>
      <c r="E173" s="21" t="s">
        <v>9</v>
      </c>
      <c r="F173" s="5812">
        <v>5</v>
      </c>
      <c r="G173" s="5813">
        <v>0.20833333333333334</v>
      </c>
      <c r="H173" s="21" t="s">
        <v>54</v>
      </c>
      <c r="I173" s="21" t="s">
        <v>11</v>
      </c>
      <c r="J173" s="21" t="s">
        <v>9936</v>
      </c>
      <c r="K173" s="5814" t="s">
        <v>9937</v>
      </c>
    </row>
    <row r="174" spans="1:11">
      <c r="A174" s="21" t="s">
        <v>4379</v>
      </c>
      <c r="B174" s="21" t="s">
        <v>9938</v>
      </c>
      <c r="C174" s="21" t="s">
        <v>8</v>
      </c>
      <c r="D174" s="21" t="s">
        <v>1142</v>
      </c>
      <c r="E174" s="21" t="s">
        <v>9</v>
      </c>
      <c r="F174" s="5812">
        <v>5</v>
      </c>
      <c r="G174" s="5813">
        <v>0.20833333333333334</v>
      </c>
      <c r="H174" s="21" t="s">
        <v>54</v>
      </c>
      <c r="I174" s="21" t="s">
        <v>2297</v>
      </c>
      <c r="J174" s="21" t="s">
        <v>9939</v>
      </c>
      <c r="K174" s="5814" t="s">
        <v>9940</v>
      </c>
    </row>
    <row r="175" spans="1:11">
      <c r="A175" s="21" t="s">
        <v>5235</v>
      </c>
      <c r="B175" s="21" t="s">
        <v>9941</v>
      </c>
      <c r="C175" s="21" t="s">
        <v>8</v>
      </c>
      <c r="D175" s="21" t="s">
        <v>1142</v>
      </c>
      <c r="E175" s="21" t="s">
        <v>9</v>
      </c>
      <c r="F175" s="5812">
        <v>5</v>
      </c>
      <c r="G175" s="5813">
        <v>0.20833333333333334</v>
      </c>
      <c r="H175" s="21" t="s">
        <v>54</v>
      </c>
      <c r="I175" s="21" t="s">
        <v>2269</v>
      </c>
      <c r="J175" s="21" t="s">
        <v>9942</v>
      </c>
      <c r="K175" s="5814" t="s">
        <v>9943</v>
      </c>
    </row>
    <row r="176" spans="1:11">
      <c r="A176" s="21" t="s">
        <v>2579</v>
      </c>
      <c r="B176" s="21" t="s">
        <v>9944</v>
      </c>
      <c r="C176" s="21" t="s">
        <v>22</v>
      </c>
      <c r="D176" s="21" t="s">
        <v>1142</v>
      </c>
      <c r="E176" s="21" t="s">
        <v>46</v>
      </c>
      <c r="F176" s="5812">
        <v>1</v>
      </c>
      <c r="G176" s="5813">
        <v>2.9166666666666667E-2</v>
      </c>
      <c r="H176" s="21" t="s">
        <v>54</v>
      </c>
      <c r="I176" s="21" t="s">
        <v>2713</v>
      </c>
      <c r="J176" s="21" t="s">
        <v>48</v>
      </c>
      <c r="K176" s="5814" t="s">
        <v>9945</v>
      </c>
    </row>
    <row r="177" spans="1:11">
      <c r="A177" s="21" t="s">
        <v>2935</v>
      </c>
      <c r="B177" s="21" t="s">
        <v>9946</v>
      </c>
      <c r="C177" s="21" t="s">
        <v>22</v>
      </c>
      <c r="D177" s="21" t="s">
        <v>1142</v>
      </c>
      <c r="E177" s="21" t="s">
        <v>46</v>
      </c>
      <c r="F177" s="5812">
        <v>1</v>
      </c>
      <c r="G177" s="5813">
        <v>5.4166666666666669E-2</v>
      </c>
      <c r="H177" s="21" t="s">
        <v>54</v>
      </c>
      <c r="I177" s="21" t="s">
        <v>11</v>
      </c>
      <c r="J177" s="21" t="s">
        <v>722</v>
      </c>
      <c r="K177" s="5814" t="s">
        <v>9947</v>
      </c>
    </row>
    <row r="178" spans="1:11">
      <c r="A178" s="21" t="s">
        <v>3195</v>
      </c>
      <c r="B178" s="21" t="s">
        <v>9948</v>
      </c>
      <c r="C178" s="21" t="s">
        <v>22</v>
      </c>
      <c r="D178" s="21" t="s">
        <v>1142</v>
      </c>
      <c r="E178" s="21" t="s">
        <v>46</v>
      </c>
      <c r="F178" s="5812">
        <v>1</v>
      </c>
      <c r="G178" s="5813">
        <v>0.12708333333333333</v>
      </c>
      <c r="H178" s="21" t="s">
        <v>54</v>
      </c>
      <c r="I178" s="21" t="s">
        <v>2297</v>
      </c>
      <c r="J178" s="21" t="s">
        <v>48</v>
      </c>
      <c r="K178" s="5814" t="s">
        <v>9949</v>
      </c>
    </row>
    <row r="179" spans="1:11">
      <c r="A179" s="21" t="s">
        <v>3160</v>
      </c>
      <c r="B179" s="21" t="s">
        <v>9950</v>
      </c>
      <c r="C179" s="21" t="s">
        <v>22</v>
      </c>
      <c r="D179" s="21" t="s">
        <v>1142</v>
      </c>
      <c r="E179" s="21" t="s">
        <v>46</v>
      </c>
      <c r="F179" s="5812">
        <v>2</v>
      </c>
      <c r="G179" s="5813">
        <v>0.12361111111111112</v>
      </c>
      <c r="H179" s="21" t="s">
        <v>54</v>
      </c>
      <c r="I179" s="21" t="s">
        <v>47</v>
      </c>
      <c r="J179" s="21" t="s">
        <v>774</v>
      </c>
      <c r="K179" s="5814" t="s">
        <v>9951</v>
      </c>
    </row>
    <row r="180" spans="1:11">
      <c r="A180" s="21" t="s">
        <v>3098</v>
      </c>
      <c r="B180" s="21" t="s">
        <v>9952</v>
      </c>
      <c r="C180" s="21" t="s">
        <v>8</v>
      </c>
      <c r="D180" s="21" t="s">
        <v>1142</v>
      </c>
      <c r="E180" s="21" t="s">
        <v>46</v>
      </c>
      <c r="F180" s="5812">
        <v>3</v>
      </c>
      <c r="G180" s="5813">
        <v>0.18194444444444444</v>
      </c>
      <c r="H180" s="21" t="s">
        <v>54</v>
      </c>
      <c r="I180" s="21" t="s">
        <v>47</v>
      </c>
      <c r="J180" s="21" t="s">
        <v>97</v>
      </c>
      <c r="K180" s="5814" t="s">
        <v>9953</v>
      </c>
    </row>
    <row r="181" spans="1:11">
      <c r="A181" s="21" t="s">
        <v>2372</v>
      </c>
      <c r="B181" s="21" t="s">
        <v>9954</v>
      </c>
      <c r="C181" s="21" t="s">
        <v>22</v>
      </c>
      <c r="D181" s="21" t="s">
        <v>1142</v>
      </c>
      <c r="E181" s="21" t="s">
        <v>61</v>
      </c>
      <c r="F181" s="5812">
        <v>2</v>
      </c>
      <c r="G181" s="5813">
        <v>4.5138888888888888E-2</v>
      </c>
      <c r="H181" s="21" t="s">
        <v>54</v>
      </c>
      <c r="I181" s="21" t="s">
        <v>11</v>
      </c>
      <c r="J181" s="21" t="s">
        <v>9955</v>
      </c>
      <c r="K181" s="5814" t="s">
        <v>9956</v>
      </c>
    </row>
    <row r="182" spans="1:11">
      <c r="A182" s="21" t="s">
        <v>2878</v>
      </c>
      <c r="B182" s="21" t="s">
        <v>9957</v>
      </c>
      <c r="C182" s="21" t="s">
        <v>8</v>
      </c>
      <c r="D182" s="21" t="s">
        <v>9958</v>
      </c>
      <c r="E182" s="21" t="s">
        <v>61</v>
      </c>
      <c r="F182" s="5812">
        <v>2</v>
      </c>
      <c r="G182" s="5813">
        <v>5.486111111111111E-2</v>
      </c>
      <c r="H182" s="21" t="s">
        <v>2081</v>
      </c>
      <c r="I182" s="21" t="s">
        <v>55</v>
      </c>
      <c r="J182" s="21" t="s">
        <v>836</v>
      </c>
      <c r="K182" s="5814" t="s">
        <v>9959</v>
      </c>
    </row>
    <row r="183" spans="1:11">
      <c r="A183" s="21" t="s">
        <v>4423</v>
      </c>
      <c r="B183" s="21" t="s">
        <v>9960</v>
      </c>
      <c r="C183" s="21" t="s">
        <v>22</v>
      </c>
      <c r="D183" s="21" t="s">
        <v>9961</v>
      </c>
      <c r="E183" s="21" t="s">
        <v>9</v>
      </c>
      <c r="F183" s="5812">
        <v>3</v>
      </c>
      <c r="G183" s="5813">
        <v>0.20833333333333334</v>
      </c>
      <c r="H183" s="21" t="s">
        <v>2081</v>
      </c>
      <c r="I183" s="21" t="s">
        <v>55</v>
      </c>
      <c r="J183" s="21" t="s">
        <v>9962</v>
      </c>
      <c r="K183" s="5814" t="s">
        <v>9963</v>
      </c>
    </row>
    <row r="184" spans="1:11">
      <c r="A184" s="21" t="s">
        <v>4379</v>
      </c>
      <c r="B184" s="21" t="s">
        <v>9964</v>
      </c>
      <c r="C184" s="21" t="s">
        <v>8</v>
      </c>
      <c r="D184" s="21" t="s">
        <v>9965</v>
      </c>
      <c r="E184" s="21" t="s">
        <v>9</v>
      </c>
      <c r="F184" s="5812">
        <v>3</v>
      </c>
      <c r="G184" s="5813">
        <v>0.20833333333333334</v>
      </c>
      <c r="H184" s="21" t="s">
        <v>2081</v>
      </c>
      <c r="I184" s="21" t="s">
        <v>55</v>
      </c>
      <c r="J184" s="21" t="s">
        <v>9966</v>
      </c>
      <c r="K184" s="5814" t="s">
        <v>9967</v>
      </c>
    </row>
    <row r="185" spans="1:11">
      <c r="A185" s="21" t="s">
        <v>4379</v>
      </c>
      <c r="B185" s="21" t="s">
        <v>9968</v>
      </c>
      <c r="C185" s="21" t="s">
        <v>8</v>
      </c>
      <c r="D185" s="21" t="s">
        <v>9969</v>
      </c>
      <c r="E185" s="21" t="s">
        <v>61</v>
      </c>
      <c r="F185" s="5812">
        <v>1</v>
      </c>
      <c r="G185" s="5813">
        <v>0.15486111111111112</v>
      </c>
      <c r="H185" s="21" t="s">
        <v>2081</v>
      </c>
      <c r="I185" s="21" t="s">
        <v>2297</v>
      </c>
      <c r="J185" s="21" t="s">
        <v>782</v>
      </c>
      <c r="K185" s="5814" t="s">
        <v>9970</v>
      </c>
    </row>
    <row r="186" spans="1:11">
      <c r="A186" s="21" t="s">
        <v>4313</v>
      </c>
      <c r="B186" s="21" t="s">
        <v>9971</v>
      </c>
      <c r="C186" s="21" t="s">
        <v>22</v>
      </c>
      <c r="D186" s="21" t="s">
        <v>9972</v>
      </c>
      <c r="E186" s="21" t="s">
        <v>61</v>
      </c>
      <c r="F186" s="5812">
        <v>2</v>
      </c>
      <c r="G186" s="5813">
        <v>2.9861111111111113E-2</v>
      </c>
      <c r="H186" s="21" t="s">
        <v>2081</v>
      </c>
      <c r="I186" s="21" t="s">
        <v>96</v>
      </c>
      <c r="J186" s="21" t="s">
        <v>67</v>
      </c>
      <c r="K186" s="5814" t="s">
        <v>9973</v>
      </c>
    </row>
    <row r="187" spans="1:11">
      <c r="A187" s="21" t="s">
        <v>3647</v>
      </c>
      <c r="B187" s="21" t="s">
        <v>9974</v>
      </c>
      <c r="C187" s="21" t="s">
        <v>22</v>
      </c>
      <c r="D187" s="21" t="s">
        <v>9975</v>
      </c>
      <c r="E187" s="21" t="s">
        <v>9</v>
      </c>
      <c r="F187" s="5812">
        <v>3</v>
      </c>
      <c r="G187" s="5813">
        <v>0.20833333333333334</v>
      </c>
      <c r="H187" s="21" t="s">
        <v>2081</v>
      </c>
      <c r="I187" s="21" t="s">
        <v>55</v>
      </c>
      <c r="J187" s="21" t="s">
        <v>9976</v>
      </c>
      <c r="K187" s="5814" t="s">
        <v>9977</v>
      </c>
    </row>
    <row r="188" spans="1:11">
      <c r="A188" s="21" t="s">
        <v>3647</v>
      </c>
      <c r="B188" s="21" t="s">
        <v>9978</v>
      </c>
      <c r="C188" s="21" t="s">
        <v>8</v>
      </c>
      <c r="D188" s="21" t="s">
        <v>9979</v>
      </c>
      <c r="E188" s="21" t="s">
        <v>193</v>
      </c>
      <c r="F188" s="5812">
        <v>3</v>
      </c>
      <c r="G188" s="5813">
        <v>0.20833333333333334</v>
      </c>
      <c r="H188" s="21" t="s">
        <v>2081</v>
      </c>
      <c r="I188" s="21" t="s">
        <v>47</v>
      </c>
      <c r="J188" s="21" t="s">
        <v>9980</v>
      </c>
      <c r="K188" s="5814" t="s">
        <v>9981</v>
      </c>
    </row>
    <row r="189" spans="1:11">
      <c r="A189" s="21" t="s">
        <v>3002</v>
      </c>
      <c r="B189" s="21" t="s">
        <v>9982</v>
      </c>
      <c r="C189" s="21" t="s">
        <v>8</v>
      </c>
      <c r="D189" s="21" t="s">
        <v>9983</v>
      </c>
      <c r="E189" s="21" t="s">
        <v>61</v>
      </c>
      <c r="F189" s="5812">
        <v>1</v>
      </c>
      <c r="G189" s="5813">
        <v>0.15</v>
      </c>
      <c r="H189" s="21" t="s">
        <v>2081</v>
      </c>
      <c r="I189" s="21" t="s">
        <v>39</v>
      </c>
      <c r="J189" s="21" t="s">
        <v>9984</v>
      </c>
      <c r="K189" s="5814" t="s">
        <v>9985</v>
      </c>
    </row>
    <row r="190" spans="1:11">
      <c r="A190" s="21" t="s">
        <v>3002</v>
      </c>
      <c r="B190" s="21" t="s">
        <v>1302</v>
      </c>
      <c r="C190" s="21" t="s">
        <v>22</v>
      </c>
      <c r="D190" s="21" t="s">
        <v>9986</v>
      </c>
      <c r="E190" s="21" t="s">
        <v>61</v>
      </c>
      <c r="F190" s="5812">
        <v>2</v>
      </c>
      <c r="G190" s="5813">
        <v>9.0972222222222218E-2</v>
      </c>
      <c r="H190" s="21" t="s">
        <v>2081</v>
      </c>
      <c r="I190" s="21" t="s">
        <v>2872</v>
      </c>
      <c r="J190" s="21" t="s">
        <v>67</v>
      </c>
      <c r="K190" s="5814" t="s">
        <v>9987</v>
      </c>
    </row>
    <row r="191" spans="1:11">
      <c r="A191" s="21" t="s">
        <v>2863</v>
      </c>
      <c r="B191" s="21" t="s">
        <v>9988</v>
      </c>
      <c r="C191" s="21" t="s">
        <v>8</v>
      </c>
      <c r="D191" s="21" t="s">
        <v>9989</v>
      </c>
      <c r="E191" s="21" t="s">
        <v>9</v>
      </c>
      <c r="F191" s="5812">
        <v>3</v>
      </c>
      <c r="G191" s="5813">
        <v>0.20833333333333334</v>
      </c>
      <c r="H191" s="21" t="s">
        <v>2081</v>
      </c>
      <c r="I191" s="21" t="s">
        <v>233</v>
      </c>
      <c r="J191" s="21" t="s">
        <v>9990</v>
      </c>
      <c r="K191" s="5814" t="s">
        <v>9991</v>
      </c>
    </row>
    <row r="192" spans="1:11">
      <c r="A192" s="21" t="s">
        <v>2863</v>
      </c>
      <c r="B192" s="21" t="s">
        <v>9992</v>
      </c>
      <c r="C192" s="21" t="s">
        <v>8</v>
      </c>
      <c r="D192" s="21" t="s">
        <v>9993</v>
      </c>
      <c r="E192" s="21" t="s">
        <v>61</v>
      </c>
      <c r="F192" s="5812">
        <v>3</v>
      </c>
      <c r="G192" s="5813">
        <v>0.1986111111111111</v>
      </c>
      <c r="H192" s="21" t="s">
        <v>2081</v>
      </c>
      <c r="I192" s="21" t="s">
        <v>55</v>
      </c>
      <c r="J192" s="21" t="s">
        <v>67</v>
      </c>
      <c r="K192" s="5814" t="s">
        <v>9994</v>
      </c>
    </row>
    <row r="193" spans="1:11">
      <c r="A193" s="21" t="s">
        <v>2854</v>
      </c>
      <c r="B193" s="21" t="s">
        <v>9995</v>
      </c>
      <c r="C193" s="21" t="s">
        <v>22</v>
      </c>
      <c r="D193" s="21" t="s">
        <v>9996</v>
      </c>
      <c r="E193" s="21" t="s">
        <v>9</v>
      </c>
      <c r="F193" s="5812">
        <v>3</v>
      </c>
      <c r="G193" s="5813">
        <v>0.20833333333333334</v>
      </c>
      <c r="H193" s="21" t="s">
        <v>2081</v>
      </c>
      <c r="I193" s="21" t="s">
        <v>2247</v>
      </c>
      <c r="J193" s="21" t="s">
        <v>9997</v>
      </c>
      <c r="K193" s="5814" t="s">
        <v>9998</v>
      </c>
    </row>
    <row r="194" spans="1:11">
      <c r="A194" s="21" t="s">
        <v>2854</v>
      </c>
      <c r="B194" s="21" t="s">
        <v>9999</v>
      </c>
      <c r="C194" s="21" t="s">
        <v>8</v>
      </c>
      <c r="D194" s="21" t="s">
        <v>10000</v>
      </c>
      <c r="E194" s="21" t="s">
        <v>193</v>
      </c>
      <c r="F194" s="5812">
        <v>3</v>
      </c>
      <c r="G194" s="5813">
        <v>0.20833333333333334</v>
      </c>
      <c r="H194" s="21" t="s">
        <v>2081</v>
      </c>
      <c r="I194" s="21" t="s">
        <v>263</v>
      </c>
      <c r="J194" s="21" t="s">
        <v>10001</v>
      </c>
      <c r="K194" s="5814" t="s">
        <v>10002</v>
      </c>
    </row>
    <row r="195" spans="1:11">
      <c r="A195" s="21" t="s">
        <v>2245</v>
      </c>
      <c r="B195" s="21" t="s">
        <v>10003</v>
      </c>
      <c r="C195" s="21" t="s">
        <v>8</v>
      </c>
      <c r="D195" s="21" t="s">
        <v>10004</v>
      </c>
      <c r="E195" s="21" t="s">
        <v>46</v>
      </c>
      <c r="F195" s="5812">
        <v>2</v>
      </c>
      <c r="G195" s="5813">
        <v>7.9861111111111105E-2</v>
      </c>
      <c r="H195" s="21" t="s">
        <v>2081</v>
      </c>
      <c r="I195" s="21" t="s">
        <v>11</v>
      </c>
      <c r="J195" s="21" t="s">
        <v>4734</v>
      </c>
      <c r="K195" s="5814" t="s">
        <v>10005</v>
      </c>
    </row>
  </sheetData>
  <hyperlinks>
    <hyperlink ref="K4" r:id="rId1" xr:uid="{00000000-0004-0000-0E00-000000000000}"/>
    <hyperlink ref="K5" r:id="rId2" xr:uid="{00000000-0004-0000-0E00-000001000000}"/>
    <hyperlink ref="K6" r:id="rId3" xr:uid="{00000000-0004-0000-0E00-000002000000}"/>
    <hyperlink ref="K7" r:id="rId4" xr:uid="{00000000-0004-0000-0E00-000003000000}"/>
    <hyperlink ref="K8" r:id="rId5" xr:uid="{00000000-0004-0000-0E00-000004000000}"/>
    <hyperlink ref="K9" r:id="rId6" xr:uid="{00000000-0004-0000-0E00-000005000000}"/>
    <hyperlink ref="K10" r:id="rId7" xr:uid="{00000000-0004-0000-0E00-000006000000}"/>
    <hyperlink ref="K11" r:id="rId8" xr:uid="{00000000-0004-0000-0E00-000007000000}"/>
    <hyperlink ref="K12" r:id="rId9" xr:uid="{00000000-0004-0000-0E00-000008000000}"/>
    <hyperlink ref="K13" r:id="rId10" xr:uid="{00000000-0004-0000-0E00-000009000000}"/>
    <hyperlink ref="K14" r:id="rId11" xr:uid="{00000000-0004-0000-0E00-00000A000000}"/>
    <hyperlink ref="K15" r:id="rId12" xr:uid="{00000000-0004-0000-0E00-00000B000000}"/>
    <hyperlink ref="K16" r:id="rId13" xr:uid="{00000000-0004-0000-0E00-00000C000000}"/>
    <hyperlink ref="K17" r:id="rId14" xr:uid="{00000000-0004-0000-0E00-00000D000000}"/>
    <hyperlink ref="K18" r:id="rId15" xr:uid="{00000000-0004-0000-0E00-00000E000000}"/>
    <hyperlink ref="K19" r:id="rId16" xr:uid="{00000000-0004-0000-0E00-00000F000000}"/>
    <hyperlink ref="K20" r:id="rId17" xr:uid="{00000000-0004-0000-0E00-000010000000}"/>
    <hyperlink ref="K21" r:id="rId18" xr:uid="{00000000-0004-0000-0E00-000011000000}"/>
    <hyperlink ref="K22" r:id="rId19" xr:uid="{00000000-0004-0000-0E00-000012000000}"/>
    <hyperlink ref="K23" r:id="rId20" xr:uid="{00000000-0004-0000-0E00-000013000000}"/>
    <hyperlink ref="K24" r:id="rId21" xr:uid="{00000000-0004-0000-0E00-000014000000}"/>
    <hyperlink ref="K25" r:id="rId22" xr:uid="{00000000-0004-0000-0E00-000015000000}"/>
    <hyperlink ref="K26" r:id="rId23" xr:uid="{00000000-0004-0000-0E00-000016000000}"/>
    <hyperlink ref="K27" r:id="rId24" xr:uid="{00000000-0004-0000-0E00-000017000000}"/>
    <hyperlink ref="K28" r:id="rId25" xr:uid="{00000000-0004-0000-0E00-000018000000}"/>
    <hyperlink ref="K29" r:id="rId26" xr:uid="{00000000-0004-0000-0E00-000019000000}"/>
    <hyperlink ref="K30" r:id="rId27" xr:uid="{00000000-0004-0000-0E00-00001A000000}"/>
    <hyperlink ref="K31" r:id="rId28" xr:uid="{00000000-0004-0000-0E00-00001B000000}"/>
    <hyperlink ref="K32" r:id="rId29" xr:uid="{00000000-0004-0000-0E00-00001C000000}"/>
    <hyperlink ref="K33" r:id="rId30" xr:uid="{00000000-0004-0000-0E00-00001D000000}"/>
    <hyperlink ref="K34" r:id="rId31" xr:uid="{00000000-0004-0000-0E00-00001E000000}"/>
    <hyperlink ref="K35" r:id="rId32" xr:uid="{00000000-0004-0000-0E00-00001F000000}"/>
    <hyperlink ref="K36" r:id="rId33" xr:uid="{00000000-0004-0000-0E00-000020000000}"/>
    <hyperlink ref="K37" r:id="rId34" xr:uid="{00000000-0004-0000-0E00-000021000000}"/>
    <hyperlink ref="K38" r:id="rId35" xr:uid="{00000000-0004-0000-0E00-000022000000}"/>
    <hyperlink ref="K39" r:id="rId36" xr:uid="{00000000-0004-0000-0E00-000023000000}"/>
    <hyperlink ref="K40" r:id="rId37" xr:uid="{00000000-0004-0000-0E00-000024000000}"/>
    <hyperlink ref="K41" r:id="rId38" xr:uid="{00000000-0004-0000-0E00-000025000000}"/>
    <hyperlink ref="K42" r:id="rId39" xr:uid="{00000000-0004-0000-0E00-000026000000}"/>
    <hyperlink ref="K43" r:id="rId40" xr:uid="{00000000-0004-0000-0E00-000027000000}"/>
    <hyperlink ref="K44" r:id="rId41" xr:uid="{00000000-0004-0000-0E00-000028000000}"/>
    <hyperlink ref="K45" r:id="rId42" xr:uid="{00000000-0004-0000-0E00-000029000000}"/>
    <hyperlink ref="K46" r:id="rId43" xr:uid="{00000000-0004-0000-0E00-00002A000000}"/>
    <hyperlink ref="K47" r:id="rId44" xr:uid="{00000000-0004-0000-0E00-00002B000000}"/>
    <hyperlink ref="K48" r:id="rId45" xr:uid="{00000000-0004-0000-0E00-00002C000000}"/>
    <hyperlink ref="K49" r:id="rId46" xr:uid="{00000000-0004-0000-0E00-00002D000000}"/>
    <hyperlink ref="K50" r:id="rId47" xr:uid="{00000000-0004-0000-0E00-00002E000000}"/>
    <hyperlink ref="K51" r:id="rId48" xr:uid="{00000000-0004-0000-0E00-00002F000000}"/>
    <hyperlink ref="K52" r:id="rId49" xr:uid="{00000000-0004-0000-0E00-000030000000}"/>
    <hyperlink ref="K53" r:id="rId50" xr:uid="{00000000-0004-0000-0E00-000031000000}"/>
    <hyperlink ref="K54" r:id="rId51" xr:uid="{00000000-0004-0000-0E00-000032000000}"/>
    <hyperlink ref="K55" r:id="rId52" xr:uid="{00000000-0004-0000-0E00-000033000000}"/>
    <hyperlink ref="K56" r:id="rId53" xr:uid="{00000000-0004-0000-0E00-000034000000}"/>
    <hyperlink ref="K57" r:id="rId54" xr:uid="{00000000-0004-0000-0E00-000035000000}"/>
    <hyperlink ref="K58" r:id="rId55" xr:uid="{00000000-0004-0000-0E00-000036000000}"/>
    <hyperlink ref="K59" r:id="rId56" xr:uid="{00000000-0004-0000-0E00-000037000000}"/>
    <hyperlink ref="K60" r:id="rId57" xr:uid="{00000000-0004-0000-0E00-000038000000}"/>
    <hyperlink ref="K61" r:id="rId58" xr:uid="{00000000-0004-0000-0E00-000039000000}"/>
    <hyperlink ref="K62" r:id="rId59" xr:uid="{00000000-0004-0000-0E00-00003A000000}"/>
    <hyperlink ref="K63" r:id="rId60" xr:uid="{00000000-0004-0000-0E00-00003B000000}"/>
    <hyperlink ref="K64" r:id="rId61" xr:uid="{00000000-0004-0000-0E00-00003C000000}"/>
    <hyperlink ref="K65" r:id="rId62" xr:uid="{00000000-0004-0000-0E00-00003D000000}"/>
    <hyperlink ref="K66" r:id="rId63" xr:uid="{00000000-0004-0000-0E00-00003E000000}"/>
    <hyperlink ref="K67" r:id="rId64" xr:uid="{00000000-0004-0000-0E00-00003F000000}"/>
    <hyperlink ref="K68" r:id="rId65" xr:uid="{00000000-0004-0000-0E00-000040000000}"/>
    <hyperlink ref="K69" r:id="rId66" xr:uid="{00000000-0004-0000-0E00-000041000000}"/>
    <hyperlink ref="K70" r:id="rId67" xr:uid="{00000000-0004-0000-0E00-000042000000}"/>
    <hyperlink ref="K71" r:id="rId68" xr:uid="{00000000-0004-0000-0E00-000043000000}"/>
    <hyperlink ref="K72" r:id="rId69" xr:uid="{00000000-0004-0000-0E00-000044000000}"/>
    <hyperlink ref="K73" r:id="rId70" xr:uid="{00000000-0004-0000-0E00-000045000000}"/>
    <hyperlink ref="K74" r:id="rId71" xr:uid="{00000000-0004-0000-0E00-000046000000}"/>
    <hyperlink ref="K75" r:id="rId72" xr:uid="{00000000-0004-0000-0E00-000047000000}"/>
    <hyperlink ref="K76" r:id="rId73" xr:uid="{00000000-0004-0000-0E00-000048000000}"/>
    <hyperlink ref="K77" r:id="rId74" xr:uid="{00000000-0004-0000-0E00-000049000000}"/>
    <hyperlink ref="K78" r:id="rId75" xr:uid="{00000000-0004-0000-0E00-00004A000000}"/>
    <hyperlink ref="K79" r:id="rId76" xr:uid="{00000000-0004-0000-0E00-00004B000000}"/>
    <hyperlink ref="K80" r:id="rId77" xr:uid="{00000000-0004-0000-0E00-00004C000000}"/>
    <hyperlink ref="K81" r:id="rId78" xr:uid="{00000000-0004-0000-0E00-00004D000000}"/>
    <hyperlink ref="K82" r:id="rId79" xr:uid="{00000000-0004-0000-0E00-00004E000000}"/>
    <hyperlink ref="K83" r:id="rId80" xr:uid="{00000000-0004-0000-0E00-00004F000000}"/>
    <hyperlink ref="K84" r:id="rId81" xr:uid="{00000000-0004-0000-0E00-000050000000}"/>
    <hyperlink ref="K85" r:id="rId82" xr:uid="{00000000-0004-0000-0E00-000051000000}"/>
    <hyperlink ref="K86" r:id="rId83" xr:uid="{00000000-0004-0000-0E00-000052000000}"/>
    <hyperlink ref="K87" r:id="rId84" xr:uid="{00000000-0004-0000-0E00-000053000000}"/>
    <hyperlink ref="K88" r:id="rId85" xr:uid="{00000000-0004-0000-0E00-000054000000}"/>
    <hyperlink ref="K89" r:id="rId86" xr:uid="{00000000-0004-0000-0E00-000055000000}"/>
    <hyperlink ref="K90" r:id="rId87" xr:uid="{00000000-0004-0000-0E00-000056000000}"/>
    <hyperlink ref="K91" r:id="rId88" xr:uid="{00000000-0004-0000-0E00-000057000000}"/>
    <hyperlink ref="K92" r:id="rId89" xr:uid="{00000000-0004-0000-0E00-000058000000}"/>
    <hyperlink ref="K93" r:id="rId90" xr:uid="{00000000-0004-0000-0E00-000059000000}"/>
    <hyperlink ref="K94" r:id="rId91" xr:uid="{00000000-0004-0000-0E00-00005A000000}"/>
    <hyperlink ref="K95" r:id="rId92" xr:uid="{00000000-0004-0000-0E00-00005B000000}"/>
    <hyperlink ref="K96" r:id="rId93" xr:uid="{00000000-0004-0000-0E00-00005C000000}"/>
    <hyperlink ref="K97" r:id="rId94" xr:uid="{00000000-0004-0000-0E00-00005D000000}"/>
    <hyperlink ref="K98" r:id="rId95" xr:uid="{00000000-0004-0000-0E00-00005E000000}"/>
    <hyperlink ref="K99" r:id="rId96" xr:uid="{00000000-0004-0000-0E00-00005F000000}"/>
    <hyperlink ref="K100" r:id="rId97" xr:uid="{00000000-0004-0000-0E00-000060000000}"/>
    <hyperlink ref="K101" r:id="rId98" xr:uid="{00000000-0004-0000-0E00-000061000000}"/>
    <hyperlink ref="K102" r:id="rId99" xr:uid="{00000000-0004-0000-0E00-000062000000}"/>
    <hyperlink ref="K103" r:id="rId100" xr:uid="{00000000-0004-0000-0E00-000063000000}"/>
    <hyperlink ref="K104" r:id="rId101" xr:uid="{00000000-0004-0000-0E00-000064000000}"/>
    <hyperlink ref="K105" r:id="rId102" xr:uid="{00000000-0004-0000-0E00-000065000000}"/>
    <hyperlink ref="K106" r:id="rId103" xr:uid="{00000000-0004-0000-0E00-000066000000}"/>
    <hyperlink ref="K107" r:id="rId104" xr:uid="{00000000-0004-0000-0E00-000067000000}"/>
    <hyperlink ref="K108" r:id="rId105" xr:uid="{00000000-0004-0000-0E00-000068000000}"/>
    <hyperlink ref="K109" r:id="rId106" xr:uid="{00000000-0004-0000-0E00-000069000000}"/>
    <hyperlink ref="K110" r:id="rId107" xr:uid="{00000000-0004-0000-0E00-00006A000000}"/>
    <hyperlink ref="K111" r:id="rId108" xr:uid="{00000000-0004-0000-0E00-00006B000000}"/>
    <hyperlink ref="K112" r:id="rId109" xr:uid="{00000000-0004-0000-0E00-00006C000000}"/>
    <hyperlink ref="K113" r:id="rId110" xr:uid="{00000000-0004-0000-0E00-00006D000000}"/>
    <hyperlink ref="K114" r:id="rId111" xr:uid="{00000000-0004-0000-0E00-00006E000000}"/>
    <hyperlink ref="K115" r:id="rId112" xr:uid="{00000000-0004-0000-0E00-00006F000000}"/>
    <hyperlink ref="K116" r:id="rId113" xr:uid="{00000000-0004-0000-0E00-000070000000}"/>
    <hyperlink ref="K117" r:id="rId114" xr:uid="{00000000-0004-0000-0E00-000071000000}"/>
    <hyperlink ref="K118" r:id="rId115" xr:uid="{00000000-0004-0000-0E00-000072000000}"/>
    <hyperlink ref="K119" r:id="rId116" xr:uid="{00000000-0004-0000-0E00-000073000000}"/>
    <hyperlink ref="K120" r:id="rId117" xr:uid="{00000000-0004-0000-0E00-000074000000}"/>
    <hyperlink ref="K121" r:id="rId118" xr:uid="{00000000-0004-0000-0E00-000075000000}"/>
    <hyperlink ref="K122" r:id="rId119" xr:uid="{00000000-0004-0000-0E00-000076000000}"/>
    <hyperlink ref="K123" r:id="rId120" xr:uid="{00000000-0004-0000-0E00-000077000000}"/>
    <hyperlink ref="K124" r:id="rId121" xr:uid="{00000000-0004-0000-0E00-000078000000}"/>
    <hyperlink ref="K125" r:id="rId122" xr:uid="{00000000-0004-0000-0E00-000079000000}"/>
    <hyperlink ref="K126" r:id="rId123" xr:uid="{00000000-0004-0000-0E00-00007A000000}"/>
    <hyperlink ref="K127" r:id="rId124" xr:uid="{00000000-0004-0000-0E00-00007B000000}"/>
    <hyperlink ref="K128" r:id="rId125" xr:uid="{00000000-0004-0000-0E00-00007C000000}"/>
    <hyperlink ref="K129" r:id="rId126" xr:uid="{00000000-0004-0000-0E00-00007D000000}"/>
    <hyperlink ref="K130" r:id="rId127" xr:uid="{00000000-0004-0000-0E00-00007E000000}"/>
    <hyperlink ref="K131" r:id="rId128" xr:uid="{00000000-0004-0000-0E00-00007F000000}"/>
    <hyperlink ref="K132" r:id="rId129" xr:uid="{00000000-0004-0000-0E00-000080000000}"/>
    <hyperlink ref="K133" r:id="rId130" xr:uid="{00000000-0004-0000-0E00-000081000000}"/>
    <hyperlink ref="K134" r:id="rId131" xr:uid="{00000000-0004-0000-0E00-000082000000}"/>
    <hyperlink ref="K135" r:id="rId132" xr:uid="{00000000-0004-0000-0E00-000083000000}"/>
    <hyperlink ref="K136" r:id="rId133" xr:uid="{00000000-0004-0000-0E00-000084000000}"/>
    <hyperlink ref="K137" r:id="rId134" xr:uid="{00000000-0004-0000-0E00-000085000000}"/>
    <hyperlink ref="K138" r:id="rId135" xr:uid="{00000000-0004-0000-0E00-000086000000}"/>
    <hyperlink ref="K139" r:id="rId136" xr:uid="{00000000-0004-0000-0E00-000087000000}"/>
    <hyperlink ref="K140" r:id="rId137" xr:uid="{00000000-0004-0000-0E00-000088000000}"/>
    <hyperlink ref="K141" r:id="rId138" xr:uid="{00000000-0004-0000-0E00-000089000000}"/>
    <hyperlink ref="K142" r:id="rId139" xr:uid="{00000000-0004-0000-0E00-00008A000000}"/>
    <hyperlink ref="K143" r:id="rId140" xr:uid="{00000000-0004-0000-0E00-00008B000000}"/>
    <hyperlink ref="K144" r:id="rId141" xr:uid="{00000000-0004-0000-0E00-00008C000000}"/>
    <hyperlink ref="K145" r:id="rId142" xr:uid="{00000000-0004-0000-0E00-00008D000000}"/>
    <hyperlink ref="K146" r:id="rId143" xr:uid="{00000000-0004-0000-0E00-00008E000000}"/>
    <hyperlink ref="K147" r:id="rId144" xr:uid="{00000000-0004-0000-0E00-00008F000000}"/>
    <hyperlink ref="K148" r:id="rId145" xr:uid="{00000000-0004-0000-0E00-000090000000}"/>
    <hyperlink ref="K149" r:id="rId146" xr:uid="{00000000-0004-0000-0E00-000091000000}"/>
    <hyperlink ref="K150" r:id="rId147" xr:uid="{00000000-0004-0000-0E00-000092000000}"/>
    <hyperlink ref="K151" r:id="rId148" xr:uid="{00000000-0004-0000-0E00-000093000000}"/>
    <hyperlink ref="K152" r:id="rId149" xr:uid="{00000000-0004-0000-0E00-000094000000}"/>
    <hyperlink ref="K153" r:id="rId150" xr:uid="{00000000-0004-0000-0E00-000095000000}"/>
    <hyperlink ref="K154" r:id="rId151" xr:uid="{00000000-0004-0000-0E00-000096000000}"/>
    <hyperlink ref="K155" r:id="rId152" xr:uid="{00000000-0004-0000-0E00-000097000000}"/>
    <hyperlink ref="K156" r:id="rId153" xr:uid="{00000000-0004-0000-0E00-000098000000}"/>
    <hyperlink ref="K157" r:id="rId154" xr:uid="{00000000-0004-0000-0E00-000099000000}"/>
    <hyperlink ref="K158" r:id="rId155" xr:uid="{00000000-0004-0000-0E00-00009A000000}"/>
    <hyperlink ref="K159" r:id="rId156" xr:uid="{00000000-0004-0000-0E00-00009B000000}"/>
    <hyperlink ref="K160" r:id="rId157" xr:uid="{00000000-0004-0000-0E00-00009C000000}"/>
    <hyperlink ref="K161" r:id="rId158" xr:uid="{00000000-0004-0000-0E00-00009D000000}"/>
    <hyperlink ref="K162" r:id="rId159" xr:uid="{00000000-0004-0000-0E00-00009E000000}"/>
    <hyperlink ref="K163" r:id="rId160" xr:uid="{00000000-0004-0000-0E00-00009F000000}"/>
    <hyperlink ref="K164" r:id="rId161" xr:uid="{00000000-0004-0000-0E00-0000A0000000}"/>
    <hyperlink ref="K165" r:id="rId162" xr:uid="{00000000-0004-0000-0E00-0000A1000000}"/>
    <hyperlink ref="K166" r:id="rId163" xr:uid="{00000000-0004-0000-0E00-0000A2000000}"/>
    <hyperlink ref="K167" r:id="rId164" xr:uid="{00000000-0004-0000-0E00-0000A3000000}"/>
    <hyperlink ref="K168" r:id="rId165" xr:uid="{00000000-0004-0000-0E00-0000A4000000}"/>
    <hyperlink ref="K169" r:id="rId166" xr:uid="{00000000-0004-0000-0E00-0000A5000000}"/>
    <hyperlink ref="K170" r:id="rId167" xr:uid="{00000000-0004-0000-0E00-0000A6000000}"/>
    <hyperlink ref="K171" r:id="rId168" xr:uid="{00000000-0004-0000-0E00-0000A7000000}"/>
    <hyperlink ref="K172" r:id="rId169" xr:uid="{00000000-0004-0000-0E00-0000A8000000}"/>
    <hyperlink ref="K173" r:id="rId170" xr:uid="{00000000-0004-0000-0E00-0000A9000000}"/>
    <hyperlink ref="K174" r:id="rId171" xr:uid="{00000000-0004-0000-0E00-0000AA000000}"/>
    <hyperlink ref="K175" r:id="rId172" xr:uid="{00000000-0004-0000-0E00-0000AB000000}"/>
    <hyperlink ref="K176" r:id="rId173" xr:uid="{00000000-0004-0000-0E00-0000AC000000}"/>
    <hyperlink ref="K177" r:id="rId174" xr:uid="{00000000-0004-0000-0E00-0000AD000000}"/>
    <hyperlink ref="K178" r:id="rId175" xr:uid="{00000000-0004-0000-0E00-0000AE000000}"/>
    <hyperlink ref="K179" r:id="rId176" xr:uid="{00000000-0004-0000-0E00-0000AF000000}"/>
    <hyperlink ref="K180" r:id="rId177" xr:uid="{00000000-0004-0000-0E00-0000B0000000}"/>
    <hyperlink ref="K181" r:id="rId178" xr:uid="{00000000-0004-0000-0E00-0000B1000000}"/>
    <hyperlink ref="K182" r:id="rId179" xr:uid="{00000000-0004-0000-0E00-0000B2000000}"/>
    <hyperlink ref="K183" r:id="rId180" xr:uid="{00000000-0004-0000-0E00-0000B3000000}"/>
    <hyperlink ref="K184" r:id="rId181" xr:uid="{00000000-0004-0000-0E00-0000B4000000}"/>
    <hyperlink ref="K185" r:id="rId182" xr:uid="{00000000-0004-0000-0E00-0000B5000000}"/>
    <hyperlink ref="K186" r:id="rId183" xr:uid="{00000000-0004-0000-0E00-0000B6000000}"/>
    <hyperlink ref="K187" r:id="rId184" xr:uid="{00000000-0004-0000-0E00-0000B7000000}"/>
    <hyperlink ref="K188" r:id="rId185" xr:uid="{00000000-0004-0000-0E00-0000B8000000}"/>
    <hyperlink ref="K189" r:id="rId186" xr:uid="{00000000-0004-0000-0E00-0000B9000000}"/>
    <hyperlink ref="K190" r:id="rId187" xr:uid="{00000000-0004-0000-0E00-0000BA000000}"/>
    <hyperlink ref="K191" r:id="rId188" xr:uid="{00000000-0004-0000-0E00-0000BB000000}"/>
    <hyperlink ref="K192" r:id="rId189" xr:uid="{00000000-0004-0000-0E00-0000BC000000}"/>
    <hyperlink ref="K193" r:id="rId190" xr:uid="{00000000-0004-0000-0E00-0000BD000000}"/>
    <hyperlink ref="K194" r:id="rId191" xr:uid="{00000000-0004-0000-0E00-0000BE000000}"/>
    <hyperlink ref="K195" r:id="rId192" xr:uid="{00000000-0004-0000-0E00-0000BF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BC337"/>
  <sheetViews>
    <sheetView workbookViewId="0"/>
  </sheetViews>
  <sheetFormatPr defaultColWidth="12.5703125" defaultRowHeight="15.75" customHeight="1"/>
  <cols>
    <col min="1" max="1" width="32.85546875" customWidth="1"/>
    <col min="2" max="2" width="28.42578125" customWidth="1"/>
    <col min="4" max="4" width="30" customWidth="1"/>
    <col min="5" max="5" width="18.42578125" customWidth="1"/>
    <col min="6" max="6" width="10.85546875" customWidth="1"/>
    <col min="7" max="7" width="8.28515625" customWidth="1"/>
    <col min="8" max="8" width="16.5703125" customWidth="1"/>
  </cols>
  <sheetData>
    <row r="1" spans="1:55">
      <c r="A1" s="5815" t="s">
        <v>13059</v>
      </c>
      <c r="B1" s="5815" t="s">
        <v>13060</v>
      </c>
      <c r="C1" s="5815" t="s">
        <v>13063</v>
      </c>
      <c r="D1" s="5815" t="s">
        <v>13064</v>
      </c>
      <c r="E1" s="5815" t="s">
        <v>13065</v>
      </c>
      <c r="F1" s="5815" t="s">
        <v>13060</v>
      </c>
      <c r="G1" s="5815" t="s">
        <v>1523</v>
      </c>
      <c r="H1" s="5815" t="s">
        <v>46</v>
      </c>
      <c r="I1" s="5815" t="s">
        <v>1522</v>
      </c>
      <c r="J1" s="5815" t="s">
        <v>13062</v>
      </c>
      <c r="K1" s="5815"/>
      <c r="L1" s="5815"/>
      <c r="M1" s="5815"/>
      <c r="N1" s="5815"/>
      <c r="O1" s="5815"/>
      <c r="P1" s="5815"/>
      <c r="Q1" s="5815"/>
      <c r="R1" s="5815"/>
      <c r="S1" s="5815"/>
      <c r="T1" s="5816"/>
      <c r="U1" s="5815"/>
      <c r="V1" s="5815"/>
      <c r="W1" s="5815"/>
      <c r="X1" s="5815"/>
      <c r="Y1" s="5815"/>
      <c r="Z1" s="5815"/>
      <c r="AA1" s="5815"/>
      <c r="AB1" s="5815"/>
      <c r="AC1" s="5815"/>
      <c r="AD1" s="5815"/>
      <c r="AE1" s="5815"/>
      <c r="AF1" s="5815"/>
      <c r="AG1" s="5815"/>
      <c r="AH1" s="5815"/>
      <c r="AI1" s="5815"/>
      <c r="AJ1" s="5815"/>
      <c r="AK1" s="5815"/>
      <c r="AL1" s="5815"/>
      <c r="AM1" s="5815"/>
      <c r="AN1" s="5815"/>
      <c r="AO1" s="5815"/>
      <c r="AP1" s="5815"/>
      <c r="AQ1" s="5815"/>
      <c r="AR1" s="5815"/>
      <c r="AS1" s="5815"/>
      <c r="AT1" s="5815"/>
      <c r="AU1" s="5815"/>
      <c r="AV1" s="5815"/>
      <c r="AW1" s="5815"/>
      <c r="AX1" s="5815"/>
      <c r="AY1" s="5815"/>
      <c r="AZ1" s="5815"/>
      <c r="BA1" s="5815"/>
      <c r="BB1" s="5815"/>
      <c r="BC1" s="620"/>
    </row>
    <row r="2" spans="1:55">
      <c r="A2" s="5817">
        <f>COUNTA(A4:A999)</f>
        <v>334</v>
      </c>
      <c r="B2" s="5822">
        <f>COUNTIF($E$3:$E$800, "Decision*")</f>
        <v>125</v>
      </c>
      <c r="C2" s="5818">
        <f>SUM(B2/$A$2)</f>
        <v>0.37425149700598803</v>
      </c>
      <c r="D2" s="5818">
        <f t="shared" ref="D2:E2" si="0">SUM(G2/$A$2)</f>
        <v>0.1377245508982036</v>
      </c>
      <c r="E2" s="5818">
        <f t="shared" si="0"/>
        <v>0.47604790419161674</v>
      </c>
      <c r="F2" s="5822">
        <f>COUNTIF($E$3:$E$999, "Decision*")</f>
        <v>125</v>
      </c>
      <c r="G2" s="5823">
        <f>COUNTIF($E$3:$E$999, "Submission")</f>
        <v>46</v>
      </c>
      <c r="H2" s="5817">
        <f>COUNTIF($E$3:$E$1000, "KO/TKO")</f>
        <v>159</v>
      </c>
      <c r="I2" s="5823">
        <f>COUNTIF($E$3:$E$999, "Decision - Unanimous")</f>
        <v>97</v>
      </c>
      <c r="J2" s="5819">
        <f>COUNTIF($E$3:$E$999, "Decision - Split")</f>
        <v>28</v>
      </c>
      <c r="K2" s="5824"/>
      <c r="L2" s="5820"/>
      <c r="M2" s="5820"/>
      <c r="N2" s="5820"/>
      <c r="O2" s="5820"/>
      <c r="P2" s="5820"/>
      <c r="Q2" s="5820"/>
      <c r="R2" s="5820"/>
      <c r="S2" s="5820"/>
      <c r="T2" s="5821"/>
      <c r="U2" s="5820"/>
      <c r="V2" s="5820"/>
      <c r="W2" s="5820"/>
      <c r="X2" s="5820"/>
      <c r="Y2" s="5820"/>
      <c r="Z2" s="5820"/>
      <c r="AA2" s="5820"/>
      <c r="AB2" s="5820"/>
      <c r="AC2" s="5820"/>
      <c r="AD2" s="5820"/>
      <c r="AE2" s="5820"/>
      <c r="AF2" s="5820"/>
      <c r="AG2" s="5820"/>
      <c r="AH2" s="5820"/>
      <c r="AI2" s="5820"/>
      <c r="AJ2" s="5820"/>
      <c r="AK2" s="5820"/>
      <c r="AL2" s="5820"/>
      <c r="AM2" s="5820"/>
      <c r="AN2" s="5820"/>
      <c r="AO2" s="5820"/>
      <c r="AP2" s="5820"/>
      <c r="AQ2" s="5820"/>
      <c r="AR2" s="5820"/>
      <c r="AS2" s="5820"/>
      <c r="AT2" s="5820"/>
      <c r="AU2" s="5820"/>
      <c r="AV2" s="5820"/>
      <c r="AW2" s="5820"/>
      <c r="AX2" s="5820"/>
      <c r="AY2" s="5820"/>
      <c r="AZ2" s="5820"/>
      <c r="BA2" s="5820"/>
      <c r="BB2" s="5820"/>
      <c r="BC2" s="620"/>
    </row>
    <row r="3" spans="1:55">
      <c r="A3" s="21" t="s">
        <v>2034</v>
      </c>
      <c r="B3" s="21" t="s">
        <v>2035</v>
      </c>
      <c r="C3" s="21" t="s">
        <v>2036</v>
      </c>
      <c r="D3" s="21" t="s">
        <v>2037</v>
      </c>
      <c r="E3" s="21" t="s">
        <v>2038</v>
      </c>
      <c r="F3" s="21" t="s">
        <v>2039</v>
      </c>
      <c r="G3" s="21" t="s">
        <v>2040</v>
      </c>
      <c r="H3" s="21" t="s">
        <v>2041</v>
      </c>
      <c r="I3" s="21" t="s">
        <v>2042</v>
      </c>
      <c r="J3" s="21" t="s">
        <v>2043</v>
      </c>
      <c r="K3" s="21" t="s">
        <v>2044</v>
      </c>
    </row>
    <row r="4" spans="1:55">
      <c r="A4" s="21" t="s">
        <v>3664</v>
      </c>
      <c r="B4" s="21" t="s">
        <v>5478</v>
      </c>
      <c r="C4" s="21" t="s">
        <v>179</v>
      </c>
      <c r="D4" s="21" t="s">
        <v>538</v>
      </c>
      <c r="E4" s="21" t="s">
        <v>180</v>
      </c>
      <c r="F4" s="5812">
        <v>1</v>
      </c>
      <c r="G4" s="5813">
        <v>2.013888888888889E-2</v>
      </c>
      <c r="H4" s="21" t="s">
        <v>10</v>
      </c>
      <c r="I4" s="21" t="s">
        <v>226</v>
      </c>
      <c r="J4" s="21" t="s">
        <v>5479</v>
      </c>
      <c r="K4" s="5814" t="s">
        <v>5480</v>
      </c>
    </row>
    <row r="5" spans="1:55">
      <c r="A5" s="21" t="s">
        <v>2165</v>
      </c>
      <c r="B5" s="21" t="s">
        <v>5481</v>
      </c>
      <c r="C5" s="21" t="s">
        <v>179</v>
      </c>
      <c r="D5" s="21" t="s">
        <v>538</v>
      </c>
      <c r="E5" s="21" t="s">
        <v>180</v>
      </c>
      <c r="F5" s="5812">
        <v>1</v>
      </c>
      <c r="G5" s="5813">
        <v>0.16875000000000001</v>
      </c>
      <c r="H5" s="21" t="s">
        <v>10</v>
      </c>
      <c r="I5" s="21" t="s">
        <v>5482</v>
      </c>
      <c r="J5" s="21" t="s">
        <v>3628</v>
      </c>
      <c r="K5" s="5814" t="s">
        <v>5483</v>
      </c>
    </row>
    <row r="6" spans="1:55">
      <c r="A6" s="21" t="s">
        <v>2258</v>
      </c>
      <c r="B6" s="21" t="s">
        <v>5484</v>
      </c>
      <c r="C6" s="21" t="s">
        <v>8</v>
      </c>
      <c r="D6" s="21" t="s">
        <v>538</v>
      </c>
      <c r="E6" s="21" t="s">
        <v>193</v>
      </c>
      <c r="F6" s="5812">
        <v>3</v>
      </c>
      <c r="G6" s="5813">
        <v>6.3194444444444442E-2</v>
      </c>
      <c r="H6" s="21" t="s">
        <v>10</v>
      </c>
      <c r="I6" s="21" t="s">
        <v>2713</v>
      </c>
      <c r="J6" s="21" t="s">
        <v>5485</v>
      </c>
      <c r="K6" s="5814" t="s">
        <v>5486</v>
      </c>
    </row>
    <row r="7" spans="1:55">
      <c r="A7" s="21" t="s">
        <v>2395</v>
      </c>
      <c r="B7" s="21" t="s">
        <v>5487</v>
      </c>
      <c r="C7" s="21" t="s">
        <v>8</v>
      </c>
      <c r="D7" s="21" t="s">
        <v>538</v>
      </c>
      <c r="E7" s="21" t="s">
        <v>193</v>
      </c>
      <c r="F7" s="5812">
        <v>3</v>
      </c>
      <c r="G7" s="5813">
        <v>0.20833333333333334</v>
      </c>
      <c r="H7" s="21" t="s">
        <v>10</v>
      </c>
      <c r="I7" s="21" t="s">
        <v>96</v>
      </c>
      <c r="J7" s="21" t="s">
        <v>5488</v>
      </c>
      <c r="K7" s="5814" t="s">
        <v>5489</v>
      </c>
    </row>
    <row r="8" spans="1:55">
      <c r="A8" s="21" t="s">
        <v>2542</v>
      </c>
      <c r="B8" s="21" t="s">
        <v>5490</v>
      </c>
      <c r="C8" s="21" t="s">
        <v>22</v>
      </c>
      <c r="D8" s="21" t="s">
        <v>538</v>
      </c>
      <c r="E8" s="21" t="s">
        <v>193</v>
      </c>
      <c r="F8" s="5812">
        <v>3</v>
      </c>
      <c r="G8" s="5813">
        <v>0.20833333333333334</v>
      </c>
      <c r="H8" s="21" t="s">
        <v>10</v>
      </c>
      <c r="I8" s="21" t="s">
        <v>2814</v>
      </c>
      <c r="J8" s="21" t="s">
        <v>5491</v>
      </c>
      <c r="K8" s="5814" t="s">
        <v>5492</v>
      </c>
    </row>
    <row r="9" spans="1:55">
      <c r="A9" s="21" t="s">
        <v>3430</v>
      </c>
      <c r="B9" s="21" t="s">
        <v>5493</v>
      </c>
      <c r="C9" s="21" t="s">
        <v>22</v>
      </c>
      <c r="D9" s="21" t="s">
        <v>538</v>
      </c>
      <c r="E9" s="21" t="s">
        <v>193</v>
      </c>
      <c r="F9" s="5812">
        <v>3</v>
      </c>
      <c r="G9" s="5813">
        <v>0.20833333333333334</v>
      </c>
      <c r="H9" s="21" t="s">
        <v>10</v>
      </c>
      <c r="I9" s="21" t="s">
        <v>55</v>
      </c>
      <c r="J9" s="21" t="s">
        <v>5494</v>
      </c>
      <c r="K9" s="5814" t="s">
        <v>5495</v>
      </c>
    </row>
    <row r="10" spans="1:55">
      <c r="A10" s="21" t="s">
        <v>2827</v>
      </c>
      <c r="B10" s="21" t="s">
        <v>5496</v>
      </c>
      <c r="C10" s="21" t="s">
        <v>709</v>
      </c>
      <c r="D10" s="21" t="s">
        <v>538</v>
      </c>
      <c r="E10" s="21" t="s">
        <v>193</v>
      </c>
      <c r="F10" s="5812">
        <v>3</v>
      </c>
      <c r="G10" s="5813">
        <v>0.20833333333333334</v>
      </c>
      <c r="H10" s="21" t="s">
        <v>10</v>
      </c>
      <c r="I10" s="21" t="s">
        <v>47</v>
      </c>
      <c r="J10" s="21" t="s">
        <v>5497</v>
      </c>
      <c r="K10" s="5814" t="s">
        <v>5498</v>
      </c>
    </row>
    <row r="11" spans="1:55">
      <c r="A11" s="21" t="s">
        <v>3006</v>
      </c>
      <c r="B11" s="21" t="s">
        <v>5499</v>
      </c>
      <c r="C11" s="21" t="s">
        <v>22</v>
      </c>
      <c r="D11" s="21" t="s">
        <v>538</v>
      </c>
      <c r="E11" s="21" t="s">
        <v>193</v>
      </c>
      <c r="F11" s="5812">
        <v>3</v>
      </c>
      <c r="G11" s="5813">
        <v>0.20833333333333334</v>
      </c>
      <c r="H11" s="21" t="s">
        <v>10</v>
      </c>
      <c r="I11" s="21" t="s">
        <v>187</v>
      </c>
      <c r="J11" s="21" t="s">
        <v>5500</v>
      </c>
      <c r="K11" s="5814" t="s">
        <v>5501</v>
      </c>
    </row>
    <row r="12" spans="1:55">
      <c r="A12" s="21" t="s">
        <v>3102</v>
      </c>
      <c r="B12" s="21" t="s">
        <v>5502</v>
      </c>
      <c r="C12" s="21" t="s">
        <v>8</v>
      </c>
      <c r="D12" s="21" t="s">
        <v>538</v>
      </c>
      <c r="E12" s="21" t="s">
        <v>193</v>
      </c>
      <c r="F12" s="5812">
        <v>3</v>
      </c>
      <c r="G12" s="5813">
        <v>4.5138888888888888E-2</v>
      </c>
      <c r="H12" s="21" t="s">
        <v>10</v>
      </c>
      <c r="I12" s="21" t="s">
        <v>39</v>
      </c>
      <c r="J12" s="21" t="s">
        <v>5503</v>
      </c>
      <c r="K12" s="5814" t="s">
        <v>5504</v>
      </c>
    </row>
    <row r="13" spans="1:55">
      <c r="A13" s="21" t="s">
        <v>3491</v>
      </c>
      <c r="B13" s="21" t="s">
        <v>5505</v>
      </c>
      <c r="C13" s="21" t="s">
        <v>22</v>
      </c>
      <c r="D13" s="21" t="s">
        <v>538</v>
      </c>
      <c r="E13" s="21" t="s">
        <v>193</v>
      </c>
      <c r="F13" s="5812">
        <v>3</v>
      </c>
      <c r="G13" s="5813">
        <v>0.20833333333333334</v>
      </c>
      <c r="H13" s="21" t="s">
        <v>10</v>
      </c>
      <c r="I13" s="21" t="s">
        <v>55</v>
      </c>
      <c r="J13" s="21" t="s">
        <v>5506</v>
      </c>
      <c r="K13" s="5814" t="s">
        <v>5507</v>
      </c>
    </row>
    <row r="14" spans="1:55">
      <c r="A14" s="21" t="s">
        <v>2387</v>
      </c>
      <c r="B14" s="21" t="s">
        <v>5508</v>
      </c>
      <c r="C14" s="21" t="s">
        <v>22</v>
      </c>
      <c r="D14" s="21" t="s">
        <v>538</v>
      </c>
      <c r="E14" s="21" t="s">
        <v>193</v>
      </c>
      <c r="F14" s="5812">
        <v>3</v>
      </c>
      <c r="G14" s="5813">
        <v>0.20833333333333334</v>
      </c>
      <c r="H14" s="21" t="s">
        <v>10</v>
      </c>
      <c r="I14" s="21" t="s">
        <v>39</v>
      </c>
      <c r="J14" s="21" t="s">
        <v>5509</v>
      </c>
      <c r="K14" s="5814" t="s">
        <v>5510</v>
      </c>
    </row>
    <row r="15" spans="1:55">
      <c r="A15" s="21" t="s">
        <v>2053</v>
      </c>
      <c r="B15" s="21" t="s">
        <v>5511</v>
      </c>
      <c r="C15" s="21" t="s">
        <v>8</v>
      </c>
      <c r="D15" s="21" t="s">
        <v>538</v>
      </c>
      <c r="E15" s="21" t="s">
        <v>193</v>
      </c>
      <c r="F15" s="5812">
        <v>3</v>
      </c>
      <c r="G15" s="5813">
        <v>0.20833333333333334</v>
      </c>
      <c r="H15" s="21" t="s">
        <v>10</v>
      </c>
      <c r="I15" s="21" t="s">
        <v>615</v>
      </c>
      <c r="J15" s="21" t="s">
        <v>5512</v>
      </c>
      <c r="K15" s="5814" t="s">
        <v>5513</v>
      </c>
    </row>
    <row r="16" spans="1:55">
      <c r="A16" s="21" t="s">
        <v>5390</v>
      </c>
      <c r="B16" s="21" t="s">
        <v>5514</v>
      </c>
      <c r="C16" s="21" t="s">
        <v>22</v>
      </c>
      <c r="D16" s="21" t="s">
        <v>538</v>
      </c>
      <c r="E16" s="21" t="s">
        <v>193</v>
      </c>
      <c r="F16" s="5812">
        <v>3</v>
      </c>
      <c r="G16" s="5813">
        <v>0.20833333333333334</v>
      </c>
      <c r="H16" s="21" t="s">
        <v>10</v>
      </c>
      <c r="I16" s="21" t="s">
        <v>73</v>
      </c>
      <c r="J16" s="21" t="s">
        <v>5515</v>
      </c>
      <c r="K16" s="5814" t="s">
        <v>5516</v>
      </c>
    </row>
    <row r="17" spans="1:11">
      <c r="A17" s="21" t="s">
        <v>2893</v>
      </c>
      <c r="B17" s="21" t="s">
        <v>5517</v>
      </c>
      <c r="C17" s="21" t="s">
        <v>8</v>
      </c>
      <c r="D17" s="21" t="s">
        <v>538</v>
      </c>
      <c r="E17" s="21" t="s">
        <v>193</v>
      </c>
      <c r="F17" s="5812">
        <v>3</v>
      </c>
      <c r="G17" s="5813">
        <v>0.20833333333333334</v>
      </c>
      <c r="H17" s="21" t="s">
        <v>10</v>
      </c>
      <c r="I17" s="21" t="s">
        <v>39</v>
      </c>
      <c r="J17" s="21" t="s">
        <v>5518</v>
      </c>
      <c r="K17" s="5814" t="s">
        <v>5519</v>
      </c>
    </row>
    <row r="18" spans="1:11">
      <c r="A18" s="21" t="s">
        <v>2450</v>
      </c>
      <c r="B18" s="21" t="s">
        <v>5520</v>
      </c>
      <c r="C18" s="21" t="s">
        <v>8</v>
      </c>
      <c r="D18" s="21" t="s">
        <v>538</v>
      </c>
      <c r="E18" s="21" t="s">
        <v>193</v>
      </c>
      <c r="F18" s="5812">
        <v>3</v>
      </c>
      <c r="G18" s="5813">
        <v>0.20833333333333334</v>
      </c>
      <c r="H18" s="21" t="s">
        <v>10</v>
      </c>
      <c r="I18" s="21" t="s">
        <v>89</v>
      </c>
      <c r="J18" s="21" t="s">
        <v>5521</v>
      </c>
      <c r="K18" s="5814" t="s">
        <v>5522</v>
      </c>
    </row>
    <row r="19" spans="1:11">
      <c r="A19" s="21" t="s">
        <v>2495</v>
      </c>
      <c r="B19" s="21" t="s">
        <v>5523</v>
      </c>
      <c r="C19" s="21" t="s">
        <v>8</v>
      </c>
      <c r="D19" s="21" t="s">
        <v>538</v>
      </c>
      <c r="E19" s="21" t="s">
        <v>193</v>
      </c>
      <c r="F19" s="5812">
        <v>3</v>
      </c>
      <c r="G19" s="5813">
        <v>0.20833333333333334</v>
      </c>
      <c r="H19" s="21" t="s">
        <v>10</v>
      </c>
      <c r="I19" s="21" t="s">
        <v>39</v>
      </c>
      <c r="J19" s="21" t="s">
        <v>5524</v>
      </c>
      <c r="K19" s="5814" t="s">
        <v>5525</v>
      </c>
    </row>
    <row r="20" spans="1:11">
      <c r="A20" s="21" t="s">
        <v>3984</v>
      </c>
      <c r="B20" s="21" t="s">
        <v>5526</v>
      </c>
      <c r="C20" s="21" t="s">
        <v>8</v>
      </c>
      <c r="D20" s="21" t="s">
        <v>538</v>
      </c>
      <c r="E20" s="21" t="s">
        <v>193</v>
      </c>
      <c r="F20" s="5812">
        <v>3</v>
      </c>
      <c r="G20" s="5813">
        <v>0.20833333333333334</v>
      </c>
      <c r="H20" s="21" t="s">
        <v>10</v>
      </c>
      <c r="I20" s="21" t="s">
        <v>2726</v>
      </c>
      <c r="J20" s="21" t="s">
        <v>5527</v>
      </c>
      <c r="K20" s="5814" t="s">
        <v>5528</v>
      </c>
    </row>
    <row r="21" spans="1:11">
      <c r="A21" s="21" t="s">
        <v>3690</v>
      </c>
      <c r="B21" s="21" t="s">
        <v>5529</v>
      </c>
      <c r="C21" s="21" t="s">
        <v>22</v>
      </c>
      <c r="D21" s="21" t="s">
        <v>538</v>
      </c>
      <c r="E21" s="21" t="s">
        <v>193</v>
      </c>
      <c r="F21" s="5812">
        <v>3</v>
      </c>
      <c r="G21" s="5813">
        <v>0.20833333333333334</v>
      </c>
      <c r="H21" s="21" t="s">
        <v>10</v>
      </c>
      <c r="I21" s="21" t="s">
        <v>55</v>
      </c>
      <c r="J21" s="21" t="s">
        <v>5530</v>
      </c>
      <c r="K21" s="5814" t="s">
        <v>5531</v>
      </c>
    </row>
    <row r="22" spans="1:11">
      <c r="A22" s="21" t="s">
        <v>4043</v>
      </c>
      <c r="B22" s="21" t="s">
        <v>5532</v>
      </c>
      <c r="C22" s="21" t="s">
        <v>8</v>
      </c>
      <c r="D22" s="21" t="s">
        <v>538</v>
      </c>
      <c r="E22" s="21" t="s">
        <v>193</v>
      </c>
      <c r="F22" s="5812">
        <v>3</v>
      </c>
      <c r="G22" s="5813">
        <v>0.20833333333333334</v>
      </c>
      <c r="H22" s="21" t="s">
        <v>10</v>
      </c>
      <c r="I22" s="21" t="s">
        <v>55</v>
      </c>
      <c r="J22" s="21" t="s">
        <v>5533</v>
      </c>
      <c r="K22" s="5814" t="s">
        <v>5534</v>
      </c>
    </row>
    <row r="23" spans="1:11">
      <c r="A23" s="21" t="s">
        <v>3315</v>
      </c>
      <c r="B23" s="21" t="s">
        <v>5535</v>
      </c>
      <c r="C23" s="21" t="s">
        <v>22</v>
      </c>
      <c r="D23" s="21" t="s">
        <v>538</v>
      </c>
      <c r="E23" s="21" t="s">
        <v>193</v>
      </c>
      <c r="F23" s="5812">
        <v>3</v>
      </c>
      <c r="G23" s="5813">
        <v>0.20833333333333334</v>
      </c>
      <c r="H23" s="21" t="s">
        <v>10</v>
      </c>
      <c r="I23" s="21" t="s">
        <v>5536</v>
      </c>
      <c r="J23" s="21" t="s">
        <v>5537</v>
      </c>
      <c r="K23" s="5814" t="s">
        <v>5538</v>
      </c>
    </row>
    <row r="24" spans="1:11">
      <c r="A24" s="21" t="s">
        <v>2139</v>
      </c>
      <c r="B24" s="21" t="s">
        <v>5539</v>
      </c>
      <c r="C24" s="21" t="s">
        <v>8</v>
      </c>
      <c r="D24" s="21" t="s">
        <v>538</v>
      </c>
      <c r="E24" s="21" t="s">
        <v>193</v>
      </c>
      <c r="F24" s="5812">
        <v>3</v>
      </c>
      <c r="G24" s="5813">
        <v>0.20833333333333334</v>
      </c>
      <c r="H24" s="21" t="s">
        <v>10</v>
      </c>
      <c r="I24" s="21" t="s">
        <v>226</v>
      </c>
      <c r="J24" s="21" t="s">
        <v>5540</v>
      </c>
      <c r="K24" s="5814" t="s">
        <v>5541</v>
      </c>
    </row>
    <row r="25" spans="1:11">
      <c r="A25" s="21" t="s">
        <v>4116</v>
      </c>
      <c r="B25" s="21" t="s">
        <v>5542</v>
      </c>
      <c r="C25" s="21" t="s">
        <v>8</v>
      </c>
      <c r="D25" s="21" t="s">
        <v>538</v>
      </c>
      <c r="E25" s="21" t="s">
        <v>193</v>
      </c>
      <c r="F25" s="5812">
        <v>3</v>
      </c>
      <c r="G25" s="5813">
        <v>0.20833333333333334</v>
      </c>
      <c r="H25" s="21" t="s">
        <v>10</v>
      </c>
      <c r="I25" s="21" t="s">
        <v>55</v>
      </c>
      <c r="J25" s="21" t="s">
        <v>5543</v>
      </c>
      <c r="K25" s="5814" t="s">
        <v>5544</v>
      </c>
    </row>
    <row r="26" spans="1:11">
      <c r="A26" s="21" t="s">
        <v>3720</v>
      </c>
      <c r="B26" s="21" t="s">
        <v>5545</v>
      </c>
      <c r="C26" s="21" t="s">
        <v>8</v>
      </c>
      <c r="D26" s="21" t="s">
        <v>538</v>
      </c>
      <c r="E26" s="21" t="s">
        <v>193</v>
      </c>
      <c r="F26" s="5812">
        <v>3</v>
      </c>
      <c r="G26" s="5813">
        <v>0.20833333333333334</v>
      </c>
      <c r="H26" s="21" t="s">
        <v>10</v>
      </c>
      <c r="I26" s="21" t="s">
        <v>194</v>
      </c>
      <c r="J26" s="21" t="s">
        <v>5546</v>
      </c>
      <c r="K26" s="5814" t="s">
        <v>5547</v>
      </c>
    </row>
    <row r="27" spans="1:11">
      <c r="A27" s="21" t="s">
        <v>2184</v>
      </c>
      <c r="B27" s="21" t="s">
        <v>5548</v>
      </c>
      <c r="C27" s="21" t="s">
        <v>22</v>
      </c>
      <c r="D27" s="21" t="s">
        <v>538</v>
      </c>
      <c r="E27" s="21" t="s">
        <v>193</v>
      </c>
      <c r="F27" s="5812">
        <v>3</v>
      </c>
      <c r="G27" s="5813">
        <v>0.20833333333333334</v>
      </c>
      <c r="H27" s="21" t="s">
        <v>10</v>
      </c>
      <c r="I27" s="21" t="s">
        <v>226</v>
      </c>
      <c r="J27" s="21" t="s">
        <v>5549</v>
      </c>
      <c r="K27" s="5814" t="s">
        <v>5550</v>
      </c>
    </row>
    <row r="28" spans="1:11">
      <c r="A28" s="21" t="s">
        <v>3323</v>
      </c>
      <c r="B28" s="21" t="s">
        <v>5551</v>
      </c>
      <c r="C28" s="21" t="s">
        <v>8</v>
      </c>
      <c r="D28" s="21" t="s">
        <v>538</v>
      </c>
      <c r="E28" s="21" t="s">
        <v>193</v>
      </c>
      <c r="F28" s="5812">
        <v>3</v>
      </c>
      <c r="G28" s="5813">
        <v>0.20833333333333334</v>
      </c>
      <c r="H28" s="21" t="s">
        <v>10</v>
      </c>
      <c r="I28" s="21" t="s">
        <v>660</v>
      </c>
      <c r="J28" s="21" t="s">
        <v>5552</v>
      </c>
      <c r="K28" s="5814" t="s">
        <v>5553</v>
      </c>
    </row>
    <row r="29" spans="1:11">
      <c r="A29" s="21" t="s">
        <v>5554</v>
      </c>
      <c r="B29" s="21" t="s">
        <v>5555</v>
      </c>
      <c r="C29" s="21" t="s">
        <v>8</v>
      </c>
      <c r="D29" s="21" t="s">
        <v>538</v>
      </c>
      <c r="E29" s="21" t="s">
        <v>193</v>
      </c>
      <c r="F29" s="5812">
        <v>3</v>
      </c>
      <c r="G29" s="5813">
        <v>0.20833333333333334</v>
      </c>
      <c r="H29" s="21" t="s">
        <v>10</v>
      </c>
      <c r="I29" s="21" t="s">
        <v>11</v>
      </c>
      <c r="J29" s="21" t="s">
        <v>5556</v>
      </c>
      <c r="K29" s="5814" t="s">
        <v>5557</v>
      </c>
    </row>
    <row r="30" spans="1:11">
      <c r="A30" s="21" t="s">
        <v>3584</v>
      </c>
      <c r="B30" s="21" t="s">
        <v>5558</v>
      </c>
      <c r="C30" s="21" t="s">
        <v>22</v>
      </c>
      <c r="D30" s="21" t="s">
        <v>538</v>
      </c>
      <c r="E30" s="21" t="s">
        <v>193</v>
      </c>
      <c r="F30" s="5812">
        <v>3</v>
      </c>
      <c r="G30" s="5813">
        <v>0.20833333333333334</v>
      </c>
      <c r="H30" s="21" t="s">
        <v>10</v>
      </c>
      <c r="I30" s="21" t="s">
        <v>47</v>
      </c>
      <c r="J30" s="21" t="s">
        <v>5559</v>
      </c>
      <c r="K30" s="5814" t="s">
        <v>5560</v>
      </c>
    </row>
    <row r="31" spans="1:11">
      <c r="A31" s="21" t="s">
        <v>2812</v>
      </c>
      <c r="B31" s="21" t="s">
        <v>5561</v>
      </c>
      <c r="C31" s="21" t="s">
        <v>22</v>
      </c>
      <c r="D31" s="21" t="s">
        <v>538</v>
      </c>
      <c r="E31" s="21" t="s">
        <v>193</v>
      </c>
      <c r="F31" s="5812">
        <v>3</v>
      </c>
      <c r="G31" s="5813">
        <v>0.20833333333333334</v>
      </c>
      <c r="H31" s="21" t="s">
        <v>10</v>
      </c>
      <c r="I31" s="21" t="s">
        <v>2731</v>
      </c>
      <c r="J31" s="21" t="s">
        <v>5562</v>
      </c>
      <c r="K31" s="5814" t="s">
        <v>5563</v>
      </c>
    </row>
    <row r="32" spans="1:11">
      <c r="A32" s="21" t="s">
        <v>2295</v>
      </c>
      <c r="B32" s="21" t="s">
        <v>5564</v>
      </c>
      <c r="C32" s="21" t="s">
        <v>8</v>
      </c>
      <c r="D32" s="21" t="s">
        <v>538</v>
      </c>
      <c r="E32" s="21" t="s">
        <v>193</v>
      </c>
      <c r="F32" s="5812">
        <v>3</v>
      </c>
      <c r="G32" s="5813">
        <v>0.20833333333333334</v>
      </c>
      <c r="H32" s="21" t="s">
        <v>10</v>
      </c>
      <c r="I32" s="21" t="s">
        <v>55</v>
      </c>
      <c r="J32" s="21" t="s">
        <v>5565</v>
      </c>
      <c r="K32" s="5814" t="s">
        <v>5566</v>
      </c>
    </row>
    <row r="33" spans="1:11">
      <c r="A33" s="21" t="s">
        <v>2250</v>
      </c>
      <c r="B33" s="21" t="s">
        <v>5567</v>
      </c>
      <c r="C33" s="21" t="s">
        <v>22</v>
      </c>
      <c r="D33" s="21" t="s">
        <v>538</v>
      </c>
      <c r="E33" s="21" t="s">
        <v>193</v>
      </c>
      <c r="F33" s="5812">
        <v>3</v>
      </c>
      <c r="G33" s="5813">
        <v>0.20833333333333334</v>
      </c>
      <c r="H33" s="21" t="s">
        <v>10</v>
      </c>
      <c r="I33" s="21" t="s">
        <v>2297</v>
      </c>
      <c r="J33" s="21" t="s">
        <v>5568</v>
      </c>
      <c r="K33" s="5814" t="s">
        <v>5569</v>
      </c>
    </row>
    <row r="34" spans="1:11">
      <c r="A34" s="21" t="s">
        <v>2929</v>
      </c>
      <c r="B34" s="21" t="s">
        <v>5570</v>
      </c>
      <c r="C34" s="21" t="s">
        <v>22</v>
      </c>
      <c r="D34" s="21" t="s">
        <v>538</v>
      </c>
      <c r="E34" s="21" t="s">
        <v>9</v>
      </c>
      <c r="F34" s="5812">
        <v>3</v>
      </c>
      <c r="G34" s="5813">
        <v>6.805555555555555E-2</v>
      </c>
      <c r="H34" s="21" t="s">
        <v>10</v>
      </c>
      <c r="I34" s="21" t="s">
        <v>226</v>
      </c>
      <c r="J34" s="21" t="s">
        <v>5571</v>
      </c>
      <c r="K34" s="5814" t="s">
        <v>5572</v>
      </c>
    </row>
    <row r="35" spans="1:11">
      <c r="A35" s="21" t="s">
        <v>339</v>
      </c>
      <c r="B35" s="21" t="s">
        <v>571</v>
      </c>
      <c r="C35" s="21" t="s">
        <v>8</v>
      </c>
      <c r="D35" s="21" t="s">
        <v>538</v>
      </c>
      <c r="E35" s="21" t="s">
        <v>9</v>
      </c>
      <c r="F35" s="5812">
        <v>3</v>
      </c>
      <c r="G35" s="5813">
        <v>0.20833333333333334</v>
      </c>
      <c r="H35" s="21" t="s">
        <v>10</v>
      </c>
      <c r="I35" s="21" t="s">
        <v>572</v>
      </c>
      <c r="J35" s="21" t="s">
        <v>573</v>
      </c>
      <c r="K35" s="5814" t="s">
        <v>574</v>
      </c>
    </row>
    <row r="36" spans="1:11">
      <c r="A36" s="21" t="s">
        <v>94</v>
      </c>
      <c r="B36" s="21" t="s">
        <v>542</v>
      </c>
      <c r="C36" s="21" t="s">
        <v>8</v>
      </c>
      <c r="D36" s="21" t="s">
        <v>538</v>
      </c>
      <c r="E36" s="21" t="s">
        <v>9</v>
      </c>
      <c r="F36" s="5812">
        <v>3</v>
      </c>
      <c r="G36" s="5813">
        <v>0.20833333333333334</v>
      </c>
      <c r="H36" s="21" t="s">
        <v>10</v>
      </c>
      <c r="I36" s="21" t="s">
        <v>39</v>
      </c>
      <c r="J36" s="21" t="s">
        <v>543</v>
      </c>
      <c r="K36" s="5814" t="s">
        <v>544</v>
      </c>
    </row>
    <row r="37" spans="1:11">
      <c r="A37" s="21" t="s">
        <v>79</v>
      </c>
      <c r="B37" s="21" t="s">
        <v>582</v>
      </c>
      <c r="C37" s="21" t="s">
        <v>22</v>
      </c>
      <c r="D37" s="21" t="s">
        <v>538</v>
      </c>
      <c r="E37" s="21" t="s">
        <v>9</v>
      </c>
      <c r="F37" s="5812">
        <v>3</v>
      </c>
      <c r="G37" s="5813">
        <v>0.20833333333333334</v>
      </c>
      <c r="H37" s="21" t="s">
        <v>10</v>
      </c>
      <c r="I37" s="21" t="s">
        <v>39</v>
      </c>
      <c r="J37" s="21" t="s">
        <v>583</v>
      </c>
      <c r="K37" s="5814" t="s">
        <v>584</v>
      </c>
    </row>
    <row r="38" spans="1:11">
      <c r="A38" s="21" t="s">
        <v>125</v>
      </c>
      <c r="B38" s="21" t="s">
        <v>587</v>
      </c>
      <c r="C38" s="21" t="s">
        <v>8</v>
      </c>
      <c r="D38" s="21" t="s">
        <v>538</v>
      </c>
      <c r="E38" s="21" t="s">
        <v>9</v>
      </c>
      <c r="F38" s="5812">
        <v>3</v>
      </c>
      <c r="G38" s="5813">
        <v>0.20833333333333334</v>
      </c>
      <c r="H38" s="21" t="s">
        <v>10</v>
      </c>
      <c r="I38" s="21" t="s">
        <v>55</v>
      </c>
      <c r="J38" s="21" t="s">
        <v>588</v>
      </c>
      <c r="K38" s="5814" t="s">
        <v>589</v>
      </c>
    </row>
    <row r="39" spans="1:11">
      <c r="A39" s="21" t="s">
        <v>125</v>
      </c>
      <c r="B39" s="21" t="s">
        <v>591</v>
      </c>
      <c r="C39" s="21" t="s">
        <v>22</v>
      </c>
      <c r="D39" s="21" t="s">
        <v>538</v>
      </c>
      <c r="E39" s="21" t="s">
        <v>9</v>
      </c>
      <c r="F39" s="5812">
        <v>3</v>
      </c>
      <c r="G39" s="5813">
        <v>0.20833333333333334</v>
      </c>
      <c r="H39" s="21" t="s">
        <v>10</v>
      </c>
      <c r="I39" s="21" t="s">
        <v>39</v>
      </c>
      <c r="J39" s="21" t="s">
        <v>592</v>
      </c>
      <c r="K39" s="5814" t="s">
        <v>593</v>
      </c>
    </row>
    <row r="40" spans="1:11">
      <c r="A40" s="21" t="s">
        <v>311</v>
      </c>
      <c r="B40" s="21" t="s">
        <v>555</v>
      </c>
      <c r="C40" s="21" t="s">
        <v>22</v>
      </c>
      <c r="D40" s="21" t="s">
        <v>538</v>
      </c>
      <c r="E40" s="21" t="s">
        <v>9</v>
      </c>
      <c r="F40" s="5812">
        <v>3</v>
      </c>
      <c r="G40" s="5813">
        <v>0.20833333333333334</v>
      </c>
      <c r="H40" s="21" t="s">
        <v>10</v>
      </c>
      <c r="I40" s="21" t="s">
        <v>499</v>
      </c>
      <c r="J40" s="21" t="s">
        <v>556</v>
      </c>
      <c r="K40" s="5814" t="s">
        <v>557</v>
      </c>
    </row>
    <row r="41" spans="1:11">
      <c r="A41" s="21" t="s">
        <v>37</v>
      </c>
      <c r="B41" s="21" t="s">
        <v>560</v>
      </c>
      <c r="C41" s="21" t="s">
        <v>22</v>
      </c>
      <c r="D41" s="21" t="s">
        <v>538</v>
      </c>
      <c r="E41" s="21" t="s">
        <v>9</v>
      </c>
      <c r="F41" s="5812">
        <v>3</v>
      </c>
      <c r="G41" s="5813">
        <v>0.20833333333333334</v>
      </c>
      <c r="H41" s="21" t="s">
        <v>10</v>
      </c>
      <c r="I41" s="21" t="s">
        <v>47</v>
      </c>
      <c r="J41" s="21" t="s">
        <v>500</v>
      </c>
      <c r="K41" s="5814" t="s">
        <v>561</v>
      </c>
    </row>
    <row r="42" spans="1:11">
      <c r="A42" s="21" t="s">
        <v>65</v>
      </c>
      <c r="B42" s="21" t="s">
        <v>566</v>
      </c>
      <c r="C42" s="21" t="s">
        <v>8</v>
      </c>
      <c r="D42" s="21" t="s">
        <v>538</v>
      </c>
      <c r="E42" s="21" t="s">
        <v>9</v>
      </c>
      <c r="F42" s="5812">
        <v>3</v>
      </c>
      <c r="G42" s="5813">
        <v>0.20833333333333334</v>
      </c>
      <c r="H42" s="21" t="s">
        <v>10</v>
      </c>
      <c r="I42" s="21" t="s">
        <v>39</v>
      </c>
      <c r="J42" s="21" t="s">
        <v>567</v>
      </c>
      <c r="K42" s="5814" t="s">
        <v>568</v>
      </c>
    </row>
    <row r="43" spans="1:11">
      <c r="A43" s="21" t="s">
        <v>231</v>
      </c>
      <c r="B43" s="21" t="s">
        <v>620</v>
      </c>
      <c r="C43" s="21" t="s">
        <v>8</v>
      </c>
      <c r="D43" s="21" t="s">
        <v>538</v>
      </c>
      <c r="E43" s="21" t="s">
        <v>9</v>
      </c>
      <c r="F43" s="5812">
        <v>3</v>
      </c>
      <c r="G43" s="5813">
        <v>0.20833333333333334</v>
      </c>
      <c r="H43" s="21" t="s">
        <v>10</v>
      </c>
      <c r="I43" s="21" t="s">
        <v>233</v>
      </c>
      <c r="J43" s="21" t="s">
        <v>621</v>
      </c>
      <c r="K43" s="5814" t="s">
        <v>5573</v>
      </c>
    </row>
    <row r="44" spans="1:11">
      <c r="A44" s="21" t="s">
        <v>2307</v>
      </c>
      <c r="B44" s="21" t="s">
        <v>5574</v>
      </c>
      <c r="C44" s="21" t="s">
        <v>8</v>
      </c>
      <c r="D44" s="21" t="s">
        <v>538</v>
      </c>
      <c r="E44" s="21" t="s">
        <v>9</v>
      </c>
      <c r="F44" s="5812">
        <v>3</v>
      </c>
      <c r="G44" s="5813">
        <v>0.20833333333333334</v>
      </c>
      <c r="H44" s="21" t="s">
        <v>10</v>
      </c>
      <c r="I44" s="21" t="s">
        <v>226</v>
      </c>
      <c r="J44" s="21" t="s">
        <v>5575</v>
      </c>
      <c r="K44" s="5814" t="s">
        <v>5576</v>
      </c>
    </row>
    <row r="45" spans="1:11">
      <c r="A45" s="21" t="s">
        <v>2084</v>
      </c>
      <c r="B45" s="21" t="s">
        <v>5577</v>
      </c>
      <c r="C45" s="21" t="s">
        <v>8</v>
      </c>
      <c r="D45" s="21" t="s">
        <v>538</v>
      </c>
      <c r="E45" s="21" t="s">
        <v>9</v>
      </c>
      <c r="F45" s="5812">
        <v>3</v>
      </c>
      <c r="G45" s="5813">
        <v>0.20833333333333334</v>
      </c>
      <c r="H45" s="21" t="s">
        <v>10</v>
      </c>
      <c r="I45" s="21" t="s">
        <v>3343</v>
      </c>
      <c r="J45" s="21" t="s">
        <v>5578</v>
      </c>
      <c r="K45" s="5814" t="s">
        <v>5579</v>
      </c>
    </row>
    <row r="46" spans="1:11">
      <c r="A46" s="21" t="s">
        <v>4552</v>
      </c>
      <c r="B46" s="21" t="s">
        <v>5580</v>
      </c>
      <c r="C46" s="21" t="s">
        <v>8</v>
      </c>
      <c r="D46" s="21" t="s">
        <v>538</v>
      </c>
      <c r="E46" s="21" t="s">
        <v>9</v>
      </c>
      <c r="F46" s="5812">
        <v>3</v>
      </c>
      <c r="G46" s="5813">
        <v>0.20833333333333334</v>
      </c>
      <c r="H46" s="21" t="s">
        <v>10</v>
      </c>
      <c r="I46" s="21" t="s">
        <v>73</v>
      </c>
      <c r="J46" s="21" t="s">
        <v>5027</v>
      </c>
      <c r="K46" s="5814" t="s">
        <v>5581</v>
      </c>
    </row>
    <row r="47" spans="1:11">
      <c r="A47" s="21" t="s">
        <v>3495</v>
      </c>
      <c r="B47" s="21" t="s">
        <v>5582</v>
      </c>
      <c r="C47" s="21" t="s">
        <v>8</v>
      </c>
      <c r="D47" s="21" t="s">
        <v>538</v>
      </c>
      <c r="E47" s="21" t="s">
        <v>9</v>
      </c>
      <c r="F47" s="5812">
        <v>3</v>
      </c>
      <c r="G47" s="5813">
        <v>0.20833333333333334</v>
      </c>
      <c r="H47" s="21" t="s">
        <v>10</v>
      </c>
      <c r="I47" s="21" t="s">
        <v>11</v>
      </c>
      <c r="J47" s="21" t="s">
        <v>5583</v>
      </c>
      <c r="K47" s="5814" t="s">
        <v>5584</v>
      </c>
    </row>
    <row r="48" spans="1:11">
      <c r="A48" s="21" t="s">
        <v>3243</v>
      </c>
      <c r="B48" s="21" t="s">
        <v>5585</v>
      </c>
      <c r="C48" s="21" t="s">
        <v>8</v>
      </c>
      <c r="D48" s="21" t="s">
        <v>538</v>
      </c>
      <c r="E48" s="21" t="s">
        <v>9</v>
      </c>
      <c r="F48" s="5812">
        <v>3</v>
      </c>
      <c r="G48" s="5813">
        <v>0.20833333333333334</v>
      </c>
      <c r="H48" s="21" t="s">
        <v>10</v>
      </c>
      <c r="I48" s="21" t="s">
        <v>55</v>
      </c>
      <c r="J48" s="21" t="s">
        <v>5586</v>
      </c>
      <c r="K48" s="5814" t="s">
        <v>5587</v>
      </c>
    </row>
    <row r="49" spans="1:11">
      <c r="A49" s="21" t="s">
        <v>3243</v>
      </c>
      <c r="B49" s="21" t="s">
        <v>5588</v>
      </c>
      <c r="C49" s="21" t="s">
        <v>8</v>
      </c>
      <c r="D49" s="21" t="s">
        <v>538</v>
      </c>
      <c r="E49" s="21" t="s">
        <v>9</v>
      </c>
      <c r="F49" s="5812">
        <v>3</v>
      </c>
      <c r="G49" s="5813">
        <v>0.20833333333333334</v>
      </c>
      <c r="H49" s="21" t="s">
        <v>10</v>
      </c>
      <c r="I49" s="21" t="s">
        <v>39</v>
      </c>
      <c r="J49" s="21" t="s">
        <v>5589</v>
      </c>
      <c r="K49" s="5814" t="s">
        <v>5590</v>
      </c>
    </row>
    <row r="50" spans="1:11">
      <c r="A50" s="21" t="s">
        <v>3039</v>
      </c>
      <c r="B50" s="21" t="s">
        <v>5591</v>
      </c>
      <c r="C50" s="21" t="s">
        <v>8</v>
      </c>
      <c r="D50" s="21" t="s">
        <v>538</v>
      </c>
      <c r="E50" s="21" t="s">
        <v>9</v>
      </c>
      <c r="F50" s="5812">
        <v>3</v>
      </c>
      <c r="G50" s="5813">
        <v>0.20833333333333334</v>
      </c>
      <c r="H50" s="21" t="s">
        <v>10</v>
      </c>
      <c r="I50" s="21" t="s">
        <v>39</v>
      </c>
      <c r="J50" s="21" t="s">
        <v>5592</v>
      </c>
      <c r="K50" s="5814" t="s">
        <v>5593</v>
      </c>
    </row>
    <row r="51" spans="1:11">
      <c r="A51" s="21" t="s">
        <v>2088</v>
      </c>
      <c r="B51" s="21" t="s">
        <v>5594</v>
      </c>
      <c r="C51" s="21" t="s">
        <v>8</v>
      </c>
      <c r="D51" s="21" t="s">
        <v>538</v>
      </c>
      <c r="E51" s="21" t="s">
        <v>9</v>
      </c>
      <c r="F51" s="5812">
        <v>3</v>
      </c>
      <c r="G51" s="5813">
        <v>0.20833333333333334</v>
      </c>
      <c r="H51" s="21" t="s">
        <v>10</v>
      </c>
      <c r="I51" s="21" t="s">
        <v>55</v>
      </c>
      <c r="J51" s="21" t="s">
        <v>5595</v>
      </c>
      <c r="K51" s="5814" t="s">
        <v>5596</v>
      </c>
    </row>
    <row r="52" spans="1:11">
      <c r="A52" s="21" t="s">
        <v>3474</v>
      </c>
      <c r="B52" s="21" t="s">
        <v>5597</v>
      </c>
      <c r="C52" s="21" t="s">
        <v>8</v>
      </c>
      <c r="D52" s="21" t="s">
        <v>538</v>
      </c>
      <c r="E52" s="21" t="s">
        <v>9</v>
      </c>
      <c r="F52" s="5812">
        <v>3</v>
      </c>
      <c r="G52" s="5813">
        <v>0.20833333333333334</v>
      </c>
      <c r="H52" s="21" t="s">
        <v>10</v>
      </c>
      <c r="I52" s="21" t="s">
        <v>73</v>
      </c>
      <c r="J52" s="21" t="s">
        <v>5598</v>
      </c>
      <c r="K52" s="5814" t="s">
        <v>5599</v>
      </c>
    </row>
    <row r="53" spans="1:11">
      <c r="A53" s="21" t="s">
        <v>3882</v>
      </c>
      <c r="B53" s="21" t="s">
        <v>5600</v>
      </c>
      <c r="C53" s="21" t="s">
        <v>22</v>
      </c>
      <c r="D53" s="21" t="s">
        <v>538</v>
      </c>
      <c r="E53" s="21" t="s">
        <v>9</v>
      </c>
      <c r="F53" s="5812">
        <v>3</v>
      </c>
      <c r="G53" s="5813">
        <v>0.20833333333333334</v>
      </c>
      <c r="H53" s="21" t="s">
        <v>10</v>
      </c>
      <c r="I53" s="21" t="s">
        <v>654</v>
      </c>
      <c r="J53" s="21" t="s">
        <v>5601</v>
      </c>
      <c r="K53" s="5814" t="s">
        <v>5602</v>
      </c>
    </row>
    <row r="54" spans="1:11">
      <c r="A54" s="21" t="s">
        <v>2918</v>
      </c>
      <c r="B54" s="21" t="s">
        <v>5603</v>
      </c>
      <c r="C54" s="21" t="s">
        <v>8</v>
      </c>
      <c r="D54" s="21" t="s">
        <v>538</v>
      </c>
      <c r="E54" s="21" t="s">
        <v>9</v>
      </c>
      <c r="F54" s="5812">
        <v>3</v>
      </c>
      <c r="G54" s="5813">
        <v>0.20833333333333334</v>
      </c>
      <c r="H54" s="21" t="s">
        <v>10</v>
      </c>
      <c r="I54" s="21" t="s">
        <v>39</v>
      </c>
      <c r="J54" s="21" t="s">
        <v>5604</v>
      </c>
      <c r="K54" s="5814" t="s">
        <v>5605</v>
      </c>
    </row>
    <row r="55" spans="1:11">
      <c r="A55" s="21" t="s">
        <v>2092</v>
      </c>
      <c r="B55" s="21" t="s">
        <v>5606</v>
      </c>
      <c r="C55" s="21" t="s">
        <v>22</v>
      </c>
      <c r="D55" s="21" t="s">
        <v>538</v>
      </c>
      <c r="E55" s="21" t="s">
        <v>9</v>
      </c>
      <c r="F55" s="5812">
        <v>3</v>
      </c>
      <c r="G55" s="5813">
        <v>0.20833333333333334</v>
      </c>
      <c r="H55" s="21" t="s">
        <v>10</v>
      </c>
      <c r="I55" s="21" t="s">
        <v>654</v>
      </c>
      <c r="J55" s="21" t="s">
        <v>5607</v>
      </c>
      <c r="K55" s="5814" t="s">
        <v>5608</v>
      </c>
    </row>
    <row r="56" spans="1:11">
      <c r="A56" s="21" t="s">
        <v>3338</v>
      </c>
      <c r="B56" s="21" t="s">
        <v>5609</v>
      </c>
      <c r="C56" s="21" t="s">
        <v>8</v>
      </c>
      <c r="D56" s="21" t="s">
        <v>538</v>
      </c>
      <c r="E56" s="21" t="s">
        <v>9</v>
      </c>
      <c r="F56" s="5812">
        <v>3</v>
      </c>
      <c r="G56" s="5813">
        <v>0.20833333333333334</v>
      </c>
      <c r="H56" s="21" t="s">
        <v>10</v>
      </c>
      <c r="I56" s="21" t="s">
        <v>39</v>
      </c>
      <c r="J56" s="21" t="s">
        <v>5610</v>
      </c>
      <c r="K56" s="5814" t="s">
        <v>5611</v>
      </c>
    </row>
    <row r="57" spans="1:11">
      <c r="A57" s="21" t="s">
        <v>2383</v>
      </c>
      <c r="B57" s="21" t="s">
        <v>5612</v>
      </c>
      <c r="C57" s="21" t="s">
        <v>8</v>
      </c>
      <c r="D57" s="21" t="s">
        <v>538</v>
      </c>
      <c r="E57" s="21" t="s">
        <v>9</v>
      </c>
      <c r="F57" s="5812">
        <v>3</v>
      </c>
      <c r="G57" s="5813">
        <v>0.20833333333333334</v>
      </c>
      <c r="H57" s="21" t="s">
        <v>10</v>
      </c>
      <c r="I57" s="21" t="s">
        <v>654</v>
      </c>
      <c r="J57" s="21" t="s">
        <v>5613</v>
      </c>
      <c r="K57" s="5814" t="s">
        <v>5614</v>
      </c>
    </row>
    <row r="58" spans="1:11">
      <c r="A58" s="21" t="s">
        <v>2428</v>
      </c>
      <c r="B58" s="21" t="s">
        <v>5615</v>
      </c>
      <c r="C58" s="21" t="s">
        <v>8</v>
      </c>
      <c r="D58" s="21" t="s">
        <v>538</v>
      </c>
      <c r="E58" s="21" t="s">
        <v>9</v>
      </c>
      <c r="F58" s="5812">
        <v>3</v>
      </c>
      <c r="G58" s="5813">
        <v>0.20833333333333334</v>
      </c>
      <c r="H58" s="21" t="s">
        <v>10</v>
      </c>
      <c r="I58" s="21" t="s">
        <v>47</v>
      </c>
      <c r="J58" s="21" t="s">
        <v>5616</v>
      </c>
      <c r="K58" s="5814" t="s">
        <v>5617</v>
      </c>
    </row>
    <row r="59" spans="1:11">
      <c r="A59" s="21" t="s">
        <v>2446</v>
      </c>
      <c r="B59" s="21" t="s">
        <v>5618</v>
      </c>
      <c r="C59" s="21" t="s">
        <v>8</v>
      </c>
      <c r="D59" s="21" t="s">
        <v>538</v>
      </c>
      <c r="E59" s="21" t="s">
        <v>9</v>
      </c>
      <c r="F59" s="5812">
        <v>3</v>
      </c>
      <c r="G59" s="5813">
        <v>0.20833333333333334</v>
      </c>
      <c r="H59" s="21" t="s">
        <v>10</v>
      </c>
      <c r="I59" s="21" t="s">
        <v>39</v>
      </c>
      <c r="J59" s="21" t="s">
        <v>543</v>
      </c>
      <c r="K59" s="5814" t="s">
        <v>5619</v>
      </c>
    </row>
    <row r="60" spans="1:11">
      <c r="A60" s="21" t="s">
        <v>2450</v>
      </c>
      <c r="B60" s="21" t="s">
        <v>5620</v>
      </c>
      <c r="C60" s="21" t="s">
        <v>22</v>
      </c>
      <c r="D60" s="21" t="s">
        <v>538</v>
      </c>
      <c r="E60" s="21" t="s">
        <v>9</v>
      </c>
      <c r="F60" s="5812">
        <v>3</v>
      </c>
      <c r="G60" s="5813">
        <v>0.20833333333333334</v>
      </c>
      <c r="H60" s="21" t="s">
        <v>10</v>
      </c>
      <c r="I60" s="21" t="s">
        <v>55</v>
      </c>
      <c r="J60" s="21" t="s">
        <v>5621</v>
      </c>
      <c r="K60" s="5814" t="s">
        <v>5622</v>
      </c>
    </row>
    <row r="61" spans="1:11">
      <c r="A61" s="21" t="s">
        <v>3974</v>
      </c>
      <c r="B61" s="21" t="s">
        <v>5623</v>
      </c>
      <c r="C61" s="21" t="s">
        <v>8</v>
      </c>
      <c r="D61" s="21" t="s">
        <v>538</v>
      </c>
      <c r="E61" s="21" t="s">
        <v>9</v>
      </c>
      <c r="F61" s="5812">
        <v>3</v>
      </c>
      <c r="G61" s="5813">
        <v>0.20833333333333334</v>
      </c>
      <c r="H61" s="21" t="s">
        <v>10</v>
      </c>
      <c r="I61" s="21" t="s">
        <v>47</v>
      </c>
      <c r="J61" s="21" t="s">
        <v>5624</v>
      </c>
      <c r="K61" s="5814" t="s">
        <v>5625</v>
      </c>
    </row>
    <row r="62" spans="1:11">
      <c r="A62" s="21" t="s">
        <v>2974</v>
      </c>
      <c r="B62" s="21" t="s">
        <v>5626</v>
      </c>
      <c r="C62" s="21" t="s">
        <v>8</v>
      </c>
      <c r="D62" s="21" t="s">
        <v>538</v>
      </c>
      <c r="E62" s="21" t="s">
        <v>9</v>
      </c>
      <c r="F62" s="5812">
        <v>3</v>
      </c>
      <c r="G62" s="5813">
        <v>0.20833333333333334</v>
      </c>
      <c r="H62" s="21" t="s">
        <v>10</v>
      </c>
      <c r="I62" s="21" t="s">
        <v>55</v>
      </c>
      <c r="J62" s="21" t="s">
        <v>5627</v>
      </c>
      <c r="K62" s="5814" t="s">
        <v>5628</v>
      </c>
    </row>
    <row r="63" spans="1:11">
      <c r="A63" s="21" t="s">
        <v>3152</v>
      </c>
      <c r="B63" s="21" t="s">
        <v>5629</v>
      </c>
      <c r="C63" s="21" t="s">
        <v>8</v>
      </c>
      <c r="D63" s="21" t="s">
        <v>538</v>
      </c>
      <c r="E63" s="21" t="s">
        <v>9</v>
      </c>
      <c r="F63" s="5812">
        <v>3</v>
      </c>
      <c r="G63" s="5813">
        <v>0.20833333333333334</v>
      </c>
      <c r="H63" s="21" t="s">
        <v>10</v>
      </c>
      <c r="I63" s="21" t="s">
        <v>39</v>
      </c>
      <c r="J63" s="21" t="s">
        <v>5630</v>
      </c>
      <c r="K63" s="5814" t="s">
        <v>5631</v>
      </c>
    </row>
    <row r="64" spans="1:11">
      <c r="A64" s="21" t="s">
        <v>2481</v>
      </c>
      <c r="B64" s="21" t="s">
        <v>5632</v>
      </c>
      <c r="C64" s="21" t="s">
        <v>8</v>
      </c>
      <c r="D64" s="21" t="s">
        <v>538</v>
      </c>
      <c r="E64" s="21" t="s">
        <v>9</v>
      </c>
      <c r="F64" s="5812">
        <v>3</v>
      </c>
      <c r="G64" s="5813">
        <v>0.20833333333333334</v>
      </c>
      <c r="H64" s="21" t="s">
        <v>10</v>
      </c>
      <c r="I64" s="21" t="s">
        <v>39</v>
      </c>
      <c r="J64" s="21" t="s">
        <v>5633</v>
      </c>
      <c r="K64" s="5814" t="s">
        <v>5634</v>
      </c>
    </row>
    <row r="65" spans="1:11">
      <c r="A65" s="21" t="s">
        <v>2495</v>
      </c>
      <c r="B65" s="21" t="s">
        <v>5635</v>
      </c>
      <c r="C65" s="21" t="s">
        <v>22</v>
      </c>
      <c r="D65" s="21" t="s">
        <v>538</v>
      </c>
      <c r="E65" s="21" t="s">
        <v>9</v>
      </c>
      <c r="F65" s="5812">
        <v>3</v>
      </c>
      <c r="G65" s="5813">
        <v>0.20833333333333334</v>
      </c>
      <c r="H65" s="21" t="s">
        <v>10</v>
      </c>
      <c r="I65" s="21" t="s">
        <v>39</v>
      </c>
      <c r="J65" s="21" t="s">
        <v>5636</v>
      </c>
      <c r="K65" s="5814" t="s">
        <v>5637</v>
      </c>
    </row>
    <row r="66" spans="1:11">
      <c r="A66" s="21" t="s">
        <v>2901</v>
      </c>
      <c r="B66" s="21" t="s">
        <v>5638</v>
      </c>
      <c r="C66" s="21" t="s">
        <v>22</v>
      </c>
      <c r="D66" s="21" t="s">
        <v>538</v>
      </c>
      <c r="E66" s="21" t="s">
        <v>9</v>
      </c>
      <c r="F66" s="5812">
        <v>3</v>
      </c>
      <c r="G66" s="5813">
        <v>0.20833333333333334</v>
      </c>
      <c r="H66" s="21" t="s">
        <v>10</v>
      </c>
      <c r="I66" s="21" t="s">
        <v>39</v>
      </c>
      <c r="J66" s="21" t="s">
        <v>5639</v>
      </c>
      <c r="K66" s="5814" t="s">
        <v>5640</v>
      </c>
    </row>
    <row r="67" spans="1:11">
      <c r="A67" s="21" t="s">
        <v>4003</v>
      </c>
      <c r="B67" s="21" t="s">
        <v>5641</v>
      </c>
      <c r="C67" s="21" t="s">
        <v>22</v>
      </c>
      <c r="D67" s="21" t="s">
        <v>538</v>
      </c>
      <c r="E67" s="21" t="s">
        <v>9</v>
      </c>
      <c r="F67" s="5812">
        <v>3</v>
      </c>
      <c r="G67" s="5813">
        <v>0.20833333333333334</v>
      </c>
      <c r="H67" s="21" t="s">
        <v>10</v>
      </c>
      <c r="I67" s="21" t="s">
        <v>55</v>
      </c>
      <c r="J67" s="21" t="s">
        <v>5642</v>
      </c>
      <c r="K67" s="5814" t="s">
        <v>5643</v>
      </c>
    </row>
    <row r="68" spans="1:11">
      <c r="A68" s="21" t="s">
        <v>3102</v>
      </c>
      <c r="B68" s="21" t="s">
        <v>5644</v>
      </c>
      <c r="C68" s="21" t="s">
        <v>8</v>
      </c>
      <c r="D68" s="21" t="s">
        <v>538</v>
      </c>
      <c r="E68" s="21" t="s">
        <v>9</v>
      </c>
      <c r="F68" s="5812">
        <v>3</v>
      </c>
      <c r="G68" s="5813">
        <v>0.20833333333333334</v>
      </c>
      <c r="H68" s="21" t="s">
        <v>10</v>
      </c>
      <c r="I68" s="21" t="s">
        <v>11</v>
      </c>
      <c r="J68" s="21" t="s">
        <v>4075</v>
      </c>
      <c r="K68" s="5814" t="s">
        <v>5645</v>
      </c>
    </row>
    <row r="69" spans="1:11">
      <c r="A69" s="21" t="s">
        <v>3119</v>
      </c>
      <c r="B69" s="21" t="s">
        <v>5646</v>
      </c>
      <c r="C69" s="21" t="s">
        <v>22</v>
      </c>
      <c r="D69" s="21" t="s">
        <v>538</v>
      </c>
      <c r="E69" s="21" t="s">
        <v>9</v>
      </c>
      <c r="F69" s="5812">
        <v>3</v>
      </c>
      <c r="G69" s="5813">
        <v>0.20833333333333334</v>
      </c>
      <c r="H69" s="21" t="s">
        <v>10</v>
      </c>
      <c r="I69" s="21" t="s">
        <v>23</v>
      </c>
      <c r="J69" s="21" t="s">
        <v>5647</v>
      </c>
      <c r="K69" s="5814" t="s">
        <v>5648</v>
      </c>
    </row>
    <row r="70" spans="1:11">
      <c r="A70" s="21" t="s">
        <v>3348</v>
      </c>
      <c r="B70" s="21" t="s">
        <v>5649</v>
      </c>
      <c r="C70" s="21" t="s">
        <v>22</v>
      </c>
      <c r="D70" s="21" t="s">
        <v>538</v>
      </c>
      <c r="E70" s="21" t="s">
        <v>9</v>
      </c>
      <c r="F70" s="5812">
        <v>3</v>
      </c>
      <c r="G70" s="5813">
        <v>0.20833333333333334</v>
      </c>
      <c r="H70" s="21" t="s">
        <v>10</v>
      </c>
      <c r="I70" s="21" t="s">
        <v>39</v>
      </c>
      <c r="J70" s="21" t="s">
        <v>5650</v>
      </c>
      <c r="K70" s="5814" t="s">
        <v>5651</v>
      </c>
    </row>
    <row r="71" spans="1:11">
      <c r="A71" s="21" t="s">
        <v>2127</v>
      </c>
      <c r="B71" s="21" t="s">
        <v>5652</v>
      </c>
      <c r="C71" s="21" t="s">
        <v>8</v>
      </c>
      <c r="D71" s="21" t="s">
        <v>538</v>
      </c>
      <c r="E71" s="21" t="s">
        <v>9</v>
      </c>
      <c r="F71" s="5812">
        <v>3</v>
      </c>
      <c r="G71" s="5813">
        <v>0.20833333333333334</v>
      </c>
      <c r="H71" s="21" t="s">
        <v>10</v>
      </c>
      <c r="I71" s="21" t="s">
        <v>23</v>
      </c>
      <c r="J71" s="21" t="s">
        <v>5653</v>
      </c>
      <c r="K71" s="5814" t="s">
        <v>5654</v>
      </c>
    </row>
    <row r="72" spans="1:11">
      <c r="A72" s="21" t="s">
        <v>2513</v>
      </c>
      <c r="B72" s="21" t="s">
        <v>5655</v>
      </c>
      <c r="C72" s="21" t="s">
        <v>8</v>
      </c>
      <c r="D72" s="21" t="s">
        <v>538</v>
      </c>
      <c r="E72" s="21" t="s">
        <v>9</v>
      </c>
      <c r="F72" s="5812">
        <v>3</v>
      </c>
      <c r="G72" s="5813">
        <v>0.20833333333333334</v>
      </c>
      <c r="H72" s="21" t="s">
        <v>10</v>
      </c>
      <c r="I72" s="21" t="s">
        <v>39</v>
      </c>
      <c r="J72" s="21" t="s">
        <v>2504</v>
      </c>
      <c r="K72" s="5814" t="s">
        <v>5656</v>
      </c>
    </row>
    <row r="73" spans="1:11">
      <c r="A73" s="21" t="s">
        <v>2517</v>
      </c>
      <c r="B73" s="21" t="s">
        <v>5657</v>
      </c>
      <c r="C73" s="21" t="s">
        <v>22</v>
      </c>
      <c r="D73" s="21" t="s">
        <v>538</v>
      </c>
      <c r="E73" s="21" t="s">
        <v>9</v>
      </c>
      <c r="F73" s="5812">
        <v>3</v>
      </c>
      <c r="G73" s="5813">
        <v>0.20833333333333334</v>
      </c>
      <c r="H73" s="21" t="s">
        <v>10</v>
      </c>
      <c r="I73" s="21" t="s">
        <v>47</v>
      </c>
      <c r="J73" s="21" t="s">
        <v>5658</v>
      </c>
      <c r="K73" s="5814" t="s">
        <v>5659</v>
      </c>
    </row>
    <row r="74" spans="1:11">
      <c r="A74" s="21" t="s">
        <v>2521</v>
      </c>
      <c r="B74" s="21" t="s">
        <v>5660</v>
      </c>
      <c r="C74" s="21" t="s">
        <v>22</v>
      </c>
      <c r="D74" s="21" t="s">
        <v>538</v>
      </c>
      <c r="E74" s="21" t="s">
        <v>9</v>
      </c>
      <c r="F74" s="5812">
        <v>3</v>
      </c>
      <c r="G74" s="5813">
        <v>0.20833333333333334</v>
      </c>
      <c r="H74" s="21" t="s">
        <v>10</v>
      </c>
      <c r="I74" s="21" t="s">
        <v>2523</v>
      </c>
      <c r="J74" s="21" t="s">
        <v>5661</v>
      </c>
      <c r="K74" s="5814" t="s">
        <v>5662</v>
      </c>
    </row>
    <row r="75" spans="1:11">
      <c r="A75" s="21" t="s">
        <v>3203</v>
      </c>
      <c r="B75" s="21" t="s">
        <v>5663</v>
      </c>
      <c r="C75" s="21" t="s">
        <v>8</v>
      </c>
      <c r="D75" s="21" t="s">
        <v>538</v>
      </c>
      <c r="E75" s="21" t="s">
        <v>9</v>
      </c>
      <c r="F75" s="5812">
        <v>3</v>
      </c>
      <c r="G75" s="5813">
        <v>0.20833333333333334</v>
      </c>
      <c r="H75" s="21" t="s">
        <v>10</v>
      </c>
      <c r="I75" s="21" t="s">
        <v>55</v>
      </c>
      <c r="J75" s="21" t="s">
        <v>5664</v>
      </c>
      <c r="K75" s="5814" t="s">
        <v>5665</v>
      </c>
    </row>
    <row r="76" spans="1:11">
      <c r="A76" s="21" t="s">
        <v>2139</v>
      </c>
      <c r="B76" s="21" t="s">
        <v>5666</v>
      </c>
      <c r="C76" s="21" t="s">
        <v>8</v>
      </c>
      <c r="D76" s="21" t="s">
        <v>538</v>
      </c>
      <c r="E76" s="21" t="s">
        <v>9</v>
      </c>
      <c r="F76" s="5812">
        <v>3</v>
      </c>
      <c r="G76" s="5813">
        <v>0.20833333333333334</v>
      </c>
      <c r="H76" s="21" t="s">
        <v>10</v>
      </c>
      <c r="I76" s="21" t="s">
        <v>55</v>
      </c>
      <c r="J76" s="21" t="s">
        <v>5667</v>
      </c>
      <c r="K76" s="5814" t="s">
        <v>5668</v>
      </c>
    </row>
    <row r="77" spans="1:11">
      <c r="A77" s="21" t="s">
        <v>4116</v>
      </c>
      <c r="B77" s="21" t="s">
        <v>5669</v>
      </c>
      <c r="C77" s="21" t="s">
        <v>8</v>
      </c>
      <c r="D77" s="21" t="s">
        <v>538</v>
      </c>
      <c r="E77" s="21" t="s">
        <v>9</v>
      </c>
      <c r="F77" s="5812">
        <v>3</v>
      </c>
      <c r="G77" s="5813">
        <v>0.20833333333333334</v>
      </c>
      <c r="H77" s="21" t="s">
        <v>10</v>
      </c>
      <c r="I77" s="21" t="s">
        <v>55</v>
      </c>
      <c r="J77" s="21" t="s">
        <v>5670</v>
      </c>
      <c r="K77" s="5814" t="s">
        <v>5671</v>
      </c>
    </row>
    <row r="78" spans="1:11">
      <c r="A78" s="21" t="s">
        <v>2551</v>
      </c>
      <c r="B78" s="21" t="s">
        <v>5672</v>
      </c>
      <c r="C78" s="21" t="s">
        <v>8</v>
      </c>
      <c r="D78" s="21" t="s">
        <v>538</v>
      </c>
      <c r="E78" s="21" t="s">
        <v>9</v>
      </c>
      <c r="F78" s="5812">
        <v>3</v>
      </c>
      <c r="G78" s="5813">
        <v>0.20833333333333334</v>
      </c>
      <c r="H78" s="21" t="s">
        <v>10</v>
      </c>
      <c r="I78" s="21" t="s">
        <v>2218</v>
      </c>
      <c r="J78" s="21" t="s">
        <v>5673</v>
      </c>
      <c r="K78" s="5814" t="s">
        <v>5674</v>
      </c>
    </row>
    <row r="79" spans="1:11">
      <c r="A79" s="21" t="s">
        <v>2143</v>
      </c>
      <c r="B79" s="21" t="s">
        <v>5675</v>
      </c>
      <c r="C79" s="21" t="s">
        <v>8</v>
      </c>
      <c r="D79" s="21" t="s">
        <v>538</v>
      </c>
      <c r="E79" s="21" t="s">
        <v>9</v>
      </c>
      <c r="F79" s="5812">
        <v>3</v>
      </c>
      <c r="G79" s="5813">
        <v>0.20833333333333334</v>
      </c>
      <c r="H79" s="21" t="s">
        <v>10</v>
      </c>
      <c r="I79" s="21" t="s">
        <v>226</v>
      </c>
      <c r="J79" s="21" t="s">
        <v>5676</v>
      </c>
      <c r="K79" s="5814" t="s">
        <v>5677</v>
      </c>
    </row>
    <row r="80" spans="1:11">
      <c r="A80" s="21" t="s">
        <v>2147</v>
      </c>
      <c r="B80" s="21" t="s">
        <v>5678</v>
      </c>
      <c r="C80" s="21" t="s">
        <v>8</v>
      </c>
      <c r="D80" s="21" t="s">
        <v>538</v>
      </c>
      <c r="E80" s="21" t="s">
        <v>9</v>
      </c>
      <c r="F80" s="5812">
        <v>3</v>
      </c>
      <c r="G80" s="5813">
        <v>0.20833333333333334</v>
      </c>
      <c r="H80" s="21" t="s">
        <v>10</v>
      </c>
      <c r="I80" s="21" t="s">
        <v>47</v>
      </c>
      <c r="J80" s="21" t="s">
        <v>5679</v>
      </c>
      <c r="K80" s="5814" t="s">
        <v>5680</v>
      </c>
    </row>
    <row r="81" spans="1:11">
      <c r="A81" s="21" t="s">
        <v>2160</v>
      </c>
      <c r="B81" s="21" t="s">
        <v>5681</v>
      </c>
      <c r="C81" s="21" t="s">
        <v>8</v>
      </c>
      <c r="D81" s="21" t="s">
        <v>538</v>
      </c>
      <c r="E81" s="21" t="s">
        <v>9</v>
      </c>
      <c r="F81" s="5812">
        <v>3</v>
      </c>
      <c r="G81" s="5813">
        <v>0.20833333333333334</v>
      </c>
      <c r="H81" s="21" t="s">
        <v>10</v>
      </c>
      <c r="I81" s="21" t="s">
        <v>2713</v>
      </c>
      <c r="J81" s="21" t="s">
        <v>5682</v>
      </c>
      <c r="K81" s="5814" t="s">
        <v>5683</v>
      </c>
    </row>
    <row r="82" spans="1:11">
      <c r="A82" s="21" t="s">
        <v>4139</v>
      </c>
      <c r="B82" s="21" t="s">
        <v>5684</v>
      </c>
      <c r="C82" s="21" t="s">
        <v>8</v>
      </c>
      <c r="D82" s="21" t="s">
        <v>538</v>
      </c>
      <c r="E82" s="21" t="s">
        <v>9</v>
      </c>
      <c r="F82" s="5812">
        <v>3</v>
      </c>
      <c r="G82" s="5813">
        <v>0.20833333333333334</v>
      </c>
      <c r="H82" s="21" t="s">
        <v>10</v>
      </c>
      <c r="I82" s="21" t="s">
        <v>2153</v>
      </c>
      <c r="J82" s="21" t="s">
        <v>5685</v>
      </c>
      <c r="K82" s="5814" t="s">
        <v>5686</v>
      </c>
    </row>
    <row r="83" spans="1:11">
      <c r="A83" s="21" t="s">
        <v>2992</v>
      </c>
      <c r="B83" s="21" t="s">
        <v>5687</v>
      </c>
      <c r="C83" s="21" t="s">
        <v>22</v>
      </c>
      <c r="D83" s="21" t="s">
        <v>538</v>
      </c>
      <c r="E83" s="21" t="s">
        <v>9</v>
      </c>
      <c r="F83" s="5812">
        <v>3</v>
      </c>
      <c r="G83" s="5813">
        <v>0.20833333333333334</v>
      </c>
      <c r="H83" s="21" t="s">
        <v>10</v>
      </c>
      <c r="I83" s="21" t="s">
        <v>4417</v>
      </c>
      <c r="J83" s="21" t="s">
        <v>5688</v>
      </c>
      <c r="K83" s="5814" t="s">
        <v>5689</v>
      </c>
    </row>
    <row r="84" spans="1:11">
      <c r="A84" s="21" t="s">
        <v>2179</v>
      </c>
      <c r="B84" s="21" t="s">
        <v>5690</v>
      </c>
      <c r="C84" s="21" t="s">
        <v>8</v>
      </c>
      <c r="D84" s="21" t="s">
        <v>538</v>
      </c>
      <c r="E84" s="21" t="s">
        <v>9</v>
      </c>
      <c r="F84" s="5812">
        <v>3</v>
      </c>
      <c r="G84" s="5813">
        <v>0.20833333333333334</v>
      </c>
      <c r="H84" s="21" t="s">
        <v>10</v>
      </c>
      <c r="I84" s="21" t="s">
        <v>73</v>
      </c>
      <c r="J84" s="21" t="s">
        <v>5691</v>
      </c>
      <c r="K84" s="5814" t="s">
        <v>5692</v>
      </c>
    </row>
    <row r="85" spans="1:11">
      <c r="A85" s="21" t="s">
        <v>2609</v>
      </c>
      <c r="B85" s="21" t="s">
        <v>5693</v>
      </c>
      <c r="C85" s="21" t="s">
        <v>22</v>
      </c>
      <c r="D85" s="21" t="s">
        <v>538</v>
      </c>
      <c r="E85" s="21" t="s">
        <v>9</v>
      </c>
      <c r="F85" s="5812">
        <v>3</v>
      </c>
      <c r="G85" s="5813">
        <v>0.20833333333333334</v>
      </c>
      <c r="H85" s="21" t="s">
        <v>10</v>
      </c>
      <c r="I85" s="21" t="s">
        <v>226</v>
      </c>
      <c r="J85" s="21" t="s">
        <v>5694</v>
      </c>
      <c r="K85" s="5814" t="s">
        <v>5695</v>
      </c>
    </row>
    <row r="86" spans="1:11">
      <c r="A86" s="21" t="s">
        <v>2616</v>
      </c>
      <c r="B86" s="21" t="s">
        <v>5696</v>
      </c>
      <c r="C86" s="21" t="s">
        <v>8</v>
      </c>
      <c r="D86" s="21" t="s">
        <v>538</v>
      </c>
      <c r="E86" s="21" t="s">
        <v>9</v>
      </c>
      <c r="F86" s="5812">
        <v>3</v>
      </c>
      <c r="G86" s="5813">
        <v>0.20833333333333334</v>
      </c>
      <c r="H86" s="21" t="s">
        <v>10</v>
      </c>
      <c r="I86" s="21" t="s">
        <v>2872</v>
      </c>
      <c r="J86" s="21" t="s">
        <v>5697</v>
      </c>
      <c r="K86" s="5814" t="s">
        <v>5698</v>
      </c>
    </row>
    <row r="87" spans="1:11">
      <c r="A87" s="21" t="s">
        <v>2638</v>
      </c>
      <c r="B87" s="21" t="s">
        <v>5699</v>
      </c>
      <c r="C87" s="21" t="s">
        <v>8</v>
      </c>
      <c r="D87" s="21" t="s">
        <v>538</v>
      </c>
      <c r="E87" s="21" t="s">
        <v>9</v>
      </c>
      <c r="F87" s="5812">
        <v>3</v>
      </c>
      <c r="G87" s="5813">
        <v>0.20833333333333334</v>
      </c>
      <c r="H87" s="21" t="s">
        <v>10</v>
      </c>
      <c r="I87" s="21" t="s">
        <v>11</v>
      </c>
      <c r="J87" s="21" t="s">
        <v>5700</v>
      </c>
      <c r="K87" s="5814" t="s">
        <v>5701</v>
      </c>
    </row>
    <row r="88" spans="1:11">
      <c r="A88" s="21" t="s">
        <v>3323</v>
      </c>
      <c r="B88" s="21" t="s">
        <v>5702</v>
      </c>
      <c r="C88" s="21" t="s">
        <v>8</v>
      </c>
      <c r="D88" s="21" t="s">
        <v>538</v>
      </c>
      <c r="E88" s="21" t="s">
        <v>9</v>
      </c>
      <c r="F88" s="5812">
        <v>3</v>
      </c>
      <c r="G88" s="5813">
        <v>0.20833333333333334</v>
      </c>
      <c r="H88" s="21" t="s">
        <v>10</v>
      </c>
      <c r="I88" s="21" t="s">
        <v>55</v>
      </c>
      <c r="J88" s="21" t="s">
        <v>5703</v>
      </c>
      <c r="K88" s="5814" t="s">
        <v>5704</v>
      </c>
    </row>
    <row r="89" spans="1:11">
      <c r="A89" s="21" t="s">
        <v>4527</v>
      </c>
      <c r="B89" s="21" t="s">
        <v>5705</v>
      </c>
      <c r="C89" s="21" t="s">
        <v>22</v>
      </c>
      <c r="D89" s="21" t="s">
        <v>538</v>
      </c>
      <c r="E89" s="21" t="s">
        <v>9</v>
      </c>
      <c r="F89" s="5812">
        <v>3</v>
      </c>
      <c r="G89" s="5813">
        <v>0.20833333333333334</v>
      </c>
      <c r="H89" s="21" t="s">
        <v>10</v>
      </c>
      <c r="I89" s="21" t="s">
        <v>55</v>
      </c>
      <c r="J89" s="21" t="s">
        <v>5706</v>
      </c>
      <c r="K89" s="5814" t="s">
        <v>5707</v>
      </c>
    </row>
    <row r="90" spans="1:11">
      <c r="A90" s="21" t="s">
        <v>3741</v>
      </c>
      <c r="B90" s="21" t="s">
        <v>5708</v>
      </c>
      <c r="C90" s="21" t="s">
        <v>22</v>
      </c>
      <c r="D90" s="21" t="s">
        <v>538</v>
      </c>
      <c r="E90" s="21" t="s">
        <v>9</v>
      </c>
      <c r="F90" s="5812">
        <v>3</v>
      </c>
      <c r="G90" s="5813">
        <v>0.20833333333333334</v>
      </c>
      <c r="H90" s="21" t="s">
        <v>10</v>
      </c>
      <c r="I90" s="21" t="s">
        <v>226</v>
      </c>
      <c r="J90" s="21" t="s">
        <v>5709</v>
      </c>
      <c r="K90" s="5814" t="s">
        <v>5710</v>
      </c>
    </row>
    <row r="91" spans="1:11">
      <c r="A91" s="21" t="s">
        <v>2675</v>
      </c>
      <c r="B91" s="21" t="s">
        <v>5711</v>
      </c>
      <c r="C91" s="21" t="s">
        <v>8</v>
      </c>
      <c r="D91" s="21" t="s">
        <v>538</v>
      </c>
      <c r="E91" s="21" t="s">
        <v>9</v>
      </c>
      <c r="F91" s="5812">
        <v>3</v>
      </c>
      <c r="G91" s="5813">
        <v>0.20833333333333334</v>
      </c>
      <c r="H91" s="21" t="s">
        <v>10</v>
      </c>
      <c r="I91" s="21" t="s">
        <v>5712</v>
      </c>
      <c r="J91" s="21" t="s">
        <v>5713</v>
      </c>
      <c r="K91" s="5814" t="s">
        <v>5714</v>
      </c>
    </row>
    <row r="92" spans="1:11">
      <c r="A92" s="21" t="s">
        <v>2679</v>
      </c>
      <c r="B92" s="21" t="s">
        <v>5715</v>
      </c>
      <c r="C92" s="21" t="s">
        <v>22</v>
      </c>
      <c r="D92" s="21" t="s">
        <v>538</v>
      </c>
      <c r="E92" s="21" t="s">
        <v>9</v>
      </c>
      <c r="F92" s="5812">
        <v>3</v>
      </c>
      <c r="G92" s="5813">
        <v>0.20833333333333334</v>
      </c>
      <c r="H92" s="21" t="s">
        <v>10</v>
      </c>
      <c r="I92" s="21" t="s">
        <v>2713</v>
      </c>
      <c r="J92" s="21" t="s">
        <v>5716</v>
      </c>
      <c r="K92" s="5814" t="s">
        <v>5717</v>
      </c>
    </row>
    <row r="93" spans="1:11">
      <c r="A93" s="21" t="s">
        <v>2698</v>
      </c>
      <c r="B93" s="21" t="s">
        <v>5718</v>
      </c>
      <c r="C93" s="21" t="s">
        <v>8</v>
      </c>
      <c r="D93" s="21" t="s">
        <v>538</v>
      </c>
      <c r="E93" s="21" t="s">
        <v>9</v>
      </c>
      <c r="F93" s="5812">
        <v>3</v>
      </c>
      <c r="G93" s="5813">
        <v>0.20833333333333334</v>
      </c>
      <c r="H93" s="21" t="s">
        <v>10</v>
      </c>
      <c r="I93" s="21" t="s">
        <v>47</v>
      </c>
      <c r="J93" s="21" t="s">
        <v>5719</v>
      </c>
      <c r="K93" s="5814" t="s">
        <v>5720</v>
      </c>
    </row>
    <row r="94" spans="1:11">
      <c r="A94" s="21" t="s">
        <v>2707</v>
      </c>
      <c r="B94" s="21" t="s">
        <v>5721</v>
      </c>
      <c r="C94" s="21" t="s">
        <v>22</v>
      </c>
      <c r="D94" s="21" t="s">
        <v>538</v>
      </c>
      <c r="E94" s="21" t="s">
        <v>9</v>
      </c>
      <c r="F94" s="5812">
        <v>3</v>
      </c>
      <c r="G94" s="5813">
        <v>0.20833333333333334</v>
      </c>
      <c r="H94" s="21" t="s">
        <v>10</v>
      </c>
      <c r="I94" s="21" t="s">
        <v>55</v>
      </c>
      <c r="J94" s="21" t="s">
        <v>5722</v>
      </c>
      <c r="K94" s="5814" t="s">
        <v>5723</v>
      </c>
    </row>
    <row r="95" spans="1:11">
      <c r="A95" s="21" t="s">
        <v>3757</v>
      </c>
      <c r="B95" s="21" t="s">
        <v>5724</v>
      </c>
      <c r="C95" s="21" t="s">
        <v>22</v>
      </c>
      <c r="D95" s="21" t="s">
        <v>538</v>
      </c>
      <c r="E95" s="21" t="s">
        <v>9</v>
      </c>
      <c r="F95" s="5812">
        <v>3</v>
      </c>
      <c r="G95" s="5813">
        <v>0.20833333333333334</v>
      </c>
      <c r="H95" s="21" t="s">
        <v>10</v>
      </c>
      <c r="I95" s="21" t="s">
        <v>2665</v>
      </c>
      <c r="J95" s="21" t="s">
        <v>5725</v>
      </c>
      <c r="K95" s="5814" t="s">
        <v>5726</v>
      </c>
    </row>
    <row r="96" spans="1:11">
      <c r="A96" s="21" t="s">
        <v>2719</v>
      </c>
      <c r="B96" s="21" t="s">
        <v>5727</v>
      </c>
      <c r="C96" s="21" t="s">
        <v>8</v>
      </c>
      <c r="D96" s="21" t="s">
        <v>538</v>
      </c>
      <c r="E96" s="21" t="s">
        <v>9</v>
      </c>
      <c r="F96" s="5812">
        <v>3</v>
      </c>
      <c r="G96" s="5813">
        <v>0.20833333333333334</v>
      </c>
      <c r="H96" s="21" t="s">
        <v>10</v>
      </c>
      <c r="I96" s="21" t="s">
        <v>47</v>
      </c>
      <c r="J96" s="21" t="s">
        <v>5728</v>
      </c>
      <c r="K96" s="5814" t="s">
        <v>5729</v>
      </c>
    </row>
    <row r="97" spans="1:11">
      <c r="A97" s="21" t="s">
        <v>2205</v>
      </c>
      <c r="B97" s="21" t="s">
        <v>5730</v>
      </c>
      <c r="C97" s="21" t="s">
        <v>22</v>
      </c>
      <c r="D97" s="21" t="s">
        <v>538</v>
      </c>
      <c r="E97" s="21" t="s">
        <v>9</v>
      </c>
      <c r="F97" s="5812">
        <v>3</v>
      </c>
      <c r="G97" s="5813">
        <v>0.20833333333333334</v>
      </c>
      <c r="H97" s="21" t="s">
        <v>10</v>
      </c>
      <c r="I97" s="21" t="s">
        <v>55</v>
      </c>
      <c r="J97" s="21" t="s">
        <v>5731</v>
      </c>
      <c r="K97" s="5814" t="s">
        <v>5732</v>
      </c>
    </row>
    <row r="98" spans="1:11">
      <c r="A98" s="21" t="s">
        <v>2741</v>
      </c>
      <c r="B98" s="21" t="s">
        <v>5733</v>
      </c>
      <c r="C98" s="21" t="s">
        <v>22</v>
      </c>
      <c r="D98" s="21" t="s">
        <v>538</v>
      </c>
      <c r="E98" s="21" t="s">
        <v>9</v>
      </c>
      <c r="F98" s="5812">
        <v>3</v>
      </c>
      <c r="G98" s="5813">
        <v>0.20833333333333334</v>
      </c>
      <c r="H98" s="21" t="s">
        <v>10</v>
      </c>
      <c r="I98" s="21" t="s">
        <v>3534</v>
      </c>
      <c r="J98" s="21" t="s">
        <v>5734</v>
      </c>
      <c r="K98" s="5814" t="s">
        <v>5735</v>
      </c>
    </row>
    <row r="99" spans="1:11">
      <c r="A99" s="21" t="s">
        <v>2745</v>
      </c>
      <c r="B99" s="21" t="s">
        <v>5736</v>
      </c>
      <c r="C99" s="21" t="s">
        <v>8</v>
      </c>
      <c r="D99" s="21" t="s">
        <v>538</v>
      </c>
      <c r="E99" s="21" t="s">
        <v>9</v>
      </c>
      <c r="F99" s="5812">
        <v>3</v>
      </c>
      <c r="G99" s="5813">
        <v>0.20833333333333334</v>
      </c>
      <c r="H99" s="21" t="s">
        <v>10</v>
      </c>
      <c r="I99" s="21" t="s">
        <v>233</v>
      </c>
      <c r="J99" s="21" t="s">
        <v>5737</v>
      </c>
      <c r="K99" s="5814" t="s">
        <v>5738</v>
      </c>
    </row>
    <row r="100" spans="1:11">
      <c r="A100" s="21" t="s">
        <v>3532</v>
      </c>
      <c r="B100" s="21" t="s">
        <v>5739</v>
      </c>
      <c r="C100" s="21" t="s">
        <v>22</v>
      </c>
      <c r="D100" s="21" t="s">
        <v>538</v>
      </c>
      <c r="E100" s="21" t="s">
        <v>9</v>
      </c>
      <c r="F100" s="5812">
        <v>3</v>
      </c>
      <c r="G100" s="5813">
        <v>0.20833333333333334</v>
      </c>
      <c r="H100" s="21" t="s">
        <v>10</v>
      </c>
      <c r="I100" s="21" t="s">
        <v>2713</v>
      </c>
      <c r="J100" s="21" t="s">
        <v>5740</v>
      </c>
      <c r="K100" s="5814" t="s">
        <v>5741</v>
      </c>
    </row>
    <row r="101" spans="1:11">
      <c r="A101" s="21" t="s">
        <v>2216</v>
      </c>
      <c r="B101" s="21" t="s">
        <v>5742</v>
      </c>
      <c r="C101" s="21" t="s">
        <v>22</v>
      </c>
      <c r="D101" s="21" t="s">
        <v>538</v>
      </c>
      <c r="E101" s="21" t="s">
        <v>9</v>
      </c>
      <c r="F101" s="5812">
        <v>3</v>
      </c>
      <c r="G101" s="5813">
        <v>0.20833333333333334</v>
      </c>
      <c r="H101" s="21" t="s">
        <v>10</v>
      </c>
      <c r="I101" s="21" t="s">
        <v>2218</v>
      </c>
      <c r="J101" s="21" t="s">
        <v>5743</v>
      </c>
      <c r="K101" s="5814" t="s">
        <v>5744</v>
      </c>
    </row>
    <row r="102" spans="1:11">
      <c r="A102" s="21" t="s">
        <v>4293</v>
      </c>
      <c r="B102" s="21" t="s">
        <v>5745</v>
      </c>
      <c r="C102" s="21" t="s">
        <v>22</v>
      </c>
      <c r="D102" s="21" t="s">
        <v>538</v>
      </c>
      <c r="E102" s="21" t="s">
        <v>9</v>
      </c>
      <c r="F102" s="5812">
        <v>3</v>
      </c>
      <c r="G102" s="5813">
        <v>0.20833333333333334</v>
      </c>
      <c r="H102" s="21" t="s">
        <v>10</v>
      </c>
      <c r="I102" s="21" t="s">
        <v>226</v>
      </c>
      <c r="J102" s="21" t="s">
        <v>5746</v>
      </c>
      <c r="K102" s="5814" t="s">
        <v>5747</v>
      </c>
    </row>
    <row r="103" spans="1:11">
      <c r="A103" s="21" t="s">
        <v>2768</v>
      </c>
      <c r="B103" s="21" t="s">
        <v>5748</v>
      </c>
      <c r="C103" s="21" t="s">
        <v>22</v>
      </c>
      <c r="D103" s="21" t="s">
        <v>538</v>
      </c>
      <c r="E103" s="21" t="s">
        <v>9</v>
      </c>
      <c r="F103" s="5812">
        <v>3</v>
      </c>
      <c r="G103" s="5813">
        <v>0.20833333333333334</v>
      </c>
      <c r="H103" s="21" t="s">
        <v>10</v>
      </c>
      <c r="I103" s="21" t="s">
        <v>226</v>
      </c>
      <c r="J103" s="21" t="s">
        <v>5749</v>
      </c>
      <c r="K103" s="5814" t="s">
        <v>5750</v>
      </c>
    </row>
    <row r="104" spans="1:11">
      <c r="A104" s="21" t="s">
        <v>2772</v>
      </c>
      <c r="B104" s="21" t="s">
        <v>5751</v>
      </c>
      <c r="C104" s="21" t="s">
        <v>22</v>
      </c>
      <c r="D104" s="21" t="s">
        <v>538</v>
      </c>
      <c r="E104" s="21" t="s">
        <v>9</v>
      </c>
      <c r="F104" s="5812">
        <v>3</v>
      </c>
      <c r="G104" s="5813">
        <v>0.20833333333333334</v>
      </c>
      <c r="H104" s="21" t="s">
        <v>10</v>
      </c>
      <c r="I104" s="21" t="s">
        <v>47</v>
      </c>
      <c r="J104" s="21" t="s">
        <v>5752</v>
      </c>
      <c r="K104" s="5814" t="s">
        <v>5753</v>
      </c>
    </row>
    <row r="105" spans="1:11">
      <c r="A105" s="21" t="s">
        <v>3430</v>
      </c>
      <c r="B105" s="21" t="s">
        <v>5754</v>
      </c>
      <c r="C105" s="21" t="s">
        <v>22</v>
      </c>
      <c r="D105" s="21" t="s">
        <v>538</v>
      </c>
      <c r="E105" s="21" t="s">
        <v>9</v>
      </c>
      <c r="F105" s="5812">
        <v>3</v>
      </c>
      <c r="G105" s="5813">
        <v>0.20833333333333334</v>
      </c>
      <c r="H105" s="21" t="s">
        <v>10</v>
      </c>
      <c r="I105" s="21" t="s">
        <v>47</v>
      </c>
      <c r="J105" s="21" t="s">
        <v>5755</v>
      </c>
      <c r="K105" s="5814" t="s">
        <v>5756</v>
      </c>
    </row>
    <row r="106" spans="1:11">
      <c r="A106" s="21" t="s">
        <v>3053</v>
      </c>
      <c r="B106" s="21" t="s">
        <v>5757</v>
      </c>
      <c r="C106" s="21" t="s">
        <v>22</v>
      </c>
      <c r="D106" s="21" t="s">
        <v>538</v>
      </c>
      <c r="E106" s="21" t="s">
        <v>9</v>
      </c>
      <c r="F106" s="5812">
        <v>3</v>
      </c>
      <c r="G106" s="5813">
        <v>0.20833333333333334</v>
      </c>
      <c r="H106" s="21" t="s">
        <v>10</v>
      </c>
      <c r="I106" s="21" t="s">
        <v>3534</v>
      </c>
      <c r="J106" s="21" t="s">
        <v>5758</v>
      </c>
      <c r="K106" s="5814" t="s">
        <v>5759</v>
      </c>
    </row>
    <row r="107" spans="1:11">
      <c r="A107" s="21" t="s">
        <v>2784</v>
      </c>
      <c r="B107" s="21" t="s">
        <v>5760</v>
      </c>
      <c r="C107" s="21" t="s">
        <v>8</v>
      </c>
      <c r="D107" s="21" t="s">
        <v>538</v>
      </c>
      <c r="E107" s="21" t="s">
        <v>9</v>
      </c>
      <c r="F107" s="5812">
        <v>3</v>
      </c>
      <c r="G107" s="5813">
        <v>0.20833333333333334</v>
      </c>
      <c r="H107" s="21" t="s">
        <v>10</v>
      </c>
      <c r="I107" s="21" t="s">
        <v>226</v>
      </c>
      <c r="J107" s="21" t="s">
        <v>5761</v>
      </c>
      <c r="K107" s="5814" t="s">
        <v>5762</v>
      </c>
    </row>
    <row r="108" spans="1:11">
      <c r="A108" s="21" t="s">
        <v>2233</v>
      </c>
      <c r="B108" s="21" t="s">
        <v>5763</v>
      </c>
      <c r="C108" s="21" t="s">
        <v>8</v>
      </c>
      <c r="D108" s="21" t="s">
        <v>538</v>
      </c>
      <c r="E108" s="21" t="s">
        <v>9</v>
      </c>
      <c r="F108" s="5812">
        <v>3</v>
      </c>
      <c r="G108" s="5813">
        <v>0.20833333333333334</v>
      </c>
      <c r="H108" s="21" t="s">
        <v>10</v>
      </c>
      <c r="I108" s="21" t="s">
        <v>23</v>
      </c>
      <c r="J108" s="21" t="s">
        <v>5764</v>
      </c>
      <c r="K108" s="5814" t="s">
        <v>5765</v>
      </c>
    </row>
    <row r="109" spans="1:11">
      <c r="A109" s="21" t="s">
        <v>2824</v>
      </c>
      <c r="B109" s="21" t="s">
        <v>5766</v>
      </c>
      <c r="C109" s="21" t="s">
        <v>8</v>
      </c>
      <c r="D109" s="21" t="s">
        <v>538</v>
      </c>
      <c r="E109" s="21" t="s">
        <v>9</v>
      </c>
      <c r="F109" s="5812">
        <v>3</v>
      </c>
      <c r="G109" s="5813">
        <v>0.20833333333333334</v>
      </c>
      <c r="H109" s="21" t="s">
        <v>10</v>
      </c>
      <c r="I109" s="21" t="s">
        <v>263</v>
      </c>
      <c r="J109" s="21" t="s">
        <v>5767</v>
      </c>
      <c r="K109" s="5814" t="s">
        <v>5768</v>
      </c>
    </row>
    <row r="110" spans="1:11">
      <c r="A110" s="21" t="s">
        <v>3828</v>
      </c>
      <c r="B110" s="21" t="s">
        <v>5769</v>
      </c>
      <c r="C110" s="21" t="s">
        <v>22</v>
      </c>
      <c r="D110" s="21" t="s">
        <v>538</v>
      </c>
      <c r="E110" s="21" t="s">
        <v>9</v>
      </c>
      <c r="F110" s="5812">
        <v>3</v>
      </c>
      <c r="G110" s="5813">
        <v>0.20833333333333334</v>
      </c>
      <c r="H110" s="21" t="s">
        <v>10</v>
      </c>
      <c r="I110" s="21" t="s">
        <v>4535</v>
      </c>
      <c r="J110" s="21" t="s">
        <v>5770</v>
      </c>
      <c r="K110" s="5814" t="s">
        <v>5771</v>
      </c>
    </row>
    <row r="111" spans="1:11">
      <c r="A111" s="21" t="s">
        <v>3049</v>
      </c>
      <c r="B111" s="21" t="s">
        <v>5772</v>
      </c>
      <c r="C111" s="21" t="s">
        <v>8</v>
      </c>
      <c r="D111" s="21" t="s">
        <v>538</v>
      </c>
      <c r="E111" s="21" t="s">
        <v>9</v>
      </c>
      <c r="F111" s="5812">
        <v>3</v>
      </c>
      <c r="G111" s="5813">
        <v>0.20833333333333334</v>
      </c>
      <c r="H111" s="21" t="s">
        <v>10</v>
      </c>
      <c r="I111" s="21" t="s">
        <v>2731</v>
      </c>
      <c r="J111" s="21" t="s">
        <v>5773</v>
      </c>
      <c r="K111" s="5814" t="s">
        <v>5774</v>
      </c>
    </row>
    <row r="112" spans="1:11">
      <c r="A112" s="21" t="s">
        <v>3565</v>
      </c>
      <c r="B112" s="21" t="s">
        <v>5775</v>
      </c>
      <c r="C112" s="21" t="s">
        <v>22</v>
      </c>
      <c r="D112" s="21" t="s">
        <v>538</v>
      </c>
      <c r="E112" s="21" t="s">
        <v>9</v>
      </c>
      <c r="F112" s="5812">
        <v>3</v>
      </c>
      <c r="G112" s="5813">
        <v>0.20833333333333334</v>
      </c>
      <c r="H112" s="21" t="s">
        <v>10</v>
      </c>
      <c r="I112" s="21" t="s">
        <v>5776</v>
      </c>
      <c r="J112" s="21" t="s">
        <v>5777</v>
      </c>
      <c r="K112" s="5814" t="s">
        <v>5778</v>
      </c>
    </row>
    <row r="113" spans="1:11">
      <c r="A113" s="21" t="s">
        <v>4409</v>
      </c>
      <c r="B113" s="21" t="s">
        <v>5779</v>
      </c>
      <c r="C113" s="21" t="s">
        <v>8</v>
      </c>
      <c r="D113" s="21" t="s">
        <v>538</v>
      </c>
      <c r="E113" s="21" t="s">
        <v>9</v>
      </c>
      <c r="F113" s="5812">
        <v>3</v>
      </c>
      <c r="G113" s="5813">
        <v>0.20833333333333334</v>
      </c>
      <c r="H113" s="21" t="s">
        <v>10</v>
      </c>
      <c r="I113" s="21" t="s">
        <v>55</v>
      </c>
      <c r="J113" s="21" t="s">
        <v>5780</v>
      </c>
      <c r="K113" s="5814" t="s">
        <v>5781</v>
      </c>
    </row>
    <row r="114" spans="1:11">
      <c r="A114" s="21" t="s">
        <v>4423</v>
      </c>
      <c r="B114" s="21" t="s">
        <v>5782</v>
      </c>
      <c r="C114" s="21" t="s">
        <v>8</v>
      </c>
      <c r="D114" s="21" t="s">
        <v>538</v>
      </c>
      <c r="E114" s="21" t="s">
        <v>9</v>
      </c>
      <c r="F114" s="5812">
        <v>3</v>
      </c>
      <c r="G114" s="5813">
        <v>0.20833333333333334</v>
      </c>
      <c r="H114" s="21" t="s">
        <v>10</v>
      </c>
      <c r="I114" s="21" t="s">
        <v>23</v>
      </c>
      <c r="J114" s="21" t="s">
        <v>5783</v>
      </c>
      <c r="K114" s="5814" t="s">
        <v>5784</v>
      </c>
    </row>
    <row r="115" spans="1:11">
      <c r="A115" s="21" t="s">
        <v>5235</v>
      </c>
      <c r="B115" s="21" t="s">
        <v>5785</v>
      </c>
      <c r="C115" s="21" t="s">
        <v>22</v>
      </c>
      <c r="D115" s="21" t="s">
        <v>538</v>
      </c>
      <c r="E115" s="21" t="s">
        <v>9</v>
      </c>
      <c r="F115" s="5812">
        <v>3</v>
      </c>
      <c r="G115" s="5813">
        <v>0.20833333333333334</v>
      </c>
      <c r="H115" s="21" t="s">
        <v>10</v>
      </c>
      <c r="I115" s="21" t="s">
        <v>55</v>
      </c>
      <c r="J115" s="21" t="s">
        <v>5786</v>
      </c>
      <c r="K115" s="5814" t="s">
        <v>5787</v>
      </c>
    </row>
    <row r="116" spans="1:11">
      <c r="A116" s="21" t="s">
        <v>4434</v>
      </c>
      <c r="B116" s="21" t="s">
        <v>5788</v>
      </c>
      <c r="C116" s="21" t="s">
        <v>22</v>
      </c>
      <c r="D116" s="21" t="s">
        <v>538</v>
      </c>
      <c r="E116" s="21" t="s">
        <v>9</v>
      </c>
      <c r="F116" s="5812">
        <v>3</v>
      </c>
      <c r="G116" s="5813">
        <v>0.20833333333333334</v>
      </c>
      <c r="H116" s="21" t="s">
        <v>10</v>
      </c>
      <c r="I116" s="21" t="s">
        <v>73</v>
      </c>
      <c r="J116" s="21" t="s">
        <v>5789</v>
      </c>
      <c r="K116" s="5814" t="s">
        <v>5790</v>
      </c>
    </row>
    <row r="117" spans="1:11">
      <c r="A117" s="21" t="s">
        <v>3293</v>
      </c>
      <c r="B117" s="21" t="s">
        <v>5791</v>
      </c>
      <c r="C117" s="21" t="s">
        <v>8</v>
      </c>
      <c r="D117" s="21" t="s">
        <v>538</v>
      </c>
      <c r="E117" s="21" t="s">
        <v>9</v>
      </c>
      <c r="F117" s="5812">
        <v>3</v>
      </c>
      <c r="G117" s="5813">
        <v>0.20833333333333334</v>
      </c>
      <c r="H117" s="21" t="s">
        <v>10</v>
      </c>
      <c r="I117" s="21" t="s">
        <v>2297</v>
      </c>
      <c r="J117" s="21" t="s">
        <v>5792</v>
      </c>
      <c r="K117" s="5814" t="s">
        <v>5793</v>
      </c>
    </row>
    <row r="118" spans="1:11">
      <c r="A118" s="21" t="s">
        <v>2276</v>
      </c>
      <c r="B118" s="21" t="s">
        <v>5794</v>
      </c>
      <c r="C118" s="21" t="s">
        <v>8</v>
      </c>
      <c r="D118" s="21" t="s">
        <v>538</v>
      </c>
      <c r="E118" s="21" t="s">
        <v>9</v>
      </c>
      <c r="F118" s="5812">
        <v>3</v>
      </c>
      <c r="G118" s="5813">
        <v>0.20833333333333334</v>
      </c>
      <c r="H118" s="21" t="s">
        <v>10</v>
      </c>
      <c r="I118" s="21" t="s">
        <v>55</v>
      </c>
      <c r="J118" s="21" t="s">
        <v>5795</v>
      </c>
      <c r="K118" s="5814" t="s">
        <v>5796</v>
      </c>
    </row>
    <row r="119" spans="1:11">
      <c r="A119" s="21" t="s">
        <v>2863</v>
      </c>
      <c r="B119" s="21" t="s">
        <v>5797</v>
      </c>
      <c r="C119" s="21" t="s">
        <v>8</v>
      </c>
      <c r="D119" s="21" t="s">
        <v>538</v>
      </c>
      <c r="E119" s="21" t="s">
        <v>9</v>
      </c>
      <c r="F119" s="5812">
        <v>3</v>
      </c>
      <c r="G119" s="5813">
        <v>0.20833333333333334</v>
      </c>
      <c r="H119" s="21" t="s">
        <v>10</v>
      </c>
      <c r="I119" s="21" t="s">
        <v>55</v>
      </c>
      <c r="J119" s="21" t="s">
        <v>5798</v>
      </c>
      <c r="K119" s="5814" t="s">
        <v>5799</v>
      </c>
    </row>
    <row r="120" spans="1:11">
      <c r="A120" s="21" t="s">
        <v>231</v>
      </c>
      <c r="B120" s="21" t="s">
        <v>618</v>
      </c>
      <c r="C120" s="21" t="s">
        <v>8</v>
      </c>
      <c r="D120" s="21" t="s">
        <v>538</v>
      </c>
      <c r="E120" s="21" t="s">
        <v>9</v>
      </c>
      <c r="F120" s="5812">
        <v>5</v>
      </c>
      <c r="G120" s="5813">
        <v>0.20833333333333334</v>
      </c>
      <c r="H120" s="21" t="s">
        <v>54</v>
      </c>
      <c r="I120" s="21" t="s">
        <v>47</v>
      </c>
      <c r="J120" s="21" t="s">
        <v>619</v>
      </c>
      <c r="K120" s="5814" t="s">
        <v>5800</v>
      </c>
    </row>
    <row r="121" spans="1:11">
      <c r="A121" s="21" t="s">
        <v>2061</v>
      </c>
      <c r="B121" s="21" t="s">
        <v>5801</v>
      </c>
      <c r="C121" s="21" t="s">
        <v>8</v>
      </c>
      <c r="D121" s="21" t="s">
        <v>538</v>
      </c>
      <c r="E121" s="21" t="s">
        <v>9</v>
      </c>
      <c r="F121" s="5812">
        <v>5</v>
      </c>
      <c r="G121" s="5813">
        <v>0.20833333333333334</v>
      </c>
      <c r="H121" s="21" t="s">
        <v>54</v>
      </c>
      <c r="I121" s="21" t="s">
        <v>55</v>
      </c>
      <c r="J121" s="21" t="s">
        <v>5802</v>
      </c>
      <c r="K121" s="5814" t="s">
        <v>5803</v>
      </c>
    </row>
    <row r="122" spans="1:11">
      <c r="A122" s="21" t="s">
        <v>2506</v>
      </c>
      <c r="B122" s="21" t="s">
        <v>5804</v>
      </c>
      <c r="C122" s="21" t="s">
        <v>22</v>
      </c>
      <c r="D122" s="21" t="s">
        <v>538</v>
      </c>
      <c r="E122" s="21" t="s">
        <v>9</v>
      </c>
      <c r="F122" s="5812">
        <v>5</v>
      </c>
      <c r="G122" s="5813">
        <v>0.20833333333333334</v>
      </c>
      <c r="H122" s="21" t="s">
        <v>54</v>
      </c>
      <c r="I122" s="21" t="s">
        <v>55</v>
      </c>
      <c r="J122" s="21" t="s">
        <v>5805</v>
      </c>
      <c r="K122" s="5814" t="s">
        <v>5806</v>
      </c>
    </row>
    <row r="123" spans="1:11">
      <c r="A123" s="21" t="s">
        <v>3597</v>
      </c>
      <c r="B123" s="21" t="s">
        <v>5807</v>
      </c>
      <c r="C123" s="21" t="s">
        <v>8</v>
      </c>
      <c r="D123" s="21" t="s">
        <v>538</v>
      </c>
      <c r="E123" s="21" t="s">
        <v>9</v>
      </c>
      <c r="F123" s="5812">
        <v>5</v>
      </c>
      <c r="G123" s="5813">
        <v>0.20833333333333334</v>
      </c>
      <c r="H123" s="21" t="s">
        <v>54</v>
      </c>
      <c r="I123" s="21"/>
      <c r="J123" s="21" t="s">
        <v>5808</v>
      </c>
      <c r="K123" s="5814" t="s">
        <v>5809</v>
      </c>
    </row>
    <row r="124" spans="1:11">
      <c r="A124" s="21" t="s">
        <v>2702</v>
      </c>
      <c r="B124" s="21" t="s">
        <v>5810</v>
      </c>
      <c r="C124" s="21" t="s">
        <v>8</v>
      </c>
      <c r="D124" s="21" t="s">
        <v>538</v>
      </c>
      <c r="E124" s="21" t="s">
        <v>9</v>
      </c>
      <c r="F124" s="5812">
        <v>5</v>
      </c>
      <c r="G124" s="5813">
        <v>0.20833333333333334</v>
      </c>
      <c r="H124" s="21" t="s">
        <v>54</v>
      </c>
      <c r="I124" s="21" t="s">
        <v>55</v>
      </c>
      <c r="J124" s="21" t="s">
        <v>5811</v>
      </c>
      <c r="K124" s="5814" t="s">
        <v>5812</v>
      </c>
    </row>
    <row r="125" spans="1:11">
      <c r="A125" s="21" t="s">
        <v>3532</v>
      </c>
      <c r="B125" s="21" t="s">
        <v>5813</v>
      </c>
      <c r="C125" s="21" t="s">
        <v>8</v>
      </c>
      <c r="D125" s="21" t="s">
        <v>538</v>
      </c>
      <c r="E125" s="21" t="s">
        <v>9</v>
      </c>
      <c r="F125" s="5812">
        <v>5</v>
      </c>
      <c r="G125" s="5813">
        <v>0.20833333333333334</v>
      </c>
      <c r="H125" s="21" t="s">
        <v>54</v>
      </c>
      <c r="I125" s="21" t="s">
        <v>2713</v>
      </c>
      <c r="J125" s="21" t="s">
        <v>5814</v>
      </c>
      <c r="K125" s="5814" t="s">
        <v>5815</v>
      </c>
    </row>
    <row r="126" spans="1:11">
      <c r="A126" s="21" t="s">
        <v>3049</v>
      </c>
      <c r="B126" s="21" t="s">
        <v>5816</v>
      </c>
      <c r="C126" s="21" t="s">
        <v>22</v>
      </c>
      <c r="D126" s="21" t="s">
        <v>538</v>
      </c>
      <c r="E126" s="21" t="s">
        <v>9</v>
      </c>
      <c r="F126" s="5812">
        <v>5</v>
      </c>
      <c r="G126" s="5813">
        <v>0.20833333333333334</v>
      </c>
      <c r="H126" s="21" t="s">
        <v>54</v>
      </c>
      <c r="I126" s="21" t="s">
        <v>2713</v>
      </c>
      <c r="J126" s="21" t="s">
        <v>5817</v>
      </c>
      <c r="K126" s="5814" t="s">
        <v>5818</v>
      </c>
    </row>
    <row r="127" spans="1:11">
      <c r="A127" s="21" t="s">
        <v>2858</v>
      </c>
      <c r="B127" s="21" t="s">
        <v>5819</v>
      </c>
      <c r="C127" s="21" t="s">
        <v>8</v>
      </c>
      <c r="D127" s="21" t="s">
        <v>538</v>
      </c>
      <c r="E127" s="21" t="s">
        <v>9</v>
      </c>
      <c r="F127" s="5812">
        <v>5</v>
      </c>
      <c r="G127" s="5813">
        <v>0.20833333333333334</v>
      </c>
      <c r="H127" s="21" t="s">
        <v>54</v>
      </c>
      <c r="I127" s="21" t="s">
        <v>2269</v>
      </c>
      <c r="J127" s="21" t="s">
        <v>5820</v>
      </c>
      <c r="K127" s="5814" t="s">
        <v>5821</v>
      </c>
    </row>
    <row r="128" spans="1:11">
      <c r="A128" s="21" t="s">
        <v>3195</v>
      </c>
      <c r="B128" s="21" t="s">
        <v>5822</v>
      </c>
      <c r="C128" s="21" t="s">
        <v>22</v>
      </c>
      <c r="D128" s="21" t="s">
        <v>538</v>
      </c>
      <c r="E128" s="21" t="s">
        <v>466</v>
      </c>
      <c r="F128" s="5812">
        <v>1</v>
      </c>
      <c r="G128" s="5813">
        <v>0.18680555555555556</v>
      </c>
      <c r="H128" s="21" t="s">
        <v>10</v>
      </c>
      <c r="I128" s="21" t="s">
        <v>2692</v>
      </c>
      <c r="J128" s="21"/>
      <c r="K128" s="5814" t="s">
        <v>5823</v>
      </c>
    </row>
    <row r="129" spans="1:11">
      <c r="A129" s="21" t="s">
        <v>3328</v>
      </c>
      <c r="B129" s="21" t="s">
        <v>5824</v>
      </c>
      <c r="C129" s="21" t="s">
        <v>22</v>
      </c>
      <c r="D129" s="21" t="s">
        <v>538</v>
      </c>
      <c r="E129" s="21" t="s">
        <v>466</v>
      </c>
      <c r="F129" s="5812">
        <v>2</v>
      </c>
      <c r="G129" s="5813">
        <v>0.10277777777777777</v>
      </c>
      <c r="H129" s="21" t="s">
        <v>10</v>
      </c>
      <c r="I129" s="21" t="s">
        <v>226</v>
      </c>
      <c r="J129" s="21" t="s">
        <v>5825</v>
      </c>
      <c r="K129" s="5814" t="s">
        <v>5826</v>
      </c>
    </row>
    <row r="130" spans="1:11">
      <c r="A130" s="21" t="s">
        <v>2605</v>
      </c>
      <c r="B130" s="21" t="s">
        <v>5827</v>
      </c>
      <c r="C130" s="21" t="s">
        <v>22</v>
      </c>
      <c r="D130" s="21" t="s">
        <v>538</v>
      </c>
      <c r="E130" s="21" t="s">
        <v>46</v>
      </c>
      <c r="F130" s="5812">
        <v>1</v>
      </c>
      <c r="G130" s="5813">
        <v>6.2500000000000003E-3</v>
      </c>
      <c r="H130" s="21" t="s">
        <v>10</v>
      </c>
      <c r="I130" s="21" t="s">
        <v>2692</v>
      </c>
      <c r="J130" s="21" t="s">
        <v>127</v>
      </c>
      <c r="K130" s="5814" t="s">
        <v>5828</v>
      </c>
    </row>
    <row r="131" spans="1:11">
      <c r="A131" s="21" t="s">
        <v>2179</v>
      </c>
      <c r="B131" s="21" t="s">
        <v>5829</v>
      </c>
      <c r="C131" s="21" t="s">
        <v>22</v>
      </c>
      <c r="D131" s="21" t="s">
        <v>538</v>
      </c>
      <c r="E131" s="21" t="s">
        <v>46</v>
      </c>
      <c r="F131" s="5812">
        <v>1</v>
      </c>
      <c r="G131" s="5813">
        <v>8.3333333333333332E-3</v>
      </c>
      <c r="H131" s="21" t="s">
        <v>10</v>
      </c>
      <c r="I131" s="21" t="s">
        <v>654</v>
      </c>
      <c r="J131" s="21" t="s">
        <v>48</v>
      </c>
      <c r="K131" s="5814" t="s">
        <v>5830</v>
      </c>
    </row>
    <row r="132" spans="1:11">
      <c r="A132" s="21" t="s">
        <v>2831</v>
      </c>
      <c r="B132" s="21" t="s">
        <v>5831</v>
      </c>
      <c r="C132" s="21" t="s">
        <v>8</v>
      </c>
      <c r="D132" s="21" t="s">
        <v>538</v>
      </c>
      <c r="E132" s="21" t="s">
        <v>46</v>
      </c>
      <c r="F132" s="5812">
        <v>1</v>
      </c>
      <c r="G132" s="5813">
        <v>9.7222222222222224E-3</v>
      </c>
      <c r="H132" s="21" t="s">
        <v>10</v>
      </c>
      <c r="I132" s="21" t="s">
        <v>2171</v>
      </c>
      <c r="J132" s="21" t="s">
        <v>97</v>
      </c>
      <c r="K132" s="5814" t="s">
        <v>5832</v>
      </c>
    </row>
    <row r="133" spans="1:11">
      <c r="A133" s="21" t="s">
        <v>3909</v>
      </c>
      <c r="B133" s="21" t="s">
        <v>5833</v>
      </c>
      <c r="C133" s="21" t="s">
        <v>8</v>
      </c>
      <c r="D133" s="21" t="s">
        <v>538</v>
      </c>
      <c r="E133" s="21" t="s">
        <v>46</v>
      </c>
      <c r="F133" s="5812">
        <v>1</v>
      </c>
      <c r="G133" s="5813">
        <v>1.0416666666666666E-2</v>
      </c>
      <c r="H133" s="21" t="s">
        <v>54</v>
      </c>
      <c r="I133" s="21" t="s">
        <v>55</v>
      </c>
      <c r="J133" s="21" t="s">
        <v>5834</v>
      </c>
      <c r="K133" s="5814" t="s">
        <v>5835</v>
      </c>
    </row>
    <row r="134" spans="1:11">
      <c r="A134" s="21" t="s">
        <v>5220</v>
      </c>
      <c r="B134" s="21" t="s">
        <v>5836</v>
      </c>
      <c r="C134" s="21" t="s">
        <v>22</v>
      </c>
      <c r="D134" s="21" t="s">
        <v>538</v>
      </c>
      <c r="E134" s="21" t="s">
        <v>46</v>
      </c>
      <c r="F134" s="5812">
        <v>1</v>
      </c>
      <c r="G134" s="5813">
        <v>1.1111111111111112E-2</v>
      </c>
      <c r="H134" s="21" t="s">
        <v>10</v>
      </c>
      <c r="I134" s="21" t="s">
        <v>2713</v>
      </c>
      <c r="J134" s="21" t="s">
        <v>48</v>
      </c>
      <c r="K134" s="5814" t="s">
        <v>5837</v>
      </c>
    </row>
    <row r="135" spans="1:11">
      <c r="A135" s="21" t="s">
        <v>135</v>
      </c>
      <c r="B135" s="21" t="s">
        <v>608</v>
      </c>
      <c r="C135" s="21" t="s">
        <v>8</v>
      </c>
      <c r="D135" s="21" t="s">
        <v>538</v>
      </c>
      <c r="E135" s="21" t="s">
        <v>46</v>
      </c>
      <c r="F135" s="5812">
        <v>1</v>
      </c>
      <c r="G135" s="5813">
        <v>1.2500000000000001E-2</v>
      </c>
      <c r="H135" s="21" t="s">
        <v>10</v>
      </c>
      <c r="I135" s="21" t="s">
        <v>609</v>
      </c>
      <c r="J135" s="21" t="s">
        <v>48</v>
      </c>
      <c r="K135" s="5814" t="s">
        <v>610</v>
      </c>
    </row>
    <row r="136" spans="1:11">
      <c r="A136" s="21" t="s">
        <v>4116</v>
      </c>
      <c r="B136" s="21" t="s">
        <v>5838</v>
      </c>
      <c r="C136" s="21" t="s">
        <v>8</v>
      </c>
      <c r="D136" s="21" t="s">
        <v>538</v>
      </c>
      <c r="E136" s="21" t="s">
        <v>46</v>
      </c>
      <c r="F136" s="5812">
        <v>1</v>
      </c>
      <c r="G136" s="5813">
        <v>1.3888888888888888E-2</v>
      </c>
      <c r="H136" s="21" t="s">
        <v>10</v>
      </c>
      <c r="I136" s="21" t="s">
        <v>226</v>
      </c>
      <c r="J136" s="21" t="s">
        <v>48</v>
      </c>
      <c r="K136" s="5814" t="s">
        <v>5839</v>
      </c>
    </row>
    <row r="137" spans="1:11">
      <c r="A137" s="21" t="s">
        <v>3230</v>
      </c>
      <c r="B137" s="21" t="s">
        <v>5840</v>
      </c>
      <c r="C137" s="21" t="s">
        <v>8</v>
      </c>
      <c r="D137" s="21" t="s">
        <v>538</v>
      </c>
      <c r="E137" s="21" t="s">
        <v>46</v>
      </c>
      <c r="F137" s="5812">
        <v>1</v>
      </c>
      <c r="G137" s="5813">
        <v>1.5972222222222221E-2</v>
      </c>
      <c r="H137" s="21" t="s">
        <v>10</v>
      </c>
      <c r="I137" s="21" t="s">
        <v>39</v>
      </c>
      <c r="J137" s="21" t="s">
        <v>48</v>
      </c>
      <c r="K137" s="5814" t="s">
        <v>5841</v>
      </c>
    </row>
    <row r="138" spans="1:11">
      <c r="A138" s="21" t="s">
        <v>5554</v>
      </c>
      <c r="B138" s="21" t="s">
        <v>5842</v>
      </c>
      <c r="C138" s="21" t="s">
        <v>22</v>
      </c>
      <c r="D138" s="21" t="s">
        <v>538</v>
      </c>
      <c r="E138" s="21" t="s">
        <v>46</v>
      </c>
      <c r="F138" s="5812">
        <v>1</v>
      </c>
      <c r="G138" s="5813">
        <v>1.6666666666666666E-2</v>
      </c>
      <c r="H138" s="21" t="s">
        <v>10</v>
      </c>
      <c r="I138" s="21" t="s">
        <v>226</v>
      </c>
      <c r="J138" s="21" t="s">
        <v>127</v>
      </c>
      <c r="K138" s="5814" t="s">
        <v>5843</v>
      </c>
    </row>
    <row r="139" spans="1:11">
      <c r="A139" s="21" t="s">
        <v>2651</v>
      </c>
      <c r="B139" s="21" t="s">
        <v>5844</v>
      </c>
      <c r="C139" s="21" t="s">
        <v>8</v>
      </c>
      <c r="D139" s="21" t="s">
        <v>538</v>
      </c>
      <c r="E139" s="21" t="s">
        <v>46</v>
      </c>
      <c r="F139" s="5812">
        <v>1</v>
      </c>
      <c r="G139" s="5813">
        <v>1.8055555555555554E-2</v>
      </c>
      <c r="H139" s="21" t="s">
        <v>54</v>
      </c>
      <c r="I139" s="21" t="s">
        <v>96</v>
      </c>
      <c r="J139" s="21" t="s">
        <v>127</v>
      </c>
      <c r="K139" s="5814" t="s">
        <v>5845</v>
      </c>
    </row>
    <row r="140" spans="1:11">
      <c r="A140" s="21" t="s">
        <v>3720</v>
      </c>
      <c r="B140" s="21" t="s">
        <v>5846</v>
      </c>
      <c r="C140" s="21" t="s">
        <v>22</v>
      </c>
      <c r="D140" s="21" t="s">
        <v>538</v>
      </c>
      <c r="E140" s="21" t="s">
        <v>46</v>
      </c>
      <c r="F140" s="5812">
        <v>1</v>
      </c>
      <c r="G140" s="5813">
        <v>2.013888888888889E-2</v>
      </c>
      <c r="H140" s="21" t="s">
        <v>10</v>
      </c>
      <c r="I140" s="21" t="s">
        <v>226</v>
      </c>
      <c r="J140" s="21" t="s">
        <v>48</v>
      </c>
      <c r="K140" s="5814" t="s">
        <v>5847</v>
      </c>
    </row>
    <row r="141" spans="1:11">
      <c r="A141" s="21" t="s">
        <v>3105</v>
      </c>
      <c r="B141" s="21" t="s">
        <v>5848</v>
      </c>
      <c r="C141" s="21" t="s">
        <v>22</v>
      </c>
      <c r="D141" s="21" t="s">
        <v>538</v>
      </c>
      <c r="E141" s="21" t="s">
        <v>46</v>
      </c>
      <c r="F141" s="5812">
        <v>1</v>
      </c>
      <c r="G141" s="5813">
        <v>2.2222222222222223E-2</v>
      </c>
      <c r="H141" s="21" t="s">
        <v>10</v>
      </c>
      <c r="I141" s="21" t="s">
        <v>55</v>
      </c>
      <c r="J141" s="21" t="s">
        <v>97</v>
      </c>
      <c r="K141" s="5814" t="s">
        <v>5849</v>
      </c>
    </row>
    <row r="142" spans="1:11">
      <c r="A142" s="21" t="s">
        <v>5015</v>
      </c>
      <c r="B142" s="21" t="s">
        <v>5850</v>
      </c>
      <c r="C142" s="21" t="s">
        <v>8</v>
      </c>
      <c r="D142" s="21" t="s">
        <v>538</v>
      </c>
      <c r="E142" s="21" t="s">
        <v>46</v>
      </c>
      <c r="F142" s="5812">
        <v>1</v>
      </c>
      <c r="G142" s="5813">
        <v>2.2916666666666665E-2</v>
      </c>
      <c r="H142" s="21" t="s">
        <v>10</v>
      </c>
      <c r="I142" s="21" t="s">
        <v>226</v>
      </c>
      <c r="J142" s="21" t="s">
        <v>127</v>
      </c>
      <c r="K142" s="5814" t="s">
        <v>5851</v>
      </c>
    </row>
    <row r="143" spans="1:11">
      <c r="A143" s="21" t="s">
        <v>2188</v>
      </c>
      <c r="B143" s="21" t="s">
        <v>5852</v>
      </c>
      <c r="C143" s="21" t="s">
        <v>22</v>
      </c>
      <c r="D143" s="21" t="s">
        <v>538</v>
      </c>
      <c r="E143" s="21" t="s">
        <v>46</v>
      </c>
      <c r="F143" s="5812">
        <v>1</v>
      </c>
      <c r="G143" s="5813">
        <v>3.125E-2</v>
      </c>
      <c r="H143" s="21" t="s">
        <v>54</v>
      </c>
      <c r="I143" s="21" t="s">
        <v>47</v>
      </c>
      <c r="J143" s="21" t="s">
        <v>48</v>
      </c>
      <c r="K143" s="5814" t="s">
        <v>5853</v>
      </c>
    </row>
    <row r="144" spans="1:11">
      <c r="A144" s="21" t="s">
        <v>2517</v>
      </c>
      <c r="B144" s="21" t="s">
        <v>5854</v>
      </c>
      <c r="C144" s="21" t="s">
        <v>8</v>
      </c>
      <c r="D144" s="21" t="s">
        <v>538</v>
      </c>
      <c r="E144" s="21" t="s">
        <v>46</v>
      </c>
      <c r="F144" s="5812">
        <v>1</v>
      </c>
      <c r="G144" s="5813">
        <v>3.125E-2</v>
      </c>
      <c r="H144" s="21" t="s">
        <v>10</v>
      </c>
      <c r="I144" s="21" t="s">
        <v>47</v>
      </c>
      <c r="J144" s="21" t="s">
        <v>97</v>
      </c>
      <c r="K144" s="5814" t="s">
        <v>5855</v>
      </c>
    </row>
    <row r="145" spans="1:11">
      <c r="A145" s="21" t="s">
        <v>2538</v>
      </c>
      <c r="B145" s="21" t="s">
        <v>5856</v>
      </c>
      <c r="C145" s="21" t="s">
        <v>8</v>
      </c>
      <c r="D145" s="21" t="s">
        <v>538</v>
      </c>
      <c r="E145" s="21" t="s">
        <v>46</v>
      </c>
      <c r="F145" s="5812">
        <v>1</v>
      </c>
      <c r="G145" s="5813">
        <v>3.125E-2</v>
      </c>
      <c r="H145" s="21" t="s">
        <v>10</v>
      </c>
      <c r="I145" s="21" t="s">
        <v>2544</v>
      </c>
      <c r="J145" s="21" t="s">
        <v>97</v>
      </c>
      <c r="K145" s="5814" t="s">
        <v>5857</v>
      </c>
    </row>
    <row r="146" spans="1:11">
      <c r="A146" s="21" t="s">
        <v>2179</v>
      </c>
      <c r="B146" s="21" t="s">
        <v>5858</v>
      </c>
      <c r="C146" s="21" t="s">
        <v>8</v>
      </c>
      <c r="D146" s="21" t="s">
        <v>538</v>
      </c>
      <c r="E146" s="21" t="s">
        <v>46</v>
      </c>
      <c r="F146" s="5812">
        <v>1</v>
      </c>
      <c r="G146" s="5813">
        <v>3.125E-2</v>
      </c>
      <c r="H146" s="21" t="s">
        <v>10</v>
      </c>
      <c r="I146" s="21" t="s">
        <v>226</v>
      </c>
      <c r="J146" s="21" t="s">
        <v>127</v>
      </c>
      <c r="K146" s="5814" t="s">
        <v>5859</v>
      </c>
    </row>
    <row r="147" spans="1:11">
      <c r="A147" s="21" t="s">
        <v>2961</v>
      </c>
      <c r="B147" s="21" t="s">
        <v>5860</v>
      </c>
      <c r="C147" s="21" t="s">
        <v>8</v>
      </c>
      <c r="D147" s="21" t="s">
        <v>538</v>
      </c>
      <c r="E147" s="21" t="s">
        <v>46</v>
      </c>
      <c r="F147" s="5812">
        <v>1</v>
      </c>
      <c r="G147" s="5813">
        <v>3.3333333333333333E-2</v>
      </c>
      <c r="H147" s="21" t="s">
        <v>10</v>
      </c>
      <c r="I147" s="21" t="s">
        <v>2731</v>
      </c>
      <c r="J147" s="21" t="s">
        <v>48</v>
      </c>
      <c r="K147" s="5814" t="s">
        <v>5861</v>
      </c>
    </row>
    <row r="148" spans="1:11">
      <c r="A148" s="21" t="s">
        <v>2969</v>
      </c>
      <c r="B148" s="21" t="s">
        <v>5862</v>
      </c>
      <c r="C148" s="21" t="s">
        <v>8</v>
      </c>
      <c r="D148" s="21" t="s">
        <v>538</v>
      </c>
      <c r="E148" s="21" t="s">
        <v>46</v>
      </c>
      <c r="F148" s="5812">
        <v>1</v>
      </c>
      <c r="G148" s="5813">
        <v>3.4027777777777775E-2</v>
      </c>
      <c r="H148" s="21" t="s">
        <v>10</v>
      </c>
      <c r="I148" s="21" t="s">
        <v>55</v>
      </c>
      <c r="J148" s="21" t="s">
        <v>127</v>
      </c>
      <c r="K148" s="5814" t="s">
        <v>5863</v>
      </c>
    </row>
    <row r="149" spans="1:11">
      <c r="A149" s="21" t="s">
        <v>2616</v>
      </c>
      <c r="B149" s="21" t="s">
        <v>5864</v>
      </c>
      <c r="C149" s="21" t="s">
        <v>8</v>
      </c>
      <c r="D149" s="21" t="s">
        <v>538</v>
      </c>
      <c r="E149" s="21" t="s">
        <v>46</v>
      </c>
      <c r="F149" s="5812">
        <v>1</v>
      </c>
      <c r="G149" s="5813">
        <v>3.4722222222222224E-2</v>
      </c>
      <c r="H149" s="21" t="s">
        <v>10</v>
      </c>
      <c r="I149" s="21" t="s">
        <v>400</v>
      </c>
      <c r="J149" s="21" t="s">
        <v>1203</v>
      </c>
      <c r="K149" s="5814" t="s">
        <v>5865</v>
      </c>
    </row>
    <row r="150" spans="1:11">
      <c r="A150" s="21" t="s">
        <v>3896</v>
      </c>
      <c r="B150" s="21" t="s">
        <v>5866</v>
      </c>
      <c r="C150" s="21" t="s">
        <v>22</v>
      </c>
      <c r="D150" s="21" t="s">
        <v>538</v>
      </c>
      <c r="E150" s="21" t="s">
        <v>46</v>
      </c>
      <c r="F150" s="5812">
        <v>1</v>
      </c>
      <c r="G150" s="5813">
        <v>3.7499999999999999E-2</v>
      </c>
      <c r="H150" s="21" t="s">
        <v>10</v>
      </c>
      <c r="I150" s="21" t="s">
        <v>226</v>
      </c>
      <c r="J150" s="21" t="s">
        <v>97</v>
      </c>
      <c r="K150" s="5814" t="s">
        <v>5867</v>
      </c>
    </row>
    <row r="151" spans="1:11">
      <c r="A151" s="21" t="s">
        <v>2263</v>
      </c>
      <c r="B151" s="21" t="s">
        <v>5868</v>
      </c>
      <c r="C151" s="21" t="s">
        <v>8</v>
      </c>
      <c r="D151" s="21" t="s">
        <v>538</v>
      </c>
      <c r="E151" s="21" t="s">
        <v>46</v>
      </c>
      <c r="F151" s="5812">
        <v>1</v>
      </c>
      <c r="G151" s="5813">
        <v>3.7499999999999999E-2</v>
      </c>
      <c r="H151" s="21" t="s">
        <v>10</v>
      </c>
      <c r="I151" s="21" t="s">
        <v>55</v>
      </c>
      <c r="J151" s="21" t="s">
        <v>406</v>
      </c>
      <c r="K151" s="5814" t="s">
        <v>5869</v>
      </c>
    </row>
    <row r="152" spans="1:11">
      <c r="A152" s="21" t="s">
        <v>5390</v>
      </c>
      <c r="B152" s="21" t="s">
        <v>5870</v>
      </c>
      <c r="C152" s="21" t="s">
        <v>22</v>
      </c>
      <c r="D152" s="21" t="s">
        <v>538</v>
      </c>
      <c r="E152" s="21" t="s">
        <v>46</v>
      </c>
      <c r="F152" s="5812">
        <v>1</v>
      </c>
      <c r="G152" s="5813">
        <v>3.8194444444444448E-2</v>
      </c>
      <c r="H152" s="21" t="s">
        <v>10</v>
      </c>
      <c r="I152" s="21" t="s">
        <v>226</v>
      </c>
      <c r="J152" s="21" t="s">
        <v>97</v>
      </c>
      <c r="K152" s="5814" t="s">
        <v>5871</v>
      </c>
    </row>
    <row r="153" spans="1:11">
      <c r="A153" s="21" t="s">
        <v>2165</v>
      </c>
      <c r="B153" s="21" t="s">
        <v>5872</v>
      </c>
      <c r="C153" s="21" t="s">
        <v>22</v>
      </c>
      <c r="D153" s="21" t="s">
        <v>538</v>
      </c>
      <c r="E153" s="21" t="s">
        <v>46</v>
      </c>
      <c r="F153" s="5812">
        <v>1</v>
      </c>
      <c r="G153" s="5813">
        <v>4.0972222222222222E-2</v>
      </c>
      <c r="H153" s="21" t="s">
        <v>10</v>
      </c>
      <c r="I153" s="21" t="s">
        <v>96</v>
      </c>
      <c r="J153" s="21" t="s">
        <v>1076</v>
      </c>
      <c r="K153" s="5814" t="s">
        <v>5873</v>
      </c>
    </row>
    <row r="154" spans="1:11">
      <c r="A154" s="21" t="s">
        <v>3886</v>
      </c>
      <c r="B154" s="21" t="s">
        <v>5874</v>
      </c>
      <c r="C154" s="21" t="s">
        <v>8</v>
      </c>
      <c r="D154" s="21" t="s">
        <v>538</v>
      </c>
      <c r="E154" s="21" t="s">
        <v>46</v>
      </c>
      <c r="F154" s="5812">
        <v>1</v>
      </c>
      <c r="G154" s="5813">
        <v>4.583333333333333E-2</v>
      </c>
      <c r="H154" s="21" t="s">
        <v>10</v>
      </c>
      <c r="I154" s="21" t="s">
        <v>96</v>
      </c>
      <c r="J154" s="21" t="s">
        <v>48</v>
      </c>
      <c r="K154" s="5814" t="s">
        <v>5875</v>
      </c>
    </row>
    <row r="155" spans="1:11">
      <c r="A155" s="21" t="s">
        <v>4177</v>
      </c>
      <c r="B155" s="21" t="s">
        <v>5876</v>
      </c>
      <c r="C155" s="21" t="s">
        <v>8</v>
      </c>
      <c r="D155" s="21" t="s">
        <v>538</v>
      </c>
      <c r="E155" s="21" t="s">
        <v>46</v>
      </c>
      <c r="F155" s="5812">
        <v>1</v>
      </c>
      <c r="G155" s="5813">
        <v>4.583333333333333E-2</v>
      </c>
      <c r="H155" s="21" t="s">
        <v>10</v>
      </c>
      <c r="I155" s="21" t="s">
        <v>2713</v>
      </c>
      <c r="J155" s="21" t="s">
        <v>97</v>
      </c>
      <c r="K155" s="5814" t="s">
        <v>5877</v>
      </c>
    </row>
    <row r="156" spans="1:11">
      <c r="A156" s="21" t="s">
        <v>3235</v>
      </c>
      <c r="B156" s="21" t="s">
        <v>5878</v>
      </c>
      <c r="C156" s="21" t="s">
        <v>8</v>
      </c>
      <c r="D156" s="21" t="s">
        <v>538</v>
      </c>
      <c r="E156" s="21" t="s">
        <v>46</v>
      </c>
      <c r="F156" s="5812">
        <v>1</v>
      </c>
      <c r="G156" s="5813">
        <v>4.6527777777777779E-2</v>
      </c>
      <c r="H156" s="21" t="s">
        <v>10</v>
      </c>
      <c r="I156" s="21" t="s">
        <v>39</v>
      </c>
      <c r="J156" s="21" t="s">
        <v>48</v>
      </c>
      <c r="K156" s="5814" t="s">
        <v>5879</v>
      </c>
    </row>
    <row r="157" spans="1:11">
      <c r="A157" s="21" t="s">
        <v>2600</v>
      </c>
      <c r="B157" s="21" t="s">
        <v>5880</v>
      </c>
      <c r="C157" s="21" t="s">
        <v>8</v>
      </c>
      <c r="D157" s="21" t="s">
        <v>538</v>
      </c>
      <c r="E157" s="21" t="s">
        <v>46</v>
      </c>
      <c r="F157" s="5812">
        <v>1</v>
      </c>
      <c r="G157" s="5813">
        <v>4.9305555555555554E-2</v>
      </c>
      <c r="H157" s="21" t="s">
        <v>54</v>
      </c>
      <c r="I157" s="21" t="s">
        <v>55</v>
      </c>
      <c r="J157" s="21" t="s">
        <v>406</v>
      </c>
      <c r="K157" s="5814" t="s">
        <v>5881</v>
      </c>
    </row>
    <row r="158" spans="1:11">
      <c r="A158" s="21" t="s">
        <v>2084</v>
      </c>
      <c r="B158" s="21" t="s">
        <v>5882</v>
      </c>
      <c r="C158" s="21" t="s">
        <v>8</v>
      </c>
      <c r="D158" s="21" t="s">
        <v>538</v>
      </c>
      <c r="E158" s="21" t="s">
        <v>46</v>
      </c>
      <c r="F158" s="5812">
        <v>1</v>
      </c>
      <c r="G158" s="5813">
        <v>5.0694444444444445E-2</v>
      </c>
      <c r="H158" s="21" t="s">
        <v>54</v>
      </c>
      <c r="I158" s="21" t="s">
        <v>47</v>
      </c>
      <c r="J158" s="21" t="s">
        <v>48</v>
      </c>
      <c r="K158" s="5814" t="s">
        <v>5883</v>
      </c>
    </row>
    <row r="159" spans="1:11">
      <c r="A159" s="21" t="s">
        <v>2280</v>
      </c>
      <c r="B159" s="21" t="s">
        <v>5884</v>
      </c>
      <c r="C159" s="21" t="s">
        <v>8</v>
      </c>
      <c r="D159" s="21" t="s">
        <v>538</v>
      </c>
      <c r="E159" s="21" t="s">
        <v>46</v>
      </c>
      <c r="F159" s="5812">
        <v>1</v>
      </c>
      <c r="G159" s="5813">
        <v>5.0694444444444445E-2</v>
      </c>
      <c r="H159" s="21" t="s">
        <v>54</v>
      </c>
      <c r="I159" s="21" t="s">
        <v>2297</v>
      </c>
      <c r="J159" s="21" t="s">
        <v>406</v>
      </c>
      <c r="K159" s="5814" t="s">
        <v>5885</v>
      </c>
    </row>
    <row r="160" spans="1:11">
      <c r="A160" s="21" t="s">
        <v>4654</v>
      </c>
      <c r="B160" s="21" t="s">
        <v>5886</v>
      </c>
      <c r="C160" s="21" t="s">
        <v>8</v>
      </c>
      <c r="D160" s="21" t="s">
        <v>538</v>
      </c>
      <c r="E160" s="21" t="s">
        <v>46</v>
      </c>
      <c r="F160" s="5812">
        <v>1</v>
      </c>
      <c r="G160" s="5813">
        <v>5.6944444444444443E-2</v>
      </c>
      <c r="H160" s="21" t="s">
        <v>10</v>
      </c>
      <c r="I160" s="21" t="s">
        <v>5887</v>
      </c>
      <c r="J160" s="21" t="s">
        <v>48</v>
      </c>
      <c r="K160" s="5814" t="s">
        <v>5888</v>
      </c>
    </row>
    <row r="161" spans="1:11">
      <c r="A161" s="21" t="s">
        <v>3769</v>
      </c>
      <c r="B161" s="21" t="s">
        <v>5889</v>
      </c>
      <c r="C161" s="21" t="s">
        <v>22</v>
      </c>
      <c r="D161" s="21" t="s">
        <v>538</v>
      </c>
      <c r="E161" s="21" t="s">
        <v>46</v>
      </c>
      <c r="F161" s="5812">
        <v>1</v>
      </c>
      <c r="G161" s="5813">
        <v>5.8333333333333334E-2</v>
      </c>
      <c r="H161" s="21" t="s">
        <v>10</v>
      </c>
      <c r="I161" s="21" t="s">
        <v>2269</v>
      </c>
      <c r="J161" s="21" t="s">
        <v>97</v>
      </c>
      <c r="K161" s="5814" t="s">
        <v>5890</v>
      </c>
    </row>
    <row r="162" spans="1:11">
      <c r="A162" s="21" t="s">
        <v>4565</v>
      </c>
      <c r="B162" s="21" t="s">
        <v>5891</v>
      </c>
      <c r="C162" s="21" t="s">
        <v>22</v>
      </c>
      <c r="D162" s="21" t="s">
        <v>538</v>
      </c>
      <c r="E162" s="21" t="s">
        <v>46</v>
      </c>
      <c r="F162" s="5812">
        <v>1</v>
      </c>
      <c r="G162" s="5813">
        <v>6.1111111111111109E-2</v>
      </c>
      <c r="H162" s="21" t="s">
        <v>10</v>
      </c>
      <c r="I162" s="21" t="s">
        <v>2860</v>
      </c>
      <c r="J162" s="21" t="s">
        <v>48</v>
      </c>
      <c r="K162" s="5814" t="s">
        <v>5892</v>
      </c>
    </row>
    <row r="163" spans="1:11">
      <c r="A163" s="21" t="s">
        <v>2237</v>
      </c>
      <c r="B163" s="21" t="s">
        <v>5893</v>
      </c>
      <c r="C163" s="21" t="s">
        <v>22</v>
      </c>
      <c r="D163" s="21" t="s">
        <v>538</v>
      </c>
      <c r="E163" s="21" t="s">
        <v>46</v>
      </c>
      <c r="F163" s="5812">
        <v>1</v>
      </c>
      <c r="G163" s="5813">
        <v>6.3888888888888884E-2</v>
      </c>
      <c r="H163" s="21" t="s">
        <v>10</v>
      </c>
      <c r="I163" s="21" t="s">
        <v>5894</v>
      </c>
      <c r="J163" s="21" t="s">
        <v>48</v>
      </c>
      <c r="K163" s="5814" t="s">
        <v>5895</v>
      </c>
    </row>
    <row r="164" spans="1:11">
      <c r="A164" s="21" t="s">
        <v>3192</v>
      </c>
      <c r="B164" s="21" t="s">
        <v>5896</v>
      </c>
      <c r="C164" s="21" t="s">
        <v>8</v>
      </c>
      <c r="D164" s="21" t="s">
        <v>538</v>
      </c>
      <c r="E164" s="21" t="s">
        <v>46</v>
      </c>
      <c r="F164" s="5812">
        <v>1</v>
      </c>
      <c r="G164" s="5813">
        <v>6.5277777777777782E-2</v>
      </c>
      <c r="H164" s="21" t="s">
        <v>10</v>
      </c>
      <c r="I164" s="21" t="s">
        <v>55</v>
      </c>
      <c r="J164" s="21" t="s">
        <v>97</v>
      </c>
      <c r="K164" s="5814" t="s">
        <v>5897</v>
      </c>
    </row>
    <row r="165" spans="1:11">
      <c r="A165" s="21" t="s">
        <v>2517</v>
      </c>
      <c r="B165" s="21" t="s">
        <v>5898</v>
      </c>
      <c r="C165" s="21" t="s">
        <v>8</v>
      </c>
      <c r="D165" s="21" t="s">
        <v>538</v>
      </c>
      <c r="E165" s="21" t="s">
        <v>46</v>
      </c>
      <c r="F165" s="5812">
        <v>1</v>
      </c>
      <c r="G165" s="5813">
        <v>6.5972222222222224E-2</v>
      </c>
      <c r="H165" s="21" t="s">
        <v>10</v>
      </c>
      <c r="I165" s="21" t="s">
        <v>2313</v>
      </c>
      <c r="J165" s="21" t="s">
        <v>430</v>
      </c>
      <c r="K165" s="5814" t="s">
        <v>5899</v>
      </c>
    </row>
    <row r="166" spans="1:11">
      <c r="A166" s="21" t="s">
        <v>5168</v>
      </c>
      <c r="B166" s="21" t="s">
        <v>5900</v>
      </c>
      <c r="C166" s="21" t="s">
        <v>22</v>
      </c>
      <c r="D166" s="21" t="s">
        <v>538</v>
      </c>
      <c r="E166" s="21" t="s">
        <v>46</v>
      </c>
      <c r="F166" s="5812">
        <v>1</v>
      </c>
      <c r="G166" s="5813">
        <v>7.0833333333333331E-2</v>
      </c>
      <c r="H166" s="21" t="s">
        <v>10</v>
      </c>
      <c r="I166" s="21" t="s">
        <v>226</v>
      </c>
      <c r="J166" s="21" t="s">
        <v>48</v>
      </c>
      <c r="K166" s="5814" t="s">
        <v>5901</v>
      </c>
    </row>
    <row r="167" spans="1:11">
      <c r="A167" s="21" t="s">
        <v>3053</v>
      </c>
      <c r="B167" s="21" t="s">
        <v>5902</v>
      </c>
      <c r="C167" s="21" t="s">
        <v>22</v>
      </c>
      <c r="D167" s="21" t="s">
        <v>538</v>
      </c>
      <c r="E167" s="21" t="s">
        <v>46</v>
      </c>
      <c r="F167" s="5812">
        <v>1</v>
      </c>
      <c r="G167" s="5813">
        <v>7.2222222222222215E-2</v>
      </c>
      <c r="H167" s="21" t="s">
        <v>10</v>
      </c>
      <c r="I167" s="21" t="s">
        <v>3534</v>
      </c>
      <c r="J167" s="21" t="s">
        <v>3063</v>
      </c>
      <c r="K167" s="5814" t="s">
        <v>5903</v>
      </c>
    </row>
    <row r="168" spans="1:11">
      <c r="A168" s="21" t="s">
        <v>3116</v>
      </c>
      <c r="B168" s="21" t="s">
        <v>5904</v>
      </c>
      <c r="C168" s="21" t="s">
        <v>8</v>
      </c>
      <c r="D168" s="21" t="s">
        <v>538</v>
      </c>
      <c r="E168" s="21" t="s">
        <v>46</v>
      </c>
      <c r="F168" s="5812">
        <v>1</v>
      </c>
      <c r="G168" s="5813">
        <v>7.8472222222222221E-2</v>
      </c>
      <c r="H168" s="21" t="s">
        <v>10</v>
      </c>
      <c r="I168" s="21" t="s">
        <v>55</v>
      </c>
      <c r="J168" s="21" t="s">
        <v>722</v>
      </c>
      <c r="K168" s="5814" t="s">
        <v>5905</v>
      </c>
    </row>
    <row r="169" spans="1:11">
      <c r="A169" s="21" t="s">
        <v>3026</v>
      </c>
      <c r="B169" s="21" t="s">
        <v>5906</v>
      </c>
      <c r="C169" s="21" t="s">
        <v>22</v>
      </c>
      <c r="D169" s="21" t="s">
        <v>538</v>
      </c>
      <c r="E169" s="21" t="s">
        <v>46</v>
      </c>
      <c r="F169" s="5812">
        <v>1</v>
      </c>
      <c r="G169" s="5813">
        <v>7.9861111111111105E-2</v>
      </c>
      <c r="H169" s="21" t="s">
        <v>10</v>
      </c>
      <c r="I169" s="21" t="s">
        <v>55</v>
      </c>
      <c r="J169" s="21" t="s">
        <v>97</v>
      </c>
      <c r="K169" s="5814" t="s">
        <v>5907</v>
      </c>
    </row>
    <row r="170" spans="1:11">
      <c r="A170" s="21" t="s">
        <v>2143</v>
      </c>
      <c r="B170" s="21" t="s">
        <v>5908</v>
      </c>
      <c r="C170" s="21" t="s">
        <v>22</v>
      </c>
      <c r="D170" s="21" t="s">
        <v>538</v>
      </c>
      <c r="E170" s="21" t="s">
        <v>46</v>
      </c>
      <c r="F170" s="5812">
        <v>1</v>
      </c>
      <c r="G170" s="5813">
        <v>8.2638888888888887E-2</v>
      </c>
      <c r="H170" s="21" t="s">
        <v>10</v>
      </c>
      <c r="I170" s="21" t="s">
        <v>209</v>
      </c>
      <c r="J170" s="21" t="s">
        <v>406</v>
      </c>
      <c r="K170" s="5814" t="s">
        <v>5909</v>
      </c>
    </row>
    <row r="171" spans="1:11">
      <c r="A171" s="21" t="s">
        <v>3872</v>
      </c>
      <c r="B171" s="21" t="s">
        <v>5910</v>
      </c>
      <c r="C171" s="21" t="s">
        <v>22</v>
      </c>
      <c r="D171" s="21" t="s">
        <v>538</v>
      </c>
      <c r="E171" s="21" t="s">
        <v>46</v>
      </c>
      <c r="F171" s="5812">
        <v>1</v>
      </c>
      <c r="G171" s="5813">
        <v>9.0277777777777776E-2</v>
      </c>
      <c r="H171" s="21" t="s">
        <v>10</v>
      </c>
      <c r="I171" s="21" t="s">
        <v>263</v>
      </c>
      <c r="J171" s="21" t="s">
        <v>430</v>
      </c>
      <c r="K171" s="5814" t="s">
        <v>5911</v>
      </c>
    </row>
    <row r="172" spans="1:11">
      <c r="A172" s="21" t="s">
        <v>3252</v>
      </c>
      <c r="B172" s="21" t="s">
        <v>5912</v>
      </c>
      <c r="C172" s="21" t="s">
        <v>22</v>
      </c>
      <c r="D172" s="21" t="s">
        <v>538</v>
      </c>
      <c r="E172" s="21" t="s">
        <v>46</v>
      </c>
      <c r="F172" s="5812">
        <v>1</v>
      </c>
      <c r="G172" s="5813">
        <v>9.0277777777777776E-2</v>
      </c>
      <c r="H172" s="21" t="s">
        <v>10</v>
      </c>
      <c r="I172" s="21" t="s">
        <v>5887</v>
      </c>
      <c r="J172" s="21" t="s">
        <v>48</v>
      </c>
      <c r="K172" s="5814" t="s">
        <v>5913</v>
      </c>
    </row>
    <row r="173" spans="1:11">
      <c r="A173" s="21" t="s">
        <v>4139</v>
      </c>
      <c r="B173" s="21" t="s">
        <v>5914</v>
      </c>
      <c r="C173" s="21" t="s">
        <v>22</v>
      </c>
      <c r="D173" s="21" t="s">
        <v>538</v>
      </c>
      <c r="E173" s="21" t="s">
        <v>46</v>
      </c>
      <c r="F173" s="5812">
        <v>1</v>
      </c>
      <c r="G173" s="5813">
        <v>9.0972222222222218E-2</v>
      </c>
      <c r="H173" s="21" t="s">
        <v>10</v>
      </c>
      <c r="I173" s="21" t="s">
        <v>55</v>
      </c>
      <c r="J173" s="21" t="s">
        <v>97</v>
      </c>
      <c r="K173" s="5814" t="s">
        <v>5915</v>
      </c>
    </row>
    <row r="174" spans="1:11">
      <c r="A174" s="21" t="s">
        <v>2955</v>
      </c>
      <c r="B174" s="21" t="s">
        <v>5916</v>
      </c>
      <c r="C174" s="21" t="s">
        <v>8</v>
      </c>
      <c r="D174" s="21" t="s">
        <v>538</v>
      </c>
      <c r="E174" s="21" t="s">
        <v>46</v>
      </c>
      <c r="F174" s="5812">
        <v>1</v>
      </c>
      <c r="G174" s="5813">
        <v>9.166666666666666E-2</v>
      </c>
      <c r="H174" s="21" t="s">
        <v>54</v>
      </c>
      <c r="I174" s="21" t="s">
        <v>55</v>
      </c>
      <c r="J174" s="21" t="s">
        <v>97</v>
      </c>
      <c r="K174" s="5814" t="s">
        <v>5917</v>
      </c>
    </row>
    <row r="175" spans="1:11">
      <c r="A175" s="21" t="s">
        <v>2184</v>
      </c>
      <c r="B175" s="21" t="s">
        <v>5918</v>
      </c>
      <c r="C175" s="21" t="s">
        <v>8</v>
      </c>
      <c r="D175" s="21" t="s">
        <v>538</v>
      </c>
      <c r="E175" s="21" t="s">
        <v>46</v>
      </c>
      <c r="F175" s="5812">
        <v>1</v>
      </c>
      <c r="G175" s="5813">
        <v>9.375E-2</v>
      </c>
      <c r="H175" s="21" t="s">
        <v>10</v>
      </c>
      <c r="I175" s="21" t="s">
        <v>11</v>
      </c>
      <c r="J175" s="21" t="s">
        <v>127</v>
      </c>
      <c r="K175" s="5814" t="s">
        <v>5919</v>
      </c>
    </row>
    <row r="176" spans="1:11">
      <c r="A176" s="21" t="s">
        <v>2088</v>
      </c>
      <c r="B176" s="21" t="s">
        <v>5920</v>
      </c>
      <c r="C176" s="21" t="s">
        <v>8</v>
      </c>
      <c r="D176" s="21" t="s">
        <v>538</v>
      </c>
      <c r="E176" s="21" t="s">
        <v>46</v>
      </c>
      <c r="F176" s="5812">
        <v>1</v>
      </c>
      <c r="G176" s="5813">
        <v>9.4444444444444442E-2</v>
      </c>
      <c r="H176" s="21" t="s">
        <v>10</v>
      </c>
      <c r="I176" s="21" t="s">
        <v>39</v>
      </c>
      <c r="J176" s="21" t="s">
        <v>127</v>
      </c>
      <c r="K176" s="5814" t="s">
        <v>5921</v>
      </c>
    </row>
    <row r="177" spans="1:11">
      <c r="A177" s="21" t="s">
        <v>3551</v>
      </c>
      <c r="B177" s="21" t="s">
        <v>5922</v>
      </c>
      <c r="C177" s="21" t="s">
        <v>8</v>
      </c>
      <c r="D177" s="21" t="s">
        <v>538</v>
      </c>
      <c r="E177" s="21" t="s">
        <v>46</v>
      </c>
      <c r="F177" s="5812">
        <v>1</v>
      </c>
      <c r="G177" s="5813">
        <v>9.4444444444444442E-2</v>
      </c>
      <c r="H177" s="21" t="s">
        <v>10</v>
      </c>
      <c r="I177" s="21" t="s">
        <v>47</v>
      </c>
      <c r="J177" s="21" t="s">
        <v>430</v>
      </c>
      <c r="K177" s="5814" t="s">
        <v>5923</v>
      </c>
    </row>
    <row r="178" spans="1:11">
      <c r="A178" s="21" t="s">
        <v>4409</v>
      </c>
      <c r="B178" s="21" t="s">
        <v>5924</v>
      </c>
      <c r="C178" s="21" t="s">
        <v>8</v>
      </c>
      <c r="D178" s="21" t="s">
        <v>538</v>
      </c>
      <c r="E178" s="21" t="s">
        <v>46</v>
      </c>
      <c r="F178" s="5812">
        <v>1</v>
      </c>
      <c r="G178" s="5813">
        <v>9.5138888888888884E-2</v>
      </c>
      <c r="H178" s="21" t="s">
        <v>10</v>
      </c>
      <c r="I178" s="21" t="s">
        <v>39</v>
      </c>
      <c r="J178" s="21" t="s">
        <v>3226</v>
      </c>
      <c r="K178" s="5814" t="s">
        <v>5925</v>
      </c>
    </row>
    <row r="179" spans="1:11">
      <c r="A179" s="21" t="s">
        <v>2741</v>
      </c>
      <c r="B179" s="21" t="s">
        <v>5926</v>
      </c>
      <c r="C179" s="21" t="s">
        <v>8</v>
      </c>
      <c r="D179" s="21" t="s">
        <v>538</v>
      </c>
      <c r="E179" s="21" t="s">
        <v>46</v>
      </c>
      <c r="F179" s="5812">
        <v>1</v>
      </c>
      <c r="G179" s="5813">
        <v>9.583333333333334E-2</v>
      </c>
      <c r="H179" s="21" t="s">
        <v>10</v>
      </c>
      <c r="I179" s="21" t="s">
        <v>2269</v>
      </c>
      <c r="J179" s="21" t="s">
        <v>3168</v>
      </c>
      <c r="K179" s="5814" t="s">
        <v>5927</v>
      </c>
    </row>
    <row r="180" spans="1:11">
      <c r="A180" s="21" t="s">
        <v>2478</v>
      </c>
      <c r="B180" s="21" t="s">
        <v>5928</v>
      </c>
      <c r="C180" s="21" t="s">
        <v>8</v>
      </c>
      <c r="D180" s="21" t="s">
        <v>538</v>
      </c>
      <c r="E180" s="21" t="s">
        <v>46</v>
      </c>
      <c r="F180" s="5812">
        <v>1</v>
      </c>
      <c r="G180" s="5813">
        <v>0.10416666666666667</v>
      </c>
      <c r="H180" s="21" t="s">
        <v>10</v>
      </c>
      <c r="I180" s="21" t="s">
        <v>39</v>
      </c>
      <c r="J180" s="21" t="s">
        <v>3168</v>
      </c>
      <c r="K180" s="5814" t="s">
        <v>5929</v>
      </c>
    </row>
    <row r="181" spans="1:11">
      <c r="A181" s="21" t="s">
        <v>5168</v>
      </c>
      <c r="B181" s="21" t="s">
        <v>5930</v>
      </c>
      <c r="C181" s="21" t="s">
        <v>8</v>
      </c>
      <c r="D181" s="21" t="s">
        <v>538</v>
      </c>
      <c r="E181" s="21" t="s">
        <v>46</v>
      </c>
      <c r="F181" s="5812">
        <v>1</v>
      </c>
      <c r="G181" s="5813">
        <v>0.10625</v>
      </c>
      <c r="H181" s="21" t="s">
        <v>10</v>
      </c>
      <c r="I181" s="21" t="s">
        <v>226</v>
      </c>
      <c r="J181" s="21" t="s">
        <v>48</v>
      </c>
      <c r="K181" s="5814" t="s">
        <v>5931</v>
      </c>
    </row>
    <row r="182" spans="1:11">
      <c r="A182" s="21" t="s">
        <v>3616</v>
      </c>
      <c r="B182" s="21" t="s">
        <v>5932</v>
      </c>
      <c r="C182" s="21" t="s">
        <v>22</v>
      </c>
      <c r="D182" s="21" t="s">
        <v>538</v>
      </c>
      <c r="E182" s="21" t="s">
        <v>46</v>
      </c>
      <c r="F182" s="5812">
        <v>1</v>
      </c>
      <c r="G182" s="5813">
        <v>0.11180555555555556</v>
      </c>
      <c r="H182" s="21" t="s">
        <v>10</v>
      </c>
      <c r="I182" s="21" t="s">
        <v>55</v>
      </c>
      <c r="J182" s="21" t="s">
        <v>97</v>
      </c>
      <c r="K182" s="5814" t="s">
        <v>5933</v>
      </c>
    </row>
    <row r="183" spans="1:11">
      <c r="A183" s="21" t="s">
        <v>2241</v>
      </c>
      <c r="B183" s="21" t="s">
        <v>5934</v>
      </c>
      <c r="C183" s="21" t="s">
        <v>22</v>
      </c>
      <c r="D183" s="21" t="s">
        <v>538</v>
      </c>
      <c r="E183" s="21" t="s">
        <v>46</v>
      </c>
      <c r="F183" s="5812">
        <v>1</v>
      </c>
      <c r="G183" s="5813">
        <v>0.11180555555555556</v>
      </c>
      <c r="H183" s="21" t="s">
        <v>10</v>
      </c>
      <c r="I183" s="21" t="s">
        <v>2726</v>
      </c>
      <c r="J183" s="21" t="s">
        <v>430</v>
      </c>
      <c r="K183" s="5814" t="s">
        <v>5935</v>
      </c>
    </row>
    <row r="184" spans="1:11">
      <c r="A184" s="21" t="s">
        <v>3049</v>
      </c>
      <c r="B184" s="21" t="s">
        <v>5936</v>
      </c>
      <c r="C184" s="21" t="s">
        <v>8</v>
      </c>
      <c r="D184" s="21" t="s">
        <v>538</v>
      </c>
      <c r="E184" s="21" t="s">
        <v>46</v>
      </c>
      <c r="F184" s="5812">
        <v>1</v>
      </c>
      <c r="G184" s="5813">
        <v>0.11388888888888889</v>
      </c>
      <c r="H184" s="21" t="s">
        <v>10</v>
      </c>
      <c r="I184" s="21" t="s">
        <v>2731</v>
      </c>
      <c r="J184" s="21" t="s">
        <v>48</v>
      </c>
      <c r="K184" s="5814" t="s">
        <v>5937</v>
      </c>
    </row>
    <row r="185" spans="1:11">
      <c r="A185" s="21" t="s">
        <v>2768</v>
      </c>
      <c r="B185" s="21" t="s">
        <v>5938</v>
      </c>
      <c r="C185" s="21" t="s">
        <v>22</v>
      </c>
      <c r="D185" s="21" t="s">
        <v>538</v>
      </c>
      <c r="E185" s="21" t="s">
        <v>46</v>
      </c>
      <c r="F185" s="5812">
        <v>1</v>
      </c>
      <c r="G185" s="5813">
        <v>0.11874999999999999</v>
      </c>
      <c r="H185" s="21" t="s">
        <v>10</v>
      </c>
      <c r="I185" s="21" t="s">
        <v>2297</v>
      </c>
      <c r="J185" s="21" t="s">
        <v>406</v>
      </c>
      <c r="K185" s="5814" t="s">
        <v>5939</v>
      </c>
    </row>
    <row r="186" spans="1:11">
      <c r="A186" s="21" t="s">
        <v>4768</v>
      </c>
      <c r="B186" s="21" t="s">
        <v>5940</v>
      </c>
      <c r="C186" s="21" t="s">
        <v>8</v>
      </c>
      <c r="D186" s="21" t="s">
        <v>538</v>
      </c>
      <c r="E186" s="21" t="s">
        <v>46</v>
      </c>
      <c r="F186" s="5812">
        <v>1</v>
      </c>
      <c r="G186" s="5813">
        <v>0.12569444444444444</v>
      </c>
      <c r="H186" s="21" t="s">
        <v>54</v>
      </c>
      <c r="I186" s="21" t="s">
        <v>47</v>
      </c>
      <c r="J186" s="21" t="s">
        <v>48</v>
      </c>
      <c r="K186" s="5814" t="s">
        <v>5941</v>
      </c>
    </row>
    <row r="187" spans="1:11">
      <c r="A187" s="21" t="s">
        <v>2119</v>
      </c>
      <c r="B187" s="21" t="s">
        <v>5942</v>
      </c>
      <c r="C187" s="21" t="s">
        <v>22</v>
      </c>
      <c r="D187" s="21" t="s">
        <v>538</v>
      </c>
      <c r="E187" s="21" t="s">
        <v>46</v>
      </c>
      <c r="F187" s="5812">
        <v>1</v>
      </c>
      <c r="G187" s="5813">
        <v>0.12638888888888888</v>
      </c>
      <c r="H187" s="21" t="s">
        <v>10</v>
      </c>
      <c r="I187" s="21" t="s">
        <v>89</v>
      </c>
      <c r="J187" s="21" t="s">
        <v>48</v>
      </c>
      <c r="K187" s="5814" t="s">
        <v>5943</v>
      </c>
    </row>
    <row r="188" spans="1:11">
      <c r="A188" s="21" t="s">
        <v>3039</v>
      </c>
      <c r="B188" s="21" t="s">
        <v>5944</v>
      </c>
      <c r="C188" s="21" t="s">
        <v>8</v>
      </c>
      <c r="D188" s="21" t="s">
        <v>538</v>
      </c>
      <c r="E188" s="21" t="s">
        <v>46</v>
      </c>
      <c r="F188" s="5812">
        <v>1</v>
      </c>
      <c r="G188" s="5813">
        <v>0.13055555555555556</v>
      </c>
      <c r="H188" s="21" t="s">
        <v>54</v>
      </c>
      <c r="I188" s="21" t="s">
        <v>47</v>
      </c>
      <c r="J188" s="21" t="s">
        <v>97</v>
      </c>
      <c r="K188" s="5814" t="s">
        <v>5945</v>
      </c>
    </row>
    <row r="189" spans="1:11">
      <c r="A189" s="21" t="s">
        <v>2796</v>
      </c>
      <c r="B189" s="21" t="s">
        <v>5946</v>
      </c>
      <c r="C189" s="21" t="s">
        <v>22</v>
      </c>
      <c r="D189" s="21" t="s">
        <v>538</v>
      </c>
      <c r="E189" s="21" t="s">
        <v>46</v>
      </c>
      <c r="F189" s="5812">
        <v>1</v>
      </c>
      <c r="G189" s="5813">
        <v>0.13194444444444445</v>
      </c>
      <c r="H189" s="21" t="s">
        <v>10</v>
      </c>
      <c r="I189" s="21" t="s">
        <v>55</v>
      </c>
      <c r="J189" s="21" t="s">
        <v>48</v>
      </c>
      <c r="K189" s="5814" t="s">
        <v>5947</v>
      </c>
    </row>
    <row r="190" spans="1:11">
      <c r="A190" s="21" t="s">
        <v>3116</v>
      </c>
      <c r="B190" s="21" t="s">
        <v>5948</v>
      </c>
      <c r="C190" s="21" t="s">
        <v>8</v>
      </c>
      <c r="D190" s="21" t="s">
        <v>538</v>
      </c>
      <c r="E190" s="21" t="s">
        <v>46</v>
      </c>
      <c r="F190" s="5812">
        <v>1</v>
      </c>
      <c r="G190" s="5813">
        <v>0.15</v>
      </c>
      <c r="H190" s="21" t="s">
        <v>54</v>
      </c>
      <c r="I190" s="21" t="s">
        <v>39</v>
      </c>
      <c r="J190" s="21" t="s">
        <v>1076</v>
      </c>
      <c r="K190" s="5814" t="s">
        <v>5949</v>
      </c>
    </row>
    <row r="191" spans="1:11">
      <c r="A191" s="21" t="s">
        <v>2600</v>
      </c>
      <c r="B191" s="21" t="s">
        <v>5950</v>
      </c>
      <c r="C191" s="21" t="s">
        <v>8</v>
      </c>
      <c r="D191" s="21" t="s">
        <v>538</v>
      </c>
      <c r="E191" s="21" t="s">
        <v>46</v>
      </c>
      <c r="F191" s="5812">
        <v>1</v>
      </c>
      <c r="G191" s="5813">
        <v>0.15138888888888888</v>
      </c>
      <c r="H191" s="21" t="s">
        <v>10</v>
      </c>
      <c r="I191" s="21" t="s">
        <v>96</v>
      </c>
      <c r="J191" s="21" t="s">
        <v>48</v>
      </c>
      <c r="K191" s="5814" t="s">
        <v>5951</v>
      </c>
    </row>
    <row r="192" spans="1:11">
      <c r="A192" s="21" t="s">
        <v>5235</v>
      </c>
      <c r="B192" s="21" t="s">
        <v>5952</v>
      </c>
      <c r="C192" s="21" t="s">
        <v>8</v>
      </c>
      <c r="D192" s="21" t="s">
        <v>538</v>
      </c>
      <c r="E192" s="21" t="s">
        <v>46</v>
      </c>
      <c r="F192" s="5812">
        <v>1</v>
      </c>
      <c r="G192" s="5813">
        <v>0.15347222222222223</v>
      </c>
      <c r="H192" s="21" t="s">
        <v>10</v>
      </c>
      <c r="I192" s="21" t="s">
        <v>3534</v>
      </c>
      <c r="J192" s="21" t="s">
        <v>48</v>
      </c>
      <c r="K192" s="5814" t="s">
        <v>5953</v>
      </c>
    </row>
    <row r="193" spans="1:11">
      <c r="A193" s="21" t="s">
        <v>2438</v>
      </c>
      <c r="B193" s="21" t="s">
        <v>5954</v>
      </c>
      <c r="C193" s="21" t="s">
        <v>22</v>
      </c>
      <c r="D193" s="21" t="s">
        <v>538</v>
      </c>
      <c r="E193" s="21" t="s">
        <v>46</v>
      </c>
      <c r="F193" s="5812">
        <v>1</v>
      </c>
      <c r="G193" s="5813">
        <v>0.16875000000000001</v>
      </c>
      <c r="H193" s="21" t="s">
        <v>10</v>
      </c>
      <c r="I193" s="21" t="s">
        <v>2544</v>
      </c>
      <c r="J193" s="21" t="s">
        <v>127</v>
      </c>
      <c r="K193" s="5814" t="s">
        <v>5955</v>
      </c>
    </row>
    <row r="194" spans="1:11">
      <c r="A194" s="21" t="s">
        <v>3690</v>
      </c>
      <c r="B194" s="21" t="s">
        <v>5956</v>
      </c>
      <c r="C194" s="21" t="s">
        <v>22</v>
      </c>
      <c r="D194" s="21" t="s">
        <v>538</v>
      </c>
      <c r="E194" s="21" t="s">
        <v>46</v>
      </c>
      <c r="F194" s="5812">
        <v>1</v>
      </c>
      <c r="G194" s="5813">
        <v>0.17083333333333334</v>
      </c>
      <c r="H194" s="21" t="s">
        <v>10</v>
      </c>
      <c r="I194" s="21" t="s">
        <v>39</v>
      </c>
      <c r="J194" s="21" t="s">
        <v>258</v>
      </c>
      <c r="K194" s="5814" t="s">
        <v>5957</v>
      </c>
    </row>
    <row r="195" spans="1:11">
      <c r="A195" s="21" t="s">
        <v>4645</v>
      </c>
      <c r="B195" s="21" t="s">
        <v>5958</v>
      </c>
      <c r="C195" s="21" t="s">
        <v>8</v>
      </c>
      <c r="D195" s="21" t="s">
        <v>538</v>
      </c>
      <c r="E195" s="21" t="s">
        <v>46</v>
      </c>
      <c r="F195" s="5812">
        <v>1</v>
      </c>
      <c r="G195" s="5813">
        <v>0.17916666666666667</v>
      </c>
      <c r="H195" s="21" t="s">
        <v>10</v>
      </c>
      <c r="I195" s="21" t="s">
        <v>39</v>
      </c>
      <c r="J195" s="21" t="s">
        <v>127</v>
      </c>
      <c r="K195" s="5814" t="s">
        <v>5959</v>
      </c>
    </row>
    <row r="196" spans="1:11">
      <c r="A196" s="21" t="s">
        <v>2188</v>
      </c>
      <c r="B196" s="21" t="s">
        <v>5960</v>
      </c>
      <c r="C196" s="21" t="s">
        <v>8</v>
      </c>
      <c r="D196" s="21" t="s">
        <v>538</v>
      </c>
      <c r="E196" s="21" t="s">
        <v>46</v>
      </c>
      <c r="F196" s="5812">
        <v>1</v>
      </c>
      <c r="G196" s="5813">
        <v>0.18124999999999999</v>
      </c>
      <c r="H196" s="21" t="s">
        <v>10</v>
      </c>
      <c r="I196" s="21" t="s">
        <v>3534</v>
      </c>
      <c r="J196" s="21" t="s">
        <v>127</v>
      </c>
      <c r="K196" s="5814" t="s">
        <v>5961</v>
      </c>
    </row>
    <row r="197" spans="1:11">
      <c r="A197" s="21" t="s">
        <v>2530</v>
      </c>
      <c r="B197" s="21" t="s">
        <v>5962</v>
      </c>
      <c r="C197" s="21" t="s">
        <v>8</v>
      </c>
      <c r="D197" s="21" t="s">
        <v>538</v>
      </c>
      <c r="E197" s="21" t="s">
        <v>46</v>
      </c>
      <c r="F197" s="5812">
        <v>1</v>
      </c>
      <c r="G197" s="5813">
        <v>0.18611111111111112</v>
      </c>
      <c r="H197" s="21" t="s">
        <v>10</v>
      </c>
      <c r="I197" s="21" t="s">
        <v>55</v>
      </c>
      <c r="J197" s="21" t="s">
        <v>2953</v>
      </c>
      <c r="K197" s="5814" t="s">
        <v>5963</v>
      </c>
    </row>
    <row r="198" spans="1:11">
      <c r="A198" s="21" t="s">
        <v>3532</v>
      </c>
      <c r="B198" s="21" t="s">
        <v>5964</v>
      </c>
      <c r="C198" s="21" t="s">
        <v>22</v>
      </c>
      <c r="D198" s="21" t="s">
        <v>538</v>
      </c>
      <c r="E198" s="21" t="s">
        <v>46</v>
      </c>
      <c r="F198" s="5812">
        <v>1</v>
      </c>
      <c r="G198" s="5813">
        <v>0.19097222222222221</v>
      </c>
      <c r="H198" s="21" t="s">
        <v>10</v>
      </c>
      <c r="I198" s="21" t="s">
        <v>3534</v>
      </c>
      <c r="J198" s="21" t="s">
        <v>154</v>
      </c>
      <c r="K198" s="5814" t="s">
        <v>5965</v>
      </c>
    </row>
    <row r="199" spans="1:11">
      <c r="A199" s="21" t="s">
        <v>5264</v>
      </c>
      <c r="B199" s="21" t="s">
        <v>5966</v>
      </c>
      <c r="C199" s="21" t="s">
        <v>22</v>
      </c>
      <c r="D199" s="21" t="s">
        <v>538</v>
      </c>
      <c r="E199" s="21" t="s">
        <v>46</v>
      </c>
      <c r="F199" s="5812">
        <v>1</v>
      </c>
      <c r="G199" s="5813">
        <v>0.19513888888888889</v>
      </c>
      <c r="H199" s="21" t="s">
        <v>10</v>
      </c>
      <c r="I199" s="21" t="s">
        <v>39</v>
      </c>
      <c r="J199" s="21" t="s">
        <v>97</v>
      </c>
      <c r="K199" s="5814" t="s">
        <v>5967</v>
      </c>
    </row>
    <row r="200" spans="1:11">
      <c r="A200" s="21" t="s">
        <v>4177</v>
      </c>
      <c r="B200" s="21" t="s">
        <v>5968</v>
      </c>
      <c r="C200" s="21" t="s">
        <v>8</v>
      </c>
      <c r="D200" s="21" t="s">
        <v>538</v>
      </c>
      <c r="E200" s="21" t="s">
        <v>46</v>
      </c>
      <c r="F200" s="5812">
        <v>1</v>
      </c>
      <c r="G200" s="5813">
        <v>0.19791666666666666</v>
      </c>
      <c r="H200" s="21" t="s">
        <v>54</v>
      </c>
      <c r="I200" s="21" t="s">
        <v>47</v>
      </c>
      <c r="J200" s="21" t="s">
        <v>940</v>
      </c>
      <c r="K200" s="5814" t="s">
        <v>5969</v>
      </c>
    </row>
    <row r="201" spans="1:11">
      <c r="A201" s="21" t="s">
        <v>3049</v>
      </c>
      <c r="B201" s="21" t="s">
        <v>5970</v>
      </c>
      <c r="C201" s="21" t="s">
        <v>8</v>
      </c>
      <c r="D201" s="21" t="s">
        <v>538</v>
      </c>
      <c r="E201" s="21" t="s">
        <v>46</v>
      </c>
      <c r="F201" s="5812">
        <v>1</v>
      </c>
      <c r="G201" s="5813">
        <v>0.2</v>
      </c>
      <c r="H201" s="21" t="s">
        <v>10</v>
      </c>
      <c r="I201" s="21" t="s">
        <v>47</v>
      </c>
      <c r="J201" s="21" t="s">
        <v>97</v>
      </c>
      <c r="K201" s="5814" t="s">
        <v>5971</v>
      </c>
    </row>
    <row r="202" spans="1:11">
      <c r="A202" s="21" t="s">
        <v>2835</v>
      </c>
      <c r="B202" s="21" t="s">
        <v>5972</v>
      </c>
      <c r="C202" s="21" t="s">
        <v>8</v>
      </c>
      <c r="D202" s="21" t="s">
        <v>538</v>
      </c>
      <c r="E202" s="21" t="s">
        <v>46</v>
      </c>
      <c r="F202" s="5812">
        <v>1</v>
      </c>
      <c r="G202" s="5813">
        <v>0.20624999999999999</v>
      </c>
      <c r="H202" s="21" t="s">
        <v>10</v>
      </c>
      <c r="I202" s="21" t="s">
        <v>2297</v>
      </c>
      <c r="J202" s="21" t="s">
        <v>127</v>
      </c>
      <c r="K202" s="5814" t="s">
        <v>5973</v>
      </c>
    </row>
    <row r="203" spans="1:11">
      <c r="A203" s="21" t="s">
        <v>3690</v>
      </c>
      <c r="B203" s="21" t="s">
        <v>5974</v>
      </c>
      <c r="C203" s="21" t="s">
        <v>8</v>
      </c>
      <c r="D203" s="21" t="s">
        <v>538</v>
      </c>
      <c r="E203" s="21" t="s">
        <v>46</v>
      </c>
      <c r="F203" s="5812">
        <v>1</v>
      </c>
      <c r="G203" s="5813">
        <v>0.2076388888888889</v>
      </c>
      <c r="H203" s="21" t="s">
        <v>54</v>
      </c>
      <c r="I203" s="21" t="s">
        <v>55</v>
      </c>
      <c r="J203" s="21" t="s">
        <v>97</v>
      </c>
      <c r="K203" s="5814" t="s">
        <v>5975</v>
      </c>
    </row>
    <row r="204" spans="1:11">
      <c r="A204" s="21" t="s">
        <v>3515</v>
      </c>
      <c r="B204" s="21" t="s">
        <v>5976</v>
      </c>
      <c r="C204" s="21" t="s">
        <v>22</v>
      </c>
      <c r="D204" s="21" t="s">
        <v>538</v>
      </c>
      <c r="E204" s="21" t="s">
        <v>46</v>
      </c>
      <c r="F204" s="5812">
        <v>1</v>
      </c>
      <c r="G204" s="5813">
        <v>0.2076388888888889</v>
      </c>
      <c r="H204" s="21" t="s">
        <v>10</v>
      </c>
      <c r="I204" s="21" t="s">
        <v>96</v>
      </c>
      <c r="J204" s="21" t="s">
        <v>97</v>
      </c>
      <c r="K204" s="5814" t="s">
        <v>5977</v>
      </c>
    </row>
    <row r="205" spans="1:11">
      <c r="A205" s="21" t="s">
        <v>3130</v>
      </c>
      <c r="B205" s="21" t="s">
        <v>5978</v>
      </c>
      <c r="C205" s="21" t="s">
        <v>8</v>
      </c>
      <c r="D205" s="21" t="s">
        <v>538</v>
      </c>
      <c r="E205" s="21" t="s">
        <v>46</v>
      </c>
      <c r="F205" s="5812">
        <v>2</v>
      </c>
      <c r="G205" s="5813">
        <v>1.1805555555555555E-2</v>
      </c>
      <c r="H205" s="21" t="s">
        <v>54</v>
      </c>
      <c r="I205" s="21" t="s">
        <v>55</v>
      </c>
      <c r="J205" s="21" t="s">
        <v>48</v>
      </c>
      <c r="K205" s="5814" t="s">
        <v>5979</v>
      </c>
    </row>
    <row r="206" spans="1:11">
      <c r="A206" s="21" t="s">
        <v>2135</v>
      </c>
      <c r="B206" s="21" t="s">
        <v>5980</v>
      </c>
      <c r="C206" s="21" t="s">
        <v>8</v>
      </c>
      <c r="D206" s="21" t="s">
        <v>538</v>
      </c>
      <c r="E206" s="21" t="s">
        <v>46</v>
      </c>
      <c r="F206" s="5812">
        <v>2</v>
      </c>
      <c r="G206" s="5813">
        <v>1.4583333333333334E-2</v>
      </c>
      <c r="H206" s="21" t="s">
        <v>54</v>
      </c>
      <c r="I206" s="21" t="s">
        <v>55</v>
      </c>
      <c r="J206" s="21" t="s">
        <v>127</v>
      </c>
      <c r="K206" s="5814" t="s">
        <v>5981</v>
      </c>
    </row>
    <row r="207" spans="1:11">
      <c r="A207" s="21" t="s">
        <v>2461</v>
      </c>
      <c r="B207" s="21" t="s">
        <v>5982</v>
      </c>
      <c r="C207" s="21" t="s">
        <v>22</v>
      </c>
      <c r="D207" s="21" t="s">
        <v>538</v>
      </c>
      <c r="E207" s="21" t="s">
        <v>46</v>
      </c>
      <c r="F207" s="5812">
        <v>2</v>
      </c>
      <c r="G207" s="5813">
        <v>1.8055555555555554E-2</v>
      </c>
      <c r="H207" s="21" t="s">
        <v>10</v>
      </c>
      <c r="I207" s="21" t="s">
        <v>39</v>
      </c>
      <c r="J207" s="21" t="s">
        <v>97</v>
      </c>
      <c r="K207" s="5814" t="s">
        <v>5983</v>
      </c>
    </row>
    <row r="208" spans="1:11">
      <c r="A208" s="21" t="s">
        <v>5984</v>
      </c>
      <c r="B208" s="21" t="s">
        <v>5985</v>
      </c>
      <c r="C208" s="21" t="s">
        <v>8</v>
      </c>
      <c r="D208" s="21" t="s">
        <v>538</v>
      </c>
      <c r="E208" s="21" t="s">
        <v>46</v>
      </c>
      <c r="F208" s="5812">
        <v>2</v>
      </c>
      <c r="G208" s="5813">
        <v>2.5000000000000001E-2</v>
      </c>
      <c r="H208" s="21" t="s">
        <v>2081</v>
      </c>
      <c r="I208" s="21" t="s">
        <v>39</v>
      </c>
      <c r="J208" s="21" t="s">
        <v>48</v>
      </c>
      <c r="K208" s="5814" t="s">
        <v>5986</v>
      </c>
    </row>
    <row r="209" spans="1:11">
      <c r="A209" s="21" t="s">
        <v>135</v>
      </c>
      <c r="B209" s="21" t="s">
        <v>604</v>
      </c>
      <c r="C209" s="21" t="s">
        <v>8</v>
      </c>
      <c r="D209" s="21" t="s">
        <v>538</v>
      </c>
      <c r="E209" s="21" t="s">
        <v>46</v>
      </c>
      <c r="F209" s="5812">
        <v>2</v>
      </c>
      <c r="G209" s="5813">
        <v>2.5000000000000001E-2</v>
      </c>
      <c r="H209" s="21" t="s">
        <v>10</v>
      </c>
      <c r="I209" s="21" t="s">
        <v>89</v>
      </c>
      <c r="J209" s="21" t="s">
        <v>127</v>
      </c>
      <c r="K209" s="5814" t="s">
        <v>605</v>
      </c>
    </row>
    <row r="210" spans="1:11">
      <c r="A210" s="21" t="s">
        <v>2863</v>
      </c>
      <c r="B210" s="21" t="s">
        <v>5987</v>
      </c>
      <c r="C210" s="21" t="s">
        <v>8</v>
      </c>
      <c r="D210" s="21" t="s">
        <v>538</v>
      </c>
      <c r="E210" s="21" t="s">
        <v>46</v>
      </c>
      <c r="F210" s="5812">
        <v>2</v>
      </c>
      <c r="G210" s="5813">
        <v>2.8472222222222222E-2</v>
      </c>
      <c r="H210" s="21" t="s">
        <v>10</v>
      </c>
      <c r="I210" s="21" t="s">
        <v>2297</v>
      </c>
      <c r="J210" s="21" t="s">
        <v>97</v>
      </c>
      <c r="K210" s="5814" t="s">
        <v>5988</v>
      </c>
    </row>
    <row r="211" spans="1:11">
      <c r="A211" s="21" t="s">
        <v>2905</v>
      </c>
      <c r="B211" s="21" t="s">
        <v>5989</v>
      </c>
      <c r="C211" s="21" t="s">
        <v>8</v>
      </c>
      <c r="D211" s="21" t="s">
        <v>538</v>
      </c>
      <c r="E211" s="21" t="s">
        <v>46</v>
      </c>
      <c r="F211" s="5812">
        <v>2</v>
      </c>
      <c r="G211" s="5813">
        <v>3.3333333333333333E-2</v>
      </c>
      <c r="H211" s="21" t="s">
        <v>10</v>
      </c>
      <c r="I211" s="21" t="s">
        <v>5990</v>
      </c>
      <c r="J211" s="21" t="s">
        <v>5991</v>
      </c>
      <c r="K211" s="5814" t="s">
        <v>5992</v>
      </c>
    </row>
    <row r="212" spans="1:11">
      <c r="A212" s="21" t="s">
        <v>2139</v>
      </c>
      <c r="B212" s="21" t="s">
        <v>5993</v>
      </c>
      <c r="C212" s="21" t="s">
        <v>8</v>
      </c>
      <c r="D212" s="21" t="s">
        <v>538</v>
      </c>
      <c r="E212" s="21" t="s">
        <v>46</v>
      </c>
      <c r="F212" s="5812">
        <v>2</v>
      </c>
      <c r="G212" s="5813">
        <v>3.4027777777777775E-2</v>
      </c>
      <c r="H212" s="21" t="s">
        <v>10</v>
      </c>
      <c r="I212" s="21" t="s">
        <v>5994</v>
      </c>
      <c r="J212" s="21" t="s">
        <v>3168</v>
      </c>
      <c r="K212" s="5814" t="s">
        <v>5995</v>
      </c>
    </row>
    <row r="213" spans="1:11">
      <c r="A213" s="21" t="s">
        <v>3828</v>
      </c>
      <c r="B213" s="21" t="s">
        <v>5996</v>
      </c>
      <c r="C213" s="21" t="s">
        <v>22</v>
      </c>
      <c r="D213" s="21" t="s">
        <v>538</v>
      </c>
      <c r="E213" s="21" t="s">
        <v>46</v>
      </c>
      <c r="F213" s="5812">
        <v>2</v>
      </c>
      <c r="G213" s="5813">
        <v>3.6805555555555557E-2</v>
      </c>
      <c r="H213" s="21" t="s">
        <v>10</v>
      </c>
      <c r="I213" s="21" t="s">
        <v>2297</v>
      </c>
      <c r="J213" s="21" t="s">
        <v>722</v>
      </c>
      <c r="K213" s="5814" t="s">
        <v>5997</v>
      </c>
    </row>
    <row r="214" spans="1:11">
      <c r="A214" s="21" t="s">
        <v>2998</v>
      </c>
      <c r="B214" s="21" t="s">
        <v>5998</v>
      </c>
      <c r="C214" s="21" t="s">
        <v>22</v>
      </c>
      <c r="D214" s="21" t="s">
        <v>538</v>
      </c>
      <c r="E214" s="21" t="s">
        <v>46</v>
      </c>
      <c r="F214" s="5812">
        <v>2</v>
      </c>
      <c r="G214" s="5813">
        <v>3.7499999999999999E-2</v>
      </c>
      <c r="H214" s="21" t="s">
        <v>10</v>
      </c>
      <c r="I214" s="21" t="s">
        <v>245</v>
      </c>
      <c r="J214" s="21" t="s">
        <v>722</v>
      </c>
      <c r="K214" s="5814" t="s">
        <v>5999</v>
      </c>
    </row>
    <row r="215" spans="1:11">
      <c r="A215" s="21" t="s">
        <v>44</v>
      </c>
      <c r="B215" s="21" t="s">
        <v>563</v>
      </c>
      <c r="C215" s="21" t="s">
        <v>22</v>
      </c>
      <c r="D215" s="21" t="s">
        <v>538</v>
      </c>
      <c r="E215" s="21" t="s">
        <v>46</v>
      </c>
      <c r="F215" s="5812">
        <v>2</v>
      </c>
      <c r="G215" s="5813">
        <v>3.888888888888889E-2</v>
      </c>
      <c r="H215" s="21" t="s">
        <v>10</v>
      </c>
      <c r="I215" s="21" t="s">
        <v>39</v>
      </c>
      <c r="J215" s="21" t="s">
        <v>97</v>
      </c>
      <c r="K215" s="5814" t="s">
        <v>564</v>
      </c>
    </row>
    <row r="216" spans="1:11">
      <c r="A216" s="21" t="s">
        <v>2560</v>
      </c>
      <c r="B216" s="21" t="s">
        <v>6000</v>
      </c>
      <c r="C216" s="21" t="s">
        <v>8</v>
      </c>
      <c r="D216" s="21" t="s">
        <v>538</v>
      </c>
      <c r="E216" s="21" t="s">
        <v>46</v>
      </c>
      <c r="F216" s="5812">
        <v>2</v>
      </c>
      <c r="G216" s="5813">
        <v>4.583333333333333E-2</v>
      </c>
      <c r="H216" s="21" t="s">
        <v>54</v>
      </c>
      <c r="I216" s="21" t="s">
        <v>226</v>
      </c>
      <c r="J216" s="21" t="s">
        <v>97</v>
      </c>
      <c r="K216" s="5814" t="s">
        <v>6001</v>
      </c>
    </row>
    <row r="217" spans="1:11">
      <c r="A217" s="21" t="s">
        <v>5220</v>
      </c>
      <c r="B217" s="21" t="s">
        <v>6002</v>
      </c>
      <c r="C217" s="21" t="s">
        <v>8</v>
      </c>
      <c r="D217" s="21" t="s">
        <v>538</v>
      </c>
      <c r="E217" s="21" t="s">
        <v>46</v>
      </c>
      <c r="F217" s="5812">
        <v>2</v>
      </c>
      <c r="G217" s="5813">
        <v>0.05</v>
      </c>
      <c r="H217" s="21" t="s">
        <v>54</v>
      </c>
      <c r="I217" s="21" t="s">
        <v>47</v>
      </c>
      <c r="J217" s="21" t="s">
        <v>48</v>
      </c>
      <c r="K217" s="5814" t="s">
        <v>6003</v>
      </c>
    </row>
    <row r="218" spans="1:11">
      <c r="A218" s="21" t="s">
        <v>3009</v>
      </c>
      <c r="B218" s="21" t="s">
        <v>6004</v>
      </c>
      <c r="C218" s="21" t="s">
        <v>22</v>
      </c>
      <c r="D218" s="21" t="s">
        <v>538</v>
      </c>
      <c r="E218" s="21" t="s">
        <v>46</v>
      </c>
      <c r="F218" s="5812">
        <v>2</v>
      </c>
      <c r="G218" s="5813">
        <v>0.05</v>
      </c>
      <c r="H218" s="21" t="s">
        <v>10</v>
      </c>
      <c r="I218" s="21" t="s">
        <v>55</v>
      </c>
      <c r="J218" s="21" t="s">
        <v>127</v>
      </c>
      <c r="K218" s="5814" t="s">
        <v>6005</v>
      </c>
    </row>
    <row r="219" spans="1:11">
      <c r="A219" s="21" t="s">
        <v>166</v>
      </c>
      <c r="B219" s="21" t="s">
        <v>614</v>
      </c>
      <c r="C219" s="21" t="s">
        <v>8</v>
      </c>
      <c r="D219" s="21" t="s">
        <v>538</v>
      </c>
      <c r="E219" s="21" t="s">
        <v>46</v>
      </c>
      <c r="F219" s="5812">
        <v>2</v>
      </c>
      <c r="G219" s="5813">
        <v>5.1388888888888887E-2</v>
      </c>
      <c r="H219" s="21" t="s">
        <v>10</v>
      </c>
      <c r="I219" s="21" t="s">
        <v>615</v>
      </c>
      <c r="J219" s="21" t="s">
        <v>616</v>
      </c>
      <c r="K219" s="5814" t="s">
        <v>617</v>
      </c>
    </row>
    <row r="220" spans="1:11">
      <c r="A220" s="21" t="s">
        <v>3515</v>
      </c>
      <c r="B220" s="21" t="s">
        <v>6006</v>
      </c>
      <c r="C220" s="21" t="s">
        <v>8</v>
      </c>
      <c r="D220" s="21" t="s">
        <v>538</v>
      </c>
      <c r="E220" s="21" t="s">
        <v>46</v>
      </c>
      <c r="F220" s="5812">
        <v>2</v>
      </c>
      <c r="G220" s="5813">
        <v>5.2083333333333336E-2</v>
      </c>
      <c r="H220" s="21" t="s">
        <v>10</v>
      </c>
      <c r="I220" s="21" t="s">
        <v>2313</v>
      </c>
      <c r="J220" s="21" t="s">
        <v>861</v>
      </c>
      <c r="K220" s="5814" t="s">
        <v>6007</v>
      </c>
    </row>
    <row r="221" spans="1:11">
      <c r="A221" s="21" t="s">
        <v>3152</v>
      </c>
      <c r="B221" s="21" t="s">
        <v>6008</v>
      </c>
      <c r="C221" s="21" t="s">
        <v>22</v>
      </c>
      <c r="D221" s="21" t="s">
        <v>538</v>
      </c>
      <c r="E221" s="21" t="s">
        <v>46</v>
      </c>
      <c r="F221" s="5812">
        <v>2</v>
      </c>
      <c r="G221" s="5813">
        <v>5.7638888888888892E-2</v>
      </c>
      <c r="H221" s="21" t="s">
        <v>10</v>
      </c>
      <c r="I221" s="21" t="s">
        <v>39</v>
      </c>
      <c r="J221" s="21" t="s">
        <v>48</v>
      </c>
      <c r="K221" s="5814" t="s">
        <v>6009</v>
      </c>
    </row>
    <row r="222" spans="1:11">
      <c r="A222" s="21" t="s">
        <v>3026</v>
      </c>
      <c r="B222" s="21" t="s">
        <v>6010</v>
      </c>
      <c r="C222" s="21" t="s">
        <v>22</v>
      </c>
      <c r="D222" s="21" t="s">
        <v>538</v>
      </c>
      <c r="E222" s="21" t="s">
        <v>46</v>
      </c>
      <c r="F222" s="5812">
        <v>2</v>
      </c>
      <c r="G222" s="5813">
        <v>5.9722222222222225E-2</v>
      </c>
      <c r="H222" s="21" t="s">
        <v>54</v>
      </c>
      <c r="I222" s="21" t="s">
        <v>55</v>
      </c>
      <c r="J222" s="21" t="s">
        <v>48</v>
      </c>
      <c r="K222" s="5814" t="s">
        <v>6011</v>
      </c>
    </row>
    <row r="223" spans="1:11">
      <c r="A223" s="21" t="s">
        <v>2491</v>
      </c>
      <c r="B223" s="21" t="s">
        <v>6012</v>
      </c>
      <c r="C223" s="21" t="s">
        <v>22</v>
      </c>
      <c r="D223" s="21" t="s">
        <v>538</v>
      </c>
      <c r="E223" s="21" t="s">
        <v>46</v>
      </c>
      <c r="F223" s="5812">
        <v>2</v>
      </c>
      <c r="G223" s="5813">
        <v>6.1805555555555558E-2</v>
      </c>
      <c r="H223" s="21" t="s">
        <v>10</v>
      </c>
      <c r="I223" s="21" t="s">
        <v>23</v>
      </c>
      <c r="J223" s="21" t="s">
        <v>1076</v>
      </c>
      <c r="K223" s="5814" t="s">
        <v>6013</v>
      </c>
    </row>
    <row r="224" spans="1:11">
      <c r="A224" s="21" t="s">
        <v>2450</v>
      </c>
      <c r="B224" s="21" t="s">
        <v>6014</v>
      </c>
      <c r="C224" s="21" t="s">
        <v>22</v>
      </c>
      <c r="D224" s="21" t="s">
        <v>538</v>
      </c>
      <c r="E224" s="21" t="s">
        <v>46</v>
      </c>
      <c r="F224" s="5812">
        <v>2</v>
      </c>
      <c r="G224" s="5813">
        <v>6.9444444444444448E-2</v>
      </c>
      <c r="H224" s="21" t="s">
        <v>10</v>
      </c>
      <c r="I224" s="21" t="s">
        <v>226</v>
      </c>
      <c r="J224" s="21" t="s">
        <v>3168</v>
      </c>
      <c r="K224" s="5814" t="s">
        <v>6015</v>
      </c>
    </row>
    <row r="225" spans="1:11">
      <c r="A225" s="21" t="s">
        <v>3323</v>
      </c>
      <c r="B225" s="21" t="s">
        <v>6016</v>
      </c>
      <c r="C225" s="21" t="s">
        <v>22</v>
      </c>
      <c r="D225" s="21" t="s">
        <v>538</v>
      </c>
      <c r="E225" s="21" t="s">
        <v>46</v>
      </c>
      <c r="F225" s="5812">
        <v>2</v>
      </c>
      <c r="G225" s="5813">
        <v>8.1944444444444445E-2</v>
      </c>
      <c r="H225" s="21" t="s">
        <v>54</v>
      </c>
      <c r="I225" s="21" t="s">
        <v>55</v>
      </c>
      <c r="J225" s="21" t="s">
        <v>97</v>
      </c>
      <c r="K225" s="5814" t="s">
        <v>6017</v>
      </c>
    </row>
    <row r="226" spans="1:11">
      <c r="A226" s="21" t="s">
        <v>2295</v>
      </c>
      <c r="B226" s="21" t="s">
        <v>6018</v>
      </c>
      <c r="C226" s="21" t="s">
        <v>22</v>
      </c>
      <c r="D226" s="21" t="s">
        <v>538</v>
      </c>
      <c r="E226" s="21" t="s">
        <v>46</v>
      </c>
      <c r="F226" s="5812">
        <v>2</v>
      </c>
      <c r="G226" s="5813">
        <v>8.4722222222222227E-2</v>
      </c>
      <c r="H226" s="21" t="s">
        <v>10</v>
      </c>
      <c r="I226" s="21" t="s">
        <v>6019</v>
      </c>
      <c r="J226" s="21" t="s">
        <v>1117</v>
      </c>
      <c r="K226" s="5814" t="s">
        <v>6020</v>
      </c>
    </row>
    <row r="227" spans="1:11">
      <c r="A227" s="21" t="s">
        <v>2910</v>
      </c>
      <c r="B227" s="21" t="s">
        <v>6021</v>
      </c>
      <c r="C227" s="21" t="s">
        <v>22</v>
      </c>
      <c r="D227" s="21" t="s">
        <v>538</v>
      </c>
      <c r="E227" s="21" t="s">
        <v>46</v>
      </c>
      <c r="F227" s="5812">
        <v>2</v>
      </c>
      <c r="G227" s="5813">
        <v>8.7499999999999994E-2</v>
      </c>
      <c r="H227" s="21" t="s">
        <v>54</v>
      </c>
      <c r="I227" s="21" t="s">
        <v>96</v>
      </c>
      <c r="J227" s="21" t="s">
        <v>48</v>
      </c>
      <c r="K227" s="5814" t="s">
        <v>6022</v>
      </c>
    </row>
    <row r="228" spans="1:11">
      <c r="A228" s="21" t="s">
        <v>94</v>
      </c>
      <c r="B228" s="21" t="s">
        <v>577</v>
      </c>
      <c r="C228" s="21" t="s">
        <v>22</v>
      </c>
      <c r="D228" s="21" t="s">
        <v>538</v>
      </c>
      <c r="E228" s="21" t="s">
        <v>46</v>
      </c>
      <c r="F228" s="5812">
        <v>2</v>
      </c>
      <c r="G228" s="5813">
        <v>9.166666666666666E-2</v>
      </c>
      <c r="H228" s="21" t="s">
        <v>10</v>
      </c>
      <c r="I228" s="21" t="s">
        <v>39</v>
      </c>
      <c r="J228" s="21" t="s">
        <v>48</v>
      </c>
      <c r="K228" s="5814" t="s">
        <v>578</v>
      </c>
    </row>
    <row r="229" spans="1:11">
      <c r="A229" s="21" t="s">
        <v>3728</v>
      </c>
      <c r="B229" s="21" t="s">
        <v>6023</v>
      </c>
      <c r="C229" s="21" t="s">
        <v>8</v>
      </c>
      <c r="D229" s="21" t="s">
        <v>538</v>
      </c>
      <c r="E229" s="21" t="s">
        <v>46</v>
      </c>
      <c r="F229" s="5812">
        <v>2</v>
      </c>
      <c r="G229" s="5813">
        <v>9.8611111111111108E-2</v>
      </c>
      <c r="H229" s="21" t="s">
        <v>10</v>
      </c>
      <c r="I229" s="21" t="s">
        <v>47</v>
      </c>
      <c r="J229" s="21" t="s">
        <v>6024</v>
      </c>
      <c r="K229" s="5814" t="s">
        <v>6025</v>
      </c>
    </row>
    <row r="230" spans="1:11">
      <c r="A230" s="21" t="s">
        <v>3220</v>
      </c>
      <c r="B230" s="21" t="s">
        <v>6026</v>
      </c>
      <c r="C230" s="21" t="s">
        <v>22</v>
      </c>
      <c r="D230" s="21" t="s">
        <v>538</v>
      </c>
      <c r="E230" s="21" t="s">
        <v>46</v>
      </c>
      <c r="F230" s="5812">
        <v>2</v>
      </c>
      <c r="G230" s="5813">
        <v>9.930555555555555E-2</v>
      </c>
      <c r="H230" s="21" t="s">
        <v>10</v>
      </c>
      <c r="I230" s="21" t="s">
        <v>226</v>
      </c>
      <c r="J230" s="21" t="s">
        <v>3094</v>
      </c>
      <c r="K230" s="5814" t="s">
        <v>6027</v>
      </c>
    </row>
    <row r="231" spans="1:11">
      <c r="A231" s="21" t="s">
        <v>2391</v>
      </c>
      <c r="B231" s="21" t="s">
        <v>6028</v>
      </c>
      <c r="C231" s="21" t="s">
        <v>22</v>
      </c>
      <c r="D231" s="21" t="s">
        <v>538</v>
      </c>
      <c r="E231" s="21" t="s">
        <v>46</v>
      </c>
      <c r="F231" s="5812">
        <v>2</v>
      </c>
      <c r="G231" s="5813">
        <v>0.1</v>
      </c>
      <c r="H231" s="21" t="s">
        <v>10</v>
      </c>
      <c r="I231" s="21" t="s">
        <v>39</v>
      </c>
      <c r="J231" s="21" t="s">
        <v>430</v>
      </c>
      <c r="K231" s="5814" t="s">
        <v>6029</v>
      </c>
    </row>
    <row r="232" spans="1:11">
      <c r="A232" s="21" t="s">
        <v>4527</v>
      </c>
      <c r="B232" s="21" t="s">
        <v>6030</v>
      </c>
      <c r="C232" s="21" t="s">
        <v>8</v>
      </c>
      <c r="D232" s="21" t="s">
        <v>538</v>
      </c>
      <c r="E232" s="21" t="s">
        <v>46</v>
      </c>
      <c r="F232" s="5812">
        <v>2</v>
      </c>
      <c r="G232" s="5813">
        <v>0.10416666666666667</v>
      </c>
      <c r="H232" s="21" t="s">
        <v>54</v>
      </c>
      <c r="I232" s="21" t="s">
        <v>55</v>
      </c>
      <c r="J232" s="21" t="s">
        <v>430</v>
      </c>
      <c r="K232" s="5814" t="s">
        <v>6031</v>
      </c>
    </row>
    <row r="233" spans="1:11">
      <c r="A233" s="21" t="s">
        <v>2061</v>
      </c>
      <c r="B233" s="21" t="s">
        <v>6032</v>
      </c>
      <c r="C233" s="21" t="s">
        <v>8</v>
      </c>
      <c r="D233" s="21" t="s">
        <v>538</v>
      </c>
      <c r="E233" s="21" t="s">
        <v>46</v>
      </c>
      <c r="F233" s="5812">
        <v>2</v>
      </c>
      <c r="G233" s="5813">
        <v>0.10486111111111111</v>
      </c>
      <c r="H233" s="21" t="s">
        <v>10</v>
      </c>
      <c r="I233" s="21" t="s">
        <v>96</v>
      </c>
      <c r="J233" s="21" t="s">
        <v>48</v>
      </c>
      <c r="K233" s="5814" t="s">
        <v>6033</v>
      </c>
    </row>
    <row r="234" spans="1:11">
      <c r="A234" s="21" t="s">
        <v>4047</v>
      </c>
      <c r="B234" s="21" t="s">
        <v>6034</v>
      </c>
      <c r="C234" s="21" t="s">
        <v>22</v>
      </c>
      <c r="D234" s="21" t="s">
        <v>538</v>
      </c>
      <c r="E234" s="21" t="s">
        <v>46</v>
      </c>
      <c r="F234" s="5812">
        <v>2</v>
      </c>
      <c r="G234" s="5813">
        <v>0.10694444444444444</v>
      </c>
      <c r="H234" s="21" t="s">
        <v>10</v>
      </c>
      <c r="I234" s="21" t="s">
        <v>400</v>
      </c>
      <c r="J234" s="21" t="s">
        <v>3168</v>
      </c>
      <c r="K234" s="5814" t="s">
        <v>6035</v>
      </c>
    </row>
    <row r="235" spans="1:11">
      <c r="A235" s="21" t="s">
        <v>2538</v>
      </c>
      <c r="B235" s="21" t="s">
        <v>6036</v>
      </c>
      <c r="C235" s="21" t="s">
        <v>8</v>
      </c>
      <c r="D235" s="21" t="s">
        <v>538</v>
      </c>
      <c r="E235" s="21" t="s">
        <v>46</v>
      </c>
      <c r="F235" s="5812">
        <v>2</v>
      </c>
      <c r="G235" s="5813">
        <v>0.10833333333333334</v>
      </c>
      <c r="H235" s="21" t="s">
        <v>10</v>
      </c>
      <c r="I235" s="21" t="s">
        <v>55</v>
      </c>
      <c r="J235" s="21" t="s">
        <v>48</v>
      </c>
      <c r="K235" s="5814" t="s">
        <v>6037</v>
      </c>
    </row>
    <row r="236" spans="1:11">
      <c r="A236" s="21" t="s">
        <v>2241</v>
      </c>
      <c r="B236" s="21" t="s">
        <v>6038</v>
      </c>
      <c r="C236" s="21" t="s">
        <v>8</v>
      </c>
      <c r="D236" s="21" t="s">
        <v>538</v>
      </c>
      <c r="E236" s="21" t="s">
        <v>46</v>
      </c>
      <c r="F236" s="5812">
        <v>2</v>
      </c>
      <c r="G236" s="5813">
        <v>0.11180555555555556</v>
      </c>
      <c r="H236" s="21" t="s">
        <v>10</v>
      </c>
      <c r="I236" s="21" t="s">
        <v>2726</v>
      </c>
      <c r="J236" s="21" t="s">
        <v>940</v>
      </c>
      <c r="K236" s="5814" t="s">
        <v>6039</v>
      </c>
    </row>
    <row r="237" spans="1:11">
      <c r="A237" s="21" t="s">
        <v>3630</v>
      </c>
      <c r="B237" s="21" t="s">
        <v>6040</v>
      </c>
      <c r="C237" s="21" t="s">
        <v>8</v>
      </c>
      <c r="D237" s="21" t="s">
        <v>538</v>
      </c>
      <c r="E237" s="21" t="s">
        <v>46</v>
      </c>
      <c r="F237" s="5812">
        <v>2</v>
      </c>
      <c r="G237" s="5813">
        <v>0.12013888888888889</v>
      </c>
      <c r="H237" s="21" t="s">
        <v>10</v>
      </c>
      <c r="I237" s="21" t="s">
        <v>4791</v>
      </c>
      <c r="J237" s="21" t="s">
        <v>48</v>
      </c>
      <c r="K237" s="5814" t="s">
        <v>6041</v>
      </c>
    </row>
    <row r="238" spans="1:11">
      <c r="A238" s="21" t="s">
        <v>2354</v>
      </c>
      <c r="B238" s="21" t="s">
        <v>6042</v>
      </c>
      <c r="C238" s="21" t="s">
        <v>22</v>
      </c>
      <c r="D238" s="21" t="s">
        <v>538</v>
      </c>
      <c r="E238" s="21" t="s">
        <v>46</v>
      </c>
      <c r="F238" s="5812">
        <v>2</v>
      </c>
      <c r="G238" s="5813">
        <v>0.12222222222222222</v>
      </c>
      <c r="H238" s="21" t="s">
        <v>10</v>
      </c>
      <c r="I238" s="21" t="s">
        <v>788</v>
      </c>
      <c r="J238" s="21" t="s">
        <v>258</v>
      </c>
      <c r="K238" s="5814" t="s">
        <v>6043</v>
      </c>
    </row>
    <row r="239" spans="1:11">
      <c r="A239" s="21" t="s">
        <v>3710</v>
      </c>
      <c r="B239" s="21" t="s">
        <v>6044</v>
      </c>
      <c r="C239" s="21" t="s">
        <v>8</v>
      </c>
      <c r="D239" s="21" t="s">
        <v>538</v>
      </c>
      <c r="E239" s="21" t="s">
        <v>46</v>
      </c>
      <c r="F239" s="5812">
        <v>2</v>
      </c>
      <c r="G239" s="5813">
        <v>0.125</v>
      </c>
      <c r="H239" s="21" t="s">
        <v>54</v>
      </c>
      <c r="I239" s="21" t="s">
        <v>226</v>
      </c>
      <c r="J239" s="21" t="s">
        <v>258</v>
      </c>
      <c r="K239" s="5814" t="s">
        <v>6045</v>
      </c>
    </row>
    <row r="240" spans="1:11">
      <c r="A240" s="21" t="s">
        <v>2413</v>
      </c>
      <c r="B240" s="21" t="s">
        <v>6046</v>
      </c>
      <c r="C240" s="21" t="s">
        <v>8</v>
      </c>
      <c r="D240" s="21" t="s">
        <v>538</v>
      </c>
      <c r="E240" s="21" t="s">
        <v>46</v>
      </c>
      <c r="F240" s="5812">
        <v>2</v>
      </c>
      <c r="G240" s="5813">
        <v>0.12777777777777777</v>
      </c>
      <c r="H240" s="21" t="s">
        <v>10</v>
      </c>
      <c r="I240" s="21" t="s">
        <v>39</v>
      </c>
      <c r="J240" s="21" t="s">
        <v>258</v>
      </c>
      <c r="K240" s="5814" t="s">
        <v>6047</v>
      </c>
    </row>
    <row r="241" spans="1:11">
      <c r="A241" s="21" t="s">
        <v>2792</v>
      </c>
      <c r="B241" s="21" t="s">
        <v>6048</v>
      </c>
      <c r="C241" s="21" t="s">
        <v>8</v>
      </c>
      <c r="D241" s="21" t="s">
        <v>538</v>
      </c>
      <c r="E241" s="21" t="s">
        <v>46</v>
      </c>
      <c r="F241" s="5812">
        <v>2</v>
      </c>
      <c r="G241" s="5813">
        <v>0.13333333333333333</v>
      </c>
      <c r="H241" s="21" t="s">
        <v>54</v>
      </c>
      <c r="I241" s="21" t="s">
        <v>2247</v>
      </c>
      <c r="J241" s="21" t="s">
        <v>48</v>
      </c>
      <c r="K241" s="5814" t="s">
        <v>6049</v>
      </c>
    </row>
    <row r="242" spans="1:11">
      <c r="A242" s="21" t="s">
        <v>4177</v>
      </c>
      <c r="B242" s="21" t="s">
        <v>6050</v>
      </c>
      <c r="C242" s="21" t="s">
        <v>22</v>
      </c>
      <c r="D242" s="21" t="s">
        <v>538</v>
      </c>
      <c r="E242" s="21" t="s">
        <v>46</v>
      </c>
      <c r="F242" s="5812">
        <v>2</v>
      </c>
      <c r="G242" s="5813">
        <v>0.13541666666666666</v>
      </c>
      <c r="H242" s="21" t="s">
        <v>10</v>
      </c>
      <c r="I242" s="21" t="s">
        <v>55</v>
      </c>
      <c r="J242" s="21" t="s">
        <v>97</v>
      </c>
      <c r="K242" s="5814" t="s">
        <v>6051</v>
      </c>
    </row>
    <row r="243" spans="1:11">
      <c r="A243" s="21" t="s">
        <v>2327</v>
      </c>
      <c r="B243" s="21" t="s">
        <v>6052</v>
      </c>
      <c r="C243" s="21" t="s">
        <v>22</v>
      </c>
      <c r="D243" s="21" t="s">
        <v>538</v>
      </c>
      <c r="E243" s="21" t="s">
        <v>46</v>
      </c>
      <c r="F243" s="5812">
        <v>2</v>
      </c>
      <c r="G243" s="5813">
        <v>0.13680555555555557</v>
      </c>
      <c r="H243" s="21" t="s">
        <v>10</v>
      </c>
      <c r="I243" s="21" t="s">
        <v>39</v>
      </c>
      <c r="J243" s="21" t="s">
        <v>48</v>
      </c>
      <c r="K243" s="5814" t="s">
        <v>6053</v>
      </c>
    </row>
    <row r="244" spans="1:11">
      <c r="A244" s="21" t="s">
        <v>4321</v>
      </c>
      <c r="B244" s="21" t="s">
        <v>6054</v>
      </c>
      <c r="C244" s="21" t="s">
        <v>8</v>
      </c>
      <c r="D244" s="21" t="s">
        <v>538</v>
      </c>
      <c r="E244" s="21" t="s">
        <v>46</v>
      </c>
      <c r="F244" s="5812">
        <v>2</v>
      </c>
      <c r="G244" s="5813">
        <v>0.15</v>
      </c>
      <c r="H244" s="21" t="s">
        <v>10</v>
      </c>
      <c r="I244" s="21" t="s">
        <v>654</v>
      </c>
      <c r="J244" s="21" t="s">
        <v>3168</v>
      </c>
      <c r="K244" s="5814" t="s">
        <v>6055</v>
      </c>
    </row>
    <row r="245" spans="1:11">
      <c r="A245" s="21" t="s">
        <v>5984</v>
      </c>
      <c r="B245" s="21" t="s">
        <v>6056</v>
      </c>
      <c r="C245" s="21" t="s">
        <v>22</v>
      </c>
      <c r="D245" s="21" t="s">
        <v>538</v>
      </c>
      <c r="E245" s="21" t="s">
        <v>46</v>
      </c>
      <c r="F245" s="5812">
        <v>2</v>
      </c>
      <c r="G245" s="5813">
        <v>0.15416666666666667</v>
      </c>
      <c r="H245" s="21" t="s">
        <v>10</v>
      </c>
      <c r="I245" s="21" t="s">
        <v>39</v>
      </c>
      <c r="J245" s="21" t="s">
        <v>258</v>
      </c>
      <c r="K245" s="5814" t="s">
        <v>6057</v>
      </c>
    </row>
    <row r="246" spans="1:11">
      <c r="A246" s="21" t="s">
        <v>2311</v>
      </c>
      <c r="B246" s="21" t="s">
        <v>6058</v>
      </c>
      <c r="C246" s="21" t="s">
        <v>8</v>
      </c>
      <c r="D246" s="21" t="s">
        <v>538</v>
      </c>
      <c r="E246" s="21" t="s">
        <v>46</v>
      </c>
      <c r="F246" s="5812">
        <v>2</v>
      </c>
      <c r="G246" s="5813">
        <v>0.15555555555555556</v>
      </c>
      <c r="H246" s="21" t="s">
        <v>54</v>
      </c>
      <c r="I246" s="21" t="s">
        <v>47</v>
      </c>
      <c r="J246" s="21" t="s">
        <v>97</v>
      </c>
      <c r="K246" s="5814" t="s">
        <v>6059</v>
      </c>
    </row>
    <row r="247" spans="1:11">
      <c r="A247" s="21" t="s">
        <v>2530</v>
      </c>
      <c r="B247" s="21" t="s">
        <v>6060</v>
      </c>
      <c r="C247" s="21" t="s">
        <v>22</v>
      </c>
      <c r="D247" s="21" t="s">
        <v>538</v>
      </c>
      <c r="E247" s="21" t="s">
        <v>46</v>
      </c>
      <c r="F247" s="5812">
        <v>2</v>
      </c>
      <c r="G247" s="5813">
        <v>0.15763888888888888</v>
      </c>
      <c r="H247" s="21" t="s">
        <v>10</v>
      </c>
      <c r="I247" s="21" t="s">
        <v>226</v>
      </c>
      <c r="J247" s="21" t="s">
        <v>48</v>
      </c>
      <c r="K247" s="5814" t="s">
        <v>6061</v>
      </c>
    </row>
    <row r="248" spans="1:11">
      <c r="A248" s="21" t="s">
        <v>3757</v>
      </c>
      <c r="B248" s="21" t="s">
        <v>6062</v>
      </c>
      <c r="C248" s="21" t="s">
        <v>22</v>
      </c>
      <c r="D248" s="21" t="s">
        <v>538</v>
      </c>
      <c r="E248" s="21" t="s">
        <v>46</v>
      </c>
      <c r="F248" s="5812">
        <v>2</v>
      </c>
      <c r="G248" s="5813">
        <v>0.16180555555555556</v>
      </c>
      <c r="H248" s="21" t="s">
        <v>10</v>
      </c>
      <c r="I248" s="21" t="s">
        <v>187</v>
      </c>
      <c r="J248" s="21" t="s">
        <v>430</v>
      </c>
      <c r="K248" s="5814" t="s">
        <v>6063</v>
      </c>
    </row>
    <row r="249" spans="1:11">
      <c r="A249" s="21" t="s">
        <v>2254</v>
      </c>
      <c r="B249" s="21" t="s">
        <v>6064</v>
      </c>
      <c r="C249" s="21" t="s">
        <v>22</v>
      </c>
      <c r="D249" s="21" t="s">
        <v>538</v>
      </c>
      <c r="E249" s="21" t="s">
        <v>46</v>
      </c>
      <c r="F249" s="5812">
        <v>2</v>
      </c>
      <c r="G249" s="5813">
        <v>0.1673611111111111</v>
      </c>
      <c r="H249" s="21" t="s">
        <v>10</v>
      </c>
      <c r="I249" s="21" t="s">
        <v>23</v>
      </c>
      <c r="J249" s="21" t="s">
        <v>97</v>
      </c>
      <c r="K249" s="5814" t="s">
        <v>6065</v>
      </c>
    </row>
    <row r="250" spans="1:11">
      <c r="A250" s="21" t="s">
        <v>2817</v>
      </c>
      <c r="B250" s="21" t="s">
        <v>6066</v>
      </c>
      <c r="C250" s="21" t="s">
        <v>8</v>
      </c>
      <c r="D250" s="21" t="s">
        <v>538</v>
      </c>
      <c r="E250" s="21" t="s">
        <v>46</v>
      </c>
      <c r="F250" s="5812">
        <v>2</v>
      </c>
      <c r="G250" s="5813">
        <v>0.1736111111111111</v>
      </c>
      <c r="H250" s="21" t="s">
        <v>10</v>
      </c>
      <c r="I250" s="21" t="s">
        <v>2297</v>
      </c>
      <c r="J250" s="21" t="s">
        <v>48</v>
      </c>
      <c r="K250" s="5814" t="s">
        <v>6067</v>
      </c>
    </row>
    <row r="251" spans="1:11">
      <c r="A251" s="21" t="s">
        <v>2509</v>
      </c>
      <c r="B251" s="21" t="s">
        <v>6068</v>
      </c>
      <c r="C251" s="21" t="s">
        <v>8</v>
      </c>
      <c r="D251" s="21" t="s">
        <v>538</v>
      </c>
      <c r="E251" s="21" t="s">
        <v>46</v>
      </c>
      <c r="F251" s="5812">
        <v>2</v>
      </c>
      <c r="G251" s="5813">
        <v>0.18819444444444444</v>
      </c>
      <c r="H251" s="21" t="s">
        <v>10</v>
      </c>
      <c r="I251" s="21" t="s">
        <v>226</v>
      </c>
      <c r="J251" s="21" t="s">
        <v>4586</v>
      </c>
      <c r="K251" s="5814" t="s">
        <v>6069</v>
      </c>
    </row>
    <row r="252" spans="1:11">
      <c r="A252" s="21" t="s">
        <v>3026</v>
      </c>
      <c r="B252" s="21" t="s">
        <v>6070</v>
      </c>
      <c r="C252" s="21" t="s">
        <v>8</v>
      </c>
      <c r="D252" s="21" t="s">
        <v>538</v>
      </c>
      <c r="E252" s="21" t="s">
        <v>46</v>
      </c>
      <c r="F252" s="5812">
        <v>2</v>
      </c>
      <c r="G252" s="5813">
        <v>0.18888888888888888</v>
      </c>
      <c r="H252" s="21" t="s">
        <v>10</v>
      </c>
      <c r="I252" s="21" t="s">
        <v>23</v>
      </c>
      <c r="J252" s="21" t="s">
        <v>430</v>
      </c>
      <c r="K252" s="5814" t="s">
        <v>6071</v>
      </c>
    </row>
    <row r="253" spans="1:11">
      <c r="A253" s="21" t="s">
        <v>2108</v>
      </c>
      <c r="B253" s="21" t="s">
        <v>6072</v>
      </c>
      <c r="C253" s="21" t="s">
        <v>8</v>
      </c>
      <c r="D253" s="21" t="s">
        <v>538</v>
      </c>
      <c r="E253" s="21" t="s">
        <v>46</v>
      </c>
      <c r="F253" s="5812">
        <v>2</v>
      </c>
      <c r="G253" s="5813">
        <v>0.19652777777777777</v>
      </c>
      <c r="H253" s="21" t="s">
        <v>10</v>
      </c>
      <c r="I253" s="21" t="s">
        <v>39</v>
      </c>
      <c r="J253" s="21" t="s">
        <v>430</v>
      </c>
      <c r="K253" s="5814" t="s">
        <v>6073</v>
      </c>
    </row>
    <row r="254" spans="1:11">
      <c r="A254" s="21" t="s">
        <v>3630</v>
      </c>
      <c r="B254" s="21" t="s">
        <v>6074</v>
      </c>
      <c r="C254" s="21" t="s">
        <v>22</v>
      </c>
      <c r="D254" s="21" t="s">
        <v>538</v>
      </c>
      <c r="E254" s="21" t="s">
        <v>46</v>
      </c>
      <c r="F254" s="5812">
        <v>2</v>
      </c>
      <c r="G254" s="5813">
        <v>0.19652777777777777</v>
      </c>
      <c r="H254" s="21" t="s">
        <v>10</v>
      </c>
      <c r="I254" s="21" t="s">
        <v>226</v>
      </c>
      <c r="J254" s="21" t="s">
        <v>97</v>
      </c>
      <c r="K254" s="5814" t="s">
        <v>6075</v>
      </c>
    </row>
    <row r="255" spans="1:11">
      <c r="A255" s="21" t="s">
        <v>2070</v>
      </c>
      <c r="B255" s="21" t="s">
        <v>6076</v>
      </c>
      <c r="C255" s="21" t="s">
        <v>22</v>
      </c>
      <c r="D255" s="21" t="s">
        <v>538</v>
      </c>
      <c r="E255" s="21" t="s">
        <v>46</v>
      </c>
      <c r="F255" s="5812">
        <v>2</v>
      </c>
      <c r="G255" s="5813">
        <v>0.20624999999999999</v>
      </c>
      <c r="H255" s="21" t="s">
        <v>10</v>
      </c>
      <c r="I255" s="21" t="s">
        <v>226</v>
      </c>
      <c r="J255" s="21" t="s">
        <v>1076</v>
      </c>
      <c r="K255" s="5814" t="s">
        <v>6077</v>
      </c>
    </row>
    <row r="256" spans="1:11">
      <c r="A256" s="21" t="s">
        <v>2915</v>
      </c>
      <c r="B256" s="21" t="s">
        <v>6078</v>
      </c>
      <c r="C256" s="21" t="s">
        <v>8</v>
      </c>
      <c r="D256" s="21" t="s">
        <v>538</v>
      </c>
      <c r="E256" s="21" t="s">
        <v>46</v>
      </c>
      <c r="F256" s="5812">
        <v>2</v>
      </c>
      <c r="G256" s="5813">
        <v>0.2076388888888889</v>
      </c>
      <c r="H256" s="21" t="s">
        <v>10</v>
      </c>
      <c r="I256" s="21" t="s">
        <v>187</v>
      </c>
      <c r="J256" s="21" t="s">
        <v>97</v>
      </c>
      <c r="K256" s="5814" t="s">
        <v>6079</v>
      </c>
    </row>
    <row r="257" spans="1:11">
      <c r="A257" s="21" t="s">
        <v>339</v>
      </c>
      <c r="B257" s="21" t="s">
        <v>537</v>
      </c>
      <c r="C257" s="21" t="s">
        <v>8</v>
      </c>
      <c r="D257" s="21" t="s">
        <v>538</v>
      </c>
      <c r="E257" s="21" t="s">
        <v>46</v>
      </c>
      <c r="F257" s="5812">
        <v>3</v>
      </c>
      <c r="G257" s="5813">
        <v>3.4027777777777775E-2</v>
      </c>
      <c r="H257" s="21" t="s">
        <v>54</v>
      </c>
      <c r="I257" s="21" t="s">
        <v>96</v>
      </c>
      <c r="J257" s="21" t="s">
        <v>48</v>
      </c>
      <c r="K257" s="5814" t="s">
        <v>539</v>
      </c>
    </row>
    <row r="258" spans="1:11">
      <c r="A258" s="21" t="s">
        <v>2663</v>
      </c>
      <c r="B258" s="21" t="s">
        <v>6080</v>
      </c>
      <c r="C258" s="21" t="s">
        <v>22</v>
      </c>
      <c r="D258" s="21" t="s">
        <v>538</v>
      </c>
      <c r="E258" s="21" t="s">
        <v>46</v>
      </c>
      <c r="F258" s="5812">
        <v>3</v>
      </c>
      <c r="G258" s="5813">
        <v>4.027777777777778E-2</v>
      </c>
      <c r="H258" s="21" t="s">
        <v>10</v>
      </c>
      <c r="I258" s="21" t="s">
        <v>4212</v>
      </c>
      <c r="J258" s="21" t="s">
        <v>1321</v>
      </c>
      <c r="K258" s="5814" t="s">
        <v>6081</v>
      </c>
    </row>
    <row r="259" spans="1:11">
      <c r="A259" s="21" t="s">
        <v>4434</v>
      </c>
      <c r="B259" s="21" t="s">
        <v>6082</v>
      </c>
      <c r="C259" s="21" t="s">
        <v>8</v>
      </c>
      <c r="D259" s="21" t="s">
        <v>538</v>
      </c>
      <c r="E259" s="21" t="s">
        <v>46</v>
      </c>
      <c r="F259" s="5812">
        <v>3</v>
      </c>
      <c r="G259" s="5813">
        <v>5.2083333333333336E-2</v>
      </c>
      <c r="H259" s="21" t="s">
        <v>10</v>
      </c>
      <c r="I259" s="21" t="s">
        <v>73</v>
      </c>
      <c r="J259" s="21" t="s">
        <v>430</v>
      </c>
      <c r="K259" s="5814" t="s">
        <v>6083</v>
      </c>
    </row>
    <row r="260" spans="1:11">
      <c r="A260" s="21" t="s">
        <v>2233</v>
      </c>
      <c r="B260" s="21" t="s">
        <v>6084</v>
      </c>
      <c r="C260" s="21" t="s">
        <v>8</v>
      </c>
      <c r="D260" s="21" t="s">
        <v>538</v>
      </c>
      <c r="E260" s="21" t="s">
        <v>46</v>
      </c>
      <c r="F260" s="5812">
        <v>3</v>
      </c>
      <c r="G260" s="5813">
        <v>7.2222222222222215E-2</v>
      </c>
      <c r="H260" s="21" t="s">
        <v>10</v>
      </c>
      <c r="I260" s="21" t="s">
        <v>47</v>
      </c>
      <c r="J260" s="21" t="s">
        <v>1203</v>
      </c>
      <c r="K260" s="5814" t="s">
        <v>6085</v>
      </c>
    </row>
    <row r="261" spans="1:11">
      <c r="A261" s="21" t="s">
        <v>4257</v>
      </c>
      <c r="B261" s="21" t="s">
        <v>6086</v>
      </c>
      <c r="C261" s="21" t="s">
        <v>8</v>
      </c>
      <c r="D261" s="21" t="s">
        <v>538</v>
      </c>
      <c r="E261" s="21" t="s">
        <v>46</v>
      </c>
      <c r="F261" s="5812">
        <v>3</v>
      </c>
      <c r="G261" s="5813">
        <v>0.11666666666666667</v>
      </c>
      <c r="H261" s="21" t="s">
        <v>10</v>
      </c>
      <c r="I261" s="21" t="s">
        <v>226</v>
      </c>
      <c r="J261" s="21" t="s">
        <v>406</v>
      </c>
      <c r="K261" s="5814" t="s">
        <v>6087</v>
      </c>
    </row>
    <row r="262" spans="1:11">
      <c r="A262" s="21" t="s">
        <v>3757</v>
      </c>
      <c r="B262" s="21" t="s">
        <v>6088</v>
      </c>
      <c r="C262" s="21" t="s">
        <v>22</v>
      </c>
      <c r="D262" s="21" t="s">
        <v>538</v>
      </c>
      <c r="E262" s="21" t="s">
        <v>46</v>
      </c>
      <c r="F262" s="5812">
        <v>3</v>
      </c>
      <c r="G262" s="5813">
        <v>0.12222222222222222</v>
      </c>
      <c r="H262" s="21" t="s">
        <v>10</v>
      </c>
      <c r="I262" s="21" t="s">
        <v>226</v>
      </c>
      <c r="J262" s="21" t="s">
        <v>3063</v>
      </c>
      <c r="K262" s="5814" t="s">
        <v>6089</v>
      </c>
    </row>
    <row r="263" spans="1:11">
      <c r="A263" s="21" t="s">
        <v>2403</v>
      </c>
      <c r="B263" s="21" t="s">
        <v>6090</v>
      </c>
      <c r="C263" s="21" t="s">
        <v>22</v>
      </c>
      <c r="D263" s="21" t="s">
        <v>538</v>
      </c>
      <c r="E263" s="21" t="s">
        <v>46</v>
      </c>
      <c r="F263" s="5812">
        <v>3</v>
      </c>
      <c r="G263" s="5813">
        <v>0.13194444444444445</v>
      </c>
      <c r="H263" s="21" t="s">
        <v>10</v>
      </c>
      <c r="I263" s="21" t="s">
        <v>39</v>
      </c>
      <c r="J263" s="21" t="s">
        <v>97</v>
      </c>
      <c r="K263" s="5814" t="s">
        <v>6091</v>
      </c>
    </row>
    <row r="264" spans="1:11">
      <c r="A264" s="21" t="s">
        <v>2929</v>
      </c>
      <c r="B264" s="21" t="s">
        <v>6092</v>
      </c>
      <c r="C264" s="21" t="s">
        <v>8</v>
      </c>
      <c r="D264" s="21" t="s">
        <v>538</v>
      </c>
      <c r="E264" s="21" t="s">
        <v>46</v>
      </c>
      <c r="F264" s="5812">
        <v>3</v>
      </c>
      <c r="G264" s="5813">
        <v>0.13958333333333334</v>
      </c>
      <c r="H264" s="21" t="s">
        <v>10</v>
      </c>
      <c r="I264" s="21" t="s">
        <v>226</v>
      </c>
      <c r="J264" s="21" t="s">
        <v>1076</v>
      </c>
      <c r="K264" s="5814" t="s">
        <v>6093</v>
      </c>
    </row>
    <row r="265" spans="1:11">
      <c r="A265" s="21" t="s">
        <v>3116</v>
      </c>
      <c r="B265" s="21" t="s">
        <v>6094</v>
      </c>
      <c r="C265" s="21" t="s">
        <v>8</v>
      </c>
      <c r="D265" s="21" t="s">
        <v>538</v>
      </c>
      <c r="E265" s="21" t="s">
        <v>46</v>
      </c>
      <c r="F265" s="5812">
        <v>3</v>
      </c>
      <c r="G265" s="5813">
        <v>0.14305555555555555</v>
      </c>
      <c r="H265" s="21" t="s">
        <v>10</v>
      </c>
      <c r="I265" s="21" t="s">
        <v>55</v>
      </c>
      <c r="J265" s="21" t="s">
        <v>4687</v>
      </c>
      <c r="K265" s="5814" t="s">
        <v>6095</v>
      </c>
    </row>
    <row r="266" spans="1:11">
      <c r="A266" s="21" t="s">
        <v>4863</v>
      </c>
      <c r="B266" s="21" t="s">
        <v>6096</v>
      </c>
      <c r="C266" s="21" t="s">
        <v>8</v>
      </c>
      <c r="D266" s="21" t="s">
        <v>538</v>
      </c>
      <c r="E266" s="21" t="s">
        <v>46</v>
      </c>
      <c r="F266" s="5812">
        <v>3</v>
      </c>
      <c r="G266" s="5813">
        <v>0.14583333333333334</v>
      </c>
      <c r="H266" s="21" t="s">
        <v>54</v>
      </c>
      <c r="I266" s="21" t="s">
        <v>47</v>
      </c>
      <c r="J266" s="21" t="s">
        <v>406</v>
      </c>
      <c r="K266" s="5814" t="s">
        <v>6097</v>
      </c>
    </row>
    <row r="267" spans="1:11">
      <c r="A267" s="21" t="s">
        <v>2233</v>
      </c>
      <c r="B267" s="21" t="s">
        <v>6098</v>
      </c>
      <c r="C267" s="21" t="s">
        <v>8</v>
      </c>
      <c r="D267" s="21" t="s">
        <v>538</v>
      </c>
      <c r="E267" s="21" t="s">
        <v>46</v>
      </c>
      <c r="F267" s="5812">
        <v>3</v>
      </c>
      <c r="G267" s="5813">
        <v>0.15694444444444444</v>
      </c>
      <c r="H267" s="21" t="s">
        <v>10</v>
      </c>
      <c r="I267" s="21" t="s">
        <v>55</v>
      </c>
      <c r="J267" s="21" t="s">
        <v>430</v>
      </c>
      <c r="K267" s="5814" t="s">
        <v>6099</v>
      </c>
    </row>
    <row r="268" spans="1:11">
      <c r="A268" s="21" t="s">
        <v>2197</v>
      </c>
      <c r="B268" s="21" t="s">
        <v>6100</v>
      </c>
      <c r="C268" s="21" t="s">
        <v>8</v>
      </c>
      <c r="D268" s="21" t="s">
        <v>538</v>
      </c>
      <c r="E268" s="21" t="s">
        <v>46</v>
      </c>
      <c r="F268" s="5812">
        <v>3</v>
      </c>
      <c r="G268" s="5813">
        <v>0.16875000000000001</v>
      </c>
      <c r="H268" s="21" t="s">
        <v>10</v>
      </c>
      <c r="I268" s="21" t="s">
        <v>47</v>
      </c>
      <c r="J268" s="21" t="s">
        <v>1425</v>
      </c>
      <c r="K268" s="5814" t="s">
        <v>6101</v>
      </c>
    </row>
    <row r="269" spans="1:11">
      <c r="A269" s="21" t="s">
        <v>3144</v>
      </c>
      <c r="B269" s="21" t="s">
        <v>6102</v>
      </c>
      <c r="C269" s="21" t="s">
        <v>8</v>
      </c>
      <c r="D269" s="21" t="s">
        <v>538</v>
      </c>
      <c r="E269" s="21" t="s">
        <v>46</v>
      </c>
      <c r="F269" s="5812">
        <v>3</v>
      </c>
      <c r="G269" s="5813">
        <v>0.17291666666666666</v>
      </c>
      <c r="H269" s="21" t="s">
        <v>10</v>
      </c>
      <c r="I269" s="21" t="s">
        <v>4417</v>
      </c>
      <c r="J269" s="21" t="s">
        <v>430</v>
      </c>
      <c r="K269" s="5814" t="s">
        <v>6103</v>
      </c>
    </row>
    <row r="270" spans="1:11">
      <c r="A270" s="21" t="s">
        <v>3033</v>
      </c>
      <c r="B270" s="21" t="s">
        <v>6104</v>
      </c>
      <c r="C270" s="21" t="s">
        <v>8</v>
      </c>
      <c r="D270" s="21" t="s">
        <v>538</v>
      </c>
      <c r="E270" s="21" t="s">
        <v>46</v>
      </c>
      <c r="F270" s="5812">
        <v>3</v>
      </c>
      <c r="G270" s="5813">
        <v>0.18263888888888888</v>
      </c>
      <c r="H270" s="21" t="s">
        <v>54</v>
      </c>
      <c r="I270" s="21" t="s">
        <v>47</v>
      </c>
      <c r="J270" s="21" t="s">
        <v>97</v>
      </c>
      <c r="K270" s="5814" t="s">
        <v>6105</v>
      </c>
    </row>
    <row r="271" spans="1:11">
      <c r="A271" s="21" t="s">
        <v>5148</v>
      </c>
      <c r="B271" s="21" t="s">
        <v>6106</v>
      </c>
      <c r="C271" s="21" t="s">
        <v>8</v>
      </c>
      <c r="D271" s="21" t="s">
        <v>538</v>
      </c>
      <c r="E271" s="21" t="s">
        <v>46</v>
      </c>
      <c r="F271" s="5812">
        <v>3</v>
      </c>
      <c r="G271" s="5813">
        <v>0.20069444444444445</v>
      </c>
      <c r="H271" s="21" t="s">
        <v>10</v>
      </c>
      <c r="I271" s="21" t="s">
        <v>55</v>
      </c>
      <c r="J271" s="21" t="s">
        <v>97</v>
      </c>
      <c r="K271" s="5814" t="s">
        <v>6107</v>
      </c>
    </row>
    <row r="272" spans="1:11">
      <c r="A272" s="21" t="s">
        <v>2729</v>
      </c>
      <c r="B272" s="21" t="s">
        <v>6108</v>
      </c>
      <c r="C272" s="21" t="s">
        <v>22</v>
      </c>
      <c r="D272" s="21" t="s">
        <v>538</v>
      </c>
      <c r="E272" s="21" t="s">
        <v>46</v>
      </c>
      <c r="F272" s="5812">
        <v>4</v>
      </c>
      <c r="G272" s="5813">
        <v>6.805555555555555E-2</v>
      </c>
      <c r="H272" s="21" t="s">
        <v>54</v>
      </c>
      <c r="I272" s="21" t="s">
        <v>47</v>
      </c>
      <c r="J272" s="21" t="s">
        <v>406</v>
      </c>
      <c r="K272" s="5814" t="s">
        <v>6109</v>
      </c>
    </row>
    <row r="273" spans="1:11">
      <c r="A273" s="21" t="s">
        <v>4338</v>
      </c>
      <c r="B273" s="21" t="s">
        <v>6110</v>
      </c>
      <c r="C273" s="21" t="s">
        <v>8</v>
      </c>
      <c r="D273" s="21" t="s">
        <v>538</v>
      </c>
      <c r="E273" s="21" t="s">
        <v>46</v>
      </c>
      <c r="F273" s="5812">
        <v>4</v>
      </c>
      <c r="G273" s="5813">
        <v>0.15416666666666667</v>
      </c>
      <c r="H273" s="21" t="s">
        <v>54</v>
      </c>
      <c r="I273" s="21" t="s">
        <v>226</v>
      </c>
      <c r="J273" s="21" t="s">
        <v>430</v>
      </c>
      <c r="K273" s="5814" t="s">
        <v>6111</v>
      </c>
    </row>
    <row r="274" spans="1:11">
      <c r="A274" s="21" t="s">
        <v>4317</v>
      </c>
      <c r="B274" s="21" t="s">
        <v>6112</v>
      </c>
      <c r="C274" s="21" t="s">
        <v>22</v>
      </c>
      <c r="D274" s="21" t="s">
        <v>538</v>
      </c>
      <c r="E274" s="21" t="s">
        <v>46</v>
      </c>
      <c r="F274" s="5812">
        <v>4</v>
      </c>
      <c r="G274" s="5813">
        <v>0.16041666666666668</v>
      </c>
      <c r="H274" s="21" t="s">
        <v>54</v>
      </c>
      <c r="I274" s="21" t="s">
        <v>47</v>
      </c>
      <c r="J274" s="21" t="s">
        <v>1076</v>
      </c>
      <c r="K274" s="5814" t="s">
        <v>6113</v>
      </c>
    </row>
    <row r="275" spans="1:11">
      <c r="A275" s="21" t="s">
        <v>31</v>
      </c>
      <c r="B275" s="21" t="s">
        <v>550</v>
      </c>
      <c r="C275" s="21" t="s">
        <v>8</v>
      </c>
      <c r="D275" s="21" t="s">
        <v>538</v>
      </c>
      <c r="E275" s="21" t="s">
        <v>46</v>
      </c>
      <c r="F275" s="5812">
        <v>4</v>
      </c>
      <c r="G275" s="5813">
        <v>0.20833333333333334</v>
      </c>
      <c r="H275" s="21" t="s">
        <v>54</v>
      </c>
      <c r="I275" s="21" t="s">
        <v>47</v>
      </c>
      <c r="J275" s="21" t="s">
        <v>551</v>
      </c>
      <c r="K275" s="5814" t="s">
        <v>552</v>
      </c>
    </row>
    <row r="276" spans="1:11">
      <c r="A276" s="21" t="s">
        <v>2526</v>
      </c>
      <c r="B276" s="21" t="s">
        <v>6114</v>
      </c>
      <c r="C276" s="21" t="s">
        <v>8</v>
      </c>
      <c r="D276" s="21" t="s">
        <v>538</v>
      </c>
      <c r="E276" s="21" t="s">
        <v>46</v>
      </c>
      <c r="F276" s="5812">
        <v>5</v>
      </c>
      <c r="G276" s="5813">
        <v>1.8055555555555554E-2</v>
      </c>
      <c r="H276" s="21" t="s">
        <v>54</v>
      </c>
      <c r="I276" s="21" t="s">
        <v>55</v>
      </c>
      <c r="J276" s="21" t="s">
        <v>1117</v>
      </c>
      <c r="K276" s="5814" t="s">
        <v>6115</v>
      </c>
    </row>
    <row r="277" spans="1:11">
      <c r="A277" s="21" t="s">
        <v>4671</v>
      </c>
      <c r="B277" s="21" t="s">
        <v>6116</v>
      </c>
      <c r="C277" s="21" t="s">
        <v>8</v>
      </c>
      <c r="D277" s="21" t="s">
        <v>538</v>
      </c>
      <c r="E277" s="21" t="s">
        <v>46</v>
      </c>
      <c r="F277" s="5812">
        <v>5</v>
      </c>
      <c r="G277" s="5813">
        <v>0.11597222222222223</v>
      </c>
      <c r="H277" s="21" t="s">
        <v>54</v>
      </c>
      <c r="I277" s="21" t="s">
        <v>3534</v>
      </c>
      <c r="J277" s="21" t="s">
        <v>127</v>
      </c>
      <c r="K277" s="5814" t="s">
        <v>6117</v>
      </c>
    </row>
    <row r="278" spans="1:11">
      <c r="A278" s="21" t="s">
        <v>2070</v>
      </c>
      <c r="B278" s="21" t="s">
        <v>6118</v>
      </c>
      <c r="C278" s="21" t="s">
        <v>22</v>
      </c>
      <c r="D278" s="21" t="s">
        <v>538</v>
      </c>
      <c r="E278" s="21" t="s">
        <v>46</v>
      </c>
      <c r="F278" s="5812">
        <v>5</v>
      </c>
      <c r="G278" s="5813">
        <v>0.20555555555555555</v>
      </c>
      <c r="H278" s="21" t="s">
        <v>54</v>
      </c>
      <c r="I278" s="21" t="s">
        <v>226</v>
      </c>
      <c r="J278" s="21" t="s">
        <v>48</v>
      </c>
      <c r="K278" s="5814" t="s">
        <v>6119</v>
      </c>
    </row>
    <row r="279" spans="1:11">
      <c r="A279" s="21" t="s">
        <v>2221</v>
      </c>
      <c r="B279" s="21" t="s">
        <v>6132</v>
      </c>
      <c r="C279" s="21" t="s">
        <v>8</v>
      </c>
      <c r="D279" s="21" t="s">
        <v>538</v>
      </c>
      <c r="E279" s="21" t="s">
        <v>61</v>
      </c>
      <c r="F279" s="5812">
        <v>1</v>
      </c>
      <c r="G279" s="5813">
        <v>4.5138888888888888E-2</v>
      </c>
      <c r="H279" s="21" t="s">
        <v>10</v>
      </c>
      <c r="I279" s="21" t="s">
        <v>55</v>
      </c>
      <c r="J279" s="21" t="s">
        <v>5461</v>
      </c>
      <c r="K279" s="5814" t="s">
        <v>6133</v>
      </c>
    </row>
    <row r="280" spans="1:11">
      <c r="A280" s="21" t="s">
        <v>3217</v>
      </c>
      <c r="B280" s="21" t="s">
        <v>6134</v>
      </c>
      <c r="C280" s="21" t="s">
        <v>8</v>
      </c>
      <c r="D280" s="21" t="s">
        <v>538</v>
      </c>
      <c r="E280" s="21" t="s">
        <v>61</v>
      </c>
      <c r="F280" s="5812">
        <v>1</v>
      </c>
      <c r="G280" s="5813">
        <v>7.2916666666666671E-2</v>
      </c>
      <c r="H280" s="21" t="s">
        <v>10</v>
      </c>
      <c r="I280" s="21" t="s">
        <v>2713</v>
      </c>
      <c r="J280" s="21" t="s">
        <v>6135</v>
      </c>
      <c r="K280" s="5814" t="s">
        <v>6136</v>
      </c>
    </row>
    <row r="281" spans="1:11">
      <c r="A281" s="21" t="s">
        <v>3338</v>
      </c>
      <c r="B281" s="21" t="s">
        <v>6137</v>
      </c>
      <c r="C281" s="21" t="s">
        <v>22</v>
      </c>
      <c r="D281" s="21" t="s">
        <v>538</v>
      </c>
      <c r="E281" s="21" t="s">
        <v>61</v>
      </c>
      <c r="F281" s="5812">
        <v>1</v>
      </c>
      <c r="G281" s="5813">
        <v>7.6388888888888895E-2</v>
      </c>
      <c r="H281" s="21" t="s">
        <v>10</v>
      </c>
      <c r="I281" s="21" t="s">
        <v>39</v>
      </c>
      <c r="J281" s="21" t="s">
        <v>67</v>
      </c>
      <c r="K281" s="5814" t="s">
        <v>6138</v>
      </c>
    </row>
    <row r="282" spans="1:11">
      <c r="A282" s="21" t="s">
        <v>2905</v>
      </c>
      <c r="B282" s="21" t="s">
        <v>6139</v>
      </c>
      <c r="C282" s="21" t="s">
        <v>8</v>
      </c>
      <c r="D282" s="21" t="s">
        <v>538</v>
      </c>
      <c r="E282" s="21" t="s">
        <v>61</v>
      </c>
      <c r="F282" s="5812">
        <v>1</v>
      </c>
      <c r="G282" s="5813">
        <v>7.9166666666666663E-2</v>
      </c>
      <c r="H282" s="21" t="s">
        <v>10</v>
      </c>
      <c r="I282" s="21" t="s">
        <v>226</v>
      </c>
      <c r="J282" s="21" t="s">
        <v>3313</v>
      </c>
      <c r="K282" s="5814" t="s">
        <v>6140</v>
      </c>
    </row>
    <row r="283" spans="1:11">
      <c r="A283" s="21" t="s">
        <v>4338</v>
      </c>
      <c r="B283" s="21" t="s">
        <v>6141</v>
      </c>
      <c r="C283" s="21" t="s">
        <v>8</v>
      </c>
      <c r="D283" s="21" t="s">
        <v>538</v>
      </c>
      <c r="E283" s="21" t="s">
        <v>61</v>
      </c>
      <c r="F283" s="5812">
        <v>1</v>
      </c>
      <c r="G283" s="5813">
        <v>8.1250000000000003E-2</v>
      </c>
      <c r="H283" s="21" t="s">
        <v>10</v>
      </c>
      <c r="I283" s="21" t="s">
        <v>2297</v>
      </c>
      <c r="J283" s="21" t="s">
        <v>6142</v>
      </c>
      <c r="K283" s="5814" t="s">
        <v>6143</v>
      </c>
    </row>
    <row r="284" spans="1:11">
      <c r="A284" s="21" t="s">
        <v>2761</v>
      </c>
      <c r="B284" s="21" t="s">
        <v>6144</v>
      </c>
      <c r="C284" s="21" t="s">
        <v>8</v>
      </c>
      <c r="D284" s="21" t="s">
        <v>538</v>
      </c>
      <c r="E284" s="21" t="s">
        <v>61</v>
      </c>
      <c r="F284" s="5812">
        <v>1</v>
      </c>
      <c r="G284" s="5813">
        <v>8.8888888888888892E-2</v>
      </c>
      <c r="H284" s="21" t="s">
        <v>10</v>
      </c>
      <c r="I284" s="21" t="s">
        <v>788</v>
      </c>
      <c r="J284" s="21" t="s">
        <v>67</v>
      </c>
      <c r="K284" s="5814" t="s">
        <v>6145</v>
      </c>
    </row>
    <row r="285" spans="1:11">
      <c r="A285" s="21" t="s">
        <v>2893</v>
      </c>
      <c r="B285" s="21" t="s">
        <v>6146</v>
      </c>
      <c r="C285" s="21" t="s">
        <v>8</v>
      </c>
      <c r="D285" s="21" t="s">
        <v>538</v>
      </c>
      <c r="E285" s="21" t="s">
        <v>61</v>
      </c>
      <c r="F285" s="5812">
        <v>1</v>
      </c>
      <c r="G285" s="5813">
        <v>9.0972222222222218E-2</v>
      </c>
      <c r="H285" s="21" t="s">
        <v>10</v>
      </c>
      <c r="I285" s="21" t="s">
        <v>39</v>
      </c>
      <c r="J285" s="21" t="s">
        <v>6147</v>
      </c>
      <c r="K285" s="5814" t="s">
        <v>6148</v>
      </c>
    </row>
    <row r="286" spans="1:11">
      <c r="A286" s="21" t="s">
        <v>3002</v>
      </c>
      <c r="B286" s="21" t="s">
        <v>6149</v>
      </c>
      <c r="C286" s="21" t="s">
        <v>8</v>
      </c>
      <c r="D286" s="21" t="s">
        <v>538</v>
      </c>
      <c r="E286" s="21" t="s">
        <v>61</v>
      </c>
      <c r="F286" s="5812">
        <v>1</v>
      </c>
      <c r="G286" s="5813">
        <v>9.3055555555555558E-2</v>
      </c>
      <c r="H286" s="21" t="s">
        <v>10</v>
      </c>
      <c r="I286" s="21" t="s">
        <v>39</v>
      </c>
      <c r="J286" s="21" t="s">
        <v>3357</v>
      </c>
      <c r="K286" s="5814" t="s">
        <v>6150</v>
      </c>
    </row>
    <row r="287" spans="1:11">
      <c r="A287" s="21" t="s">
        <v>2812</v>
      </c>
      <c r="B287" s="21" t="s">
        <v>6151</v>
      </c>
      <c r="C287" s="21" t="s">
        <v>8</v>
      </c>
      <c r="D287" s="21" t="s">
        <v>538</v>
      </c>
      <c r="E287" s="21" t="s">
        <v>61</v>
      </c>
      <c r="F287" s="5812">
        <v>1</v>
      </c>
      <c r="G287" s="5813">
        <v>9.4444444444444442E-2</v>
      </c>
      <c r="H287" s="21" t="s">
        <v>10</v>
      </c>
      <c r="I287" s="21" t="s">
        <v>47</v>
      </c>
      <c r="J287" s="21" t="s">
        <v>67</v>
      </c>
      <c r="K287" s="5814" t="s">
        <v>6152</v>
      </c>
    </row>
    <row r="288" spans="1:11">
      <c r="A288" s="21" t="s">
        <v>3946</v>
      </c>
      <c r="B288" s="21" t="s">
        <v>6153</v>
      </c>
      <c r="C288" s="21" t="s">
        <v>8</v>
      </c>
      <c r="D288" s="21" t="s">
        <v>538</v>
      </c>
      <c r="E288" s="21" t="s">
        <v>61</v>
      </c>
      <c r="F288" s="5812">
        <v>1</v>
      </c>
      <c r="G288" s="5813">
        <v>0.10138888888888889</v>
      </c>
      <c r="H288" s="21" t="s">
        <v>10</v>
      </c>
      <c r="I288" s="21" t="s">
        <v>55</v>
      </c>
      <c r="J288" s="21" t="s">
        <v>67</v>
      </c>
      <c r="K288" s="5814" t="s">
        <v>6154</v>
      </c>
    </row>
    <row r="289" spans="1:11">
      <c r="A289" s="21" t="s">
        <v>2538</v>
      </c>
      <c r="B289" s="21" t="s">
        <v>6155</v>
      </c>
      <c r="C289" s="21" t="s">
        <v>8</v>
      </c>
      <c r="D289" s="21" t="s">
        <v>538</v>
      </c>
      <c r="E289" s="21" t="s">
        <v>61</v>
      </c>
      <c r="F289" s="5812">
        <v>1</v>
      </c>
      <c r="G289" s="5813">
        <v>0.10416666666666667</v>
      </c>
      <c r="H289" s="21" t="s">
        <v>10</v>
      </c>
      <c r="I289" s="21"/>
      <c r="J289" s="21" t="s">
        <v>1379</v>
      </c>
      <c r="K289" s="5814" t="s">
        <v>6156</v>
      </c>
    </row>
    <row r="290" spans="1:11">
      <c r="A290" s="21" t="s">
        <v>2241</v>
      </c>
      <c r="B290" s="21" t="s">
        <v>6157</v>
      </c>
      <c r="C290" s="21" t="s">
        <v>8</v>
      </c>
      <c r="D290" s="21" t="s">
        <v>538</v>
      </c>
      <c r="E290" s="21" t="s">
        <v>61</v>
      </c>
      <c r="F290" s="5812">
        <v>1</v>
      </c>
      <c r="G290" s="5813">
        <v>0.12291666666666666</v>
      </c>
      <c r="H290" s="21" t="s">
        <v>10</v>
      </c>
      <c r="I290" s="21" t="s">
        <v>3138</v>
      </c>
      <c r="J290" s="21" t="s">
        <v>6158</v>
      </c>
      <c r="K290" s="5814" t="s">
        <v>6159</v>
      </c>
    </row>
    <row r="291" spans="1:11">
      <c r="A291" s="21" t="s">
        <v>2918</v>
      </c>
      <c r="B291" s="21" t="s">
        <v>6160</v>
      </c>
      <c r="C291" s="21" t="s">
        <v>22</v>
      </c>
      <c r="D291" s="21" t="s">
        <v>538</v>
      </c>
      <c r="E291" s="21" t="s">
        <v>61</v>
      </c>
      <c r="F291" s="5812">
        <v>1</v>
      </c>
      <c r="G291" s="5813">
        <v>0.12847222222222221</v>
      </c>
      <c r="H291" s="21" t="s">
        <v>54</v>
      </c>
      <c r="I291" s="21" t="s">
        <v>47</v>
      </c>
      <c r="J291" s="21" t="s">
        <v>6161</v>
      </c>
      <c r="K291" s="5814" t="s">
        <v>6162</v>
      </c>
    </row>
    <row r="292" spans="1:11">
      <c r="A292" s="21" t="s">
        <v>2433</v>
      </c>
      <c r="B292" s="21" t="s">
        <v>6163</v>
      </c>
      <c r="C292" s="21" t="s">
        <v>8</v>
      </c>
      <c r="D292" s="21" t="s">
        <v>538</v>
      </c>
      <c r="E292" s="21" t="s">
        <v>61</v>
      </c>
      <c r="F292" s="5812">
        <v>1</v>
      </c>
      <c r="G292" s="5813">
        <v>0.15208333333333332</v>
      </c>
      <c r="H292" s="21" t="s">
        <v>10</v>
      </c>
      <c r="I292" s="21" t="s">
        <v>89</v>
      </c>
      <c r="J292" s="21" t="s">
        <v>6164</v>
      </c>
      <c r="K292" s="5814" t="s">
        <v>6165</v>
      </c>
    </row>
    <row r="293" spans="1:11">
      <c r="A293" s="21" t="s">
        <v>3495</v>
      </c>
      <c r="B293" s="21" t="s">
        <v>6166</v>
      </c>
      <c r="C293" s="21" t="s">
        <v>22</v>
      </c>
      <c r="D293" s="21" t="s">
        <v>538</v>
      </c>
      <c r="E293" s="21" t="s">
        <v>61</v>
      </c>
      <c r="F293" s="5812">
        <v>1</v>
      </c>
      <c r="G293" s="5813">
        <v>0.15486111111111112</v>
      </c>
      <c r="H293" s="21" t="s">
        <v>54</v>
      </c>
      <c r="I293" s="21" t="s">
        <v>226</v>
      </c>
      <c r="J293" s="21" t="s">
        <v>67</v>
      </c>
      <c r="K293" s="5814" t="s">
        <v>6167</v>
      </c>
    </row>
    <row r="294" spans="1:11">
      <c r="A294" s="21" t="s">
        <v>2438</v>
      </c>
      <c r="B294" s="21" t="s">
        <v>6168</v>
      </c>
      <c r="C294" s="21" t="s">
        <v>22</v>
      </c>
      <c r="D294" s="21" t="s">
        <v>538</v>
      </c>
      <c r="E294" s="21" t="s">
        <v>61</v>
      </c>
      <c r="F294" s="5812">
        <v>1</v>
      </c>
      <c r="G294" s="5813">
        <v>0.15625</v>
      </c>
      <c r="H294" s="21" t="s">
        <v>54</v>
      </c>
      <c r="I294" s="21" t="s">
        <v>47</v>
      </c>
      <c r="J294" s="21" t="s">
        <v>6169</v>
      </c>
      <c r="K294" s="5814" t="s">
        <v>6170</v>
      </c>
    </row>
    <row r="295" spans="1:11">
      <c r="A295" s="21" t="s">
        <v>3703</v>
      </c>
      <c r="B295" s="21" t="s">
        <v>6171</v>
      </c>
      <c r="C295" s="21" t="s">
        <v>8</v>
      </c>
      <c r="D295" s="21" t="s">
        <v>538</v>
      </c>
      <c r="E295" s="21" t="s">
        <v>61</v>
      </c>
      <c r="F295" s="5812">
        <v>1</v>
      </c>
      <c r="G295" s="5813">
        <v>0.15833333333333333</v>
      </c>
      <c r="H295" s="21" t="s">
        <v>10</v>
      </c>
      <c r="I295" s="21" t="s">
        <v>2523</v>
      </c>
      <c r="J295" s="21" t="s">
        <v>6164</v>
      </c>
      <c r="K295" s="5814" t="s">
        <v>6172</v>
      </c>
    </row>
    <row r="296" spans="1:11">
      <c r="A296" s="21" t="s">
        <v>20</v>
      </c>
      <c r="B296" s="21" t="s">
        <v>598</v>
      </c>
      <c r="C296" s="21" t="s">
        <v>22</v>
      </c>
      <c r="D296" s="21" t="s">
        <v>538</v>
      </c>
      <c r="E296" s="21" t="s">
        <v>61</v>
      </c>
      <c r="F296" s="5812">
        <v>1</v>
      </c>
      <c r="G296" s="5813">
        <v>0.17222222222222222</v>
      </c>
      <c r="H296" s="21" t="s">
        <v>54</v>
      </c>
      <c r="I296" s="21" t="s">
        <v>55</v>
      </c>
      <c r="J296" s="21" t="s">
        <v>67</v>
      </c>
      <c r="K296" s="5814" t="s">
        <v>599</v>
      </c>
    </row>
    <row r="297" spans="1:11">
      <c r="A297" s="21" t="s">
        <v>2995</v>
      </c>
      <c r="B297" s="21" t="s">
        <v>6173</v>
      </c>
      <c r="C297" s="21" t="s">
        <v>22</v>
      </c>
      <c r="D297" s="21" t="s">
        <v>538</v>
      </c>
      <c r="E297" s="21" t="s">
        <v>61</v>
      </c>
      <c r="F297" s="5812">
        <v>1</v>
      </c>
      <c r="G297" s="5813">
        <v>0.17430555555555555</v>
      </c>
      <c r="H297" s="21" t="s">
        <v>10</v>
      </c>
      <c r="I297" s="21" t="s">
        <v>55</v>
      </c>
      <c r="J297" s="21" t="s">
        <v>1194</v>
      </c>
      <c r="K297" s="5814" t="s">
        <v>6174</v>
      </c>
    </row>
    <row r="298" spans="1:11">
      <c r="A298" s="21" t="s">
        <v>2174</v>
      </c>
      <c r="B298" s="21" t="s">
        <v>6175</v>
      </c>
      <c r="C298" s="21" t="s">
        <v>8</v>
      </c>
      <c r="D298" s="21" t="s">
        <v>538</v>
      </c>
      <c r="E298" s="21" t="s">
        <v>61</v>
      </c>
      <c r="F298" s="5812">
        <v>1</v>
      </c>
      <c r="G298" s="5813">
        <v>0.17499999999999999</v>
      </c>
      <c r="H298" s="21" t="s">
        <v>10</v>
      </c>
      <c r="I298" s="21" t="s">
        <v>2176</v>
      </c>
      <c r="J298" s="21" t="s">
        <v>62</v>
      </c>
      <c r="K298" s="5814" t="s">
        <v>6176</v>
      </c>
    </row>
    <row r="299" spans="1:11">
      <c r="A299" s="21" t="s">
        <v>2679</v>
      </c>
      <c r="B299" s="21" t="s">
        <v>6177</v>
      </c>
      <c r="C299" s="21" t="s">
        <v>22</v>
      </c>
      <c r="D299" s="21" t="s">
        <v>538</v>
      </c>
      <c r="E299" s="21" t="s">
        <v>61</v>
      </c>
      <c r="F299" s="5812">
        <v>1</v>
      </c>
      <c r="G299" s="5813">
        <v>0.18472222222222223</v>
      </c>
      <c r="H299" s="21" t="s">
        <v>54</v>
      </c>
      <c r="I299" s="21" t="s">
        <v>55</v>
      </c>
      <c r="J299" s="21" t="s">
        <v>67</v>
      </c>
      <c r="K299" s="5814" t="s">
        <v>6178</v>
      </c>
    </row>
    <row r="300" spans="1:11">
      <c r="A300" s="21" t="s">
        <v>2424</v>
      </c>
      <c r="B300" s="21" t="s">
        <v>6179</v>
      </c>
      <c r="C300" s="21" t="s">
        <v>8</v>
      </c>
      <c r="D300" s="21" t="s">
        <v>538</v>
      </c>
      <c r="E300" s="21" t="s">
        <v>61</v>
      </c>
      <c r="F300" s="5812">
        <v>1</v>
      </c>
      <c r="G300" s="5813">
        <v>0.19097222222222221</v>
      </c>
      <c r="H300" s="21" t="s">
        <v>10</v>
      </c>
      <c r="I300" s="21" t="s">
        <v>39</v>
      </c>
      <c r="J300" s="21" t="s">
        <v>67</v>
      </c>
      <c r="K300" s="5814" t="s">
        <v>6180</v>
      </c>
    </row>
    <row r="301" spans="1:11">
      <c r="A301" s="21" t="s">
        <v>2513</v>
      </c>
      <c r="B301" s="21" t="s">
        <v>6181</v>
      </c>
      <c r="C301" s="21" t="s">
        <v>8</v>
      </c>
      <c r="D301" s="21" t="s">
        <v>538</v>
      </c>
      <c r="E301" s="21" t="s">
        <v>61</v>
      </c>
      <c r="F301" s="5812">
        <v>1</v>
      </c>
      <c r="G301" s="5813">
        <v>0.2</v>
      </c>
      <c r="H301" s="21" t="s">
        <v>10</v>
      </c>
      <c r="I301" s="21" t="s">
        <v>55</v>
      </c>
      <c r="J301" s="21" t="s">
        <v>6182</v>
      </c>
      <c r="K301" s="5814" t="s">
        <v>6183</v>
      </c>
    </row>
    <row r="302" spans="1:11">
      <c r="A302" s="21" t="s">
        <v>3026</v>
      </c>
      <c r="B302" s="21" t="s">
        <v>6184</v>
      </c>
      <c r="C302" s="21" t="s">
        <v>22</v>
      </c>
      <c r="D302" s="21" t="s">
        <v>538</v>
      </c>
      <c r="E302" s="21" t="s">
        <v>61</v>
      </c>
      <c r="F302" s="5812">
        <v>2</v>
      </c>
      <c r="G302" s="5813">
        <v>4.791666666666667E-2</v>
      </c>
      <c r="H302" s="21" t="s">
        <v>10</v>
      </c>
      <c r="I302" s="21" t="s">
        <v>39</v>
      </c>
      <c r="J302" s="21" t="s">
        <v>67</v>
      </c>
      <c r="K302" s="5814" t="s">
        <v>6185</v>
      </c>
    </row>
    <row r="303" spans="1:11">
      <c r="A303" s="21" t="s">
        <v>3286</v>
      </c>
      <c r="B303" s="21" t="s">
        <v>6186</v>
      </c>
      <c r="C303" s="21" t="s">
        <v>8</v>
      </c>
      <c r="D303" s="21" t="s">
        <v>538</v>
      </c>
      <c r="E303" s="21" t="s">
        <v>61</v>
      </c>
      <c r="F303" s="5812">
        <v>2</v>
      </c>
      <c r="G303" s="5813">
        <v>7.013888888888889E-2</v>
      </c>
      <c r="H303" s="21" t="s">
        <v>10</v>
      </c>
      <c r="I303" s="21" t="s">
        <v>2523</v>
      </c>
      <c r="J303" s="21" t="s">
        <v>782</v>
      </c>
      <c r="K303" s="5814" t="s">
        <v>6187</v>
      </c>
    </row>
    <row r="304" spans="1:11">
      <c r="A304" s="21" t="s">
        <v>2724</v>
      </c>
      <c r="B304" s="21" t="s">
        <v>6188</v>
      </c>
      <c r="C304" s="21" t="s">
        <v>22</v>
      </c>
      <c r="D304" s="21" t="s">
        <v>538</v>
      </c>
      <c r="E304" s="21" t="s">
        <v>61</v>
      </c>
      <c r="F304" s="5812">
        <v>2</v>
      </c>
      <c r="G304" s="5813">
        <v>8.2638888888888887E-2</v>
      </c>
      <c r="H304" s="21" t="s">
        <v>10</v>
      </c>
      <c r="I304" s="21" t="s">
        <v>2726</v>
      </c>
      <c r="J304" s="21" t="s">
        <v>6189</v>
      </c>
      <c r="K304" s="5814" t="s">
        <v>6190</v>
      </c>
    </row>
    <row r="305" spans="1:11">
      <c r="A305" s="21" t="s">
        <v>3710</v>
      </c>
      <c r="B305" s="21" t="s">
        <v>620</v>
      </c>
      <c r="C305" s="21" t="s">
        <v>8</v>
      </c>
      <c r="D305" s="21" t="s">
        <v>538</v>
      </c>
      <c r="E305" s="21" t="s">
        <v>61</v>
      </c>
      <c r="F305" s="5812">
        <v>2</v>
      </c>
      <c r="G305" s="5813">
        <v>8.6805555555555552E-2</v>
      </c>
      <c r="H305" s="21" t="s">
        <v>10</v>
      </c>
      <c r="I305" s="21" t="s">
        <v>226</v>
      </c>
      <c r="J305" s="21" t="s">
        <v>67</v>
      </c>
      <c r="K305" s="5814" t="s">
        <v>6191</v>
      </c>
    </row>
    <row r="306" spans="1:11">
      <c r="A306" s="21" t="s">
        <v>2901</v>
      </c>
      <c r="B306" s="21" t="s">
        <v>6192</v>
      </c>
      <c r="C306" s="21" t="s">
        <v>8</v>
      </c>
      <c r="D306" s="21" t="s">
        <v>538</v>
      </c>
      <c r="E306" s="21" t="s">
        <v>61</v>
      </c>
      <c r="F306" s="5812">
        <v>2</v>
      </c>
      <c r="G306" s="5813">
        <v>8.819444444444445E-2</v>
      </c>
      <c r="H306" s="21" t="s">
        <v>10</v>
      </c>
      <c r="I306" s="21" t="s">
        <v>39</v>
      </c>
      <c r="J306" s="21" t="s">
        <v>6193</v>
      </c>
      <c r="K306" s="5814" t="s">
        <v>6194</v>
      </c>
    </row>
    <row r="307" spans="1:11">
      <c r="A307" s="21" t="s">
        <v>2647</v>
      </c>
      <c r="B307" s="21" t="s">
        <v>6195</v>
      </c>
      <c r="C307" s="21" t="s">
        <v>8</v>
      </c>
      <c r="D307" s="21" t="s">
        <v>538</v>
      </c>
      <c r="E307" s="21" t="s">
        <v>61</v>
      </c>
      <c r="F307" s="5812">
        <v>2</v>
      </c>
      <c r="G307" s="5813">
        <v>9.7916666666666666E-2</v>
      </c>
      <c r="H307" s="21" t="s">
        <v>10</v>
      </c>
      <c r="I307" s="21" t="s">
        <v>2713</v>
      </c>
      <c r="J307" s="21" t="s">
        <v>836</v>
      </c>
      <c r="K307" s="5814" t="s">
        <v>6196</v>
      </c>
    </row>
    <row r="308" spans="1:11">
      <c r="A308" s="21" t="s">
        <v>3769</v>
      </c>
      <c r="B308" s="21" t="s">
        <v>6197</v>
      </c>
      <c r="C308" s="21" t="s">
        <v>8</v>
      </c>
      <c r="D308" s="21" t="s">
        <v>538</v>
      </c>
      <c r="E308" s="21" t="s">
        <v>61</v>
      </c>
      <c r="F308" s="5812">
        <v>2</v>
      </c>
      <c r="G308" s="5813">
        <v>0.10625</v>
      </c>
      <c r="H308" s="21" t="s">
        <v>10</v>
      </c>
      <c r="I308" s="21" t="s">
        <v>2153</v>
      </c>
      <c r="J308" s="21" t="s">
        <v>67</v>
      </c>
      <c r="K308" s="5814" t="s">
        <v>6198</v>
      </c>
    </row>
    <row r="309" spans="1:11">
      <c r="A309" s="21" t="s">
        <v>3252</v>
      </c>
      <c r="B309" s="21" t="s">
        <v>6199</v>
      </c>
      <c r="C309" s="21" t="s">
        <v>22</v>
      </c>
      <c r="D309" s="21" t="s">
        <v>538</v>
      </c>
      <c r="E309" s="21" t="s">
        <v>61</v>
      </c>
      <c r="F309" s="5812">
        <v>2</v>
      </c>
      <c r="G309" s="5813">
        <v>0.13472222222222222</v>
      </c>
      <c r="H309" s="21" t="s">
        <v>10</v>
      </c>
      <c r="I309" s="21" t="s">
        <v>2269</v>
      </c>
      <c r="J309" s="21" t="s">
        <v>62</v>
      </c>
      <c r="K309" s="5814" t="s">
        <v>6200</v>
      </c>
    </row>
    <row r="310" spans="1:11">
      <c r="A310" s="21" t="s">
        <v>3430</v>
      </c>
      <c r="B310" s="21" t="s">
        <v>6201</v>
      </c>
      <c r="C310" s="21" t="s">
        <v>22</v>
      </c>
      <c r="D310" s="21" t="s">
        <v>538</v>
      </c>
      <c r="E310" s="21" t="s">
        <v>61</v>
      </c>
      <c r="F310" s="5812">
        <v>2</v>
      </c>
      <c r="G310" s="5813">
        <v>0.15555555555555556</v>
      </c>
      <c r="H310" s="21" t="s">
        <v>10</v>
      </c>
      <c r="I310" s="21" t="s">
        <v>2297</v>
      </c>
      <c r="J310" s="21" t="s">
        <v>67</v>
      </c>
      <c r="K310" s="5814" t="s">
        <v>6202</v>
      </c>
    </row>
    <row r="311" spans="1:11">
      <c r="A311" s="21" t="s">
        <v>2846</v>
      </c>
      <c r="B311" s="21" t="s">
        <v>6203</v>
      </c>
      <c r="C311" s="21" t="s">
        <v>22</v>
      </c>
      <c r="D311" s="21" t="s">
        <v>538</v>
      </c>
      <c r="E311" s="21" t="s">
        <v>61</v>
      </c>
      <c r="F311" s="5812">
        <v>2</v>
      </c>
      <c r="G311" s="5813">
        <v>0.15833333333333333</v>
      </c>
      <c r="H311" s="21" t="s">
        <v>10</v>
      </c>
      <c r="I311" s="21" t="s">
        <v>263</v>
      </c>
      <c r="J311" s="21" t="s">
        <v>4808</v>
      </c>
      <c r="K311" s="5814" t="s">
        <v>6204</v>
      </c>
    </row>
    <row r="312" spans="1:11">
      <c r="A312" s="21" t="s">
        <v>3192</v>
      </c>
      <c r="B312" s="21" t="s">
        <v>6205</v>
      </c>
      <c r="C312" s="21" t="s">
        <v>8</v>
      </c>
      <c r="D312" s="21" t="s">
        <v>538</v>
      </c>
      <c r="E312" s="21" t="s">
        <v>61</v>
      </c>
      <c r="F312" s="5812">
        <v>2</v>
      </c>
      <c r="G312" s="5813">
        <v>0.16527777777777777</v>
      </c>
      <c r="H312" s="21" t="s">
        <v>10</v>
      </c>
      <c r="I312" s="21" t="s">
        <v>2665</v>
      </c>
      <c r="J312" s="21" t="s">
        <v>67</v>
      </c>
      <c r="K312" s="5814" t="s">
        <v>6206</v>
      </c>
    </row>
    <row r="313" spans="1:11">
      <c r="A313" s="21" t="s">
        <v>3613</v>
      </c>
      <c r="B313" s="21" t="s">
        <v>6207</v>
      </c>
      <c r="C313" s="21" t="s">
        <v>8</v>
      </c>
      <c r="D313" s="21" t="s">
        <v>538</v>
      </c>
      <c r="E313" s="21" t="s">
        <v>61</v>
      </c>
      <c r="F313" s="5812">
        <v>2</v>
      </c>
      <c r="G313" s="5813">
        <v>0.18194444444444444</v>
      </c>
      <c r="H313" s="21" t="s">
        <v>10</v>
      </c>
      <c r="I313" s="21" t="s">
        <v>39</v>
      </c>
      <c r="J313" s="21" t="s">
        <v>836</v>
      </c>
      <c r="K313" s="5814" t="s">
        <v>6208</v>
      </c>
    </row>
    <row r="314" spans="1:11">
      <c r="A314" s="21" t="s">
        <v>2729</v>
      </c>
      <c r="B314" s="21" t="s">
        <v>6209</v>
      </c>
      <c r="C314" s="21" t="s">
        <v>22</v>
      </c>
      <c r="D314" s="21" t="s">
        <v>538</v>
      </c>
      <c r="E314" s="21" t="s">
        <v>61</v>
      </c>
      <c r="F314" s="5812">
        <v>2</v>
      </c>
      <c r="G314" s="5813">
        <v>0.18680555555555556</v>
      </c>
      <c r="H314" s="21" t="s">
        <v>10</v>
      </c>
      <c r="I314" s="21" t="s">
        <v>2731</v>
      </c>
      <c r="J314" s="21" t="s">
        <v>67</v>
      </c>
      <c r="K314" s="5814" t="s">
        <v>6210</v>
      </c>
    </row>
    <row r="315" spans="1:11">
      <c r="A315" s="21" t="s">
        <v>4654</v>
      </c>
      <c r="B315" s="21" t="s">
        <v>6211</v>
      </c>
      <c r="C315" s="21" t="s">
        <v>22</v>
      </c>
      <c r="D315" s="21" t="s">
        <v>538</v>
      </c>
      <c r="E315" s="21" t="s">
        <v>61</v>
      </c>
      <c r="F315" s="5812">
        <v>2</v>
      </c>
      <c r="G315" s="5813">
        <v>0.19236111111111112</v>
      </c>
      <c r="H315" s="21" t="s">
        <v>10</v>
      </c>
      <c r="I315" s="21" t="s">
        <v>55</v>
      </c>
      <c r="J315" s="21" t="s">
        <v>6212</v>
      </c>
      <c r="K315" s="5814" t="s">
        <v>6213</v>
      </c>
    </row>
    <row r="316" spans="1:11">
      <c r="A316" s="21" t="s">
        <v>3311</v>
      </c>
      <c r="B316" s="21" t="s">
        <v>6214</v>
      </c>
      <c r="C316" s="21" t="s">
        <v>8</v>
      </c>
      <c r="D316" s="21" t="s">
        <v>538</v>
      </c>
      <c r="E316" s="21" t="s">
        <v>61</v>
      </c>
      <c r="F316" s="5812">
        <v>2</v>
      </c>
      <c r="G316" s="5813">
        <v>0.19305555555555556</v>
      </c>
      <c r="H316" s="21" t="s">
        <v>10</v>
      </c>
      <c r="I316" s="21" t="s">
        <v>11</v>
      </c>
      <c r="J316" s="21" t="s">
        <v>1444</v>
      </c>
      <c r="K316" s="5814" t="s">
        <v>6215</v>
      </c>
    </row>
    <row r="317" spans="1:11">
      <c r="A317" s="21" t="s">
        <v>3082</v>
      </c>
      <c r="B317" s="21" t="s">
        <v>6216</v>
      </c>
      <c r="C317" s="21" t="s">
        <v>8</v>
      </c>
      <c r="D317" s="21" t="s">
        <v>538</v>
      </c>
      <c r="E317" s="21" t="s">
        <v>61</v>
      </c>
      <c r="F317" s="5812">
        <v>3</v>
      </c>
      <c r="G317" s="5813">
        <v>9.166666666666666E-2</v>
      </c>
      <c r="H317" s="21" t="s">
        <v>10</v>
      </c>
      <c r="I317" s="21" t="s">
        <v>788</v>
      </c>
      <c r="J317" s="21" t="s">
        <v>3313</v>
      </c>
      <c r="K317" s="5814" t="s">
        <v>6217</v>
      </c>
    </row>
    <row r="318" spans="1:11">
      <c r="A318" s="21" t="s">
        <v>2827</v>
      </c>
      <c r="B318" s="21" t="s">
        <v>6218</v>
      </c>
      <c r="C318" s="21" t="s">
        <v>22</v>
      </c>
      <c r="D318" s="21" t="s">
        <v>538</v>
      </c>
      <c r="E318" s="21" t="s">
        <v>61</v>
      </c>
      <c r="F318" s="5812">
        <v>3</v>
      </c>
      <c r="G318" s="5813">
        <v>0.12013888888888889</v>
      </c>
      <c r="H318" s="21" t="s">
        <v>54</v>
      </c>
      <c r="I318" s="21" t="s">
        <v>2713</v>
      </c>
      <c r="J318" s="21" t="s">
        <v>67</v>
      </c>
      <c r="K318" s="5814" t="s">
        <v>6219</v>
      </c>
    </row>
    <row r="319" spans="1:11">
      <c r="A319" s="21" t="s">
        <v>3616</v>
      </c>
      <c r="B319" s="21" t="s">
        <v>6220</v>
      </c>
      <c r="C319" s="21" t="s">
        <v>22</v>
      </c>
      <c r="D319" s="21" t="s">
        <v>538</v>
      </c>
      <c r="E319" s="21" t="s">
        <v>61</v>
      </c>
      <c r="F319" s="5812">
        <v>3</v>
      </c>
      <c r="G319" s="5813">
        <v>0.15555555555555556</v>
      </c>
      <c r="H319" s="21" t="s">
        <v>10</v>
      </c>
      <c r="I319" s="21" t="s">
        <v>39</v>
      </c>
      <c r="J319" s="21" t="s">
        <v>6221</v>
      </c>
      <c r="K319" s="5814" t="s">
        <v>6222</v>
      </c>
    </row>
    <row r="320" spans="1:11">
      <c r="A320" s="21" t="s">
        <v>4139</v>
      </c>
      <c r="B320" s="21" t="s">
        <v>6223</v>
      </c>
      <c r="C320" s="21" t="s">
        <v>8</v>
      </c>
      <c r="D320" s="21" t="s">
        <v>538</v>
      </c>
      <c r="E320" s="21" t="s">
        <v>61</v>
      </c>
      <c r="F320" s="5812">
        <v>3</v>
      </c>
      <c r="G320" s="5813">
        <v>0.1986111111111111</v>
      </c>
      <c r="H320" s="21" t="s">
        <v>10</v>
      </c>
      <c r="I320" s="21" t="s">
        <v>55</v>
      </c>
      <c r="J320" s="21" t="s">
        <v>6224</v>
      </c>
      <c r="K320" s="5814" t="s">
        <v>6225</v>
      </c>
    </row>
    <row r="321" spans="1:11">
      <c r="A321" s="21" t="s">
        <v>3195</v>
      </c>
      <c r="B321" s="21" t="s">
        <v>6226</v>
      </c>
      <c r="C321" s="21" t="s">
        <v>22</v>
      </c>
      <c r="D321" s="21" t="s">
        <v>538</v>
      </c>
      <c r="E321" s="21" t="s">
        <v>46</v>
      </c>
      <c r="F321" s="5812">
        <v>2</v>
      </c>
      <c r="G321" s="5813">
        <v>6.8750000000000006E-2</v>
      </c>
      <c r="H321" s="21" t="s">
        <v>10</v>
      </c>
      <c r="I321" s="21" t="s">
        <v>2692</v>
      </c>
      <c r="J321" s="21"/>
      <c r="K321" s="5814" t="s">
        <v>6227</v>
      </c>
    </row>
    <row r="322" spans="1:11">
      <c r="A322" s="21" t="s">
        <v>3049</v>
      </c>
      <c r="B322" s="21" t="s">
        <v>6228</v>
      </c>
      <c r="C322" s="21" t="s">
        <v>8</v>
      </c>
      <c r="D322" s="21" t="s">
        <v>538</v>
      </c>
      <c r="E322" s="21" t="s">
        <v>46</v>
      </c>
      <c r="F322" s="5812">
        <v>2</v>
      </c>
      <c r="G322" s="5813">
        <v>0.20833333333333334</v>
      </c>
      <c r="H322" s="21" t="s">
        <v>10</v>
      </c>
      <c r="I322" s="21" t="s">
        <v>2523</v>
      </c>
      <c r="J322" s="21" t="s">
        <v>3622</v>
      </c>
      <c r="K322" s="5814" t="s">
        <v>6229</v>
      </c>
    </row>
    <row r="323" spans="1:11">
      <c r="A323" s="21" t="s">
        <v>2454</v>
      </c>
      <c r="B323" s="21" t="s">
        <v>9641</v>
      </c>
      <c r="C323" s="21" t="s">
        <v>8</v>
      </c>
      <c r="D323" s="21" t="s">
        <v>9642</v>
      </c>
      <c r="E323" s="21" t="s">
        <v>9</v>
      </c>
      <c r="F323" s="5812">
        <v>5</v>
      </c>
      <c r="G323" s="5813">
        <v>0.20833333333333334</v>
      </c>
      <c r="H323" s="21" t="s">
        <v>54</v>
      </c>
      <c r="I323" s="21" t="s">
        <v>55</v>
      </c>
      <c r="J323" s="21" t="s">
        <v>9643</v>
      </c>
      <c r="K323" s="5814" t="s">
        <v>9644</v>
      </c>
    </row>
    <row r="324" spans="1:11">
      <c r="A324" s="21" t="s">
        <v>2530</v>
      </c>
      <c r="B324" s="21" t="s">
        <v>9645</v>
      </c>
      <c r="C324" s="21" t="s">
        <v>8</v>
      </c>
      <c r="D324" s="21" t="s">
        <v>9642</v>
      </c>
      <c r="E324" s="21" t="s">
        <v>9</v>
      </c>
      <c r="F324" s="5812">
        <v>5</v>
      </c>
      <c r="G324" s="5813">
        <v>0.20833333333333334</v>
      </c>
      <c r="H324" s="21" t="s">
        <v>54</v>
      </c>
      <c r="I324" s="21" t="s">
        <v>47</v>
      </c>
      <c r="J324" s="21" t="s">
        <v>9646</v>
      </c>
      <c r="K324" s="5814" t="s">
        <v>9647</v>
      </c>
    </row>
    <row r="325" spans="1:11">
      <c r="A325" s="21" t="s">
        <v>3125</v>
      </c>
      <c r="B325" s="21" t="s">
        <v>9648</v>
      </c>
      <c r="C325" s="21" t="s">
        <v>8</v>
      </c>
      <c r="D325" s="21" t="s">
        <v>9642</v>
      </c>
      <c r="E325" s="21" t="s">
        <v>9</v>
      </c>
      <c r="F325" s="5812">
        <v>5</v>
      </c>
      <c r="G325" s="5813">
        <v>0.20833333333333334</v>
      </c>
      <c r="H325" s="21" t="s">
        <v>54</v>
      </c>
      <c r="I325" s="21" t="s">
        <v>55</v>
      </c>
      <c r="J325" s="21" t="s">
        <v>9649</v>
      </c>
      <c r="K325" s="5814" t="s">
        <v>9650</v>
      </c>
    </row>
    <row r="326" spans="1:11">
      <c r="A326" s="21" t="s">
        <v>4321</v>
      </c>
      <c r="B326" s="21" t="s">
        <v>9651</v>
      </c>
      <c r="C326" s="21" t="s">
        <v>8</v>
      </c>
      <c r="D326" s="21" t="s">
        <v>9642</v>
      </c>
      <c r="E326" s="21" t="s">
        <v>46</v>
      </c>
      <c r="F326" s="5812">
        <v>1</v>
      </c>
      <c r="G326" s="5813">
        <v>9.8611111111111108E-2</v>
      </c>
      <c r="H326" s="21" t="s">
        <v>54</v>
      </c>
      <c r="I326" s="21" t="s">
        <v>55</v>
      </c>
      <c r="J326" s="21" t="s">
        <v>406</v>
      </c>
      <c r="K326" s="5814" t="s">
        <v>9652</v>
      </c>
    </row>
    <row r="327" spans="1:11">
      <c r="A327" s="21" t="s">
        <v>2839</v>
      </c>
      <c r="B327" s="21" t="s">
        <v>9653</v>
      </c>
      <c r="C327" s="21" t="s">
        <v>22</v>
      </c>
      <c r="D327" s="21" t="s">
        <v>9642</v>
      </c>
      <c r="E327" s="21" t="s">
        <v>46</v>
      </c>
      <c r="F327" s="5812">
        <v>1</v>
      </c>
      <c r="G327" s="5813">
        <v>0.11597222222222223</v>
      </c>
      <c r="H327" s="21" t="s">
        <v>54</v>
      </c>
      <c r="I327" s="21" t="s">
        <v>226</v>
      </c>
      <c r="J327" s="21" t="s">
        <v>406</v>
      </c>
      <c r="K327" s="5814" t="s">
        <v>9654</v>
      </c>
    </row>
    <row r="328" spans="1:11">
      <c r="A328" s="21" t="s">
        <v>2824</v>
      </c>
      <c r="B328" s="21" t="s">
        <v>9655</v>
      </c>
      <c r="C328" s="21" t="s">
        <v>8</v>
      </c>
      <c r="D328" s="21" t="s">
        <v>9642</v>
      </c>
      <c r="E328" s="21" t="s">
        <v>46</v>
      </c>
      <c r="F328" s="5812">
        <v>1</v>
      </c>
      <c r="G328" s="5813">
        <v>0.18541666666666667</v>
      </c>
      <c r="H328" s="21" t="s">
        <v>54</v>
      </c>
      <c r="I328" s="21" t="s">
        <v>47</v>
      </c>
      <c r="J328" s="21" t="s">
        <v>5326</v>
      </c>
      <c r="K328" s="5814" t="s">
        <v>9656</v>
      </c>
    </row>
    <row r="329" spans="1:11">
      <c r="A329" s="21" t="s">
        <v>2707</v>
      </c>
      <c r="B329" s="21" t="s">
        <v>9645</v>
      </c>
      <c r="C329" s="21" t="s">
        <v>22</v>
      </c>
      <c r="D329" s="21" t="s">
        <v>9642</v>
      </c>
      <c r="E329" s="21" t="s">
        <v>46</v>
      </c>
      <c r="F329" s="5812">
        <v>1</v>
      </c>
      <c r="G329" s="5813">
        <v>0.18958333333333333</v>
      </c>
      <c r="H329" s="21" t="s">
        <v>54</v>
      </c>
      <c r="I329" s="21" t="s">
        <v>47</v>
      </c>
      <c r="J329" s="21" t="s">
        <v>1076</v>
      </c>
      <c r="K329" s="5814" t="s">
        <v>9657</v>
      </c>
    </row>
    <row r="330" spans="1:11">
      <c r="A330" s="21" t="s">
        <v>3224</v>
      </c>
      <c r="B330" s="21" t="s">
        <v>9648</v>
      </c>
      <c r="C330" s="21" t="s">
        <v>22</v>
      </c>
      <c r="D330" s="21" t="s">
        <v>9642</v>
      </c>
      <c r="E330" s="21" t="s">
        <v>46</v>
      </c>
      <c r="F330" s="5812">
        <v>2</v>
      </c>
      <c r="G330" s="5813">
        <v>3.6111111111111108E-2</v>
      </c>
      <c r="H330" s="21" t="s">
        <v>54</v>
      </c>
      <c r="I330" s="21" t="s">
        <v>55</v>
      </c>
      <c r="J330" s="21" t="s">
        <v>48</v>
      </c>
      <c r="K330" s="5814" t="s">
        <v>9658</v>
      </c>
    </row>
    <row r="331" spans="1:11">
      <c r="A331" s="21" t="s">
        <v>2169</v>
      </c>
      <c r="B331" s="21" t="s">
        <v>9659</v>
      </c>
      <c r="C331" s="21" t="s">
        <v>22</v>
      </c>
      <c r="D331" s="21" t="s">
        <v>9642</v>
      </c>
      <c r="E331" s="21" t="s">
        <v>46</v>
      </c>
      <c r="F331" s="5812">
        <v>4</v>
      </c>
      <c r="G331" s="5813">
        <v>0.17291666666666666</v>
      </c>
      <c r="H331" s="21" t="s">
        <v>54</v>
      </c>
      <c r="I331" s="21" t="s">
        <v>55</v>
      </c>
      <c r="J331" s="21" t="s">
        <v>97</v>
      </c>
      <c r="K331" s="5814" t="s">
        <v>9660</v>
      </c>
    </row>
    <row r="332" spans="1:11">
      <c r="A332" s="21" t="s">
        <v>2049</v>
      </c>
      <c r="B332" s="21" t="s">
        <v>9661</v>
      </c>
      <c r="C332" s="21" t="s">
        <v>8</v>
      </c>
      <c r="D332" s="21" t="s">
        <v>9642</v>
      </c>
      <c r="E332" s="21" t="s">
        <v>61</v>
      </c>
      <c r="F332" s="5812">
        <v>1</v>
      </c>
      <c r="G332" s="5813">
        <v>8.611111111111111E-2</v>
      </c>
      <c r="H332" s="21" t="s">
        <v>54</v>
      </c>
      <c r="I332" s="21" t="s">
        <v>47</v>
      </c>
      <c r="J332" s="21" t="s">
        <v>3313</v>
      </c>
      <c r="K332" s="5814" t="s">
        <v>9662</v>
      </c>
    </row>
    <row r="333" spans="1:11">
      <c r="A333" s="21" t="s">
        <v>3741</v>
      </c>
      <c r="B333" s="21" t="s">
        <v>9663</v>
      </c>
      <c r="C333" s="21" t="s">
        <v>8</v>
      </c>
      <c r="D333" s="21" t="s">
        <v>9642</v>
      </c>
      <c r="E333" s="21" t="s">
        <v>61</v>
      </c>
      <c r="F333" s="5812">
        <v>2</v>
      </c>
      <c r="G333" s="5813">
        <v>9.3055555555555558E-2</v>
      </c>
      <c r="H333" s="21" t="s">
        <v>54</v>
      </c>
      <c r="I333" s="21" t="s">
        <v>55</v>
      </c>
      <c r="J333" s="21" t="s">
        <v>67</v>
      </c>
      <c r="K333" s="5814" t="s">
        <v>9664</v>
      </c>
    </row>
    <row r="334" spans="1:11">
      <c r="A334" s="21" t="s">
        <v>3260</v>
      </c>
      <c r="B334" s="21" t="s">
        <v>9665</v>
      </c>
      <c r="C334" s="21" t="s">
        <v>22</v>
      </c>
      <c r="D334" s="21" t="s">
        <v>9642</v>
      </c>
      <c r="E334" s="21" t="s">
        <v>61</v>
      </c>
      <c r="F334" s="5812">
        <v>3</v>
      </c>
      <c r="G334" s="5813">
        <v>9.2361111111111116E-2</v>
      </c>
      <c r="H334" s="21" t="s">
        <v>54</v>
      </c>
      <c r="I334" s="21" t="s">
        <v>55</v>
      </c>
      <c r="J334" s="21" t="s">
        <v>3313</v>
      </c>
      <c r="K334" s="5814" t="s">
        <v>9666</v>
      </c>
    </row>
    <row r="335" spans="1:11">
      <c r="A335" s="21" t="s">
        <v>223</v>
      </c>
      <c r="B335" s="21" t="s">
        <v>1106</v>
      </c>
      <c r="C335" s="21" t="s">
        <v>22</v>
      </c>
      <c r="D335" s="21" t="s">
        <v>1107</v>
      </c>
      <c r="E335" s="21" t="s">
        <v>46</v>
      </c>
      <c r="F335" s="5812">
        <v>1</v>
      </c>
      <c r="G335" s="5813">
        <v>4.791666666666667E-2</v>
      </c>
      <c r="H335" s="21" t="s">
        <v>54</v>
      </c>
      <c r="I335" s="21" t="s">
        <v>226</v>
      </c>
      <c r="J335" s="21" t="s">
        <v>48</v>
      </c>
      <c r="K335" s="5814" t="s">
        <v>1108</v>
      </c>
    </row>
    <row r="336" spans="1:11">
      <c r="A336" s="21" t="s">
        <v>2115</v>
      </c>
      <c r="B336" s="21" t="s">
        <v>9683</v>
      </c>
      <c r="C336" s="21" t="s">
        <v>22</v>
      </c>
      <c r="D336" s="21" t="s">
        <v>1107</v>
      </c>
      <c r="E336" s="21" t="s">
        <v>46</v>
      </c>
      <c r="F336" s="5812">
        <v>3</v>
      </c>
      <c r="G336" s="5813">
        <v>0.17430555555555555</v>
      </c>
      <c r="H336" s="21" t="s">
        <v>54</v>
      </c>
      <c r="I336" s="21" t="s">
        <v>226</v>
      </c>
      <c r="J336" s="21" t="s">
        <v>127</v>
      </c>
      <c r="K336" s="5814" t="s">
        <v>9684</v>
      </c>
    </row>
    <row r="337" spans="1:11">
      <c r="A337" s="21" t="s">
        <v>3002</v>
      </c>
      <c r="B337" s="21" t="s">
        <v>9982</v>
      </c>
      <c r="C337" s="21" t="s">
        <v>8</v>
      </c>
      <c r="D337" s="21" t="s">
        <v>9983</v>
      </c>
      <c r="E337" s="21" t="s">
        <v>61</v>
      </c>
      <c r="F337" s="5812">
        <v>1</v>
      </c>
      <c r="G337" s="5813">
        <v>0.15</v>
      </c>
      <c r="H337" s="21" t="s">
        <v>2081</v>
      </c>
      <c r="I337" s="21" t="s">
        <v>39</v>
      </c>
      <c r="J337" s="21" t="s">
        <v>9984</v>
      </c>
      <c r="K337" s="5814" t="s">
        <v>9985</v>
      </c>
    </row>
  </sheetData>
  <hyperlinks>
    <hyperlink ref="K4" r:id="rId1" xr:uid="{00000000-0004-0000-0F00-000000000000}"/>
    <hyperlink ref="K5" r:id="rId2" xr:uid="{00000000-0004-0000-0F00-000001000000}"/>
    <hyperlink ref="K6" r:id="rId3" xr:uid="{00000000-0004-0000-0F00-000002000000}"/>
    <hyperlink ref="K7" r:id="rId4" xr:uid="{00000000-0004-0000-0F00-000003000000}"/>
    <hyperlink ref="K8" r:id="rId5" xr:uid="{00000000-0004-0000-0F00-000004000000}"/>
    <hyperlink ref="K9" r:id="rId6" xr:uid="{00000000-0004-0000-0F00-000005000000}"/>
    <hyperlink ref="K10" r:id="rId7" xr:uid="{00000000-0004-0000-0F00-000006000000}"/>
    <hyperlink ref="K11" r:id="rId8" xr:uid="{00000000-0004-0000-0F00-000007000000}"/>
    <hyperlink ref="K12" r:id="rId9" xr:uid="{00000000-0004-0000-0F00-000008000000}"/>
    <hyperlink ref="K13" r:id="rId10" xr:uid="{00000000-0004-0000-0F00-000009000000}"/>
    <hyperlink ref="K14" r:id="rId11" xr:uid="{00000000-0004-0000-0F00-00000A000000}"/>
    <hyperlink ref="K15" r:id="rId12" xr:uid="{00000000-0004-0000-0F00-00000B000000}"/>
    <hyperlink ref="K16" r:id="rId13" xr:uid="{00000000-0004-0000-0F00-00000C000000}"/>
    <hyperlink ref="K17" r:id="rId14" xr:uid="{00000000-0004-0000-0F00-00000D000000}"/>
    <hyperlink ref="K18" r:id="rId15" xr:uid="{00000000-0004-0000-0F00-00000E000000}"/>
    <hyperlink ref="K19" r:id="rId16" xr:uid="{00000000-0004-0000-0F00-00000F000000}"/>
    <hyperlink ref="K20" r:id="rId17" xr:uid="{00000000-0004-0000-0F00-000010000000}"/>
    <hyperlink ref="K21" r:id="rId18" xr:uid="{00000000-0004-0000-0F00-000011000000}"/>
    <hyperlink ref="K22" r:id="rId19" xr:uid="{00000000-0004-0000-0F00-000012000000}"/>
    <hyperlink ref="K23" r:id="rId20" xr:uid="{00000000-0004-0000-0F00-000013000000}"/>
    <hyperlink ref="K24" r:id="rId21" xr:uid="{00000000-0004-0000-0F00-000014000000}"/>
    <hyperlink ref="K25" r:id="rId22" xr:uid="{00000000-0004-0000-0F00-000015000000}"/>
    <hyperlink ref="K26" r:id="rId23" xr:uid="{00000000-0004-0000-0F00-000016000000}"/>
    <hyperlink ref="K27" r:id="rId24" xr:uid="{00000000-0004-0000-0F00-000017000000}"/>
    <hyperlink ref="K28" r:id="rId25" xr:uid="{00000000-0004-0000-0F00-000018000000}"/>
    <hyperlink ref="K29" r:id="rId26" xr:uid="{00000000-0004-0000-0F00-000019000000}"/>
    <hyperlink ref="K30" r:id="rId27" xr:uid="{00000000-0004-0000-0F00-00001A000000}"/>
    <hyperlink ref="K31" r:id="rId28" xr:uid="{00000000-0004-0000-0F00-00001B000000}"/>
    <hyperlink ref="K32" r:id="rId29" xr:uid="{00000000-0004-0000-0F00-00001C000000}"/>
    <hyperlink ref="K33" r:id="rId30" xr:uid="{00000000-0004-0000-0F00-00001D000000}"/>
    <hyperlink ref="K34" r:id="rId31" xr:uid="{00000000-0004-0000-0F00-00001E000000}"/>
    <hyperlink ref="K35" r:id="rId32" xr:uid="{00000000-0004-0000-0F00-00001F000000}"/>
    <hyperlink ref="K36" r:id="rId33" xr:uid="{00000000-0004-0000-0F00-000020000000}"/>
    <hyperlink ref="K37" r:id="rId34" xr:uid="{00000000-0004-0000-0F00-000021000000}"/>
    <hyperlink ref="K38" r:id="rId35" xr:uid="{00000000-0004-0000-0F00-000022000000}"/>
    <hyperlink ref="K39" r:id="rId36" xr:uid="{00000000-0004-0000-0F00-000023000000}"/>
    <hyperlink ref="K40" r:id="rId37" xr:uid="{00000000-0004-0000-0F00-000024000000}"/>
    <hyperlink ref="K41" r:id="rId38" xr:uid="{00000000-0004-0000-0F00-000025000000}"/>
    <hyperlink ref="K42" r:id="rId39" xr:uid="{00000000-0004-0000-0F00-000026000000}"/>
    <hyperlink ref="K43" r:id="rId40" xr:uid="{00000000-0004-0000-0F00-000027000000}"/>
    <hyperlink ref="K44" r:id="rId41" xr:uid="{00000000-0004-0000-0F00-000028000000}"/>
    <hyperlink ref="K45" r:id="rId42" xr:uid="{00000000-0004-0000-0F00-000029000000}"/>
    <hyperlink ref="K46" r:id="rId43" xr:uid="{00000000-0004-0000-0F00-00002A000000}"/>
    <hyperlink ref="K47" r:id="rId44" xr:uid="{00000000-0004-0000-0F00-00002B000000}"/>
    <hyperlink ref="K48" r:id="rId45" xr:uid="{00000000-0004-0000-0F00-00002C000000}"/>
    <hyperlink ref="K49" r:id="rId46" xr:uid="{00000000-0004-0000-0F00-00002D000000}"/>
    <hyperlink ref="K50" r:id="rId47" xr:uid="{00000000-0004-0000-0F00-00002E000000}"/>
    <hyperlink ref="K51" r:id="rId48" xr:uid="{00000000-0004-0000-0F00-00002F000000}"/>
    <hyperlink ref="K52" r:id="rId49" xr:uid="{00000000-0004-0000-0F00-000030000000}"/>
    <hyperlink ref="K53" r:id="rId50" xr:uid="{00000000-0004-0000-0F00-000031000000}"/>
    <hyperlink ref="K54" r:id="rId51" xr:uid="{00000000-0004-0000-0F00-000032000000}"/>
    <hyperlink ref="K55" r:id="rId52" xr:uid="{00000000-0004-0000-0F00-000033000000}"/>
    <hyperlink ref="K56" r:id="rId53" xr:uid="{00000000-0004-0000-0F00-000034000000}"/>
    <hyperlink ref="K57" r:id="rId54" xr:uid="{00000000-0004-0000-0F00-000035000000}"/>
    <hyperlink ref="K58" r:id="rId55" xr:uid="{00000000-0004-0000-0F00-000036000000}"/>
    <hyperlink ref="K59" r:id="rId56" xr:uid="{00000000-0004-0000-0F00-000037000000}"/>
    <hyperlink ref="K60" r:id="rId57" xr:uid="{00000000-0004-0000-0F00-000038000000}"/>
    <hyperlink ref="K61" r:id="rId58" xr:uid="{00000000-0004-0000-0F00-000039000000}"/>
    <hyperlink ref="K62" r:id="rId59" xr:uid="{00000000-0004-0000-0F00-00003A000000}"/>
    <hyperlink ref="K63" r:id="rId60" xr:uid="{00000000-0004-0000-0F00-00003B000000}"/>
    <hyperlink ref="K64" r:id="rId61" xr:uid="{00000000-0004-0000-0F00-00003C000000}"/>
    <hyperlink ref="K65" r:id="rId62" xr:uid="{00000000-0004-0000-0F00-00003D000000}"/>
    <hyperlink ref="K66" r:id="rId63" xr:uid="{00000000-0004-0000-0F00-00003E000000}"/>
    <hyperlink ref="K67" r:id="rId64" xr:uid="{00000000-0004-0000-0F00-00003F000000}"/>
    <hyperlink ref="K68" r:id="rId65" xr:uid="{00000000-0004-0000-0F00-000040000000}"/>
    <hyperlink ref="K69" r:id="rId66" xr:uid="{00000000-0004-0000-0F00-000041000000}"/>
    <hyperlink ref="K70" r:id="rId67" xr:uid="{00000000-0004-0000-0F00-000042000000}"/>
    <hyperlink ref="K71" r:id="rId68" xr:uid="{00000000-0004-0000-0F00-000043000000}"/>
    <hyperlink ref="K72" r:id="rId69" xr:uid="{00000000-0004-0000-0F00-000044000000}"/>
    <hyperlink ref="K73" r:id="rId70" xr:uid="{00000000-0004-0000-0F00-000045000000}"/>
    <hyperlink ref="K74" r:id="rId71" xr:uid="{00000000-0004-0000-0F00-000046000000}"/>
    <hyperlink ref="K75" r:id="rId72" xr:uid="{00000000-0004-0000-0F00-000047000000}"/>
    <hyperlink ref="K76" r:id="rId73" xr:uid="{00000000-0004-0000-0F00-000048000000}"/>
    <hyperlink ref="K77" r:id="rId74" xr:uid="{00000000-0004-0000-0F00-000049000000}"/>
    <hyperlink ref="K78" r:id="rId75" xr:uid="{00000000-0004-0000-0F00-00004A000000}"/>
    <hyperlink ref="K79" r:id="rId76" xr:uid="{00000000-0004-0000-0F00-00004B000000}"/>
    <hyperlink ref="K80" r:id="rId77" xr:uid="{00000000-0004-0000-0F00-00004C000000}"/>
    <hyperlink ref="K81" r:id="rId78" xr:uid="{00000000-0004-0000-0F00-00004D000000}"/>
    <hyperlink ref="K82" r:id="rId79" xr:uid="{00000000-0004-0000-0F00-00004E000000}"/>
    <hyperlink ref="K83" r:id="rId80" xr:uid="{00000000-0004-0000-0F00-00004F000000}"/>
    <hyperlink ref="K84" r:id="rId81" xr:uid="{00000000-0004-0000-0F00-000050000000}"/>
    <hyperlink ref="K85" r:id="rId82" xr:uid="{00000000-0004-0000-0F00-000051000000}"/>
    <hyperlink ref="K86" r:id="rId83" xr:uid="{00000000-0004-0000-0F00-000052000000}"/>
    <hyperlink ref="K87" r:id="rId84" xr:uid="{00000000-0004-0000-0F00-000053000000}"/>
    <hyperlink ref="K88" r:id="rId85" xr:uid="{00000000-0004-0000-0F00-000054000000}"/>
    <hyperlink ref="K89" r:id="rId86" xr:uid="{00000000-0004-0000-0F00-000055000000}"/>
    <hyperlink ref="K90" r:id="rId87" xr:uid="{00000000-0004-0000-0F00-000056000000}"/>
    <hyperlink ref="K91" r:id="rId88" xr:uid="{00000000-0004-0000-0F00-000057000000}"/>
    <hyperlink ref="K92" r:id="rId89" xr:uid="{00000000-0004-0000-0F00-000058000000}"/>
    <hyperlink ref="K93" r:id="rId90" xr:uid="{00000000-0004-0000-0F00-000059000000}"/>
    <hyperlink ref="K94" r:id="rId91" xr:uid="{00000000-0004-0000-0F00-00005A000000}"/>
    <hyperlink ref="K95" r:id="rId92" xr:uid="{00000000-0004-0000-0F00-00005B000000}"/>
    <hyperlink ref="K96" r:id="rId93" xr:uid="{00000000-0004-0000-0F00-00005C000000}"/>
    <hyperlink ref="K97" r:id="rId94" xr:uid="{00000000-0004-0000-0F00-00005D000000}"/>
    <hyperlink ref="K98" r:id="rId95" xr:uid="{00000000-0004-0000-0F00-00005E000000}"/>
    <hyperlink ref="K99" r:id="rId96" xr:uid="{00000000-0004-0000-0F00-00005F000000}"/>
    <hyperlink ref="K100" r:id="rId97" xr:uid="{00000000-0004-0000-0F00-000060000000}"/>
    <hyperlink ref="K101" r:id="rId98" xr:uid="{00000000-0004-0000-0F00-000061000000}"/>
    <hyperlink ref="K102" r:id="rId99" xr:uid="{00000000-0004-0000-0F00-000062000000}"/>
    <hyperlink ref="K103" r:id="rId100" xr:uid="{00000000-0004-0000-0F00-000063000000}"/>
    <hyperlink ref="K104" r:id="rId101" xr:uid="{00000000-0004-0000-0F00-000064000000}"/>
    <hyperlink ref="K105" r:id="rId102" xr:uid="{00000000-0004-0000-0F00-000065000000}"/>
    <hyperlink ref="K106" r:id="rId103" xr:uid="{00000000-0004-0000-0F00-000066000000}"/>
    <hyperlink ref="K107" r:id="rId104" xr:uid="{00000000-0004-0000-0F00-000067000000}"/>
    <hyperlink ref="K108" r:id="rId105" xr:uid="{00000000-0004-0000-0F00-000068000000}"/>
    <hyperlink ref="K109" r:id="rId106" xr:uid="{00000000-0004-0000-0F00-000069000000}"/>
    <hyperlink ref="K110" r:id="rId107" xr:uid="{00000000-0004-0000-0F00-00006A000000}"/>
    <hyperlink ref="K111" r:id="rId108" xr:uid="{00000000-0004-0000-0F00-00006B000000}"/>
    <hyperlink ref="K112" r:id="rId109" xr:uid="{00000000-0004-0000-0F00-00006C000000}"/>
    <hyperlink ref="K113" r:id="rId110" xr:uid="{00000000-0004-0000-0F00-00006D000000}"/>
    <hyperlink ref="K114" r:id="rId111" xr:uid="{00000000-0004-0000-0F00-00006E000000}"/>
    <hyperlink ref="K115" r:id="rId112" xr:uid="{00000000-0004-0000-0F00-00006F000000}"/>
    <hyperlink ref="K116" r:id="rId113" xr:uid="{00000000-0004-0000-0F00-000070000000}"/>
    <hyperlink ref="K117" r:id="rId114" xr:uid="{00000000-0004-0000-0F00-000071000000}"/>
    <hyperlink ref="K118" r:id="rId115" xr:uid="{00000000-0004-0000-0F00-000072000000}"/>
    <hyperlink ref="K119" r:id="rId116" xr:uid="{00000000-0004-0000-0F00-000073000000}"/>
    <hyperlink ref="K120" r:id="rId117" xr:uid="{00000000-0004-0000-0F00-000074000000}"/>
    <hyperlink ref="K121" r:id="rId118" xr:uid="{00000000-0004-0000-0F00-000075000000}"/>
    <hyperlink ref="K122" r:id="rId119" xr:uid="{00000000-0004-0000-0F00-000076000000}"/>
    <hyperlink ref="K123" r:id="rId120" xr:uid="{00000000-0004-0000-0F00-000077000000}"/>
    <hyperlink ref="K124" r:id="rId121" xr:uid="{00000000-0004-0000-0F00-000078000000}"/>
    <hyperlink ref="K125" r:id="rId122" xr:uid="{00000000-0004-0000-0F00-000079000000}"/>
    <hyperlink ref="K126" r:id="rId123" xr:uid="{00000000-0004-0000-0F00-00007A000000}"/>
    <hyperlink ref="K127" r:id="rId124" xr:uid="{00000000-0004-0000-0F00-00007B000000}"/>
    <hyperlink ref="K128" r:id="rId125" xr:uid="{00000000-0004-0000-0F00-00007C000000}"/>
    <hyperlink ref="K129" r:id="rId126" xr:uid="{00000000-0004-0000-0F00-00007D000000}"/>
    <hyperlink ref="K130" r:id="rId127" xr:uid="{00000000-0004-0000-0F00-00007E000000}"/>
    <hyperlink ref="K131" r:id="rId128" xr:uid="{00000000-0004-0000-0F00-00007F000000}"/>
    <hyperlink ref="K132" r:id="rId129" xr:uid="{00000000-0004-0000-0F00-000080000000}"/>
    <hyperlink ref="K133" r:id="rId130" xr:uid="{00000000-0004-0000-0F00-000081000000}"/>
    <hyperlink ref="K134" r:id="rId131" xr:uid="{00000000-0004-0000-0F00-000082000000}"/>
    <hyperlink ref="K135" r:id="rId132" xr:uid="{00000000-0004-0000-0F00-000083000000}"/>
    <hyperlink ref="K136" r:id="rId133" xr:uid="{00000000-0004-0000-0F00-000084000000}"/>
    <hyperlink ref="K137" r:id="rId134" xr:uid="{00000000-0004-0000-0F00-000085000000}"/>
    <hyperlink ref="K138" r:id="rId135" xr:uid="{00000000-0004-0000-0F00-000086000000}"/>
    <hyperlink ref="K139" r:id="rId136" xr:uid="{00000000-0004-0000-0F00-000087000000}"/>
    <hyperlink ref="K140" r:id="rId137" xr:uid="{00000000-0004-0000-0F00-000088000000}"/>
    <hyperlink ref="K141" r:id="rId138" xr:uid="{00000000-0004-0000-0F00-000089000000}"/>
    <hyperlink ref="K142" r:id="rId139" xr:uid="{00000000-0004-0000-0F00-00008A000000}"/>
    <hyperlink ref="K143" r:id="rId140" xr:uid="{00000000-0004-0000-0F00-00008B000000}"/>
    <hyperlink ref="K144" r:id="rId141" xr:uid="{00000000-0004-0000-0F00-00008C000000}"/>
    <hyperlink ref="K145" r:id="rId142" xr:uid="{00000000-0004-0000-0F00-00008D000000}"/>
    <hyperlink ref="K146" r:id="rId143" xr:uid="{00000000-0004-0000-0F00-00008E000000}"/>
    <hyperlink ref="K147" r:id="rId144" xr:uid="{00000000-0004-0000-0F00-00008F000000}"/>
    <hyperlink ref="K148" r:id="rId145" xr:uid="{00000000-0004-0000-0F00-000090000000}"/>
    <hyperlink ref="K149" r:id="rId146" xr:uid="{00000000-0004-0000-0F00-000091000000}"/>
    <hyperlink ref="K150" r:id="rId147" xr:uid="{00000000-0004-0000-0F00-000092000000}"/>
    <hyperlink ref="K151" r:id="rId148" xr:uid="{00000000-0004-0000-0F00-000093000000}"/>
    <hyperlink ref="K152" r:id="rId149" xr:uid="{00000000-0004-0000-0F00-000094000000}"/>
    <hyperlink ref="K153" r:id="rId150" xr:uid="{00000000-0004-0000-0F00-000095000000}"/>
    <hyperlink ref="K154" r:id="rId151" xr:uid="{00000000-0004-0000-0F00-000096000000}"/>
    <hyperlink ref="K155" r:id="rId152" xr:uid="{00000000-0004-0000-0F00-000097000000}"/>
    <hyperlink ref="K156" r:id="rId153" xr:uid="{00000000-0004-0000-0F00-000098000000}"/>
    <hyperlink ref="K157" r:id="rId154" xr:uid="{00000000-0004-0000-0F00-000099000000}"/>
    <hyperlink ref="K158" r:id="rId155" xr:uid="{00000000-0004-0000-0F00-00009A000000}"/>
    <hyperlink ref="K159" r:id="rId156" xr:uid="{00000000-0004-0000-0F00-00009B000000}"/>
    <hyperlink ref="K160" r:id="rId157" xr:uid="{00000000-0004-0000-0F00-00009C000000}"/>
    <hyperlink ref="K161" r:id="rId158" xr:uid="{00000000-0004-0000-0F00-00009D000000}"/>
    <hyperlink ref="K162" r:id="rId159" xr:uid="{00000000-0004-0000-0F00-00009E000000}"/>
    <hyperlink ref="K163" r:id="rId160" xr:uid="{00000000-0004-0000-0F00-00009F000000}"/>
    <hyperlink ref="K164" r:id="rId161" xr:uid="{00000000-0004-0000-0F00-0000A0000000}"/>
    <hyperlink ref="K165" r:id="rId162" xr:uid="{00000000-0004-0000-0F00-0000A1000000}"/>
    <hyperlink ref="K166" r:id="rId163" xr:uid="{00000000-0004-0000-0F00-0000A2000000}"/>
    <hyperlink ref="K167" r:id="rId164" xr:uid="{00000000-0004-0000-0F00-0000A3000000}"/>
    <hyperlink ref="K168" r:id="rId165" xr:uid="{00000000-0004-0000-0F00-0000A4000000}"/>
    <hyperlink ref="K169" r:id="rId166" xr:uid="{00000000-0004-0000-0F00-0000A5000000}"/>
    <hyperlink ref="K170" r:id="rId167" xr:uid="{00000000-0004-0000-0F00-0000A6000000}"/>
    <hyperlink ref="K171" r:id="rId168" xr:uid="{00000000-0004-0000-0F00-0000A7000000}"/>
    <hyperlink ref="K172" r:id="rId169" xr:uid="{00000000-0004-0000-0F00-0000A8000000}"/>
    <hyperlink ref="K173" r:id="rId170" xr:uid="{00000000-0004-0000-0F00-0000A9000000}"/>
    <hyperlink ref="K174" r:id="rId171" xr:uid="{00000000-0004-0000-0F00-0000AA000000}"/>
    <hyperlink ref="K175" r:id="rId172" xr:uid="{00000000-0004-0000-0F00-0000AB000000}"/>
    <hyperlink ref="K176" r:id="rId173" xr:uid="{00000000-0004-0000-0F00-0000AC000000}"/>
    <hyperlink ref="K177" r:id="rId174" xr:uid="{00000000-0004-0000-0F00-0000AD000000}"/>
    <hyperlink ref="K178" r:id="rId175" xr:uid="{00000000-0004-0000-0F00-0000AE000000}"/>
    <hyperlink ref="K179" r:id="rId176" xr:uid="{00000000-0004-0000-0F00-0000AF000000}"/>
    <hyperlink ref="K180" r:id="rId177" xr:uid="{00000000-0004-0000-0F00-0000B0000000}"/>
    <hyperlink ref="K181" r:id="rId178" xr:uid="{00000000-0004-0000-0F00-0000B1000000}"/>
    <hyperlink ref="K182" r:id="rId179" xr:uid="{00000000-0004-0000-0F00-0000B2000000}"/>
    <hyperlink ref="K183" r:id="rId180" xr:uid="{00000000-0004-0000-0F00-0000B3000000}"/>
    <hyperlink ref="K184" r:id="rId181" xr:uid="{00000000-0004-0000-0F00-0000B4000000}"/>
    <hyperlink ref="K185" r:id="rId182" xr:uid="{00000000-0004-0000-0F00-0000B5000000}"/>
    <hyperlink ref="K186" r:id="rId183" xr:uid="{00000000-0004-0000-0F00-0000B6000000}"/>
    <hyperlink ref="K187" r:id="rId184" xr:uid="{00000000-0004-0000-0F00-0000B7000000}"/>
    <hyperlink ref="K188" r:id="rId185" xr:uid="{00000000-0004-0000-0F00-0000B8000000}"/>
    <hyperlink ref="K189" r:id="rId186" xr:uid="{00000000-0004-0000-0F00-0000B9000000}"/>
    <hyperlink ref="K190" r:id="rId187" xr:uid="{00000000-0004-0000-0F00-0000BA000000}"/>
    <hyperlink ref="K191" r:id="rId188" xr:uid="{00000000-0004-0000-0F00-0000BB000000}"/>
    <hyperlink ref="K192" r:id="rId189" xr:uid="{00000000-0004-0000-0F00-0000BC000000}"/>
    <hyperlink ref="K193" r:id="rId190" xr:uid="{00000000-0004-0000-0F00-0000BD000000}"/>
    <hyperlink ref="K194" r:id="rId191" xr:uid="{00000000-0004-0000-0F00-0000BE000000}"/>
    <hyperlink ref="K195" r:id="rId192" xr:uid="{00000000-0004-0000-0F00-0000BF000000}"/>
    <hyperlink ref="K196" r:id="rId193" xr:uid="{00000000-0004-0000-0F00-0000C0000000}"/>
    <hyperlink ref="K197" r:id="rId194" xr:uid="{00000000-0004-0000-0F00-0000C1000000}"/>
    <hyperlink ref="K198" r:id="rId195" xr:uid="{00000000-0004-0000-0F00-0000C2000000}"/>
    <hyperlink ref="K199" r:id="rId196" xr:uid="{00000000-0004-0000-0F00-0000C3000000}"/>
    <hyperlink ref="K200" r:id="rId197" xr:uid="{00000000-0004-0000-0F00-0000C4000000}"/>
    <hyperlink ref="K201" r:id="rId198" xr:uid="{00000000-0004-0000-0F00-0000C5000000}"/>
    <hyperlink ref="K202" r:id="rId199" xr:uid="{00000000-0004-0000-0F00-0000C6000000}"/>
    <hyperlink ref="K203" r:id="rId200" xr:uid="{00000000-0004-0000-0F00-0000C7000000}"/>
    <hyperlink ref="K204" r:id="rId201" xr:uid="{00000000-0004-0000-0F00-0000C8000000}"/>
    <hyperlink ref="K205" r:id="rId202" xr:uid="{00000000-0004-0000-0F00-0000C9000000}"/>
    <hyperlink ref="K206" r:id="rId203" xr:uid="{00000000-0004-0000-0F00-0000CA000000}"/>
    <hyperlink ref="K207" r:id="rId204" xr:uid="{00000000-0004-0000-0F00-0000CB000000}"/>
    <hyperlink ref="K208" r:id="rId205" xr:uid="{00000000-0004-0000-0F00-0000CC000000}"/>
    <hyperlink ref="K209" r:id="rId206" xr:uid="{00000000-0004-0000-0F00-0000CD000000}"/>
    <hyperlink ref="K210" r:id="rId207" xr:uid="{00000000-0004-0000-0F00-0000CE000000}"/>
    <hyperlink ref="K211" r:id="rId208" xr:uid="{00000000-0004-0000-0F00-0000CF000000}"/>
    <hyperlink ref="K212" r:id="rId209" xr:uid="{00000000-0004-0000-0F00-0000D0000000}"/>
    <hyperlink ref="K213" r:id="rId210" xr:uid="{00000000-0004-0000-0F00-0000D1000000}"/>
    <hyperlink ref="K214" r:id="rId211" xr:uid="{00000000-0004-0000-0F00-0000D2000000}"/>
    <hyperlink ref="K215" r:id="rId212" xr:uid="{00000000-0004-0000-0F00-0000D3000000}"/>
    <hyperlink ref="K216" r:id="rId213" xr:uid="{00000000-0004-0000-0F00-0000D4000000}"/>
    <hyperlink ref="K217" r:id="rId214" xr:uid="{00000000-0004-0000-0F00-0000D5000000}"/>
    <hyperlink ref="K218" r:id="rId215" xr:uid="{00000000-0004-0000-0F00-0000D6000000}"/>
    <hyperlink ref="K219" r:id="rId216" xr:uid="{00000000-0004-0000-0F00-0000D7000000}"/>
    <hyperlink ref="K220" r:id="rId217" xr:uid="{00000000-0004-0000-0F00-0000D8000000}"/>
    <hyperlink ref="K221" r:id="rId218" xr:uid="{00000000-0004-0000-0F00-0000D9000000}"/>
    <hyperlink ref="K222" r:id="rId219" xr:uid="{00000000-0004-0000-0F00-0000DA000000}"/>
    <hyperlink ref="K223" r:id="rId220" xr:uid="{00000000-0004-0000-0F00-0000DB000000}"/>
    <hyperlink ref="K224" r:id="rId221" xr:uid="{00000000-0004-0000-0F00-0000DC000000}"/>
    <hyperlink ref="K225" r:id="rId222" xr:uid="{00000000-0004-0000-0F00-0000DD000000}"/>
    <hyperlink ref="K226" r:id="rId223" xr:uid="{00000000-0004-0000-0F00-0000DE000000}"/>
    <hyperlink ref="K227" r:id="rId224" xr:uid="{00000000-0004-0000-0F00-0000DF000000}"/>
    <hyperlink ref="K228" r:id="rId225" xr:uid="{00000000-0004-0000-0F00-0000E0000000}"/>
    <hyperlink ref="K229" r:id="rId226" xr:uid="{00000000-0004-0000-0F00-0000E1000000}"/>
    <hyperlink ref="K230" r:id="rId227" xr:uid="{00000000-0004-0000-0F00-0000E2000000}"/>
    <hyperlink ref="K231" r:id="rId228" xr:uid="{00000000-0004-0000-0F00-0000E3000000}"/>
    <hyperlink ref="K232" r:id="rId229" xr:uid="{00000000-0004-0000-0F00-0000E4000000}"/>
    <hyperlink ref="K233" r:id="rId230" xr:uid="{00000000-0004-0000-0F00-0000E5000000}"/>
    <hyperlink ref="K234" r:id="rId231" xr:uid="{00000000-0004-0000-0F00-0000E6000000}"/>
    <hyperlink ref="K235" r:id="rId232" xr:uid="{00000000-0004-0000-0F00-0000E7000000}"/>
    <hyperlink ref="K236" r:id="rId233" xr:uid="{00000000-0004-0000-0F00-0000E8000000}"/>
    <hyperlink ref="K237" r:id="rId234" xr:uid="{00000000-0004-0000-0F00-0000E9000000}"/>
    <hyperlink ref="K238" r:id="rId235" xr:uid="{00000000-0004-0000-0F00-0000EA000000}"/>
    <hyperlink ref="K239" r:id="rId236" xr:uid="{00000000-0004-0000-0F00-0000EB000000}"/>
    <hyperlink ref="K240" r:id="rId237" xr:uid="{00000000-0004-0000-0F00-0000EC000000}"/>
    <hyperlink ref="K241" r:id="rId238" xr:uid="{00000000-0004-0000-0F00-0000ED000000}"/>
    <hyperlink ref="K242" r:id="rId239" xr:uid="{00000000-0004-0000-0F00-0000EE000000}"/>
    <hyperlink ref="K243" r:id="rId240" xr:uid="{00000000-0004-0000-0F00-0000EF000000}"/>
    <hyperlink ref="K244" r:id="rId241" xr:uid="{00000000-0004-0000-0F00-0000F0000000}"/>
    <hyperlink ref="K245" r:id="rId242" xr:uid="{00000000-0004-0000-0F00-0000F1000000}"/>
    <hyperlink ref="K246" r:id="rId243" xr:uid="{00000000-0004-0000-0F00-0000F2000000}"/>
    <hyperlink ref="K247" r:id="rId244" xr:uid="{00000000-0004-0000-0F00-0000F3000000}"/>
    <hyperlink ref="K248" r:id="rId245" xr:uid="{00000000-0004-0000-0F00-0000F4000000}"/>
    <hyperlink ref="K249" r:id="rId246" xr:uid="{00000000-0004-0000-0F00-0000F5000000}"/>
    <hyperlink ref="K250" r:id="rId247" xr:uid="{00000000-0004-0000-0F00-0000F6000000}"/>
    <hyperlink ref="K251" r:id="rId248" xr:uid="{00000000-0004-0000-0F00-0000F7000000}"/>
    <hyperlink ref="K252" r:id="rId249" xr:uid="{00000000-0004-0000-0F00-0000F8000000}"/>
    <hyperlink ref="K253" r:id="rId250" xr:uid="{00000000-0004-0000-0F00-0000F9000000}"/>
    <hyperlink ref="K254" r:id="rId251" xr:uid="{00000000-0004-0000-0F00-0000FA000000}"/>
    <hyperlink ref="K255" r:id="rId252" xr:uid="{00000000-0004-0000-0F00-0000FB000000}"/>
    <hyperlink ref="K256" r:id="rId253" xr:uid="{00000000-0004-0000-0F00-0000FC000000}"/>
    <hyperlink ref="K257" r:id="rId254" xr:uid="{00000000-0004-0000-0F00-0000FD000000}"/>
    <hyperlink ref="K258" r:id="rId255" xr:uid="{00000000-0004-0000-0F00-0000FE000000}"/>
    <hyperlink ref="K259" r:id="rId256" xr:uid="{00000000-0004-0000-0F00-0000FF000000}"/>
    <hyperlink ref="K260" r:id="rId257" xr:uid="{00000000-0004-0000-0F00-000000010000}"/>
    <hyperlink ref="K261" r:id="rId258" xr:uid="{00000000-0004-0000-0F00-000001010000}"/>
    <hyperlink ref="K262" r:id="rId259" xr:uid="{00000000-0004-0000-0F00-000002010000}"/>
    <hyperlink ref="K263" r:id="rId260" xr:uid="{00000000-0004-0000-0F00-000003010000}"/>
    <hyperlink ref="K264" r:id="rId261" xr:uid="{00000000-0004-0000-0F00-000004010000}"/>
    <hyperlink ref="K265" r:id="rId262" xr:uid="{00000000-0004-0000-0F00-000005010000}"/>
    <hyperlink ref="K266" r:id="rId263" xr:uid="{00000000-0004-0000-0F00-000006010000}"/>
    <hyperlink ref="K267" r:id="rId264" xr:uid="{00000000-0004-0000-0F00-000007010000}"/>
    <hyperlink ref="K268" r:id="rId265" xr:uid="{00000000-0004-0000-0F00-000008010000}"/>
    <hyperlink ref="K269" r:id="rId266" xr:uid="{00000000-0004-0000-0F00-000009010000}"/>
    <hyperlink ref="K270" r:id="rId267" xr:uid="{00000000-0004-0000-0F00-00000A010000}"/>
    <hyperlink ref="K271" r:id="rId268" xr:uid="{00000000-0004-0000-0F00-00000B010000}"/>
    <hyperlink ref="K272" r:id="rId269" xr:uid="{00000000-0004-0000-0F00-00000C010000}"/>
    <hyperlink ref="K273" r:id="rId270" xr:uid="{00000000-0004-0000-0F00-00000D010000}"/>
    <hyperlink ref="K274" r:id="rId271" xr:uid="{00000000-0004-0000-0F00-00000E010000}"/>
    <hyperlink ref="K275" r:id="rId272" xr:uid="{00000000-0004-0000-0F00-00000F010000}"/>
    <hyperlink ref="K276" r:id="rId273" xr:uid="{00000000-0004-0000-0F00-000010010000}"/>
    <hyperlink ref="K277" r:id="rId274" xr:uid="{00000000-0004-0000-0F00-000011010000}"/>
    <hyperlink ref="K278" r:id="rId275" xr:uid="{00000000-0004-0000-0F00-000012010000}"/>
    <hyperlink ref="K279" r:id="rId276" xr:uid="{00000000-0004-0000-0F00-000013010000}"/>
    <hyperlink ref="K280" r:id="rId277" xr:uid="{00000000-0004-0000-0F00-000014010000}"/>
    <hyperlink ref="K281" r:id="rId278" xr:uid="{00000000-0004-0000-0F00-000015010000}"/>
    <hyperlink ref="K282" r:id="rId279" xr:uid="{00000000-0004-0000-0F00-000016010000}"/>
    <hyperlink ref="K283" r:id="rId280" xr:uid="{00000000-0004-0000-0F00-000017010000}"/>
    <hyperlink ref="K284" r:id="rId281" xr:uid="{00000000-0004-0000-0F00-000018010000}"/>
    <hyperlink ref="K285" r:id="rId282" xr:uid="{00000000-0004-0000-0F00-000019010000}"/>
    <hyperlink ref="K286" r:id="rId283" xr:uid="{00000000-0004-0000-0F00-00001A010000}"/>
    <hyperlink ref="K287" r:id="rId284" xr:uid="{00000000-0004-0000-0F00-00001B010000}"/>
    <hyperlink ref="K288" r:id="rId285" xr:uid="{00000000-0004-0000-0F00-00001C010000}"/>
    <hyperlink ref="K289" r:id="rId286" xr:uid="{00000000-0004-0000-0F00-00001D010000}"/>
    <hyperlink ref="K290" r:id="rId287" xr:uid="{00000000-0004-0000-0F00-00001E010000}"/>
    <hyperlink ref="K291" r:id="rId288" xr:uid="{00000000-0004-0000-0F00-00001F010000}"/>
    <hyperlink ref="K292" r:id="rId289" xr:uid="{00000000-0004-0000-0F00-000020010000}"/>
    <hyperlink ref="K293" r:id="rId290" xr:uid="{00000000-0004-0000-0F00-000021010000}"/>
    <hyperlink ref="K294" r:id="rId291" xr:uid="{00000000-0004-0000-0F00-000022010000}"/>
    <hyperlink ref="K295" r:id="rId292" xr:uid="{00000000-0004-0000-0F00-000023010000}"/>
    <hyperlink ref="K296" r:id="rId293" xr:uid="{00000000-0004-0000-0F00-000024010000}"/>
    <hyperlink ref="K297" r:id="rId294" xr:uid="{00000000-0004-0000-0F00-000025010000}"/>
    <hyperlink ref="K298" r:id="rId295" xr:uid="{00000000-0004-0000-0F00-000026010000}"/>
    <hyperlink ref="K299" r:id="rId296" xr:uid="{00000000-0004-0000-0F00-000027010000}"/>
    <hyperlink ref="K300" r:id="rId297" xr:uid="{00000000-0004-0000-0F00-000028010000}"/>
    <hyperlink ref="K301" r:id="rId298" xr:uid="{00000000-0004-0000-0F00-000029010000}"/>
    <hyperlink ref="K302" r:id="rId299" xr:uid="{00000000-0004-0000-0F00-00002A010000}"/>
    <hyperlink ref="K303" r:id="rId300" xr:uid="{00000000-0004-0000-0F00-00002B010000}"/>
    <hyperlink ref="K304" r:id="rId301" xr:uid="{00000000-0004-0000-0F00-00002C010000}"/>
    <hyperlink ref="K305" r:id="rId302" xr:uid="{00000000-0004-0000-0F00-00002D010000}"/>
    <hyperlink ref="K306" r:id="rId303" xr:uid="{00000000-0004-0000-0F00-00002E010000}"/>
    <hyperlink ref="K307" r:id="rId304" xr:uid="{00000000-0004-0000-0F00-00002F010000}"/>
    <hyperlink ref="K308" r:id="rId305" xr:uid="{00000000-0004-0000-0F00-000030010000}"/>
    <hyperlink ref="K309" r:id="rId306" xr:uid="{00000000-0004-0000-0F00-000031010000}"/>
    <hyperlink ref="K310" r:id="rId307" xr:uid="{00000000-0004-0000-0F00-000032010000}"/>
    <hyperlink ref="K311" r:id="rId308" xr:uid="{00000000-0004-0000-0F00-000033010000}"/>
    <hyperlink ref="K312" r:id="rId309" xr:uid="{00000000-0004-0000-0F00-000034010000}"/>
    <hyperlink ref="K313" r:id="rId310" xr:uid="{00000000-0004-0000-0F00-000035010000}"/>
    <hyperlink ref="K314" r:id="rId311" xr:uid="{00000000-0004-0000-0F00-000036010000}"/>
    <hyperlink ref="K315" r:id="rId312" xr:uid="{00000000-0004-0000-0F00-000037010000}"/>
    <hyperlink ref="K316" r:id="rId313" xr:uid="{00000000-0004-0000-0F00-000038010000}"/>
    <hyperlink ref="K317" r:id="rId314" xr:uid="{00000000-0004-0000-0F00-000039010000}"/>
    <hyperlink ref="K318" r:id="rId315" xr:uid="{00000000-0004-0000-0F00-00003A010000}"/>
    <hyperlink ref="K319" r:id="rId316" xr:uid="{00000000-0004-0000-0F00-00003B010000}"/>
    <hyperlink ref="K320" r:id="rId317" xr:uid="{00000000-0004-0000-0F00-00003C010000}"/>
    <hyperlink ref="K321" r:id="rId318" xr:uid="{00000000-0004-0000-0F00-00003D010000}"/>
    <hyperlink ref="K322" r:id="rId319" xr:uid="{00000000-0004-0000-0F00-00003E010000}"/>
    <hyperlink ref="K323" r:id="rId320" xr:uid="{00000000-0004-0000-0F00-00003F010000}"/>
    <hyperlink ref="K324" r:id="rId321" xr:uid="{00000000-0004-0000-0F00-000040010000}"/>
    <hyperlink ref="K325" r:id="rId322" xr:uid="{00000000-0004-0000-0F00-000041010000}"/>
    <hyperlink ref="K326" r:id="rId323" xr:uid="{00000000-0004-0000-0F00-000042010000}"/>
    <hyperlink ref="K327" r:id="rId324" xr:uid="{00000000-0004-0000-0F00-000043010000}"/>
    <hyperlink ref="K328" r:id="rId325" xr:uid="{00000000-0004-0000-0F00-000044010000}"/>
    <hyperlink ref="K329" r:id="rId326" xr:uid="{00000000-0004-0000-0F00-000045010000}"/>
    <hyperlink ref="K330" r:id="rId327" xr:uid="{00000000-0004-0000-0F00-000046010000}"/>
    <hyperlink ref="K331" r:id="rId328" xr:uid="{00000000-0004-0000-0F00-000047010000}"/>
    <hyperlink ref="K332" r:id="rId329" xr:uid="{00000000-0004-0000-0F00-000048010000}"/>
    <hyperlink ref="K333" r:id="rId330" xr:uid="{00000000-0004-0000-0F00-000049010000}"/>
    <hyperlink ref="K334" r:id="rId331" xr:uid="{00000000-0004-0000-0F00-00004A010000}"/>
    <hyperlink ref="K335" r:id="rId332" xr:uid="{00000000-0004-0000-0F00-00004B010000}"/>
    <hyperlink ref="K336" r:id="rId333" xr:uid="{00000000-0004-0000-0F00-00004C010000}"/>
    <hyperlink ref="K337" r:id="rId334" xr:uid="{00000000-0004-0000-0F00-00004D01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BC340"/>
  <sheetViews>
    <sheetView workbookViewId="0"/>
  </sheetViews>
  <sheetFormatPr defaultColWidth="12.5703125" defaultRowHeight="15.75" customHeight="1"/>
  <cols>
    <col min="2" max="2" width="20.28515625" customWidth="1"/>
    <col min="4" max="4" width="31.85546875" customWidth="1"/>
    <col min="5" max="5" width="25.5703125" customWidth="1"/>
    <col min="6" max="6" width="6.42578125" customWidth="1"/>
    <col min="7" max="7" width="8.7109375" customWidth="1"/>
    <col min="8" max="8" width="14" customWidth="1"/>
  </cols>
  <sheetData>
    <row r="1" spans="1:55">
      <c r="A1" s="5815" t="s">
        <v>13059</v>
      </c>
      <c r="B1" s="5815" t="s">
        <v>13060</v>
      </c>
      <c r="C1" s="5815" t="s">
        <v>13063</v>
      </c>
      <c r="D1" s="5815" t="s">
        <v>13064</v>
      </c>
      <c r="E1" s="5815" t="s">
        <v>13065</v>
      </c>
      <c r="F1" s="5815" t="s">
        <v>13060</v>
      </c>
      <c r="G1" s="5815" t="s">
        <v>1523</v>
      </c>
      <c r="H1" s="5815" t="s">
        <v>46</v>
      </c>
      <c r="I1" s="5815" t="s">
        <v>1522</v>
      </c>
      <c r="J1" s="5815" t="s">
        <v>13062</v>
      </c>
      <c r="K1" s="5815"/>
      <c r="L1" s="5815"/>
      <c r="M1" s="5815"/>
      <c r="N1" s="5815"/>
      <c r="O1" s="5815"/>
      <c r="P1" s="5815"/>
      <c r="Q1" s="5815"/>
      <c r="R1" s="5815"/>
      <c r="S1" s="5815"/>
      <c r="T1" s="5816"/>
      <c r="U1" s="5815"/>
      <c r="V1" s="5815"/>
      <c r="W1" s="5815"/>
      <c r="X1" s="5815"/>
      <c r="Y1" s="5815"/>
      <c r="Z1" s="5815"/>
      <c r="AA1" s="5815"/>
      <c r="AB1" s="5815"/>
      <c r="AC1" s="5815"/>
      <c r="AD1" s="5815"/>
      <c r="AE1" s="5815"/>
      <c r="AF1" s="5815"/>
      <c r="AG1" s="5815"/>
      <c r="AH1" s="5815"/>
      <c r="AI1" s="5815"/>
      <c r="AJ1" s="5815"/>
      <c r="AK1" s="5815"/>
      <c r="AL1" s="5815"/>
      <c r="AM1" s="5815"/>
      <c r="AN1" s="5815"/>
      <c r="AO1" s="5815"/>
      <c r="AP1" s="5815"/>
      <c r="AQ1" s="5815"/>
      <c r="AR1" s="5815"/>
      <c r="AS1" s="5815"/>
      <c r="AT1" s="5815"/>
      <c r="AU1" s="5815"/>
      <c r="AV1" s="5815"/>
      <c r="AW1" s="5815"/>
      <c r="AX1" s="5815"/>
      <c r="AY1" s="5815"/>
      <c r="AZ1" s="5815"/>
      <c r="BA1" s="5815"/>
      <c r="BB1" s="5815"/>
      <c r="BC1" s="620"/>
    </row>
    <row r="2" spans="1:55">
      <c r="A2" s="5817">
        <f>COUNTA(A4:A999)</f>
        <v>337</v>
      </c>
      <c r="B2" s="5822">
        <f>COUNTIF($E$3:$E$800, "Decision*")</f>
        <v>122</v>
      </c>
      <c r="C2" s="5818">
        <f>SUM(B2/$A$2)</f>
        <v>0.36201780415430268</v>
      </c>
      <c r="D2" s="5818">
        <f t="shared" ref="D2:E2" si="0">SUM(G2/$A$2)</f>
        <v>0.16617210682492581</v>
      </c>
      <c r="E2" s="5818">
        <f t="shared" si="0"/>
        <v>0.45697329376854601</v>
      </c>
      <c r="F2" s="5822">
        <f>COUNTIF($E$3:$E$999, "Decision*")</f>
        <v>122</v>
      </c>
      <c r="G2" s="5823">
        <f>COUNTIF($E$3:$E$999, "Submission")</f>
        <v>56</v>
      </c>
      <c r="H2" s="5817">
        <f>COUNTIF($E$3:$E$1000, "KO/TKO")</f>
        <v>154</v>
      </c>
      <c r="I2" s="5823">
        <f>COUNTIF($E$3:$E$999, "Decision - Unanimous")</f>
        <v>92</v>
      </c>
      <c r="J2" s="5819">
        <f>COUNTIF($E$3:$E$999, "Decision - Split")</f>
        <v>30</v>
      </c>
      <c r="K2" s="5824"/>
      <c r="L2" s="5820"/>
      <c r="M2" s="5820"/>
      <c r="N2" s="5820"/>
      <c r="O2" s="5820"/>
      <c r="P2" s="5820"/>
      <c r="Q2" s="5820"/>
      <c r="R2" s="5820"/>
      <c r="S2" s="5820"/>
      <c r="T2" s="5821"/>
      <c r="U2" s="5820"/>
      <c r="V2" s="5820"/>
      <c r="W2" s="5820"/>
      <c r="X2" s="5820"/>
      <c r="Y2" s="5820"/>
      <c r="Z2" s="5820"/>
      <c r="AA2" s="5820"/>
      <c r="AB2" s="5820"/>
      <c r="AC2" s="5820"/>
      <c r="AD2" s="5820"/>
      <c r="AE2" s="5820"/>
      <c r="AF2" s="5820"/>
      <c r="AG2" s="5820"/>
      <c r="AH2" s="5820"/>
      <c r="AI2" s="5820"/>
      <c r="AJ2" s="5820"/>
      <c r="AK2" s="5820"/>
      <c r="AL2" s="5820"/>
      <c r="AM2" s="5820"/>
      <c r="AN2" s="5820"/>
      <c r="AO2" s="5820"/>
      <c r="AP2" s="5820"/>
      <c r="AQ2" s="5820"/>
      <c r="AR2" s="5820"/>
      <c r="AS2" s="5820"/>
      <c r="AT2" s="5820"/>
      <c r="AU2" s="5820"/>
      <c r="AV2" s="5820"/>
      <c r="AW2" s="5820"/>
      <c r="AX2" s="5820"/>
      <c r="AY2" s="5820"/>
      <c r="AZ2" s="5820"/>
      <c r="BA2" s="5820"/>
      <c r="BB2" s="5820"/>
      <c r="BC2" s="620"/>
    </row>
    <row r="3" spans="1:55">
      <c r="A3" s="21" t="s">
        <v>2034</v>
      </c>
      <c r="B3" s="21" t="s">
        <v>2035</v>
      </c>
      <c r="C3" s="21" t="s">
        <v>2036</v>
      </c>
      <c r="D3" s="21" t="s">
        <v>2037</v>
      </c>
      <c r="E3" s="21" t="s">
        <v>2038</v>
      </c>
      <c r="F3" s="21" t="s">
        <v>2039</v>
      </c>
      <c r="G3" s="21" t="s">
        <v>2040</v>
      </c>
      <c r="H3" s="21" t="s">
        <v>2041</v>
      </c>
      <c r="I3" s="21" t="s">
        <v>2042</v>
      </c>
      <c r="J3" s="21" t="s">
        <v>2043</v>
      </c>
      <c r="K3" s="21" t="s">
        <v>2044</v>
      </c>
    </row>
    <row r="4" spans="1:55">
      <c r="A4" s="21" t="s">
        <v>3886</v>
      </c>
      <c r="B4" s="21" t="s">
        <v>6230</v>
      </c>
      <c r="C4" s="21" t="s">
        <v>709</v>
      </c>
      <c r="D4" s="21" t="s">
        <v>627</v>
      </c>
      <c r="E4" s="21" t="s">
        <v>193</v>
      </c>
      <c r="F4" s="5812">
        <v>3</v>
      </c>
      <c r="G4" s="5813">
        <v>0.20833333333333334</v>
      </c>
      <c r="H4" s="21" t="s">
        <v>10</v>
      </c>
      <c r="I4" s="21" t="s">
        <v>47</v>
      </c>
      <c r="J4" s="21" t="s">
        <v>6231</v>
      </c>
      <c r="K4" s="5814" t="s">
        <v>6232</v>
      </c>
    </row>
    <row r="5" spans="1:55">
      <c r="A5" s="21" t="s">
        <v>4379</v>
      </c>
      <c r="B5" s="21" t="s">
        <v>6233</v>
      </c>
      <c r="C5" s="21" t="s">
        <v>22</v>
      </c>
      <c r="D5" s="21" t="s">
        <v>627</v>
      </c>
      <c r="E5" s="21" t="s">
        <v>193</v>
      </c>
      <c r="F5" s="5812">
        <v>3</v>
      </c>
      <c r="G5" s="5813">
        <v>0.20833333333333334</v>
      </c>
      <c r="H5" s="21" t="s">
        <v>10</v>
      </c>
      <c r="I5" s="21" t="s">
        <v>226</v>
      </c>
      <c r="J5" s="21" t="s">
        <v>6234</v>
      </c>
      <c r="K5" s="5814" t="s">
        <v>6235</v>
      </c>
    </row>
    <row r="6" spans="1:55">
      <c r="A6" s="21" t="s">
        <v>20</v>
      </c>
      <c r="B6" s="21" t="s">
        <v>636</v>
      </c>
      <c r="C6" s="21" t="s">
        <v>8</v>
      </c>
      <c r="D6" s="21" t="s">
        <v>627</v>
      </c>
      <c r="E6" s="21" t="s">
        <v>193</v>
      </c>
      <c r="F6" s="5812">
        <v>3</v>
      </c>
      <c r="G6" s="5813">
        <v>0.20833333333333334</v>
      </c>
      <c r="H6" s="21" t="s">
        <v>10</v>
      </c>
      <c r="I6" s="21" t="s">
        <v>39</v>
      </c>
      <c r="J6" s="21" t="s">
        <v>637</v>
      </c>
      <c r="K6" s="5814" t="s">
        <v>638</v>
      </c>
    </row>
    <row r="7" spans="1:55">
      <c r="A7" s="21" t="s">
        <v>5015</v>
      </c>
      <c r="B7" s="21" t="s">
        <v>6236</v>
      </c>
      <c r="C7" s="21" t="s">
        <v>22</v>
      </c>
      <c r="D7" s="21" t="s">
        <v>627</v>
      </c>
      <c r="E7" s="21" t="s">
        <v>193</v>
      </c>
      <c r="F7" s="5812">
        <v>3</v>
      </c>
      <c r="G7" s="5813">
        <v>0.20833333333333334</v>
      </c>
      <c r="H7" s="21" t="s">
        <v>10</v>
      </c>
      <c r="I7" s="21" t="s">
        <v>47</v>
      </c>
      <c r="J7" s="21" t="s">
        <v>6237</v>
      </c>
      <c r="K7" s="5814" t="s">
        <v>6238</v>
      </c>
    </row>
    <row r="8" spans="1:55">
      <c r="A8" s="21" t="s">
        <v>3338</v>
      </c>
      <c r="B8" s="21" t="s">
        <v>6239</v>
      </c>
      <c r="C8" s="21" t="s">
        <v>22</v>
      </c>
      <c r="D8" s="21" t="s">
        <v>627</v>
      </c>
      <c r="E8" s="21" t="s">
        <v>193</v>
      </c>
      <c r="F8" s="5812">
        <v>3</v>
      </c>
      <c r="G8" s="5813">
        <v>0.20833333333333334</v>
      </c>
      <c r="H8" s="21" t="s">
        <v>10</v>
      </c>
      <c r="I8" s="21" t="s">
        <v>55</v>
      </c>
      <c r="J8" s="21" t="s">
        <v>6240</v>
      </c>
      <c r="K8" s="5814" t="s">
        <v>6241</v>
      </c>
    </row>
    <row r="9" spans="1:55">
      <c r="A9" s="21" t="s">
        <v>2428</v>
      </c>
      <c r="B9" s="21" t="s">
        <v>6242</v>
      </c>
      <c r="C9" s="21" t="s">
        <v>22</v>
      </c>
      <c r="D9" s="21" t="s">
        <v>627</v>
      </c>
      <c r="E9" s="21" t="s">
        <v>193</v>
      </c>
      <c r="F9" s="5812">
        <v>3</v>
      </c>
      <c r="G9" s="5813">
        <v>0.20833333333333334</v>
      </c>
      <c r="H9" s="21" t="s">
        <v>10</v>
      </c>
      <c r="I9" s="21" t="s">
        <v>47</v>
      </c>
      <c r="J9" s="21" t="s">
        <v>6243</v>
      </c>
      <c r="K9" s="5814" t="s">
        <v>6244</v>
      </c>
    </row>
    <row r="10" spans="1:55">
      <c r="A10" s="21" t="s">
        <v>3551</v>
      </c>
      <c r="B10" s="21" t="s">
        <v>6245</v>
      </c>
      <c r="C10" s="21" t="s">
        <v>8</v>
      </c>
      <c r="D10" s="21" t="s">
        <v>627</v>
      </c>
      <c r="E10" s="21" t="s">
        <v>193</v>
      </c>
      <c r="F10" s="5812">
        <v>3</v>
      </c>
      <c r="G10" s="5813">
        <v>0.20833333333333334</v>
      </c>
      <c r="H10" s="21" t="s">
        <v>10</v>
      </c>
      <c r="I10" s="21" t="s">
        <v>39</v>
      </c>
      <c r="J10" s="21" t="s">
        <v>6246</v>
      </c>
      <c r="K10" s="5814" t="s">
        <v>6247</v>
      </c>
    </row>
    <row r="11" spans="1:55">
      <c r="A11" s="21" t="s">
        <v>2495</v>
      </c>
      <c r="B11" s="21" t="s">
        <v>6248</v>
      </c>
      <c r="C11" s="21" t="s">
        <v>22</v>
      </c>
      <c r="D11" s="21" t="s">
        <v>627</v>
      </c>
      <c r="E11" s="21" t="s">
        <v>193</v>
      </c>
      <c r="F11" s="5812">
        <v>3</v>
      </c>
      <c r="G11" s="5813">
        <v>0.20833333333333334</v>
      </c>
      <c r="H11" s="21" t="s">
        <v>10</v>
      </c>
      <c r="I11" s="21" t="s">
        <v>89</v>
      </c>
      <c r="J11" s="21" t="s">
        <v>6249</v>
      </c>
      <c r="K11" s="5814" t="s">
        <v>6250</v>
      </c>
    </row>
    <row r="12" spans="1:55">
      <c r="A12" s="21" t="s">
        <v>2499</v>
      </c>
      <c r="B12" s="21" t="s">
        <v>6251</v>
      </c>
      <c r="C12" s="21" t="s">
        <v>709</v>
      </c>
      <c r="D12" s="21" t="s">
        <v>627</v>
      </c>
      <c r="E12" s="21" t="s">
        <v>193</v>
      </c>
      <c r="F12" s="5812">
        <v>3</v>
      </c>
      <c r="G12" s="5813">
        <v>0.20833333333333334</v>
      </c>
      <c r="H12" s="21" t="s">
        <v>10</v>
      </c>
      <c r="I12" s="21" t="s">
        <v>39</v>
      </c>
      <c r="J12" s="21" t="s">
        <v>6252</v>
      </c>
      <c r="K12" s="5814" t="s">
        <v>6253</v>
      </c>
    </row>
    <row r="13" spans="1:55">
      <c r="A13" s="21" t="s">
        <v>3224</v>
      </c>
      <c r="B13" s="21" t="s">
        <v>6254</v>
      </c>
      <c r="C13" s="21" t="s">
        <v>22</v>
      </c>
      <c r="D13" s="21" t="s">
        <v>627</v>
      </c>
      <c r="E13" s="21" t="s">
        <v>193</v>
      </c>
      <c r="F13" s="5812">
        <v>3</v>
      </c>
      <c r="G13" s="5813">
        <v>0.20833333333333334</v>
      </c>
      <c r="H13" s="21" t="s">
        <v>10</v>
      </c>
      <c r="I13" s="21" t="s">
        <v>96</v>
      </c>
      <c r="J13" s="21" t="s">
        <v>6255</v>
      </c>
      <c r="K13" s="5814" t="s">
        <v>6256</v>
      </c>
    </row>
    <row r="14" spans="1:55">
      <c r="A14" s="21" t="s">
        <v>3119</v>
      </c>
      <c r="B14" s="21" t="s">
        <v>6257</v>
      </c>
      <c r="C14" s="21" t="s">
        <v>8</v>
      </c>
      <c r="D14" s="21" t="s">
        <v>627</v>
      </c>
      <c r="E14" s="21" t="s">
        <v>193</v>
      </c>
      <c r="F14" s="5812">
        <v>3</v>
      </c>
      <c r="G14" s="5813">
        <v>0.20833333333333334</v>
      </c>
      <c r="H14" s="21" t="s">
        <v>10</v>
      </c>
      <c r="I14" s="21" t="s">
        <v>55</v>
      </c>
      <c r="J14" s="21" t="s">
        <v>6258</v>
      </c>
      <c r="K14" s="5814" t="s">
        <v>6259</v>
      </c>
    </row>
    <row r="15" spans="1:55">
      <c r="A15" s="21" t="s">
        <v>3515</v>
      </c>
      <c r="B15" s="21" t="s">
        <v>6260</v>
      </c>
      <c r="C15" s="21" t="s">
        <v>709</v>
      </c>
      <c r="D15" s="21" t="s">
        <v>627</v>
      </c>
      <c r="E15" s="21" t="s">
        <v>193</v>
      </c>
      <c r="F15" s="5812">
        <v>3</v>
      </c>
      <c r="G15" s="5813">
        <v>0.20833333333333334</v>
      </c>
      <c r="H15" s="21" t="s">
        <v>10</v>
      </c>
      <c r="I15" s="21" t="s">
        <v>3517</v>
      </c>
      <c r="J15" s="21" t="s">
        <v>6261</v>
      </c>
      <c r="K15" s="5814" t="s">
        <v>6262</v>
      </c>
    </row>
    <row r="16" spans="1:55">
      <c r="A16" s="21" t="s">
        <v>2538</v>
      </c>
      <c r="B16" s="21" t="s">
        <v>6263</v>
      </c>
      <c r="C16" s="21" t="s">
        <v>8</v>
      </c>
      <c r="D16" s="21" t="s">
        <v>627</v>
      </c>
      <c r="E16" s="21" t="s">
        <v>193</v>
      </c>
      <c r="F16" s="5812">
        <v>3</v>
      </c>
      <c r="G16" s="5813">
        <v>0.20833333333333334</v>
      </c>
      <c r="H16" s="21" t="s">
        <v>10</v>
      </c>
      <c r="I16" s="21" t="s">
        <v>47</v>
      </c>
      <c r="J16" s="21" t="s">
        <v>6264</v>
      </c>
      <c r="K16" s="5814" t="s">
        <v>6265</v>
      </c>
    </row>
    <row r="17" spans="1:11">
      <c r="A17" s="21" t="s">
        <v>4116</v>
      </c>
      <c r="B17" s="21" t="s">
        <v>6266</v>
      </c>
      <c r="C17" s="21" t="s">
        <v>8</v>
      </c>
      <c r="D17" s="21" t="s">
        <v>627</v>
      </c>
      <c r="E17" s="21" t="s">
        <v>193</v>
      </c>
      <c r="F17" s="5812">
        <v>3</v>
      </c>
      <c r="G17" s="5813">
        <v>0.20833333333333334</v>
      </c>
      <c r="H17" s="21" t="s">
        <v>10</v>
      </c>
      <c r="I17" s="21" t="s">
        <v>226</v>
      </c>
      <c r="J17" s="21" t="s">
        <v>6267</v>
      </c>
      <c r="K17" s="5814" t="s">
        <v>6268</v>
      </c>
    </row>
    <row r="18" spans="1:11">
      <c r="A18" s="21" t="s">
        <v>2147</v>
      </c>
      <c r="B18" s="21" t="s">
        <v>6269</v>
      </c>
      <c r="C18" s="21" t="s">
        <v>8</v>
      </c>
      <c r="D18" s="21" t="s">
        <v>627</v>
      </c>
      <c r="E18" s="21" t="s">
        <v>193</v>
      </c>
      <c r="F18" s="5812">
        <v>3</v>
      </c>
      <c r="G18" s="5813">
        <v>0.20833333333333334</v>
      </c>
      <c r="H18" s="21" t="s">
        <v>10</v>
      </c>
      <c r="I18" s="21" t="s">
        <v>2660</v>
      </c>
      <c r="J18" s="21" t="s">
        <v>6270</v>
      </c>
      <c r="K18" s="5814" t="s">
        <v>6271</v>
      </c>
    </row>
    <row r="19" spans="1:11">
      <c r="A19" s="21" t="s">
        <v>4132</v>
      </c>
      <c r="B19" s="21" t="s">
        <v>6272</v>
      </c>
      <c r="C19" s="21" t="s">
        <v>709</v>
      </c>
      <c r="D19" s="21" t="s">
        <v>627</v>
      </c>
      <c r="E19" s="21" t="s">
        <v>193</v>
      </c>
      <c r="F19" s="5812">
        <v>3</v>
      </c>
      <c r="G19" s="5813">
        <v>0.20833333333333334</v>
      </c>
      <c r="H19" s="21" t="s">
        <v>10</v>
      </c>
      <c r="I19" s="21" t="s">
        <v>400</v>
      </c>
      <c r="J19" s="21" t="s">
        <v>6273</v>
      </c>
      <c r="K19" s="5814" t="s">
        <v>6274</v>
      </c>
    </row>
    <row r="20" spans="1:11">
      <c r="A20" s="21" t="s">
        <v>2160</v>
      </c>
      <c r="B20" s="21" t="s">
        <v>6275</v>
      </c>
      <c r="C20" s="21" t="s">
        <v>8</v>
      </c>
      <c r="D20" s="21" t="s">
        <v>627</v>
      </c>
      <c r="E20" s="21" t="s">
        <v>193</v>
      </c>
      <c r="F20" s="5812">
        <v>3</v>
      </c>
      <c r="G20" s="5813">
        <v>0.20833333333333334</v>
      </c>
      <c r="H20" s="21" t="s">
        <v>10</v>
      </c>
      <c r="I20" s="21" t="s">
        <v>2713</v>
      </c>
      <c r="J20" s="21" t="s">
        <v>6276</v>
      </c>
      <c r="K20" s="5814" t="s">
        <v>6277</v>
      </c>
    </row>
    <row r="21" spans="1:11">
      <c r="A21" s="21" t="s">
        <v>2165</v>
      </c>
      <c r="B21" s="21" t="s">
        <v>6278</v>
      </c>
      <c r="C21" s="21" t="s">
        <v>8</v>
      </c>
      <c r="D21" s="21" t="s">
        <v>627</v>
      </c>
      <c r="E21" s="21" t="s">
        <v>193</v>
      </c>
      <c r="F21" s="5812">
        <v>3</v>
      </c>
      <c r="G21" s="5813">
        <v>0.20833333333333334</v>
      </c>
      <c r="H21" s="21" t="s">
        <v>10</v>
      </c>
      <c r="I21" s="21" t="s">
        <v>2872</v>
      </c>
      <c r="J21" s="21" t="s">
        <v>6279</v>
      </c>
      <c r="K21" s="5814" t="s">
        <v>6280</v>
      </c>
    </row>
    <row r="22" spans="1:11">
      <c r="A22" s="21" t="s">
        <v>3395</v>
      </c>
      <c r="B22" s="21" t="s">
        <v>6281</v>
      </c>
      <c r="C22" s="21" t="s">
        <v>22</v>
      </c>
      <c r="D22" s="21" t="s">
        <v>627</v>
      </c>
      <c r="E22" s="21" t="s">
        <v>193</v>
      </c>
      <c r="F22" s="5812">
        <v>3</v>
      </c>
      <c r="G22" s="5813">
        <v>0.20833333333333334</v>
      </c>
      <c r="H22" s="21" t="s">
        <v>10</v>
      </c>
      <c r="I22" s="21" t="s">
        <v>2713</v>
      </c>
      <c r="J22" s="21" t="s">
        <v>6282</v>
      </c>
      <c r="K22" s="5814" t="s">
        <v>6283</v>
      </c>
    </row>
    <row r="23" spans="1:11">
      <c r="A23" s="21" t="s">
        <v>2675</v>
      </c>
      <c r="B23" s="21" t="s">
        <v>6284</v>
      </c>
      <c r="C23" s="21" t="s">
        <v>8</v>
      </c>
      <c r="D23" s="21" t="s">
        <v>627</v>
      </c>
      <c r="E23" s="21" t="s">
        <v>193</v>
      </c>
      <c r="F23" s="5812">
        <v>3</v>
      </c>
      <c r="G23" s="5813">
        <v>0.20833333333333334</v>
      </c>
      <c r="H23" s="21" t="s">
        <v>10</v>
      </c>
      <c r="I23" s="21" t="s">
        <v>2872</v>
      </c>
      <c r="J23" s="21" t="s">
        <v>6285</v>
      </c>
      <c r="K23" s="5814" t="s">
        <v>6286</v>
      </c>
    </row>
    <row r="24" spans="1:11">
      <c r="A24" s="21" t="s">
        <v>2915</v>
      </c>
      <c r="B24" s="21" t="s">
        <v>6287</v>
      </c>
      <c r="C24" s="21" t="s">
        <v>22</v>
      </c>
      <c r="D24" s="21" t="s">
        <v>627</v>
      </c>
      <c r="E24" s="21" t="s">
        <v>193</v>
      </c>
      <c r="F24" s="5812">
        <v>3</v>
      </c>
      <c r="G24" s="5813">
        <v>0.20833333333333334</v>
      </c>
      <c r="H24" s="21" t="s">
        <v>10</v>
      </c>
      <c r="I24" s="21" t="s">
        <v>187</v>
      </c>
      <c r="J24" s="21" t="s">
        <v>6288</v>
      </c>
      <c r="K24" s="5814" t="s">
        <v>6289</v>
      </c>
    </row>
    <row r="25" spans="1:11">
      <c r="A25" s="21" t="s">
        <v>2205</v>
      </c>
      <c r="B25" s="21" t="s">
        <v>6290</v>
      </c>
      <c r="C25" s="21" t="s">
        <v>8</v>
      </c>
      <c r="D25" s="21" t="s">
        <v>627</v>
      </c>
      <c r="E25" s="21" t="s">
        <v>193</v>
      </c>
      <c r="F25" s="5812">
        <v>3</v>
      </c>
      <c r="G25" s="5813">
        <v>0.20833333333333334</v>
      </c>
      <c r="H25" s="21" t="s">
        <v>10</v>
      </c>
      <c r="I25" s="21" t="s">
        <v>39</v>
      </c>
      <c r="J25" s="21" t="s">
        <v>6291</v>
      </c>
      <c r="K25" s="5814" t="s">
        <v>6292</v>
      </c>
    </row>
    <row r="26" spans="1:11">
      <c r="A26" s="21" t="s">
        <v>3125</v>
      </c>
      <c r="B26" s="21" t="s">
        <v>6293</v>
      </c>
      <c r="C26" s="21" t="s">
        <v>8</v>
      </c>
      <c r="D26" s="21" t="s">
        <v>627</v>
      </c>
      <c r="E26" s="21" t="s">
        <v>193</v>
      </c>
      <c r="F26" s="5812">
        <v>3</v>
      </c>
      <c r="G26" s="5813">
        <v>0.20833333333333334</v>
      </c>
      <c r="H26" s="21" t="s">
        <v>10</v>
      </c>
      <c r="I26" s="21" t="s">
        <v>4146</v>
      </c>
      <c r="J26" s="21" t="s">
        <v>6294</v>
      </c>
      <c r="K26" s="5814" t="s">
        <v>6295</v>
      </c>
    </row>
    <row r="27" spans="1:11">
      <c r="A27" s="21" t="s">
        <v>2768</v>
      </c>
      <c r="B27" s="21" t="s">
        <v>6296</v>
      </c>
      <c r="C27" s="21" t="s">
        <v>8</v>
      </c>
      <c r="D27" s="21" t="s">
        <v>627</v>
      </c>
      <c r="E27" s="21" t="s">
        <v>193</v>
      </c>
      <c r="F27" s="5812">
        <v>3</v>
      </c>
      <c r="G27" s="5813">
        <v>0.20833333333333334</v>
      </c>
      <c r="H27" s="21" t="s">
        <v>10</v>
      </c>
      <c r="I27" s="21" t="s">
        <v>2297</v>
      </c>
      <c r="J27" s="21" t="s">
        <v>6297</v>
      </c>
      <c r="K27" s="5814" t="s">
        <v>6298</v>
      </c>
    </row>
    <row r="28" spans="1:11">
      <c r="A28" s="21" t="s">
        <v>2796</v>
      </c>
      <c r="B28" s="21" t="s">
        <v>6299</v>
      </c>
      <c r="C28" s="21" t="s">
        <v>22</v>
      </c>
      <c r="D28" s="21" t="s">
        <v>627</v>
      </c>
      <c r="E28" s="21" t="s">
        <v>193</v>
      </c>
      <c r="F28" s="5812">
        <v>3</v>
      </c>
      <c r="G28" s="5813">
        <v>0.20833333333333334</v>
      </c>
      <c r="H28" s="21" t="s">
        <v>10</v>
      </c>
      <c r="I28" s="21" t="s">
        <v>4828</v>
      </c>
      <c r="J28" s="21" t="s">
        <v>6300</v>
      </c>
      <c r="K28" s="5814" t="s">
        <v>6301</v>
      </c>
    </row>
    <row r="29" spans="1:11">
      <c r="A29" s="21" t="s">
        <v>2839</v>
      </c>
      <c r="B29" s="21" t="s">
        <v>6302</v>
      </c>
      <c r="C29" s="21" t="s">
        <v>8</v>
      </c>
      <c r="D29" s="21" t="s">
        <v>627</v>
      </c>
      <c r="E29" s="21" t="s">
        <v>193</v>
      </c>
      <c r="F29" s="5812">
        <v>3</v>
      </c>
      <c r="G29" s="5813">
        <v>0.20833333333333334</v>
      </c>
      <c r="H29" s="21" t="s">
        <v>10</v>
      </c>
      <c r="I29" s="21" t="s">
        <v>2247</v>
      </c>
      <c r="J29" s="21" t="s">
        <v>6303</v>
      </c>
      <c r="K29" s="5814" t="s">
        <v>6304</v>
      </c>
    </row>
    <row r="30" spans="1:11">
      <c r="A30" s="21" t="s">
        <v>4132</v>
      </c>
      <c r="B30" s="21" t="s">
        <v>6305</v>
      </c>
      <c r="C30" s="21" t="s">
        <v>8</v>
      </c>
      <c r="D30" s="21" t="s">
        <v>627</v>
      </c>
      <c r="E30" s="21" t="s">
        <v>193</v>
      </c>
      <c r="F30" s="5812">
        <v>5</v>
      </c>
      <c r="G30" s="5813">
        <v>0.20833333333333334</v>
      </c>
      <c r="H30" s="21" t="s">
        <v>54</v>
      </c>
      <c r="I30" s="21" t="s">
        <v>187</v>
      </c>
      <c r="J30" s="21" t="s">
        <v>6306</v>
      </c>
      <c r="K30" s="5814" t="s">
        <v>6307</v>
      </c>
    </row>
    <row r="31" spans="1:11">
      <c r="A31" s="21" t="s">
        <v>3230</v>
      </c>
      <c r="B31" s="21" t="s">
        <v>9710</v>
      </c>
      <c r="C31" s="21" t="s">
        <v>709</v>
      </c>
      <c r="D31" s="21" t="s">
        <v>1114</v>
      </c>
      <c r="E31" s="21" t="s">
        <v>193</v>
      </c>
      <c r="F31" s="5812">
        <v>5</v>
      </c>
      <c r="G31" s="5813">
        <v>0.20833333333333334</v>
      </c>
      <c r="H31" s="21" t="s">
        <v>54</v>
      </c>
      <c r="I31" s="21" t="s">
        <v>47</v>
      </c>
      <c r="J31" s="21" t="s">
        <v>9711</v>
      </c>
      <c r="K31" s="5814" t="s">
        <v>9712</v>
      </c>
    </row>
    <row r="32" spans="1:11">
      <c r="A32" s="21" t="s">
        <v>2985</v>
      </c>
      <c r="B32" s="21" t="s">
        <v>9713</v>
      </c>
      <c r="C32" s="21" t="s">
        <v>8</v>
      </c>
      <c r="D32" s="21" t="s">
        <v>1114</v>
      </c>
      <c r="E32" s="21" t="s">
        <v>193</v>
      </c>
      <c r="F32" s="5812">
        <v>5</v>
      </c>
      <c r="G32" s="5813">
        <v>0.20833333333333334</v>
      </c>
      <c r="H32" s="21" t="s">
        <v>54</v>
      </c>
      <c r="I32" s="21" t="s">
        <v>55</v>
      </c>
      <c r="J32" s="21" t="s">
        <v>9714</v>
      </c>
      <c r="K32" s="5814" t="s">
        <v>9715</v>
      </c>
    </row>
    <row r="33" spans="1:11">
      <c r="A33" s="21" t="s">
        <v>4434</v>
      </c>
      <c r="B33" s="21" t="s">
        <v>9716</v>
      </c>
      <c r="C33" s="21" t="s">
        <v>8</v>
      </c>
      <c r="D33" s="21" t="s">
        <v>1114</v>
      </c>
      <c r="E33" s="21" t="s">
        <v>193</v>
      </c>
      <c r="F33" s="5812">
        <v>5</v>
      </c>
      <c r="G33" s="5813">
        <v>0.20833333333333334</v>
      </c>
      <c r="H33" s="21" t="s">
        <v>54</v>
      </c>
      <c r="I33" s="21" t="s">
        <v>55</v>
      </c>
      <c r="J33" s="21" t="s">
        <v>9717</v>
      </c>
      <c r="K33" s="5814" t="s">
        <v>9718</v>
      </c>
    </row>
    <row r="34" spans="1:11">
      <c r="A34" s="21" t="s">
        <v>135</v>
      </c>
      <c r="B34" s="21" t="s">
        <v>642</v>
      </c>
      <c r="C34" s="21" t="s">
        <v>22</v>
      </c>
      <c r="D34" s="21" t="s">
        <v>627</v>
      </c>
      <c r="E34" s="5825" t="s">
        <v>9</v>
      </c>
      <c r="F34" s="5812">
        <v>3</v>
      </c>
      <c r="G34" s="5813">
        <v>0.20833333333333334</v>
      </c>
      <c r="H34" s="21" t="s">
        <v>10</v>
      </c>
      <c r="I34" s="21" t="s">
        <v>89</v>
      </c>
      <c r="J34" s="21" t="s">
        <v>643</v>
      </c>
      <c r="K34" s="5814" t="s">
        <v>644</v>
      </c>
    </row>
    <row r="35" spans="1:11">
      <c r="A35" s="21" t="s">
        <v>31</v>
      </c>
      <c r="B35" s="21" t="s">
        <v>674</v>
      </c>
      <c r="C35" s="21" t="s">
        <v>8</v>
      </c>
      <c r="D35" s="21" t="s">
        <v>627</v>
      </c>
      <c r="E35" s="5825" t="s">
        <v>9</v>
      </c>
      <c r="F35" s="5812">
        <v>3</v>
      </c>
      <c r="G35" s="5813">
        <v>0.20833333333333334</v>
      </c>
      <c r="H35" s="21" t="s">
        <v>10</v>
      </c>
      <c r="I35" s="21" t="s">
        <v>39</v>
      </c>
      <c r="J35" s="21" t="s">
        <v>675</v>
      </c>
      <c r="K35" s="5814" t="s">
        <v>676</v>
      </c>
    </row>
    <row r="36" spans="1:11">
      <c r="A36" s="21" t="s">
        <v>177</v>
      </c>
      <c r="B36" s="21" t="s">
        <v>684</v>
      </c>
      <c r="C36" s="21" t="s">
        <v>22</v>
      </c>
      <c r="D36" s="21" t="s">
        <v>627</v>
      </c>
      <c r="E36" s="21" t="s">
        <v>9</v>
      </c>
      <c r="F36" s="5812">
        <v>3</v>
      </c>
      <c r="G36" s="5813">
        <v>0.20833333333333334</v>
      </c>
      <c r="H36" s="21" t="s">
        <v>10</v>
      </c>
      <c r="I36" s="21" t="s">
        <v>39</v>
      </c>
      <c r="J36" s="21" t="s">
        <v>685</v>
      </c>
      <c r="K36" s="5814" t="s">
        <v>686</v>
      </c>
    </row>
    <row r="37" spans="1:11">
      <c r="A37" s="21" t="s">
        <v>44</v>
      </c>
      <c r="B37" s="21" t="s">
        <v>693</v>
      </c>
      <c r="C37" s="21" t="s">
        <v>8</v>
      </c>
      <c r="D37" s="21" t="s">
        <v>627</v>
      </c>
      <c r="E37" s="21" t="s">
        <v>9</v>
      </c>
      <c r="F37" s="5812">
        <v>3</v>
      </c>
      <c r="G37" s="5813">
        <v>0.20833333333333334</v>
      </c>
      <c r="H37" s="21" t="s">
        <v>10</v>
      </c>
      <c r="I37" s="21" t="s">
        <v>23</v>
      </c>
      <c r="J37" s="21" t="s">
        <v>694</v>
      </c>
      <c r="K37" s="5814" t="s">
        <v>695</v>
      </c>
    </row>
    <row r="38" spans="1:11">
      <c r="A38" s="21" t="s">
        <v>2323</v>
      </c>
      <c r="B38" s="21" t="s">
        <v>6308</v>
      </c>
      <c r="C38" s="21" t="s">
        <v>8</v>
      </c>
      <c r="D38" s="21" t="s">
        <v>627</v>
      </c>
      <c r="E38" s="21" t="s">
        <v>9</v>
      </c>
      <c r="F38" s="5812">
        <v>3</v>
      </c>
      <c r="G38" s="5813">
        <v>0.20833333333333334</v>
      </c>
      <c r="H38" s="21" t="s">
        <v>10</v>
      </c>
      <c r="I38" s="21" t="s">
        <v>3846</v>
      </c>
      <c r="J38" s="21" t="s">
        <v>6309</v>
      </c>
      <c r="K38" s="5814" t="s">
        <v>6310</v>
      </c>
    </row>
    <row r="39" spans="1:11">
      <c r="A39" s="21" t="s">
        <v>3249</v>
      </c>
      <c r="B39" s="21" t="s">
        <v>6311</v>
      </c>
      <c r="C39" s="21" t="s">
        <v>22</v>
      </c>
      <c r="D39" s="21" t="s">
        <v>627</v>
      </c>
      <c r="E39" s="21" t="s">
        <v>9</v>
      </c>
      <c r="F39" s="5812">
        <v>3</v>
      </c>
      <c r="G39" s="5813">
        <v>0.20833333333333334</v>
      </c>
      <c r="H39" s="21" t="s">
        <v>10</v>
      </c>
      <c r="I39" s="21" t="s">
        <v>39</v>
      </c>
      <c r="J39" s="21" t="s">
        <v>6312</v>
      </c>
      <c r="K39" s="5814" t="s">
        <v>6313</v>
      </c>
    </row>
    <row r="40" spans="1:11">
      <c r="A40" s="21" t="s">
        <v>2327</v>
      </c>
      <c r="B40" s="21" t="s">
        <v>6314</v>
      </c>
      <c r="C40" s="21" t="s">
        <v>8</v>
      </c>
      <c r="D40" s="21" t="s">
        <v>627</v>
      </c>
      <c r="E40" s="21" t="s">
        <v>9</v>
      </c>
      <c r="F40" s="5812">
        <v>3</v>
      </c>
      <c r="G40" s="5813">
        <v>0.20833333333333334</v>
      </c>
      <c r="H40" s="21" t="s">
        <v>10</v>
      </c>
      <c r="I40" s="21" t="s">
        <v>226</v>
      </c>
      <c r="J40" s="21" t="s">
        <v>6315</v>
      </c>
      <c r="K40" s="5814" t="s">
        <v>6316</v>
      </c>
    </row>
    <row r="41" spans="1:11">
      <c r="A41" s="21" t="s">
        <v>3495</v>
      </c>
      <c r="B41" s="21" t="s">
        <v>6317</v>
      </c>
      <c r="C41" s="21" t="s">
        <v>22</v>
      </c>
      <c r="D41" s="21" t="s">
        <v>627</v>
      </c>
      <c r="E41" s="21" t="s">
        <v>9</v>
      </c>
      <c r="F41" s="5812">
        <v>3</v>
      </c>
      <c r="G41" s="5813">
        <v>0.20833333333333334</v>
      </c>
      <c r="H41" s="21" t="s">
        <v>10</v>
      </c>
      <c r="I41" s="21" t="s">
        <v>11</v>
      </c>
      <c r="J41" s="21" t="s">
        <v>6318</v>
      </c>
      <c r="K41" s="5814" t="s">
        <v>6319</v>
      </c>
    </row>
    <row r="42" spans="1:11">
      <c r="A42" s="21" t="s">
        <v>2334</v>
      </c>
      <c r="B42" s="21" t="s">
        <v>6320</v>
      </c>
      <c r="C42" s="21" t="s">
        <v>22</v>
      </c>
      <c r="D42" s="21" t="s">
        <v>627</v>
      </c>
      <c r="E42" s="21" t="s">
        <v>9</v>
      </c>
      <c r="F42" s="5812">
        <v>3</v>
      </c>
      <c r="G42" s="5813">
        <v>0.20833333333333334</v>
      </c>
      <c r="H42" s="21" t="s">
        <v>10</v>
      </c>
      <c r="I42" s="21" t="s">
        <v>660</v>
      </c>
      <c r="J42" s="21" t="s">
        <v>6321</v>
      </c>
      <c r="K42" s="5814" t="s">
        <v>6322</v>
      </c>
    </row>
    <row r="43" spans="1:11">
      <c r="A43" s="21" t="s">
        <v>2088</v>
      </c>
      <c r="B43" s="21" t="s">
        <v>6323</v>
      </c>
      <c r="C43" s="21" t="s">
        <v>8</v>
      </c>
      <c r="D43" s="21" t="s">
        <v>627</v>
      </c>
      <c r="E43" s="21" t="s">
        <v>9</v>
      </c>
      <c r="F43" s="5812">
        <v>3</v>
      </c>
      <c r="G43" s="5813">
        <v>0.20833333333333334</v>
      </c>
      <c r="H43" s="21" t="s">
        <v>10</v>
      </c>
      <c r="I43" s="21" t="s">
        <v>39</v>
      </c>
      <c r="J43" s="21" t="s">
        <v>6324</v>
      </c>
      <c r="K43" s="5814" t="s">
        <v>6325</v>
      </c>
    </row>
    <row r="44" spans="1:11">
      <c r="A44" s="21" t="s">
        <v>3882</v>
      </c>
      <c r="B44" s="21" t="s">
        <v>6326</v>
      </c>
      <c r="C44" s="21" t="s">
        <v>22</v>
      </c>
      <c r="D44" s="21" t="s">
        <v>627</v>
      </c>
      <c r="E44" s="21" t="s">
        <v>9</v>
      </c>
      <c r="F44" s="5812">
        <v>3</v>
      </c>
      <c r="G44" s="5813">
        <v>0.20833333333333334</v>
      </c>
      <c r="H44" s="21" t="s">
        <v>10</v>
      </c>
      <c r="I44" s="21" t="s">
        <v>39</v>
      </c>
      <c r="J44" s="21" t="s">
        <v>6327</v>
      </c>
      <c r="K44" s="5814" t="s">
        <v>6328</v>
      </c>
    </row>
    <row r="45" spans="1:11">
      <c r="A45" s="21" t="s">
        <v>3882</v>
      </c>
      <c r="B45" s="21" t="s">
        <v>6329</v>
      </c>
      <c r="C45" s="21" t="s">
        <v>22</v>
      </c>
      <c r="D45" s="21" t="s">
        <v>627</v>
      </c>
      <c r="E45" s="21" t="s">
        <v>9</v>
      </c>
      <c r="F45" s="5812">
        <v>3</v>
      </c>
      <c r="G45" s="5813">
        <v>0.20833333333333334</v>
      </c>
      <c r="H45" s="21" t="s">
        <v>10</v>
      </c>
      <c r="I45" s="21" t="s">
        <v>23</v>
      </c>
      <c r="J45" s="21" t="s">
        <v>5027</v>
      </c>
      <c r="K45" s="5814" t="s">
        <v>6330</v>
      </c>
    </row>
    <row r="46" spans="1:11">
      <c r="A46" s="21" t="s">
        <v>3886</v>
      </c>
      <c r="B46" s="21" t="s">
        <v>6331</v>
      </c>
      <c r="C46" s="21" t="s">
        <v>22</v>
      </c>
      <c r="D46" s="21" t="s">
        <v>627</v>
      </c>
      <c r="E46" s="21" t="s">
        <v>9</v>
      </c>
      <c r="F46" s="5812">
        <v>3</v>
      </c>
      <c r="G46" s="5813">
        <v>0.20833333333333334</v>
      </c>
      <c r="H46" s="21" t="s">
        <v>10</v>
      </c>
      <c r="I46" s="21" t="s">
        <v>2269</v>
      </c>
      <c r="J46" s="21" t="s">
        <v>6332</v>
      </c>
      <c r="K46" s="5814" t="s">
        <v>6333</v>
      </c>
    </row>
    <row r="47" spans="1:11">
      <c r="A47" s="21" t="s">
        <v>2918</v>
      </c>
      <c r="B47" s="21" t="s">
        <v>6334</v>
      </c>
      <c r="C47" s="21" t="s">
        <v>22</v>
      </c>
      <c r="D47" s="21" t="s">
        <v>627</v>
      </c>
      <c r="E47" s="21" t="s">
        <v>9</v>
      </c>
      <c r="F47" s="5812">
        <v>3</v>
      </c>
      <c r="G47" s="5813">
        <v>0.20833333333333334</v>
      </c>
      <c r="H47" s="21" t="s">
        <v>10</v>
      </c>
      <c r="I47" s="21" t="s">
        <v>11</v>
      </c>
      <c r="J47" s="21" t="s">
        <v>6335</v>
      </c>
      <c r="K47" s="5814" t="s">
        <v>6336</v>
      </c>
    </row>
    <row r="48" spans="1:11">
      <c r="A48" s="21" t="s">
        <v>2096</v>
      </c>
      <c r="B48" s="21" t="s">
        <v>6337</v>
      </c>
      <c r="C48" s="21" t="s">
        <v>22</v>
      </c>
      <c r="D48" s="21" t="s">
        <v>627</v>
      </c>
      <c r="E48" s="21" t="s">
        <v>9</v>
      </c>
      <c r="F48" s="5812">
        <v>3</v>
      </c>
      <c r="G48" s="5813">
        <v>0.20833333333333334</v>
      </c>
      <c r="H48" s="21" t="s">
        <v>10</v>
      </c>
      <c r="I48" s="21" t="s">
        <v>47</v>
      </c>
      <c r="J48" s="21" t="s">
        <v>6338</v>
      </c>
      <c r="K48" s="5814" t="s">
        <v>6339</v>
      </c>
    </row>
    <row r="49" spans="1:11">
      <c r="A49" s="21" t="s">
        <v>3909</v>
      </c>
      <c r="B49" s="21" t="s">
        <v>6340</v>
      </c>
      <c r="C49" s="21" t="s">
        <v>22</v>
      </c>
      <c r="D49" s="21" t="s">
        <v>627</v>
      </c>
      <c r="E49" s="21" t="s">
        <v>9</v>
      </c>
      <c r="F49" s="5812">
        <v>3</v>
      </c>
      <c r="G49" s="5813">
        <v>0.20833333333333334</v>
      </c>
      <c r="H49" s="21" t="s">
        <v>10</v>
      </c>
      <c r="I49" s="21" t="s">
        <v>2313</v>
      </c>
      <c r="J49" s="21" t="s">
        <v>6341</v>
      </c>
      <c r="K49" s="5814" t="s">
        <v>6342</v>
      </c>
    </row>
    <row r="50" spans="1:11">
      <c r="A50" s="21" t="s">
        <v>3012</v>
      </c>
      <c r="B50" s="21" t="s">
        <v>6343</v>
      </c>
      <c r="C50" s="21" t="s">
        <v>22</v>
      </c>
      <c r="D50" s="21" t="s">
        <v>627</v>
      </c>
      <c r="E50" s="21" t="s">
        <v>9</v>
      </c>
      <c r="F50" s="5812">
        <v>3</v>
      </c>
      <c r="G50" s="5813">
        <v>0.20833333333333334</v>
      </c>
      <c r="H50" s="21" t="s">
        <v>10</v>
      </c>
      <c r="I50" s="21" t="s">
        <v>39</v>
      </c>
      <c r="J50" s="21" t="s">
        <v>6344</v>
      </c>
      <c r="K50" s="5814" t="s">
        <v>6345</v>
      </c>
    </row>
    <row r="51" spans="1:11">
      <c r="A51" s="21" t="s">
        <v>3551</v>
      </c>
      <c r="B51" s="21" t="s">
        <v>6346</v>
      </c>
      <c r="C51" s="21" t="s">
        <v>8</v>
      </c>
      <c r="D51" s="21" t="s">
        <v>627</v>
      </c>
      <c r="E51" s="21" t="s">
        <v>9</v>
      </c>
      <c r="F51" s="5812">
        <v>3</v>
      </c>
      <c r="G51" s="5813">
        <v>0.20833333333333334</v>
      </c>
      <c r="H51" s="21" t="s">
        <v>10</v>
      </c>
      <c r="I51" s="21" t="s">
        <v>39</v>
      </c>
      <c r="J51" s="21" t="s">
        <v>6347</v>
      </c>
      <c r="K51" s="5814" t="s">
        <v>6348</v>
      </c>
    </row>
    <row r="52" spans="1:11">
      <c r="A52" s="21" t="s">
        <v>2450</v>
      </c>
      <c r="B52" s="21" t="s">
        <v>6349</v>
      </c>
      <c r="C52" s="21" t="s">
        <v>8</v>
      </c>
      <c r="D52" s="21" t="s">
        <v>627</v>
      </c>
      <c r="E52" s="21" t="s">
        <v>9</v>
      </c>
      <c r="F52" s="5812">
        <v>3</v>
      </c>
      <c r="G52" s="5813">
        <v>0.20833333333333334</v>
      </c>
      <c r="H52" s="21" t="s">
        <v>10</v>
      </c>
      <c r="I52" s="21" t="s">
        <v>226</v>
      </c>
      <c r="J52" s="21" t="s">
        <v>6350</v>
      </c>
      <c r="K52" s="5814" t="s">
        <v>6351</v>
      </c>
    </row>
    <row r="53" spans="1:11">
      <c r="A53" s="21" t="s">
        <v>2897</v>
      </c>
      <c r="B53" s="21" t="s">
        <v>6352</v>
      </c>
      <c r="C53" s="21" t="s">
        <v>22</v>
      </c>
      <c r="D53" s="21" t="s">
        <v>627</v>
      </c>
      <c r="E53" s="21" t="s">
        <v>9</v>
      </c>
      <c r="F53" s="5812">
        <v>3</v>
      </c>
      <c r="G53" s="5813">
        <v>0.20833333333333334</v>
      </c>
      <c r="H53" s="21" t="s">
        <v>10</v>
      </c>
      <c r="I53" s="21" t="s">
        <v>55</v>
      </c>
      <c r="J53" s="21" t="s">
        <v>6353</v>
      </c>
      <c r="K53" s="5814" t="s">
        <v>6354</v>
      </c>
    </row>
    <row r="54" spans="1:11">
      <c r="A54" s="21" t="s">
        <v>3220</v>
      </c>
      <c r="B54" s="21" t="s">
        <v>6355</v>
      </c>
      <c r="C54" s="21" t="s">
        <v>8</v>
      </c>
      <c r="D54" s="21" t="s">
        <v>627</v>
      </c>
      <c r="E54" s="21" t="s">
        <v>9</v>
      </c>
      <c r="F54" s="5812">
        <v>3</v>
      </c>
      <c r="G54" s="5813">
        <v>0.20833333333333334</v>
      </c>
      <c r="H54" s="21" t="s">
        <v>10</v>
      </c>
      <c r="I54" s="21" t="s">
        <v>47</v>
      </c>
      <c r="J54" s="21" t="s">
        <v>6356</v>
      </c>
      <c r="K54" s="5814" t="s">
        <v>6357</v>
      </c>
    </row>
    <row r="55" spans="1:11">
      <c r="A55" s="21" t="s">
        <v>3974</v>
      </c>
      <c r="B55" s="21" t="s">
        <v>6358</v>
      </c>
      <c r="C55" s="21" t="s">
        <v>8</v>
      </c>
      <c r="D55" s="21" t="s">
        <v>627</v>
      </c>
      <c r="E55" s="21" t="s">
        <v>9</v>
      </c>
      <c r="F55" s="5812">
        <v>3</v>
      </c>
      <c r="G55" s="5813">
        <v>0.20833333333333334</v>
      </c>
      <c r="H55" s="21" t="s">
        <v>10</v>
      </c>
      <c r="I55" s="21" t="s">
        <v>47</v>
      </c>
      <c r="J55" s="21" t="s">
        <v>6359</v>
      </c>
      <c r="K55" s="5814" t="s">
        <v>6360</v>
      </c>
    </row>
    <row r="56" spans="1:11">
      <c r="A56" s="21" t="s">
        <v>2471</v>
      </c>
      <c r="B56" s="21" t="s">
        <v>6361</v>
      </c>
      <c r="C56" s="21" t="s">
        <v>8</v>
      </c>
      <c r="D56" s="21" t="s">
        <v>627</v>
      </c>
      <c r="E56" s="21" t="s">
        <v>9</v>
      </c>
      <c r="F56" s="5812">
        <v>3</v>
      </c>
      <c r="G56" s="5813">
        <v>0.20833333333333334</v>
      </c>
      <c r="H56" s="21" t="s">
        <v>10</v>
      </c>
      <c r="I56" s="21" t="s">
        <v>11</v>
      </c>
      <c r="J56" s="21" t="s">
        <v>6362</v>
      </c>
      <c r="K56" s="5814" t="s">
        <v>6363</v>
      </c>
    </row>
    <row r="57" spans="1:11">
      <c r="A57" s="21" t="s">
        <v>2471</v>
      </c>
      <c r="B57" s="21" t="s">
        <v>6364</v>
      </c>
      <c r="C57" s="21" t="s">
        <v>22</v>
      </c>
      <c r="D57" s="21" t="s">
        <v>627</v>
      </c>
      <c r="E57" s="21" t="s">
        <v>9</v>
      </c>
      <c r="F57" s="5812">
        <v>3</v>
      </c>
      <c r="G57" s="5813">
        <v>0.20833333333333334</v>
      </c>
      <c r="H57" s="21" t="s">
        <v>10</v>
      </c>
      <c r="I57" s="21" t="s">
        <v>55</v>
      </c>
      <c r="J57" s="21" t="s">
        <v>6365</v>
      </c>
      <c r="K57" s="5814" t="s">
        <v>6366</v>
      </c>
    </row>
    <row r="58" spans="1:11">
      <c r="A58" s="21" t="s">
        <v>2115</v>
      </c>
      <c r="B58" s="21" t="s">
        <v>6367</v>
      </c>
      <c r="C58" s="21" t="s">
        <v>8</v>
      </c>
      <c r="D58" s="21" t="s">
        <v>627</v>
      </c>
      <c r="E58" s="21" t="s">
        <v>9</v>
      </c>
      <c r="F58" s="5812">
        <v>3</v>
      </c>
      <c r="G58" s="5813">
        <v>0.20833333333333334</v>
      </c>
      <c r="H58" s="21" t="s">
        <v>10</v>
      </c>
      <c r="I58" s="21" t="s">
        <v>73</v>
      </c>
      <c r="J58" s="21" t="s">
        <v>6368</v>
      </c>
      <c r="K58" s="5814" t="s">
        <v>6369</v>
      </c>
    </row>
    <row r="59" spans="1:11">
      <c r="A59" s="21" t="s">
        <v>3984</v>
      </c>
      <c r="B59" s="21" t="s">
        <v>6370</v>
      </c>
      <c r="C59" s="21" t="s">
        <v>8</v>
      </c>
      <c r="D59" s="21" t="s">
        <v>627</v>
      </c>
      <c r="E59" s="21" t="s">
        <v>9</v>
      </c>
      <c r="F59" s="5812">
        <v>3</v>
      </c>
      <c r="G59" s="5813">
        <v>0.20833333333333334</v>
      </c>
      <c r="H59" s="21" t="s">
        <v>10</v>
      </c>
      <c r="I59" s="21" t="s">
        <v>96</v>
      </c>
      <c r="J59" s="21" t="s">
        <v>6371</v>
      </c>
      <c r="K59" s="5814" t="s">
        <v>6372</v>
      </c>
    </row>
    <row r="60" spans="1:11">
      <c r="A60" s="21" t="s">
        <v>2119</v>
      </c>
      <c r="B60" s="21" t="s">
        <v>6373</v>
      </c>
      <c r="C60" s="21" t="s">
        <v>8</v>
      </c>
      <c r="D60" s="21" t="s">
        <v>627</v>
      </c>
      <c r="E60" s="21" t="s">
        <v>9</v>
      </c>
      <c r="F60" s="5812">
        <v>3</v>
      </c>
      <c r="G60" s="5813">
        <v>0.20833333333333334</v>
      </c>
      <c r="H60" s="21" t="s">
        <v>10</v>
      </c>
      <c r="I60" s="21" t="s">
        <v>39</v>
      </c>
      <c r="J60" s="21" t="s">
        <v>6374</v>
      </c>
      <c r="K60" s="5814" t="s">
        <v>6375</v>
      </c>
    </row>
    <row r="61" spans="1:11">
      <c r="A61" s="21" t="s">
        <v>2123</v>
      </c>
      <c r="B61" s="21" t="s">
        <v>6376</v>
      </c>
      <c r="C61" s="21" t="s">
        <v>22</v>
      </c>
      <c r="D61" s="21" t="s">
        <v>627</v>
      </c>
      <c r="E61" s="21" t="s">
        <v>9</v>
      </c>
      <c r="F61" s="5812">
        <v>3</v>
      </c>
      <c r="G61" s="5813">
        <v>0.20833333333333334</v>
      </c>
      <c r="H61" s="21" t="s">
        <v>10</v>
      </c>
      <c r="I61" s="21" t="s">
        <v>55</v>
      </c>
      <c r="J61" s="21" t="s">
        <v>6377</v>
      </c>
      <c r="K61" s="5814" t="s">
        <v>6378</v>
      </c>
    </row>
    <row r="62" spans="1:11">
      <c r="A62" s="21" t="s">
        <v>2506</v>
      </c>
      <c r="B62" s="21" t="s">
        <v>6379</v>
      </c>
      <c r="C62" s="21" t="s">
        <v>22</v>
      </c>
      <c r="D62" s="21" t="s">
        <v>627</v>
      </c>
      <c r="E62" s="21" t="s">
        <v>9</v>
      </c>
      <c r="F62" s="5812">
        <v>3</v>
      </c>
      <c r="G62" s="5813">
        <v>0.20833333333333334</v>
      </c>
      <c r="H62" s="21" t="s">
        <v>10</v>
      </c>
      <c r="I62" s="21" t="s">
        <v>39</v>
      </c>
      <c r="J62" s="21" t="s">
        <v>6380</v>
      </c>
      <c r="K62" s="5814" t="s">
        <v>6381</v>
      </c>
    </row>
    <row r="63" spans="1:11">
      <c r="A63" s="21" t="s">
        <v>2506</v>
      </c>
      <c r="B63" s="21" t="s">
        <v>6382</v>
      </c>
      <c r="C63" s="21" t="s">
        <v>8</v>
      </c>
      <c r="D63" s="21" t="s">
        <v>627</v>
      </c>
      <c r="E63" s="21" t="s">
        <v>9</v>
      </c>
      <c r="F63" s="5812">
        <v>3</v>
      </c>
      <c r="G63" s="5813">
        <v>0.20833333333333334</v>
      </c>
      <c r="H63" s="21" t="s">
        <v>10</v>
      </c>
      <c r="I63" s="21" t="s">
        <v>23</v>
      </c>
      <c r="J63" s="21" t="s">
        <v>6383</v>
      </c>
      <c r="K63" s="5814" t="s">
        <v>6384</v>
      </c>
    </row>
    <row r="64" spans="1:11">
      <c r="A64" s="21" t="s">
        <v>3481</v>
      </c>
      <c r="B64" s="21" t="s">
        <v>6385</v>
      </c>
      <c r="C64" s="21" t="s">
        <v>22</v>
      </c>
      <c r="D64" s="21" t="s">
        <v>627</v>
      </c>
      <c r="E64" s="21" t="s">
        <v>9</v>
      </c>
      <c r="F64" s="5812">
        <v>3</v>
      </c>
      <c r="G64" s="5813">
        <v>0.20833333333333334</v>
      </c>
      <c r="H64" s="21" t="s">
        <v>10</v>
      </c>
      <c r="I64" s="21" t="s">
        <v>55</v>
      </c>
      <c r="J64" s="21" t="s">
        <v>6386</v>
      </c>
      <c r="K64" s="5814" t="s">
        <v>6387</v>
      </c>
    </row>
    <row r="65" spans="1:11">
      <c r="A65" s="21" t="s">
        <v>3703</v>
      </c>
      <c r="B65" s="21" t="s">
        <v>6388</v>
      </c>
      <c r="C65" s="21" t="s">
        <v>8</v>
      </c>
      <c r="D65" s="21" t="s">
        <v>627</v>
      </c>
      <c r="E65" s="21" t="s">
        <v>9</v>
      </c>
      <c r="F65" s="5812">
        <v>3</v>
      </c>
      <c r="G65" s="5813">
        <v>0.20833333333333334</v>
      </c>
      <c r="H65" s="21" t="s">
        <v>10</v>
      </c>
      <c r="I65" s="21" t="s">
        <v>2313</v>
      </c>
      <c r="J65" s="21" t="s">
        <v>6389</v>
      </c>
      <c r="K65" s="5814" t="s">
        <v>6390</v>
      </c>
    </row>
    <row r="66" spans="1:11">
      <c r="A66" s="21" t="s">
        <v>3703</v>
      </c>
      <c r="B66" s="21" t="s">
        <v>6391</v>
      </c>
      <c r="C66" s="21" t="s">
        <v>22</v>
      </c>
      <c r="D66" s="21" t="s">
        <v>627</v>
      </c>
      <c r="E66" s="21" t="s">
        <v>9</v>
      </c>
      <c r="F66" s="5812">
        <v>3</v>
      </c>
      <c r="G66" s="5813">
        <v>0.20833333333333334</v>
      </c>
      <c r="H66" s="21" t="s">
        <v>10</v>
      </c>
      <c r="I66" s="21" t="s">
        <v>96</v>
      </c>
      <c r="J66" s="21" t="s">
        <v>6392</v>
      </c>
      <c r="K66" s="5814" t="s">
        <v>6393</v>
      </c>
    </row>
    <row r="67" spans="1:11">
      <c r="A67" s="21" t="s">
        <v>4068</v>
      </c>
      <c r="B67" s="21" t="s">
        <v>6394</v>
      </c>
      <c r="C67" s="21" t="s">
        <v>22</v>
      </c>
      <c r="D67" s="21" t="s">
        <v>627</v>
      </c>
      <c r="E67" s="21" t="s">
        <v>9</v>
      </c>
      <c r="F67" s="5812">
        <v>3</v>
      </c>
      <c r="G67" s="5813">
        <v>0.20833333333333334</v>
      </c>
      <c r="H67" s="21" t="s">
        <v>10</v>
      </c>
      <c r="I67" s="21" t="s">
        <v>55</v>
      </c>
      <c r="J67" s="21" t="s">
        <v>6395</v>
      </c>
      <c r="K67" s="5814" t="s">
        <v>6396</v>
      </c>
    </row>
    <row r="68" spans="1:11">
      <c r="A68" s="21" t="s">
        <v>2966</v>
      </c>
      <c r="B68" s="21" t="s">
        <v>6397</v>
      </c>
      <c r="C68" s="21" t="s">
        <v>22</v>
      </c>
      <c r="D68" s="21" t="s">
        <v>627</v>
      </c>
      <c r="E68" s="21" t="s">
        <v>9</v>
      </c>
      <c r="F68" s="5812">
        <v>3</v>
      </c>
      <c r="G68" s="5813">
        <v>0.20833333333333334</v>
      </c>
      <c r="H68" s="21" t="s">
        <v>10</v>
      </c>
      <c r="I68" s="21" t="s">
        <v>39</v>
      </c>
      <c r="J68" s="21" t="s">
        <v>6398</v>
      </c>
      <c r="K68" s="5814" t="s">
        <v>6399</v>
      </c>
    </row>
    <row r="69" spans="1:11">
      <c r="A69" s="21" t="s">
        <v>2065</v>
      </c>
      <c r="B69" s="21" t="s">
        <v>6400</v>
      </c>
      <c r="C69" s="21" t="s">
        <v>22</v>
      </c>
      <c r="D69" s="21" t="s">
        <v>627</v>
      </c>
      <c r="E69" s="21" t="s">
        <v>9</v>
      </c>
      <c r="F69" s="5812">
        <v>3</v>
      </c>
      <c r="G69" s="5813">
        <v>0.20833333333333334</v>
      </c>
      <c r="H69" s="21" t="s">
        <v>10</v>
      </c>
      <c r="I69" s="21" t="s">
        <v>89</v>
      </c>
      <c r="J69" s="21" t="s">
        <v>6401</v>
      </c>
      <c r="K69" s="5814" t="s">
        <v>6402</v>
      </c>
    </row>
    <row r="70" spans="1:11">
      <c r="A70" s="21" t="s">
        <v>2555</v>
      </c>
      <c r="B70" s="21" t="s">
        <v>6403</v>
      </c>
      <c r="C70" s="21" t="s">
        <v>8</v>
      </c>
      <c r="D70" s="21" t="s">
        <v>627</v>
      </c>
      <c r="E70" s="21" t="s">
        <v>9</v>
      </c>
      <c r="F70" s="5812">
        <v>3</v>
      </c>
      <c r="G70" s="5813">
        <v>0.20833333333333334</v>
      </c>
      <c r="H70" s="21" t="s">
        <v>10</v>
      </c>
      <c r="I70" s="21" t="s">
        <v>96</v>
      </c>
      <c r="J70" s="21" t="s">
        <v>6404</v>
      </c>
      <c r="K70" s="5814" t="s">
        <v>6405</v>
      </c>
    </row>
    <row r="71" spans="1:11">
      <c r="A71" s="21" t="s">
        <v>2560</v>
      </c>
      <c r="B71" s="21" t="s">
        <v>6406</v>
      </c>
      <c r="C71" s="21" t="s">
        <v>8</v>
      </c>
      <c r="D71" s="21" t="s">
        <v>627</v>
      </c>
      <c r="E71" s="21" t="s">
        <v>9</v>
      </c>
      <c r="F71" s="5812">
        <v>3</v>
      </c>
      <c r="G71" s="5813">
        <v>0.20833333333333334</v>
      </c>
      <c r="H71" s="21" t="s">
        <v>10</v>
      </c>
      <c r="I71" s="21" t="s">
        <v>226</v>
      </c>
      <c r="J71" s="21" t="s">
        <v>6407</v>
      </c>
      <c r="K71" s="5814" t="s">
        <v>6408</v>
      </c>
    </row>
    <row r="72" spans="1:11">
      <c r="A72" s="21" t="s">
        <v>3311</v>
      </c>
      <c r="B72" s="21" t="s">
        <v>6409</v>
      </c>
      <c r="C72" s="21" t="s">
        <v>8</v>
      </c>
      <c r="D72" s="21" t="s">
        <v>627</v>
      </c>
      <c r="E72" s="21" t="s">
        <v>9</v>
      </c>
      <c r="F72" s="5812">
        <v>3</v>
      </c>
      <c r="G72" s="5813">
        <v>0.20833333333333334</v>
      </c>
      <c r="H72" s="21" t="s">
        <v>10</v>
      </c>
      <c r="I72" s="21" t="s">
        <v>55</v>
      </c>
      <c r="J72" s="21" t="s">
        <v>6410</v>
      </c>
      <c r="K72" s="5814" t="s">
        <v>6411</v>
      </c>
    </row>
    <row r="73" spans="1:11">
      <c r="A73" s="21" t="s">
        <v>2160</v>
      </c>
      <c r="B73" s="21" t="s">
        <v>6412</v>
      </c>
      <c r="C73" s="21" t="s">
        <v>22</v>
      </c>
      <c r="D73" s="21" t="s">
        <v>627</v>
      </c>
      <c r="E73" s="21" t="s">
        <v>9</v>
      </c>
      <c r="F73" s="5812">
        <v>3</v>
      </c>
      <c r="G73" s="5813">
        <v>0.20833333333333334</v>
      </c>
      <c r="H73" s="21" t="s">
        <v>10</v>
      </c>
      <c r="I73" s="21" t="s">
        <v>2162</v>
      </c>
      <c r="J73" s="21" t="s">
        <v>6413</v>
      </c>
      <c r="K73" s="5814" t="s">
        <v>6414</v>
      </c>
    </row>
    <row r="74" spans="1:11">
      <c r="A74" s="21" t="s">
        <v>5387</v>
      </c>
      <c r="B74" s="21" t="s">
        <v>6415</v>
      </c>
      <c r="C74" s="21" t="s">
        <v>22</v>
      </c>
      <c r="D74" s="21" t="s">
        <v>627</v>
      </c>
      <c r="E74" s="21" t="s">
        <v>9</v>
      </c>
      <c r="F74" s="5812">
        <v>3</v>
      </c>
      <c r="G74" s="5813">
        <v>0.20833333333333334</v>
      </c>
      <c r="H74" s="21" t="s">
        <v>10</v>
      </c>
      <c r="I74" s="21" t="s">
        <v>263</v>
      </c>
      <c r="J74" s="21" t="s">
        <v>6416</v>
      </c>
      <c r="K74" s="5814" t="s">
        <v>6417</v>
      </c>
    </row>
    <row r="75" spans="1:11">
      <c r="A75" s="21" t="s">
        <v>2179</v>
      </c>
      <c r="B75" s="21" t="s">
        <v>6418</v>
      </c>
      <c r="C75" s="21" t="s">
        <v>22</v>
      </c>
      <c r="D75" s="21" t="s">
        <v>627</v>
      </c>
      <c r="E75" s="21" t="s">
        <v>9</v>
      </c>
      <c r="F75" s="5812">
        <v>3</v>
      </c>
      <c r="G75" s="5813">
        <v>0.20833333333333334</v>
      </c>
      <c r="H75" s="21" t="s">
        <v>10</v>
      </c>
      <c r="I75" s="21" t="s">
        <v>654</v>
      </c>
      <c r="J75" s="21" t="s">
        <v>6419</v>
      </c>
      <c r="K75" s="5814" t="s">
        <v>6420</v>
      </c>
    </row>
    <row r="76" spans="1:11">
      <c r="A76" s="21" t="s">
        <v>4170</v>
      </c>
      <c r="B76" s="21" t="s">
        <v>6421</v>
      </c>
      <c r="C76" s="21" t="s">
        <v>22</v>
      </c>
      <c r="D76" s="21" t="s">
        <v>627</v>
      </c>
      <c r="E76" s="21" t="s">
        <v>9</v>
      </c>
      <c r="F76" s="5812">
        <v>3</v>
      </c>
      <c r="G76" s="5813">
        <v>0.20833333333333334</v>
      </c>
      <c r="H76" s="21" t="s">
        <v>10</v>
      </c>
      <c r="I76" s="21" t="s">
        <v>2523</v>
      </c>
      <c r="J76" s="21" t="s">
        <v>6422</v>
      </c>
      <c r="K76" s="5814" t="s">
        <v>6423</v>
      </c>
    </row>
    <row r="77" spans="1:11">
      <c r="A77" s="21" t="s">
        <v>2626</v>
      </c>
      <c r="B77" s="21" t="s">
        <v>6424</v>
      </c>
      <c r="C77" s="21" t="s">
        <v>22</v>
      </c>
      <c r="D77" s="21" t="s">
        <v>627</v>
      </c>
      <c r="E77" s="21" t="s">
        <v>9</v>
      </c>
      <c r="F77" s="5812">
        <v>3</v>
      </c>
      <c r="G77" s="5813">
        <v>0.20833333333333334</v>
      </c>
      <c r="H77" s="21" t="s">
        <v>10</v>
      </c>
      <c r="I77" s="21" t="s">
        <v>96</v>
      </c>
      <c r="J77" s="21" t="s">
        <v>6425</v>
      </c>
      <c r="K77" s="5814" t="s">
        <v>6426</v>
      </c>
    </row>
    <row r="78" spans="1:11">
      <c r="A78" s="21" t="s">
        <v>3395</v>
      </c>
      <c r="B78" s="21" t="s">
        <v>6427</v>
      </c>
      <c r="C78" s="21" t="s">
        <v>22</v>
      </c>
      <c r="D78" s="21" t="s">
        <v>627</v>
      </c>
      <c r="E78" s="21" t="s">
        <v>9</v>
      </c>
      <c r="F78" s="5812">
        <v>3</v>
      </c>
      <c r="G78" s="5813">
        <v>0.20833333333333334</v>
      </c>
      <c r="H78" s="21" t="s">
        <v>10</v>
      </c>
      <c r="I78" s="21" t="s">
        <v>2713</v>
      </c>
      <c r="J78" s="21" t="s">
        <v>6428</v>
      </c>
      <c r="K78" s="5814" t="s">
        <v>6429</v>
      </c>
    </row>
    <row r="79" spans="1:11">
      <c r="A79" s="21" t="s">
        <v>2647</v>
      </c>
      <c r="B79" s="21" t="s">
        <v>6430</v>
      </c>
      <c r="C79" s="21" t="s">
        <v>8</v>
      </c>
      <c r="D79" s="21" t="s">
        <v>627</v>
      </c>
      <c r="E79" s="21" t="s">
        <v>9</v>
      </c>
      <c r="F79" s="5812">
        <v>3</v>
      </c>
      <c r="G79" s="5813">
        <v>0.20833333333333334</v>
      </c>
      <c r="H79" s="21" t="s">
        <v>10</v>
      </c>
      <c r="I79" s="21" t="s">
        <v>2713</v>
      </c>
      <c r="J79" s="21" t="s">
        <v>6431</v>
      </c>
      <c r="K79" s="5814" t="s">
        <v>6432</v>
      </c>
    </row>
    <row r="80" spans="1:11">
      <c r="A80" s="21" t="s">
        <v>3173</v>
      </c>
      <c r="B80" s="21" t="s">
        <v>6433</v>
      </c>
      <c r="C80" s="21" t="s">
        <v>22</v>
      </c>
      <c r="D80" s="21" t="s">
        <v>627</v>
      </c>
      <c r="E80" s="21" t="s">
        <v>9</v>
      </c>
      <c r="F80" s="5812">
        <v>3</v>
      </c>
      <c r="G80" s="5813">
        <v>0.20833333333333334</v>
      </c>
      <c r="H80" s="21" t="s">
        <v>10</v>
      </c>
      <c r="I80" s="21" t="s">
        <v>47</v>
      </c>
      <c r="J80" s="21" t="s">
        <v>6434</v>
      </c>
      <c r="K80" s="5814" t="s">
        <v>6435</v>
      </c>
    </row>
    <row r="81" spans="1:11">
      <c r="A81" s="21" t="s">
        <v>2188</v>
      </c>
      <c r="B81" s="21" t="s">
        <v>6436</v>
      </c>
      <c r="C81" s="21" t="s">
        <v>22</v>
      </c>
      <c r="D81" s="21" t="s">
        <v>627</v>
      </c>
      <c r="E81" s="21" t="s">
        <v>9</v>
      </c>
      <c r="F81" s="5812">
        <v>3</v>
      </c>
      <c r="G81" s="5813">
        <v>0.20833333333333334</v>
      </c>
      <c r="H81" s="21" t="s">
        <v>10</v>
      </c>
      <c r="I81" s="21" t="s">
        <v>2153</v>
      </c>
      <c r="J81" s="21" t="s">
        <v>6437</v>
      </c>
      <c r="K81" s="5814" t="s">
        <v>6438</v>
      </c>
    </row>
    <row r="82" spans="1:11">
      <c r="A82" s="21" t="s">
        <v>5148</v>
      </c>
      <c r="B82" s="21" t="s">
        <v>6439</v>
      </c>
      <c r="C82" s="21" t="s">
        <v>22</v>
      </c>
      <c r="D82" s="21" t="s">
        <v>627</v>
      </c>
      <c r="E82" s="21" t="s">
        <v>9</v>
      </c>
      <c r="F82" s="5812">
        <v>3</v>
      </c>
      <c r="G82" s="5813">
        <v>0.20833333333333334</v>
      </c>
      <c r="H82" s="21" t="s">
        <v>10</v>
      </c>
      <c r="I82" s="21" t="s">
        <v>226</v>
      </c>
      <c r="J82" s="21" t="s">
        <v>6440</v>
      </c>
      <c r="K82" s="5814" t="s">
        <v>6441</v>
      </c>
    </row>
    <row r="83" spans="1:11">
      <c r="A83" s="21" t="s">
        <v>2197</v>
      </c>
      <c r="B83" s="21" t="s">
        <v>6442</v>
      </c>
      <c r="C83" s="21" t="s">
        <v>22</v>
      </c>
      <c r="D83" s="21" t="s">
        <v>627</v>
      </c>
      <c r="E83" s="21" t="s">
        <v>9</v>
      </c>
      <c r="F83" s="5812">
        <v>3</v>
      </c>
      <c r="G83" s="5813">
        <v>0.20833333333333334</v>
      </c>
      <c r="H83" s="21" t="s">
        <v>10</v>
      </c>
      <c r="I83" s="21" t="s">
        <v>788</v>
      </c>
      <c r="J83" s="21" t="s">
        <v>6443</v>
      </c>
      <c r="K83" s="5814" t="s">
        <v>6444</v>
      </c>
    </row>
    <row r="84" spans="1:11">
      <c r="A84" s="21" t="s">
        <v>2698</v>
      </c>
      <c r="B84" s="21" t="s">
        <v>6445</v>
      </c>
      <c r="C84" s="21" t="s">
        <v>22</v>
      </c>
      <c r="D84" s="21" t="s">
        <v>627</v>
      </c>
      <c r="E84" s="21" t="s">
        <v>9</v>
      </c>
      <c r="F84" s="5812">
        <v>3</v>
      </c>
      <c r="G84" s="5813">
        <v>0.20833333333333334</v>
      </c>
      <c r="H84" s="21" t="s">
        <v>10</v>
      </c>
      <c r="I84" s="21" t="s">
        <v>2713</v>
      </c>
      <c r="J84" s="21" t="s">
        <v>6446</v>
      </c>
      <c r="K84" s="5814" t="s">
        <v>6447</v>
      </c>
    </row>
    <row r="85" spans="1:11">
      <c r="A85" s="21" t="s">
        <v>2698</v>
      </c>
      <c r="B85" s="21" t="s">
        <v>6448</v>
      </c>
      <c r="C85" s="21" t="s">
        <v>22</v>
      </c>
      <c r="D85" s="21" t="s">
        <v>627</v>
      </c>
      <c r="E85" s="21" t="s">
        <v>9</v>
      </c>
      <c r="F85" s="5812">
        <v>3</v>
      </c>
      <c r="G85" s="5813">
        <v>0.20833333333333334</v>
      </c>
      <c r="H85" s="21" t="s">
        <v>10</v>
      </c>
      <c r="I85" s="21" t="s">
        <v>2713</v>
      </c>
      <c r="J85" s="21" t="s">
        <v>6449</v>
      </c>
      <c r="K85" s="5814" t="s">
        <v>6450</v>
      </c>
    </row>
    <row r="86" spans="1:11">
      <c r="A86" s="21" t="s">
        <v>2719</v>
      </c>
      <c r="B86" s="21" t="s">
        <v>6451</v>
      </c>
      <c r="C86" s="21" t="s">
        <v>8</v>
      </c>
      <c r="D86" s="21" t="s">
        <v>627</v>
      </c>
      <c r="E86" s="21" t="s">
        <v>9</v>
      </c>
      <c r="F86" s="5812">
        <v>3</v>
      </c>
      <c r="G86" s="5813">
        <v>0.20833333333333334</v>
      </c>
      <c r="H86" s="21" t="s">
        <v>10</v>
      </c>
      <c r="I86" s="21" t="s">
        <v>47</v>
      </c>
      <c r="J86" s="21" t="s">
        <v>6452</v>
      </c>
      <c r="K86" s="5814" t="s">
        <v>6453</v>
      </c>
    </row>
    <row r="87" spans="1:11">
      <c r="A87" s="21" t="s">
        <v>4249</v>
      </c>
      <c r="B87" s="21" t="s">
        <v>6454</v>
      </c>
      <c r="C87" s="21" t="s">
        <v>8</v>
      </c>
      <c r="D87" s="21" t="s">
        <v>627</v>
      </c>
      <c r="E87" s="21" t="s">
        <v>9</v>
      </c>
      <c r="F87" s="5812">
        <v>3</v>
      </c>
      <c r="G87" s="5813">
        <v>0.20833333333333334</v>
      </c>
      <c r="H87" s="21" t="s">
        <v>10</v>
      </c>
      <c r="I87" s="21" t="s">
        <v>226</v>
      </c>
      <c r="J87" s="21" t="s">
        <v>6455</v>
      </c>
      <c r="K87" s="5814" t="s">
        <v>6456</v>
      </c>
    </row>
    <row r="88" spans="1:11">
      <c r="A88" s="21" t="s">
        <v>2729</v>
      </c>
      <c r="B88" s="21" t="s">
        <v>6457</v>
      </c>
      <c r="C88" s="21" t="s">
        <v>22</v>
      </c>
      <c r="D88" s="21" t="s">
        <v>627</v>
      </c>
      <c r="E88" s="21" t="s">
        <v>9</v>
      </c>
      <c r="F88" s="5812">
        <v>3</v>
      </c>
      <c r="G88" s="5813">
        <v>0.20833333333333334</v>
      </c>
      <c r="H88" s="21" t="s">
        <v>10</v>
      </c>
      <c r="I88" s="21" t="s">
        <v>2713</v>
      </c>
      <c r="J88" s="21" t="s">
        <v>6458</v>
      </c>
      <c r="K88" s="5814" t="s">
        <v>6459</v>
      </c>
    </row>
    <row r="89" spans="1:11">
      <c r="A89" s="21" t="s">
        <v>4597</v>
      </c>
      <c r="B89" s="21" t="s">
        <v>6460</v>
      </c>
      <c r="C89" s="21" t="s">
        <v>22</v>
      </c>
      <c r="D89" s="21" t="s">
        <v>627</v>
      </c>
      <c r="E89" s="21" t="s">
        <v>9</v>
      </c>
      <c r="F89" s="5812">
        <v>3</v>
      </c>
      <c r="G89" s="5813">
        <v>0.20833333333333334</v>
      </c>
      <c r="H89" s="21" t="s">
        <v>10</v>
      </c>
      <c r="I89" s="21" t="s">
        <v>55</v>
      </c>
      <c r="J89" s="21" t="s">
        <v>6461</v>
      </c>
      <c r="K89" s="5814" t="s">
        <v>6462</v>
      </c>
    </row>
    <row r="90" spans="1:11">
      <c r="A90" s="21" t="s">
        <v>2216</v>
      </c>
      <c r="B90" s="21" t="s">
        <v>6463</v>
      </c>
      <c r="C90" s="21" t="s">
        <v>8</v>
      </c>
      <c r="D90" s="21" t="s">
        <v>627</v>
      </c>
      <c r="E90" s="21" t="s">
        <v>9</v>
      </c>
      <c r="F90" s="5812">
        <v>3</v>
      </c>
      <c r="G90" s="5813">
        <v>0.20833333333333334</v>
      </c>
      <c r="H90" s="21" t="s">
        <v>10</v>
      </c>
      <c r="I90" s="21" t="s">
        <v>2218</v>
      </c>
      <c r="J90" s="21" t="s">
        <v>6464</v>
      </c>
      <c r="K90" s="5814" t="s">
        <v>6465</v>
      </c>
    </row>
    <row r="91" spans="1:11">
      <c r="A91" s="21" t="s">
        <v>4293</v>
      </c>
      <c r="B91" s="21" t="s">
        <v>6466</v>
      </c>
      <c r="C91" s="21" t="s">
        <v>8</v>
      </c>
      <c r="D91" s="21" t="s">
        <v>627</v>
      </c>
      <c r="E91" s="21" t="s">
        <v>9</v>
      </c>
      <c r="F91" s="5812">
        <v>3</v>
      </c>
      <c r="G91" s="5813">
        <v>0.20833333333333334</v>
      </c>
      <c r="H91" s="21" t="s">
        <v>10</v>
      </c>
      <c r="I91" s="21" t="s">
        <v>226</v>
      </c>
      <c r="J91" s="21" t="s">
        <v>6467</v>
      </c>
      <c r="K91" s="5814" t="s">
        <v>6468</v>
      </c>
    </row>
    <row r="92" spans="1:11">
      <c r="A92" s="21" t="s">
        <v>4863</v>
      </c>
      <c r="B92" s="21" t="s">
        <v>6469</v>
      </c>
      <c r="C92" s="21" t="s">
        <v>22</v>
      </c>
      <c r="D92" s="21" t="s">
        <v>627</v>
      </c>
      <c r="E92" s="21" t="s">
        <v>9</v>
      </c>
      <c r="F92" s="5812">
        <v>3</v>
      </c>
      <c r="G92" s="5813">
        <v>0.20833333333333334</v>
      </c>
      <c r="H92" s="21" t="s">
        <v>10</v>
      </c>
      <c r="I92" s="21" t="s">
        <v>47</v>
      </c>
      <c r="J92" s="21" t="s">
        <v>6470</v>
      </c>
      <c r="K92" s="5814" t="s">
        <v>6471</v>
      </c>
    </row>
    <row r="93" spans="1:11">
      <c r="A93" s="21" t="s">
        <v>4313</v>
      </c>
      <c r="B93" s="21" t="s">
        <v>6472</v>
      </c>
      <c r="C93" s="21" t="s">
        <v>8</v>
      </c>
      <c r="D93" s="21" t="s">
        <v>627</v>
      </c>
      <c r="E93" s="21" t="s">
        <v>9</v>
      </c>
      <c r="F93" s="5812">
        <v>3</v>
      </c>
      <c r="G93" s="5813">
        <v>0.20833333333333334</v>
      </c>
      <c r="H93" s="21" t="s">
        <v>10</v>
      </c>
      <c r="I93" s="21" t="s">
        <v>2297</v>
      </c>
      <c r="J93" s="21" t="s">
        <v>6473</v>
      </c>
      <c r="K93" s="5814" t="s">
        <v>6474</v>
      </c>
    </row>
    <row r="94" spans="1:11">
      <c r="A94" s="21" t="s">
        <v>4313</v>
      </c>
      <c r="B94" s="21" t="s">
        <v>6475</v>
      </c>
      <c r="C94" s="21" t="s">
        <v>22</v>
      </c>
      <c r="D94" s="21" t="s">
        <v>627</v>
      </c>
      <c r="E94" s="21" t="s">
        <v>9</v>
      </c>
      <c r="F94" s="5812">
        <v>3</v>
      </c>
      <c r="G94" s="5813">
        <v>0.20833333333333334</v>
      </c>
      <c r="H94" s="21" t="s">
        <v>10</v>
      </c>
      <c r="I94" s="21" t="s">
        <v>47</v>
      </c>
      <c r="J94" s="21" t="s">
        <v>6476</v>
      </c>
      <c r="K94" s="5814" t="s">
        <v>6477</v>
      </c>
    </row>
    <row r="95" spans="1:11">
      <c r="A95" s="21" t="s">
        <v>2784</v>
      </c>
      <c r="B95" s="21" t="s">
        <v>6478</v>
      </c>
      <c r="C95" s="21" t="s">
        <v>8</v>
      </c>
      <c r="D95" s="21" t="s">
        <v>627</v>
      </c>
      <c r="E95" s="21" t="s">
        <v>9</v>
      </c>
      <c r="F95" s="5812">
        <v>3</v>
      </c>
      <c r="G95" s="5813">
        <v>0.20833333333333334</v>
      </c>
      <c r="H95" s="21" t="s">
        <v>10</v>
      </c>
      <c r="I95" s="21" t="s">
        <v>226</v>
      </c>
      <c r="J95" s="21" t="s">
        <v>6479</v>
      </c>
      <c r="K95" s="5814" t="s">
        <v>6480</v>
      </c>
    </row>
    <row r="96" spans="1:11">
      <c r="A96" s="21" t="s">
        <v>4568</v>
      </c>
      <c r="B96" s="21" t="s">
        <v>6481</v>
      </c>
      <c r="C96" s="21" t="s">
        <v>8</v>
      </c>
      <c r="D96" s="21" t="s">
        <v>627</v>
      </c>
      <c r="E96" s="21" t="s">
        <v>9</v>
      </c>
      <c r="F96" s="5812">
        <v>3</v>
      </c>
      <c r="G96" s="5813">
        <v>0.20833333333333334</v>
      </c>
      <c r="H96" s="21" t="s">
        <v>10</v>
      </c>
      <c r="I96" s="21" t="s">
        <v>2297</v>
      </c>
      <c r="J96" s="21" t="s">
        <v>6482</v>
      </c>
      <c r="K96" s="5814" t="s">
        <v>6483</v>
      </c>
    </row>
    <row r="97" spans="1:11">
      <c r="A97" s="21" t="s">
        <v>3584</v>
      </c>
      <c r="B97" s="21" t="s">
        <v>6484</v>
      </c>
      <c r="C97" s="21" t="s">
        <v>22</v>
      </c>
      <c r="D97" s="21" t="s">
        <v>627</v>
      </c>
      <c r="E97" s="21" t="s">
        <v>9</v>
      </c>
      <c r="F97" s="5812">
        <v>3</v>
      </c>
      <c r="G97" s="5813">
        <v>0.20833333333333334</v>
      </c>
      <c r="H97" s="21" t="s">
        <v>10</v>
      </c>
      <c r="I97" s="21" t="s">
        <v>2713</v>
      </c>
      <c r="J97" s="21" t="s">
        <v>6485</v>
      </c>
      <c r="K97" s="5814" t="s">
        <v>6486</v>
      </c>
    </row>
    <row r="98" spans="1:11">
      <c r="A98" s="21" t="s">
        <v>3783</v>
      </c>
      <c r="B98" s="21" t="s">
        <v>6487</v>
      </c>
      <c r="C98" s="21" t="s">
        <v>8</v>
      </c>
      <c r="D98" s="21" t="s">
        <v>627</v>
      </c>
      <c r="E98" s="21" t="s">
        <v>9</v>
      </c>
      <c r="F98" s="5812">
        <v>3</v>
      </c>
      <c r="G98" s="5813">
        <v>0.20833333333333334</v>
      </c>
      <c r="H98" s="21" t="s">
        <v>10</v>
      </c>
      <c r="I98" s="21" t="s">
        <v>187</v>
      </c>
      <c r="J98" s="21" t="s">
        <v>6488</v>
      </c>
      <c r="K98" s="5814" t="s">
        <v>6489</v>
      </c>
    </row>
    <row r="99" spans="1:11">
      <c r="A99" s="21" t="s">
        <v>2237</v>
      </c>
      <c r="B99" s="21" t="s">
        <v>6490</v>
      </c>
      <c r="C99" s="21" t="s">
        <v>22</v>
      </c>
      <c r="D99" s="21" t="s">
        <v>627</v>
      </c>
      <c r="E99" s="21" t="s">
        <v>9</v>
      </c>
      <c r="F99" s="5812">
        <v>3</v>
      </c>
      <c r="G99" s="5813">
        <v>0.20833333333333334</v>
      </c>
      <c r="H99" s="21" t="s">
        <v>10</v>
      </c>
      <c r="I99" s="21" t="s">
        <v>4861</v>
      </c>
      <c r="J99" s="21" t="s">
        <v>6491</v>
      </c>
      <c r="K99" s="5814" t="s">
        <v>6492</v>
      </c>
    </row>
    <row r="100" spans="1:11">
      <c r="A100" s="21" t="s">
        <v>3044</v>
      </c>
      <c r="B100" s="21" t="s">
        <v>6493</v>
      </c>
      <c r="C100" s="21" t="s">
        <v>22</v>
      </c>
      <c r="D100" s="21" t="s">
        <v>627</v>
      </c>
      <c r="E100" s="21" t="s">
        <v>9</v>
      </c>
      <c r="F100" s="5812">
        <v>3</v>
      </c>
      <c r="G100" s="5813">
        <v>0.20833333333333334</v>
      </c>
      <c r="H100" s="21" t="s">
        <v>10</v>
      </c>
      <c r="I100" s="21" t="s">
        <v>2872</v>
      </c>
      <c r="J100" s="21" t="s">
        <v>6494</v>
      </c>
      <c r="K100" s="5814" t="s">
        <v>6495</v>
      </c>
    </row>
    <row r="101" spans="1:11">
      <c r="A101" s="21" t="s">
        <v>3044</v>
      </c>
      <c r="B101" s="21" t="s">
        <v>6496</v>
      </c>
      <c r="C101" s="21" t="s">
        <v>22</v>
      </c>
      <c r="D101" s="21" t="s">
        <v>627</v>
      </c>
      <c r="E101" s="21" t="s">
        <v>9</v>
      </c>
      <c r="F101" s="5812">
        <v>3</v>
      </c>
      <c r="G101" s="5813">
        <v>0.20833333333333334</v>
      </c>
      <c r="H101" s="21" t="s">
        <v>10</v>
      </c>
      <c r="I101" s="21" t="s">
        <v>23</v>
      </c>
      <c r="J101" s="21" t="s">
        <v>6497</v>
      </c>
      <c r="K101" s="5814" t="s">
        <v>6498</v>
      </c>
    </row>
    <row r="102" spans="1:11">
      <c r="A102" s="21" t="s">
        <v>2295</v>
      </c>
      <c r="B102" s="21" t="s">
        <v>6499</v>
      </c>
      <c r="C102" s="21" t="s">
        <v>22</v>
      </c>
      <c r="D102" s="21" t="s">
        <v>627</v>
      </c>
      <c r="E102" s="21" t="s">
        <v>9</v>
      </c>
      <c r="F102" s="5812">
        <v>3</v>
      </c>
      <c r="G102" s="5813">
        <v>0.20833333333333334</v>
      </c>
      <c r="H102" s="21" t="s">
        <v>10</v>
      </c>
      <c r="I102" s="21" t="s">
        <v>55</v>
      </c>
      <c r="J102" s="21" t="s">
        <v>6500</v>
      </c>
      <c r="K102" s="5814" t="s">
        <v>6501</v>
      </c>
    </row>
    <row r="103" spans="1:11">
      <c r="A103" s="21" t="s">
        <v>2827</v>
      </c>
      <c r="B103" s="21" t="s">
        <v>6502</v>
      </c>
      <c r="C103" s="21" t="s">
        <v>8</v>
      </c>
      <c r="D103" s="21" t="s">
        <v>627</v>
      </c>
      <c r="E103" s="21" t="s">
        <v>9</v>
      </c>
      <c r="F103" s="5812">
        <v>3</v>
      </c>
      <c r="G103" s="5813">
        <v>0.20833333333333334</v>
      </c>
      <c r="H103" s="21" t="s">
        <v>10</v>
      </c>
      <c r="I103" s="21" t="s">
        <v>47</v>
      </c>
      <c r="J103" s="21" t="s">
        <v>6503</v>
      </c>
      <c r="K103" s="5814" t="s">
        <v>6504</v>
      </c>
    </row>
    <row r="104" spans="1:11">
      <c r="A104" s="21" t="s">
        <v>2835</v>
      </c>
      <c r="B104" s="21" t="s">
        <v>6505</v>
      </c>
      <c r="C104" s="21" t="s">
        <v>8</v>
      </c>
      <c r="D104" s="21" t="s">
        <v>627</v>
      </c>
      <c r="E104" s="21" t="s">
        <v>9</v>
      </c>
      <c r="F104" s="5812">
        <v>3</v>
      </c>
      <c r="G104" s="5813">
        <v>0.20833333333333334</v>
      </c>
      <c r="H104" s="21" t="s">
        <v>10</v>
      </c>
      <c r="I104" s="21" t="s">
        <v>2297</v>
      </c>
      <c r="J104" s="21" t="s">
        <v>6506</v>
      </c>
      <c r="K104" s="5814" t="s">
        <v>6507</v>
      </c>
    </row>
    <row r="105" spans="1:11">
      <c r="A105" s="21" t="s">
        <v>3458</v>
      </c>
      <c r="B105" s="21" t="s">
        <v>6508</v>
      </c>
      <c r="C105" s="21" t="s">
        <v>8</v>
      </c>
      <c r="D105" s="21" t="s">
        <v>627</v>
      </c>
      <c r="E105" s="21" t="s">
        <v>9</v>
      </c>
      <c r="F105" s="5812">
        <v>3</v>
      </c>
      <c r="G105" s="5813">
        <v>0.20833333333333334</v>
      </c>
      <c r="H105" s="21" t="s">
        <v>10</v>
      </c>
      <c r="I105" s="21" t="s">
        <v>55</v>
      </c>
      <c r="J105" s="21" t="s">
        <v>6509</v>
      </c>
      <c r="K105" s="5814" t="s">
        <v>6510</v>
      </c>
    </row>
    <row r="106" spans="1:11">
      <c r="A106" s="21" t="s">
        <v>3049</v>
      </c>
      <c r="B106" s="21" t="s">
        <v>6511</v>
      </c>
      <c r="C106" s="21" t="s">
        <v>22</v>
      </c>
      <c r="D106" s="21" t="s">
        <v>627</v>
      </c>
      <c r="E106" s="21" t="s">
        <v>9</v>
      </c>
      <c r="F106" s="5812">
        <v>3</v>
      </c>
      <c r="G106" s="5813">
        <v>0.20833333333333334</v>
      </c>
      <c r="H106" s="21" t="s">
        <v>10</v>
      </c>
      <c r="I106" s="21" t="s">
        <v>2713</v>
      </c>
      <c r="J106" s="21" t="s">
        <v>6512</v>
      </c>
      <c r="K106" s="5814" t="s">
        <v>6513</v>
      </c>
    </row>
    <row r="107" spans="1:11">
      <c r="A107" s="21" t="s">
        <v>4396</v>
      </c>
      <c r="B107" s="21" t="s">
        <v>6514</v>
      </c>
      <c r="C107" s="21" t="s">
        <v>22</v>
      </c>
      <c r="D107" s="21" t="s">
        <v>627</v>
      </c>
      <c r="E107" s="21" t="s">
        <v>9</v>
      </c>
      <c r="F107" s="5812">
        <v>3</v>
      </c>
      <c r="G107" s="5813">
        <v>0.20833333333333334</v>
      </c>
      <c r="H107" s="21" t="s">
        <v>10</v>
      </c>
      <c r="I107" s="21" t="s">
        <v>2872</v>
      </c>
      <c r="J107" s="21" t="s">
        <v>6515</v>
      </c>
      <c r="K107" s="5814" t="s">
        <v>6516</v>
      </c>
    </row>
    <row r="108" spans="1:11">
      <c r="A108" s="21" t="s">
        <v>4396</v>
      </c>
      <c r="B108" s="21" t="s">
        <v>6517</v>
      </c>
      <c r="C108" s="21" t="s">
        <v>8</v>
      </c>
      <c r="D108" s="21" t="s">
        <v>627</v>
      </c>
      <c r="E108" s="21" t="s">
        <v>9</v>
      </c>
      <c r="F108" s="5812">
        <v>3</v>
      </c>
      <c r="G108" s="5813">
        <v>0.20833333333333334</v>
      </c>
      <c r="H108" s="21" t="s">
        <v>10</v>
      </c>
      <c r="I108" s="21" t="s">
        <v>2297</v>
      </c>
      <c r="J108" s="21" t="s">
        <v>6518</v>
      </c>
      <c r="K108" s="5814" t="s">
        <v>6519</v>
      </c>
    </row>
    <row r="109" spans="1:11">
      <c r="A109" s="21" t="s">
        <v>4409</v>
      </c>
      <c r="B109" s="21" t="s">
        <v>6520</v>
      </c>
      <c r="C109" s="21" t="s">
        <v>8</v>
      </c>
      <c r="D109" s="21" t="s">
        <v>627</v>
      </c>
      <c r="E109" s="21" t="s">
        <v>9</v>
      </c>
      <c r="F109" s="5812">
        <v>3</v>
      </c>
      <c r="G109" s="5813">
        <v>0.20833333333333334</v>
      </c>
      <c r="H109" s="21" t="s">
        <v>10</v>
      </c>
      <c r="I109" s="21" t="s">
        <v>2872</v>
      </c>
      <c r="J109" s="21" t="s">
        <v>6521</v>
      </c>
      <c r="K109" s="5814" t="s">
        <v>6522</v>
      </c>
    </row>
    <row r="110" spans="1:11">
      <c r="A110" s="21" t="s">
        <v>3144</v>
      </c>
      <c r="B110" s="21" t="s">
        <v>6523</v>
      </c>
      <c r="C110" s="21" t="s">
        <v>8</v>
      </c>
      <c r="D110" s="21" t="s">
        <v>627</v>
      </c>
      <c r="E110" s="21" t="s">
        <v>9</v>
      </c>
      <c r="F110" s="5812">
        <v>3</v>
      </c>
      <c r="G110" s="5813">
        <v>0.20833333333333334</v>
      </c>
      <c r="H110" s="21" t="s">
        <v>10</v>
      </c>
      <c r="I110" s="21" t="s">
        <v>4146</v>
      </c>
      <c r="J110" s="21" t="s">
        <v>6524</v>
      </c>
      <c r="K110" s="5814" t="s">
        <v>6525</v>
      </c>
    </row>
    <row r="111" spans="1:11">
      <c r="A111" s="21" t="s">
        <v>2272</v>
      </c>
      <c r="B111" s="21" t="s">
        <v>6526</v>
      </c>
      <c r="C111" s="21" t="s">
        <v>22</v>
      </c>
      <c r="D111" s="21" t="s">
        <v>627</v>
      </c>
      <c r="E111" s="21" t="s">
        <v>9</v>
      </c>
      <c r="F111" s="5812">
        <v>3</v>
      </c>
      <c r="G111" s="5813">
        <v>0.20833333333333334</v>
      </c>
      <c r="H111" s="21" t="s">
        <v>10</v>
      </c>
      <c r="I111" s="21" t="s">
        <v>55</v>
      </c>
      <c r="J111" s="21" t="s">
        <v>6527</v>
      </c>
      <c r="K111" s="5814" t="s">
        <v>6528</v>
      </c>
    </row>
    <row r="112" spans="1:11">
      <c r="A112" s="21" t="s">
        <v>4434</v>
      </c>
      <c r="B112" s="21" t="s">
        <v>6529</v>
      </c>
      <c r="C112" s="21" t="s">
        <v>8</v>
      </c>
      <c r="D112" s="21" t="s">
        <v>627</v>
      </c>
      <c r="E112" s="21" t="s">
        <v>9</v>
      </c>
      <c r="F112" s="5812">
        <v>3</v>
      </c>
      <c r="G112" s="5813">
        <v>0.20833333333333334</v>
      </c>
      <c r="H112" s="21" t="s">
        <v>10</v>
      </c>
      <c r="I112" s="21" t="s">
        <v>55</v>
      </c>
      <c r="J112" s="21" t="s">
        <v>6530</v>
      </c>
      <c r="K112" s="5814" t="s">
        <v>6531</v>
      </c>
    </row>
    <row r="113" spans="1:11">
      <c r="A113" s="21" t="s">
        <v>3293</v>
      </c>
      <c r="B113" s="21" t="s">
        <v>6532</v>
      </c>
      <c r="C113" s="21" t="s">
        <v>22</v>
      </c>
      <c r="D113" s="21" t="s">
        <v>627</v>
      </c>
      <c r="E113" s="21" t="s">
        <v>9</v>
      </c>
      <c r="F113" s="5812">
        <v>3</v>
      </c>
      <c r="G113" s="5813">
        <v>0.20833333333333334</v>
      </c>
      <c r="H113" s="21" t="s">
        <v>10</v>
      </c>
      <c r="I113" s="21" t="s">
        <v>55</v>
      </c>
      <c r="J113" s="21" t="s">
        <v>6533</v>
      </c>
      <c r="K113" s="5814" t="s">
        <v>6534</v>
      </c>
    </row>
    <row r="114" spans="1:11">
      <c r="A114" s="21" t="s">
        <v>2863</v>
      </c>
      <c r="B114" s="21" t="s">
        <v>6263</v>
      </c>
      <c r="C114" s="21" t="s">
        <v>8</v>
      </c>
      <c r="D114" s="21" t="s">
        <v>627</v>
      </c>
      <c r="E114" s="21" t="s">
        <v>9</v>
      </c>
      <c r="F114" s="5812">
        <v>3</v>
      </c>
      <c r="G114" s="5813">
        <v>0.20833333333333334</v>
      </c>
      <c r="H114" s="21" t="s">
        <v>10</v>
      </c>
      <c r="I114" s="21" t="s">
        <v>2247</v>
      </c>
      <c r="J114" s="21" t="s">
        <v>6535</v>
      </c>
      <c r="K114" s="5814" t="s">
        <v>6536</v>
      </c>
    </row>
    <row r="115" spans="1:11">
      <c r="A115" s="21" t="s">
        <v>4621</v>
      </c>
      <c r="B115" s="21" t="s">
        <v>6537</v>
      </c>
      <c r="C115" s="21" t="s">
        <v>8</v>
      </c>
      <c r="D115" s="21" t="s">
        <v>627</v>
      </c>
      <c r="E115" s="21" t="s">
        <v>9</v>
      </c>
      <c r="F115" s="5812">
        <v>3</v>
      </c>
      <c r="G115" s="5813">
        <v>0.20833333333333334</v>
      </c>
      <c r="H115" s="21" t="s">
        <v>10</v>
      </c>
      <c r="I115" s="21" t="s">
        <v>187</v>
      </c>
      <c r="J115" s="21" t="s">
        <v>6538</v>
      </c>
      <c r="K115" s="5814" t="s">
        <v>6539</v>
      </c>
    </row>
    <row r="116" spans="1:11">
      <c r="A116" s="21" t="s">
        <v>2358</v>
      </c>
      <c r="B116" s="21" t="s">
        <v>6540</v>
      </c>
      <c r="C116" s="21" t="s">
        <v>8</v>
      </c>
      <c r="D116" s="21" t="s">
        <v>627</v>
      </c>
      <c r="E116" s="21" t="s">
        <v>9</v>
      </c>
      <c r="F116" s="5812">
        <v>5</v>
      </c>
      <c r="G116" s="5813">
        <v>0.20833333333333334</v>
      </c>
      <c r="H116" s="21" t="s">
        <v>54</v>
      </c>
      <c r="I116" s="21" t="s">
        <v>39</v>
      </c>
      <c r="J116" s="21" t="s">
        <v>6541</v>
      </c>
      <c r="K116" s="5814" t="s">
        <v>6542</v>
      </c>
    </row>
    <row r="117" spans="1:11">
      <c r="A117" s="21" t="s">
        <v>2442</v>
      </c>
      <c r="B117" s="21" t="s">
        <v>6543</v>
      </c>
      <c r="C117" s="21" t="s">
        <v>22</v>
      </c>
      <c r="D117" s="21" t="s">
        <v>627</v>
      </c>
      <c r="E117" s="21" t="s">
        <v>9</v>
      </c>
      <c r="F117" s="5812">
        <v>5</v>
      </c>
      <c r="G117" s="5813">
        <v>0.20833333333333334</v>
      </c>
      <c r="H117" s="21" t="s">
        <v>54</v>
      </c>
      <c r="I117" s="21" t="s">
        <v>39</v>
      </c>
      <c r="J117" s="21" t="s">
        <v>6541</v>
      </c>
      <c r="K117" s="5814" t="s">
        <v>6544</v>
      </c>
    </row>
    <row r="118" spans="1:11">
      <c r="A118" s="21" t="s">
        <v>2467</v>
      </c>
      <c r="B118" s="21" t="s">
        <v>6545</v>
      </c>
      <c r="C118" s="21" t="s">
        <v>22</v>
      </c>
      <c r="D118" s="21" t="s">
        <v>627</v>
      </c>
      <c r="E118" s="21" t="s">
        <v>9</v>
      </c>
      <c r="F118" s="5812">
        <v>5</v>
      </c>
      <c r="G118" s="5813">
        <v>0.20833333333333334</v>
      </c>
      <c r="H118" s="21" t="s">
        <v>54</v>
      </c>
      <c r="I118" s="21" t="s">
        <v>96</v>
      </c>
      <c r="J118" s="21" t="s">
        <v>6546</v>
      </c>
      <c r="K118" s="5814" t="s">
        <v>6547</v>
      </c>
    </row>
    <row r="119" spans="1:11">
      <c r="A119" s="21" t="s">
        <v>2982</v>
      </c>
      <c r="B119" s="21" t="s">
        <v>6548</v>
      </c>
      <c r="C119" s="21" t="s">
        <v>8</v>
      </c>
      <c r="D119" s="21" t="s">
        <v>627</v>
      </c>
      <c r="E119" s="21" t="s">
        <v>9</v>
      </c>
      <c r="F119" s="5812">
        <v>5</v>
      </c>
      <c r="G119" s="5813">
        <v>0.20833333333333334</v>
      </c>
      <c r="H119" s="21" t="s">
        <v>54</v>
      </c>
      <c r="I119" s="21" t="s">
        <v>55</v>
      </c>
      <c r="J119" s="21" t="s">
        <v>6549</v>
      </c>
      <c r="K119" s="5814" t="s">
        <v>6550</v>
      </c>
    </row>
    <row r="120" spans="1:11">
      <c r="A120" s="21" t="s">
        <v>4645</v>
      </c>
      <c r="B120" s="21" t="s">
        <v>9685</v>
      </c>
      <c r="C120" s="21" t="s">
        <v>8</v>
      </c>
      <c r="D120" s="21" t="s">
        <v>9686</v>
      </c>
      <c r="E120" s="21" t="s">
        <v>9</v>
      </c>
      <c r="F120" s="5812">
        <v>5</v>
      </c>
      <c r="G120" s="5813">
        <v>0.20833333333333334</v>
      </c>
      <c r="H120" s="21" t="s">
        <v>54</v>
      </c>
      <c r="I120" s="21" t="s">
        <v>55</v>
      </c>
      <c r="J120" s="21" t="s">
        <v>9687</v>
      </c>
      <c r="K120" s="5814" t="s">
        <v>9688</v>
      </c>
    </row>
    <row r="121" spans="1:11">
      <c r="A121" s="21" t="s">
        <v>2354</v>
      </c>
      <c r="B121" s="21" t="s">
        <v>9719</v>
      </c>
      <c r="C121" s="21" t="s">
        <v>22</v>
      </c>
      <c r="D121" s="21" t="s">
        <v>1114</v>
      </c>
      <c r="E121" s="21" t="s">
        <v>9</v>
      </c>
      <c r="F121" s="5812">
        <v>5</v>
      </c>
      <c r="G121" s="5813">
        <v>0.20833333333333334</v>
      </c>
      <c r="H121" s="21" t="s">
        <v>54</v>
      </c>
      <c r="I121" s="21" t="s">
        <v>47</v>
      </c>
      <c r="J121" s="21" t="s">
        <v>9720</v>
      </c>
      <c r="K121" s="5814" t="s">
        <v>9721</v>
      </c>
    </row>
    <row r="122" spans="1:11">
      <c r="A122" s="21" t="s">
        <v>2123</v>
      </c>
      <c r="B122" s="21" t="s">
        <v>9722</v>
      </c>
      <c r="C122" s="21" t="s">
        <v>8</v>
      </c>
      <c r="D122" s="21" t="s">
        <v>1114</v>
      </c>
      <c r="E122" s="21" t="s">
        <v>9</v>
      </c>
      <c r="F122" s="5812">
        <v>5</v>
      </c>
      <c r="G122" s="5813">
        <v>0.20833333333333334</v>
      </c>
      <c r="H122" s="21" t="s">
        <v>54</v>
      </c>
      <c r="I122" s="21" t="s">
        <v>55</v>
      </c>
      <c r="J122" s="21" t="s">
        <v>9723</v>
      </c>
      <c r="K122" s="5814" t="s">
        <v>9724</v>
      </c>
    </row>
    <row r="123" spans="1:11">
      <c r="A123" s="21" t="s">
        <v>2143</v>
      </c>
      <c r="B123" s="21" t="s">
        <v>9725</v>
      </c>
      <c r="C123" s="21" t="s">
        <v>8</v>
      </c>
      <c r="D123" s="21" t="s">
        <v>1114</v>
      </c>
      <c r="E123" s="21" t="s">
        <v>9</v>
      </c>
      <c r="F123" s="5812">
        <v>5</v>
      </c>
      <c r="G123" s="5813">
        <v>0.20833333333333334</v>
      </c>
      <c r="H123" s="21" t="s">
        <v>54</v>
      </c>
      <c r="I123" s="21" t="s">
        <v>226</v>
      </c>
      <c r="J123" s="21" t="s">
        <v>9726</v>
      </c>
      <c r="K123" s="5814" t="s">
        <v>9727</v>
      </c>
    </row>
    <row r="124" spans="1:11">
      <c r="A124" s="21" t="s">
        <v>2643</v>
      </c>
      <c r="B124" s="21" t="s">
        <v>9728</v>
      </c>
      <c r="C124" s="21" t="s">
        <v>8</v>
      </c>
      <c r="D124" s="21" t="s">
        <v>1114</v>
      </c>
      <c r="E124" s="21" t="s">
        <v>9</v>
      </c>
      <c r="F124" s="5812">
        <v>5</v>
      </c>
      <c r="G124" s="5813">
        <v>0.20833333333333334</v>
      </c>
      <c r="H124" s="21" t="s">
        <v>54</v>
      </c>
      <c r="I124" s="21" t="s">
        <v>55</v>
      </c>
      <c r="J124" s="21" t="s">
        <v>9729</v>
      </c>
      <c r="K124" s="5814" t="s">
        <v>9730</v>
      </c>
    </row>
    <row r="125" spans="1:11">
      <c r="A125" s="21" t="s">
        <v>4379</v>
      </c>
      <c r="B125" s="21" t="s">
        <v>9964</v>
      </c>
      <c r="C125" s="21" t="s">
        <v>8</v>
      </c>
      <c r="D125" s="21" t="s">
        <v>9965</v>
      </c>
      <c r="E125" s="5826" t="s">
        <v>9</v>
      </c>
      <c r="F125" s="5812">
        <v>3</v>
      </c>
      <c r="G125" s="5813">
        <v>0.20833333333333334</v>
      </c>
      <c r="H125" s="21" t="s">
        <v>2081</v>
      </c>
      <c r="I125" s="21" t="s">
        <v>55</v>
      </c>
      <c r="J125" s="21" t="s">
        <v>9966</v>
      </c>
      <c r="K125" s="5814" t="s">
        <v>9967</v>
      </c>
    </row>
    <row r="126" spans="1:11">
      <c r="A126" s="21" t="s">
        <v>339</v>
      </c>
      <c r="B126" s="21" t="s">
        <v>659</v>
      </c>
      <c r="C126" s="21" t="s">
        <v>22</v>
      </c>
      <c r="D126" s="21" t="s">
        <v>627</v>
      </c>
      <c r="E126" s="21" t="s">
        <v>46</v>
      </c>
      <c r="F126" s="5812">
        <v>1</v>
      </c>
      <c r="G126" s="5813">
        <v>8.3333333333333332E-3</v>
      </c>
      <c r="H126" s="21" t="s">
        <v>10</v>
      </c>
      <c r="I126" s="21" t="s">
        <v>660</v>
      </c>
      <c r="J126" s="21" t="s">
        <v>97</v>
      </c>
      <c r="K126" s="5814" t="s">
        <v>661</v>
      </c>
    </row>
    <row r="127" spans="1:11">
      <c r="A127" s="21" t="s">
        <v>2932</v>
      </c>
      <c r="B127" s="21" t="s">
        <v>6551</v>
      </c>
      <c r="C127" s="21" t="s">
        <v>8</v>
      </c>
      <c r="D127" s="21" t="s">
        <v>627</v>
      </c>
      <c r="E127" s="21" t="s">
        <v>46</v>
      </c>
      <c r="F127" s="5812">
        <v>1</v>
      </c>
      <c r="G127" s="5813">
        <v>9.0277777777777769E-3</v>
      </c>
      <c r="H127" s="21" t="s">
        <v>10</v>
      </c>
      <c r="I127" s="21" t="s">
        <v>226</v>
      </c>
      <c r="J127" s="21" t="s">
        <v>48</v>
      </c>
      <c r="K127" s="5814" t="s">
        <v>6552</v>
      </c>
    </row>
    <row r="128" spans="1:11">
      <c r="A128" s="21" t="s">
        <v>2998</v>
      </c>
      <c r="B128" s="21" t="s">
        <v>6553</v>
      </c>
      <c r="C128" s="21" t="s">
        <v>8</v>
      </c>
      <c r="D128" s="21" t="s">
        <v>627</v>
      </c>
      <c r="E128" s="21" t="s">
        <v>46</v>
      </c>
      <c r="F128" s="5812">
        <v>1</v>
      </c>
      <c r="G128" s="5813">
        <v>1.0416666666666666E-2</v>
      </c>
      <c r="H128" s="21" t="s">
        <v>10</v>
      </c>
      <c r="I128" s="21" t="s">
        <v>2176</v>
      </c>
      <c r="J128" s="21" t="s">
        <v>3132</v>
      </c>
      <c r="K128" s="5814" t="s">
        <v>6554</v>
      </c>
    </row>
    <row r="129" spans="1:11">
      <c r="A129" s="21" t="s">
        <v>4317</v>
      </c>
      <c r="B129" s="21" t="s">
        <v>6555</v>
      </c>
      <c r="C129" s="21" t="s">
        <v>8</v>
      </c>
      <c r="D129" s="21" t="s">
        <v>627</v>
      </c>
      <c r="E129" s="21" t="s">
        <v>46</v>
      </c>
      <c r="F129" s="5812">
        <v>1</v>
      </c>
      <c r="G129" s="5813">
        <v>1.5277777777777777E-2</v>
      </c>
      <c r="H129" s="21" t="s">
        <v>10</v>
      </c>
      <c r="I129" s="21" t="s">
        <v>6556</v>
      </c>
      <c r="J129" s="21" t="s">
        <v>406</v>
      </c>
      <c r="K129" s="5814" t="s">
        <v>6557</v>
      </c>
    </row>
    <row r="130" spans="1:11">
      <c r="A130" s="21" t="s">
        <v>2776</v>
      </c>
      <c r="B130" s="21" t="s">
        <v>6558</v>
      </c>
      <c r="C130" s="21" t="s">
        <v>8</v>
      </c>
      <c r="D130" s="21" t="s">
        <v>627</v>
      </c>
      <c r="E130" s="21" t="s">
        <v>46</v>
      </c>
      <c r="F130" s="5812">
        <v>1</v>
      </c>
      <c r="G130" s="5813">
        <v>1.9444444444444445E-2</v>
      </c>
      <c r="H130" s="21" t="s">
        <v>10</v>
      </c>
      <c r="I130" s="21" t="s">
        <v>2523</v>
      </c>
      <c r="J130" s="21" t="s">
        <v>406</v>
      </c>
      <c r="K130" s="5814" t="s">
        <v>6559</v>
      </c>
    </row>
    <row r="131" spans="1:11">
      <c r="A131" s="21" t="s">
        <v>3651</v>
      </c>
      <c r="B131" s="21" t="s">
        <v>6560</v>
      </c>
      <c r="C131" s="21" t="s">
        <v>22</v>
      </c>
      <c r="D131" s="21" t="s">
        <v>627</v>
      </c>
      <c r="E131" s="21" t="s">
        <v>46</v>
      </c>
      <c r="F131" s="5812">
        <v>1</v>
      </c>
      <c r="G131" s="5813">
        <v>2.013888888888889E-2</v>
      </c>
      <c r="H131" s="21" t="s">
        <v>10</v>
      </c>
      <c r="I131" s="21" t="s">
        <v>6561</v>
      </c>
      <c r="J131" s="21" t="s">
        <v>97</v>
      </c>
      <c r="K131" s="5814" t="s">
        <v>6562</v>
      </c>
    </row>
    <row r="132" spans="1:11">
      <c r="A132" s="21" t="s">
        <v>3144</v>
      </c>
      <c r="B132" s="21" t="s">
        <v>6563</v>
      </c>
      <c r="C132" s="21" t="s">
        <v>8</v>
      </c>
      <c r="D132" s="21" t="s">
        <v>627</v>
      </c>
      <c r="E132" s="21" t="s">
        <v>46</v>
      </c>
      <c r="F132" s="5812">
        <v>1</v>
      </c>
      <c r="G132" s="5813">
        <v>2.0833333333333332E-2</v>
      </c>
      <c r="H132" s="21" t="s">
        <v>10</v>
      </c>
      <c r="I132" s="21" t="s">
        <v>187</v>
      </c>
      <c r="J132" s="21" t="s">
        <v>48</v>
      </c>
      <c r="K132" s="5814" t="s">
        <v>6564</v>
      </c>
    </row>
    <row r="133" spans="1:11">
      <c r="A133" s="21" t="s">
        <v>2643</v>
      </c>
      <c r="B133" s="21" t="s">
        <v>6565</v>
      </c>
      <c r="C133" s="21" t="s">
        <v>22</v>
      </c>
      <c r="D133" s="21" t="s">
        <v>627</v>
      </c>
      <c r="E133" s="21" t="s">
        <v>46</v>
      </c>
      <c r="F133" s="5812">
        <v>1</v>
      </c>
      <c r="G133" s="5813">
        <v>2.5000000000000001E-2</v>
      </c>
      <c r="H133" s="21" t="s">
        <v>10</v>
      </c>
      <c r="I133" s="21" t="s">
        <v>55</v>
      </c>
      <c r="J133" s="21" t="s">
        <v>154</v>
      </c>
      <c r="K133" s="5814" t="s">
        <v>6566</v>
      </c>
    </row>
    <row r="134" spans="1:11">
      <c r="A134" s="21" t="s">
        <v>2551</v>
      </c>
      <c r="B134" s="21" t="s">
        <v>6567</v>
      </c>
      <c r="C134" s="21" t="s">
        <v>22</v>
      </c>
      <c r="D134" s="21" t="s">
        <v>627</v>
      </c>
      <c r="E134" s="21" t="s">
        <v>46</v>
      </c>
      <c r="F134" s="5812">
        <v>1</v>
      </c>
      <c r="G134" s="5813">
        <v>2.6388888888888889E-2</v>
      </c>
      <c r="H134" s="21" t="s">
        <v>10</v>
      </c>
      <c r="I134" s="21" t="s">
        <v>187</v>
      </c>
      <c r="J134" s="21" t="s">
        <v>97</v>
      </c>
      <c r="K134" s="5814" t="s">
        <v>6568</v>
      </c>
    </row>
    <row r="135" spans="1:11">
      <c r="A135" s="21" t="s">
        <v>3537</v>
      </c>
      <c r="B135" s="21" t="s">
        <v>6569</v>
      </c>
      <c r="C135" s="21" t="s">
        <v>22</v>
      </c>
      <c r="D135" s="21" t="s">
        <v>627</v>
      </c>
      <c r="E135" s="21" t="s">
        <v>46</v>
      </c>
      <c r="F135" s="5812">
        <v>1</v>
      </c>
      <c r="G135" s="5813">
        <v>2.9166666666666667E-2</v>
      </c>
      <c r="H135" s="21" t="s">
        <v>10</v>
      </c>
      <c r="I135" s="21" t="s">
        <v>96</v>
      </c>
      <c r="J135" s="21" t="s">
        <v>97</v>
      </c>
      <c r="K135" s="5814" t="s">
        <v>6570</v>
      </c>
    </row>
    <row r="136" spans="1:11">
      <c r="A136" s="21" t="s">
        <v>4177</v>
      </c>
      <c r="B136" s="21" t="s">
        <v>6571</v>
      </c>
      <c r="C136" s="21" t="s">
        <v>22</v>
      </c>
      <c r="D136" s="21" t="s">
        <v>627</v>
      </c>
      <c r="E136" s="21" t="s">
        <v>46</v>
      </c>
      <c r="F136" s="5812">
        <v>1</v>
      </c>
      <c r="G136" s="5813">
        <v>3.0555555555555555E-2</v>
      </c>
      <c r="H136" s="21" t="s">
        <v>10</v>
      </c>
      <c r="I136" s="21" t="s">
        <v>2713</v>
      </c>
      <c r="J136" s="21" t="s">
        <v>48</v>
      </c>
      <c r="K136" s="5814" t="s">
        <v>6572</v>
      </c>
    </row>
    <row r="137" spans="1:11">
      <c r="A137" s="21" t="s">
        <v>4170</v>
      </c>
      <c r="B137" s="21" t="s">
        <v>6573</v>
      </c>
      <c r="C137" s="21" t="s">
        <v>22</v>
      </c>
      <c r="D137" s="21" t="s">
        <v>627</v>
      </c>
      <c r="E137" s="21" t="s">
        <v>46</v>
      </c>
      <c r="F137" s="5812">
        <v>1</v>
      </c>
      <c r="G137" s="5813">
        <v>3.2638888888888891E-2</v>
      </c>
      <c r="H137" s="21" t="s">
        <v>10</v>
      </c>
      <c r="I137" s="21" t="s">
        <v>2523</v>
      </c>
      <c r="J137" s="21" t="s">
        <v>722</v>
      </c>
      <c r="K137" s="5814" t="s">
        <v>6574</v>
      </c>
    </row>
    <row r="138" spans="1:11">
      <c r="A138" s="21" t="s">
        <v>2897</v>
      </c>
      <c r="B138" s="21" t="s">
        <v>6575</v>
      </c>
      <c r="C138" s="21" t="s">
        <v>22</v>
      </c>
      <c r="D138" s="21" t="s">
        <v>627</v>
      </c>
      <c r="E138" s="21" t="s">
        <v>46</v>
      </c>
      <c r="F138" s="5812">
        <v>1</v>
      </c>
      <c r="G138" s="5813">
        <v>3.3333333333333333E-2</v>
      </c>
      <c r="H138" s="21" t="s">
        <v>10</v>
      </c>
      <c r="I138" s="21" t="s">
        <v>39</v>
      </c>
      <c r="J138" s="21" t="s">
        <v>48</v>
      </c>
      <c r="K138" s="5814" t="s">
        <v>6576</v>
      </c>
    </row>
    <row r="139" spans="1:11">
      <c r="A139" s="21" t="s">
        <v>3882</v>
      </c>
      <c r="B139" s="21" t="s">
        <v>6577</v>
      </c>
      <c r="C139" s="21" t="s">
        <v>22</v>
      </c>
      <c r="D139" s="21" t="s">
        <v>627</v>
      </c>
      <c r="E139" s="21" t="s">
        <v>46</v>
      </c>
      <c r="F139" s="5812">
        <v>1</v>
      </c>
      <c r="G139" s="5813">
        <v>3.4027777777777775E-2</v>
      </c>
      <c r="H139" s="21" t="s">
        <v>10</v>
      </c>
      <c r="I139" s="21" t="s">
        <v>39</v>
      </c>
      <c r="J139" s="21" t="s">
        <v>48</v>
      </c>
      <c r="K139" s="5814" t="s">
        <v>6578</v>
      </c>
    </row>
    <row r="140" spans="1:11">
      <c r="A140" s="21" t="s">
        <v>2276</v>
      </c>
      <c r="B140" s="21" t="s">
        <v>6579</v>
      </c>
      <c r="C140" s="21" t="s">
        <v>22</v>
      </c>
      <c r="D140" s="21" t="s">
        <v>627</v>
      </c>
      <c r="E140" s="21" t="s">
        <v>46</v>
      </c>
      <c r="F140" s="5812">
        <v>1</v>
      </c>
      <c r="G140" s="5813">
        <v>3.4722222222222224E-2</v>
      </c>
      <c r="H140" s="21" t="s">
        <v>10</v>
      </c>
      <c r="I140" s="21" t="s">
        <v>2297</v>
      </c>
      <c r="J140" s="21" t="s">
        <v>48</v>
      </c>
      <c r="K140" s="5814" t="s">
        <v>6580</v>
      </c>
    </row>
    <row r="141" spans="1:11">
      <c r="A141" s="21" t="s">
        <v>2796</v>
      </c>
      <c r="B141" s="21" t="s">
        <v>6581</v>
      </c>
      <c r="C141" s="21" t="s">
        <v>22</v>
      </c>
      <c r="D141" s="21" t="s">
        <v>627</v>
      </c>
      <c r="E141" s="21" t="s">
        <v>46</v>
      </c>
      <c r="F141" s="5812">
        <v>1</v>
      </c>
      <c r="G141" s="5813">
        <v>3.6111111111111108E-2</v>
      </c>
      <c r="H141" s="21" t="s">
        <v>10</v>
      </c>
      <c r="I141" s="21" t="s">
        <v>4828</v>
      </c>
      <c r="J141" s="21" t="s">
        <v>1203</v>
      </c>
      <c r="K141" s="5814" t="s">
        <v>6582</v>
      </c>
    </row>
    <row r="142" spans="1:11">
      <c r="A142" s="21" t="s">
        <v>4768</v>
      </c>
      <c r="B142" s="21" t="s">
        <v>6583</v>
      </c>
      <c r="C142" s="21" t="s">
        <v>22</v>
      </c>
      <c r="D142" s="21" t="s">
        <v>627</v>
      </c>
      <c r="E142" s="21" t="s">
        <v>46</v>
      </c>
      <c r="F142" s="5812">
        <v>1</v>
      </c>
      <c r="G142" s="5813">
        <v>3.6111111111111108E-2</v>
      </c>
      <c r="H142" s="21" t="s">
        <v>10</v>
      </c>
      <c r="I142" s="21" t="s">
        <v>47</v>
      </c>
      <c r="J142" s="21" t="s">
        <v>406</v>
      </c>
      <c r="K142" s="5814" t="s">
        <v>6584</v>
      </c>
    </row>
    <row r="143" spans="1:11">
      <c r="A143" s="21" t="s">
        <v>3757</v>
      </c>
      <c r="B143" s="21" t="s">
        <v>6585</v>
      </c>
      <c r="C143" s="21" t="s">
        <v>22</v>
      </c>
      <c r="D143" s="21" t="s">
        <v>627</v>
      </c>
      <c r="E143" s="21" t="s">
        <v>46</v>
      </c>
      <c r="F143" s="5812">
        <v>1</v>
      </c>
      <c r="G143" s="5813">
        <v>3.6805555555555557E-2</v>
      </c>
      <c r="H143" s="21" t="s">
        <v>10</v>
      </c>
      <c r="I143" s="21" t="s">
        <v>226</v>
      </c>
      <c r="J143" s="21" t="s">
        <v>940</v>
      </c>
      <c r="K143" s="5814" t="s">
        <v>6586</v>
      </c>
    </row>
    <row r="144" spans="1:11">
      <c r="A144" s="21" t="s">
        <v>2961</v>
      </c>
      <c r="B144" s="21" t="s">
        <v>6587</v>
      </c>
      <c r="C144" s="21" t="s">
        <v>8</v>
      </c>
      <c r="D144" s="21" t="s">
        <v>627</v>
      </c>
      <c r="E144" s="21" t="s">
        <v>46</v>
      </c>
      <c r="F144" s="5812">
        <v>1</v>
      </c>
      <c r="G144" s="5813">
        <v>3.888888888888889E-2</v>
      </c>
      <c r="H144" s="21" t="s">
        <v>10</v>
      </c>
      <c r="I144" s="21" t="s">
        <v>2731</v>
      </c>
      <c r="J144" s="21" t="s">
        <v>48</v>
      </c>
      <c r="K144" s="5814" t="s">
        <v>6588</v>
      </c>
    </row>
    <row r="145" spans="1:11">
      <c r="A145" s="21" t="s">
        <v>4671</v>
      </c>
      <c r="B145" s="21" t="s">
        <v>6589</v>
      </c>
      <c r="C145" s="21" t="s">
        <v>22</v>
      </c>
      <c r="D145" s="21" t="s">
        <v>627</v>
      </c>
      <c r="E145" s="21" t="s">
        <v>46</v>
      </c>
      <c r="F145" s="5812">
        <v>1</v>
      </c>
      <c r="G145" s="5813">
        <v>3.888888888888889E-2</v>
      </c>
      <c r="H145" s="21" t="s">
        <v>10</v>
      </c>
      <c r="I145" s="21" t="s">
        <v>2660</v>
      </c>
      <c r="J145" s="21" t="s">
        <v>1076</v>
      </c>
      <c r="K145" s="5814" t="s">
        <v>6590</v>
      </c>
    </row>
    <row r="146" spans="1:11">
      <c r="A146" s="21" t="s">
        <v>2147</v>
      </c>
      <c r="B146" s="21" t="s">
        <v>6591</v>
      </c>
      <c r="C146" s="21" t="s">
        <v>8</v>
      </c>
      <c r="D146" s="21" t="s">
        <v>627</v>
      </c>
      <c r="E146" s="21" t="s">
        <v>46</v>
      </c>
      <c r="F146" s="5812">
        <v>1</v>
      </c>
      <c r="G146" s="5813">
        <v>4.4444444444444446E-2</v>
      </c>
      <c r="H146" s="21" t="s">
        <v>10</v>
      </c>
      <c r="I146" s="21" t="s">
        <v>47</v>
      </c>
      <c r="J146" s="21" t="s">
        <v>48</v>
      </c>
      <c r="K146" s="5814" t="s">
        <v>6592</v>
      </c>
    </row>
    <row r="147" spans="1:11">
      <c r="A147" s="21" t="s">
        <v>2395</v>
      </c>
      <c r="B147" s="21" t="s">
        <v>6593</v>
      </c>
      <c r="C147" s="21" t="s">
        <v>8</v>
      </c>
      <c r="D147" s="21" t="s">
        <v>627</v>
      </c>
      <c r="E147" s="21" t="s">
        <v>46</v>
      </c>
      <c r="F147" s="5812">
        <v>1</v>
      </c>
      <c r="G147" s="5813">
        <v>4.5138888888888888E-2</v>
      </c>
      <c r="H147" s="21" t="s">
        <v>10</v>
      </c>
      <c r="I147" s="21" t="s">
        <v>89</v>
      </c>
      <c r="J147" s="21" t="s">
        <v>3004</v>
      </c>
      <c r="K147" s="5814" t="s">
        <v>6594</v>
      </c>
    </row>
    <row r="148" spans="1:11">
      <c r="A148" s="21" t="s">
        <v>3909</v>
      </c>
      <c r="B148" s="21" t="s">
        <v>6595</v>
      </c>
      <c r="C148" s="21" t="s">
        <v>8</v>
      </c>
      <c r="D148" s="21" t="s">
        <v>627</v>
      </c>
      <c r="E148" s="21" t="s">
        <v>46</v>
      </c>
      <c r="F148" s="5812">
        <v>1</v>
      </c>
      <c r="G148" s="5813">
        <v>4.6527777777777779E-2</v>
      </c>
      <c r="H148" s="21" t="s">
        <v>10</v>
      </c>
      <c r="I148" s="21" t="s">
        <v>47</v>
      </c>
      <c r="J148" s="21" t="s">
        <v>406</v>
      </c>
      <c r="K148" s="5814" t="s">
        <v>6596</v>
      </c>
    </row>
    <row r="149" spans="1:11">
      <c r="A149" s="21" t="s">
        <v>3134</v>
      </c>
      <c r="B149" s="21" t="s">
        <v>6597</v>
      </c>
      <c r="C149" s="21" t="s">
        <v>22</v>
      </c>
      <c r="D149" s="21" t="s">
        <v>627</v>
      </c>
      <c r="E149" s="21" t="s">
        <v>46</v>
      </c>
      <c r="F149" s="5812">
        <v>1</v>
      </c>
      <c r="G149" s="5813">
        <v>4.9305555555555554E-2</v>
      </c>
      <c r="H149" s="21" t="s">
        <v>10</v>
      </c>
      <c r="I149" s="21" t="s">
        <v>39</v>
      </c>
      <c r="J149" s="21" t="s">
        <v>127</v>
      </c>
      <c r="K149" s="5814" t="s">
        <v>6598</v>
      </c>
    </row>
    <row r="150" spans="1:11">
      <c r="A150" s="21" t="s">
        <v>2413</v>
      </c>
      <c r="B150" s="21" t="s">
        <v>6599</v>
      </c>
      <c r="C150" s="21" t="s">
        <v>8</v>
      </c>
      <c r="D150" s="21" t="s">
        <v>627</v>
      </c>
      <c r="E150" s="21" t="s">
        <v>46</v>
      </c>
      <c r="F150" s="5812">
        <v>1</v>
      </c>
      <c r="G150" s="5813">
        <v>5.2083333333333336E-2</v>
      </c>
      <c r="H150" s="21" t="s">
        <v>10</v>
      </c>
      <c r="I150" s="21" t="s">
        <v>55</v>
      </c>
      <c r="J150" s="21" t="s">
        <v>97</v>
      </c>
      <c r="K150" s="5814" t="s">
        <v>6600</v>
      </c>
    </row>
    <row r="151" spans="1:11">
      <c r="A151" s="21" t="s">
        <v>2467</v>
      </c>
      <c r="B151" s="21" t="s">
        <v>6601</v>
      </c>
      <c r="C151" s="21" t="s">
        <v>8</v>
      </c>
      <c r="D151" s="21" t="s">
        <v>627</v>
      </c>
      <c r="E151" s="21" t="s">
        <v>46</v>
      </c>
      <c r="F151" s="5812">
        <v>1</v>
      </c>
      <c r="G151" s="5813">
        <v>5.4166666666666669E-2</v>
      </c>
      <c r="H151" s="21" t="s">
        <v>10</v>
      </c>
      <c r="I151" s="21" t="s">
        <v>89</v>
      </c>
      <c r="J151" s="21" t="s">
        <v>127</v>
      </c>
      <c r="K151" s="5814" t="s">
        <v>6602</v>
      </c>
    </row>
    <row r="152" spans="1:11">
      <c r="A152" s="21" t="s">
        <v>2600</v>
      </c>
      <c r="B152" s="21" t="s">
        <v>6603</v>
      </c>
      <c r="C152" s="21" t="s">
        <v>8</v>
      </c>
      <c r="D152" s="21" t="s">
        <v>627</v>
      </c>
      <c r="E152" s="21" t="s">
        <v>46</v>
      </c>
      <c r="F152" s="5812">
        <v>1</v>
      </c>
      <c r="G152" s="5813">
        <v>5.4166666666666669E-2</v>
      </c>
      <c r="H152" s="21" t="s">
        <v>10</v>
      </c>
      <c r="I152" s="21" t="s">
        <v>6604</v>
      </c>
      <c r="J152" s="21" t="s">
        <v>48</v>
      </c>
      <c r="K152" s="5814" t="s">
        <v>6605</v>
      </c>
    </row>
    <row r="153" spans="1:11">
      <c r="A153" s="21" t="s">
        <v>2372</v>
      </c>
      <c r="B153" s="21" t="s">
        <v>6606</v>
      </c>
      <c r="C153" s="21" t="s">
        <v>22</v>
      </c>
      <c r="D153" s="21" t="s">
        <v>627</v>
      </c>
      <c r="E153" s="21" t="s">
        <v>46</v>
      </c>
      <c r="F153" s="5812">
        <v>1</v>
      </c>
      <c r="G153" s="5813">
        <v>5.5555555555555552E-2</v>
      </c>
      <c r="H153" s="21" t="s">
        <v>10</v>
      </c>
      <c r="I153" s="21" t="s">
        <v>47</v>
      </c>
      <c r="J153" s="21" t="s">
        <v>48</v>
      </c>
      <c r="K153" s="5814" t="s">
        <v>6607</v>
      </c>
    </row>
    <row r="154" spans="1:11">
      <c r="A154" s="21" t="s">
        <v>3651</v>
      </c>
      <c r="B154" s="21" t="s">
        <v>6608</v>
      </c>
      <c r="C154" s="21" t="s">
        <v>22</v>
      </c>
      <c r="D154" s="21" t="s">
        <v>627</v>
      </c>
      <c r="E154" s="21" t="s">
        <v>46</v>
      </c>
      <c r="F154" s="5812">
        <v>1</v>
      </c>
      <c r="G154" s="5813">
        <v>5.6250000000000001E-2</v>
      </c>
      <c r="H154" s="21" t="s">
        <v>10</v>
      </c>
      <c r="I154" s="21" t="s">
        <v>2247</v>
      </c>
      <c r="J154" s="21" t="s">
        <v>97</v>
      </c>
      <c r="K154" s="5814" t="s">
        <v>6609</v>
      </c>
    </row>
    <row r="155" spans="1:11">
      <c r="A155" s="21" t="s">
        <v>2323</v>
      </c>
      <c r="B155" s="21" t="s">
        <v>6610</v>
      </c>
      <c r="C155" s="21" t="s">
        <v>8</v>
      </c>
      <c r="D155" s="21" t="s">
        <v>627</v>
      </c>
      <c r="E155" s="21" t="s">
        <v>46</v>
      </c>
      <c r="F155" s="5812">
        <v>1</v>
      </c>
      <c r="G155" s="5813">
        <v>5.6944444444444443E-2</v>
      </c>
      <c r="H155" s="21" t="s">
        <v>10</v>
      </c>
      <c r="I155" s="21" t="s">
        <v>263</v>
      </c>
      <c r="J155" s="21" t="s">
        <v>48</v>
      </c>
      <c r="K155" s="5814" t="s">
        <v>6611</v>
      </c>
    </row>
    <row r="156" spans="1:11">
      <c r="A156" s="21" t="s">
        <v>2846</v>
      </c>
      <c r="B156" s="21" t="s">
        <v>6612</v>
      </c>
      <c r="C156" s="21" t="s">
        <v>8</v>
      </c>
      <c r="D156" s="21" t="s">
        <v>627</v>
      </c>
      <c r="E156" s="21" t="s">
        <v>46</v>
      </c>
      <c r="F156" s="5812">
        <v>1</v>
      </c>
      <c r="G156" s="5813">
        <v>5.9722222222222225E-2</v>
      </c>
      <c r="H156" s="21" t="s">
        <v>54</v>
      </c>
      <c r="I156" s="21" t="s">
        <v>11</v>
      </c>
      <c r="J156" s="21" t="s">
        <v>258</v>
      </c>
      <c r="K156" s="5814" t="s">
        <v>6613</v>
      </c>
    </row>
    <row r="157" spans="1:11">
      <c r="A157" s="21" t="s">
        <v>2100</v>
      </c>
      <c r="B157" s="21" t="s">
        <v>6614</v>
      </c>
      <c r="C157" s="21" t="s">
        <v>22</v>
      </c>
      <c r="D157" s="21" t="s">
        <v>627</v>
      </c>
      <c r="E157" s="21" t="s">
        <v>46</v>
      </c>
      <c r="F157" s="5812">
        <v>1</v>
      </c>
      <c r="G157" s="5813">
        <v>6.1111111111111109E-2</v>
      </c>
      <c r="H157" s="21" t="s">
        <v>10</v>
      </c>
      <c r="I157" s="21" t="s">
        <v>39</v>
      </c>
      <c r="J157" s="21" t="s">
        <v>48</v>
      </c>
      <c r="K157" s="5814" t="s">
        <v>6615</v>
      </c>
    </row>
    <row r="158" spans="1:11">
      <c r="A158" s="21" t="s">
        <v>2698</v>
      </c>
      <c r="B158" s="21" t="s">
        <v>6616</v>
      </c>
      <c r="C158" s="21" t="s">
        <v>22</v>
      </c>
      <c r="D158" s="21" t="s">
        <v>627</v>
      </c>
      <c r="E158" s="21" t="s">
        <v>46</v>
      </c>
      <c r="F158" s="5812">
        <v>1</v>
      </c>
      <c r="G158" s="5813">
        <v>6.1805555555555558E-2</v>
      </c>
      <c r="H158" s="21" t="s">
        <v>54</v>
      </c>
      <c r="I158" s="21" t="s">
        <v>47</v>
      </c>
      <c r="J158" s="21" t="s">
        <v>97</v>
      </c>
      <c r="K158" s="5814" t="s">
        <v>6617</v>
      </c>
    </row>
    <row r="159" spans="1:11">
      <c r="A159" s="21" t="s">
        <v>2647</v>
      </c>
      <c r="B159" s="21" t="s">
        <v>6618</v>
      </c>
      <c r="C159" s="21" t="s">
        <v>22</v>
      </c>
      <c r="D159" s="21" t="s">
        <v>627</v>
      </c>
      <c r="E159" s="21" t="s">
        <v>46</v>
      </c>
      <c r="F159" s="5812">
        <v>1</v>
      </c>
      <c r="G159" s="5813">
        <v>6.5277777777777782E-2</v>
      </c>
      <c r="H159" s="21" t="s">
        <v>10</v>
      </c>
      <c r="I159" s="21" t="s">
        <v>47</v>
      </c>
      <c r="J159" s="21" t="s">
        <v>518</v>
      </c>
      <c r="K159" s="5814" t="s">
        <v>6619</v>
      </c>
    </row>
    <row r="160" spans="1:11">
      <c r="A160" s="21" t="s">
        <v>2707</v>
      </c>
      <c r="B160" s="21" t="s">
        <v>6620</v>
      </c>
      <c r="C160" s="21" t="s">
        <v>22</v>
      </c>
      <c r="D160" s="21" t="s">
        <v>627</v>
      </c>
      <c r="E160" s="21" t="s">
        <v>46</v>
      </c>
      <c r="F160" s="5812">
        <v>1</v>
      </c>
      <c r="G160" s="5813">
        <v>6.6666666666666666E-2</v>
      </c>
      <c r="H160" s="21" t="s">
        <v>10</v>
      </c>
      <c r="I160" s="21" t="s">
        <v>96</v>
      </c>
      <c r="J160" s="21" t="s">
        <v>97</v>
      </c>
      <c r="K160" s="5814" t="s">
        <v>6621</v>
      </c>
    </row>
    <row r="161" spans="1:11">
      <c r="A161" s="21" t="s">
        <v>166</v>
      </c>
      <c r="B161" s="21" t="s">
        <v>680</v>
      </c>
      <c r="C161" s="21" t="s">
        <v>8</v>
      </c>
      <c r="D161" s="21" t="s">
        <v>627</v>
      </c>
      <c r="E161" s="21" t="s">
        <v>46</v>
      </c>
      <c r="F161" s="5812">
        <v>1</v>
      </c>
      <c r="G161" s="5813">
        <v>7.013888888888889E-2</v>
      </c>
      <c r="H161" s="21" t="s">
        <v>10</v>
      </c>
      <c r="I161" s="21" t="s">
        <v>89</v>
      </c>
      <c r="J161" s="21" t="s">
        <v>48</v>
      </c>
      <c r="K161" s="5814" t="s">
        <v>681</v>
      </c>
    </row>
    <row r="162" spans="1:11">
      <c r="A162" s="21" t="s">
        <v>2992</v>
      </c>
      <c r="B162" s="21" t="s">
        <v>6622</v>
      </c>
      <c r="C162" s="21" t="s">
        <v>8</v>
      </c>
      <c r="D162" s="21" t="s">
        <v>627</v>
      </c>
      <c r="E162" s="21" t="s">
        <v>46</v>
      </c>
      <c r="F162" s="5812">
        <v>1</v>
      </c>
      <c r="G162" s="5813">
        <v>7.1527777777777773E-2</v>
      </c>
      <c r="H162" s="21" t="s">
        <v>54</v>
      </c>
      <c r="I162" s="21" t="s">
        <v>55</v>
      </c>
      <c r="J162" s="21" t="s">
        <v>127</v>
      </c>
      <c r="K162" s="5814" t="s">
        <v>6623</v>
      </c>
    </row>
    <row r="163" spans="1:11">
      <c r="A163" s="21" t="s">
        <v>2921</v>
      </c>
      <c r="B163" s="21" t="s">
        <v>6624</v>
      </c>
      <c r="C163" s="21" t="s">
        <v>8</v>
      </c>
      <c r="D163" s="21" t="s">
        <v>627</v>
      </c>
      <c r="E163" s="21" t="s">
        <v>46</v>
      </c>
      <c r="F163" s="5812">
        <v>1</v>
      </c>
      <c r="G163" s="5813">
        <v>7.4999999999999997E-2</v>
      </c>
      <c r="H163" s="21" t="s">
        <v>54</v>
      </c>
      <c r="I163" s="21" t="s">
        <v>55</v>
      </c>
      <c r="J163" s="21" t="s">
        <v>406</v>
      </c>
      <c r="K163" s="5814" t="s">
        <v>6625</v>
      </c>
    </row>
    <row r="164" spans="1:11">
      <c r="A164" s="21" t="s">
        <v>3364</v>
      </c>
      <c r="B164" s="21" t="s">
        <v>6626</v>
      </c>
      <c r="C164" s="21" t="s">
        <v>22</v>
      </c>
      <c r="D164" s="21" t="s">
        <v>627</v>
      </c>
      <c r="E164" s="21" t="s">
        <v>46</v>
      </c>
      <c r="F164" s="5812">
        <v>1</v>
      </c>
      <c r="G164" s="5813">
        <v>8.1250000000000003E-2</v>
      </c>
      <c r="H164" s="21" t="s">
        <v>10</v>
      </c>
      <c r="I164" s="21" t="s">
        <v>788</v>
      </c>
      <c r="J164" s="21" t="s">
        <v>3168</v>
      </c>
      <c r="K164" s="5814" t="s">
        <v>6627</v>
      </c>
    </row>
    <row r="165" spans="1:11">
      <c r="A165" s="21" t="s">
        <v>3984</v>
      </c>
      <c r="B165" s="21" t="s">
        <v>6628</v>
      </c>
      <c r="C165" s="21" t="s">
        <v>8</v>
      </c>
      <c r="D165" s="21" t="s">
        <v>627</v>
      </c>
      <c r="E165" s="21" t="s">
        <v>46</v>
      </c>
      <c r="F165" s="5812">
        <v>1</v>
      </c>
      <c r="G165" s="5813">
        <v>8.2638888888888887E-2</v>
      </c>
      <c r="H165" s="21" t="s">
        <v>10</v>
      </c>
      <c r="I165" s="21" t="s">
        <v>2726</v>
      </c>
      <c r="J165" s="21" t="s">
        <v>6629</v>
      </c>
      <c r="K165" s="5814" t="s">
        <v>6630</v>
      </c>
    </row>
    <row r="166" spans="1:11">
      <c r="A166" s="21" t="s">
        <v>2938</v>
      </c>
      <c r="B166" s="21" t="s">
        <v>6631</v>
      </c>
      <c r="C166" s="21" t="s">
        <v>8</v>
      </c>
      <c r="D166" s="21" t="s">
        <v>627</v>
      </c>
      <c r="E166" s="21" t="s">
        <v>46</v>
      </c>
      <c r="F166" s="5812">
        <v>1</v>
      </c>
      <c r="G166" s="5813">
        <v>8.4027777777777785E-2</v>
      </c>
      <c r="H166" s="21" t="s">
        <v>10</v>
      </c>
      <c r="I166" s="21" t="s">
        <v>3517</v>
      </c>
      <c r="J166" s="21" t="s">
        <v>97</v>
      </c>
      <c r="K166" s="5814" t="s">
        <v>6632</v>
      </c>
    </row>
    <row r="167" spans="1:11">
      <c r="A167" s="21" t="s">
        <v>2334</v>
      </c>
      <c r="B167" s="21" t="s">
        <v>6633</v>
      </c>
      <c r="C167" s="21" t="s">
        <v>22</v>
      </c>
      <c r="D167" s="21" t="s">
        <v>627</v>
      </c>
      <c r="E167" s="21" t="s">
        <v>46</v>
      </c>
      <c r="F167" s="5812">
        <v>1</v>
      </c>
      <c r="G167" s="5813">
        <v>8.6805555555555552E-2</v>
      </c>
      <c r="H167" s="21" t="s">
        <v>10</v>
      </c>
      <c r="I167" s="21" t="s">
        <v>11</v>
      </c>
      <c r="J167" s="21" t="s">
        <v>127</v>
      </c>
      <c r="K167" s="5814" t="s">
        <v>6634</v>
      </c>
    </row>
    <row r="168" spans="1:11">
      <c r="A168" s="21" t="s">
        <v>3720</v>
      </c>
      <c r="B168" s="21" t="s">
        <v>6635</v>
      </c>
      <c r="C168" s="21" t="s">
        <v>8</v>
      </c>
      <c r="D168" s="21" t="s">
        <v>627</v>
      </c>
      <c r="E168" s="21" t="s">
        <v>46</v>
      </c>
      <c r="F168" s="5812">
        <v>1</v>
      </c>
      <c r="G168" s="5813">
        <v>8.819444444444445E-2</v>
      </c>
      <c r="H168" s="21" t="s">
        <v>10</v>
      </c>
      <c r="I168" s="21" t="s">
        <v>187</v>
      </c>
      <c r="J168" s="21" t="s">
        <v>97</v>
      </c>
      <c r="K168" s="5814" t="s">
        <v>6636</v>
      </c>
    </row>
    <row r="169" spans="1:11">
      <c r="A169" s="21" t="s">
        <v>3160</v>
      </c>
      <c r="B169" s="21" t="s">
        <v>6637</v>
      </c>
      <c r="C169" s="21" t="s">
        <v>22</v>
      </c>
      <c r="D169" s="21" t="s">
        <v>627</v>
      </c>
      <c r="E169" s="21" t="s">
        <v>46</v>
      </c>
      <c r="F169" s="5812">
        <v>1</v>
      </c>
      <c r="G169" s="5813">
        <v>8.819444444444445E-2</v>
      </c>
      <c r="H169" s="21" t="s">
        <v>10</v>
      </c>
      <c r="I169" s="21" t="s">
        <v>55</v>
      </c>
      <c r="J169" s="21" t="s">
        <v>48</v>
      </c>
      <c r="K169" s="5814" t="s">
        <v>6638</v>
      </c>
    </row>
    <row r="170" spans="1:11">
      <c r="A170" s="21" t="s">
        <v>3495</v>
      </c>
      <c r="B170" s="21" t="s">
        <v>6639</v>
      </c>
      <c r="C170" s="21" t="s">
        <v>8</v>
      </c>
      <c r="D170" s="21" t="s">
        <v>627</v>
      </c>
      <c r="E170" s="21" t="s">
        <v>46</v>
      </c>
      <c r="F170" s="5812">
        <v>1</v>
      </c>
      <c r="G170" s="5813">
        <v>8.9583333333333334E-2</v>
      </c>
      <c r="H170" s="21" t="s">
        <v>10</v>
      </c>
      <c r="I170" s="21" t="s">
        <v>11</v>
      </c>
      <c r="J170" s="21" t="s">
        <v>127</v>
      </c>
      <c r="K170" s="5814" t="s">
        <v>6640</v>
      </c>
    </row>
    <row r="171" spans="1:11">
      <c r="A171" s="21" t="s">
        <v>4654</v>
      </c>
      <c r="B171" s="21" t="s">
        <v>6641</v>
      </c>
      <c r="C171" s="21" t="s">
        <v>8</v>
      </c>
      <c r="D171" s="21" t="s">
        <v>627</v>
      </c>
      <c r="E171" s="21" t="s">
        <v>46</v>
      </c>
      <c r="F171" s="5812">
        <v>1</v>
      </c>
      <c r="G171" s="5813">
        <v>9.166666666666666E-2</v>
      </c>
      <c r="H171" s="21" t="s">
        <v>10</v>
      </c>
      <c r="I171" s="21" t="s">
        <v>47</v>
      </c>
      <c r="J171" s="21" t="s">
        <v>48</v>
      </c>
      <c r="K171" s="5814" t="s">
        <v>6642</v>
      </c>
    </row>
    <row r="172" spans="1:11">
      <c r="A172" s="21" t="s">
        <v>2354</v>
      </c>
      <c r="B172" s="21" t="s">
        <v>6643</v>
      </c>
      <c r="C172" s="21" t="s">
        <v>22</v>
      </c>
      <c r="D172" s="21" t="s">
        <v>627</v>
      </c>
      <c r="E172" s="21" t="s">
        <v>46</v>
      </c>
      <c r="F172" s="5812">
        <v>1</v>
      </c>
      <c r="G172" s="5813">
        <v>9.4444444444444442E-2</v>
      </c>
      <c r="H172" s="21" t="s">
        <v>10</v>
      </c>
      <c r="I172" s="21" t="s">
        <v>55</v>
      </c>
      <c r="J172" s="21" t="s">
        <v>1076</v>
      </c>
      <c r="K172" s="5814" t="s">
        <v>6644</v>
      </c>
    </row>
    <row r="173" spans="1:11">
      <c r="A173" s="21" t="s">
        <v>2291</v>
      </c>
      <c r="B173" s="21" t="s">
        <v>6645</v>
      </c>
      <c r="C173" s="21" t="s">
        <v>22</v>
      </c>
      <c r="D173" s="21" t="s">
        <v>627</v>
      </c>
      <c r="E173" s="21" t="s">
        <v>46</v>
      </c>
      <c r="F173" s="5812">
        <v>1</v>
      </c>
      <c r="G173" s="5813">
        <v>9.5138888888888884E-2</v>
      </c>
      <c r="H173" s="21" t="s">
        <v>10</v>
      </c>
      <c r="I173" s="21" t="s">
        <v>96</v>
      </c>
      <c r="J173" s="21" t="s">
        <v>3168</v>
      </c>
      <c r="K173" s="5814" t="s">
        <v>6646</v>
      </c>
    </row>
    <row r="174" spans="1:11">
      <c r="A174" s="21" t="s">
        <v>2237</v>
      </c>
      <c r="B174" s="21" t="s">
        <v>6647</v>
      </c>
      <c r="C174" s="21" t="s">
        <v>8</v>
      </c>
      <c r="D174" s="21" t="s">
        <v>627</v>
      </c>
      <c r="E174" s="21" t="s">
        <v>46</v>
      </c>
      <c r="F174" s="5812">
        <v>1</v>
      </c>
      <c r="G174" s="5813">
        <v>0.10208333333333333</v>
      </c>
      <c r="H174" s="21" t="s">
        <v>10</v>
      </c>
      <c r="I174" s="21" t="s">
        <v>5894</v>
      </c>
      <c r="J174" s="21" t="s">
        <v>127</v>
      </c>
      <c r="K174" s="5814" t="s">
        <v>6648</v>
      </c>
    </row>
    <row r="175" spans="1:11">
      <c r="A175" s="21" t="s">
        <v>3446</v>
      </c>
      <c r="B175" s="21" t="s">
        <v>6649</v>
      </c>
      <c r="C175" s="21" t="s">
        <v>8</v>
      </c>
      <c r="D175" s="21" t="s">
        <v>627</v>
      </c>
      <c r="E175" s="21" t="s">
        <v>46</v>
      </c>
      <c r="F175" s="5812">
        <v>1</v>
      </c>
      <c r="G175" s="5813">
        <v>0.1076388888888889</v>
      </c>
      <c r="H175" s="21" t="s">
        <v>10</v>
      </c>
      <c r="I175" s="21" t="s">
        <v>47</v>
      </c>
      <c r="J175" s="21" t="s">
        <v>1117</v>
      </c>
      <c r="K175" s="5814" t="s">
        <v>6650</v>
      </c>
    </row>
    <row r="176" spans="1:11">
      <c r="A176" s="21" t="s">
        <v>3009</v>
      </c>
      <c r="B176" s="21" t="s">
        <v>6651</v>
      </c>
      <c r="C176" s="21" t="s">
        <v>8</v>
      </c>
      <c r="D176" s="21" t="s">
        <v>627</v>
      </c>
      <c r="E176" s="21" t="s">
        <v>46</v>
      </c>
      <c r="F176" s="5812">
        <v>1</v>
      </c>
      <c r="G176" s="5813">
        <v>0.10972222222222222</v>
      </c>
      <c r="H176" s="21" t="s">
        <v>10</v>
      </c>
      <c r="I176" s="21" t="s">
        <v>23</v>
      </c>
      <c r="J176" s="21" t="s">
        <v>48</v>
      </c>
      <c r="K176" s="5814" t="s">
        <v>6652</v>
      </c>
    </row>
    <row r="177" spans="1:11">
      <c r="A177" s="21" t="s">
        <v>2995</v>
      </c>
      <c r="B177" s="21" t="s">
        <v>6653</v>
      </c>
      <c r="C177" s="21" t="s">
        <v>8</v>
      </c>
      <c r="D177" s="21" t="s">
        <v>627</v>
      </c>
      <c r="E177" s="21" t="s">
        <v>46</v>
      </c>
      <c r="F177" s="5812">
        <v>1</v>
      </c>
      <c r="G177" s="5813">
        <v>0.1111111111111111</v>
      </c>
      <c r="H177" s="21" t="s">
        <v>10</v>
      </c>
      <c r="I177" s="21" t="s">
        <v>55</v>
      </c>
      <c r="J177" s="21" t="s">
        <v>48</v>
      </c>
      <c r="K177" s="5814" t="s">
        <v>6654</v>
      </c>
    </row>
    <row r="178" spans="1:11">
      <c r="A178" s="21" t="s">
        <v>2131</v>
      </c>
      <c r="B178" s="21" t="s">
        <v>6655</v>
      </c>
      <c r="C178" s="21" t="s">
        <v>8</v>
      </c>
      <c r="D178" s="21" t="s">
        <v>627</v>
      </c>
      <c r="E178" s="21" t="s">
        <v>46</v>
      </c>
      <c r="F178" s="5812">
        <v>1</v>
      </c>
      <c r="G178" s="5813">
        <v>0.11319444444444444</v>
      </c>
      <c r="H178" s="21" t="s">
        <v>10</v>
      </c>
      <c r="I178" s="21" t="s">
        <v>226</v>
      </c>
      <c r="J178" s="21" t="s">
        <v>127</v>
      </c>
      <c r="K178" s="5814" t="s">
        <v>6656</v>
      </c>
    </row>
    <row r="179" spans="1:11">
      <c r="A179" s="21" t="s">
        <v>4597</v>
      </c>
      <c r="B179" s="21" t="s">
        <v>6657</v>
      </c>
      <c r="C179" s="21" t="s">
        <v>8</v>
      </c>
      <c r="D179" s="21" t="s">
        <v>627</v>
      </c>
      <c r="E179" s="21" t="s">
        <v>46</v>
      </c>
      <c r="F179" s="5812">
        <v>1</v>
      </c>
      <c r="G179" s="5813">
        <v>0.11458333333333333</v>
      </c>
      <c r="H179" s="21" t="s">
        <v>10</v>
      </c>
      <c r="I179" s="21" t="s">
        <v>226</v>
      </c>
      <c r="J179" s="21" t="s">
        <v>258</v>
      </c>
      <c r="K179" s="5814" t="s">
        <v>6658</v>
      </c>
    </row>
    <row r="180" spans="1:11">
      <c r="A180" s="21" t="s">
        <v>2655</v>
      </c>
      <c r="B180" s="21" t="s">
        <v>6659</v>
      </c>
      <c r="C180" s="21" t="s">
        <v>8</v>
      </c>
      <c r="D180" s="21" t="s">
        <v>627</v>
      </c>
      <c r="E180" s="21" t="s">
        <v>46</v>
      </c>
      <c r="F180" s="5812">
        <v>1</v>
      </c>
      <c r="G180" s="5813">
        <v>0.11736111111111111</v>
      </c>
      <c r="H180" s="21" t="s">
        <v>10</v>
      </c>
      <c r="I180" s="21" t="s">
        <v>47</v>
      </c>
      <c r="J180" s="21" t="s">
        <v>127</v>
      </c>
      <c r="K180" s="5814" t="s">
        <v>6660</v>
      </c>
    </row>
    <row r="181" spans="1:11">
      <c r="A181" s="21" t="s">
        <v>2446</v>
      </c>
      <c r="B181" s="21" t="s">
        <v>6661</v>
      </c>
      <c r="C181" s="21" t="s">
        <v>22</v>
      </c>
      <c r="D181" s="21" t="s">
        <v>627</v>
      </c>
      <c r="E181" s="21" t="s">
        <v>46</v>
      </c>
      <c r="F181" s="5812">
        <v>1</v>
      </c>
      <c r="G181" s="5813">
        <v>0.12152777777777778</v>
      </c>
      <c r="H181" s="21" t="s">
        <v>54</v>
      </c>
      <c r="I181" s="21" t="s">
        <v>96</v>
      </c>
      <c r="J181" s="21" t="s">
        <v>48</v>
      </c>
      <c r="K181" s="5814" t="s">
        <v>6662</v>
      </c>
    </row>
    <row r="182" spans="1:11">
      <c r="A182" s="21" t="s">
        <v>2711</v>
      </c>
      <c r="B182" s="21" t="s">
        <v>6663</v>
      </c>
      <c r="C182" s="21" t="s">
        <v>22</v>
      </c>
      <c r="D182" s="21" t="s">
        <v>627</v>
      </c>
      <c r="E182" s="21" t="s">
        <v>46</v>
      </c>
      <c r="F182" s="5812">
        <v>1</v>
      </c>
      <c r="G182" s="5813">
        <v>0.12152777777777778</v>
      </c>
      <c r="H182" s="21" t="s">
        <v>10</v>
      </c>
      <c r="I182" s="21" t="s">
        <v>47</v>
      </c>
      <c r="J182" s="21" t="s">
        <v>406</v>
      </c>
      <c r="K182" s="5814" t="s">
        <v>6664</v>
      </c>
    </row>
    <row r="183" spans="1:11">
      <c r="A183" s="21" t="s">
        <v>5235</v>
      </c>
      <c r="B183" s="21" t="s">
        <v>6665</v>
      </c>
      <c r="C183" s="21" t="s">
        <v>22</v>
      </c>
      <c r="D183" s="21" t="s">
        <v>627</v>
      </c>
      <c r="E183" s="21" t="s">
        <v>46</v>
      </c>
      <c r="F183" s="5812">
        <v>1</v>
      </c>
      <c r="G183" s="5813">
        <v>0.12222222222222222</v>
      </c>
      <c r="H183" s="21" t="s">
        <v>10</v>
      </c>
      <c r="I183" s="21" t="s">
        <v>2660</v>
      </c>
      <c r="J183" s="21" t="s">
        <v>48</v>
      </c>
      <c r="K183" s="5814" t="s">
        <v>6666</v>
      </c>
    </row>
    <row r="184" spans="1:11">
      <c r="A184" s="21" t="s">
        <v>3434</v>
      </c>
      <c r="B184" s="21" t="s">
        <v>6667</v>
      </c>
      <c r="C184" s="21" t="s">
        <v>8</v>
      </c>
      <c r="D184" s="21" t="s">
        <v>627</v>
      </c>
      <c r="E184" s="21" t="s">
        <v>46</v>
      </c>
      <c r="F184" s="5812">
        <v>1</v>
      </c>
      <c r="G184" s="5813">
        <v>0.12291666666666666</v>
      </c>
      <c r="H184" s="21" t="s">
        <v>10</v>
      </c>
      <c r="I184" s="21" t="s">
        <v>89</v>
      </c>
      <c r="J184" s="21" t="s">
        <v>430</v>
      </c>
      <c r="K184" s="5814" t="s">
        <v>6668</v>
      </c>
    </row>
    <row r="185" spans="1:11">
      <c r="A185" s="21" t="s">
        <v>2663</v>
      </c>
      <c r="B185" s="21" t="s">
        <v>6669</v>
      </c>
      <c r="C185" s="21" t="s">
        <v>22</v>
      </c>
      <c r="D185" s="21" t="s">
        <v>627</v>
      </c>
      <c r="E185" s="21" t="s">
        <v>46</v>
      </c>
      <c r="F185" s="5812">
        <v>1</v>
      </c>
      <c r="G185" s="5813">
        <v>0.12430555555555556</v>
      </c>
      <c r="H185" s="21" t="s">
        <v>10</v>
      </c>
      <c r="I185" s="21" t="s">
        <v>4254</v>
      </c>
      <c r="J185" s="21" t="s">
        <v>6670</v>
      </c>
      <c r="K185" s="5814" t="s">
        <v>6671</v>
      </c>
    </row>
    <row r="186" spans="1:11">
      <c r="A186" s="21" t="s">
        <v>3105</v>
      </c>
      <c r="B186" s="21" t="s">
        <v>6672</v>
      </c>
      <c r="C186" s="21" t="s">
        <v>22</v>
      </c>
      <c r="D186" s="21" t="s">
        <v>627</v>
      </c>
      <c r="E186" s="21" t="s">
        <v>46</v>
      </c>
      <c r="F186" s="5812">
        <v>1</v>
      </c>
      <c r="G186" s="5813">
        <v>0.12777777777777777</v>
      </c>
      <c r="H186" s="21" t="s">
        <v>10</v>
      </c>
      <c r="I186" s="21" t="s">
        <v>23</v>
      </c>
      <c r="J186" s="21" t="s">
        <v>997</v>
      </c>
      <c r="K186" s="5814" t="s">
        <v>6673</v>
      </c>
    </row>
    <row r="187" spans="1:11">
      <c r="A187" s="21" t="s">
        <v>2079</v>
      </c>
      <c r="B187" s="21" t="s">
        <v>6674</v>
      </c>
      <c r="C187" s="21" t="s">
        <v>8</v>
      </c>
      <c r="D187" s="21" t="s">
        <v>627</v>
      </c>
      <c r="E187" s="21" t="s">
        <v>46</v>
      </c>
      <c r="F187" s="5812">
        <v>1</v>
      </c>
      <c r="G187" s="5813">
        <v>0.12777777777777777</v>
      </c>
      <c r="H187" s="21" t="s">
        <v>10</v>
      </c>
      <c r="I187" s="21" t="s">
        <v>96</v>
      </c>
      <c r="J187" s="21" t="s">
        <v>97</v>
      </c>
      <c r="K187" s="5814" t="s">
        <v>6675</v>
      </c>
    </row>
    <row r="188" spans="1:11">
      <c r="A188" s="21" t="s">
        <v>3584</v>
      </c>
      <c r="B188" s="21" t="s">
        <v>6676</v>
      </c>
      <c r="C188" s="21" t="s">
        <v>8</v>
      </c>
      <c r="D188" s="21" t="s">
        <v>627</v>
      </c>
      <c r="E188" s="21" t="s">
        <v>46</v>
      </c>
      <c r="F188" s="5812">
        <v>1</v>
      </c>
      <c r="G188" s="5813">
        <v>0.12847222222222221</v>
      </c>
      <c r="H188" s="21" t="s">
        <v>10</v>
      </c>
      <c r="I188" s="21" t="s">
        <v>2713</v>
      </c>
      <c r="J188" s="21" t="s">
        <v>48</v>
      </c>
      <c r="K188" s="5814" t="s">
        <v>6677</v>
      </c>
    </row>
    <row r="189" spans="1:11">
      <c r="A189" s="21" t="s">
        <v>2555</v>
      </c>
      <c r="B189" s="21" t="s">
        <v>6678</v>
      </c>
      <c r="C189" s="21" t="s">
        <v>22</v>
      </c>
      <c r="D189" s="21" t="s">
        <v>627</v>
      </c>
      <c r="E189" s="21" t="s">
        <v>46</v>
      </c>
      <c r="F189" s="5812">
        <v>1</v>
      </c>
      <c r="G189" s="5813">
        <v>0.13055555555555556</v>
      </c>
      <c r="H189" s="21" t="s">
        <v>54</v>
      </c>
      <c r="I189" s="21" t="s">
        <v>55</v>
      </c>
      <c r="J189" s="21" t="s">
        <v>48</v>
      </c>
      <c r="K189" s="5814" t="s">
        <v>6679</v>
      </c>
    </row>
    <row r="190" spans="1:11">
      <c r="A190" s="21" t="s">
        <v>2679</v>
      </c>
      <c r="B190" s="21" t="s">
        <v>6680</v>
      </c>
      <c r="C190" s="21" t="s">
        <v>8</v>
      </c>
      <c r="D190" s="21" t="s">
        <v>627</v>
      </c>
      <c r="E190" s="21" t="s">
        <v>46</v>
      </c>
      <c r="F190" s="5812">
        <v>1</v>
      </c>
      <c r="G190" s="5813">
        <v>0.13125000000000001</v>
      </c>
      <c r="H190" s="21" t="s">
        <v>10</v>
      </c>
      <c r="I190" s="21" t="s">
        <v>55</v>
      </c>
      <c r="J190" s="21" t="s">
        <v>722</v>
      </c>
      <c r="K190" s="5814" t="s">
        <v>6681</v>
      </c>
    </row>
    <row r="191" spans="1:11">
      <c r="A191" s="21" t="s">
        <v>3409</v>
      </c>
      <c r="B191" s="21" t="s">
        <v>6682</v>
      </c>
      <c r="C191" s="21" t="s">
        <v>8</v>
      </c>
      <c r="D191" s="21" t="s">
        <v>627</v>
      </c>
      <c r="E191" s="21" t="s">
        <v>46</v>
      </c>
      <c r="F191" s="5812">
        <v>1</v>
      </c>
      <c r="G191" s="5813">
        <v>0.13402777777777777</v>
      </c>
      <c r="H191" s="21" t="s">
        <v>10</v>
      </c>
      <c r="I191" s="21" t="s">
        <v>187</v>
      </c>
      <c r="J191" s="21" t="s">
        <v>48</v>
      </c>
      <c r="K191" s="5814" t="s">
        <v>6683</v>
      </c>
    </row>
    <row r="192" spans="1:11">
      <c r="A192" s="21" t="s">
        <v>2698</v>
      </c>
      <c r="B192" s="21" t="s">
        <v>6684</v>
      </c>
      <c r="C192" s="21" t="s">
        <v>22</v>
      </c>
      <c r="D192" s="21" t="s">
        <v>627</v>
      </c>
      <c r="E192" s="21" t="s">
        <v>46</v>
      </c>
      <c r="F192" s="5812">
        <v>1</v>
      </c>
      <c r="G192" s="5813">
        <v>0.13402777777777777</v>
      </c>
      <c r="H192" s="21" t="s">
        <v>10</v>
      </c>
      <c r="I192" s="21" t="s">
        <v>2814</v>
      </c>
      <c r="J192" s="21" t="s">
        <v>1117</v>
      </c>
      <c r="K192" s="5814" t="s">
        <v>6685</v>
      </c>
    </row>
    <row r="193" spans="1:11">
      <c r="A193" s="21" t="s">
        <v>2600</v>
      </c>
      <c r="B193" s="21" t="s">
        <v>6686</v>
      </c>
      <c r="C193" s="21" t="s">
        <v>8</v>
      </c>
      <c r="D193" s="21" t="s">
        <v>627</v>
      </c>
      <c r="E193" s="21" t="s">
        <v>46</v>
      </c>
      <c r="F193" s="5812">
        <v>1</v>
      </c>
      <c r="G193" s="5813">
        <v>0.13819444444444445</v>
      </c>
      <c r="H193" s="21" t="s">
        <v>10</v>
      </c>
      <c r="I193" s="21" t="s">
        <v>55</v>
      </c>
      <c r="J193" s="21" t="s">
        <v>3226</v>
      </c>
      <c r="K193" s="5814" t="s">
        <v>6687</v>
      </c>
    </row>
    <row r="194" spans="1:11">
      <c r="A194" s="21" t="s">
        <v>3974</v>
      </c>
      <c r="B194" s="21" t="s">
        <v>6688</v>
      </c>
      <c r="C194" s="21" t="s">
        <v>22</v>
      </c>
      <c r="D194" s="21" t="s">
        <v>627</v>
      </c>
      <c r="E194" s="21" t="s">
        <v>46</v>
      </c>
      <c r="F194" s="5812">
        <v>1</v>
      </c>
      <c r="G194" s="5813">
        <v>0.14652777777777778</v>
      </c>
      <c r="H194" s="21" t="s">
        <v>10</v>
      </c>
      <c r="I194" s="21" t="s">
        <v>2544</v>
      </c>
      <c r="J194" s="21" t="s">
        <v>48</v>
      </c>
      <c r="K194" s="5814" t="s">
        <v>6689</v>
      </c>
    </row>
    <row r="195" spans="1:11">
      <c r="A195" s="21" t="s">
        <v>177</v>
      </c>
      <c r="B195" s="21" t="s">
        <v>646</v>
      </c>
      <c r="C195" s="21" t="s">
        <v>22</v>
      </c>
      <c r="D195" s="21" t="s">
        <v>627</v>
      </c>
      <c r="E195" s="21" t="s">
        <v>46</v>
      </c>
      <c r="F195" s="5812">
        <v>1</v>
      </c>
      <c r="G195" s="5813">
        <v>0.15138888888888888</v>
      </c>
      <c r="H195" s="21" t="s">
        <v>10</v>
      </c>
      <c r="I195" s="21" t="s">
        <v>89</v>
      </c>
      <c r="J195" s="21" t="s">
        <v>97</v>
      </c>
      <c r="K195" s="5814" t="s">
        <v>647</v>
      </c>
    </row>
    <row r="196" spans="1:11">
      <c r="A196" s="21" t="s">
        <v>4711</v>
      </c>
      <c r="B196" s="21" t="s">
        <v>6690</v>
      </c>
      <c r="C196" s="21" t="s">
        <v>22</v>
      </c>
      <c r="D196" s="21" t="s">
        <v>627</v>
      </c>
      <c r="E196" s="21" t="s">
        <v>46</v>
      </c>
      <c r="F196" s="5812">
        <v>1</v>
      </c>
      <c r="G196" s="5813">
        <v>0.15208333333333332</v>
      </c>
      <c r="H196" s="21" t="s">
        <v>10</v>
      </c>
      <c r="I196" s="21" t="s">
        <v>226</v>
      </c>
      <c r="J196" s="21" t="s">
        <v>940</v>
      </c>
      <c r="K196" s="5814" t="s">
        <v>6691</v>
      </c>
    </row>
    <row r="197" spans="1:11">
      <c r="A197" s="21" t="s">
        <v>2372</v>
      </c>
      <c r="B197" s="21" t="s">
        <v>6692</v>
      </c>
      <c r="C197" s="21" t="s">
        <v>8</v>
      </c>
      <c r="D197" s="21" t="s">
        <v>627</v>
      </c>
      <c r="E197" s="21" t="s">
        <v>46</v>
      </c>
      <c r="F197" s="5812">
        <v>1</v>
      </c>
      <c r="G197" s="5813">
        <v>0.15555555555555556</v>
      </c>
      <c r="H197" s="21" t="s">
        <v>10</v>
      </c>
      <c r="I197" s="21" t="s">
        <v>187</v>
      </c>
      <c r="J197" s="21" t="s">
        <v>48</v>
      </c>
      <c r="K197" s="5814" t="s">
        <v>6693</v>
      </c>
    </row>
    <row r="198" spans="1:11">
      <c r="A198" s="21" t="s">
        <v>3328</v>
      </c>
      <c r="B198" s="21" t="s">
        <v>6694</v>
      </c>
      <c r="C198" s="21" t="s">
        <v>8</v>
      </c>
      <c r="D198" s="21" t="s">
        <v>627</v>
      </c>
      <c r="E198" s="21" t="s">
        <v>46</v>
      </c>
      <c r="F198" s="5812">
        <v>1</v>
      </c>
      <c r="G198" s="5813">
        <v>0.16388888888888889</v>
      </c>
      <c r="H198" s="21" t="s">
        <v>10</v>
      </c>
      <c r="I198" s="21" t="s">
        <v>226</v>
      </c>
      <c r="J198" s="21" t="s">
        <v>48</v>
      </c>
      <c r="K198" s="5814" t="s">
        <v>6695</v>
      </c>
    </row>
    <row r="199" spans="1:11">
      <c r="A199" s="21" t="s">
        <v>2481</v>
      </c>
      <c r="B199" s="21" t="s">
        <v>6696</v>
      </c>
      <c r="C199" s="21" t="s">
        <v>8</v>
      </c>
      <c r="D199" s="21" t="s">
        <v>627</v>
      </c>
      <c r="E199" s="21" t="s">
        <v>46</v>
      </c>
      <c r="F199" s="5812">
        <v>1</v>
      </c>
      <c r="G199" s="5813">
        <v>0.16527777777777777</v>
      </c>
      <c r="H199" s="21" t="s">
        <v>10</v>
      </c>
      <c r="I199" s="21" t="s">
        <v>23</v>
      </c>
      <c r="J199" s="21" t="s">
        <v>48</v>
      </c>
      <c r="K199" s="5814" t="s">
        <v>6697</v>
      </c>
    </row>
    <row r="200" spans="1:11">
      <c r="A200" s="21" t="s">
        <v>2354</v>
      </c>
      <c r="B200" s="21" t="s">
        <v>6698</v>
      </c>
      <c r="C200" s="21" t="s">
        <v>22</v>
      </c>
      <c r="D200" s="21" t="s">
        <v>627</v>
      </c>
      <c r="E200" s="21" t="s">
        <v>46</v>
      </c>
      <c r="F200" s="5812">
        <v>1</v>
      </c>
      <c r="G200" s="5813">
        <v>0.1701388888888889</v>
      </c>
      <c r="H200" s="21" t="s">
        <v>10</v>
      </c>
      <c r="I200" s="21" t="s">
        <v>55</v>
      </c>
      <c r="J200" s="21" t="s">
        <v>97</v>
      </c>
      <c r="K200" s="5814" t="s">
        <v>6699</v>
      </c>
    </row>
    <row r="201" spans="1:11">
      <c r="A201" s="21" t="s">
        <v>2668</v>
      </c>
      <c r="B201" s="21" t="s">
        <v>6700</v>
      </c>
      <c r="C201" s="21" t="s">
        <v>22</v>
      </c>
      <c r="D201" s="21" t="s">
        <v>627</v>
      </c>
      <c r="E201" s="21" t="s">
        <v>46</v>
      </c>
      <c r="F201" s="5812">
        <v>1</v>
      </c>
      <c r="G201" s="5813">
        <v>0.1701388888888889</v>
      </c>
      <c r="H201" s="21" t="s">
        <v>10</v>
      </c>
      <c r="I201" s="21" t="s">
        <v>1184</v>
      </c>
      <c r="J201" s="21" t="s">
        <v>3132</v>
      </c>
      <c r="K201" s="5814" t="s">
        <v>6701</v>
      </c>
    </row>
    <row r="202" spans="1:11">
      <c r="A202" s="21" t="s">
        <v>2233</v>
      </c>
      <c r="B202" s="21" t="s">
        <v>6702</v>
      </c>
      <c r="C202" s="21" t="s">
        <v>8</v>
      </c>
      <c r="D202" s="21" t="s">
        <v>627</v>
      </c>
      <c r="E202" s="21" t="s">
        <v>46</v>
      </c>
      <c r="F202" s="5812">
        <v>1</v>
      </c>
      <c r="G202" s="5813">
        <v>0.1736111111111111</v>
      </c>
      <c r="H202" s="21" t="s">
        <v>10</v>
      </c>
      <c r="I202" s="21" t="s">
        <v>47</v>
      </c>
      <c r="J202" s="21" t="s">
        <v>4687</v>
      </c>
      <c r="K202" s="5814" t="s">
        <v>6703</v>
      </c>
    </row>
    <row r="203" spans="1:11">
      <c r="A203" s="21" t="s">
        <v>2542</v>
      </c>
      <c r="B203" s="21" t="s">
        <v>6704</v>
      </c>
      <c r="C203" s="21" t="s">
        <v>8</v>
      </c>
      <c r="D203" s="21" t="s">
        <v>627</v>
      </c>
      <c r="E203" s="21" t="s">
        <v>46</v>
      </c>
      <c r="F203" s="5812">
        <v>1</v>
      </c>
      <c r="G203" s="5813">
        <v>0.17708333333333334</v>
      </c>
      <c r="H203" s="21" t="s">
        <v>10</v>
      </c>
      <c r="I203" s="21" t="s">
        <v>55</v>
      </c>
      <c r="J203" s="21" t="s">
        <v>2953</v>
      </c>
      <c r="K203" s="5814" t="s">
        <v>6705</v>
      </c>
    </row>
    <row r="204" spans="1:11">
      <c r="A204" s="21" t="s">
        <v>3515</v>
      </c>
      <c r="B204" s="21" t="s">
        <v>6706</v>
      </c>
      <c r="C204" s="21" t="s">
        <v>8</v>
      </c>
      <c r="D204" s="21" t="s">
        <v>627</v>
      </c>
      <c r="E204" s="21" t="s">
        <v>46</v>
      </c>
      <c r="F204" s="5812">
        <v>1</v>
      </c>
      <c r="G204" s="5813">
        <v>0.17986111111111111</v>
      </c>
      <c r="H204" s="21" t="s">
        <v>10</v>
      </c>
      <c r="I204" s="21" t="s">
        <v>3517</v>
      </c>
      <c r="J204" s="21" t="s">
        <v>48</v>
      </c>
      <c r="K204" s="5814" t="s">
        <v>6707</v>
      </c>
    </row>
    <row r="205" spans="1:11">
      <c r="A205" s="21" t="s">
        <v>2737</v>
      </c>
      <c r="B205" s="21" t="s">
        <v>6708</v>
      </c>
      <c r="C205" s="21" t="s">
        <v>8</v>
      </c>
      <c r="D205" s="21" t="s">
        <v>627</v>
      </c>
      <c r="E205" s="21" t="s">
        <v>46</v>
      </c>
      <c r="F205" s="5812">
        <v>1</v>
      </c>
      <c r="G205" s="5813">
        <v>0.18263888888888888</v>
      </c>
      <c r="H205" s="21" t="s">
        <v>10</v>
      </c>
      <c r="I205" s="21" t="s">
        <v>226</v>
      </c>
      <c r="J205" s="21" t="s">
        <v>48</v>
      </c>
      <c r="K205" s="5814" t="s">
        <v>6709</v>
      </c>
    </row>
    <row r="206" spans="1:11">
      <c r="A206" s="21" t="s">
        <v>4233</v>
      </c>
      <c r="B206" s="21" t="s">
        <v>6710</v>
      </c>
      <c r="C206" s="21" t="s">
        <v>22</v>
      </c>
      <c r="D206" s="21" t="s">
        <v>627</v>
      </c>
      <c r="E206" s="21" t="s">
        <v>46</v>
      </c>
      <c r="F206" s="5812">
        <v>1</v>
      </c>
      <c r="G206" s="5813">
        <v>0.18402777777777779</v>
      </c>
      <c r="H206" s="21" t="s">
        <v>10</v>
      </c>
      <c r="I206" s="21" t="s">
        <v>47</v>
      </c>
      <c r="J206" s="21" t="s">
        <v>997</v>
      </c>
      <c r="K206" s="5814" t="s">
        <v>6711</v>
      </c>
    </row>
    <row r="207" spans="1:11">
      <c r="A207" s="21" t="s">
        <v>2955</v>
      </c>
      <c r="B207" s="21" t="s">
        <v>6712</v>
      </c>
      <c r="C207" s="21" t="s">
        <v>8</v>
      </c>
      <c r="D207" s="21" t="s">
        <v>627</v>
      </c>
      <c r="E207" s="21" t="s">
        <v>46</v>
      </c>
      <c r="F207" s="5812">
        <v>1</v>
      </c>
      <c r="G207" s="5813">
        <v>0.19444444444444445</v>
      </c>
      <c r="H207" s="21" t="s">
        <v>10</v>
      </c>
      <c r="I207" s="21" t="s">
        <v>55</v>
      </c>
      <c r="J207" s="21" t="s">
        <v>4687</v>
      </c>
      <c r="K207" s="5814" t="s">
        <v>6713</v>
      </c>
    </row>
    <row r="208" spans="1:11">
      <c r="A208" s="21" t="s">
        <v>4289</v>
      </c>
      <c r="B208" s="21" t="s">
        <v>6714</v>
      </c>
      <c r="C208" s="21" t="s">
        <v>8</v>
      </c>
      <c r="D208" s="21" t="s">
        <v>627</v>
      </c>
      <c r="E208" s="21" t="s">
        <v>46</v>
      </c>
      <c r="F208" s="5812">
        <v>1</v>
      </c>
      <c r="G208" s="5813">
        <v>0.19791666666666666</v>
      </c>
      <c r="H208" s="21" t="s">
        <v>10</v>
      </c>
      <c r="I208" s="21" t="s">
        <v>2660</v>
      </c>
      <c r="J208" s="21" t="s">
        <v>48</v>
      </c>
      <c r="K208" s="5814" t="s">
        <v>6715</v>
      </c>
    </row>
    <row r="209" spans="1:11">
      <c r="A209" s="21" t="s">
        <v>3345</v>
      </c>
      <c r="B209" s="21" t="s">
        <v>6716</v>
      </c>
      <c r="C209" s="21" t="s">
        <v>8</v>
      </c>
      <c r="D209" s="21" t="s">
        <v>627</v>
      </c>
      <c r="E209" s="21" t="s">
        <v>46</v>
      </c>
      <c r="F209" s="5812">
        <v>1</v>
      </c>
      <c r="G209" s="5813">
        <v>0.19791666666666666</v>
      </c>
      <c r="H209" s="21" t="s">
        <v>10</v>
      </c>
      <c r="I209" s="21" t="s">
        <v>400</v>
      </c>
      <c r="J209" s="21" t="s">
        <v>258</v>
      </c>
      <c r="K209" s="5814" t="s">
        <v>6717</v>
      </c>
    </row>
    <row r="210" spans="1:11">
      <c r="A210" s="21" t="s">
        <v>2839</v>
      </c>
      <c r="B210" s="21" t="s">
        <v>6718</v>
      </c>
      <c r="C210" s="21" t="s">
        <v>8</v>
      </c>
      <c r="D210" s="21" t="s">
        <v>627</v>
      </c>
      <c r="E210" s="21" t="s">
        <v>46</v>
      </c>
      <c r="F210" s="5812">
        <v>1</v>
      </c>
      <c r="G210" s="5813">
        <v>0.20277777777777778</v>
      </c>
      <c r="H210" s="21" t="s">
        <v>10</v>
      </c>
      <c r="I210" s="21" t="s">
        <v>2713</v>
      </c>
      <c r="J210" s="21" t="s">
        <v>1076</v>
      </c>
      <c r="K210" s="5814" t="s">
        <v>6719</v>
      </c>
    </row>
    <row r="211" spans="1:11">
      <c r="A211" s="21" t="s">
        <v>3439</v>
      </c>
      <c r="B211" s="21" t="s">
        <v>6720</v>
      </c>
      <c r="C211" s="21" t="s">
        <v>8</v>
      </c>
      <c r="D211" s="21" t="s">
        <v>627</v>
      </c>
      <c r="E211" s="21" t="s">
        <v>46</v>
      </c>
      <c r="F211" s="5812">
        <v>1</v>
      </c>
      <c r="G211" s="5813">
        <v>0.20416666666666666</v>
      </c>
      <c r="H211" s="21" t="s">
        <v>10</v>
      </c>
      <c r="I211" s="21" t="s">
        <v>226</v>
      </c>
      <c r="J211" s="21" t="s">
        <v>6721</v>
      </c>
      <c r="K211" s="5814" t="s">
        <v>6722</v>
      </c>
    </row>
    <row r="212" spans="1:11">
      <c r="A212" s="21" t="s">
        <v>3012</v>
      </c>
      <c r="B212" s="21" t="s">
        <v>6723</v>
      </c>
      <c r="C212" s="21" t="s">
        <v>8</v>
      </c>
      <c r="D212" s="21" t="s">
        <v>627</v>
      </c>
      <c r="E212" s="21" t="s">
        <v>46</v>
      </c>
      <c r="F212" s="5812">
        <v>1</v>
      </c>
      <c r="G212" s="5813">
        <v>0.2048611111111111</v>
      </c>
      <c r="H212" s="21" t="s">
        <v>10</v>
      </c>
      <c r="I212" s="21" t="s">
        <v>39</v>
      </c>
      <c r="J212" s="21" t="s">
        <v>127</v>
      </c>
      <c r="K212" s="5814" t="s">
        <v>6724</v>
      </c>
    </row>
    <row r="213" spans="1:11">
      <c r="A213" s="21" t="s">
        <v>2772</v>
      </c>
      <c r="B213" s="21" t="s">
        <v>6725</v>
      </c>
      <c r="C213" s="21" t="s">
        <v>8</v>
      </c>
      <c r="D213" s="21" t="s">
        <v>627</v>
      </c>
      <c r="E213" s="21" t="s">
        <v>46</v>
      </c>
      <c r="F213" s="5812">
        <v>1</v>
      </c>
      <c r="G213" s="5813">
        <v>0.20555555555555555</v>
      </c>
      <c r="H213" s="21" t="s">
        <v>10</v>
      </c>
      <c r="I213" s="21" t="s">
        <v>2713</v>
      </c>
      <c r="J213" s="21" t="s">
        <v>48</v>
      </c>
      <c r="K213" s="5814" t="s">
        <v>6726</v>
      </c>
    </row>
    <row r="214" spans="1:11">
      <c r="A214" s="21" t="s">
        <v>3387</v>
      </c>
      <c r="B214" s="21" t="s">
        <v>6727</v>
      </c>
      <c r="C214" s="21" t="s">
        <v>8</v>
      </c>
      <c r="D214" s="21" t="s">
        <v>627</v>
      </c>
      <c r="E214" s="21" t="s">
        <v>46</v>
      </c>
      <c r="F214" s="5812">
        <v>1</v>
      </c>
      <c r="G214" s="5813">
        <v>0.20833333333333334</v>
      </c>
      <c r="H214" s="21" t="s">
        <v>10</v>
      </c>
      <c r="I214" s="21" t="s">
        <v>2544</v>
      </c>
      <c r="J214" s="21" t="s">
        <v>6728</v>
      </c>
      <c r="K214" s="5814" t="s">
        <v>6729</v>
      </c>
    </row>
    <row r="215" spans="1:11">
      <c r="A215" s="21" t="s">
        <v>2442</v>
      </c>
      <c r="B215" s="21" t="s">
        <v>6730</v>
      </c>
      <c r="C215" s="21" t="s">
        <v>8</v>
      </c>
      <c r="D215" s="21" t="s">
        <v>627</v>
      </c>
      <c r="E215" s="21" t="s">
        <v>46</v>
      </c>
      <c r="F215" s="5812">
        <v>2</v>
      </c>
      <c r="G215" s="5813">
        <v>1.7361111111111112E-2</v>
      </c>
      <c r="H215" s="21" t="s">
        <v>10</v>
      </c>
      <c r="I215" s="21" t="s">
        <v>55</v>
      </c>
      <c r="J215" s="21" t="s">
        <v>48</v>
      </c>
      <c r="K215" s="5814" t="s">
        <v>6731</v>
      </c>
    </row>
    <row r="216" spans="1:11">
      <c r="A216" s="21" t="s">
        <v>2870</v>
      </c>
      <c r="B216" s="21" t="s">
        <v>6732</v>
      </c>
      <c r="C216" s="21" t="s">
        <v>22</v>
      </c>
      <c r="D216" s="21" t="s">
        <v>627</v>
      </c>
      <c r="E216" s="21" t="s">
        <v>46</v>
      </c>
      <c r="F216" s="5812">
        <v>2</v>
      </c>
      <c r="G216" s="5813">
        <v>1.8749999999999999E-2</v>
      </c>
      <c r="H216" s="21" t="s">
        <v>10</v>
      </c>
      <c r="I216" s="21" t="s">
        <v>2665</v>
      </c>
      <c r="J216" s="21" t="s">
        <v>48</v>
      </c>
      <c r="K216" s="5814" t="s">
        <v>6733</v>
      </c>
    </row>
    <row r="217" spans="1:11">
      <c r="A217" s="21" t="s">
        <v>3293</v>
      </c>
      <c r="B217" s="21" t="s">
        <v>6734</v>
      </c>
      <c r="C217" s="21" t="s">
        <v>8</v>
      </c>
      <c r="D217" s="21" t="s">
        <v>627</v>
      </c>
      <c r="E217" s="21" t="s">
        <v>46</v>
      </c>
      <c r="F217" s="5812">
        <v>2</v>
      </c>
      <c r="G217" s="5813">
        <v>1.9444444444444445E-2</v>
      </c>
      <c r="H217" s="21" t="s">
        <v>10</v>
      </c>
      <c r="I217" s="21" t="s">
        <v>96</v>
      </c>
      <c r="J217" s="21" t="s">
        <v>48</v>
      </c>
      <c r="K217" s="5814" t="s">
        <v>6735</v>
      </c>
    </row>
    <row r="218" spans="1:11">
      <c r="A218" s="21" t="s">
        <v>3412</v>
      </c>
      <c r="B218" s="21" t="s">
        <v>6736</v>
      </c>
      <c r="C218" s="21" t="s">
        <v>8</v>
      </c>
      <c r="D218" s="21" t="s">
        <v>627</v>
      </c>
      <c r="E218" s="21" t="s">
        <v>46</v>
      </c>
      <c r="F218" s="5812">
        <v>2</v>
      </c>
      <c r="G218" s="5813">
        <v>2.7083333333333334E-2</v>
      </c>
      <c r="H218" s="21" t="s">
        <v>10</v>
      </c>
      <c r="I218" s="21" t="s">
        <v>96</v>
      </c>
      <c r="J218" s="21" t="s">
        <v>48</v>
      </c>
      <c r="K218" s="5814" t="s">
        <v>6737</v>
      </c>
    </row>
    <row r="219" spans="1:11">
      <c r="A219" s="21" t="s">
        <v>2831</v>
      </c>
      <c r="B219" s="21" t="s">
        <v>6738</v>
      </c>
      <c r="C219" s="21" t="s">
        <v>8</v>
      </c>
      <c r="D219" s="21" t="s">
        <v>627</v>
      </c>
      <c r="E219" s="21" t="s">
        <v>46</v>
      </c>
      <c r="F219" s="5812">
        <v>2</v>
      </c>
      <c r="G219" s="5813">
        <v>2.7777777777777776E-2</v>
      </c>
      <c r="H219" s="21" t="s">
        <v>10</v>
      </c>
      <c r="I219" s="21" t="s">
        <v>47</v>
      </c>
      <c r="J219" s="21" t="s">
        <v>722</v>
      </c>
      <c r="K219" s="5814" t="s">
        <v>6739</v>
      </c>
    </row>
    <row r="220" spans="1:11">
      <c r="A220" s="21" t="s">
        <v>2668</v>
      </c>
      <c r="B220" s="21" t="s">
        <v>6740</v>
      </c>
      <c r="C220" s="21" t="s">
        <v>22</v>
      </c>
      <c r="D220" s="21" t="s">
        <v>627</v>
      </c>
      <c r="E220" s="21" t="s">
        <v>46</v>
      </c>
      <c r="F220" s="5812">
        <v>2</v>
      </c>
      <c r="G220" s="5813">
        <v>2.8472222222222222E-2</v>
      </c>
      <c r="H220" s="21" t="s">
        <v>10</v>
      </c>
      <c r="I220" s="21" t="s">
        <v>194</v>
      </c>
      <c r="J220" s="21" t="s">
        <v>406</v>
      </c>
      <c r="K220" s="5814" t="s">
        <v>6741</v>
      </c>
    </row>
    <row r="221" spans="1:11">
      <c r="A221" s="21" t="s">
        <v>3203</v>
      </c>
      <c r="B221" s="21" t="s">
        <v>6742</v>
      </c>
      <c r="C221" s="21" t="s">
        <v>22</v>
      </c>
      <c r="D221" s="21" t="s">
        <v>627</v>
      </c>
      <c r="E221" s="21" t="s">
        <v>46</v>
      </c>
      <c r="F221" s="5812">
        <v>2</v>
      </c>
      <c r="G221" s="5813">
        <v>3.4027777777777775E-2</v>
      </c>
      <c r="H221" s="21" t="s">
        <v>10</v>
      </c>
      <c r="I221" s="21" t="s">
        <v>47</v>
      </c>
      <c r="J221" s="21" t="s">
        <v>48</v>
      </c>
      <c r="K221" s="5814" t="s">
        <v>6743</v>
      </c>
    </row>
    <row r="222" spans="1:11">
      <c r="A222" s="21" t="s">
        <v>2061</v>
      </c>
      <c r="B222" s="21" t="s">
        <v>6744</v>
      </c>
      <c r="C222" s="21" t="s">
        <v>8</v>
      </c>
      <c r="D222" s="21" t="s">
        <v>627</v>
      </c>
      <c r="E222" s="21" t="s">
        <v>46</v>
      </c>
      <c r="F222" s="5812">
        <v>2</v>
      </c>
      <c r="G222" s="5813">
        <v>3.888888888888889E-2</v>
      </c>
      <c r="H222" s="21" t="s">
        <v>10</v>
      </c>
      <c r="I222" s="21" t="s">
        <v>55</v>
      </c>
      <c r="J222" s="21" t="s">
        <v>3004</v>
      </c>
      <c r="K222" s="5814" t="s">
        <v>6745</v>
      </c>
    </row>
    <row r="223" spans="1:11">
      <c r="A223" s="21" t="s">
        <v>2197</v>
      </c>
      <c r="B223" s="21" t="s">
        <v>6746</v>
      </c>
      <c r="C223" s="21" t="s">
        <v>22</v>
      </c>
      <c r="D223" s="21" t="s">
        <v>627</v>
      </c>
      <c r="E223" s="21" t="s">
        <v>46</v>
      </c>
      <c r="F223" s="5812">
        <v>2</v>
      </c>
      <c r="G223" s="5813">
        <v>4.1666666666666664E-2</v>
      </c>
      <c r="H223" s="21" t="s">
        <v>10</v>
      </c>
      <c r="I223" s="21" t="s">
        <v>47</v>
      </c>
      <c r="J223" s="21" t="s">
        <v>406</v>
      </c>
      <c r="K223" s="5814" t="s">
        <v>6747</v>
      </c>
    </row>
    <row r="224" spans="1:11">
      <c r="A224" s="21" t="s">
        <v>2092</v>
      </c>
      <c r="B224" s="21" t="s">
        <v>6748</v>
      </c>
      <c r="C224" s="21" t="s">
        <v>8</v>
      </c>
      <c r="D224" s="21" t="s">
        <v>627</v>
      </c>
      <c r="E224" s="21" t="s">
        <v>46</v>
      </c>
      <c r="F224" s="5812">
        <v>2</v>
      </c>
      <c r="G224" s="5813">
        <v>4.3055555555555555E-2</v>
      </c>
      <c r="H224" s="21" t="s">
        <v>10</v>
      </c>
      <c r="I224" s="21" t="s">
        <v>11</v>
      </c>
      <c r="J224" s="21" t="s">
        <v>2953</v>
      </c>
      <c r="K224" s="5814" t="s">
        <v>6749</v>
      </c>
    </row>
    <row r="225" spans="1:11">
      <c r="A225" s="21" t="s">
        <v>231</v>
      </c>
      <c r="B225" s="21" t="s">
        <v>697</v>
      </c>
      <c r="C225" s="21" t="s">
        <v>8</v>
      </c>
      <c r="D225" s="21" t="s">
        <v>627</v>
      </c>
      <c r="E225" s="21" t="s">
        <v>46</v>
      </c>
      <c r="F225" s="5812">
        <v>2</v>
      </c>
      <c r="G225" s="5813">
        <v>4.3749999999999997E-2</v>
      </c>
      <c r="H225" s="21" t="s">
        <v>10</v>
      </c>
      <c r="I225" s="21" t="s">
        <v>47</v>
      </c>
      <c r="J225" s="21" t="s">
        <v>48</v>
      </c>
      <c r="K225" s="5814" t="s">
        <v>6750</v>
      </c>
    </row>
    <row r="226" spans="1:11">
      <c r="A226" s="21" t="s">
        <v>2272</v>
      </c>
      <c r="B226" s="21" t="s">
        <v>6751</v>
      </c>
      <c r="C226" s="21" t="s">
        <v>8</v>
      </c>
      <c r="D226" s="21" t="s">
        <v>627</v>
      </c>
      <c r="E226" s="21" t="s">
        <v>46</v>
      </c>
      <c r="F226" s="5812">
        <v>2</v>
      </c>
      <c r="G226" s="5813">
        <v>0.05</v>
      </c>
      <c r="H226" s="21" t="s">
        <v>10</v>
      </c>
      <c r="I226" s="21" t="s">
        <v>55</v>
      </c>
      <c r="J226" s="21" t="s">
        <v>97</v>
      </c>
      <c r="K226" s="5814" t="s">
        <v>6752</v>
      </c>
    </row>
    <row r="227" spans="1:11">
      <c r="A227" s="21" t="s">
        <v>2985</v>
      </c>
      <c r="B227" s="21" t="s">
        <v>6753</v>
      </c>
      <c r="C227" s="21" t="s">
        <v>8</v>
      </c>
      <c r="D227" s="21" t="s">
        <v>627</v>
      </c>
      <c r="E227" s="21" t="s">
        <v>46</v>
      </c>
      <c r="F227" s="5812">
        <v>2</v>
      </c>
      <c r="G227" s="5813">
        <v>6.8750000000000006E-2</v>
      </c>
      <c r="H227" s="21" t="s">
        <v>10</v>
      </c>
      <c r="I227" s="21" t="s">
        <v>55</v>
      </c>
      <c r="J227" s="21" t="s">
        <v>48</v>
      </c>
      <c r="K227" s="5814" t="s">
        <v>6754</v>
      </c>
    </row>
    <row r="228" spans="1:11">
      <c r="A228" s="21" t="s">
        <v>3144</v>
      </c>
      <c r="B228" s="21" t="s">
        <v>6755</v>
      </c>
      <c r="C228" s="21" t="s">
        <v>22</v>
      </c>
      <c r="D228" s="21" t="s">
        <v>627</v>
      </c>
      <c r="E228" s="21" t="s">
        <v>46</v>
      </c>
      <c r="F228" s="5812">
        <v>2</v>
      </c>
      <c r="G228" s="5813">
        <v>6.8750000000000006E-2</v>
      </c>
      <c r="H228" s="21" t="s">
        <v>10</v>
      </c>
      <c r="I228" s="21" t="s">
        <v>187</v>
      </c>
      <c r="J228" s="21" t="s">
        <v>940</v>
      </c>
      <c r="K228" s="5814" t="s">
        <v>6756</v>
      </c>
    </row>
    <row r="229" spans="1:11">
      <c r="A229" s="21" t="s">
        <v>2827</v>
      </c>
      <c r="B229" s="21" t="s">
        <v>6757</v>
      </c>
      <c r="C229" s="21" t="s">
        <v>8</v>
      </c>
      <c r="D229" s="21" t="s">
        <v>627</v>
      </c>
      <c r="E229" s="21" t="s">
        <v>46</v>
      </c>
      <c r="F229" s="5812">
        <v>2</v>
      </c>
      <c r="G229" s="5813">
        <v>8.7499999999999994E-2</v>
      </c>
      <c r="H229" s="21" t="s">
        <v>10</v>
      </c>
      <c r="I229" s="21" t="s">
        <v>2260</v>
      </c>
      <c r="J229" s="21" t="s">
        <v>2953</v>
      </c>
      <c r="K229" s="5814" t="s">
        <v>6758</v>
      </c>
    </row>
    <row r="230" spans="1:11">
      <c r="A230" s="21" t="s">
        <v>2478</v>
      </c>
      <c r="B230" s="21" t="s">
        <v>6759</v>
      </c>
      <c r="C230" s="21" t="s">
        <v>22</v>
      </c>
      <c r="D230" s="21" t="s">
        <v>627</v>
      </c>
      <c r="E230" s="21" t="s">
        <v>46</v>
      </c>
      <c r="F230" s="5812">
        <v>2</v>
      </c>
      <c r="G230" s="5813">
        <v>0.10416666666666667</v>
      </c>
      <c r="H230" s="21" t="s">
        <v>10</v>
      </c>
      <c r="I230" s="21" t="s">
        <v>55</v>
      </c>
      <c r="J230" s="21" t="s">
        <v>6760</v>
      </c>
      <c r="K230" s="5814" t="s">
        <v>6761</v>
      </c>
    </row>
    <row r="231" spans="1:11">
      <c r="A231" s="21" t="s">
        <v>4863</v>
      </c>
      <c r="B231" s="21" t="s">
        <v>6762</v>
      </c>
      <c r="C231" s="21" t="s">
        <v>22</v>
      </c>
      <c r="D231" s="21" t="s">
        <v>627</v>
      </c>
      <c r="E231" s="21" t="s">
        <v>46</v>
      </c>
      <c r="F231" s="5812">
        <v>2</v>
      </c>
      <c r="G231" s="5813">
        <v>0.10555555555555556</v>
      </c>
      <c r="H231" s="21" t="s">
        <v>10</v>
      </c>
      <c r="I231" s="21" t="s">
        <v>2523</v>
      </c>
      <c r="J231" s="21" t="s">
        <v>417</v>
      </c>
      <c r="K231" s="5814" t="s">
        <v>6763</v>
      </c>
    </row>
    <row r="232" spans="1:11">
      <c r="A232" s="21" t="s">
        <v>4338</v>
      </c>
      <c r="B232" s="21" t="s">
        <v>6764</v>
      </c>
      <c r="C232" s="21" t="s">
        <v>8</v>
      </c>
      <c r="D232" s="21" t="s">
        <v>627</v>
      </c>
      <c r="E232" s="21" t="s">
        <v>46</v>
      </c>
      <c r="F232" s="5812">
        <v>2</v>
      </c>
      <c r="G232" s="5813">
        <v>0.10833333333333334</v>
      </c>
      <c r="H232" s="21" t="s">
        <v>10</v>
      </c>
      <c r="I232" s="21" t="s">
        <v>194</v>
      </c>
      <c r="J232" s="21" t="s">
        <v>430</v>
      </c>
      <c r="K232" s="5814" t="s">
        <v>6765</v>
      </c>
    </row>
    <row r="233" spans="1:11">
      <c r="A233" s="21" t="s">
        <v>3286</v>
      </c>
      <c r="B233" s="21" t="s">
        <v>6766</v>
      </c>
      <c r="C233" s="21" t="s">
        <v>22</v>
      </c>
      <c r="D233" s="21" t="s">
        <v>627</v>
      </c>
      <c r="E233" s="21" t="s">
        <v>46</v>
      </c>
      <c r="F233" s="5812">
        <v>2</v>
      </c>
      <c r="G233" s="5813">
        <v>0.10972222222222222</v>
      </c>
      <c r="H233" s="21" t="s">
        <v>10</v>
      </c>
      <c r="I233" s="21" t="s">
        <v>2713</v>
      </c>
      <c r="J233" s="21" t="s">
        <v>406</v>
      </c>
      <c r="K233" s="5814" t="s">
        <v>6767</v>
      </c>
    </row>
    <row r="234" spans="1:11">
      <c r="A234" s="21" t="s">
        <v>37</v>
      </c>
      <c r="B234" s="21" t="s">
        <v>689</v>
      </c>
      <c r="C234" s="21" t="s">
        <v>8</v>
      </c>
      <c r="D234" s="21" t="s">
        <v>627</v>
      </c>
      <c r="E234" s="21" t="s">
        <v>46</v>
      </c>
      <c r="F234" s="5812">
        <v>2</v>
      </c>
      <c r="G234" s="5813">
        <v>0.1125</v>
      </c>
      <c r="H234" s="21" t="s">
        <v>54</v>
      </c>
      <c r="I234" s="21" t="s">
        <v>47</v>
      </c>
      <c r="J234" s="21" t="s">
        <v>48</v>
      </c>
      <c r="K234" s="5814" t="s">
        <v>690</v>
      </c>
    </row>
    <row r="235" spans="1:11">
      <c r="A235" s="21" t="s">
        <v>3430</v>
      </c>
      <c r="B235" s="21" t="s">
        <v>6768</v>
      </c>
      <c r="C235" s="21" t="s">
        <v>8</v>
      </c>
      <c r="D235" s="21" t="s">
        <v>627</v>
      </c>
      <c r="E235" s="21" t="s">
        <v>46</v>
      </c>
      <c r="F235" s="5812">
        <v>2</v>
      </c>
      <c r="G235" s="5813">
        <v>0.12083333333333333</v>
      </c>
      <c r="H235" s="21" t="s">
        <v>10</v>
      </c>
      <c r="I235" s="21" t="s">
        <v>39</v>
      </c>
      <c r="J235" s="21" t="s">
        <v>6769</v>
      </c>
      <c r="K235" s="5814" t="s">
        <v>6770</v>
      </c>
    </row>
    <row r="236" spans="1:11">
      <c r="A236" s="21" t="s">
        <v>4338</v>
      </c>
      <c r="B236" s="21" t="s">
        <v>6771</v>
      </c>
      <c r="C236" s="21" t="s">
        <v>8</v>
      </c>
      <c r="D236" s="21" t="s">
        <v>627</v>
      </c>
      <c r="E236" s="21" t="s">
        <v>46</v>
      </c>
      <c r="F236" s="5812">
        <v>2</v>
      </c>
      <c r="G236" s="5813">
        <v>0.12083333333333333</v>
      </c>
      <c r="H236" s="21" t="s">
        <v>10</v>
      </c>
      <c r="I236" s="21" t="s">
        <v>11</v>
      </c>
      <c r="J236" s="21" t="s">
        <v>97</v>
      </c>
      <c r="K236" s="5814" t="s">
        <v>6772</v>
      </c>
    </row>
    <row r="237" spans="1:11">
      <c r="A237" s="21" t="s">
        <v>5390</v>
      </c>
      <c r="B237" s="21" t="s">
        <v>6773</v>
      </c>
      <c r="C237" s="21" t="s">
        <v>8</v>
      </c>
      <c r="D237" s="21" t="s">
        <v>627</v>
      </c>
      <c r="E237" s="21" t="s">
        <v>46</v>
      </c>
      <c r="F237" s="5812">
        <v>2</v>
      </c>
      <c r="G237" s="5813">
        <v>0.13125000000000001</v>
      </c>
      <c r="H237" s="21" t="s">
        <v>10</v>
      </c>
      <c r="I237" s="21" t="s">
        <v>654</v>
      </c>
      <c r="J237" s="21" t="s">
        <v>127</v>
      </c>
      <c r="K237" s="5814" t="s">
        <v>6774</v>
      </c>
    </row>
    <row r="238" spans="1:11">
      <c r="A238" s="21" t="s">
        <v>94</v>
      </c>
      <c r="B238" s="21" t="s">
        <v>631</v>
      </c>
      <c r="C238" s="21" t="s">
        <v>22</v>
      </c>
      <c r="D238" s="21" t="s">
        <v>627</v>
      </c>
      <c r="E238" s="21" t="s">
        <v>46</v>
      </c>
      <c r="F238" s="5812">
        <v>2</v>
      </c>
      <c r="G238" s="5813">
        <v>0.1361111111111111</v>
      </c>
      <c r="H238" s="21" t="s">
        <v>10</v>
      </c>
      <c r="I238" s="21" t="s">
        <v>55</v>
      </c>
      <c r="J238" s="21" t="s">
        <v>417</v>
      </c>
      <c r="K238" s="5814" t="s">
        <v>632</v>
      </c>
    </row>
    <row r="239" spans="1:11">
      <c r="A239" s="21" t="s">
        <v>103</v>
      </c>
      <c r="B239" s="21" t="s">
        <v>666</v>
      </c>
      <c r="C239" s="21" t="s">
        <v>8</v>
      </c>
      <c r="D239" s="21" t="s">
        <v>627</v>
      </c>
      <c r="E239" s="21" t="s">
        <v>46</v>
      </c>
      <c r="F239" s="5812">
        <v>2</v>
      </c>
      <c r="G239" s="5813">
        <v>0.13680555555555557</v>
      </c>
      <c r="H239" s="21" t="s">
        <v>10</v>
      </c>
      <c r="I239" s="21" t="s">
        <v>55</v>
      </c>
      <c r="J239" s="21" t="s">
        <v>127</v>
      </c>
      <c r="K239" s="5814" t="s">
        <v>667</v>
      </c>
    </row>
    <row r="240" spans="1:11">
      <c r="A240" s="21" t="s">
        <v>2123</v>
      </c>
      <c r="B240" s="21" t="s">
        <v>6775</v>
      </c>
      <c r="C240" s="21" t="s">
        <v>8</v>
      </c>
      <c r="D240" s="21" t="s">
        <v>627</v>
      </c>
      <c r="E240" s="21" t="s">
        <v>46</v>
      </c>
      <c r="F240" s="5812">
        <v>2</v>
      </c>
      <c r="G240" s="5813">
        <v>0.13819444444444445</v>
      </c>
      <c r="H240" s="21" t="s">
        <v>10</v>
      </c>
      <c r="I240" s="21" t="s">
        <v>55</v>
      </c>
      <c r="J240" s="21" t="s">
        <v>48</v>
      </c>
      <c r="K240" s="5814" t="s">
        <v>6776</v>
      </c>
    </row>
    <row r="241" spans="1:11">
      <c r="A241" s="21" t="s">
        <v>5390</v>
      </c>
      <c r="B241" s="21" t="s">
        <v>6777</v>
      </c>
      <c r="C241" s="21" t="s">
        <v>8</v>
      </c>
      <c r="D241" s="21" t="s">
        <v>627</v>
      </c>
      <c r="E241" s="21" t="s">
        <v>46</v>
      </c>
      <c r="F241" s="5812">
        <v>2</v>
      </c>
      <c r="G241" s="5813">
        <v>0.14791666666666667</v>
      </c>
      <c r="H241" s="21" t="s">
        <v>10</v>
      </c>
      <c r="I241" s="21" t="s">
        <v>73</v>
      </c>
      <c r="J241" s="21" t="s">
        <v>1203</v>
      </c>
      <c r="K241" s="5814" t="s">
        <v>6778</v>
      </c>
    </row>
    <row r="242" spans="1:11">
      <c r="A242" s="21" t="s">
        <v>5335</v>
      </c>
      <c r="B242" s="21" t="s">
        <v>6272</v>
      </c>
      <c r="C242" s="21" t="s">
        <v>22</v>
      </c>
      <c r="D242" s="21" t="s">
        <v>627</v>
      </c>
      <c r="E242" s="21" t="s">
        <v>46</v>
      </c>
      <c r="F242" s="5812">
        <v>2</v>
      </c>
      <c r="G242" s="5813">
        <v>0.15</v>
      </c>
      <c r="H242" s="21" t="s">
        <v>10</v>
      </c>
      <c r="I242" s="21" t="s">
        <v>55</v>
      </c>
      <c r="J242" s="21" t="s">
        <v>258</v>
      </c>
      <c r="K242" s="5814" t="s">
        <v>6779</v>
      </c>
    </row>
    <row r="243" spans="1:11">
      <c r="A243" s="21" t="s">
        <v>3119</v>
      </c>
      <c r="B243" s="21" t="s">
        <v>6780</v>
      </c>
      <c r="C243" s="21" t="s">
        <v>22</v>
      </c>
      <c r="D243" s="21" t="s">
        <v>627</v>
      </c>
      <c r="E243" s="21" t="s">
        <v>46</v>
      </c>
      <c r="F243" s="5812">
        <v>2</v>
      </c>
      <c r="G243" s="5813">
        <v>0.15069444444444444</v>
      </c>
      <c r="H243" s="21" t="s">
        <v>10</v>
      </c>
      <c r="I243" s="21" t="s">
        <v>96</v>
      </c>
      <c r="J243" s="21" t="s">
        <v>97</v>
      </c>
      <c r="K243" s="5814" t="s">
        <v>6781</v>
      </c>
    </row>
    <row r="244" spans="1:11">
      <c r="A244" s="21" t="s">
        <v>2526</v>
      </c>
      <c r="B244" s="21" t="s">
        <v>6782</v>
      </c>
      <c r="C244" s="21" t="s">
        <v>8</v>
      </c>
      <c r="D244" s="21" t="s">
        <v>627</v>
      </c>
      <c r="E244" s="21" t="s">
        <v>46</v>
      </c>
      <c r="F244" s="5812">
        <v>2</v>
      </c>
      <c r="G244" s="5813">
        <v>0.17152777777777778</v>
      </c>
      <c r="H244" s="21" t="s">
        <v>10</v>
      </c>
      <c r="I244" s="21" t="s">
        <v>96</v>
      </c>
      <c r="J244" s="21" t="s">
        <v>48</v>
      </c>
      <c r="K244" s="5814" t="s">
        <v>6783</v>
      </c>
    </row>
    <row r="245" spans="1:11">
      <c r="A245" s="21" t="s">
        <v>4383</v>
      </c>
      <c r="B245" s="21" t="s">
        <v>6784</v>
      </c>
      <c r="C245" s="21" t="s">
        <v>22</v>
      </c>
      <c r="D245" s="21" t="s">
        <v>627</v>
      </c>
      <c r="E245" s="21" t="s">
        <v>46</v>
      </c>
      <c r="F245" s="5812">
        <v>2</v>
      </c>
      <c r="G245" s="5813">
        <v>0.17430555555555555</v>
      </c>
      <c r="H245" s="21" t="s">
        <v>10</v>
      </c>
      <c r="I245" s="21" t="s">
        <v>89</v>
      </c>
      <c r="J245" s="21" t="s">
        <v>430</v>
      </c>
      <c r="K245" s="5814" t="s">
        <v>6785</v>
      </c>
    </row>
    <row r="246" spans="1:11">
      <c r="A246" s="21" t="s">
        <v>207</v>
      </c>
      <c r="B246" s="21" t="s">
        <v>653</v>
      </c>
      <c r="C246" s="21" t="s">
        <v>8</v>
      </c>
      <c r="D246" s="21" t="s">
        <v>627</v>
      </c>
      <c r="E246" s="21" t="s">
        <v>46</v>
      </c>
      <c r="F246" s="5812">
        <v>2</v>
      </c>
      <c r="G246" s="5813">
        <v>0.17847222222222223</v>
      </c>
      <c r="H246" s="21" t="s">
        <v>10</v>
      </c>
      <c r="I246" s="21" t="s">
        <v>654</v>
      </c>
      <c r="J246" s="21" t="s">
        <v>430</v>
      </c>
      <c r="K246" s="5814" t="s">
        <v>655</v>
      </c>
    </row>
    <row r="247" spans="1:11">
      <c r="A247" s="21" t="s">
        <v>2499</v>
      </c>
      <c r="B247" s="21" t="s">
        <v>6786</v>
      </c>
      <c r="C247" s="21" t="s">
        <v>22</v>
      </c>
      <c r="D247" s="21" t="s">
        <v>627</v>
      </c>
      <c r="E247" s="21" t="s">
        <v>46</v>
      </c>
      <c r="F247" s="5812">
        <v>2</v>
      </c>
      <c r="G247" s="5813">
        <v>0.18680555555555556</v>
      </c>
      <c r="H247" s="21" t="s">
        <v>54</v>
      </c>
      <c r="I247" s="21" t="s">
        <v>55</v>
      </c>
      <c r="J247" s="21" t="s">
        <v>3197</v>
      </c>
      <c r="K247" s="5814" t="s">
        <v>6787</v>
      </c>
    </row>
    <row r="248" spans="1:11">
      <c r="A248" s="21" t="s">
        <v>2174</v>
      </c>
      <c r="B248" s="21" t="s">
        <v>6788</v>
      </c>
      <c r="C248" s="21" t="s">
        <v>8</v>
      </c>
      <c r="D248" s="21" t="s">
        <v>627</v>
      </c>
      <c r="E248" s="21" t="s">
        <v>46</v>
      </c>
      <c r="F248" s="5812">
        <v>2</v>
      </c>
      <c r="G248" s="5813">
        <v>0.18819444444444444</v>
      </c>
      <c r="H248" s="21" t="s">
        <v>10</v>
      </c>
      <c r="I248" s="21" t="s">
        <v>11</v>
      </c>
      <c r="J248" s="21" t="s">
        <v>48</v>
      </c>
      <c r="K248" s="5814" t="s">
        <v>6789</v>
      </c>
    </row>
    <row r="249" spans="1:11">
      <c r="A249" s="21" t="s">
        <v>2938</v>
      </c>
      <c r="B249" s="21" t="s">
        <v>6790</v>
      </c>
      <c r="C249" s="21" t="s">
        <v>22</v>
      </c>
      <c r="D249" s="21" t="s">
        <v>627</v>
      </c>
      <c r="E249" s="21" t="s">
        <v>46</v>
      </c>
      <c r="F249" s="5812">
        <v>2</v>
      </c>
      <c r="G249" s="5813">
        <v>0.20694444444444443</v>
      </c>
      <c r="H249" s="21" t="s">
        <v>10</v>
      </c>
      <c r="I249" s="21" t="s">
        <v>3517</v>
      </c>
      <c r="J249" s="21" t="s">
        <v>97</v>
      </c>
      <c r="K249" s="5814" t="s">
        <v>6791</v>
      </c>
    </row>
    <row r="250" spans="1:11">
      <c r="A250" s="21" t="s">
        <v>2061</v>
      </c>
      <c r="B250" s="21" t="s">
        <v>6792</v>
      </c>
      <c r="C250" s="21" t="s">
        <v>8</v>
      </c>
      <c r="D250" s="21" t="s">
        <v>627</v>
      </c>
      <c r="E250" s="21" t="s">
        <v>46</v>
      </c>
      <c r="F250" s="5812">
        <v>3</v>
      </c>
      <c r="G250" s="5813">
        <v>1.3888888888888888E-2</v>
      </c>
      <c r="H250" s="21" t="s">
        <v>10</v>
      </c>
      <c r="I250" s="21" t="s">
        <v>96</v>
      </c>
      <c r="J250" s="21" t="s">
        <v>97</v>
      </c>
      <c r="K250" s="5814" t="s">
        <v>6793</v>
      </c>
    </row>
    <row r="251" spans="1:11">
      <c r="A251" s="21" t="s">
        <v>2160</v>
      </c>
      <c r="B251" s="21" t="s">
        <v>6794</v>
      </c>
      <c r="C251" s="21" t="s">
        <v>8</v>
      </c>
      <c r="D251" s="21" t="s">
        <v>627</v>
      </c>
      <c r="E251" s="21" t="s">
        <v>46</v>
      </c>
      <c r="F251" s="5812">
        <v>3</v>
      </c>
      <c r="G251" s="5813">
        <v>2.013888888888889E-2</v>
      </c>
      <c r="H251" s="21" t="s">
        <v>10</v>
      </c>
      <c r="I251" s="21" t="s">
        <v>47</v>
      </c>
      <c r="J251" s="21" t="s">
        <v>3222</v>
      </c>
      <c r="K251" s="5814" t="s">
        <v>6795</v>
      </c>
    </row>
    <row r="252" spans="1:11">
      <c r="A252" s="21" t="s">
        <v>2647</v>
      </c>
      <c r="B252" s="21" t="s">
        <v>6796</v>
      </c>
      <c r="C252" s="21" t="s">
        <v>22</v>
      </c>
      <c r="D252" s="21" t="s">
        <v>627</v>
      </c>
      <c r="E252" s="21" t="s">
        <v>46</v>
      </c>
      <c r="F252" s="5812">
        <v>3</v>
      </c>
      <c r="G252" s="5813">
        <v>2.7083333333333334E-2</v>
      </c>
      <c r="H252" s="21" t="s">
        <v>54</v>
      </c>
      <c r="I252" s="21" t="s">
        <v>55</v>
      </c>
      <c r="J252" s="21" t="s">
        <v>48</v>
      </c>
      <c r="K252" s="5814" t="s">
        <v>6797</v>
      </c>
    </row>
    <row r="253" spans="1:11">
      <c r="A253" s="21" t="s">
        <v>2600</v>
      </c>
      <c r="B253" s="21" t="s">
        <v>6798</v>
      </c>
      <c r="C253" s="21" t="s">
        <v>8</v>
      </c>
      <c r="D253" s="21" t="s">
        <v>627</v>
      </c>
      <c r="E253" s="21" t="s">
        <v>46</v>
      </c>
      <c r="F253" s="5812">
        <v>3</v>
      </c>
      <c r="G253" s="5813">
        <v>2.9166666666666667E-2</v>
      </c>
      <c r="H253" s="21" t="s">
        <v>10</v>
      </c>
      <c r="I253" s="21" t="s">
        <v>2602</v>
      </c>
      <c r="J253" s="21" t="s">
        <v>48</v>
      </c>
      <c r="K253" s="5814" t="s">
        <v>6799</v>
      </c>
    </row>
    <row r="254" spans="1:11">
      <c r="A254" s="21" t="s">
        <v>4527</v>
      </c>
      <c r="B254" s="21" t="s">
        <v>6800</v>
      </c>
      <c r="C254" s="21" t="s">
        <v>8</v>
      </c>
      <c r="D254" s="21" t="s">
        <v>627</v>
      </c>
      <c r="E254" s="21" t="s">
        <v>46</v>
      </c>
      <c r="F254" s="5812">
        <v>3</v>
      </c>
      <c r="G254" s="5813">
        <v>2.9861111111111113E-2</v>
      </c>
      <c r="H254" s="21" t="s">
        <v>10</v>
      </c>
      <c r="I254" s="21" t="s">
        <v>2269</v>
      </c>
      <c r="J254" s="21" t="s">
        <v>97</v>
      </c>
      <c r="K254" s="5814" t="s">
        <v>6801</v>
      </c>
    </row>
    <row r="255" spans="1:11">
      <c r="A255" s="21" t="s">
        <v>2442</v>
      </c>
      <c r="B255" s="21" t="s">
        <v>6802</v>
      </c>
      <c r="C255" s="21" t="s">
        <v>22</v>
      </c>
      <c r="D255" s="21" t="s">
        <v>627</v>
      </c>
      <c r="E255" s="21" t="s">
        <v>46</v>
      </c>
      <c r="F255" s="5812">
        <v>3</v>
      </c>
      <c r="G255" s="5813">
        <v>3.0555555555555555E-2</v>
      </c>
      <c r="H255" s="21" t="s">
        <v>10</v>
      </c>
      <c r="I255" s="21" t="s">
        <v>55</v>
      </c>
      <c r="J255" s="21" t="s">
        <v>2953</v>
      </c>
      <c r="K255" s="5814" t="s">
        <v>6803</v>
      </c>
    </row>
    <row r="256" spans="1:11">
      <c r="A256" s="21" t="s">
        <v>2863</v>
      </c>
      <c r="B256" s="21" t="s">
        <v>6804</v>
      </c>
      <c r="C256" s="21" t="s">
        <v>22</v>
      </c>
      <c r="D256" s="21" t="s">
        <v>627</v>
      </c>
      <c r="E256" s="21" t="s">
        <v>46</v>
      </c>
      <c r="F256" s="5812">
        <v>3</v>
      </c>
      <c r="G256" s="5813">
        <v>3.125E-2</v>
      </c>
      <c r="H256" s="21" t="s">
        <v>10</v>
      </c>
      <c r="I256" s="21" t="s">
        <v>2247</v>
      </c>
      <c r="J256" s="21" t="s">
        <v>3063</v>
      </c>
      <c r="K256" s="5814" t="s">
        <v>6805</v>
      </c>
    </row>
    <row r="257" spans="1:11">
      <c r="A257" s="21" t="s">
        <v>52</v>
      </c>
      <c r="B257" s="21" t="s">
        <v>649</v>
      </c>
      <c r="C257" s="21" t="s">
        <v>22</v>
      </c>
      <c r="D257" s="21" t="s">
        <v>627</v>
      </c>
      <c r="E257" s="21" t="s">
        <v>46</v>
      </c>
      <c r="F257" s="5812">
        <v>3</v>
      </c>
      <c r="G257" s="5813">
        <v>3.888888888888889E-2</v>
      </c>
      <c r="H257" s="21" t="s">
        <v>10</v>
      </c>
      <c r="I257" s="21" t="s">
        <v>39</v>
      </c>
      <c r="J257" s="21" t="s">
        <v>48</v>
      </c>
      <c r="K257" s="5814" t="s">
        <v>650</v>
      </c>
    </row>
    <row r="258" spans="1:11">
      <c r="A258" s="21" t="s">
        <v>2788</v>
      </c>
      <c r="B258" s="21" t="s">
        <v>6806</v>
      </c>
      <c r="C258" s="21" t="s">
        <v>8</v>
      </c>
      <c r="D258" s="21" t="s">
        <v>627</v>
      </c>
      <c r="E258" s="21" t="s">
        <v>46</v>
      </c>
      <c r="F258" s="5812">
        <v>3</v>
      </c>
      <c r="G258" s="5813">
        <v>4.0972222222222222E-2</v>
      </c>
      <c r="H258" s="21" t="s">
        <v>10</v>
      </c>
      <c r="I258" s="21" t="s">
        <v>2247</v>
      </c>
      <c r="J258" s="21" t="s">
        <v>406</v>
      </c>
      <c r="K258" s="5814" t="s">
        <v>6807</v>
      </c>
    </row>
    <row r="259" spans="1:11">
      <c r="A259" s="21" t="s">
        <v>3183</v>
      </c>
      <c r="B259" s="21" t="s">
        <v>6808</v>
      </c>
      <c r="C259" s="21" t="s">
        <v>8</v>
      </c>
      <c r="D259" s="21" t="s">
        <v>627</v>
      </c>
      <c r="E259" s="21" t="s">
        <v>46</v>
      </c>
      <c r="F259" s="5812">
        <v>3</v>
      </c>
      <c r="G259" s="5813">
        <v>4.9305555555555554E-2</v>
      </c>
      <c r="H259" s="21" t="s">
        <v>54</v>
      </c>
      <c r="I259" s="21" t="s">
        <v>39</v>
      </c>
      <c r="J259" s="21" t="s">
        <v>6809</v>
      </c>
      <c r="K259" s="5814" t="s">
        <v>6810</v>
      </c>
    </row>
    <row r="260" spans="1:11">
      <c r="A260" s="21" t="s">
        <v>2053</v>
      </c>
      <c r="B260" s="21" t="s">
        <v>6811</v>
      </c>
      <c r="C260" s="21" t="s">
        <v>22</v>
      </c>
      <c r="D260" s="21" t="s">
        <v>627</v>
      </c>
      <c r="E260" s="21" t="s">
        <v>46</v>
      </c>
      <c r="F260" s="5812">
        <v>3</v>
      </c>
      <c r="G260" s="5813">
        <v>5.4166666666666669E-2</v>
      </c>
      <c r="H260" s="21" t="s">
        <v>10</v>
      </c>
      <c r="I260" s="21" t="s">
        <v>615</v>
      </c>
      <c r="J260" s="21" t="s">
        <v>518</v>
      </c>
      <c r="K260" s="5814" t="s">
        <v>6812</v>
      </c>
    </row>
    <row r="261" spans="1:11">
      <c r="A261" s="21" t="s">
        <v>3195</v>
      </c>
      <c r="B261" s="21" t="s">
        <v>6813</v>
      </c>
      <c r="C261" s="21" t="s">
        <v>8</v>
      </c>
      <c r="D261" s="21" t="s">
        <v>627</v>
      </c>
      <c r="E261" s="21" t="s">
        <v>46</v>
      </c>
      <c r="F261" s="5812">
        <v>3</v>
      </c>
      <c r="G261" s="5813">
        <v>5.9027777777777776E-2</v>
      </c>
      <c r="H261" s="21" t="s">
        <v>10</v>
      </c>
      <c r="I261" s="21" t="s">
        <v>226</v>
      </c>
      <c r="J261" s="21" t="s">
        <v>722</v>
      </c>
      <c r="K261" s="5814" t="s">
        <v>6814</v>
      </c>
    </row>
    <row r="262" spans="1:11">
      <c r="A262" s="21" t="s">
        <v>115</v>
      </c>
      <c r="B262" s="21" t="s">
        <v>671</v>
      </c>
      <c r="C262" s="21" t="s">
        <v>8</v>
      </c>
      <c r="D262" s="21" t="s">
        <v>627</v>
      </c>
      <c r="E262" s="21" t="s">
        <v>46</v>
      </c>
      <c r="F262" s="5812">
        <v>3</v>
      </c>
      <c r="G262" s="5813">
        <v>6.3888888888888884E-2</v>
      </c>
      <c r="H262" s="21" t="s">
        <v>10</v>
      </c>
      <c r="I262" s="21" t="s">
        <v>263</v>
      </c>
      <c r="J262" s="21" t="s">
        <v>48</v>
      </c>
      <c r="K262" s="5814" t="s">
        <v>672</v>
      </c>
    </row>
    <row r="263" spans="1:11">
      <c r="A263" s="21" t="s">
        <v>2241</v>
      </c>
      <c r="B263" s="21" t="s">
        <v>6815</v>
      </c>
      <c r="C263" s="21" t="s">
        <v>22</v>
      </c>
      <c r="D263" s="21" t="s">
        <v>627</v>
      </c>
      <c r="E263" s="21" t="s">
        <v>46</v>
      </c>
      <c r="F263" s="5812">
        <v>3</v>
      </c>
      <c r="G263" s="5813">
        <v>8.6805555555555552E-2</v>
      </c>
      <c r="H263" s="21" t="s">
        <v>10</v>
      </c>
      <c r="I263" s="21" t="s">
        <v>3138</v>
      </c>
      <c r="J263" s="21" t="s">
        <v>97</v>
      </c>
      <c r="K263" s="5814" t="s">
        <v>6816</v>
      </c>
    </row>
    <row r="264" spans="1:11">
      <c r="A264" s="21" t="s">
        <v>4313</v>
      </c>
      <c r="B264" s="21" t="s">
        <v>6817</v>
      </c>
      <c r="C264" s="21" t="s">
        <v>8</v>
      </c>
      <c r="D264" s="21" t="s">
        <v>627</v>
      </c>
      <c r="E264" s="21" t="s">
        <v>46</v>
      </c>
      <c r="F264" s="5812">
        <v>3</v>
      </c>
      <c r="G264" s="5813">
        <v>8.8888888888888892E-2</v>
      </c>
      <c r="H264" s="21" t="s">
        <v>10</v>
      </c>
      <c r="I264" s="21" t="s">
        <v>2297</v>
      </c>
      <c r="J264" s="21" t="s">
        <v>3148</v>
      </c>
      <c r="K264" s="5814" t="s">
        <v>6818</v>
      </c>
    </row>
    <row r="265" spans="1:11">
      <c r="A265" s="21" t="s">
        <v>2403</v>
      </c>
      <c r="B265" s="21" t="s">
        <v>6819</v>
      </c>
      <c r="C265" s="21" t="s">
        <v>8</v>
      </c>
      <c r="D265" s="21" t="s">
        <v>627</v>
      </c>
      <c r="E265" s="21" t="s">
        <v>46</v>
      </c>
      <c r="F265" s="5812">
        <v>3</v>
      </c>
      <c r="G265" s="5813">
        <v>9.6527777777777782E-2</v>
      </c>
      <c r="H265" s="21" t="s">
        <v>10</v>
      </c>
      <c r="I265" s="21" t="s">
        <v>39</v>
      </c>
      <c r="J265" s="21" t="s">
        <v>3080</v>
      </c>
      <c r="K265" s="5814" t="s">
        <v>6820</v>
      </c>
    </row>
    <row r="266" spans="1:11">
      <c r="A266" s="21" t="s">
        <v>3082</v>
      </c>
      <c r="B266" s="21" t="s">
        <v>6821</v>
      </c>
      <c r="C266" s="21" t="s">
        <v>8</v>
      </c>
      <c r="D266" s="21" t="s">
        <v>627</v>
      </c>
      <c r="E266" s="21" t="s">
        <v>46</v>
      </c>
      <c r="F266" s="5812">
        <v>3</v>
      </c>
      <c r="G266" s="5813">
        <v>0.16041666666666668</v>
      </c>
      <c r="H266" s="21" t="s">
        <v>54</v>
      </c>
      <c r="I266" s="21" t="s">
        <v>2247</v>
      </c>
      <c r="J266" s="21" t="s">
        <v>4586</v>
      </c>
      <c r="K266" s="5814" t="s">
        <v>6822</v>
      </c>
    </row>
    <row r="267" spans="1:11">
      <c r="A267" s="21" t="s">
        <v>2334</v>
      </c>
      <c r="B267" s="21" t="s">
        <v>6823</v>
      </c>
      <c r="C267" s="21" t="s">
        <v>8</v>
      </c>
      <c r="D267" s="21" t="s">
        <v>627</v>
      </c>
      <c r="E267" s="21" t="s">
        <v>46</v>
      </c>
      <c r="F267" s="5812">
        <v>3</v>
      </c>
      <c r="G267" s="5813">
        <v>0.17569444444444443</v>
      </c>
      <c r="H267" s="21" t="s">
        <v>10</v>
      </c>
      <c r="I267" s="21" t="s">
        <v>6824</v>
      </c>
      <c r="J267" s="21" t="s">
        <v>97</v>
      </c>
      <c r="K267" s="5814" t="s">
        <v>6825</v>
      </c>
    </row>
    <row r="268" spans="1:11">
      <c r="A268" s="21" t="s">
        <v>3439</v>
      </c>
      <c r="B268" s="21" t="s">
        <v>6826</v>
      </c>
      <c r="C268" s="21" t="s">
        <v>22</v>
      </c>
      <c r="D268" s="21" t="s">
        <v>627</v>
      </c>
      <c r="E268" s="21" t="s">
        <v>46</v>
      </c>
      <c r="F268" s="5812">
        <v>3</v>
      </c>
      <c r="G268" s="5813">
        <v>0.17916666666666667</v>
      </c>
      <c r="H268" s="21" t="s">
        <v>10</v>
      </c>
      <c r="I268" s="21" t="s">
        <v>2721</v>
      </c>
      <c r="J268" s="21" t="s">
        <v>6721</v>
      </c>
      <c r="K268" s="5814" t="s">
        <v>6827</v>
      </c>
    </row>
    <row r="269" spans="1:11">
      <c r="A269" s="21" t="s">
        <v>2197</v>
      </c>
      <c r="B269" s="21" t="s">
        <v>6828</v>
      </c>
      <c r="C269" s="21" t="s">
        <v>8</v>
      </c>
      <c r="D269" s="21" t="s">
        <v>627</v>
      </c>
      <c r="E269" s="21" t="s">
        <v>46</v>
      </c>
      <c r="F269" s="5812">
        <v>3</v>
      </c>
      <c r="G269" s="5813">
        <v>0.20833333333333334</v>
      </c>
      <c r="H269" s="21" t="s">
        <v>54</v>
      </c>
      <c r="I269" s="21" t="s">
        <v>47</v>
      </c>
      <c r="J269" s="21" t="s">
        <v>6829</v>
      </c>
      <c r="K269" s="5814" t="s">
        <v>6830</v>
      </c>
    </row>
    <row r="270" spans="1:11">
      <c r="A270" s="21" t="s">
        <v>5984</v>
      </c>
      <c r="B270" s="21" t="s">
        <v>6831</v>
      </c>
      <c r="C270" s="21" t="s">
        <v>22</v>
      </c>
      <c r="D270" s="21" t="s">
        <v>627</v>
      </c>
      <c r="E270" s="21" t="s">
        <v>46</v>
      </c>
      <c r="F270" s="5812">
        <v>4</v>
      </c>
      <c r="G270" s="5813">
        <v>0.10486111111111111</v>
      </c>
      <c r="H270" s="21" t="s">
        <v>54</v>
      </c>
      <c r="I270" s="21" t="s">
        <v>55</v>
      </c>
      <c r="J270" s="21" t="s">
        <v>1117</v>
      </c>
      <c r="K270" s="5814" t="s">
        <v>6832</v>
      </c>
    </row>
    <row r="271" spans="1:11">
      <c r="A271" s="21" t="s">
        <v>2139</v>
      </c>
      <c r="B271" s="21" t="s">
        <v>6833</v>
      </c>
      <c r="C271" s="21" t="s">
        <v>22</v>
      </c>
      <c r="D271" s="21" t="s">
        <v>627</v>
      </c>
      <c r="E271" s="21" t="s">
        <v>46</v>
      </c>
      <c r="F271" s="5812">
        <v>5</v>
      </c>
      <c r="G271" s="5813">
        <v>4.4444444444444446E-2</v>
      </c>
      <c r="H271" s="21" t="s">
        <v>54</v>
      </c>
      <c r="I271" s="21" t="s">
        <v>96</v>
      </c>
      <c r="J271" s="21" t="s">
        <v>430</v>
      </c>
      <c r="K271" s="5814" t="s">
        <v>6834</v>
      </c>
    </row>
    <row r="272" spans="1:11">
      <c r="A272" s="21" t="s">
        <v>2776</v>
      </c>
      <c r="B272" s="21" t="s">
        <v>6835</v>
      </c>
      <c r="C272" s="21" t="s">
        <v>8</v>
      </c>
      <c r="D272" s="21" t="s">
        <v>627</v>
      </c>
      <c r="E272" s="21" t="s">
        <v>46</v>
      </c>
      <c r="F272" s="5812">
        <v>5</v>
      </c>
      <c r="G272" s="5813">
        <v>4.6527777777777779E-2</v>
      </c>
      <c r="H272" s="21" t="s">
        <v>54</v>
      </c>
      <c r="I272" s="21" t="s">
        <v>47</v>
      </c>
      <c r="J272" s="21" t="s">
        <v>97</v>
      </c>
      <c r="K272" s="5814" t="s">
        <v>6836</v>
      </c>
    </row>
    <row r="273" spans="1:11">
      <c r="A273" s="21" t="s">
        <v>2291</v>
      </c>
      <c r="B273" s="21" t="s">
        <v>6961</v>
      </c>
      <c r="C273" s="21" t="s">
        <v>22</v>
      </c>
      <c r="D273" s="21" t="s">
        <v>627</v>
      </c>
      <c r="E273" s="21" t="s">
        <v>46</v>
      </c>
      <c r="F273" s="5812">
        <v>1</v>
      </c>
      <c r="G273" s="5813">
        <v>6.3194444444444442E-2</v>
      </c>
      <c r="H273" s="21" t="s">
        <v>10</v>
      </c>
      <c r="I273" s="21" t="s">
        <v>96</v>
      </c>
      <c r="J273" s="21"/>
      <c r="K273" s="5814" t="s">
        <v>6962</v>
      </c>
    </row>
    <row r="274" spans="1:11">
      <c r="A274" s="21" t="s">
        <v>2935</v>
      </c>
      <c r="B274" s="21" t="s">
        <v>6963</v>
      </c>
      <c r="C274" s="21" t="s">
        <v>8</v>
      </c>
      <c r="D274" s="21" t="s">
        <v>627</v>
      </c>
      <c r="E274" s="21" t="s">
        <v>46</v>
      </c>
      <c r="F274" s="5812">
        <v>1</v>
      </c>
      <c r="G274" s="5813">
        <v>0.20833333333333334</v>
      </c>
      <c r="H274" s="21" t="s">
        <v>10</v>
      </c>
      <c r="I274" s="21" t="s">
        <v>11</v>
      </c>
      <c r="J274" s="21" t="s">
        <v>6964</v>
      </c>
      <c r="K274" s="5814" t="s">
        <v>6965</v>
      </c>
    </row>
    <row r="275" spans="1:11">
      <c r="A275" s="21" t="s">
        <v>103</v>
      </c>
      <c r="B275" s="21" t="s">
        <v>1113</v>
      </c>
      <c r="C275" s="21" t="s">
        <v>8</v>
      </c>
      <c r="D275" s="21" t="s">
        <v>1114</v>
      </c>
      <c r="E275" s="21" t="s">
        <v>46</v>
      </c>
      <c r="F275" s="5812">
        <v>1</v>
      </c>
      <c r="G275" s="5813">
        <v>0.13472222222222222</v>
      </c>
      <c r="H275" s="21" t="s">
        <v>54</v>
      </c>
      <c r="I275" s="21" t="s">
        <v>96</v>
      </c>
      <c r="J275" s="21" t="s">
        <v>48</v>
      </c>
      <c r="K275" s="5814" t="s">
        <v>1115</v>
      </c>
    </row>
    <row r="276" spans="1:11">
      <c r="A276" s="21" t="s">
        <v>3125</v>
      </c>
      <c r="B276" s="21" t="s">
        <v>9731</v>
      </c>
      <c r="C276" s="21" t="s">
        <v>8</v>
      </c>
      <c r="D276" s="21" t="s">
        <v>1114</v>
      </c>
      <c r="E276" s="21" t="s">
        <v>46</v>
      </c>
      <c r="F276" s="5812">
        <v>2</v>
      </c>
      <c r="G276" s="5813">
        <v>8.3333333333333329E-2</v>
      </c>
      <c r="H276" s="21" t="s">
        <v>54</v>
      </c>
      <c r="I276" s="21" t="s">
        <v>187</v>
      </c>
      <c r="J276" s="21" t="s">
        <v>9732</v>
      </c>
      <c r="K276" s="5814" t="s">
        <v>9733</v>
      </c>
    </row>
    <row r="277" spans="1:11">
      <c r="A277" s="21" t="s">
        <v>223</v>
      </c>
      <c r="B277" s="21" t="s">
        <v>1116</v>
      </c>
      <c r="C277" s="21" t="s">
        <v>22</v>
      </c>
      <c r="D277" s="21" t="s">
        <v>1114</v>
      </c>
      <c r="E277" s="21" t="s">
        <v>46</v>
      </c>
      <c r="F277" s="5812">
        <v>2</v>
      </c>
      <c r="G277" s="5813">
        <v>0.17222222222222222</v>
      </c>
      <c r="H277" s="21" t="s">
        <v>54</v>
      </c>
      <c r="I277" s="21" t="s">
        <v>47</v>
      </c>
      <c r="J277" s="21" t="s">
        <v>1117</v>
      </c>
      <c r="K277" s="5814" t="s">
        <v>1118</v>
      </c>
    </row>
    <row r="278" spans="1:11">
      <c r="A278" s="21" t="s">
        <v>3703</v>
      </c>
      <c r="B278" s="21" t="s">
        <v>9734</v>
      </c>
      <c r="C278" s="21" t="s">
        <v>22</v>
      </c>
      <c r="D278" s="21" t="s">
        <v>1114</v>
      </c>
      <c r="E278" s="21" t="s">
        <v>46</v>
      </c>
      <c r="F278" s="5812">
        <v>2</v>
      </c>
      <c r="G278" s="5813">
        <v>0.19166666666666668</v>
      </c>
      <c r="H278" s="21" t="s">
        <v>54</v>
      </c>
      <c r="I278" s="21" t="s">
        <v>2523</v>
      </c>
      <c r="J278" s="21" t="s">
        <v>48</v>
      </c>
      <c r="K278" s="5814" t="s">
        <v>9735</v>
      </c>
    </row>
    <row r="279" spans="1:11">
      <c r="A279" s="21" t="s">
        <v>3173</v>
      </c>
      <c r="B279" s="21" t="s">
        <v>9736</v>
      </c>
      <c r="C279" s="21" t="s">
        <v>8</v>
      </c>
      <c r="D279" s="21" t="s">
        <v>1114</v>
      </c>
      <c r="E279" s="21" t="s">
        <v>46</v>
      </c>
      <c r="F279" s="5812">
        <v>3</v>
      </c>
      <c r="G279" s="5813">
        <v>8.4722222222222227E-2</v>
      </c>
      <c r="H279" s="21" t="s">
        <v>54</v>
      </c>
      <c r="I279" s="21" t="s">
        <v>89</v>
      </c>
      <c r="J279" s="21" t="s">
        <v>258</v>
      </c>
      <c r="K279" s="5814" t="s">
        <v>9737</v>
      </c>
    </row>
    <row r="280" spans="1:11">
      <c r="A280" s="21" t="s">
        <v>3082</v>
      </c>
      <c r="B280" s="21" t="s">
        <v>6837</v>
      </c>
      <c r="C280" s="21" t="s">
        <v>179</v>
      </c>
      <c r="D280" s="21" t="s">
        <v>627</v>
      </c>
      <c r="E280" s="21" t="s">
        <v>920</v>
      </c>
      <c r="F280" s="5812">
        <v>1</v>
      </c>
      <c r="G280" s="5813">
        <v>6.5277777777777782E-2</v>
      </c>
      <c r="H280" s="21" t="s">
        <v>10</v>
      </c>
      <c r="I280" s="21" t="s">
        <v>2176</v>
      </c>
      <c r="J280" s="21" t="s">
        <v>6838</v>
      </c>
      <c r="K280" s="5814" t="s">
        <v>6839</v>
      </c>
    </row>
    <row r="281" spans="1:11">
      <c r="A281" s="21" t="s">
        <v>3315</v>
      </c>
      <c r="B281" s="21" t="s">
        <v>6840</v>
      </c>
      <c r="C281" s="21" t="s">
        <v>179</v>
      </c>
      <c r="D281" s="21" t="s">
        <v>627</v>
      </c>
      <c r="E281" s="21" t="s">
        <v>920</v>
      </c>
      <c r="F281" s="5812">
        <v>1</v>
      </c>
      <c r="G281" s="5813">
        <v>7.7083333333333337E-2</v>
      </c>
      <c r="H281" s="21" t="s">
        <v>10</v>
      </c>
      <c r="I281" s="21" t="s">
        <v>55</v>
      </c>
      <c r="J281" s="21" t="s">
        <v>6841</v>
      </c>
      <c r="K281" s="5814" t="s">
        <v>6842</v>
      </c>
    </row>
    <row r="282" spans="1:11">
      <c r="A282" s="21" t="s">
        <v>2595</v>
      </c>
      <c r="B282" s="21" t="s">
        <v>6843</v>
      </c>
      <c r="C282" s="21" t="s">
        <v>179</v>
      </c>
      <c r="D282" s="21" t="s">
        <v>627</v>
      </c>
      <c r="E282" s="21" t="s">
        <v>920</v>
      </c>
      <c r="F282" s="5812">
        <v>3</v>
      </c>
      <c r="G282" s="5813">
        <v>0.20833333333333334</v>
      </c>
      <c r="H282" s="21" t="s">
        <v>10</v>
      </c>
      <c r="I282" s="21" t="s">
        <v>89</v>
      </c>
      <c r="J282" s="21" t="s">
        <v>6844</v>
      </c>
      <c r="K282" s="5814" t="s">
        <v>6845</v>
      </c>
    </row>
    <row r="283" spans="1:11">
      <c r="A283" s="21" t="s">
        <v>3369</v>
      </c>
      <c r="B283" s="21" t="s">
        <v>6846</v>
      </c>
      <c r="C283" s="21" t="s">
        <v>179</v>
      </c>
      <c r="D283" s="21" t="s">
        <v>627</v>
      </c>
      <c r="E283" s="21" t="s">
        <v>920</v>
      </c>
      <c r="F283" s="5812">
        <v>3</v>
      </c>
      <c r="G283" s="5813">
        <v>0.20833333333333334</v>
      </c>
      <c r="H283" s="21" t="s">
        <v>10</v>
      </c>
      <c r="I283" s="21" t="s">
        <v>55</v>
      </c>
      <c r="J283" s="21" t="s">
        <v>6847</v>
      </c>
      <c r="K283" s="5814" t="s">
        <v>6848</v>
      </c>
    </row>
    <row r="284" spans="1:11">
      <c r="A284" s="21" t="s">
        <v>3537</v>
      </c>
      <c r="B284" s="21" t="s">
        <v>9738</v>
      </c>
      <c r="C284" s="21" t="s">
        <v>179</v>
      </c>
      <c r="D284" s="21" t="s">
        <v>1114</v>
      </c>
      <c r="E284" s="21" t="s">
        <v>920</v>
      </c>
      <c r="F284" s="5812">
        <v>3</v>
      </c>
      <c r="G284" s="5813">
        <v>0.12569444444444444</v>
      </c>
      <c r="H284" s="21" t="s">
        <v>54</v>
      </c>
      <c r="I284" s="21" t="s">
        <v>2297</v>
      </c>
      <c r="J284" s="21" t="s">
        <v>3588</v>
      </c>
      <c r="K284" s="5814" t="s">
        <v>9739</v>
      </c>
    </row>
    <row r="285" spans="1:11">
      <c r="A285" s="21" t="s">
        <v>3082</v>
      </c>
      <c r="B285" s="21" t="s">
        <v>6849</v>
      </c>
      <c r="C285" s="21" t="s">
        <v>22</v>
      </c>
      <c r="D285" s="21" t="s">
        <v>627</v>
      </c>
      <c r="E285" s="21" t="s">
        <v>61</v>
      </c>
      <c r="F285" s="5812">
        <v>1</v>
      </c>
      <c r="G285" s="5813">
        <v>4.6527777777777779E-2</v>
      </c>
      <c r="H285" s="21" t="s">
        <v>10</v>
      </c>
      <c r="I285" s="21" t="s">
        <v>117</v>
      </c>
      <c r="J285" s="21" t="s">
        <v>3313</v>
      </c>
      <c r="K285" s="5814" t="s">
        <v>6850</v>
      </c>
    </row>
    <row r="286" spans="1:11">
      <c r="A286" s="21" t="s">
        <v>3224</v>
      </c>
      <c r="B286" s="21" t="s">
        <v>6851</v>
      </c>
      <c r="C286" s="21" t="s">
        <v>8</v>
      </c>
      <c r="D286" s="21" t="s">
        <v>627</v>
      </c>
      <c r="E286" s="21" t="s">
        <v>61</v>
      </c>
      <c r="F286" s="5812">
        <v>1</v>
      </c>
      <c r="G286" s="5813">
        <v>4.9305555555555554E-2</v>
      </c>
      <c r="H286" s="21" t="s">
        <v>10</v>
      </c>
      <c r="I286" s="21" t="s">
        <v>55</v>
      </c>
      <c r="J286" s="21" t="s">
        <v>6852</v>
      </c>
      <c r="K286" s="5814" t="s">
        <v>6853</v>
      </c>
    </row>
    <row r="287" spans="1:11">
      <c r="A287" s="21" t="s">
        <v>4289</v>
      </c>
      <c r="B287" s="21" t="s">
        <v>6854</v>
      </c>
      <c r="C287" s="21" t="s">
        <v>8</v>
      </c>
      <c r="D287" s="21" t="s">
        <v>627</v>
      </c>
      <c r="E287" s="21" t="s">
        <v>61</v>
      </c>
      <c r="F287" s="5812">
        <v>1</v>
      </c>
      <c r="G287" s="5813">
        <v>7.6388888888888895E-2</v>
      </c>
      <c r="H287" s="21" t="s">
        <v>54</v>
      </c>
      <c r="I287" s="21" t="s">
        <v>2713</v>
      </c>
      <c r="J287" s="21" t="s">
        <v>6855</v>
      </c>
      <c r="K287" s="5814" t="s">
        <v>6856</v>
      </c>
    </row>
    <row r="288" spans="1:11">
      <c r="A288" s="21" t="s">
        <v>87</v>
      </c>
      <c r="B288" s="21" t="s">
        <v>626</v>
      </c>
      <c r="C288" s="21" t="s">
        <v>8</v>
      </c>
      <c r="D288" s="21" t="s">
        <v>627</v>
      </c>
      <c r="E288" s="21" t="s">
        <v>61</v>
      </c>
      <c r="F288" s="5812">
        <v>1</v>
      </c>
      <c r="G288" s="5813">
        <v>8.3333333333333329E-2</v>
      </c>
      <c r="H288" s="21" t="s">
        <v>10</v>
      </c>
      <c r="I288" s="21" t="s">
        <v>233</v>
      </c>
      <c r="J288" s="21" t="s">
        <v>324</v>
      </c>
      <c r="K288" s="5814" t="s">
        <v>628</v>
      </c>
    </row>
    <row r="289" spans="1:11">
      <c r="A289" s="21" t="s">
        <v>2538</v>
      </c>
      <c r="B289" s="21" t="s">
        <v>6857</v>
      </c>
      <c r="C289" s="21" t="s">
        <v>8</v>
      </c>
      <c r="D289" s="21" t="s">
        <v>627</v>
      </c>
      <c r="E289" s="21" t="s">
        <v>61</v>
      </c>
      <c r="F289" s="5812">
        <v>1</v>
      </c>
      <c r="G289" s="5813">
        <v>8.7499999999999994E-2</v>
      </c>
      <c r="H289" s="21" t="s">
        <v>10</v>
      </c>
      <c r="I289" s="21" t="s">
        <v>47</v>
      </c>
      <c r="J289" s="21" t="s">
        <v>3326</v>
      </c>
      <c r="K289" s="5814" t="s">
        <v>6858</v>
      </c>
    </row>
    <row r="290" spans="1:11">
      <c r="A290" s="21" t="s">
        <v>4321</v>
      </c>
      <c r="B290" s="21" t="s">
        <v>6859</v>
      </c>
      <c r="C290" s="21" t="s">
        <v>22</v>
      </c>
      <c r="D290" s="21" t="s">
        <v>627</v>
      </c>
      <c r="E290" s="21" t="s">
        <v>61</v>
      </c>
      <c r="F290" s="5812">
        <v>1</v>
      </c>
      <c r="G290" s="5813">
        <v>9.7916666666666666E-2</v>
      </c>
      <c r="H290" s="21" t="s">
        <v>10</v>
      </c>
      <c r="I290" s="21" t="s">
        <v>6860</v>
      </c>
      <c r="J290" s="21" t="s">
        <v>67</v>
      </c>
      <c r="K290" s="5814" t="s">
        <v>6861</v>
      </c>
    </row>
    <row r="291" spans="1:11">
      <c r="A291" s="21" t="s">
        <v>3183</v>
      </c>
      <c r="B291" s="21" t="s">
        <v>6862</v>
      </c>
      <c r="C291" s="21" t="s">
        <v>8</v>
      </c>
      <c r="D291" s="21" t="s">
        <v>627</v>
      </c>
      <c r="E291" s="21" t="s">
        <v>61</v>
      </c>
      <c r="F291" s="5812">
        <v>1</v>
      </c>
      <c r="G291" s="5813">
        <v>9.8611111111111108E-2</v>
      </c>
      <c r="H291" s="21" t="s">
        <v>10</v>
      </c>
      <c r="I291" s="21" t="s">
        <v>55</v>
      </c>
      <c r="J291" s="21" t="s">
        <v>974</v>
      </c>
      <c r="K291" s="5814" t="s">
        <v>6863</v>
      </c>
    </row>
    <row r="292" spans="1:11">
      <c r="A292" s="21" t="s">
        <v>3345</v>
      </c>
      <c r="B292" s="21" t="s">
        <v>6864</v>
      </c>
      <c r="C292" s="21" t="s">
        <v>22</v>
      </c>
      <c r="D292" s="21" t="s">
        <v>627</v>
      </c>
      <c r="E292" s="21" t="s">
        <v>61</v>
      </c>
      <c r="F292" s="5812">
        <v>1</v>
      </c>
      <c r="G292" s="5813">
        <v>0.10347222222222222</v>
      </c>
      <c r="H292" s="21" t="s">
        <v>10</v>
      </c>
      <c r="I292" s="21" t="s">
        <v>55</v>
      </c>
      <c r="J292" s="21" t="s">
        <v>67</v>
      </c>
      <c r="K292" s="5814" t="s">
        <v>6865</v>
      </c>
    </row>
    <row r="293" spans="1:11">
      <c r="A293" s="21" t="s">
        <v>3348</v>
      </c>
      <c r="B293" s="21" t="s">
        <v>6866</v>
      </c>
      <c r="C293" s="21" t="s">
        <v>8</v>
      </c>
      <c r="D293" s="21" t="s">
        <v>627</v>
      </c>
      <c r="E293" s="21" t="s">
        <v>61</v>
      </c>
      <c r="F293" s="5812">
        <v>1</v>
      </c>
      <c r="G293" s="5813">
        <v>0.10694444444444444</v>
      </c>
      <c r="H293" s="21" t="s">
        <v>54</v>
      </c>
      <c r="I293" s="21" t="s">
        <v>55</v>
      </c>
      <c r="J293" s="21" t="s">
        <v>3326</v>
      </c>
      <c r="K293" s="5814" t="s">
        <v>6867</v>
      </c>
    </row>
    <row r="294" spans="1:11">
      <c r="A294" s="21" t="s">
        <v>2675</v>
      </c>
      <c r="B294" s="21" t="s">
        <v>6868</v>
      </c>
      <c r="C294" s="21" t="s">
        <v>8</v>
      </c>
      <c r="D294" s="21" t="s">
        <v>627</v>
      </c>
      <c r="E294" s="21" t="s">
        <v>61</v>
      </c>
      <c r="F294" s="5812">
        <v>1</v>
      </c>
      <c r="G294" s="5813">
        <v>0.1111111111111111</v>
      </c>
      <c r="H294" s="21" t="s">
        <v>10</v>
      </c>
      <c r="I294" s="21" t="s">
        <v>2872</v>
      </c>
      <c r="J294" s="21" t="s">
        <v>62</v>
      </c>
      <c r="K294" s="5814" t="s">
        <v>6869</v>
      </c>
    </row>
    <row r="295" spans="1:11">
      <c r="A295" s="21" t="s">
        <v>3036</v>
      </c>
      <c r="B295" s="21" t="s">
        <v>6870</v>
      </c>
      <c r="C295" s="21" t="s">
        <v>8</v>
      </c>
      <c r="D295" s="21" t="s">
        <v>627</v>
      </c>
      <c r="E295" s="21" t="s">
        <v>61</v>
      </c>
      <c r="F295" s="5812">
        <v>1</v>
      </c>
      <c r="G295" s="5813">
        <v>0.12083333333333333</v>
      </c>
      <c r="H295" s="21" t="s">
        <v>10</v>
      </c>
      <c r="I295" s="21" t="s">
        <v>3534</v>
      </c>
      <c r="J295" s="21" t="s">
        <v>6871</v>
      </c>
      <c r="K295" s="5814" t="s">
        <v>6872</v>
      </c>
    </row>
    <row r="296" spans="1:11">
      <c r="A296" s="21" t="s">
        <v>2571</v>
      </c>
      <c r="B296" s="21" t="s">
        <v>6873</v>
      </c>
      <c r="C296" s="21" t="s">
        <v>22</v>
      </c>
      <c r="D296" s="21" t="s">
        <v>627</v>
      </c>
      <c r="E296" s="21" t="s">
        <v>61</v>
      </c>
      <c r="F296" s="5812">
        <v>1</v>
      </c>
      <c r="G296" s="5813">
        <v>0.13819444444444445</v>
      </c>
      <c r="H296" s="21" t="s">
        <v>10</v>
      </c>
      <c r="I296" s="21" t="s">
        <v>226</v>
      </c>
      <c r="J296" s="21" t="s">
        <v>67</v>
      </c>
      <c r="K296" s="5814" t="s">
        <v>6874</v>
      </c>
    </row>
    <row r="297" spans="1:11">
      <c r="A297" s="21" t="s">
        <v>3328</v>
      </c>
      <c r="B297" s="21" t="s">
        <v>6875</v>
      </c>
      <c r="C297" s="21" t="s">
        <v>8</v>
      </c>
      <c r="D297" s="21" t="s">
        <v>627</v>
      </c>
      <c r="E297" s="21" t="s">
        <v>61</v>
      </c>
      <c r="F297" s="5812">
        <v>1</v>
      </c>
      <c r="G297" s="5813">
        <v>0.13958333333333334</v>
      </c>
      <c r="H297" s="21" t="s">
        <v>10</v>
      </c>
      <c r="I297" s="21" t="s">
        <v>226</v>
      </c>
      <c r="J297" s="21" t="s">
        <v>62</v>
      </c>
      <c r="K297" s="5814" t="s">
        <v>6876</v>
      </c>
    </row>
    <row r="298" spans="1:11">
      <c r="A298" s="21" t="s">
        <v>4565</v>
      </c>
      <c r="B298" s="21" t="s">
        <v>6877</v>
      </c>
      <c r="C298" s="21" t="s">
        <v>8</v>
      </c>
      <c r="D298" s="21" t="s">
        <v>627</v>
      </c>
      <c r="E298" s="21" t="s">
        <v>61</v>
      </c>
      <c r="F298" s="5812">
        <v>1</v>
      </c>
      <c r="G298" s="5813">
        <v>0.1451388888888889</v>
      </c>
      <c r="H298" s="21" t="s">
        <v>10</v>
      </c>
      <c r="I298" s="21" t="s">
        <v>3534</v>
      </c>
      <c r="J298" s="21" t="s">
        <v>1194</v>
      </c>
      <c r="K298" s="5814" t="s">
        <v>6878</v>
      </c>
    </row>
    <row r="299" spans="1:11">
      <c r="A299" s="21" t="s">
        <v>2165</v>
      </c>
      <c r="B299" s="21" t="s">
        <v>6879</v>
      </c>
      <c r="C299" s="21" t="s">
        <v>8</v>
      </c>
      <c r="D299" s="21" t="s">
        <v>627</v>
      </c>
      <c r="E299" s="21" t="s">
        <v>61</v>
      </c>
      <c r="F299" s="5812">
        <v>1</v>
      </c>
      <c r="G299" s="5813">
        <v>0.15138888888888888</v>
      </c>
      <c r="H299" s="21" t="s">
        <v>10</v>
      </c>
      <c r="I299" s="21" t="s">
        <v>2872</v>
      </c>
      <c r="J299" s="21" t="s">
        <v>6880</v>
      </c>
      <c r="K299" s="5814" t="s">
        <v>6881</v>
      </c>
    </row>
    <row r="300" spans="1:11">
      <c r="A300" s="21" t="s">
        <v>5168</v>
      </c>
      <c r="B300" s="21" t="s">
        <v>6882</v>
      </c>
      <c r="C300" s="21" t="s">
        <v>22</v>
      </c>
      <c r="D300" s="21" t="s">
        <v>627</v>
      </c>
      <c r="E300" s="21" t="s">
        <v>61</v>
      </c>
      <c r="F300" s="5812">
        <v>1</v>
      </c>
      <c r="G300" s="5813">
        <v>0.15208333333333332</v>
      </c>
      <c r="H300" s="21" t="s">
        <v>10</v>
      </c>
      <c r="I300" s="21" t="s">
        <v>3464</v>
      </c>
      <c r="J300" s="21" t="s">
        <v>67</v>
      </c>
      <c r="K300" s="5814" t="s">
        <v>6883</v>
      </c>
    </row>
    <row r="301" spans="1:11">
      <c r="A301" s="21" t="s">
        <v>2311</v>
      </c>
      <c r="B301" s="21" t="s">
        <v>6884</v>
      </c>
      <c r="C301" s="21" t="s">
        <v>8</v>
      </c>
      <c r="D301" s="21" t="s">
        <v>627</v>
      </c>
      <c r="E301" s="21" t="s">
        <v>61</v>
      </c>
      <c r="F301" s="5812">
        <v>1</v>
      </c>
      <c r="G301" s="5813">
        <v>0.15694444444444444</v>
      </c>
      <c r="H301" s="21" t="s">
        <v>10</v>
      </c>
      <c r="I301" s="21" t="s">
        <v>47</v>
      </c>
      <c r="J301" s="21" t="s">
        <v>67</v>
      </c>
      <c r="K301" s="5814" t="s">
        <v>6885</v>
      </c>
    </row>
    <row r="302" spans="1:11">
      <c r="A302" s="21" t="s">
        <v>2471</v>
      </c>
      <c r="B302" s="21" t="s">
        <v>6886</v>
      </c>
      <c r="C302" s="21" t="s">
        <v>8</v>
      </c>
      <c r="D302" s="21" t="s">
        <v>627</v>
      </c>
      <c r="E302" s="21" t="s">
        <v>61</v>
      </c>
      <c r="F302" s="5812">
        <v>1</v>
      </c>
      <c r="G302" s="5813">
        <v>0.15763888888888888</v>
      </c>
      <c r="H302" s="21" t="s">
        <v>54</v>
      </c>
      <c r="I302" s="21" t="s">
        <v>55</v>
      </c>
      <c r="J302" s="21" t="s">
        <v>67</v>
      </c>
      <c r="K302" s="5814" t="s">
        <v>6887</v>
      </c>
    </row>
    <row r="303" spans="1:11">
      <c r="A303" s="21" t="s">
        <v>2737</v>
      </c>
      <c r="B303" s="21" t="s">
        <v>6888</v>
      </c>
      <c r="C303" s="21" t="s">
        <v>22</v>
      </c>
      <c r="D303" s="21" t="s">
        <v>627</v>
      </c>
      <c r="E303" s="21" t="s">
        <v>61</v>
      </c>
      <c r="F303" s="5812">
        <v>1</v>
      </c>
      <c r="G303" s="5813">
        <v>0.15833333333333333</v>
      </c>
      <c r="H303" s="21" t="s">
        <v>10</v>
      </c>
      <c r="I303" s="21" t="s">
        <v>5159</v>
      </c>
      <c r="J303" s="21" t="s">
        <v>974</v>
      </c>
      <c r="K303" s="5814" t="s">
        <v>6889</v>
      </c>
    </row>
    <row r="304" spans="1:11">
      <c r="A304" s="21" t="s">
        <v>2741</v>
      </c>
      <c r="B304" s="21" t="s">
        <v>6890</v>
      </c>
      <c r="C304" s="21" t="s">
        <v>8</v>
      </c>
      <c r="D304" s="21" t="s">
        <v>627</v>
      </c>
      <c r="E304" s="21" t="s">
        <v>61</v>
      </c>
      <c r="F304" s="5812">
        <v>1</v>
      </c>
      <c r="G304" s="5813">
        <v>0.16250000000000001</v>
      </c>
      <c r="H304" s="21" t="s">
        <v>10</v>
      </c>
      <c r="I304" s="21" t="s">
        <v>2149</v>
      </c>
      <c r="J304" s="21" t="s">
        <v>6891</v>
      </c>
      <c r="K304" s="5814" t="s">
        <v>6892</v>
      </c>
    </row>
    <row r="305" spans="1:11">
      <c r="A305" s="21" t="s">
        <v>2438</v>
      </c>
      <c r="B305" s="21" t="s">
        <v>6893</v>
      </c>
      <c r="C305" s="21" t="s">
        <v>22</v>
      </c>
      <c r="D305" s="21" t="s">
        <v>627</v>
      </c>
      <c r="E305" s="21" t="s">
        <v>61</v>
      </c>
      <c r="F305" s="5812">
        <v>1</v>
      </c>
      <c r="G305" s="5813">
        <v>0.16458333333333333</v>
      </c>
      <c r="H305" s="21" t="s">
        <v>10</v>
      </c>
      <c r="I305" s="21" t="s">
        <v>2313</v>
      </c>
      <c r="J305" s="21" t="s">
        <v>3326</v>
      </c>
      <c r="K305" s="5814" t="s">
        <v>6894</v>
      </c>
    </row>
    <row r="306" spans="1:11">
      <c r="A306" s="21" t="s">
        <v>4345</v>
      </c>
      <c r="B306" s="21" t="s">
        <v>6895</v>
      </c>
      <c r="C306" s="21" t="s">
        <v>22</v>
      </c>
      <c r="D306" s="21" t="s">
        <v>627</v>
      </c>
      <c r="E306" s="21" t="s">
        <v>61</v>
      </c>
      <c r="F306" s="5812">
        <v>1</v>
      </c>
      <c r="G306" s="5813">
        <v>0.17152777777777778</v>
      </c>
      <c r="H306" s="21" t="s">
        <v>10</v>
      </c>
      <c r="I306" s="21" t="s">
        <v>55</v>
      </c>
      <c r="J306" s="21" t="s">
        <v>67</v>
      </c>
      <c r="K306" s="5814" t="s">
        <v>6896</v>
      </c>
    </row>
    <row r="307" spans="1:11">
      <c r="A307" s="21" t="s">
        <v>4645</v>
      </c>
      <c r="B307" s="21" t="s">
        <v>6897</v>
      </c>
      <c r="C307" s="21" t="s">
        <v>8</v>
      </c>
      <c r="D307" s="21" t="s">
        <v>627</v>
      </c>
      <c r="E307" s="21" t="s">
        <v>61</v>
      </c>
      <c r="F307" s="5812">
        <v>1</v>
      </c>
      <c r="G307" s="5813">
        <v>0.19097222222222221</v>
      </c>
      <c r="H307" s="21" t="s">
        <v>10</v>
      </c>
      <c r="I307" s="21" t="s">
        <v>226</v>
      </c>
      <c r="J307" s="21" t="s">
        <v>505</v>
      </c>
      <c r="K307" s="5814" t="s">
        <v>6898</v>
      </c>
    </row>
    <row r="308" spans="1:11">
      <c r="A308" s="21" t="s">
        <v>2391</v>
      </c>
      <c r="B308" s="21" t="s">
        <v>6899</v>
      </c>
      <c r="C308" s="21" t="s">
        <v>8</v>
      </c>
      <c r="D308" s="21" t="s">
        <v>627</v>
      </c>
      <c r="E308" s="21" t="s">
        <v>61</v>
      </c>
      <c r="F308" s="5812">
        <v>1</v>
      </c>
      <c r="G308" s="5813">
        <v>0.19236111111111112</v>
      </c>
      <c r="H308" s="21" t="s">
        <v>10</v>
      </c>
      <c r="I308" s="21" t="s">
        <v>89</v>
      </c>
      <c r="J308" s="21" t="s">
        <v>67</v>
      </c>
      <c r="K308" s="5814" t="s">
        <v>6900</v>
      </c>
    </row>
    <row r="309" spans="1:11">
      <c r="A309" s="21" t="s">
        <v>2808</v>
      </c>
      <c r="B309" s="21" t="s">
        <v>6901</v>
      </c>
      <c r="C309" s="21" t="s">
        <v>22</v>
      </c>
      <c r="D309" s="21" t="s">
        <v>627</v>
      </c>
      <c r="E309" s="21" t="s">
        <v>61</v>
      </c>
      <c r="F309" s="5812">
        <v>1</v>
      </c>
      <c r="G309" s="5813">
        <v>0.19305555555555556</v>
      </c>
      <c r="H309" s="21" t="s">
        <v>10</v>
      </c>
      <c r="I309" s="21" t="s">
        <v>2297</v>
      </c>
      <c r="J309" s="21" t="s">
        <v>3313</v>
      </c>
      <c r="K309" s="5814" t="s">
        <v>6902</v>
      </c>
    </row>
    <row r="310" spans="1:11">
      <c r="A310" s="21" t="s">
        <v>4409</v>
      </c>
      <c r="B310" s="21" t="s">
        <v>6903</v>
      </c>
      <c r="C310" s="21" t="s">
        <v>8</v>
      </c>
      <c r="D310" s="21" t="s">
        <v>627</v>
      </c>
      <c r="E310" s="21" t="s">
        <v>61</v>
      </c>
      <c r="F310" s="5812">
        <v>2</v>
      </c>
      <c r="G310" s="5813">
        <v>6.1111111111111109E-2</v>
      </c>
      <c r="H310" s="21" t="s">
        <v>10</v>
      </c>
      <c r="I310" s="21" t="s">
        <v>55</v>
      </c>
      <c r="J310" s="21" t="s">
        <v>897</v>
      </c>
      <c r="K310" s="5814" t="s">
        <v>6904</v>
      </c>
    </row>
    <row r="311" spans="1:11">
      <c r="A311" s="21" t="s">
        <v>3029</v>
      </c>
      <c r="B311" s="21" t="s">
        <v>6230</v>
      </c>
      <c r="C311" s="21" t="s">
        <v>22</v>
      </c>
      <c r="D311" s="21" t="s">
        <v>627</v>
      </c>
      <c r="E311" s="21" t="s">
        <v>61</v>
      </c>
      <c r="F311" s="5812">
        <v>2</v>
      </c>
      <c r="G311" s="5813">
        <v>7.9861111111111105E-2</v>
      </c>
      <c r="H311" s="21" t="s">
        <v>10</v>
      </c>
      <c r="I311" s="21" t="s">
        <v>39</v>
      </c>
      <c r="J311" s="21" t="s">
        <v>324</v>
      </c>
      <c r="K311" s="5814" t="s">
        <v>6905</v>
      </c>
    </row>
    <row r="312" spans="1:11">
      <c r="A312" s="21" t="s">
        <v>2804</v>
      </c>
      <c r="B312" s="21" t="s">
        <v>6906</v>
      </c>
      <c r="C312" s="21" t="s">
        <v>22</v>
      </c>
      <c r="D312" s="21" t="s">
        <v>627</v>
      </c>
      <c r="E312" s="21" t="s">
        <v>61</v>
      </c>
      <c r="F312" s="5812">
        <v>2</v>
      </c>
      <c r="G312" s="5813">
        <v>8.2638888888888887E-2</v>
      </c>
      <c r="H312" s="21" t="s">
        <v>10</v>
      </c>
      <c r="I312" s="21" t="s">
        <v>89</v>
      </c>
      <c r="J312" s="21" t="s">
        <v>928</v>
      </c>
      <c r="K312" s="5814" t="s">
        <v>6907</v>
      </c>
    </row>
    <row r="313" spans="1:11">
      <c r="A313" s="21" t="s">
        <v>3208</v>
      </c>
      <c r="B313" s="21" t="s">
        <v>6908</v>
      </c>
      <c r="C313" s="21" t="s">
        <v>8</v>
      </c>
      <c r="D313" s="21" t="s">
        <v>627</v>
      </c>
      <c r="E313" s="21" t="s">
        <v>61</v>
      </c>
      <c r="F313" s="5812">
        <v>2</v>
      </c>
      <c r="G313" s="5813">
        <v>8.4027777777777785E-2</v>
      </c>
      <c r="H313" s="21" t="s">
        <v>10</v>
      </c>
      <c r="I313" s="21" t="s">
        <v>5994</v>
      </c>
      <c r="J313" s="21" t="s">
        <v>974</v>
      </c>
      <c r="K313" s="5814" t="s">
        <v>6909</v>
      </c>
    </row>
    <row r="314" spans="1:11">
      <c r="A314" s="21" t="s">
        <v>3434</v>
      </c>
      <c r="B314" s="21" t="s">
        <v>6910</v>
      </c>
      <c r="C314" s="21" t="s">
        <v>22</v>
      </c>
      <c r="D314" s="21" t="s">
        <v>627</v>
      </c>
      <c r="E314" s="21" t="s">
        <v>61</v>
      </c>
      <c r="F314" s="5812">
        <v>2</v>
      </c>
      <c r="G314" s="5813">
        <v>9.0277777777777776E-2</v>
      </c>
      <c r="H314" s="21" t="s">
        <v>10</v>
      </c>
      <c r="I314" s="21" t="s">
        <v>23</v>
      </c>
      <c r="J314" s="21" t="s">
        <v>67</v>
      </c>
      <c r="K314" s="5814" t="s">
        <v>6911</v>
      </c>
    </row>
    <row r="315" spans="1:11">
      <c r="A315" s="21" t="s">
        <v>2780</v>
      </c>
      <c r="B315" s="21" t="s">
        <v>6912</v>
      </c>
      <c r="C315" s="21" t="s">
        <v>8</v>
      </c>
      <c r="D315" s="21" t="s">
        <v>627</v>
      </c>
      <c r="E315" s="21" t="s">
        <v>61</v>
      </c>
      <c r="F315" s="5812">
        <v>2</v>
      </c>
      <c r="G315" s="5813">
        <v>9.0972222222222218E-2</v>
      </c>
      <c r="H315" s="21" t="s">
        <v>10</v>
      </c>
      <c r="I315" s="21" t="s">
        <v>226</v>
      </c>
      <c r="J315" s="21" t="s">
        <v>6913</v>
      </c>
      <c r="K315" s="5814" t="s">
        <v>6914</v>
      </c>
    </row>
    <row r="316" spans="1:11">
      <c r="A316" s="21" t="s">
        <v>3872</v>
      </c>
      <c r="B316" s="21" t="s">
        <v>6915</v>
      </c>
      <c r="C316" s="21" t="s">
        <v>8</v>
      </c>
      <c r="D316" s="21" t="s">
        <v>627</v>
      </c>
      <c r="E316" s="21" t="s">
        <v>61</v>
      </c>
      <c r="F316" s="5812">
        <v>2</v>
      </c>
      <c r="G316" s="5813">
        <v>0.10277777777777777</v>
      </c>
      <c r="H316" s="21" t="s">
        <v>10</v>
      </c>
      <c r="I316" s="21" t="s">
        <v>3441</v>
      </c>
      <c r="J316" s="21" t="s">
        <v>974</v>
      </c>
      <c r="K316" s="5814" t="s">
        <v>6916</v>
      </c>
    </row>
    <row r="317" spans="1:11">
      <c r="A317" s="21" t="s">
        <v>2626</v>
      </c>
      <c r="B317" s="21" t="s">
        <v>6917</v>
      </c>
      <c r="C317" s="21" t="s">
        <v>22</v>
      </c>
      <c r="D317" s="21" t="s">
        <v>627</v>
      </c>
      <c r="E317" s="21" t="s">
        <v>61</v>
      </c>
      <c r="F317" s="5812">
        <v>2</v>
      </c>
      <c r="G317" s="5813">
        <v>0.10416666666666667</v>
      </c>
      <c r="H317" s="21" t="s">
        <v>10</v>
      </c>
      <c r="I317" s="21" t="s">
        <v>2692</v>
      </c>
      <c r="J317" s="21" t="s">
        <v>67</v>
      </c>
      <c r="K317" s="5814" t="s">
        <v>6918</v>
      </c>
    </row>
    <row r="318" spans="1:11">
      <c r="A318" s="21" t="s">
        <v>2679</v>
      </c>
      <c r="B318" s="21" t="s">
        <v>6919</v>
      </c>
      <c r="C318" s="21" t="s">
        <v>8</v>
      </c>
      <c r="D318" s="21" t="s">
        <v>627</v>
      </c>
      <c r="E318" s="21" t="s">
        <v>61</v>
      </c>
      <c r="F318" s="5812">
        <v>2</v>
      </c>
      <c r="G318" s="5813">
        <v>0.11180555555555556</v>
      </c>
      <c r="H318" s="21" t="s">
        <v>10</v>
      </c>
      <c r="I318" s="21" t="s">
        <v>47</v>
      </c>
      <c r="J318" s="21" t="s">
        <v>6920</v>
      </c>
      <c r="K318" s="5814" t="s">
        <v>6921</v>
      </c>
    </row>
    <row r="319" spans="1:11">
      <c r="A319" s="21" t="s">
        <v>3446</v>
      </c>
      <c r="B319" s="21" t="s">
        <v>6922</v>
      </c>
      <c r="C319" s="21" t="s">
        <v>22</v>
      </c>
      <c r="D319" s="21" t="s">
        <v>627</v>
      </c>
      <c r="E319" s="21" t="s">
        <v>61</v>
      </c>
      <c r="F319" s="5812">
        <v>2</v>
      </c>
      <c r="G319" s="5813">
        <v>0.11527777777777778</v>
      </c>
      <c r="H319" s="21" t="s">
        <v>10</v>
      </c>
      <c r="I319" s="21" t="s">
        <v>2713</v>
      </c>
      <c r="J319" s="21" t="s">
        <v>6852</v>
      </c>
      <c r="K319" s="5814" t="s">
        <v>6923</v>
      </c>
    </row>
    <row r="320" spans="1:11">
      <c r="A320" s="21" t="s">
        <v>3213</v>
      </c>
      <c r="B320" s="21" t="s">
        <v>6924</v>
      </c>
      <c r="C320" s="21" t="s">
        <v>8</v>
      </c>
      <c r="D320" s="21" t="s">
        <v>627</v>
      </c>
      <c r="E320" s="21" t="s">
        <v>61</v>
      </c>
      <c r="F320" s="5812">
        <v>2</v>
      </c>
      <c r="G320" s="5813">
        <v>0.12638888888888888</v>
      </c>
      <c r="H320" s="21" t="s">
        <v>10</v>
      </c>
      <c r="I320" s="21" t="s">
        <v>47</v>
      </c>
      <c r="J320" s="21" t="s">
        <v>67</v>
      </c>
      <c r="K320" s="5814" t="s">
        <v>6925</v>
      </c>
    </row>
    <row r="321" spans="1:11">
      <c r="A321" s="21" t="s">
        <v>5220</v>
      </c>
      <c r="B321" s="21" t="s">
        <v>6926</v>
      </c>
      <c r="C321" s="21" t="s">
        <v>8</v>
      </c>
      <c r="D321" s="21" t="s">
        <v>627</v>
      </c>
      <c r="E321" s="21" t="s">
        <v>61</v>
      </c>
      <c r="F321" s="5812">
        <v>2</v>
      </c>
      <c r="G321" s="5813">
        <v>0.13263888888888889</v>
      </c>
      <c r="H321" s="21" t="s">
        <v>10</v>
      </c>
      <c r="I321" s="21" t="s">
        <v>2313</v>
      </c>
      <c r="J321" s="21" t="s">
        <v>67</v>
      </c>
      <c r="K321" s="5814" t="s">
        <v>6927</v>
      </c>
    </row>
    <row r="322" spans="1:11">
      <c r="A322" s="21" t="s">
        <v>2184</v>
      </c>
      <c r="B322" s="21" t="s">
        <v>6928</v>
      </c>
      <c r="C322" s="21" t="s">
        <v>8</v>
      </c>
      <c r="D322" s="21" t="s">
        <v>627</v>
      </c>
      <c r="E322" s="21" t="s">
        <v>61</v>
      </c>
      <c r="F322" s="5812">
        <v>2</v>
      </c>
      <c r="G322" s="5813">
        <v>0.15069444444444444</v>
      </c>
      <c r="H322" s="21" t="s">
        <v>10</v>
      </c>
      <c r="I322" s="21" t="s">
        <v>6929</v>
      </c>
      <c r="J322" s="21" t="s">
        <v>67</v>
      </c>
      <c r="K322" s="5814" t="s">
        <v>6930</v>
      </c>
    </row>
    <row r="323" spans="1:11">
      <c r="A323" s="21" t="s">
        <v>2295</v>
      </c>
      <c r="B323" s="21" t="s">
        <v>6931</v>
      </c>
      <c r="C323" s="21" t="s">
        <v>8</v>
      </c>
      <c r="D323" s="21" t="s">
        <v>627</v>
      </c>
      <c r="E323" s="21" t="s">
        <v>61</v>
      </c>
      <c r="F323" s="5812">
        <v>2</v>
      </c>
      <c r="G323" s="5813">
        <v>0.19652777777777777</v>
      </c>
      <c r="H323" s="21" t="s">
        <v>10</v>
      </c>
      <c r="I323" s="21" t="s">
        <v>2297</v>
      </c>
      <c r="J323" s="21" t="s">
        <v>5461</v>
      </c>
      <c r="K323" s="5814" t="s">
        <v>6932</v>
      </c>
    </row>
    <row r="324" spans="1:11">
      <c r="A324" s="21" t="s">
        <v>2910</v>
      </c>
      <c r="B324" s="21" t="s">
        <v>6933</v>
      </c>
      <c r="C324" s="21" t="s">
        <v>22</v>
      </c>
      <c r="D324" s="21" t="s">
        <v>627</v>
      </c>
      <c r="E324" s="21" t="s">
        <v>61</v>
      </c>
      <c r="F324" s="5812">
        <v>2</v>
      </c>
      <c r="G324" s="5813">
        <v>0.20277777777777778</v>
      </c>
      <c r="H324" s="21" t="s">
        <v>10</v>
      </c>
      <c r="I324" s="21" t="s">
        <v>96</v>
      </c>
      <c r="J324" s="21" t="s">
        <v>67</v>
      </c>
      <c r="K324" s="5814" t="s">
        <v>6934</v>
      </c>
    </row>
    <row r="325" spans="1:11">
      <c r="A325" s="21" t="s">
        <v>3458</v>
      </c>
      <c r="B325" s="21" t="s">
        <v>6935</v>
      </c>
      <c r="C325" s="21" t="s">
        <v>8</v>
      </c>
      <c r="D325" s="21" t="s">
        <v>627</v>
      </c>
      <c r="E325" s="21" t="s">
        <v>61</v>
      </c>
      <c r="F325" s="5812">
        <v>3</v>
      </c>
      <c r="G325" s="5813">
        <v>5.6944444444444443E-2</v>
      </c>
      <c r="H325" s="21" t="s">
        <v>10</v>
      </c>
      <c r="I325" s="21" t="s">
        <v>55</v>
      </c>
      <c r="J325" s="21" t="s">
        <v>62</v>
      </c>
      <c r="K325" s="5814" t="s">
        <v>6936</v>
      </c>
    </row>
    <row r="326" spans="1:11">
      <c r="A326" s="21" t="s">
        <v>2513</v>
      </c>
      <c r="B326" s="21" t="s">
        <v>6937</v>
      </c>
      <c r="C326" s="21" t="s">
        <v>22</v>
      </c>
      <c r="D326" s="21" t="s">
        <v>627</v>
      </c>
      <c r="E326" s="21" t="s">
        <v>61</v>
      </c>
      <c r="F326" s="5812">
        <v>3</v>
      </c>
      <c r="G326" s="5813">
        <v>7.5694444444444439E-2</v>
      </c>
      <c r="H326" s="21" t="s">
        <v>54</v>
      </c>
      <c r="I326" s="21" t="s">
        <v>55</v>
      </c>
      <c r="J326" s="21" t="s">
        <v>67</v>
      </c>
      <c r="K326" s="5814" t="s">
        <v>6938</v>
      </c>
    </row>
    <row r="327" spans="1:11">
      <c r="A327" s="21" t="s">
        <v>2579</v>
      </c>
      <c r="B327" s="21" t="s">
        <v>6939</v>
      </c>
      <c r="C327" s="21" t="s">
        <v>8</v>
      </c>
      <c r="D327" s="21" t="s">
        <v>627</v>
      </c>
      <c r="E327" s="21" t="s">
        <v>61</v>
      </c>
      <c r="F327" s="5812">
        <v>3</v>
      </c>
      <c r="G327" s="5813">
        <v>8.2638888888888887E-2</v>
      </c>
      <c r="H327" s="21" t="s">
        <v>10</v>
      </c>
      <c r="I327" s="21" t="s">
        <v>2713</v>
      </c>
      <c r="J327" s="21" t="s">
        <v>974</v>
      </c>
      <c r="K327" s="5814" t="s">
        <v>6940</v>
      </c>
    </row>
    <row r="328" spans="1:11">
      <c r="A328" s="21" t="s">
        <v>3613</v>
      </c>
      <c r="B328" s="21" t="s">
        <v>6941</v>
      </c>
      <c r="C328" s="21" t="s">
        <v>8</v>
      </c>
      <c r="D328" s="21" t="s">
        <v>627</v>
      </c>
      <c r="E328" s="21" t="s">
        <v>61</v>
      </c>
      <c r="F328" s="5812">
        <v>3</v>
      </c>
      <c r="G328" s="5813">
        <v>0.11180555555555556</v>
      </c>
      <c r="H328" s="21" t="s">
        <v>10</v>
      </c>
      <c r="I328" s="21" t="s">
        <v>23</v>
      </c>
      <c r="J328" s="21" t="s">
        <v>6942</v>
      </c>
      <c r="K328" s="5814" t="s">
        <v>6943</v>
      </c>
    </row>
    <row r="329" spans="1:11">
      <c r="A329" s="21" t="s">
        <v>2276</v>
      </c>
      <c r="B329" s="21" t="s">
        <v>6944</v>
      </c>
      <c r="C329" s="21" t="s">
        <v>8</v>
      </c>
      <c r="D329" s="21" t="s">
        <v>627</v>
      </c>
      <c r="E329" s="21" t="s">
        <v>61</v>
      </c>
      <c r="F329" s="5812">
        <v>3</v>
      </c>
      <c r="G329" s="5813">
        <v>0.13194444444444445</v>
      </c>
      <c r="H329" s="21" t="s">
        <v>54</v>
      </c>
      <c r="I329" s="21" t="s">
        <v>2297</v>
      </c>
      <c r="J329" s="21" t="s">
        <v>5466</v>
      </c>
      <c r="K329" s="5814" t="s">
        <v>6945</v>
      </c>
    </row>
    <row r="330" spans="1:11">
      <c r="A330" s="21" t="s">
        <v>3029</v>
      </c>
      <c r="B330" s="21" t="s">
        <v>6946</v>
      </c>
      <c r="C330" s="21" t="s">
        <v>8</v>
      </c>
      <c r="D330" s="21" t="s">
        <v>627</v>
      </c>
      <c r="E330" s="21" t="s">
        <v>61</v>
      </c>
      <c r="F330" s="5812">
        <v>3</v>
      </c>
      <c r="G330" s="5813">
        <v>0.15416666666666667</v>
      </c>
      <c r="H330" s="21" t="s">
        <v>10</v>
      </c>
      <c r="I330" s="21" t="s">
        <v>47</v>
      </c>
      <c r="J330" s="21" t="s">
        <v>505</v>
      </c>
      <c r="K330" s="5814" t="s">
        <v>6947</v>
      </c>
    </row>
    <row r="331" spans="1:11">
      <c r="A331" s="21" t="s">
        <v>2630</v>
      </c>
      <c r="B331" s="21" t="s">
        <v>6948</v>
      </c>
      <c r="C331" s="21" t="s">
        <v>22</v>
      </c>
      <c r="D331" s="21" t="s">
        <v>627</v>
      </c>
      <c r="E331" s="21" t="s">
        <v>61</v>
      </c>
      <c r="F331" s="5812">
        <v>3</v>
      </c>
      <c r="G331" s="5813">
        <v>0.18055555555555555</v>
      </c>
      <c r="H331" s="21" t="s">
        <v>10</v>
      </c>
      <c r="I331" s="21" t="s">
        <v>11</v>
      </c>
      <c r="J331" s="21" t="s">
        <v>3326</v>
      </c>
      <c r="K331" s="5814" t="s">
        <v>6949</v>
      </c>
    </row>
    <row r="332" spans="1:11">
      <c r="A332" s="21" t="s">
        <v>2675</v>
      </c>
      <c r="B332" s="21" t="s">
        <v>6950</v>
      </c>
      <c r="C332" s="21" t="s">
        <v>22</v>
      </c>
      <c r="D332" s="21" t="s">
        <v>627</v>
      </c>
      <c r="E332" s="21" t="s">
        <v>61</v>
      </c>
      <c r="F332" s="5812">
        <v>3</v>
      </c>
      <c r="G332" s="5813">
        <v>0.18472222222222223</v>
      </c>
      <c r="H332" s="21" t="s">
        <v>54</v>
      </c>
      <c r="I332" s="21" t="s">
        <v>2872</v>
      </c>
      <c r="J332" s="21" t="s">
        <v>67</v>
      </c>
      <c r="K332" s="5814" t="s">
        <v>6951</v>
      </c>
    </row>
    <row r="333" spans="1:11">
      <c r="A333" s="21" t="s">
        <v>4654</v>
      </c>
      <c r="B333" s="21" t="s">
        <v>6952</v>
      </c>
      <c r="C333" s="21" t="s">
        <v>8</v>
      </c>
      <c r="D333" s="21" t="s">
        <v>627</v>
      </c>
      <c r="E333" s="21" t="s">
        <v>61</v>
      </c>
      <c r="F333" s="5812">
        <v>3</v>
      </c>
      <c r="G333" s="5813">
        <v>0.20069444444444445</v>
      </c>
      <c r="H333" s="21" t="s">
        <v>10</v>
      </c>
      <c r="I333" s="21" t="s">
        <v>55</v>
      </c>
      <c r="J333" s="21" t="s">
        <v>67</v>
      </c>
      <c r="K333" s="5814" t="s">
        <v>6953</v>
      </c>
    </row>
    <row r="334" spans="1:11">
      <c r="A334" s="21" t="s">
        <v>4527</v>
      </c>
      <c r="B334" s="21" t="s">
        <v>6954</v>
      </c>
      <c r="C334" s="21" t="s">
        <v>8</v>
      </c>
      <c r="D334" s="21" t="s">
        <v>627</v>
      </c>
      <c r="E334" s="21" t="s">
        <v>61</v>
      </c>
      <c r="F334" s="5812">
        <v>3</v>
      </c>
      <c r="G334" s="5813">
        <v>0.20208333333333334</v>
      </c>
      <c r="H334" s="21" t="s">
        <v>10</v>
      </c>
      <c r="I334" s="21" t="s">
        <v>2269</v>
      </c>
      <c r="J334" s="21" t="s">
        <v>6955</v>
      </c>
      <c r="K334" s="5814" t="s">
        <v>6956</v>
      </c>
    </row>
    <row r="335" spans="1:11">
      <c r="A335" s="21" t="s">
        <v>2729</v>
      </c>
      <c r="B335" s="21" t="s">
        <v>6957</v>
      </c>
      <c r="C335" s="21" t="s">
        <v>8</v>
      </c>
      <c r="D335" s="21" t="s">
        <v>627</v>
      </c>
      <c r="E335" s="21" t="s">
        <v>61</v>
      </c>
      <c r="F335" s="5812">
        <v>3</v>
      </c>
      <c r="G335" s="5813">
        <v>0.2076388888888889</v>
      </c>
      <c r="H335" s="21" t="s">
        <v>10</v>
      </c>
      <c r="I335" s="21" t="s">
        <v>47</v>
      </c>
      <c r="J335" s="21" t="s">
        <v>3326</v>
      </c>
      <c r="K335" s="5814" t="s">
        <v>6958</v>
      </c>
    </row>
    <row r="336" spans="1:11">
      <c r="A336" s="21" t="s">
        <v>4170</v>
      </c>
      <c r="B336" s="21" t="s">
        <v>6959</v>
      </c>
      <c r="C336" s="21" t="s">
        <v>22</v>
      </c>
      <c r="D336" s="21" t="s">
        <v>627</v>
      </c>
      <c r="E336" s="21" t="s">
        <v>61</v>
      </c>
      <c r="F336" s="5812">
        <v>4</v>
      </c>
      <c r="G336" s="5813">
        <v>0.10972222222222222</v>
      </c>
      <c r="H336" s="21" t="s">
        <v>54</v>
      </c>
      <c r="I336" s="21" t="s">
        <v>47</v>
      </c>
      <c r="J336" s="21" t="s">
        <v>67</v>
      </c>
      <c r="K336" s="5814" t="s">
        <v>6960</v>
      </c>
    </row>
    <row r="337" spans="1:11">
      <c r="A337" s="21" t="s">
        <v>3974</v>
      </c>
      <c r="B337" s="21" t="s">
        <v>9740</v>
      </c>
      <c r="C337" s="21" t="s">
        <v>22</v>
      </c>
      <c r="D337" s="21" t="s">
        <v>1114</v>
      </c>
      <c r="E337" s="21" t="s">
        <v>61</v>
      </c>
      <c r="F337" s="5812">
        <v>2</v>
      </c>
      <c r="G337" s="5813">
        <v>0.12638888888888888</v>
      </c>
      <c r="H337" s="21" t="s">
        <v>54</v>
      </c>
      <c r="I337" s="21" t="s">
        <v>47</v>
      </c>
      <c r="J337" s="21" t="s">
        <v>67</v>
      </c>
      <c r="K337" s="5814" t="s">
        <v>9741</v>
      </c>
    </row>
    <row r="338" spans="1:11">
      <c r="A338" s="21" t="s">
        <v>4568</v>
      </c>
      <c r="B338" s="21" t="s">
        <v>9742</v>
      </c>
      <c r="C338" s="21" t="s">
        <v>8</v>
      </c>
      <c r="D338" s="21" t="s">
        <v>1114</v>
      </c>
      <c r="E338" s="21" t="s">
        <v>61</v>
      </c>
      <c r="F338" s="5812">
        <v>2</v>
      </c>
      <c r="G338" s="5813">
        <v>0.15069444444444444</v>
      </c>
      <c r="H338" s="21" t="s">
        <v>54</v>
      </c>
      <c r="I338" s="21" t="s">
        <v>2297</v>
      </c>
      <c r="J338" s="21" t="s">
        <v>67</v>
      </c>
      <c r="K338" s="5814" t="s">
        <v>9743</v>
      </c>
    </row>
    <row r="339" spans="1:11">
      <c r="A339" s="21" t="s">
        <v>5264</v>
      </c>
      <c r="B339" s="21" t="s">
        <v>9744</v>
      </c>
      <c r="C339" s="21" t="s">
        <v>22</v>
      </c>
      <c r="D339" s="21" t="s">
        <v>1114</v>
      </c>
      <c r="E339" s="21" t="s">
        <v>61</v>
      </c>
      <c r="F339" s="5812">
        <v>3</v>
      </c>
      <c r="G339" s="5813">
        <v>0.11041666666666666</v>
      </c>
      <c r="H339" s="21" t="s">
        <v>54</v>
      </c>
      <c r="I339" s="21" t="s">
        <v>2297</v>
      </c>
      <c r="J339" s="21" t="s">
        <v>67</v>
      </c>
      <c r="K339" s="5814" t="s">
        <v>9745</v>
      </c>
    </row>
    <row r="340" spans="1:11">
      <c r="A340" s="21" t="s">
        <v>2420</v>
      </c>
      <c r="B340" s="21" t="s">
        <v>9746</v>
      </c>
      <c r="C340" s="21" t="s">
        <v>22</v>
      </c>
      <c r="D340" s="21" t="s">
        <v>1114</v>
      </c>
      <c r="E340" s="21" t="s">
        <v>61</v>
      </c>
      <c r="F340" s="5812">
        <v>5</v>
      </c>
      <c r="G340" s="5813">
        <v>0.18888888888888888</v>
      </c>
      <c r="H340" s="21" t="s">
        <v>54</v>
      </c>
      <c r="I340" s="21" t="s">
        <v>47</v>
      </c>
      <c r="J340" s="21" t="s">
        <v>67</v>
      </c>
      <c r="K340" s="5814" t="s">
        <v>9747</v>
      </c>
    </row>
  </sheetData>
  <hyperlinks>
    <hyperlink ref="K4" r:id="rId1" xr:uid="{00000000-0004-0000-1000-000000000000}"/>
    <hyperlink ref="K5" r:id="rId2" xr:uid="{00000000-0004-0000-1000-000001000000}"/>
    <hyperlink ref="K6" r:id="rId3" xr:uid="{00000000-0004-0000-1000-000002000000}"/>
    <hyperlink ref="K7" r:id="rId4" xr:uid="{00000000-0004-0000-1000-000003000000}"/>
    <hyperlink ref="K8" r:id="rId5" xr:uid="{00000000-0004-0000-1000-000004000000}"/>
    <hyperlink ref="K9" r:id="rId6" xr:uid="{00000000-0004-0000-1000-000005000000}"/>
    <hyperlink ref="K10" r:id="rId7" xr:uid="{00000000-0004-0000-1000-000006000000}"/>
    <hyperlink ref="K11" r:id="rId8" xr:uid="{00000000-0004-0000-1000-000007000000}"/>
    <hyperlink ref="K12" r:id="rId9" xr:uid="{00000000-0004-0000-1000-000008000000}"/>
    <hyperlink ref="K13" r:id="rId10" xr:uid="{00000000-0004-0000-1000-000009000000}"/>
    <hyperlink ref="K14" r:id="rId11" xr:uid="{00000000-0004-0000-1000-00000A000000}"/>
    <hyperlink ref="K15" r:id="rId12" xr:uid="{00000000-0004-0000-1000-00000B000000}"/>
    <hyperlink ref="K16" r:id="rId13" xr:uid="{00000000-0004-0000-1000-00000C000000}"/>
    <hyperlink ref="K17" r:id="rId14" xr:uid="{00000000-0004-0000-1000-00000D000000}"/>
    <hyperlink ref="K18" r:id="rId15" xr:uid="{00000000-0004-0000-1000-00000E000000}"/>
    <hyperlink ref="K19" r:id="rId16" xr:uid="{00000000-0004-0000-1000-00000F000000}"/>
    <hyperlink ref="K20" r:id="rId17" xr:uid="{00000000-0004-0000-1000-000010000000}"/>
    <hyperlink ref="K21" r:id="rId18" xr:uid="{00000000-0004-0000-1000-000011000000}"/>
    <hyperlink ref="K22" r:id="rId19" xr:uid="{00000000-0004-0000-1000-000012000000}"/>
    <hyperlink ref="K23" r:id="rId20" xr:uid="{00000000-0004-0000-1000-000013000000}"/>
    <hyperlink ref="K24" r:id="rId21" xr:uid="{00000000-0004-0000-1000-000014000000}"/>
    <hyperlink ref="K25" r:id="rId22" xr:uid="{00000000-0004-0000-1000-000015000000}"/>
    <hyperlink ref="K26" r:id="rId23" xr:uid="{00000000-0004-0000-1000-000016000000}"/>
    <hyperlink ref="K27" r:id="rId24" xr:uid="{00000000-0004-0000-1000-000017000000}"/>
    <hyperlink ref="K28" r:id="rId25" xr:uid="{00000000-0004-0000-1000-000018000000}"/>
    <hyperlink ref="K29" r:id="rId26" xr:uid="{00000000-0004-0000-1000-000019000000}"/>
    <hyperlink ref="K30" r:id="rId27" xr:uid="{00000000-0004-0000-1000-00001A000000}"/>
    <hyperlink ref="K31" r:id="rId28" xr:uid="{00000000-0004-0000-1000-00001B000000}"/>
    <hyperlink ref="K32" r:id="rId29" xr:uid="{00000000-0004-0000-1000-00001C000000}"/>
    <hyperlink ref="K33" r:id="rId30" xr:uid="{00000000-0004-0000-1000-00001D000000}"/>
    <hyperlink ref="K34" r:id="rId31" xr:uid="{00000000-0004-0000-1000-00001E000000}"/>
    <hyperlink ref="K35" r:id="rId32" xr:uid="{00000000-0004-0000-1000-00001F000000}"/>
    <hyperlink ref="K36" r:id="rId33" xr:uid="{00000000-0004-0000-1000-000020000000}"/>
    <hyperlink ref="K37" r:id="rId34" xr:uid="{00000000-0004-0000-1000-000021000000}"/>
    <hyperlink ref="K38" r:id="rId35" xr:uid="{00000000-0004-0000-1000-000022000000}"/>
    <hyperlink ref="K39" r:id="rId36" xr:uid="{00000000-0004-0000-1000-000023000000}"/>
    <hyperlink ref="K40" r:id="rId37" xr:uid="{00000000-0004-0000-1000-000024000000}"/>
    <hyperlink ref="K41" r:id="rId38" xr:uid="{00000000-0004-0000-1000-000025000000}"/>
    <hyperlink ref="K42" r:id="rId39" xr:uid="{00000000-0004-0000-1000-000026000000}"/>
    <hyperlink ref="K43" r:id="rId40" xr:uid="{00000000-0004-0000-1000-000027000000}"/>
    <hyperlink ref="K44" r:id="rId41" xr:uid="{00000000-0004-0000-1000-000028000000}"/>
    <hyperlink ref="K45" r:id="rId42" xr:uid="{00000000-0004-0000-1000-000029000000}"/>
    <hyperlink ref="K46" r:id="rId43" xr:uid="{00000000-0004-0000-1000-00002A000000}"/>
    <hyperlink ref="K47" r:id="rId44" xr:uid="{00000000-0004-0000-1000-00002B000000}"/>
    <hyperlink ref="K48" r:id="rId45" xr:uid="{00000000-0004-0000-1000-00002C000000}"/>
    <hyperlink ref="K49" r:id="rId46" xr:uid="{00000000-0004-0000-1000-00002D000000}"/>
    <hyperlink ref="K50" r:id="rId47" xr:uid="{00000000-0004-0000-1000-00002E000000}"/>
    <hyperlink ref="K51" r:id="rId48" xr:uid="{00000000-0004-0000-1000-00002F000000}"/>
    <hyperlink ref="K52" r:id="rId49" xr:uid="{00000000-0004-0000-1000-000030000000}"/>
    <hyperlink ref="K53" r:id="rId50" xr:uid="{00000000-0004-0000-1000-000031000000}"/>
    <hyperlink ref="K54" r:id="rId51" xr:uid="{00000000-0004-0000-1000-000032000000}"/>
    <hyperlink ref="K55" r:id="rId52" xr:uid="{00000000-0004-0000-1000-000033000000}"/>
    <hyperlink ref="K56" r:id="rId53" xr:uid="{00000000-0004-0000-1000-000034000000}"/>
    <hyperlink ref="K57" r:id="rId54" xr:uid="{00000000-0004-0000-1000-000035000000}"/>
    <hyperlink ref="K58" r:id="rId55" xr:uid="{00000000-0004-0000-1000-000036000000}"/>
    <hyperlink ref="K59" r:id="rId56" xr:uid="{00000000-0004-0000-1000-000037000000}"/>
    <hyperlink ref="K60" r:id="rId57" xr:uid="{00000000-0004-0000-1000-000038000000}"/>
    <hyperlink ref="K61" r:id="rId58" xr:uid="{00000000-0004-0000-1000-000039000000}"/>
    <hyperlink ref="K62" r:id="rId59" xr:uid="{00000000-0004-0000-1000-00003A000000}"/>
    <hyperlink ref="K63" r:id="rId60" xr:uid="{00000000-0004-0000-1000-00003B000000}"/>
    <hyperlink ref="K64" r:id="rId61" xr:uid="{00000000-0004-0000-1000-00003C000000}"/>
    <hyperlink ref="K65" r:id="rId62" xr:uid="{00000000-0004-0000-1000-00003D000000}"/>
    <hyperlink ref="K66" r:id="rId63" xr:uid="{00000000-0004-0000-1000-00003E000000}"/>
    <hyperlink ref="K67" r:id="rId64" xr:uid="{00000000-0004-0000-1000-00003F000000}"/>
    <hyperlink ref="K68" r:id="rId65" xr:uid="{00000000-0004-0000-1000-000040000000}"/>
    <hyperlink ref="K69" r:id="rId66" xr:uid="{00000000-0004-0000-1000-000041000000}"/>
    <hyperlink ref="K70" r:id="rId67" xr:uid="{00000000-0004-0000-1000-000042000000}"/>
    <hyperlink ref="K71" r:id="rId68" xr:uid="{00000000-0004-0000-1000-000043000000}"/>
    <hyperlink ref="K72" r:id="rId69" xr:uid="{00000000-0004-0000-1000-000044000000}"/>
    <hyperlink ref="K73" r:id="rId70" xr:uid="{00000000-0004-0000-1000-000045000000}"/>
    <hyperlink ref="K74" r:id="rId71" xr:uid="{00000000-0004-0000-1000-000046000000}"/>
    <hyperlink ref="K75" r:id="rId72" xr:uid="{00000000-0004-0000-1000-000047000000}"/>
    <hyperlink ref="K76" r:id="rId73" xr:uid="{00000000-0004-0000-1000-000048000000}"/>
    <hyperlink ref="K77" r:id="rId74" xr:uid="{00000000-0004-0000-1000-000049000000}"/>
    <hyperlink ref="K78" r:id="rId75" xr:uid="{00000000-0004-0000-1000-00004A000000}"/>
    <hyperlink ref="K79" r:id="rId76" xr:uid="{00000000-0004-0000-1000-00004B000000}"/>
    <hyperlink ref="K80" r:id="rId77" xr:uid="{00000000-0004-0000-1000-00004C000000}"/>
    <hyperlink ref="K81" r:id="rId78" xr:uid="{00000000-0004-0000-1000-00004D000000}"/>
    <hyperlink ref="K82" r:id="rId79" xr:uid="{00000000-0004-0000-1000-00004E000000}"/>
    <hyperlink ref="K83" r:id="rId80" xr:uid="{00000000-0004-0000-1000-00004F000000}"/>
    <hyperlink ref="K84" r:id="rId81" xr:uid="{00000000-0004-0000-1000-000050000000}"/>
    <hyperlink ref="K85" r:id="rId82" xr:uid="{00000000-0004-0000-1000-000051000000}"/>
    <hyperlink ref="K86" r:id="rId83" xr:uid="{00000000-0004-0000-1000-000052000000}"/>
    <hyperlink ref="K87" r:id="rId84" xr:uid="{00000000-0004-0000-1000-000053000000}"/>
    <hyperlink ref="K88" r:id="rId85" xr:uid="{00000000-0004-0000-1000-000054000000}"/>
    <hyperlink ref="K89" r:id="rId86" xr:uid="{00000000-0004-0000-1000-000055000000}"/>
    <hyperlink ref="K90" r:id="rId87" xr:uid="{00000000-0004-0000-1000-000056000000}"/>
    <hyperlink ref="K91" r:id="rId88" xr:uid="{00000000-0004-0000-1000-000057000000}"/>
    <hyperlink ref="K92" r:id="rId89" xr:uid="{00000000-0004-0000-1000-000058000000}"/>
    <hyperlink ref="K93" r:id="rId90" xr:uid="{00000000-0004-0000-1000-000059000000}"/>
    <hyperlink ref="K94" r:id="rId91" xr:uid="{00000000-0004-0000-1000-00005A000000}"/>
    <hyperlink ref="K95" r:id="rId92" xr:uid="{00000000-0004-0000-1000-00005B000000}"/>
    <hyperlink ref="K96" r:id="rId93" xr:uid="{00000000-0004-0000-1000-00005C000000}"/>
    <hyperlink ref="K97" r:id="rId94" xr:uid="{00000000-0004-0000-1000-00005D000000}"/>
    <hyperlink ref="K98" r:id="rId95" xr:uid="{00000000-0004-0000-1000-00005E000000}"/>
    <hyperlink ref="K99" r:id="rId96" xr:uid="{00000000-0004-0000-1000-00005F000000}"/>
    <hyperlink ref="K100" r:id="rId97" xr:uid="{00000000-0004-0000-1000-000060000000}"/>
    <hyperlink ref="K101" r:id="rId98" xr:uid="{00000000-0004-0000-1000-000061000000}"/>
    <hyperlink ref="K102" r:id="rId99" xr:uid="{00000000-0004-0000-1000-000062000000}"/>
    <hyperlink ref="K103" r:id="rId100" xr:uid="{00000000-0004-0000-1000-000063000000}"/>
    <hyperlink ref="K104" r:id="rId101" xr:uid="{00000000-0004-0000-1000-000064000000}"/>
    <hyperlink ref="K105" r:id="rId102" xr:uid="{00000000-0004-0000-1000-000065000000}"/>
    <hyperlink ref="K106" r:id="rId103" xr:uid="{00000000-0004-0000-1000-000066000000}"/>
    <hyperlink ref="K107" r:id="rId104" xr:uid="{00000000-0004-0000-1000-000067000000}"/>
    <hyperlink ref="K108" r:id="rId105" xr:uid="{00000000-0004-0000-1000-000068000000}"/>
    <hyperlink ref="K109" r:id="rId106" xr:uid="{00000000-0004-0000-1000-000069000000}"/>
    <hyperlink ref="K110" r:id="rId107" xr:uid="{00000000-0004-0000-1000-00006A000000}"/>
    <hyperlink ref="K111" r:id="rId108" xr:uid="{00000000-0004-0000-1000-00006B000000}"/>
    <hyperlink ref="K112" r:id="rId109" xr:uid="{00000000-0004-0000-1000-00006C000000}"/>
    <hyperlink ref="K113" r:id="rId110" xr:uid="{00000000-0004-0000-1000-00006D000000}"/>
    <hyperlink ref="K114" r:id="rId111" xr:uid="{00000000-0004-0000-1000-00006E000000}"/>
    <hyperlink ref="K115" r:id="rId112" xr:uid="{00000000-0004-0000-1000-00006F000000}"/>
    <hyperlink ref="K116" r:id="rId113" xr:uid="{00000000-0004-0000-1000-000070000000}"/>
    <hyperlink ref="K117" r:id="rId114" xr:uid="{00000000-0004-0000-1000-000071000000}"/>
    <hyperlink ref="K118" r:id="rId115" xr:uid="{00000000-0004-0000-1000-000072000000}"/>
    <hyperlink ref="K119" r:id="rId116" xr:uid="{00000000-0004-0000-1000-000073000000}"/>
    <hyperlink ref="K120" r:id="rId117" xr:uid="{00000000-0004-0000-1000-000074000000}"/>
    <hyperlink ref="K121" r:id="rId118" xr:uid="{00000000-0004-0000-1000-000075000000}"/>
    <hyperlink ref="K122" r:id="rId119" xr:uid="{00000000-0004-0000-1000-000076000000}"/>
    <hyperlink ref="K123" r:id="rId120" xr:uid="{00000000-0004-0000-1000-000077000000}"/>
    <hyperlink ref="K124" r:id="rId121" xr:uid="{00000000-0004-0000-1000-000078000000}"/>
    <hyperlink ref="K125" r:id="rId122" xr:uid="{00000000-0004-0000-1000-000079000000}"/>
    <hyperlink ref="K126" r:id="rId123" xr:uid="{00000000-0004-0000-1000-00007A000000}"/>
    <hyperlink ref="K127" r:id="rId124" xr:uid="{00000000-0004-0000-1000-00007B000000}"/>
    <hyperlink ref="K128" r:id="rId125" xr:uid="{00000000-0004-0000-1000-00007C000000}"/>
    <hyperlink ref="K129" r:id="rId126" xr:uid="{00000000-0004-0000-1000-00007D000000}"/>
    <hyperlink ref="K130" r:id="rId127" xr:uid="{00000000-0004-0000-1000-00007E000000}"/>
    <hyperlink ref="K131" r:id="rId128" xr:uid="{00000000-0004-0000-1000-00007F000000}"/>
    <hyperlink ref="K132" r:id="rId129" xr:uid="{00000000-0004-0000-1000-000080000000}"/>
    <hyperlink ref="K133" r:id="rId130" xr:uid="{00000000-0004-0000-1000-000081000000}"/>
    <hyperlink ref="K134" r:id="rId131" xr:uid="{00000000-0004-0000-1000-000082000000}"/>
    <hyperlink ref="K135" r:id="rId132" xr:uid="{00000000-0004-0000-1000-000083000000}"/>
    <hyperlink ref="K136" r:id="rId133" xr:uid="{00000000-0004-0000-1000-000084000000}"/>
    <hyperlink ref="K137" r:id="rId134" xr:uid="{00000000-0004-0000-1000-000085000000}"/>
    <hyperlink ref="K138" r:id="rId135" xr:uid="{00000000-0004-0000-1000-000086000000}"/>
    <hyperlink ref="K139" r:id="rId136" xr:uid="{00000000-0004-0000-1000-000087000000}"/>
    <hyperlink ref="K140" r:id="rId137" xr:uid="{00000000-0004-0000-1000-000088000000}"/>
    <hyperlink ref="K141" r:id="rId138" xr:uid="{00000000-0004-0000-1000-000089000000}"/>
    <hyperlink ref="K142" r:id="rId139" xr:uid="{00000000-0004-0000-1000-00008A000000}"/>
    <hyperlink ref="K143" r:id="rId140" xr:uid="{00000000-0004-0000-1000-00008B000000}"/>
    <hyperlink ref="K144" r:id="rId141" xr:uid="{00000000-0004-0000-1000-00008C000000}"/>
    <hyperlink ref="K145" r:id="rId142" xr:uid="{00000000-0004-0000-1000-00008D000000}"/>
    <hyperlink ref="K146" r:id="rId143" xr:uid="{00000000-0004-0000-1000-00008E000000}"/>
    <hyperlink ref="K147" r:id="rId144" xr:uid="{00000000-0004-0000-1000-00008F000000}"/>
    <hyperlink ref="K148" r:id="rId145" xr:uid="{00000000-0004-0000-1000-000090000000}"/>
    <hyperlink ref="K149" r:id="rId146" xr:uid="{00000000-0004-0000-1000-000091000000}"/>
    <hyperlink ref="K150" r:id="rId147" xr:uid="{00000000-0004-0000-1000-000092000000}"/>
    <hyperlink ref="K151" r:id="rId148" xr:uid="{00000000-0004-0000-1000-000093000000}"/>
    <hyperlink ref="K152" r:id="rId149" xr:uid="{00000000-0004-0000-1000-000094000000}"/>
    <hyperlink ref="K153" r:id="rId150" xr:uid="{00000000-0004-0000-1000-000095000000}"/>
    <hyperlink ref="K154" r:id="rId151" xr:uid="{00000000-0004-0000-1000-000096000000}"/>
    <hyperlink ref="K155" r:id="rId152" xr:uid="{00000000-0004-0000-1000-000097000000}"/>
    <hyperlink ref="K156" r:id="rId153" xr:uid="{00000000-0004-0000-1000-000098000000}"/>
    <hyperlink ref="K157" r:id="rId154" xr:uid="{00000000-0004-0000-1000-000099000000}"/>
    <hyperlink ref="K158" r:id="rId155" xr:uid="{00000000-0004-0000-1000-00009A000000}"/>
    <hyperlink ref="K159" r:id="rId156" xr:uid="{00000000-0004-0000-1000-00009B000000}"/>
    <hyperlink ref="K160" r:id="rId157" xr:uid="{00000000-0004-0000-1000-00009C000000}"/>
    <hyperlink ref="K161" r:id="rId158" xr:uid="{00000000-0004-0000-1000-00009D000000}"/>
    <hyperlink ref="K162" r:id="rId159" xr:uid="{00000000-0004-0000-1000-00009E000000}"/>
    <hyperlink ref="K163" r:id="rId160" xr:uid="{00000000-0004-0000-1000-00009F000000}"/>
    <hyperlink ref="K164" r:id="rId161" xr:uid="{00000000-0004-0000-1000-0000A0000000}"/>
    <hyperlink ref="K165" r:id="rId162" xr:uid="{00000000-0004-0000-1000-0000A1000000}"/>
    <hyperlink ref="K166" r:id="rId163" xr:uid="{00000000-0004-0000-1000-0000A2000000}"/>
    <hyperlink ref="K167" r:id="rId164" xr:uid="{00000000-0004-0000-1000-0000A3000000}"/>
    <hyperlink ref="K168" r:id="rId165" xr:uid="{00000000-0004-0000-1000-0000A4000000}"/>
    <hyperlink ref="K169" r:id="rId166" xr:uid="{00000000-0004-0000-1000-0000A5000000}"/>
    <hyperlink ref="K170" r:id="rId167" xr:uid="{00000000-0004-0000-1000-0000A6000000}"/>
    <hyperlink ref="K171" r:id="rId168" xr:uid="{00000000-0004-0000-1000-0000A7000000}"/>
    <hyperlink ref="K172" r:id="rId169" xr:uid="{00000000-0004-0000-1000-0000A8000000}"/>
    <hyperlink ref="K173" r:id="rId170" xr:uid="{00000000-0004-0000-1000-0000A9000000}"/>
    <hyperlink ref="K174" r:id="rId171" xr:uid="{00000000-0004-0000-1000-0000AA000000}"/>
    <hyperlink ref="K175" r:id="rId172" xr:uid="{00000000-0004-0000-1000-0000AB000000}"/>
    <hyperlink ref="K176" r:id="rId173" xr:uid="{00000000-0004-0000-1000-0000AC000000}"/>
    <hyperlink ref="K177" r:id="rId174" xr:uid="{00000000-0004-0000-1000-0000AD000000}"/>
    <hyperlink ref="K178" r:id="rId175" xr:uid="{00000000-0004-0000-1000-0000AE000000}"/>
    <hyperlink ref="K179" r:id="rId176" xr:uid="{00000000-0004-0000-1000-0000AF000000}"/>
    <hyperlink ref="K180" r:id="rId177" xr:uid="{00000000-0004-0000-1000-0000B0000000}"/>
    <hyperlink ref="K181" r:id="rId178" xr:uid="{00000000-0004-0000-1000-0000B1000000}"/>
    <hyperlink ref="K182" r:id="rId179" xr:uid="{00000000-0004-0000-1000-0000B2000000}"/>
    <hyperlink ref="K183" r:id="rId180" xr:uid="{00000000-0004-0000-1000-0000B3000000}"/>
    <hyperlink ref="K184" r:id="rId181" xr:uid="{00000000-0004-0000-1000-0000B4000000}"/>
    <hyperlink ref="K185" r:id="rId182" xr:uid="{00000000-0004-0000-1000-0000B5000000}"/>
    <hyperlink ref="K186" r:id="rId183" xr:uid="{00000000-0004-0000-1000-0000B6000000}"/>
    <hyperlink ref="K187" r:id="rId184" xr:uid="{00000000-0004-0000-1000-0000B7000000}"/>
    <hyperlink ref="K188" r:id="rId185" xr:uid="{00000000-0004-0000-1000-0000B8000000}"/>
    <hyperlink ref="K189" r:id="rId186" xr:uid="{00000000-0004-0000-1000-0000B9000000}"/>
    <hyperlink ref="K190" r:id="rId187" xr:uid="{00000000-0004-0000-1000-0000BA000000}"/>
    <hyperlink ref="K191" r:id="rId188" xr:uid="{00000000-0004-0000-1000-0000BB000000}"/>
    <hyperlink ref="K192" r:id="rId189" xr:uid="{00000000-0004-0000-1000-0000BC000000}"/>
    <hyperlink ref="K193" r:id="rId190" xr:uid="{00000000-0004-0000-1000-0000BD000000}"/>
    <hyperlink ref="K194" r:id="rId191" xr:uid="{00000000-0004-0000-1000-0000BE000000}"/>
    <hyperlink ref="K195" r:id="rId192" xr:uid="{00000000-0004-0000-1000-0000BF000000}"/>
    <hyperlink ref="K196" r:id="rId193" xr:uid="{00000000-0004-0000-1000-0000C0000000}"/>
    <hyperlink ref="K197" r:id="rId194" xr:uid="{00000000-0004-0000-1000-0000C1000000}"/>
    <hyperlink ref="K198" r:id="rId195" xr:uid="{00000000-0004-0000-1000-0000C2000000}"/>
    <hyperlink ref="K199" r:id="rId196" xr:uid="{00000000-0004-0000-1000-0000C3000000}"/>
    <hyperlink ref="K200" r:id="rId197" xr:uid="{00000000-0004-0000-1000-0000C4000000}"/>
    <hyperlink ref="K201" r:id="rId198" xr:uid="{00000000-0004-0000-1000-0000C5000000}"/>
    <hyperlink ref="K202" r:id="rId199" xr:uid="{00000000-0004-0000-1000-0000C6000000}"/>
    <hyperlink ref="K203" r:id="rId200" xr:uid="{00000000-0004-0000-1000-0000C7000000}"/>
    <hyperlink ref="K204" r:id="rId201" xr:uid="{00000000-0004-0000-1000-0000C8000000}"/>
    <hyperlink ref="K205" r:id="rId202" xr:uid="{00000000-0004-0000-1000-0000C9000000}"/>
    <hyperlink ref="K206" r:id="rId203" xr:uid="{00000000-0004-0000-1000-0000CA000000}"/>
    <hyperlink ref="K207" r:id="rId204" xr:uid="{00000000-0004-0000-1000-0000CB000000}"/>
    <hyperlink ref="K208" r:id="rId205" xr:uid="{00000000-0004-0000-1000-0000CC000000}"/>
    <hyperlink ref="K209" r:id="rId206" xr:uid="{00000000-0004-0000-1000-0000CD000000}"/>
    <hyperlink ref="K210" r:id="rId207" xr:uid="{00000000-0004-0000-1000-0000CE000000}"/>
    <hyperlink ref="K211" r:id="rId208" xr:uid="{00000000-0004-0000-1000-0000CF000000}"/>
    <hyperlink ref="K212" r:id="rId209" xr:uid="{00000000-0004-0000-1000-0000D0000000}"/>
    <hyperlink ref="K213" r:id="rId210" xr:uid="{00000000-0004-0000-1000-0000D1000000}"/>
    <hyperlink ref="K214" r:id="rId211" xr:uid="{00000000-0004-0000-1000-0000D2000000}"/>
    <hyperlink ref="K215" r:id="rId212" xr:uid="{00000000-0004-0000-1000-0000D3000000}"/>
    <hyperlink ref="K216" r:id="rId213" xr:uid="{00000000-0004-0000-1000-0000D4000000}"/>
    <hyperlink ref="K217" r:id="rId214" xr:uid="{00000000-0004-0000-1000-0000D5000000}"/>
    <hyperlink ref="K218" r:id="rId215" xr:uid="{00000000-0004-0000-1000-0000D6000000}"/>
    <hyperlink ref="K219" r:id="rId216" xr:uid="{00000000-0004-0000-1000-0000D7000000}"/>
    <hyperlink ref="K220" r:id="rId217" xr:uid="{00000000-0004-0000-1000-0000D8000000}"/>
    <hyperlink ref="K221" r:id="rId218" xr:uid="{00000000-0004-0000-1000-0000D9000000}"/>
    <hyperlink ref="K222" r:id="rId219" xr:uid="{00000000-0004-0000-1000-0000DA000000}"/>
    <hyperlink ref="K223" r:id="rId220" xr:uid="{00000000-0004-0000-1000-0000DB000000}"/>
    <hyperlink ref="K224" r:id="rId221" xr:uid="{00000000-0004-0000-1000-0000DC000000}"/>
    <hyperlink ref="K225" r:id="rId222" xr:uid="{00000000-0004-0000-1000-0000DD000000}"/>
    <hyperlink ref="K226" r:id="rId223" xr:uid="{00000000-0004-0000-1000-0000DE000000}"/>
    <hyperlink ref="K227" r:id="rId224" xr:uid="{00000000-0004-0000-1000-0000DF000000}"/>
    <hyperlink ref="K228" r:id="rId225" xr:uid="{00000000-0004-0000-1000-0000E0000000}"/>
    <hyperlink ref="K229" r:id="rId226" xr:uid="{00000000-0004-0000-1000-0000E1000000}"/>
    <hyperlink ref="K230" r:id="rId227" xr:uid="{00000000-0004-0000-1000-0000E2000000}"/>
    <hyperlink ref="K231" r:id="rId228" xr:uid="{00000000-0004-0000-1000-0000E3000000}"/>
    <hyperlink ref="K232" r:id="rId229" xr:uid="{00000000-0004-0000-1000-0000E4000000}"/>
    <hyperlink ref="K233" r:id="rId230" xr:uid="{00000000-0004-0000-1000-0000E5000000}"/>
    <hyperlink ref="K234" r:id="rId231" xr:uid="{00000000-0004-0000-1000-0000E6000000}"/>
    <hyperlink ref="K235" r:id="rId232" xr:uid="{00000000-0004-0000-1000-0000E7000000}"/>
    <hyperlink ref="K236" r:id="rId233" xr:uid="{00000000-0004-0000-1000-0000E8000000}"/>
    <hyperlink ref="K237" r:id="rId234" xr:uid="{00000000-0004-0000-1000-0000E9000000}"/>
    <hyperlink ref="K238" r:id="rId235" xr:uid="{00000000-0004-0000-1000-0000EA000000}"/>
    <hyperlink ref="K239" r:id="rId236" xr:uid="{00000000-0004-0000-1000-0000EB000000}"/>
    <hyperlink ref="K240" r:id="rId237" xr:uid="{00000000-0004-0000-1000-0000EC000000}"/>
    <hyperlink ref="K241" r:id="rId238" xr:uid="{00000000-0004-0000-1000-0000ED000000}"/>
    <hyperlink ref="K242" r:id="rId239" xr:uid="{00000000-0004-0000-1000-0000EE000000}"/>
    <hyperlink ref="K243" r:id="rId240" xr:uid="{00000000-0004-0000-1000-0000EF000000}"/>
    <hyperlink ref="K244" r:id="rId241" xr:uid="{00000000-0004-0000-1000-0000F0000000}"/>
    <hyperlink ref="K245" r:id="rId242" xr:uid="{00000000-0004-0000-1000-0000F1000000}"/>
    <hyperlink ref="K246" r:id="rId243" xr:uid="{00000000-0004-0000-1000-0000F2000000}"/>
    <hyperlink ref="K247" r:id="rId244" xr:uid="{00000000-0004-0000-1000-0000F3000000}"/>
    <hyperlink ref="K248" r:id="rId245" xr:uid="{00000000-0004-0000-1000-0000F4000000}"/>
    <hyperlink ref="K249" r:id="rId246" xr:uid="{00000000-0004-0000-1000-0000F5000000}"/>
    <hyperlink ref="K250" r:id="rId247" xr:uid="{00000000-0004-0000-1000-0000F6000000}"/>
    <hyperlink ref="K251" r:id="rId248" xr:uid="{00000000-0004-0000-1000-0000F7000000}"/>
    <hyperlink ref="K252" r:id="rId249" xr:uid="{00000000-0004-0000-1000-0000F8000000}"/>
    <hyperlink ref="K253" r:id="rId250" xr:uid="{00000000-0004-0000-1000-0000F9000000}"/>
    <hyperlink ref="K254" r:id="rId251" xr:uid="{00000000-0004-0000-1000-0000FA000000}"/>
    <hyperlink ref="K255" r:id="rId252" xr:uid="{00000000-0004-0000-1000-0000FB000000}"/>
    <hyperlink ref="K256" r:id="rId253" xr:uid="{00000000-0004-0000-1000-0000FC000000}"/>
    <hyperlink ref="K257" r:id="rId254" xr:uid="{00000000-0004-0000-1000-0000FD000000}"/>
    <hyperlink ref="K258" r:id="rId255" xr:uid="{00000000-0004-0000-1000-0000FE000000}"/>
    <hyperlink ref="K259" r:id="rId256" xr:uid="{00000000-0004-0000-1000-0000FF000000}"/>
    <hyperlink ref="K260" r:id="rId257" xr:uid="{00000000-0004-0000-1000-000000010000}"/>
    <hyperlink ref="K261" r:id="rId258" xr:uid="{00000000-0004-0000-1000-000001010000}"/>
    <hyperlink ref="K262" r:id="rId259" xr:uid="{00000000-0004-0000-1000-000002010000}"/>
    <hyperlink ref="K263" r:id="rId260" xr:uid="{00000000-0004-0000-1000-000003010000}"/>
    <hyperlink ref="K264" r:id="rId261" xr:uid="{00000000-0004-0000-1000-000004010000}"/>
    <hyperlink ref="K265" r:id="rId262" xr:uid="{00000000-0004-0000-1000-000005010000}"/>
    <hyperlink ref="K266" r:id="rId263" xr:uid="{00000000-0004-0000-1000-000006010000}"/>
    <hyperlink ref="K267" r:id="rId264" xr:uid="{00000000-0004-0000-1000-000007010000}"/>
    <hyperlink ref="K268" r:id="rId265" xr:uid="{00000000-0004-0000-1000-000008010000}"/>
    <hyperlink ref="K269" r:id="rId266" xr:uid="{00000000-0004-0000-1000-000009010000}"/>
    <hyperlink ref="K270" r:id="rId267" xr:uid="{00000000-0004-0000-1000-00000A010000}"/>
    <hyperlink ref="K271" r:id="rId268" xr:uid="{00000000-0004-0000-1000-00000B010000}"/>
    <hyperlink ref="K272" r:id="rId269" xr:uid="{00000000-0004-0000-1000-00000C010000}"/>
    <hyperlink ref="K273" r:id="rId270" xr:uid="{00000000-0004-0000-1000-00000D010000}"/>
    <hyperlink ref="K274" r:id="rId271" xr:uid="{00000000-0004-0000-1000-00000E010000}"/>
    <hyperlink ref="K275" r:id="rId272" xr:uid="{00000000-0004-0000-1000-00000F010000}"/>
    <hyperlink ref="K276" r:id="rId273" xr:uid="{00000000-0004-0000-1000-000010010000}"/>
    <hyperlink ref="K277" r:id="rId274" xr:uid="{00000000-0004-0000-1000-000011010000}"/>
    <hyperlink ref="K278" r:id="rId275" xr:uid="{00000000-0004-0000-1000-000012010000}"/>
    <hyperlink ref="K279" r:id="rId276" xr:uid="{00000000-0004-0000-1000-000013010000}"/>
    <hyperlink ref="K280" r:id="rId277" xr:uid="{00000000-0004-0000-1000-000014010000}"/>
    <hyperlink ref="K281" r:id="rId278" xr:uid="{00000000-0004-0000-1000-000015010000}"/>
    <hyperlink ref="K282" r:id="rId279" xr:uid="{00000000-0004-0000-1000-000016010000}"/>
    <hyperlink ref="K283" r:id="rId280" xr:uid="{00000000-0004-0000-1000-000017010000}"/>
    <hyperlink ref="K284" r:id="rId281" xr:uid="{00000000-0004-0000-1000-000018010000}"/>
    <hyperlink ref="K285" r:id="rId282" xr:uid="{00000000-0004-0000-1000-000019010000}"/>
    <hyperlink ref="K286" r:id="rId283" xr:uid="{00000000-0004-0000-1000-00001A010000}"/>
    <hyperlink ref="K287" r:id="rId284" xr:uid="{00000000-0004-0000-1000-00001B010000}"/>
    <hyperlink ref="K288" r:id="rId285" xr:uid="{00000000-0004-0000-1000-00001C010000}"/>
    <hyperlink ref="K289" r:id="rId286" xr:uid="{00000000-0004-0000-1000-00001D010000}"/>
    <hyperlink ref="K290" r:id="rId287" xr:uid="{00000000-0004-0000-1000-00001E010000}"/>
    <hyperlink ref="K291" r:id="rId288" xr:uid="{00000000-0004-0000-1000-00001F010000}"/>
    <hyperlink ref="K292" r:id="rId289" xr:uid="{00000000-0004-0000-1000-000020010000}"/>
    <hyperlink ref="K293" r:id="rId290" xr:uid="{00000000-0004-0000-1000-000021010000}"/>
    <hyperlink ref="K294" r:id="rId291" xr:uid="{00000000-0004-0000-1000-000022010000}"/>
    <hyperlink ref="K295" r:id="rId292" xr:uid="{00000000-0004-0000-1000-000023010000}"/>
    <hyperlink ref="K296" r:id="rId293" xr:uid="{00000000-0004-0000-1000-000024010000}"/>
    <hyperlink ref="K297" r:id="rId294" xr:uid="{00000000-0004-0000-1000-000025010000}"/>
    <hyperlink ref="K298" r:id="rId295" xr:uid="{00000000-0004-0000-1000-000026010000}"/>
    <hyperlink ref="K299" r:id="rId296" xr:uid="{00000000-0004-0000-1000-000027010000}"/>
    <hyperlink ref="K300" r:id="rId297" xr:uid="{00000000-0004-0000-1000-000028010000}"/>
    <hyperlink ref="K301" r:id="rId298" xr:uid="{00000000-0004-0000-1000-000029010000}"/>
    <hyperlink ref="K302" r:id="rId299" xr:uid="{00000000-0004-0000-1000-00002A010000}"/>
    <hyperlink ref="K303" r:id="rId300" xr:uid="{00000000-0004-0000-1000-00002B010000}"/>
    <hyperlink ref="K304" r:id="rId301" xr:uid="{00000000-0004-0000-1000-00002C010000}"/>
    <hyperlink ref="K305" r:id="rId302" xr:uid="{00000000-0004-0000-1000-00002D010000}"/>
    <hyperlink ref="K306" r:id="rId303" xr:uid="{00000000-0004-0000-1000-00002E010000}"/>
    <hyperlink ref="K307" r:id="rId304" xr:uid="{00000000-0004-0000-1000-00002F010000}"/>
    <hyperlink ref="K308" r:id="rId305" xr:uid="{00000000-0004-0000-1000-000030010000}"/>
    <hyperlink ref="K309" r:id="rId306" xr:uid="{00000000-0004-0000-1000-000031010000}"/>
    <hyperlink ref="K310" r:id="rId307" xr:uid="{00000000-0004-0000-1000-000032010000}"/>
    <hyperlink ref="K311" r:id="rId308" xr:uid="{00000000-0004-0000-1000-000033010000}"/>
    <hyperlink ref="K312" r:id="rId309" xr:uid="{00000000-0004-0000-1000-000034010000}"/>
    <hyperlink ref="K313" r:id="rId310" xr:uid="{00000000-0004-0000-1000-000035010000}"/>
    <hyperlink ref="K314" r:id="rId311" xr:uid="{00000000-0004-0000-1000-000036010000}"/>
    <hyperlink ref="K315" r:id="rId312" xr:uid="{00000000-0004-0000-1000-000037010000}"/>
    <hyperlink ref="K316" r:id="rId313" xr:uid="{00000000-0004-0000-1000-000038010000}"/>
    <hyperlink ref="K317" r:id="rId314" xr:uid="{00000000-0004-0000-1000-000039010000}"/>
    <hyperlink ref="K318" r:id="rId315" xr:uid="{00000000-0004-0000-1000-00003A010000}"/>
    <hyperlink ref="K319" r:id="rId316" xr:uid="{00000000-0004-0000-1000-00003B010000}"/>
    <hyperlink ref="K320" r:id="rId317" xr:uid="{00000000-0004-0000-1000-00003C010000}"/>
    <hyperlink ref="K321" r:id="rId318" xr:uid="{00000000-0004-0000-1000-00003D010000}"/>
    <hyperlink ref="K322" r:id="rId319" xr:uid="{00000000-0004-0000-1000-00003E010000}"/>
    <hyperlink ref="K323" r:id="rId320" xr:uid="{00000000-0004-0000-1000-00003F010000}"/>
    <hyperlink ref="K324" r:id="rId321" xr:uid="{00000000-0004-0000-1000-000040010000}"/>
    <hyperlink ref="K325" r:id="rId322" xr:uid="{00000000-0004-0000-1000-000041010000}"/>
    <hyperlink ref="K326" r:id="rId323" xr:uid="{00000000-0004-0000-1000-000042010000}"/>
    <hyperlink ref="K327" r:id="rId324" xr:uid="{00000000-0004-0000-1000-000043010000}"/>
    <hyperlink ref="K328" r:id="rId325" xr:uid="{00000000-0004-0000-1000-000044010000}"/>
    <hyperlink ref="K329" r:id="rId326" xr:uid="{00000000-0004-0000-1000-000045010000}"/>
    <hyperlink ref="K330" r:id="rId327" xr:uid="{00000000-0004-0000-1000-000046010000}"/>
    <hyperlink ref="K331" r:id="rId328" xr:uid="{00000000-0004-0000-1000-000047010000}"/>
    <hyperlink ref="K332" r:id="rId329" xr:uid="{00000000-0004-0000-1000-000048010000}"/>
    <hyperlink ref="K333" r:id="rId330" xr:uid="{00000000-0004-0000-1000-000049010000}"/>
    <hyperlink ref="K334" r:id="rId331" xr:uid="{00000000-0004-0000-1000-00004A010000}"/>
    <hyperlink ref="K335" r:id="rId332" xr:uid="{00000000-0004-0000-1000-00004B010000}"/>
    <hyperlink ref="K336" r:id="rId333" xr:uid="{00000000-0004-0000-1000-00004C010000}"/>
    <hyperlink ref="K337" r:id="rId334" xr:uid="{00000000-0004-0000-1000-00004D010000}"/>
    <hyperlink ref="K338" r:id="rId335" xr:uid="{00000000-0004-0000-1000-00004E010000}"/>
    <hyperlink ref="K339" r:id="rId336" xr:uid="{00000000-0004-0000-1000-00004F010000}"/>
    <hyperlink ref="K340" r:id="rId337" xr:uid="{00000000-0004-0000-1000-00005001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BC487"/>
  <sheetViews>
    <sheetView workbookViewId="0"/>
  </sheetViews>
  <sheetFormatPr defaultColWidth="12.5703125" defaultRowHeight="15.75" customHeight="1"/>
  <cols>
    <col min="1" max="1" width="25.7109375" customWidth="1"/>
    <col min="2" max="2" width="37.5703125" customWidth="1"/>
    <col min="4" max="4" width="30.28515625" customWidth="1"/>
    <col min="5" max="5" width="21.42578125" customWidth="1"/>
  </cols>
  <sheetData>
    <row r="1" spans="1:55">
      <c r="A1" s="5815" t="s">
        <v>13059</v>
      </c>
      <c r="B1" s="5815" t="s">
        <v>13060</v>
      </c>
      <c r="C1" s="5815" t="s">
        <v>13063</v>
      </c>
      <c r="D1" s="5815" t="s">
        <v>13064</v>
      </c>
      <c r="E1" s="5815" t="s">
        <v>13065</v>
      </c>
      <c r="F1" s="5815" t="s">
        <v>13060</v>
      </c>
      <c r="G1" s="5815" t="s">
        <v>1523</v>
      </c>
      <c r="H1" s="5815" t="s">
        <v>46</v>
      </c>
      <c r="I1" s="5815" t="s">
        <v>1522</v>
      </c>
      <c r="J1" s="5815" t="s">
        <v>13062</v>
      </c>
      <c r="K1" s="5815"/>
      <c r="L1" s="5815"/>
      <c r="M1" s="5815"/>
      <c r="N1" s="5815"/>
      <c r="O1" s="5815"/>
      <c r="P1" s="5815"/>
      <c r="Q1" s="5815"/>
      <c r="R1" s="5815"/>
      <c r="S1" s="5815"/>
      <c r="T1" s="5816"/>
      <c r="U1" s="5815"/>
      <c r="V1" s="5815"/>
      <c r="W1" s="5815"/>
      <c r="X1" s="5815"/>
      <c r="Y1" s="5815"/>
      <c r="Z1" s="5815"/>
      <c r="AA1" s="5815"/>
      <c r="AB1" s="5815"/>
      <c r="AC1" s="5815"/>
      <c r="AD1" s="5815"/>
      <c r="AE1" s="5815"/>
      <c r="AF1" s="5815"/>
      <c r="AG1" s="5815"/>
      <c r="AH1" s="5815"/>
      <c r="AI1" s="5815"/>
      <c r="AJ1" s="5815"/>
      <c r="AK1" s="5815"/>
      <c r="AL1" s="5815"/>
      <c r="AM1" s="5815"/>
      <c r="AN1" s="5815"/>
      <c r="AO1" s="5815"/>
      <c r="AP1" s="5815"/>
      <c r="AQ1" s="5815"/>
      <c r="AR1" s="5815"/>
      <c r="AS1" s="5815"/>
      <c r="AT1" s="5815"/>
      <c r="AU1" s="5815"/>
      <c r="AV1" s="5815"/>
      <c r="AW1" s="5815"/>
      <c r="AX1" s="5815"/>
      <c r="AY1" s="5815"/>
      <c r="AZ1" s="5815"/>
      <c r="BA1" s="5815"/>
      <c r="BB1" s="5815"/>
      <c r="BC1" s="620"/>
    </row>
    <row r="2" spans="1:55">
      <c r="A2" s="5817">
        <f>COUNTA(A4:A999)</f>
        <v>484</v>
      </c>
      <c r="B2" s="5822">
        <f>COUNTIF($E$3:$E$800, "Decision*")</f>
        <v>201</v>
      </c>
      <c r="C2" s="5818">
        <f>SUM(B2/$A$2)</f>
        <v>0.41528925619834711</v>
      </c>
      <c r="D2" s="5818">
        <f t="shared" ref="D2:E2" si="0">SUM(G2/$A$2)</f>
        <v>0.18388429752066116</v>
      </c>
      <c r="E2" s="5818">
        <f t="shared" si="0"/>
        <v>0.39462809917355374</v>
      </c>
      <c r="F2" s="5822">
        <f>COUNTIF($E$3:$E$999, "Decision*")</f>
        <v>201</v>
      </c>
      <c r="G2" s="5823">
        <f>COUNTIF($E$3:$E$999, "Submission")</f>
        <v>89</v>
      </c>
      <c r="H2" s="5817">
        <f>COUNTIF($E$3:$E$1000, "KO/TKO")</f>
        <v>191</v>
      </c>
      <c r="I2" s="5823">
        <f>COUNTIF($E$3:$E$999, "Decision - Unanimous")</f>
        <v>151</v>
      </c>
      <c r="J2" s="5819">
        <f>COUNTIF($E$3:$E$999, "Decision - Split")</f>
        <v>50</v>
      </c>
      <c r="K2" s="5824"/>
      <c r="L2" s="5820"/>
      <c r="M2" s="5820"/>
      <c r="N2" s="5820"/>
      <c r="O2" s="5820"/>
      <c r="P2" s="5820"/>
      <c r="Q2" s="5820"/>
      <c r="R2" s="5820"/>
      <c r="S2" s="5820"/>
      <c r="T2" s="5821"/>
      <c r="U2" s="5820"/>
      <c r="V2" s="5820"/>
      <c r="W2" s="5820"/>
      <c r="X2" s="5820"/>
      <c r="Y2" s="5820"/>
      <c r="Z2" s="5820"/>
      <c r="AA2" s="5820"/>
      <c r="AB2" s="5820"/>
      <c r="AC2" s="5820"/>
      <c r="AD2" s="5820"/>
      <c r="AE2" s="5820"/>
      <c r="AF2" s="5820"/>
      <c r="AG2" s="5820"/>
      <c r="AH2" s="5820"/>
      <c r="AI2" s="5820"/>
      <c r="AJ2" s="5820"/>
      <c r="AK2" s="5820"/>
      <c r="AL2" s="5820"/>
      <c r="AM2" s="5820"/>
      <c r="AN2" s="5820"/>
      <c r="AO2" s="5820"/>
      <c r="AP2" s="5820"/>
      <c r="AQ2" s="5820"/>
      <c r="AR2" s="5820"/>
      <c r="AS2" s="5820"/>
      <c r="AT2" s="5820"/>
      <c r="AU2" s="5820"/>
      <c r="AV2" s="5820"/>
      <c r="AW2" s="5820"/>
      <c r="AX2" s="5820"/>
      <c r="AY2" s="5820"/>
      <c r="AZ2" s="5820"/>
      <c r="BA2" s="5820"/>
      <c r="BB2" s="5820"/>
      <c r="BC2" s="620"/>
    </row>
    <row r="3" spans="1:55">
      <c r="A3" s="21" t="s">
        <v>2034</v>
      </c>
      <c r="B3" s="21" t="s">
        <v>2035</v>
      </c>
      <c r="C3" s="21" t="s">
        <v>2036</v>
      </c>
      <c r="D3" s="21" t="s">
        <v>2037</v>
      </c>
      <c r="E3" s="21" t="s">
        <v>2038</v>
      </c>
      <c r="F3" s="21" t="s">
        <v>2039</v>
      </c>
      <c r="G3" s="21" t="s">
        <v>2040</v>
      </c>
      <c r="H3" s="21" t="s">
        <v>2041</v>
      </c>
      <c r="I3" s="21" t="s">
        <v>2042</v>
      </c>
      <c r="J3" s="21" t="s">
        <v>2043</v>
      </c>
      <c r="K3" s="21" t="s">
        <v>2044</v>
      </c>
    </row>
    <row r="4" spans="1:55">
      <c r="A4" s="21" t="s">
        <v>4003</v>
      </c>
      <c r="B4" s="21" t="s">
        <v>8476</v>
      </c>
      <c r="C4" s="21" t="s">
        <v>8</v>
      </c>
      <c r="D4" s="21" t="s">
        <v>944</v>
      </c>
      <c r="E4" s="21" t="s">
        <v>193</v>
      </c>
      <c r="F4" s="5812">
        <v>3</v>
      </c>
      <c r="G4" s="5813">
        <v>0.20833333333333334</v>
      </c>
      <c r="H4" s="21" t="s">
        <v>10</v>
      </c>
      <c r="I4" s="21" t="s">
        <v>23</v>
      </c>
      <c r="J4" s="21" t="s">
        <v>8477</v>
      </c>
      <c r="K4" s="5814" t="s">
        <v>8478</v>
      </c>
    </row>
    <row r="5" spans="1:55">
      <c r="A5" s="21" t="s">
        <v>3026</v>
      </c>
      <c r="B5" s="21" t="s">
        <v>8479</v>
      </c>
      <c r="C5" s="21" t="s">
        <v>8</v>
      </c>
      <c r="D5" s="21" t="s">
        <v>944</v>
      </c>
      <c r="E5" s="21" t="s">
        <v>193</v>
      </c>
      <c r="F5" s="5812">
        <v>3</v>
      </c>
      <c r="G5" s="5813">
        <v>0.20833333333333334</v>
      </c>
      <c r="H5" s="21" t="s">
        <v>10</v>
      </c>
      <c r="I5" s="21" t="s">
        <v>23</v>
      </c>
      <c r="J5" s="21" t="s">
        <v>8480</v>
      </c>
      <c r="K5" s="5814" t="s">
        <v>8481</v>
      </c>
    </row>
    <row r="6" spans="1:55">
      <c r="A6" s="21" t="s">
        <v>3369</v>
      </c>
      <c r="B6" s="21" t="s">
        <v>8482</v>
      </c>
      <c r="C6" s="21" t="s">
        <v>709</v>
      </c>
      <c r="D6" s="21" t="s">
        <v>944</v>
      </c>
      <c r="E6" s="21" t="s">
        <v>193</v>
      </c>
      <c r="F6" s="5812">
        <v>3</v>
      </c>
      <c r="G6" s="5813">
        <v>0.20833333333333334</v>
      </c>
      <c r="H6" s="21" t="s">
        <v>10</v>
      </c>
      <c r="I6" s="21" t="s">
        <v>23</v>
      </c>
      <c r="J6" s="21" t="s">
        <v>8483</v>
      </c>
      <c r="K6" s="5814" t="s">
        <v>8484</v>
      </c>
    </row>
    <row r="7" spans="1:55">
      <c r="A7" s="21" t="s">
        <v>311</v>
      </c>
      <c r="B7" s="21" t="s">
        <v>1058</v>
      </c>
      <c r="C7" s="21" t="s">
        <v>22</v>
      </c>
      <c r="D7" s="21" t="s">
        <v>944</v>
      </c>
      <c r="E7" s="21" t="s">
        <v>193</v>
      </c>
      <c r="F7" s="5812">
        <v>5</v>
      </c>
      <c r="G7" s="5813">
        <v>0.20833333333333334</v>
      </c>
      <c r="H7" s="21" t="s">
        <v>54</v>
      </c>
      <c r="I7" s="21" t="s">
        <v>55</v>
      </c>
      <c r="J7" s="21" t="s">
        <v>1059</v>
      </c>
      <c r="K7" s="5814" t="s">
        <v>1060</v>
      </c>
    </row>
    <row r="8" spans="1:55">
      <c r="A8" s="21" t="s">
        <v>185</v>
      </c>
      <c r="B8" s="21" t="s">
        <v>963</v>
      </c>
      <c r="C8" s="21" t="s">
        <v>8</v>
      </c>
      <c r="D8" s="21" t="s">
        <v>944</v>
      </c>
      <c r="E8" s="21" t="s">
        <v>193</v>
      </c>
      <c r="F8" s="5812">
        <v>3</v>
      </c>
      <c r="G8" s="5813">
        <v>0.20833333333333334</v>
      </c>
      <c r="H8" s="21" t="s">
        <v>10</v>
      </c>
      <c r="I8" s="21" t="s">
        <v>194</v>
      </c>
      <c r="J8" s="21" t="s">
        <v>964</v>
      </c>
      <c r="K8" s="5814" t="s">
        <v>965</v>
      </c>
    </row>
    <row r="9" spans="1:55">
      <c r="A9" s="21" t="s">
        <v>52</v>
      </c>
      <c r="B9" s="21" t="s">
        <v>1063</v>
      </c>
      <c r="C9" s="21" t="s">
        <v>22</v>
      </c>
      <c r="D9" s="21" t="s">
        <v>944</v>
      </c>
      <c r="E9" s="21" t="s">
        <v>193</v>
      </c>
      <c r="F9" s="5812">
        <v>3</v>
      </c>
      <c r="G9" s="5813">
        <v>0.20833333333333334</v>
      </c>
      <c r="H9" s="21" t="s">
        <v>10</v>
      </c>
      <c r="I9" s="21" t="s">
        <v>23</v>
      </c>
      <c r="J9" s="21" t="s">
        <v>1064</v>
      </c>
      <c r="K9" s="5814" t="s">
        <v>1065</v>
      </c>
    </row>
    <row r="10" spans="1:55">
      <c r="A10" s="21" t="s">
        <v>2300</v>
      </c>
      <c r="B10" s="21" t="s">
        <v>8485</v>
      </c>
      <c r="C10" s="21" t="s">
        <v>8</v>
      </c>
      <c r="D10" s="21" t="s">
        <v>944</v>
      </c>
      <c r="E10" s="21" t="s">
        <v>193</v>
      </c>
      <c r="F10" s="5812">
        <v>3</v>
      </c>
      <c r="G10" s="5813">
        <v>0.20833333333333334</v>
      </c>
      <c r="H10" s="21" t="s">
        <v>10</v>
      </c>
      <c r="I10" s="21" t="s">
        <v>55</v>
      </c>
      <c r="J10" s="21" t="s">
        <v>8486</v>
      </c>
      <c r="K10" s="5814" t="s">
        <v>8487</v>
      </c>
    </row>
    <row r="11" spans="1:55">
      <c r="A11" s="21" t="s">
        <v>2284</v>
      </c>
      <c r="B11" s="21" t="s">
        <v>8488</v>
      </c>
      <c r="C11" s="21" t="s">
        <v>22</v>
      </c>
      <c r="D11" s="21" t="s">
        <v>944</v>
      </c>
      <c r="E11" s="21" t="s">
        <v>193</v>
      </c>
      <c r="F11" s="5812">
        <v>3</v>
      </c>
      <c r="G11" s="5813">
        <v>0.20833333333333334</v>
      </c>
      <c r="H11" s="21" t="s">
        <v>10</v>
      </c>
      <c r="I11" s="21" t="s">
        <v>73</v>
      </c>
      <c r="J11" s="21" t="s">
        <v>8489</v>
      </c>
      <c r="K11" s="5814" t="s">
        <v>8490</v>
      </c>
    </row>
    <row r="12" spans="1:55">
      <c r="A12" s="21" t="s">
        <v>2424</v>
      </c>
      <c r="B12" s="21" t="s">
        <v>8491</v>
      </c>
      <c r="C12" s="21" t="s">
        <v>22</v>
      </c>
      <c r="D12" s="21" t="s">
        <v>944</v>
      </c>
      <c r="E12" s="21" t="s">
        <v>193</v>
      </c>
      <c r="F12" s="5812">
        <v>3</v>
      </c>
      <c r="G12" s="5813">
        <v>0.20833333333333334</v>
      </c>
      <c r="H12" s="21" t="s">
        <v>10</v>
      </c>
      <c r="I12" s="21" t="s">
        <v>96</v>
      </c>
      <c r="J12" s="21" t="s">
        <v>8492</v>
      </c>
      <c r="K12" s="5814" t="s">
        <v>8493</v>
      </c>
    </row>
    <row r="13" spans="1:55">
      <c r="A13" s="21" t="s">
        <v>3559</v>
      </c>
      <c r="B13" s="21" t="s">
        <v>8494</v>
      </c>
      <c r="C13" s="21" t="s">
        <v>8</v>
      </c>
      <c r="D13" s="21" t="s">
        <v>944</v>
      </c>
      <c r="E13" s="21" t="s">
        <v>193</v>
      </c>
      <c r="F13" s="5812">
        <v>3</v>
      </c>
      <c r="G13" s="5813">
        <v>0.20833333333333334</v>
      </c>
      <c r="H13" s="21" t="s">
        <v>10</v>
      </c>
      <c r="I13" s="21" t="s">
        <v>96</v>
      </c>
      <c r="J13" s="21" t="s">
        <v>8495</v>
      </c>
      <c r="K13" s="5814" t="s">
        <v>8496</v>
      </c>
    </row>
    <row r="14" spans="1:55">
      <c r="A14" s="21" t="s">
        <v>2446</v>
      </c>
      <c r="B14" s="21" t="s">
        <v>8497</v>
      </c>
      <c r="C14" s="21" t="s">
        <v>8</v>
      </c>
      <c r="D14" s="21" t="s">
        <v>944</v>
      </c>
      <c r="E14" s="21" t="s">
        <v>193</v>
      </c>
      <c r="F14" s="5812">
        <v>3</v>
      </c>
      <c r="G14" s="5813">
        <v>0.20833333333333334</v>
      </c>
      <c r="H14" s="21" t="s">
        <v>10</v>
      </c>
      <c r="I14" s="21" t="s">
        <v>55</v>
      </c>
      <c r="J14" s="21" t="s">
        <v>8498</v>
      </c>
      <c r="K14" s="5814" t="s">
        <v>8499</v>
      </c>
    </row>
    <row r="15" spans="1:55">
      <c r="A15" s="21" t="s">
        <v>3434</v>
      </c>
      <c r="B15" s="21" t="s">
        <v>8500</v>
      </c>
      <c r="C15" s="21" t="s">
        <v>22</v>
      </c>
      <c r="D15" s="21" t="s">
        <v>944</v>
      </c>
      <c r="E15" s="21" t="s">
        <v>193</v>
      </c>
      <c r="F15" s="5812">
        <v>3</v>
      </c>
      <c r="G15" s="5813">
        <v>0.20833333333333334</v>
      </c>
      <c r="H15" s="21" t="s">
        <v>10</v>
      </c>
      <c r="I15" s="21" t="s">
        <v>39</v>
      </c>
      <c r="J15" s="21" t="s">
        <v>8501</v>
      </c>
      <c r="K15" s="5814" t="s">
        <v>8502</v>
      </c>
    </row>
    <row r="16" spans="1:55">
      <c r="A16" s="21" t="s">
        <v>2982</v>
      </c>
      <c r="B16" s="21" t="s">
        <v>8503</v>
      </c>
      <c r="C16" s="21" t="s">
        <v>22</v>
      </c>
      <c r="D16" s="21" t="s">
        <v>944</v>
      </c>
      <c r="E16" s="21" t="s">
        <v>193</v>
      </c>
      <c r="F16" s="5812">
        <v>3</v>
      </c>
      <c r="G16" s="5813">
        <v>0.20833333333333334</v>
      </c>
      <c r="H16" s="21" t="s">
        <v>10</v>
      </c>
      <c r="I16" s="21" t="s">
        <v>55</v>
      </c>
      <c r="J16" s="21" t="s">
        <v>8504</v>
      </c>
      <c r="K16" s="5814" t="s">
        <v>8505</v>
      </c>
    </row>
    <row r="17" spans="1:11">
      <c r="A17" s="21" t="s">
        <v>2079</v>
      </c>
      <c r="B17" s="21" t="s">
        <v>8506</v>
      </c>
      <c r="C17" s="21" t="s">
        <v>22</v>
      </c>
      <c r="D17" s="21" t="s">
        <v>944</v>
      </c>
      <c r="E17" s="21" t="s">
        <v>193</v>
      </c>
      <c r="F17" s="5812">
        <v>3</v>
      </c>
      <c r="G17" s="5813">
        <v>0.20833333333333334</v>
      </c>
      <c r="H17" s="21" t="s">
        <v>10</v>
      </c>
      <c r="I17" s="21" t="s">
        <v>23</v>
      </c>
      <c r="J17" s="21" t="s">
        <v>8507</v>
      </c>
      <c r="K17" s="5814" t="s">
        <v>8508</v>
      </c>
    </row>
    <row r="18" spans="1:11">
      <c r="A18" s="21" t="s">
        <v>3235</v>
      </c>
      <c r="B18" s="21" t="s">
        <v>8509</v>
      </c>
      <c r="C18" s="21" t="s">
        <v>22</v>
      </c>
      <c r="D18" s="21" t="s">
        <v>944</v>
      </c>
      <c r="E18" s="21" t="s">
        <v>193</v>
      </c>
      <c r="F18" s="5812">
        <v>3</v>
      </c>
      <c r="G18" s="5813">
        <v>0.20833333333333334</v>
      </c>
      <c r="H18" s="21" t="s">
        <v>10</v>
      </c>
      <c r="I18" s="21" t="s">
        <v>47</v>
      </c>
      <c r="J18" s="21" t="s">
        <v>8510</v>
      </c>
      <c r="K18" s="5814" t="s">
        <v>8511</v>
      </c>
    </row>
    <row r="19" spans="1:11">
      <c r="A19" s="21" t="s">
        <v>2131</v>
      </c>
      <c r="B19" s="21" t="s">
        <v>8512</v>
      </c>
      <c r="C19" s="21" t="s">
        <v>8</v>
      </c>
      <c r="D19" s="21" t="s">
        <v>944</v>
      </c>
      <c r="E19" s="21" t="s">
        <v>193</v>
      </c>
      <c r="F19" s="5812">
        <v>3</v>
      </c>
      <c r="G19" s="5813">
        <v>0.20833333333333334</v>
      </c>
      <c r="H19" s="21" t="s">
        <v>10</v>
      </c>
      <c r="I19" s="21" t="s">
        <v>39</v>
      </c>
      <c r="J19" s="21" t="s">
        <v>8513</v>
      </c>
      <c r="K19" s="5814" t="s">
        <v>8514</v>
      </c>
    </row>
    <row r="20" spans="1:11">
      <c r="A20" s="21" t="s">
        <v>2143</v>
      </c>
      <c r="B20" s="21" t="s">
        <v>8515</v>
      </c>
      <c r="C20" s="21" t="s">
        <v>8</v>
      </c>
      <c r="D20" s="21" t="s">
        <v>944</v>
      </c>
      <c r="E20" s="21" t="s">
        <v>193</v>
      </c>
      <c r="F20" s="5812">
        <v>3</v>
      </c>
      <c r="G20" s="5813">
        <v>0.20833333333333334</v>
      </c>
      <c r="H20" s="21" t="s">
        <v>10</v>
      </c>
      <c r="I20" s="21" t="s">
        <v>654</v>
      </c>
      <c r="J20" s="21" t="s">
        <v>8516</v>
      </c>
      <c r="K20" s="5814" t="s">
        <v>8517</v>
      </c>
    </row>
    <row r="21" spans="1:11">
      <c r="A21" s="21" t="s">
        <v>3720</v>
      </c>
      <c r="B21" s="21" t="s">
        <v>8518</v>
      </c>
      <c r="C21" s="21" t="s">
        <v>22</v>
      </c>
      <c r="D21" s="21" t="s">
        <v>944</v>
      </c>
      <c r="E21" s="21" t="s">
        <v>193</v>
      </c>
      <c r="F21" s="5812">
        <v>3</v>
      </c>
      <c r="G21" s="5813">
        <v>0.20833333333333334</v>
      </c>
      <c r="H21" s="21" t="s">
        <v>10</v>
      </c>
      <c r="I21" s="21" t="s">
        <v>187</v>
      </c>
      <c r="J21" s="21" t="s">
        <v>8519</v>
      </c>
      <c r="K21" s="5814" t="s">
        <v>8520</v>
      </c>
    </row>
    <row r="22" spans="1:11">
      <c r="A22" s="21" t="s">
        <v>2992</v>
      </c>
      <c r="B22" s="21" t="s">
        <v>8521</v>
      </c>
      <c r="C22" s="21" t="s">
        <v>22</v>
      </c>
      <c r="D22" s="21" t="s">
        <v>944</v>
      </c>
      <c r="E22" s="21" t="s">
        <v>193</v>
      </c>
      <c r="F22" s="5812">
        <v>3</v>
      </c>
      <c r="G22" s="5813">
        <v>0.20833333333333334</v>
      </c>
      <c r="H22" s="21" t="s">
        <v>10</v>
      </c>
      <c r="I22" s="21" t="s">
        <v>4146</v>
      </c>
      <c r="J22" s="21" t="s">
        <v>8522</v>
      </c>
      <c r="K22" s="5814" t="s">
        <v>8523</v>
      </c>
    </row>
    <row r="23" spans="1:11">
      <c r="A23" s="21" t="s">
        <v>3208</v>
      </c>
      <c r="B23" s="21" t="s">
        <v>8524</v>
      </c>
      <c r="C23" s="21" t="s">
        <v>8</v>
      </c>
      <c r="D23" s="21" t="s">
        <v>944</v>
      </c>
      <c r="E23" s="21" t="s">
        <v>193</v>
      </c>
      <c r="F23" s="5812">
        <v>3</v>
      </c>
      <c r="G23" s="5813">
        <v>0.20833333333333334</v>
      </c>
      <c r="H23" s="21" t="s">
        <v>10</v>
      </c>
      <c r="I23" s="21" t="s">
        <v>187</v>
      </c>
      <c r="J23" s="21" t="s">
        <v>8525</v>
      </c>
      <c r="K23" s="5814" t="s">
        <v>8526</v>
      </c>
    </row>
    <row r="24" spans="1:11">
      <c r="A24" s="21" t="s">
        <v>2165</v>
      </c>
      <c r="B24" s="21" t="s">
        <v>8527</v>
      </c>
      <c r="C24" s="21" t="s">
        <v>8</v>
      </c>
      <c r="D24" s="21" t="s">
        <v>944</v>
      </c>
      <c r="E24" s="21" t="s">
        <v>193</v>
      </c>
      <c r="F24" s="5812">
        <v>3</v>
      </c>
      <c r="G24" s="5813">
        <v>0.20833333333333334</v>
      </c>
      <c r="H24" s="21" t="s">
        <v>10</v>
      </c>
      <c r="I24" s="21" t="s">
        <v>400</v>
      </c>
      <c r="J24" s="21" t="s">
        <v>8528</v>
      </c>
      <c r="K24" s="5814" t="s">
        <v>8529</v>
      </c>
    </row>
    <row r="25" spans="1:11">
      <c r="A25" s="21" t="s">
        <v>4724</v>
      </c>
      <c r="B25" s="21" t="s">
        <v>8530</v>
      </c>
      <c r="C25" s="21" t="s">
        <v>22</v>
      </c>
      <c r="D25" s="21" t="s">
        <v>944</v>
      </c>
      <c r="E25" s="21" t="s">
        <v>193</v>
      </c>
      <c r="F25" s="5812">
        <v>3</v>
      </c>
      <c r="G25" s="5813">
        <v>0.20833333333333334</v>
      </c>
      <c r="H25" s="21" t="s">
        <v>10</v>
      </c>
      <c r="I25" s="21" t="s">
        <v>55</v>
      </c>
      <c r="J25" s="21" t="s">
        <v>8531</v>
      </c>
      <c r="K25" s="5814" t="s">
        <v>8532</v>
      </c>
    </row>
    <row r="26" spans="1:11">
      <c r="A26" s="21" t="s">
        <v>2595</v>
      </c>
      <c r="B26" s="21" t="s">
        <v>8533</v>
      </c>
      <c r="C26" s="21" t="s">
        <v>8</v>
      </c>
      <c r="D26" s="21" t="s">
        <v>944</v>
      </c>
      <c r="E26" s="21" t="s">
        <v>193</v>
      </c>
      <c r="F26" s="5812">
        <v>3</v>
      </c>
      <c r="G26" s="5813">
        <v>0.20833333333333334</v>
      </c>
      <c r="H26" s="21" t="s">
        <v>10</v>
      </c>
      <c r="I26" s="21" t="s">
        <v>2692</v>
      </c>
      <c r="J26" s="21" t="s">
        <v>8534</v>
      </c>
      <c r="K26" s="5814" t="s">
        <v>8535</v>
      </c>
    </row>
    <row r="27" spans="1:11">
      <c r="A27" s="21" t="s">
        <v>2630</v>
      </c>
      <c r="B27" s="21" t="s">
        <v>8536</v>
      </c>
      <c r="C27" s="21" t="s">
        <v>8</v>
      </c>
      <c r="D27" s="21" t="s">
        <v>944</v>
      </c>
      <c r="E27" s="21" t="s">
        <v>193</v>
      </c>
      <c r="F27" s="5812">
        <v>3</v>
      </c>
      <c r="G27" s="5813">
        <v>0.20833333333333334</v>
      </c>
      <c r="H27" s="21" t="s">
        <v>10</v>
      </c>
      <c r="I27" s="21" t="s">
        <v>226</v>
      </c>
      <c r="J27" s="21" t="s">
        <v>8537</v>
      </c>
      <c r="K27" s="5814" t="s">
        <v>8538</v>
      </c>
    </row>
    <row r="28" spans="1:11">
      <c r="A28" s="21" t="s">
        <v>3395</v>
      </c>
      <c r="B28" s="21" t="s">
        <v>8539</v>
      </c>
      <c r="C28" s="21" t="s">
        <v>8</v>
      </c>
      <c r="D28" s="21" t="s">
        <v>944</v>
      </c>
      <c r="E28" s="21" t="s">
        <v>193</v>
      </c>
      <c r="F28" s="5812">
        <v>3</v>
      </c>
      <c r="G28" s="5813">
        <v>0.20833333333333334</v>
      </c>
      <c r="H28" s="21" t="s">
        <v>10</v>
      </c>
      <c r="I28" s="21" t="s">
        <v>47</v>
      </c>
      <c r="J28" s="21" t="s">
        <v>8540</v>
      </c>
      <c r="K28" s="5814" t="s">
        <v>8541</v>
      </c>
    </row>
    <row r="29" spans="1:11">
      <c r="A29" s="21" t="s">
        <v>2668</v>
      </c>
      <c r="B29" s="21" t="s">
        <v>8542</v>
      </c>
      <c r="C29" s="21" t="s">
        <v>8</v>
      </c>
      <c r="D29" s="21" t="s">
        <v>944</v>
      </c>
      <c r="E29" s="21" t="s">
        <v>193</v>
      </c>
      <c r="F29" s="5812">
        <v>3</v>
      </c>
      <c r="G29" s="5813">
        <v>0.20833333333333334</v>
      </c>
      <c r="H29" s="21" t="s">
        <v>10</v>
      </c>
      <c r="I29" s="21" t="s">
        <v>400</v>
      </c>
      <c r="J29" s="21" t="s">
        <v>8543</v>
      </c>
      <c r="K29" s="5814" t="s">
        <v>8544</v>
      </c>
    </row>
    <row r="30" spans="1:11">
      <c r="A30" s="21" t="s">
        <v>3002</v>
      </c>
      <c r="B30" s="21" t="s">
        <v>8545</v>
      </c>
      <c r="C30" s="21" t="s">
        <v>22</v>
      </c>
      <c r="D30" s="21" t="s">
        <v>944</v>
      </c>
      <c r="E30" s="21" t="s">
        <v>193</v>
      </c>
      <c r="F30" s="5812">
        <v>3</v>
      </c>
      <c r="G30" s="5813">
        <v>0.20833333333333334</v>
      </c>
      <c r="H30" s="21" t="s">
        <v>10</v>
      </c>
      <c r="I30" s="21" t="s">
        <v>39</v>
      </c>
      <c r="J30" s="21" t="s">
        <v>8546</v>
      </c>
      <c r="K30" s="5814" t="s">
        <v>8547</v>
      </c>
    </row>
    <row r="31" spans="1:11">
      <c r="A31" s="21" t="s">
        <v>3647</v>
      </c>
      <c r="B31" s="21" t="s">
        <v>8548</v>
      </c>
      <c r="C31" s="21" t="s">
        <v>8</v>
      </c>
      <c r="D31" s="21" t="s">
        <v>944</v>
      </c>
      <c r="E31" s="21" t="s">
        <v>193</v>
      </c>
      <c r="F31" s="5812">
        <v>3</v>
      </c>
      <c r="G31" s="5813">
        <v>0.20833333333333334</v>
      </c>
      <c r="H31" s="21" t="s">
        <v>10</v>
      </c>
      <c r="I31" s="21" t="s">
        <v>23</v>
      </c>
      <c r="J31" s="21" t="s">
        <v>8549</v>
      </c>
      <c r="K31" s="5814" t="s">
        <v>8550</v>
      </c>
    </row>
    <row r="32" spans="1:11">
      <c r="A32" s="21" t="s">
        <v>3217</v>
      </c>
      <c r="B32" s="21" t="s">
        <v>8551</v>
      </c>
      <c r="C32" s="21" t="s">
        <v>22</v>
      </c>
      <c r="D32" s="21" t="s">
        <v>944</v>
      </c>
      <c r="E32" s="21" t="s">
        <v>193</v>
      </c>
      <c r="F32" s="5812">
        <v>3</v>
      </c>
      <c r="G32" s="5813">
        <v>0.20833333333333334</v>
      </c>
      <c r="H32" s="21" t="s">
        <v>10</v>
      </c>
      <c r="I32" s="21" t="s">
        <v>2713</v>
      </c>
      <c r="J32" s="21" t="s">
        <v>8552</v>
      </c>
      <c r="K32" s="5814" t="s">
        <v>8553</v>
      </c>
    </row>
    <row r="33" spans="1:11">
      <c r="A33" s="21" t="s">
        <v>2724</v>
      </c>
      <c r="B33" s="21" t="s">
        <v>8554</v>
      </c>
      <c r="C33" s="21" t="s">
        <v>8</v>
      </c>
      <c r="D33" s="21" t="s">
        <v>944</v>
      </c>
      <c r="E33" s="21" t="s">
        <v>193</v>
      </c>
      <c r="F33" s="5812">
        <v>3</v>
      </c>
      <c r="G33" s="5813">
        <v>0.20833333333333334</v>
      </c>
      <c r="H33" s="21" t="s">
        <v>10</v>
      </c>
      <c r="I33" s="21" t="s">
        <v>55</v>
      </c>
      <c r="J33" s="21" t="s">
        <v>8555</v>
      </c>
      <c r="K33" s="5814" t="s">
        <v>8556</v>
      </c>
    </row>
    <row r="34" spans="1:11">
      <c r="A34" s="21" t="s">
        <v>2216</v>
      </c>
      <c r="B34" s="21" t="s">
        <v>8557</v>
      </c>
      <c r="C34" s="21" t="s">
        <v>22</v>
      </c>
      <c r="D34" s="21" t="s">
        <v>944</v>
      </c>
      <c r="E34" s="21" t="s">
        <v>193</v>
      </c>
      <c r="F34" s="5812">
        <v>3</v>
      </c>
      <c r="G34" s="5813">
        <v>0.20833333333333334</v>
      </c>
      <c r="H34" s="21" t="s">
        <v>10</v>
      </c>
      <c r="I34" s="21" t="s">
        <v>226</v>
      </c>
      <c r="J34" s="21" t="s">
        <v>8558</v>
      </c>
      <c r="K34" s="5814" t="s">
        <v>8559</v>
      </c>
    </row>
    <row r="35" spans="1:11">
      <c r="A35" s="21" t="s">
        <v>2225</v>
      </c>
      <c r="B35" s="21" t="s">
        <v>8560</v>
      </c>
      <c r="C35" s="21" t="s">
        <v>8</v>
      </c>
      <c r="D35" s="21" t="s">
        <v>944</v>
      </c>
      <c r="E35" s="21" t="s">
        <v>193</v>
      </c>
      <c r="F35" s="5812">
        <v>3</v>
      </c>
      <c r="G35" s="5813">
        <v>0.20833333333333334</v>
      </c>
      <c r="H35" s="21" t="s">
        <v>10</v>
      </c>
      <c r="I35" s="21" t="s">
        <v>2297</v>
      </c>
      <c r="J35" s="21" t="s">
        <v>8561</v>
      </c>
      <c r="K35" s="5814" t="s">
        <v>8562</v>
      </c>
    </row>
    <row r="36" spans="1:11">
      <c r="A36" s="21" t="s">
        <v>4321</v>
      </c>
      <c r="B36" s="21" t="s">
        <v>8563</v>
      </c>
      <c r="C36" s="21" t="s">
        <v>22</v>
      </c>
      <c r="D36" s="21" t="s">
        <v>944</v>
      </c>
      <c r="E36" s="21" t="s">
        <v>193</v>
      </c>
      <c r="F36" s="5812">
        <v>3</v>
      </c>
      <c r="G36" s="5813">
        <v>0.20833333333333334</v>
      </c>
      <c r="H36" s="21" t="s">
        <v>10</v>
      </c>
      <c r="I36" s="21" t="s">
        <v>6860</v>
      </c>
      <c r="J36" s="21" t="s">
        <v>8564</v>
      </c>
      <c r="K36" s="5814" t="s">
        <v>8565</v>
      </c>
    </row>
    <row r="37" spans="1:11">
      <c r="A37" s="21" t="s">
        <v>3584</v>
      </c>
      <c r="B37" s="21" t="s">
        <v>8566</v>
      </c>
      <c r="C37" s="21" t="s">
        <v>8</v>
      </c>
      <c r="D37" s="21" t="s">
        <v>944</v>
      </c>
      <c r="E37" s="21" t="s">
        <v>193</v>
      </c>
      <c r="F37" s="5812">
        <v>3</v>
      </c>
      <c r="G37" s="5813">
        <v>0.20833333333333334</v>
      </c>
      <c r="H37" s="21" t="s">
        <v>10</v>
      </c>
      <c r="I37" s="21" t="s">
        <v>2731</v>
      </c>
      <c r="J37" s="21" t="s">
        <v>8567</v>
      </c>
      <c r="K37" s="5814" t="s">
        <v>8568</v>
      </c>
    </row>
    <row r="38" spans="1:11">
      <c r="A38" s="21" t="s">
        <v>2233</v>
      </c>
      <c r="B38" s="21" t="s">
        <v>8569</v>
      </c>
      <c r="C38" s="21" t="s">
        <v>22</v>
      </c>
      <c r="D38" s="21" t="s">
        <v>944</v>
      </c>
      <c r="E38" s="21" t="s">
        <v>193</v>
      </c>
      <c r="F38" s="5812">
        <v>3</v>
      </c>
      <c r="G38" s="5813">
        <v>0.20833333333333334</v>
      </c>
      <c r="H38" s="21" t="s">
        <v>10</v>
      </c>
      <c r="I38" s="21" t="s">
        <v>2297</v>
      </c>
      <c r="J38" s="21" t="s">
        <v>8570</v>
      </c>
      <c r="K38" s="5814" t="s">
        <v>8571</v>
      </c>
    </row>
    <row r="39" spans="1:11">
      <c r="A39" s="21" t="s">
        <v>2824</v>
      </c>
      <c r="B39" s="21" t="s">
        <v>8572</v>
      </c>
      <c r="C39" s="21" t="s">
        <v>8</v>
      </c>
      <c r="D39" s="21" t="s">
        <v>944</v>
      </c>
      <c r="E39" s="21" t="s">
        <v>193</v>
      </c>
      <c r="F39" s="5812">
        <v>3</v>
      </c>
      <c r="G39" s="5813">
        <v>0.20833333333333334</v>
      </c>
      <c r="H39" s="21" t="s">
        <v>10</v>
      </c>
      <c r="I39" s="21" t="s">
        <v>11</v>
      </c>
      <c r="J39" s="21" t="s">
        <v>8573</v>
      </c>
      <c r="K39" s="5814" t="s">
        <v>8574</v>
      </c>
    </row>
    <row r="40" spans="1:11">
      <c r="A40" s="21" t="s">
        <v>3787</v>
      </c>
      <c r="B40" s="21" t="s">
        <v>8575</v>
      </c>
      <c r="C40" s="21" t="s">
        <v>22</v>
      </c>
      <c r="D40" s="21" t="s">
        <v>944</v>
      </c>
      <c r="E40" s="21" t="s">
        <v>193</v>
      </c>
      <c r="F40" s="5812">
        <v>3</v>
      </c>
      <c r="G40" s="5813">
        <v>0.20833333333333334</v>
      </c>
      <c r="H40" s="21" t="s">
        <v>10</v>
      </c>
      <c r="I40" s="21" t="s">
        <v>5482</v>
      </c>
      <c r="J40" s="21" t="s">
        <v>8576</v>
      </c>
      <c r="K40" s="5814" t="s">
        <v>8577</v>
      </c>
    </row>
    <row r="41" spans="1:11">
      <c r="A41" s="21" t="s">
        <v>4383</v>
      </c>
      <c r="B41" s="21" t="s">
        <v>8578</v>
      </c>
      <c r="C41" s="21" t="s">
        <v>709</v>
      </c>
      <c r="D41" s="21" t="s">
        <v>944</v>
      </c>
      <c r="E41" s="21" t="s">
        <v>193</v>
      </c>
      <c r="F41" s="5812">
        <v>3</v>
      </c>
      <c r="G41" s="5813">
        <v>0.20833333333333334</v>
      </c>
      <c r="H41" s="21" t="s">
        <v>10</v>
      </c>
      <c r="I41" s="21" t="s">
        <v>96</v>
      </c>
      <c r="J41" s="21" t="s">
        <v>8579</v>
      </c>
      <c r="K41" s="5814" t="s">
        <v>8580</v>
      </c>
    </row>
    <row r="42" spans="1:11">
      <c r="A42" s="21" t="s">
        <v>2850</v>
      </c>
      <c r="B42" s="21" t="s">
        <v>8581</v>
      </c>
      <c r="C42" s="21" t="s">
        <v>22</v>
      </c>
      <c r="D42" s="21" t="s">
        <v>944</v>
      </c>
      <c r="E42" s="21" t="s">
        <v>193</v>
      </c>
      <c r="F42" s="5812">
        <v>3</v>
      </c>
      <c r="G42" s="5813">
        <v>0.20833333333333334</v>
      </c>
      <c r="H42" s="21" t="s">
        <v>10</v>
      </c>
      <c r="I42" s="21" t="s">
        <v>47</v>
      </c>
      <c r="J42" s="21" t="s">
        <v>8582</v>
      </c>
      <c r="K42" s="5814" t="s">
        <v>8583</v>
      </c>
    </row>
    <row r="43" spans="1:11">
      <c r="A43" s="21" t="s">
        <v>4430</v>
      </c>
      <c r="B43" s="21" t="s">
        <v>8584</v>
      </c>
      <c r="C43" s="21" t="s">
        <v>22</v>
      </c>
      <c r="D43" s="21" t="s">
        <v>944</v>
      </c>
      <c r="E43" s="21" t="s">
        <v>193</v>
      </c>
      <c r="F43" s="5812">
        <v>3</v>
      </c>
      <c r="G43" s="5813">
        <v>0.20833333333333334</v>
      </c>
      <c r="H43" s="21" t="s">
        <v>10</v>
      </c>
      <c r="I43" s="21" t="s">
        <v>2523</v>
      </c>
      <c r="J43" s="21" t="s">
        <v>8585</v>
      </c>
      <c r="K43" s="5814" t="s">
        <v>8586</v>
      </c>
    </row>
    <row r="44" spans="1:11">
      <c r="A44" s="21" t="s">
        <v>2905</v>
      </c>
      <c r="B44" s="21" t="s">
        <v>8587</v>
      </c>
      <c r="C44" s="21" t="s">
        <v>22</v>
      </c>
      <c r="D44" s="21" t="s">
        <v>944</v>
      </c>
      <c r="E44" s="21" t="s">
        <v>193</v>
      </c>
      <c r="F44" s="5812">
        <v>3</v>
      </c>
      <c r="G44" s="5813">
        <v>0.20833333333333334</v>
      </c>
      <c r="H44" s="21" t="s">
        <v>10</v>
      </c>
      <c r="I44" s="21" t="s">
        <v>8588</v>
      </c>
      <c r="J44" s="21" t="s">
        <v>8589</v>
      </c>
      <c r="K44" s="5814" t="s">
        <v>8590</v>
      </c>
    </row>
    <row r="45" spans="1:11">
      <c r="A45" s="21" t="s">
        <v>5264</v>
      </c>
      <c r="B45" s="21" t="s">
        <v>8591</v>
      </c>
      <c r="C45" s="21" t="s">
        <v>22</v>
      </c>
      <c r="D45" s="21" t="s">
        <v>944</v>
      </c>
      <c r="E45" s="21" t="s">
        <v>193</v>
      </c>
      <c r="F45" s="5812">
        <v>3</v>
      </c>
      <c r="G45" s="5813">
        <v>0.20833333333333334</v>
      </c>
      <c r="H45" s="21" t="s">
        <v>10</v>
      </c>
      <c r="I45" s="21" t="s">
        <v>39</v>
      </c>
      <c r="J45" s="21" t="s">
        <v>8592</v>
      </c>
      <c r="K45" s="5814" t="s">
        <v>8593</v>
      </c>
    </row>
    <row r="46" spans="1:11">
      <c r="A46" s="21" t="s">
        <v>3439</v>
      </c>
      <c r="B46" s="21" t="s">
        <v>8594</v>
      </c>
      <c r="C46" s="21" t="s">
        <v>22</v>
      </c>
      <c r="D46" s="21" t="s">
        <v>944</v>
      </c>
      <c r="E46" s="21" t="s">
        <v>193</v>
      </c>
      <c r="F46" s="5812">
        <v>3</v>
      </c>
      <c r="G46" s="5813">
        <v>0.20833333333333334</v>
      </c>
      <c r="H46" s="21" t="s">
        <v>10</v>
      </c>
      <c r="I46" s="21" t="s">
        <v>2721</v>
      </c>
      <c r="J46" s="21" t="s">
        <v>8595</v>
      </c>
      <c r="K46" s="5814" t="s">
        <v>8596</v>
      </c>
    </row>
    <row r="47" spans="1:11">
      <c r="A47" s="21" t="s">
        <v>79</v>
      </c>
      <c r="B47" s="21" t="s">
        <v>990</v>
      </c>
      <c r="C47" s="21" t="s">
        <v>8</v>
      </c>
      <c r="D47" s="21" t="s">
        <v>944</v>
      </c>
      <c r="E47" s="21" t="s">
        <v>193</v>
      </c>
      <c r="F47" s="5812">
        <v>5</v>
      </c>
      <c r="G47" s="5813">
        <v>0.20833333333333334</v>
      </c>
      <c r="H47" s="21" t="s">
        <v>54</v>
      </c>
      <c r="I47" s="21" t="s">
        <v>39</v>
      </c>
      <c r="J47" s="21" t="s">
        <v>991</v>
      </c>
      <c r="K47" s="5814" t="s">
        <v>992</v>
      </c>
    </row>
    <row r="48" spans="1:11">
      <c r="A48" s="21" t="s">
        <v>2362</v>
      </c>
      <c r="B48" s="21" t="s">
        <v>8597</v>
      </c>
      <c r="C48" s="21" t="s">
        <v>8</v>
      </c>
      <c r="D48" s="21" t="s">
        <v>944</v>
      </c>
      <c r="E48" s="21" t="s">
        <v>193</v>
      </c>
      <c r="F48" s="5812">
        <v>5</v>
      </c>
      <c r="G48" s="5813">
        <v>0.20833333333333334</v>
      </c>
      <c r="H48" s="21" t="s">
        <v>54</v>
      </c>
      <c r="I48" s="21" t="s">
        <v>55</v>
      </c>
      <c r="J48" s="21" t="s">
        <v>8598</v>
      </c>
      <c r="K48" s="5814" t="s">
        <v>8599</v>
      </c>
    </row>
    <row r="49" spans="1:11">
      <c r="A49" s="21" t="s">
        <v>3434</v>
      </c>
      <c r="B49" s="21" t="s">
        <v>8600</v>
      </c>
      <c r="C49" s="21" t="s">
        <v>22</v>
      </c>
      <c r="D49" s="21" t="s">
        <v>944</v>
      </c>
      <c r="E49" s="21" t="s">
        <v>193</v>
      </c>
      <c r="F49" s="5812">
        <v>5</v>
      </c>
      <c r="G49" s="5813">
        <v>0.20833333333333334</v>
      </c>
      <c r="H49" s="21" t="s">
        <v>54</v>
      </c>
      <c r="I49" s="21" t="s">
        <v>55</v>
      </c>
      <c r="J49" s="21" t="s">
        <v>8601</v>
      </c>
      <c r="K49" s="5814" t="s">
        <v>8602</v>
      </c>
    </row>
    <row r="50" spans="1:11">
      <c r="A50" s="21" t="s">
        <v>3757</v>
      </c>
      <c r="B50" s="21" t="s">
        <v>8603</v>
      </c>
      <c r="C50" s="21" t="s">
        <v>8</v>
      </c>
      <c r="D50" s="21" t="s">
        <v>944</v>
      </c>
      <c r="E50" s="21" t="s">
        <v>193</v>
      </c>
      <c r="F50" s="5812">
        <v>5</v>
      </c>
      <c r="G50" s="5813">
        <v>0.20833333333333334</v>
      </c>
      <c r="H50" s="21" t="s">
        <v>54</v>
      </c>
      <c r="I50" s="21" t="s">
        <v>226</v>
      </c>
      <c r="J50" s="21" t="s">
        <v>8604</v>
      </c>
      <c r="K50" s="5814" t="s">
        <v>8605</v>
      </c>
    </row>
    <row r="51" spans="1:11">
      <c r="A51" s="21" t="s">
        <v>2745</v>
      </c>
      <c r="B51" s="21" t="s">
        <v>8606</v>
      </c>
      <c r="C51" s="21" t="s">
        <v>8</v>
      </c>
      <c r="D51" s="21" t="s">
        <v>944</v>
      </c>
      <c r="E51" s="21" t="s">
        <v>193</v>
      </c>
      <c r="F51" s="5812">
        <v>5</v>
      </c>
      <c r="G51" s="5813">
        <v>0.20833333333333334</v>
      </c>
      <c r="H51" s="21" t="s">
        <v>54</v>
      </c>
      <c r="I51" s="21" t="s">
        <v>47</v>
      </c>
      <c r="J51" s="21" t="s">
        <v>8607</v>
      </c>
      <c r="K51" s="5814" t="s">
        <v>8608</v>
      </c>
    </row>
    <row r="52" spans="1:11">
      <c r="A52" s="21" t="s">
        <v>2961</v>
      </c>
      <c r="B52" s="21" t="s">
        <v>8609</v>
      </c>
      <c r="C52" s="21" t="s">
        <v>8</v>
      </c>
      <c r="D52" s="21" t="s">
        <v>944</v>
      </c>
      <c r="E52" s="21" t="s">
        <v>193</v>
      </c>
      <c r="F52" s="5812">
        <v>5</v>
      </c>
      <c r="G52" s="5813">
        <v>0.20833333333333334</v>
      </c>
      <c r="H52" s="21" t="s">
        <v>54</v>
      </c>
      <c r="I52" s="21" t="s">
        <v>2713</v>
      </c>
      <c r="J52" s="21" t="s">
        <v>8610</v>
      </c>
      <c r="K52" s="5814" t="s">
        <v>8611</v>
      </c>
    </row>
    <row r="53" spans="1:11">
      <c r="A53" s="21" t="s">
        <v>115</v>
      </c>
      <c r="B53" s="21" t="s">
        <v>948</v>
      </c>
      <c r="C53" s="21" t="s">
        <v>8</v>
      </c>
      <c r="D53" s="21" t="s">
        <v>944</v>
      </c>
      <c r="E53" s="5826" t="s">
        <v>9</v>
      </c>
      <c r="F53" s="5812">
        <v>3</v>
      </c>
      <c r="G53" s="5813">
        <v>9.583333333333334E-2</v>
      </c>
      <c r="H53" s="21" t="s">
        <v>10</v>
      </c>
      <c r="I53" s="21" t="s">
        <v>263</v>
      </c>
      <c r="J53" s="21" t="s">
        <v>949</v>
      </c>
      <c r="K53" s="5814" t="s">
        <v>950</v>
      </c>
    </row>
    <row r="54" spans="1:11">
      <c r="A54" s="21" t="s">
        <v>2929</v>
      </c>
      <c r="B54" s="21" t="s">
        <v>8612</v>
      </c>
      <c r="C54" s="21" t="s">
        <v>8</v>
      </c>
      <c r="D54" s="21" t="s">
        <v>944</v>
      </c>
      <c r="E54" s="21" t="s">
        <v>9</v>
      </c>
      <c r="F54" s="5812">
        <v>3</v>
      </c>
      <c r="G54" s="5813">
        <v>0.16388888888888889</v>
      </c>
      <c r="H54" s="21" t="s">
        <v>10</v>
      </c>
      <c r="I54" s="21" t="s">
        <v>226</v>
      </c>
      <c r="J54" s="21" t="s">
        <v>8613</v>
      </c>
      <c r="K54" s="5814" t="s">
        <v>8614</v>
      </c>
    </row>
    <row r="55" spans="1:11">
      <c r="A55" s="21" t="s">
        <v>31</v>
      </c>
      <c r="B55" s="21" t="s">
        <v>1024</v>
      </c>
      <c r="C55" s="21" t="s">
        <v>8</v>
      </c>
      <c r="D55" s="21" t="s">
        <v>944</v>
      </c>
      <c r="E55" s="21" t="s">
        <v>9</v>
      </c>
      <c r="F55" s="5812">
        <v>3</v>
      </c>
      <c r="G55" s="5813">
        <v>0.20833333333333334</v>
      </c>
      <c r="H55" s="21" t="s">
        <v>10</v>
      </c>
      <c r="I55" s="21" t="s">
        <v>39</v>
      </c>
      <c r="J55" s="21" t="s">
        <v>1025</v>
      </c>
      <c r="K55" s="5814" t="s">
        <v>1026</v>
      </c>
    </row>
    <row r="56" spans="1:11">
      <c r="A56" s="21" t="s">
        <v>166</v>
      </c>
      <c r="B56" s="21" t="s">
        <v>1035</v>
      </c>
      <c r="C56" s="21" t="s">
        <v>8</v>
      </c>
      <c r="D56" s="21" t="s">
        <v>944</v>
      </c>
      <c r="E56" s="21" t="s">
        <v>9</v>
      </c>
      <c r="F56" s="5812">
        <v>3</v>
      </c>
      <c r="G56" s="5813">
        <v>0.20833333333333334</v>
      </c>
      <c r="H56" s="21" t="s">
        <v>10</v>
      </c>
      <c r="I56" s="21" t="s">
        <v>89</v>
      </c>
      <c r="J56" s="21" t="s">
        <v>1036</v>
      </c>
      <c r="K56" s="5814" t="s">
        <v>1037</v>
      </c>
    </row>
    <row r="57" spans="1:11">
      <c r="A57" s="21" t="s">
        <v>177</v>
      </c>
      <c r="B57" s="21" t="s">
        <v>1045</v>
      </c>
      <c r="C57" s="21" t="s">
        <v>22</v>
      </c>
      <c r="D57" s="21" t="s">
        <v>944</v>
      </c>
      <c r="E57" s="21" t="s">
        <v>9</v>
      </c>
      <c r="F57" s="5812">
        <v>3</v>
      </c>
      <c r="G57" s="5813">
        <v>0.20833333333333334</v>
      </c>
      <c r="H57" s="21" t="s">
        <v>10</v>
      </c>
      <c r="I57" s="21" t="s">
        <v>89</v>
      </c>
      <c r="J57" s="21" t="s">
        <v>1046</v>
      </c>
      <c r="K57" s="5814" t="s">
        <v>1047</v>
      </c>
    </row>
    <row r="58" spans="1:11">
      <c r="A58" s="21" t="s">
        <v>231</v>
      </c>
      <c r="B58" s="21" t="s">
        <v>1079</v>
      </c>
      <c r="C58" s="21" t="s">
        <v>8</v>
      </c>
      <c r="D58" s="21" t="s">
        <v>944</v>
      </c>
      <c r="E58" s="21" t="s">
        <v>9</v>
      </c>
      <c r="F58" s="5812">
        <v>3</v>
      </c>
      <c r="G58" s="5813">
        <v>0.20833333333333334</v>
      </c>
      <c r="H58" s="21" t="s">
        <v>10</v>
      </c>
      <c r="I58" s="21" t="s">
        <v>47</v>
      </c>
      <c r="J58" s="21" t="s">
        <v>1080</v>
      </c>
      <c r="K58" s="5814" t="s">
        <v>8615</v>
      </c>
    </row>
    <row r="59" spans="1:11">
      <c r="A59" s="21" t="s">
        <v>2300</v>
      </c>
      <c r="B59" s="21" t="s">
        <v>8616</v>
      </c>
      <c r="C59" s="21" t="s">
        <v>22</v>
      </c>
      <c r="D59" s="21" t="s">
        <v>944</v>
      </c>
      <c r="E59" s="21" t="s">
        <v>9</v>
      </c>
      <c r="F59" s="5812">
        <v>3</v>
      </c>
      <c r="G59" s="5813">
        <v>0.20833333333333334</v>
      </c>
      <c r="H59" s="21" t="s">
        <v>10</v>
      </c>
      <c r="I59" s="21" t="s">
        <v>11</v>
      </c>
      <c r="J59" s="21" t="s">
        <v>8617</v>
      </c>
      <c r="K59" s="5814" t="s">
        <v>8618</v>
      </c>
    </row>
    <row r="60" spans="1:11">
      <c r="A60" s="21" t="s">
        <v>2995</v>
      </c>
      <c r="B60" s="21" t="s">
        <v>8619</v>
      </c>
      <c r="C60" s="21" t="s">
        <v>8</v>
      </c>
      <c r="D60" s="21" t="s">
        <v>944</v>
      </c>
      <c r="E60" s="21" t="s">
        <v>9</v>
      </c>
      <c r="F60" s="5812">
        <v>3</v>
      </c>
      <c r="G60" s="5813">
        <v>0.20833333333333334</v>
      </c>
      <c r="H60" s="21" t="s">
        <v>10</v>
      </c>
      <c r="I60" s="21" t="s">
        <v>55</v>
      </c>
      <c r="J60" s="21" t="s">
        <v>3840</v>
      </c>
      <c r="K60" s="5814" t="s">
        <v>8620</v>
      </c>
    </row>
    <row r="61" spans="1:11">
      <c r="A61" s="21" t="s">
        <v>2995</v>
      </c>
      <c r="B61" s="21" t="s">
        <v>8621</v>
      </c>
      <c r="C61" s="21" t="s">
        <v>8</v>
      </c>
      <c r="D61" s="21" t="s">
        <v>944</v>
      </c>
      <c r="E61" s="21" t="s">
        <v>9</v>
      </c>
      <c r="F61" s="5812">
        <v>3</v>
      </c>
      <c r="G61" s="5813">
        <v>0.20833333333333334</v>
      </c>
      <c r="H61" s="21" t="s">
        <v>10</v>
      </c>
      <c r="I61" s="21" t="s">
        <v>39</v>
      </c>
      <c r="J61" s="21" t="s">
        <v>8622</v>
      </c>
      <c r="K61" s="5814" t="s">
        <v>8623</v>
      </c>
    </row>
    <row r="62" spans="1:11">
      <c r="A62" s="21" t="s">
        <v>2084</v>
      </c>
      <c r="B62" s="21" t="s">
        <v>8624</v>
      </c>
      <c r="C62" s="21" t="s">
        <v>8</v>
      </c>
      <c r="D62" s="21" t="s">
        <v>944</v>
      </c>
      <c r="E62" s="21" t="s">
        <v>9</v>
      </c>
      <c r="F62" s="5812">
        <v>3</v>
      </c>
      <c r="G62" s="5813">
        <v>0.20833333333333334</v>
      </c>
      <c r="H62" s="21" t="s">
        <v>10</v>
      </c>
      <c r="I62" s="21" t="s">
        <v>47</v>
      </c>
      <c r="J62" s="21" t="s">
        <v>8625</v>
      </c>
      <c r="K62" s="5814" t="s">
        <v>8626</v>
      </c>
    </row>
    <row r="63" spans="1:11">
      <c r="A63" s="21" t="s">
        <v>3664</v>
      </c>
      <c r="B63" s="21" t="s">
        <v>8627</v>
      </c>
      <c r="C63" s="21" t="s">
        <v>22</v>
      </c>
      <c r="D63" s="21" t="s">
        <v>944</v>
      </c>
      <c r="E63" s="21" t="s">
        <v>9</v>
      </c>
      <c r="F63" s="5812">
        <v>3</v>
      </c>
      <c r="G63" s="5813">
        <v>0.20833333333333334</v>
      </c>
      <c r="H63" s="21" t="s">
        <v>10</v>
      </c>
      <c r="I63" s="21" t="s">
        <v>226</v>
      </c>
      <c r="J63" s="21" t="s">
        <v>8628</v>
      </c>
      <c r="K63" s="5814" t="s">
        <v>8629</v>
      </c>
    </row>
    <row r="64" spans="1:11">
      <c r="A64" s="21" t="s">
        <v>3249</v>
      </c>
      <c r="B64" s="21" t="s">
        <v>8630</v>
      </c>
      <c r="C64" s="21" t="s">
        <v>8</v>
      </c>
      <c r="D64" s="21" t="s">
        <v>944</v>
      </c>
      <c r="E64" s="21" t="s">
        <v>9</v>
      </c>
      <c r="F64" s="5812">
        <v>3</v>
      </c>
      <c r="G64" s="5813">
        <v>0.20833333333333334</v>
      </c>
      <c r="H64" s="21" t="s">
        <v>10</v>
      </c>
      <c r="I64" s="21" t="s">
        <v>39</v>
      </c>
      <c r="J64" s="21" t="s">
        <v>8631</v>
      </c>
      <c r="K64" s="5814" t="s">
        <v>8632</v>
      </c>
    </row>
    <row r="65" spans="1:11">
      <c r="A65" s="21" t="s">
        <v>2947</v>
      </c>
      <c r="B65" s="21" t="s">
        <v>8633</v>
      </c>
      <c r="C65" s="21" t="s">
        <v>8</v>
      </c>
      <c r="D65" s="21" t="s">
        <v>944</v>
      </c>
      <c r="E65" s="21" t="s">
        <v>9</v>
      </c>
      <c r="F65" s="5812">
        <v>3</v>
      </c>
      <c r="G65" s="5813">
        <v>0.20833333333333334</v>
      </c>
      <c r="H65" s="21" t="s">
        <v>10</v>
      </c>
      <c r="I65" s="21" t="s">
        <v>400</v>
      </c>
      <c r="J65" s="21" t="s">
        <v>8634</v>
      </c>
      <c r="K65" s="5814" t="s">
        <v>8635</v>
      </c>
    </row>
    <row r="66" spans="1:11">
      <c r="A66" s="21" t="s">
        <v>2341</v>
      </c>
      <c r="B66" s="21" t="s">
        <v>8636</v>
      </c>
      <c r="C66" s="21" t="s">
        <v>22</v>
      </c>
      <c r="D66" s="21" t="s">
        <v>944</v>
      </c>
      <c r="E66" s="21" t="s">
        <v>9</v>
      </c>
      <c r="F66" s="5812">
        <v>3</v>
      </c>
      <c r="G66" s="5813">
        <v>0.20833333333333334</v>
      </c>
      <c r="H66" s="21" t="s">
        <v>10</v>
      </c>
      <c r="I66" s="21" t="s">
        <v>47</v>
      </c>
      <c r="J66" s="21" t="s">
        <v>8637</v>
      </c>
      <c r="K66" s="5814" t="s">
        <v>8638</v>
      </c>
    </row>
    <row r="67" spans="1:11">
      <c r="A67" s="21" t="s">
        <v>3671</v>
      </c>
      <c r="B67" s="21" t="s">
        <v>8639</v>
      </c>
      <c r="C67" s="21" t="s">
        <v>8</v>
      </c>
      <c r="D67" s="21" t="s">
        <v>944</v>
      </c>
      <c r="E67" s="21" t="s">
        <v>9</v>
      </c>
      <c r="F67" s="5812">
        <v>3</v>
      </c>
      <c r="G67" s="5813">
        <v>0.20833333333333334</v>
      </c>
      <c r="H67" s="21" t="s">
        <v>10</v>
      </c>
      <c r="I67" s="21" t="s">
        <v>47</v>
      </c>
      <c r="J67" s="21" t="s">
        <v>4041</v>
      </c>
      <c r="K67" s="5814" t="s">
        <v>8640</v>
      </c>
    </row>
    <row r="68" spans="1:11">
      <c r="A68" s="21" t="s">
        <v>2372</v>
      </c>
      <c r="B68" s="21" t="s">
        <v>8641</v>
      </c>
      <c r="C68" s="21" t="s">
        <v>8</v>
      </c>
      <c r="D68" s="21" t="s">
        <v>944</v>
      </c>
      <c r="E68" s="21" t="s">
        <v>9</v>
      </c>
      <c r="F68" s="5812">
        <v>3</v>
      </c>
      <c r="G68" s="5813">
        <v>0.20833333333333334</v>
      </c>
      <c r="H68" s="21" t="s">
        <v>10</v>
      </c>
      <c r="I68" s="21" t="s">
        <v>11</v>
      </c>
      <c r="J68" s="21" t="s">
        <v>8642</v>
      </c>
      <c r="K68" s="5814" t="s">
        <v>8643</v>
      </c>
    </row>
    <row r="69" spans="1:11">
      <c r="A69" s="21" t="s">
        <v>2096</v>
      </c>
      <c r="B69" s="21" t="s">
        <v>8644</v>
      </c>
      <c r="C69" s="21" t="s">
        <v>22</v>
      </c>
      <c r="D69" s="21" t="s">
        <v>944</v>
      </c>
      <c r="E69" s="21" t="s">
        <v>9</v>
      </c>
      <c r="F69" s="5812">
        <v>3</v>
      </c>
      <c r="G69" s="5813">
        <v>0.20833333333333334</v>
      </c>
      <c r="H69" s="21" t="s">
        <v>10</v>
      </c>
      <c r="I69" s="21" t="s">
        <v>2544</v>
      </c>
      <c r="J69" s="21" t="s">
        <v>8645</v>
      </c>
      <c r="K69" s="5814" t="s">
        <v>8646</v>
      </c>
    </row>
    <row r="70" spans="1:11">
      <c r="A70" s="21" t="s">
        <v>2096</v>
      </c>
      <c r="B70" s="21" t="s">
        <v>8647</v>
      </c>
      <c r="C70" s="21" t="s">
        <v>8</v>
      </c>
      <c r="D70" s="21" t="s">
        <v>944</v>
      </c>
      <c r="E70" s="21" t="s">
        <v>9</v>
      </c>
      <c r="F70" s="5812">
        <v>3</v>
      </c>
      <c r="G70" s="5813">
        <v>0.20833333333333334</v>
      </c>
      <c r="H70" s="21" t="s">
        <v>10</v>
      </c>
      <c r="I70" s="21" t="s">
        <v>47</v>
      </c>
      <c r="J70" s="21" t="s">
        <v>8648</v>
      </c>
      <c r="K70" s="5814" t="s">
        <v>8649</v>
      </c>
    </row>
    <row r="71" spans="1:11">
      <c r="A71" s="21" t="s">
        <v>2100</v>
      </c>
      <c r="B71" s="21" t="s">
        <v>8650</v>
      </c>
      <c r="C71" s="21" t="s">
        <v>22</v>
      </c>
      <c r="D71" s="21" t="s">
        <v>944</v>
      </c>
      <c r="E71" s="21" t="s">
        <v>9</v>
      </c>
      <c r="F71" s="5812">
        <v>3</v>
      </c>
      <c r="G71" s="5813">
        <v>0.20833333333333334</v>
      </c>
      <c r="H71" s="21" t="s">
        <v>10</v>
      </c>
      <c r="I71" s="21" t="s">
        <v>39</v>
      </c>
      <c r="J71" s="21" t="s">
        <v>1467</v>
      </c>
      <c r="K71" s="5814" t="s">
        <v>8651</v>
      </c>
    </row>
    <row r="72" spans="1:11">
      <c r="A72" s="21" t="s">
        <v>3033</v>
      </c>
      <c r="B72" s="21" t="s">
        <v>8652</v>
      </c>
      <c r="C72" s="21" t="s">
        <v>8</v>
      </c>
      <c r="D72" s="21" t="s">
        <v>944</v>
      </c>
      <c r="E72" s="21" t="s">
        <v>9</v>
      </c>
      <c r="F72" s="5812">
        <v>3</v>
      </c>
      <c r="G72" s="5813">
        <v>0.20833333333333334</v>
      </c>
      <c r="H72" s="21" t="s">
        <v>10</v>
      </c>
      <c r="I72" s="21" t="s">
        <v>96</v>
      </c>
      <c r="J72" s="21" t="s">
        <v>8653</v>
      </c>
      <c r="K72" s="5814" t="s">
        <v>8654</v>
      </c>
    </row>
    <row r="73" spans="1:11">
      <c r="A73" s="21" t="s">
        <v>3033</v>
      </c>
      <c r="B73" s="21" t="s">
        <v>8655</v>
      </c>
      <c r="C73" s="21" t="s">
        <v>8</v>
      </c>
      <c r="D73" s="21" t="s">
        <v>944</v>
      </c>
      <c r="E73" s="21" t="s">
        <v>9</v>
      </c>
      <c r="F73" s="5812">
        <v>3</v>
      </c>
      <c r="G73" s="5813">
        <v>0.20833333333333334</v>
      </c>
      <c r="H73" s="21" t="s">
        <v>10</v>
      </c>
      <c r="I73" s="21" t="s">
        <v>47</v>
      </c>
      <c r="J73" s="21" t="s">
        <v>8656</v>
      </c>
      <c r="K73" s="5814" t="s">
        <v>8657</v>
      </c>
    </row>
    <row r="74" spans="1:11">
      <c r="A74" s="21" t="s">
        <v>2395</v>
      </c>
      <c r="B74" s="21" t="s">
        <v>8658</v>
      </c>
      <c r="C74" s="21" t="s">
        <v>8</v>
      </c>
      <c r="D74" s="21" t="s">
        <v>944</v>
      </c>
      <c r="E74" s="21" t="s">
        <v>9</v>
      </c>
      <c r="F74" s="5812">
        <v>3</v>
      </c>
      <c r="G74" s="5813">
        <v>0.20833333333333334</v>
      </c>
      <c r="H74" s="21" t="s">
        <v>10</v>
      </c>
      <c r="I74" s="21" t="s">
        <v>89</v>
      </c>
      <c r="J74" s="21" t="s">
        <v>8659</v>
      </c>
      <c r="K74" s="5814" t="s">
        <v>8660</v>
      </c>
    </row>
    <row r="75" spans="1:11">
      <c r="A75" s="21" t="s">
        <v>3909</v>
      </c>
      <c r="B75" s="21" t="s">
        <v>8661</v>
      </c>
      <c r="C75" s="21" t="s">
        <v>8</v>
      </c>
      <c r="D75" s="21" t="s">
        <v>944</v>
      </c>
      <c r="E75" s="21" t="s">
        <v>9</v>
      </c>
      <c r="F75" s="5812">
        <v>3</v>
      </c>
      <c r="G75" s="5813">
        <v>0.20833333333333334</v>
      </c>
      <c r="H75" s="21" t="s">
        <v>10</v>
      </c>
      <c r="I75" s="21" t="s">
        <v>47</v>
      </c>
      <c r="J75" s="21" t="s">
        <v>8662</v>
      </c>
      <c r="K75" s="5814" t="s">
        <v>8663</v>
      </c>
    </row>
    <row r="76" spans="1:11">
      <c r="A76" s="21" t="s">
        <v>3409</v>
      </c>
      <c r="B76" s="21" t="s">
        <v>8664</v>
      </c>
      <c r="C76" s="21" t="s">
        <v>22</v>
      </c>
      <c r="D76" s="21" t="s">
        <v>944</v>
      </c>
      <c r="E76" s="21" t="s">
        <v>9</v>
      </c>
      <c r="F76" s="5812">
        <v>3</v>
      </c>
      <c r="G76" s="5813">
        <v>0.20833333333333334</v>
      </c>
      <c r="H76" s="21" t="s">
        <v>10</v>
      </c>
      <c r="I76" s="21" t="s">
        <v>226</v>
      </c>
      <c r="J76" s="21" t="s">
        <v>8665</v>
      </c>
      <c r="K76" s="5814" t="s">
        <v>8666</v>
      </c>
    </row>
    <row r="77" spans="1:11">
      <c r="A77" s="21" t="s">
        <v>2403</v>
      </c>
      <c r="B77" s="21" t="s">
        <v>8667</v>
      </c>
      <c r="C77" s="21" t="s">
        <v>8</v>
      </c>
      <c r="D77" s="21" t="s">
        <v>944</v>
      </c>
      <c r="E77" s="21" t="s">
        <v>9</v>
      </c>
      <c r="F77" s="5812">
        <v>3</v>
      </c>
      <c r="G77" s="5813">
        <v>0.20833333333333334</v>
      </c>
      <c r="H77" s="21" t="s">
        <v>10</v>
      </c>
      <c r="I77" s="21" t="s">
        <v>89</v>
      </c>
      <c r="J77" s="21" t="s">
        <v>8668</v>
      </c>
      <c r="K77" s="5814" t="s">
        <v>8669</v>
      </c>
    </row>
    <row r="78" spans="1:11">
      <c r="A78" s="21" t="s">
        <v>2045</v>
      </c>
      <c r="B78" s="21" t="s">
        <v>8670</v>
      </c>
      <c r="C78" s="21" t="s">
        <v>22</v>
      </c>
      <c r="D78" s="21" t="s">
        <v>944</v>
      </c>
      <c r="E78" s="21" t="s">
        <v>9</v>
      </c>
      <c r="F78" s="5812">
        <v>3</v>
      </c>
      <c r="G78" s="5813">
        <v>0.20833333333333334</v>
      </c>
      <c r="H78" s="21" t="s">
        <v>10</v>
      </c>
      <c r="I78" s="21" t="s">
        <v>39</v>
      </c>
      <c r="J78" s="21" t="s">
        <v>8671</v>
      </c>
      <c r="K78" s="5814" t="s">
        <v>8672</v>
      </c>
    </row>
    <row r="79" spans="1:11">
      <c r="A79" s="21" t="s">
        <v>2045</v>
      </c>
      <c r="B79" s="21" t="s">
        <v>8673</v>
      </c>
      <c r="C79" s="21" t="s">
        <v>22</v>
      </c>
      <c r="D79" s="21" t="s">
        <v>944</v>
      </c>
      <c r="E79" s="21" t="s">
        <v>9</v>
      </c>
      <c r="F79" s="5812">
        <v>3</v>
      </c>
      <c r="G79" s="5813">
        <v>0.20833333333333334</v>
      </c>
      <c r="H79" s="21" t="s">
        <v>10</v>
      </c>
      <c r="I79" s="21" t="s">
        <v>55</v>
      </c>
      <c r="J79" s="21" t="s">
        <v>8674</v>
      </c>
      <c r="K79" s="5814" t="s">
        <v>8675</v>
      </c>
    </row>
    <row r="80" spans="1:11">
      <c r="A80" s="21" t="s">
        <v>2413</v>
      </c>
      <c r="B80" s="21" t="s">
        <v>8676</v>
      </c>
      <c r="C80" s="21" t="s">
        <v>8</v>
      </c>
      <c r="D80" s="21" t="s">
        <v>944</v>
      </c>
      <c r="E80" s="21" t="s">
        <v>9</v>
      </c>
      <c r="F80" s="5812">
        <v>3</v>
      </c>
      <c r="G80" s="5813">
        <v>0.20833333333333334</v>
      </c>
      <c r="H80" s="21" t="s">
        <v>10</v>
      </c>
      <c r="I80" s="21" t="s">
        <v>39</v>
      </c>
      <c r="J80" s="21" t="s">
        <v>2389</v>
      </c>
      <c r="K80" s="5814" t="s">
        <v>8677</v>
      </c>
    </row>
    <row r="81" spans="1:11">
      <c r="A81" s="21" t="s">
        <v>2420</v>
      </c>
      <c r="B81" s="21" t="s">
        <v>8678</v>
      </c>
      <c r="C81" s="21" t="s">
        <v>8</v>
      </c>
      <c r="D81" s="21" t="s">
        <v>944</v>
      </c>
      <c r="E81" s="21" t="s">
        <v>9</v>
      </c>
      <c r="F81" s="5812">
        <v>3</v>
      </c>
      <c r="G81" s="5813">
        <v>0.20833333333333334</v>
      </c>
      <c r="H81" s="21" t="s">
        <v>10</v>
      </c>
      <c r="I81" s="21" t="s">
        <v>96</v>
      </c>
      <c r="J81" s="21" t="s">
        <v>8679</v>
      </c>
      <c r="K81" s="5814" t="s">
        <v>8680</v>
      </c>
    </row>
    <row r="82" spans="1:11">
      <c r="A82" s="21" t="s">
        <v>2893</v>
      </c>
      <c r="B82" s="21" t="s">
        <v>8681</v>
      </c>
      <c r="C82" s="21" t="s">
        <v>8</v>
      </c>
      <c r="D82" s="21" t="s">
        <v>944</v>
      </c>
      <c r="E82" s="21" t="s">
        <v>9</v>
      </c>
      <c r="F82" s="5812">
        <v>3</v>
      </c>
      <c r="G82" s="5813">
        <v>0.20833333333333334</v>
      </c>
      <c r="H82" s="21" t="s">
        <v>10</v>
      </c>
      <c r="I82" s="21" t="s">
        <v>55</v>
      </c>
      <c r="J82" s="21" t="s">
        <v>8682</v>
      </c>
      <c r="K82" s="5814" t="s">
        <v>8683</v>
      </c>
    </row>
    <row r="83" spans="1:11">
      <c r="A83" s="21" t="s">
        <v>2433</v>
      </c>
      <c r="B83" s="21" t="s">
        <v>8684</v>
      </c>
      <c r="C83" s="21" t="s">
        <v>8</v>
      </c>
      <c r="D83" s="21" t="s">
        <v>944</v>
      </c>
      <c r="E83" s="21" t="s">
        <v>9</v>
      </c>
      <c r="F83" s="5812">
        <v>3</v>
      </c>
      <c r="G83" s="5813">
        <v>0.20833333333333334</v>
      </c>
      <c r="H83" s="21" t="s">
        <v>10</v>
      </c>
      <c r="I83" s="21" t="s">
        <v>55</v>
      </c>
      <c r="J83" s="21" t="s">
        <v>8685</v>
      </c>
      <c r="K83" s="5814" t="s">
        <v>8686</v>
      </c>
    </row>
    <row r="84" spans="1:11">
      <c r="A84" s="21" t="s">
        <v>2442</v>
      </c>
      <c r="B84" s="21" t="s">
        <v>8687</v>
      </c>
      <c r="C84" s="21" t="s">
        <v>8</v>
      </c>
      <c r="D84" s="21" t="s">
        <v>944</v>
      </c>
      <c r="E84" s="21" t="s">
        <v>9</v>
      </c>
      <c r="F84" s="5812">
        <v>3</v>
      </c>
      <c r="G84" s="5813">
        <v>0.20833333333333334</v>
      </c>
      <c r="H84" s="21" t="s">
        <v>10</v>
      </c>
      <c r="I84" s="21" t="s">
        <v>39</v>
      </c>
      <c r="J84" s="21" t="s">
        <v>8688</v>
      </c>
      <c r="K84" s="5814" t="s">
        <v>8689</v>
      </c>
    </row>
    <row r="85" spans="1:11">
      <c r="A85" s="21" t="s">
        <v>2450</v>
      </c>
      <c r="B85" s="21" t="s">
        <v>8690</v>
      </c>
      <c r="C85" s="21" t="s">
        <v>22</v>
      </c>
      <c r="D85" s="21" t="s">
        <v>944</v>
      </c>
      <c r="E85" s="21" t="s">
        <v>9</v>
      </c>
      <c r="F85" s="5812">
        <v>3</v>
      </c>
      <c r="G85" s="5813">
        <v>0.20833333333333334</v>
      </c>
      <c r="H85" s="21" t="s">
        <v>10</v>
      </c>
      <c r="I85" s="21" t="s">
        <v>55</v>
      </c>
      <c r="J85" s="21" t="s">
        <v>8691</v>
      </c>
      <c r="K85" s="5814" t="s">
        <v>8692</v>
      </c>
    </row>
    <row r="86" spans="1:11">
      <c r="A86" s="21" t="s">
        <v>3434</v>
      </c>
      <c r="B86" s="21" t="s">
        <v>8693</v>
      </c>
      <c r="C86" s="21" t="s">
        <v>22</v>
      </c>
      <c r="D86" s="21" t="s">
        <v>944</v>
      </c>
      <c r="E86" s="21" t="s">
        <v>9</v>
      </c>
      <c r="F86" s="5812">
        <v>3</v>
      </c>
      <c r="G86" s="5813">
        <v>0.20833333333333334</v>
      </c>
      <c r="H86" s="21" t="s">
        <v>10</v>
      </c>
      <c r="I86" s="21" t="s">
        <v>55</v>
      </c>
      <c r="J86" s="21" t="s">
        <v>8694</v>
      </c>
      <c r="K86" s="5814" t="s">
        <v>8695</v>
      </c>
    </row>
    <row r="87" spans="1:11">
      <c r="A87" s="21" t="s">
        <v>3946</v>
      </c>
      <c r="B87" s="21" t="s">
        <v>8696</v>
      </c>
      <c r="C87" s="21" t="s">
        <v>8</v>
      </c>
      <c r="D87" s="21" t="s">
        <v>944</v>
      </c>
      <c r="E87" s="21" t="s">
        <v>9</v>
      </c>
      <c r="F87" s="5812">
        <v>3</v>
      </c>
      <c r="G87" s="5813">
        <v>0.20833333333333334</v>
      </c>
      <c r="H87" s="21" t="s">
        <v>10</v>
      </c>
      <c r="I87" s="21" t="s">
        <v>39</v>
      </c>
      <c r="J87" s="21" t="s">
        <v>8697</v>
      </c>
      <c r="K87" s="5814" t="s">
        <v>8698</v>
      </c>
    </row>
    <row r="88" spans="1:11">
      <c r="A88" s="21" t="s">
        <v>3974</v>
      </c>
      <c r="B88" s="21" t="s">
        <v>8699</v>
      </c>
      <c r="C88" s="21" t="s">
        <v>8</v>
      </c>
      <c r="D88" s="21" t="s">
        <v>944</v>
      </c>
      <c r="E88" s="21" t="s">
        <v>9</v>
      </c>
      <c r="F88" s="5812">
        <v>3</v>
      </c>
      <c r="G88" s="5813">
        <v>0.20833333333333334</v>
      </c>
      <c r="H88" s="21" t="s">
        <v>10</v>
      </c>
      <c r="I88" s="21" t="s">
        <v>96</v>
      </c>
      <c r="J88" s="21" t="s">
        <v>8700</v>
      </c>
      <c r="K88" s="5814" t="s">
        <v>8701</v>
      </c>
    </row>
    <row r="89" spans="1:11">
      <c r="A89" s="21" t="s">
        <v>2467</v>
      </c>
      <c r="B89" s="21" t="s">
        <v>8702</v>
      </c>
      <c r="C89" s="21" t="s">
        <v>8</v>
      </c>
      <c r="D89" s="21" t="s">
        <v>944</v>
      </c>
      <c r="E89" s="21" t="s">
        <v>9</v>
      </c>
      <c r="F89" s="5812">
        <v>3</v>
      </c>
      <c r="G89" s="5813">
        <v>0.20833333333333334</v>
      </c>
      <c r="H89" s="21" t="s">
        <v>10</v>
      </c>
      <c r="I89" s="21" t="s">
        <v>89</v>
      </c>
      <c r="J89" s="21" t="s">
        <v>40</v>
      </c>
      <c r="K89" s="5814" t="s">
        <v>8703</v>
      </c>
    </row>
    <row r="90" spans="1:11">
      <c r="A90" s="21" t="s">
        <v>3152</v>
      </c>
      <c r="B90" s="21" t="s">
        <v>8704</v>
      </c>
      <c r="C90" s="21" t="s">
        <v>22</v>
      </c>
      <c r="D90" s="21" t="s">
        <v>944</v>
      </c>
      <c r="E90" s="21" t="s">
        <v>9</v>
      </c>
      <c r="F90" s="5812">
        <v>3</v>
      </c>
      <c r="G90" s="5813">
        <v>0.20833333333333334</v>
      </c>
      <c r="H90" s="21" t="s">
        <v>10</v>
      </c>
      <c r="I90" s="21" t="s">
        <v>23</v>
      </c>
      <c r="J90" s="21" t="s">
        <v>8705</v>
      </c>
      <c r="K90" s="5814" t="s">
        <v>8706</v>
      </c>
    </row>
    <row r="91" spans="1:11">
      <c r="A91" s="21" t="s">
        <v>2478</v>
      </c>
      <c r="B91" s="21" t="s">
        <v>8707</v>
      </c>
      <c r="C91" s="21" t="s">
        <v>22</v>
      </c>
      <c r="D91" s="21" t="s">
        <v>944</v>
      </c>
      <c r="E91" s="21" t="s">
        <v>9</v>
      </c>
      <c r="F91" s="5812">
        <v>3</v>
      </c>
      <c r="G91" s="5813">
        <v>0.20833333333333334</v>
      </c>
      <c r="H91" s="21" t="s">
        <v>10</v>
      </c>
      <c r="I91" s="21" t="s">
        <v>39</v>
      </c>
      <c r="J91" s="21" t="s">
        <v>8708</v>
      </c>
      <c r="K91" s="5814" t="s">
        <v>8709</v>
      </c>
    </row>
    <row r="92" spans="1:11">
      <c r="A92" s="21" t="s">
        <v>2057</v>
      </c>
      <c r="B92" s="21" t="s">
        <v>8710</v>
      </c>
      <c r="C92" s="21" t="s">
        <v>22</v>
      </c>
      <c r="D92" s="21" t="s">
        <v>944</v>
      </c>
      <c r="E92" s="21" t="s">
        <v>9</v>
      </c>
      <c r="F92" s="5812">
        <v>3</v>
      </c>
      <c r="G92" s="5813">
        <v>0.20833333333333334</v>
      </c>
      <c r="H92" s="21" t="s">
        <v>10</v>
      </c>
      <c r="I92" s="21" t="s">
        <v>11</v>
      </c>
      <c r="J92" s="21" t="s">
        <v>8711</v>
      </c>
      <c r="K92" s="5814" t="s">
        <v>8712</v>
      </c>
    </row>
    <row r="93" spans="1:11">
      <c r="A93" s="21" t="s">
        <v>3690</v>
      </c>
      <c r="B93" s="21" t="s">
        <v>8713</v>
      </c>
      <c r="C93" s="21" t="s">
        <v>8</v>
      </c>
      <c r="D93" s="21" t="s">
        <v>944</v>
      </c>
      <c r="E93" s="21" t="s">
        <v>9</v>
      </c>
      <c r="F93" s="5812">
        <v>3</v>
      </c>
      <c r="G93" s="5813">
        <v>0.20833333333333334</v>
      </c>
      <c r="H93" s="21" t="s">
        <v>10</v>
      </c>
      <c r="I93" s="21" t="s">
        <v>11</v>
      </c>
      <c r="J93" s="21" t="s">
        <v>8714</v>
      </c>
      <c r="K93" s="5814" t="s">
        <v>8715</v>
      </c>
    </row>
    <row r="94" spans="1:11">
      <c r="A94" s="21" t="s">
        <v>3690</v>
      </c>
      <c r="B94" s="21" t="s">
        <v>8716</v>
      </c>
      <c r="C94" s="21" t="s">
        <v>22</v>
      </c>
      <c r="D94" s="21" t="s">
        <v>944</v>
      </c>
      <c r="E94" s="21" t="s">
        <v>9</v>
      </c>
      <c r="F94" s="5812">
        <v>3</v>
      </c>
      <c r="G94" s="5813">
        <v>0.20833333333333334</v>
      </c>
      <c r="H94" s="21" t="s">
        <v>10</v>
      </c>
      <c r="I94" s="21" t="s">
        <v>39</v>
      </c>
      <c r="J94" s="21" t="s">
        <v>8717</v>
      </c>
      <c r="K94" s="5814" t="s">
        <v>8718</v>
      </c>
    </row>
    <row r="95" spans="1:11">
      <c r="A95" s="21" t="s">
        <v>2901</v>
      </c>
      <c r="B95" s="21" t="s">
        <v>8719</v>
      </c>
      <c r="C95" s="21" t="s">
        <v>8</v>
      </c>
      <c r="D95" s="21" t="s">
        <v>944</v>
      </c>
      <c r="E95" s="21" t="s">
        <v>9</v>
      </c>
      <c r="F95" s="5812">
        <v>3</v>
      </c>
      <c r="G95" s="5813">
        <v>0.20833333333333334</v>
      </c>
      <c r="H95" s="21" t="s">
        <v>10</v>
      </c>
      <c r="I95" s="21" t="s">
        <v>55</v>
      </c>
      <c r="J95" s="21" t="s">
        <v>8720</v>
      </c>
      <c r="K95" s="5814" t="s">
        <v>8721</v>
      </c>
    </row>
    <row r="96" spans="1:11">
      <c r="A96" s="21" t="s">
        <v>4003</v>
      </c>
      <c r="B96" s="21" t="s">
        <v>8722</v>
      </c>
      <c r="C96" s="21" t="s">
        <v>8</v>
      </c>
      <c r="D96" s="21" t="s">
        <v>944</v>
      </c>
      <c r="E96" s="21" t="s">
        <v>9</v>
      </c>
      <c r="F96" s="5812">
        <v>3</v>
      </c>
      <c r="G96" s="5813">
        <v>0.20833333333333334</v>
      </c>
      <c r="H96" s="21" t="s">
        <v>10</v>
      </c>
      <c r="I96" s="21" t="s">
        <v>39</v>
      </c>
      <c r="J96" s="21" t="s">
        <v>8723</v>
      </c>
      <c r="K96" s="5814" t="s">
        <v>8724</v>
      </c>
    </row>
    <row r="97" spans="1:11">
      <c r="A97" s="21" t="s">
        <v>2499</v>
      </c>
      <c r="B97" s="21" t="s">
        <v>8725</v>
      </c>
      <c r="C97" s="21" t="s">
        <v>8</v>
      </c>
      <c r="D97" s="21" t="s">
        <v>944</v>
      </c>
      <c r="E97" s="21" t="s">
        <v>9</v>
      </c>
      <c r="F97" s="5812">
        <v>3</v>
      </c>
      <c r="G97" s="5813">
        <v>0.20833333333333334</v>
      </c>
      <c r="H97" s="21" t="s">
        <v>10</v>
      </c>
      <c r="I97" s="21" t="s">
        <v>55</v>
      </c>
      <c r="J97" s="21" t="s">
        <v>8726</v>
      </c>
      <c r="K97" s="5814" t="s">
        <v>8727</v>
      </c>
    </row>
    <row r="98" spans="1:11">
      <c r="A98" s="21" t="s">
        <v>2499</v>
      </c>
      <c r="B98" s="21" t="s">
        <v>8728</v>
      </c>
      <c r="C98" s="21" t="s">
        <v>8</v>
      </c>
      <c r="D98" s="21" t="s">
        <v>944</v>
      </c>
      <c r="E98" s="21" t="s">
        <v>9</v>
      </c>
      <c r="F98" s="5812">
        <v>3</v>
      </c>
      <c r="G98" s="5813">
        <v>0.20833333333333334</v>
      </c>
      <c r="H98" s="21" t="s">
        <v>10</v>
      </c>
      <c r="I98" s="21" t="s">
        <v>39</v>
      </c>
      <c r="J98" s="21" t="s">
        <v>8729</v>
      </c>
      <c r="K98" s="5814" t="s">
        <v>8730</v>
      </c>
    </row>
    <row r="99" spans="1:11">
      <c r="A99" s="21" t="s">
        <v>3102</v>
      </c>
      <c r="B99" s="21" t="s">
        <v>8731</v>
      </c>
      <c r="C99" s="21" t="s">
        <v>22</v>
      </c>
      <c r="D99" s="21" t="s">
        <v>944</v>
      </c>
      <c r="E99" s="21" t="s">
        <v>9</v>
      </c>
      <c r="F99" s="5812">
        <v>3</v>
      </c>
      <c r="G99" s="5813">
        <v>0.20833333333333334</v>
      </c>
      <c r="H99" s="21" t="s">
        <v>10</v>
      </c>
      <c r="I99" s="21" t="s">
        <v>23</v>
      </c>
      <c r="J99" s="21" t="s">
        <v>8732</v>
      </c>
      <c r="K99" s="5814" t="s">
        <v>8733</v>
      </c>
    </row>
    <row r="100" spans="1:11">
      <c r="A100" s="21" t="s">
        <v>2969</v>
      </c>
      <c r="B100" s="21" t="s">
        <v>8734</v>
      </c>
      <c r="C100" s="21" t="s">
        <v>8</v>
      </c>
      <c r="D100" s="21" t="s">
        <v>944</v>
      </c>
      <c r="E100" s="21" t="s">
        <v>9</v>
      </c>
      <c r="F100" s="5812">
        <v>3</v>
      </c>
      <c r="G100" s="5813">
        <v>0.20833333333333334</v>
      </c>
      <c r="H100" s="21" t="s">
        <v>10</v>
      </c>
      <c r="I100" s="21" t="s">
        <v>55</v>
      </c>
      <c r="J100" s="21" t="s">
        <v>8735</v>
      </c>
      <c r="K100" s="5814" t="s">
        <v>8736</v>
      </c>
    </row>
    <row r="101" spans="1:11">
      <c r="A101" s="21" t="s">
        <v>3505</v>
      </c>
      <c r="B101" s="21" t="s">
        <v>8737</v>
      </c>
      <c r="C101" s="21" t="s">
        <v>8</v>
      </c>
      <c r="D101" s="21" t="s">
        <v>944</v>
      </c>
      <c r="E101" s="21" t="s">
        <v>9</v>
      </c>
      <c r="F101" s="5812">
        <v>3</v>
      </c>
      <c r="G101" s="5813">
        <v>0.20833333333333334</v>
      </c>
      <c r="H101" s="21" t="s">
        <v>10</v>
      </c>
      <c r="I101" s="21" t="s">
        <v>39</v>
      </c>
      <c r="J101" s="21" t="s">
        <v>8738</v>
      </c>
      <c r="K101" s="5814" t="s">
        <v>8739</v>
      </c>
    </row>
    <row r="102" spans="1:11">
      <c r="A102" s="21" t="s">
        <v>3481</v>
      </c>
      <c r="B102" s="21" t="s">
        <v>8740</v>
      </c>
      <c r="C102" s="21" t="s">
        <v>8</v>
      </c>
      <c r="D102" s="21" t="s">
        <v>944</v>
      </c>
      <c r="E102" s="21" t="s">
        <v>9</v>
      </c>
      <c r="F102" s="5812">
        <v>3</v>
      </c>
      <c r="G102" s="5813">
        <v>0.20833333333333334</v>
      </c>
      <c r="H102" s="21" t="s">
        <v>10</v>
      </c>
      <c r="I102" s="21" t="s">
        <v>47</v>
      </c>
      <c r="J102" s="21" t="s">
        <v>8741</v>
      </c>
      <c r="K102" s="5814" t="s">
        <v>8742</v>
      </c>
    </row>
    <row r="103" spans="1:11">
      <c r="A103" s="21" t="s">
        <v>3412</v>
      </c>
      <c r="B103" s="21" t="s">
        <v>8743</v>
      </c>
      <c r="C103" s="21" t="s">
        <v>8</v>
      </c>
      <c r="D103" s="21" t="s">
        <v>944</v>
      </c>
      <c r="E103" s="21" t="s">
        <v>9</v>
      </c>
      <c r="F103" s="5812">
        <v>3</v>
      </c>
      <c r="G103" s="5813">
        <v>0.20833333333333334</v>
      </c>
      <c r="H103" s="21" t="s">
        <v>10</v>
      </c>
      <c r="I103" s="21" t="s">
        <v>55</v>
      </c>
      <c r="J103" s="21" t="s">
        <v>8744</v>
      </c>
      <c r="K103" s="5814" t="s">
        <v>8745</v>
      </c>
    </row>
    <row r="104" spans="1:11">
      <c r="A104" s="21" t="s">
        <v>2509</v>
      </c>
      <c r="B104" s="21" t="s">
        <v>8746</v>
      </c>
      <c r="C104" s="21" t="s">
        <v>8</v>
      </c>
      <c r="D104" s="21" t="s">
        <v>944</v>
      </c>
      <c r="E104" s="21" t="s">
        <v>9</v>
      </c>
      <c r="F104" s="5812">
        <v>3</v>
      </c>
      <c r="G104" s="5813">
        <v>0.20833333333333334</v>
      </c>
      <c r="H104" s="21" t="s">
        <v>10</v>
      </c>
      <c r="I104" s="21" t="s">
        <v>23</v>
      </c>
      <c r="J104" s="21" t="s">
        <v>8747</v>
      </c>
      <c r="K104" s="5814" t="s">
        <v>8748</v>
      </c>
    </row>
    <row r="105" spans="1:11">
      <c r="A105" s="21" t="s">
        <v>5335</v>
      </c>
      <c r="B105" s="21" t="s">
        <v>8749</v>
      </c>
      <c r="C105" s="21" t="s">
        <v>8</v>
      </c>
      <c r="D105" s="21" t="s">
        <v>944</v>
      </c>
      <c r="E105" s="21" t="s">
        <v>9</v>
      </c>
      <c r="F105" s="5812">
        <v>3</v>
      </c>
      <c r="G105" s="5813">
        <v>0.20833333333333334</v>
      </c>
      <c r="H105" s="21" t="s">
        <v>10</v>
      </c>
      <c r="I105" s="21" t="s">
        <v>39</v>
      </c>
      <c r="J105" s="21" t="s">
        <v>8750</v>
      </c>
      <c r="K105" s="5814" t="s">
        <v>8751</v>
      </c>
    </row>
    <row r="106" spans="1:11">
      <c r="A106" s="21" t="s">
        <v>3009</v>
      </c>
      <c r="B106" s="21" t="s">
        <v>8752</v>
      </c>
      <c r="C106" s="21" t="s">
        <v>8</v>
      </c>
      <c r="D106" s="21" t="s">
        <v>944</v>
      </c>
      <c r="E106" s="21" t="s">
        <v>9</v>
      </c>
      <c r="F106" s="5812">
        <v>3</v>
      </c>
      <c r="G106" s="5813">
        <v>0.20833333333333334</v>
      </c>
      <c r="H106" s="21" t="s">
        <v>10</v>
      </c>
      <c r="I106" s="21" t="s">
        <v>11</v>
      </c>
      <c r="J106" s="21" t="s">
        <v>8753</v>
      </c>
      <c r="K106" s="5814" t="s">
        <v>8754</v>
      </c>
    </row>
    <row r="107" spans="1:11">
      <c r="A107" s="21" t="s">
        <v>3515</v>
      </c>
      <c r="B107" s="21" t="s">
        <v>8755</v>
      </c>
      <c r="C107" s="21" t="s">
        <v>8</v>
      </c>
      <c r="D107" s="21" t="s">
        <v>944</v>
      </c>
      <c r="E107" s="21" t="s">
        <v>9</v>
      </c>
      <c r="F107" s="5812">
        <v>3</v>
      </c>
      <c r="G107" s="5813">
        <v>0.20833333333333334</v>
      </c>
      <c r="H107" s="21" t="s">
        <v>10</v>
      </c>
      <c r="I107" s="21" t="s">
        <v>3517</v>
      </c>
      <c r="J107" s="21" t="s">
        <v>8756</v>
      </c>
      <c r="K107" s="5814" t="s">
        <v>8757</v>
      </c>
    </row>
    <row r="108" spans="1:11">
      <c r="A108" s="21" t="s">
        <v>2938</v>
      </c>
      <c r="B108" s="21" t="s">
        <v>8758</v>
      </c>
      <c r="C108" s="21" t="s">
        <v>8</v>
      </c>
      <c r="D108" s="21" t="s">
        <v>944</v>
      </c>
      <c r="E108" s="21" t="s">
        <v>9</v>
      </c>
      <c r="F108" s="5812">
        <v>3</v>
      </c>
      <c r="G108" s="5813">
        <v>0.20833333333333334</v>
      </c>
      <c r="H108" s="21" t="s">
        <v>10</v>
      </c>
      <c r="I108" s="21" t="s">
        <v>2313</v>
      </c>
      <c r="J108" s="21" t="s">
        <v>8759</v>
      </c>
      <c r="K108" s="5814" t="s">
        <v>8760</v>
      </c>
    </row>
    <row r="109" spans="1:11">
      <c r="A109" s="21" t="s">
        <v>2521</v>
      </c>
      <c r="B109" s="21" t="s">
        <v>8761</v>
      </c>
      <c r="C109" s="21" t="s">
        <v>22</v>
      </c>
      <c r="D109" s="21" t="s">
        <v>944</v>
      </c>
      <c r="E109" s="21" t="s">
        <v>9</v>
      </c>
      <c r="F109" s="5812">
        <v>3</v>
      </c>
      <c r="G109" s="5813">
        <v>0.20833333333333334</v>
      </c>
      <c r="H109" s="21" t="s">
        <v>10</v>
      </c>
      <c r="I109" s="21" t="s">
        <v>2523</v>
      </c>
      <c r="J109" s="21" t="s">
        <v>8762</v>
      </c>
      <c r="K109" s="5814" t="s">
        <v>8763</v>
      </c>
    </row>
    <row r="110" spans="1:11">
      <c r="A110" s="21" t="s">
        <v>4068</v>
      </c>
      <c r="B110" s="21" t="s">
        <v>8764</v>
      </c>
      <c r="C110" s="21" t="s">
        <v>22</v>
      </c>
      <c r="D110" s="21" t="s">
        <v>944</v>
      </c>
      <c r="E110" s="21" t="s">
        <v>9</v>
      </c>
      <c r="F110" s="5812">
        <v>3</v>
      </c>
      <c r="G110" s="5813">
        <v>0.20833333333333334</v>
      </c>
      <c r="H110" s="21" t="s">
        <v>10</v>
      </c>
      <c r="I110" s="21" t="s">
        <v>96</v>
      </c>
      <c r="J110" s="21" t="s">
        <v>8765</v>
      </c>
      <c r="K110" s="5814" t="s">
        <v>8766</v>
      </c>
    </row>
    <row r="111" spans="1:11">
      <c r="A111" s="21" t="s">
        <v>4068</v>
      </c>
      <c r="B111" s="21" t="s">
        <v>8767</v>
      </c>
      <c r="C111" s="21" t="s">
        <v>22</v>
      </c>
      <c r="D111" s="21" t="s">
        <v>944</v>
      </c>
      <c r="E111" s="21" t="s">
        <v>9</v>
      </c>
      <c r="F111" s="5812">
        <v>3</v>
      </c>
      <c r="G111" s="5813">
        <v>0.20833333333333334</v>
      </c>
      <c r="H111" s="21" t="s">
        <v>10</v>
      </c>
      <c r="I111" s="21" t="s">
        <v>39</v>
      </c>
      <c r="J111" s="21" t="s">
        <v>8768</v>
      </c>
      <c r="K111" s="5814" t="s">
        <v>8769</v>
      </c>
    </row>
    <row r="112" spans="1:11">
      <c r="A112" s="21" t="s">
        <v>2135</v>
      </c>
      <c r="B112" s="21" t="s">
        <v>8770</v>
      </c>
      <c r="C112" s="21" t="s">
        <v>22</v>
      </c>
      <c r="D112" s="21" t="s">
        <v>944</v>
      </c>
      <c r="E112" s="21" t="s">
        <v>9</v>
      </c>
      <c r="F112" s="5812">
        <v>3</v>
      </c>
      <c r="G112" s="5813">
        <v>0.20833333333333334</v>
      </c>
      <c r="H112" s="21" t="s">
        <v>10</v>
      </c>
      <c r="I112" s="21" t="s">
        <v>96</v>
      </c>
      <c r="J112" s="21" t="s">
        <v>8771</v>
      </c>
      <c r="K112" s="5814" t="s">
        <v>8772</v>
      </c>
    </row>
    <row r="113" spans="1:11">
      <c r="A113" s="21" t="s">
        <v>3616</v>
      </c>
      <c r="B113" s="21" t="s">
        <v>8773</v>
      </c>
      <c r="C113" s="21" t="s">
        <v>8</v>
      </c>
      <c r="D113" s="21" t="s">
        <v>944</v>
      </c>
      <c r="E113" s="21" t="s">
        <v>9</v>
      </c>
      <c r="F113" s="5812">
        <v>3</v>
      </c>
      <c r="G113" s="5813">
        <v>0.20833333333333334</v>
      </c>
      <c r="H113" s="21" t="s">
        <v>10</v>
      </c>
      <c r="I113" s="21" t="s">
        <v>23</v>
      </c>
      <c r="J113" s="21" t="s">
        <v>8774</v>
      </c>
      <c r="K113" s="5814" t="s">
        <v>8775</v>
      </c>
    </row>
    <row r="114" spans="1:11">
      <c r="A114" s="21" t="s">
        <v>3710</v>
      </c>
      <c r="B114" s="21" t="s">
        <v>8776</v>
      </c>
      <c r="C114" s="21" t="s">
        <v>22</v>
      </c>
      <c r="D114" s="21" t="s">
        <v>944</v>
      </c>
      <c r="E114" s="21" t="s">
        <v>9</v>
      </c>
      <c r="F114" s="5812">
        <v>3</v>
      </c>
      <c r="G114" s="5813">
        <v>0.20833333333333334</v>
      </c>
      <c r="H114" s="21" t="s">
        <v>10</v>
      </c>
      <c r="I114" s="21" t="s">
        <v>55</v>
      </c>
      <c r="J114" s="21" t="s">
        <v>8777</v>
      </c>
      <c r="K114" s="5814" t="s">
        <v>8778</v>
      </c>
    </row>
    <row r="115" spans="1:11">
      <c r="A115" s="21" t="s">
        <v>2560</v>
      </c>
      <c r="B115" s="21" t="s">
        <v>8779</v>
      </c>
      <c r="C115" s="21" t="s">
        <v>8</v>
      </c>
      <c r="D115" s="21" t="s">
        <v>944</v>
      </c>
      <c r="E115" s="21" t="s">
        <v>9</v>
      </c>
      <c r="F115" s="5812">
        <v>3</v>
      </c>
      <c r="G115" s="5813">
        <v>0.20833333333333334</v>
      </c>
      <c r="H115" s="21" t="s">
        <v>10</v>
      </c>
      <c r="I115" s="21" t="s">
        <v>187</v>
      </c>
      <c r="J115" s="21" t="s">
        <v>8780</v>
      </c>
      <c r="K115" s="5814" t="s">
        <v>8781</v>
      </c>
    </row>
    <row r="116" spans="1:11">
      <c r="A116" s="21" t="s">
        <v>2147</v>
      </c>
      <c r="B116" s="21" t="s">
        <v>8782</v>
      </c>
      <c r="C116" s="21" t="s">
        <v>8</v>
      </c>
      <c r="D116" s="21" t="s">
        <v>944</v>
      </c>
      <c r="E116" s="21" t="s">
        <v>9</v>
      </c>
      <c r="F116" s="5812">
        <v>3</v>
      </c>
      <c r="G116" s="5813">
        <v>0.20833333333333334</v>
      </c>
      <c r="H116" s="21" t="s">
        <v>10</v>
      </c>
      <c r="I116" s="21" t="s">
        <v>2153</v>
      </c>
      <c r="J116" s="21" t="s">
        <v>8783</v>
      </c>
      <c r="K116" s="5814" t="s">
        <v>8784</v>
      </c>
    </row>
    <row r="117" spans="1:11">
      <c r="A117" s="21" t="s">
        <v>2156</v>
      </c>
      <c r="B117" s="21" t="s">
        <v>8785</v>
      </c>
      <c r="C117" s="21" t="s">
        <v>22</v>
      </c>
      <c r="D117" s="21" t="s">
        <v>944</v>
      </c>
      <c r="E117" s="21" t="s">
        <v>9</v>
      </c>
      <c r="F117" s="5812">
        <v>3</v>
      </c>
      <c r="G117" s="5813">
        <v>0.20833333333333334</v>
      </c>
      <c r="H117" s="21" t="s">
        <v>10</v>
      </c>
      <c r="I117" s="21" t="s">
        <v>47</v>
      </c>
      <c r="J117" s="21" t="s">
        <v>8786</v>
      </c>
      <c r="K117" s="5814" t="s">
        <v>8787</v>
      </c>
    </row>
    <row r="118" spans="1:11">
      <c r="A118" s="21" t="s">
        <v>4132</v>
      </c>
      <c r="B118" s="21" t="s">
        <v>8788</v>
      </c>
      <c r="C118" s="21" t="s">
        <v>22</v>
      </c>
      <c r="D118" s="21" t="s">
        <v>944</v>
      </c>
      <c r="E118" s="21" t="s">
        <v>9</v>
      </c>
      <c r="F118" s="5812">
        <v>3</v>
      </c>
      <c r="G118" s="5813">
        <v>0.20833333333333334</v>
      </c>
      <c r="H118" s="21" t="s">
        <v>10</v>
      </c>
      <c r="I118" s="21" t="s">
        <v>2747</v>
      </c>
      <c r="J118" s="21" t="s">
        <v>8789</v>
      </c>
      <c r="K118" s="5814" t="s">
        <v>8790</v>
      </c>
    </row>
    <row r="119" spans="1:11">
      <c r="A119" s="21" t="s">
        <v>4132</v>
      </c>
      <c r="B119" s="21" t="s">
        <v>8791</v>
      </c>
      <c r="C119" s="21" t="s">
        <v>22</v>
      </c>
      <c r="D119" s="21" t="s">
        <v>944</v>
      </c>
      <c r="E119" s="21" t="s">
        <v>9</v>
      </c>
      <c r="F119" s="5812">
        <v>3</v>
      </c>
      <c r="G119" s="5813">
        <v>0.20833333333333334</v>
      </c>
      <c r="H119" s="21" t="s">
        <v>10</v>
      </c>
      <c r="I119" s="21" t="s">
        <v>2176</v>
      </c>
      <c r="J119" s="21" t="s">
        <v>8792</v>
      </c>
      <c r="K119" s="5814" t="s">
        <v>8793</v>
      </c>
    </row>
    <row r="120" spans="1:11">
      <c r="A120" s="21" t="s">
        <v>3208</v>
      </c>
      <c r="B120" s="21" t="s">
        <v>8794</v>
      </c>
      <c r="C120" s="21" t="s">
        <v>8</v>
      </c>
      <c r="D120" s="21" t="s">
        <v>944</v>
      </c>
      <c r="E120" s="21" t="s">
        <v>9</v>
      </c>
      <c r="F120" s="5812">
        <v>3</v>
      </c>
      <c r="G120" s="5813">
        <v>0.20833333333333334</v>
      </c>
      <c r="H120" s="21" t="s">
        <v>10</v>
      </c>
      <c r="I120" s="21" t="s">
        <v>55</v>
      </c>
      <c r="J120" s="21" t="s">
        <v>8795</v>
      </c>
      <c r="K120" s="5814" t="s">
        <v>8796</v>
      </c>
    </row>
    <row r="121" spans="1:11">
      <c r="A121" s="21" t="s">
        <v>3446</v>
      </c>
      <c r="B121" s="21" t="s">
        <v>8797</v>
      </c>
      <c r="C121" s="21" t="s">
        <v>22</v>
      </c>
      <c r="D121" s="21" t="s">
        <v>944</v>
      </c>
      <c r="E121" s="21" t="s">
        <v>9</v>
      </c>
      <c r="F121" s="5812">
        <v>3</v>
      </c>
      <c r="G121" s="5813">
        <v>0.20833333333333334</v>
      </c>
      <c r="H121" s="21" t="s">
        <v>10</v>
      </c>
      <c r="I121" s="21" t="s">
        <v>3448</v>
      </c>
      <c r="J121" s="21" t="s">
        <v>8798</v>
      </c>
      <c r="K121" s="5814" t="s">
        <v>8799</v>
      </c>
    </row>
    <row r="122" spans="1:11">
      <c r="A122" s="21" t="s">
        <v>3728</v>
      </c>
      <c r="B122" s="21" t="s">
        <v>8800</v>
      </c>
      <c r="C122" s="21" t="s">
        <v>8</v>
      </c>
      <c r="D122" s="21" t="s">
        <v>944</v>
      </c>
      <c r="E122" s="21" t="s">
        <v>9</v>
      </c>
      <c r="F122" s="5812">
        <v>3</v>
      </c>
      <c r="G122" s="5813">
        <v>0.20833333333333334</v>
      </c>
      <c r="H122" s="21" t="s">
        <v>10</v>
      </c>
      <c r="I122" s="21"/>
      <c r="J122" s="21" t="s">
        <v>8801</v>
      </c>
      <c r="K122" s="5814" t="s">
        <v>8802</v>
      </c>
    </row>
    <row r="123" spans="1:11">
      <c r="A123" s="21" t="s">
        <v>2169</v>
      </c>
      <c r="B123" s="21" t="s">
        <v>8803</v>
      </c>
      <c r="C123" s="21" t="s">
        <v>22</v>
      </c>
      <c r="D123" s="21" t="s">
        <v>944</v>
      </c>
      <c r="E123" s="21" t="s">
        <v>9</v>
      </c>
      <c r="F123" s="5812">
        <v>3</v>
      </c>
      <c r="G123" s="5813">
        <v>0.20833333333333334</v>
      </c>
      <c r="H123" s="21" t="s">
        <v>10</v>
      </c>
      <c r="I123" s="21" t="s">
        <v>96</v>
      </c>
      <c r="J123" s="21" t="s">
        <v>8804</v>
      </c>
      <c r="K123" s="5814" t="s">
        <v>8805</v>
      </c>
    </row>
    <row r="124" spans="1:11">
      <c r="A124" s="21" t="s">
        <v>2169</v>
      </c>
      <c r="B124" s="21" t="s">
        <v>8806</v>
      </c>
      <c r="C124" s="21" t="s">
        <v>8</v>
      </c>
      <c r="D124" s="21" t="s">
        <v>944</v>
      </c>
      <c r="E124" s="21" t="s">
        <v>9</v>
      </c>
      <c r="F124" s="5812">
        <v>3</v>
      </c>
      <c r="G124" s="5813">
        <v>0.20833333333333334</v>
      </c>
      <c r="H124" s="21" t="s">
        <v>10</v>
      </c>
      <c r="I124" s="21" t="s">
        <v>89</v>
      </c>
      <c r="J124" s="21" t="s">
        <v>8807</v>
      </c>
      <c r="K124" s="5814" t="s">
        <v>8808</v>
      </c>
    </row>
    <row r="125" spans="1:11">
      <c r="A125" s="21" t="s">
        <v>2595</v>
      </c>
      <c r="B125" s="21" t="s">
        <v>8809</v>
      </c>
      <c r="C125" s="21" t="s">
        <v>8</v>
      </c>
      <c r="D125" s="21" t="s">
        <v>944</v>
      </c>
      <c r="E125" s="21" t="s">
        <v>9</v>
      </c>
      <c r="F125" s="5812">
        <v>3</v>
      </c>
      <c r="G125" s="5813">
        <v>0.20833333333333334</v>
      </c>
      <c r="H125" s="21" t="s">
        <v>10</v>
      </c>
      <c r="I125" s="21" t="s">
        <v>55</v>
      </c>
      <c r="J125" s="21" t="s">
        <v>8810</v>
      </c>
      <c r="K125" s="5814" t="s">
        <v>8811</v>
      </c>
    </row>
    <row r="126" spans="1:11">
      <c r="A126" s="21" t="s">
        <v>2605</v>
      </c>
      <c r="B126" s="21" t="s">
        <v>8812</v>
      </c>
      <c r="C126" s="21" t="s">
        <v>8</v>
      </c>
      <c r="D126" s="21" t="s">
        <v>944</v>
      </c>
      <c r="E126" s="21" t="s">
        <v>9</v>
      </c>
      <c r="F126" s="5812">
        <v>3</v>
      </c>
      <c r="G126" s="5813">
        <v>0.20833333333333334</v>
      </c>
      <c r="H126" s="21" t="s">
        <v>10</v>
      </c>
      <c r="I126" s="21" t="s">
        <v>2692</v>
      </c>
      <c r="J126" s="21" t="s">
        <v>8813</v>
      </c>
      <c r="K126" s="5814" t="s">
        <v>8814</v>
      </c>
    </row>
    <row r="127" spans="1:11">
      <c r="A127" s="21" t="s">
        <v>2605</v>
      </c>
      <c r="B127" s="21" t="s">
        <v>8815</v>
      </c>
      <c r="C127" s="21" t="s">
        <v>8</v>
      </c>
      <c r="D127" s="21" t="s">
        <v>944</v>
      </c>
      <c r="E127" s="21" t="s">
        <v>9</v>
      </c>
      <c r="F127" s="5812">
        <v>3</v>
      </c>
      <c r="G127" s="5813">
        <v>0.20833333333333334</v>
      </c>
      <c r="H127" s="21" t="s">
        <v>10</v>
      </c>
      <c r="I127" s="21" t="s">
        <v>226</v>
      </c>
      <c r="J127" s="21" t="s">
        <v>8816</v>
      </c>
      <c r="K127" s="5814" t="s">
        <v>8817</v>
      </c>
    </row>
    <row r="128" spans="1:11">
      <c r="A128" s="21" t="s">
        <v>2609</v>
      </c>
      <c r="B128" s="21" t="s">
        <v>8818</v>
      </c>
      <c r="C128" s="21" t="s">
        <v>22</v>
      </c>
      <c r="D128" s="21" t="s">
        <v>944</v>
      </c>
      <c r="E128" s="21" t="s">
        <v>9</v>
      </c>
      <c r="F128" s="5812">
        <v>3</v>
      </c>
      <c r="G128" s="5813">
        <v>0.20833333333333334</v>
      </c>
      <c r="H128" s="21" t="s">
        <v>10</v>
      </c>
      <c r="I128" s="21" t="s">
        <v>47</v>
      </c>
      <c r="J128" s="21" t="s">
        <v>8819</v>
      </c>
      <c r="K128" s="5814" t="s">
        <v>8820</v>
      </c>
    </row>
    <row r="129" spans="1:11">
      <c r="A129" s="21" t="s">
        <v>4711</v>
      </c>
      <c r="B129" s="21" t="s">
        <v>8821</v>
      </c>
      <c r="C129" s="21" t="s">
        <v>22</v>
      </c>
      <c r="D129" s="21" t="s">
        <v>944</v>
      </c>
      <c r="E129" s="21" t="s">
        <v>9</v>
      </c>
      <c r="F129" s="5812">
        <v>3</v>
      </c>
      <c r="G129" s="5813">
        <v>0.20833333333333334</v>
      </c>
      <c r="H129" s="21" t="s">
        <v>10</v>
      </c>
      <c r="I129" s="21" t="s">
        <v>194</v>
      </c>
      <c r="J129" s="21" t="s">
        <v>8822</v>
      </c>
      <c r="K129" s="5814" t="s">
        <v>8823</v>
      </c>
    </row>
    <row r="130" spans="1:11">
      <c r="A130" s="21" t="s">
        <v>2616</v>
      </c>
      <c r="B130" s="21" t="s">
        <v>8824</v>
      </c>
      <c r="C130" s="21" t="s">
        <v>8</v>
      </c>
      <c r="D130" s="21" t="s">
        <v>944</v>
      </c>
      <c r="E130" s="21" t="s">
        <v>9</v>
      </c>
      <c r="F130" s="5812">
        <v>3</v>
      </c>
      <c r="G130" s="5813">
        <v>0.20833333333333334</v>
      </c>
      <c r="H130" s="21" t="s">
        <v>10</v>
      </c>
      <c r="I130" s="21" t="s">
        <v>194</v>
      </c>
      <c r="J130" s="21" t="s">
        <v>8825</v>
      </c>
      <c r="K130" s="5814" t="s">
        <v>8826</v>
      </c>
    </row>
    <row r="131" spans="1:11">
      <c r="A131" s="21" t="s">
        <v>2616</v>
      </c>
      <c r="B131" s="21" t="s">
        <v>8827</v>
      </c>
      <c r="C131" s="21" t="s">
        <v>22</v>
      </c>
      <c r="D131" s="21" t="s">
        <v>944</v>
      </c>
      <c r="E131" s="21" t="s">
        <v>9</v>
      </c>
      <c r="F131" s="5812">
        <v>3</v>
      </c>
      <c r="G131" s="5813">
        <v>0.20833333333333334</v>
      </c>
      <c r="H131" s="21" t="s">
        <v>10</v>
      </c>
      <c r="I131" s="21" t="s">
        <v>194</v>
      </c>
      <c r="J131" s="21" t="s">
        <v>8828</v>
      </c>
      <c r="K131" s="5814" t="s">
        <v>8829</v>
      </c>
    </row>
    <row r="132" spans="1:11">
      <c r="A132" s="21" t="s">
        <v>4177</v>
      </c>
      <c r="B132" s="21" t="s">
        <v>8830</v>
      </c>
      <c r="C132" s="21" t="s">
        <v>8</v>
      </c>
      <c r="D132" s="21" t="s">
        <v>944</v>
      </c>
      <c r="E132" s="21" t="s">
        <v>9</v>
      </c>
      <c r="F132" s="5812">
        <v>3</v>
      </c>
      <c r="G132" s="5813">
        <v>0.20833333333333334</v>
      </c>
      <c r="H132" s="21" t="s">
        <v>10</v>
      </c>
      <c r="I132" s="21" t="s">
        <v>55</v>
      </c>
      <c r="J132" s="21" t="s">
        <v>8831</v>
      </c>
      <c r="K132" s="5814" t="s">
        <v>8832</v>
      </c>
    </row>
    <row r="133" spans="1:11">
      <c r="A133" s="21" t="s">
        <v>3323</v>
      </c>
      <c r="B133" s="21" t="s">
        <v>8833</v>
      </c>
      <c r="C133" s="21" t="s">
        <v>22</v>
      </c>
      <c r="D133" s="21" t="s">
        <v>944</v>
      </c>
      <c r="E133" s="21" t="s">
        <v>9</v>
      </c>
      <c r="F133" s="5812">
        <v>3</v>
      </c>
      <c r="G133" s="5813">
        <v>0.20833333333333334</v>
      </c>
      <c r="H133" s="21" t="s">
        <v>10</v>
      </c>
      <c r="I133" s="21" t="s">
        <v>55</v>
      </c>
      <c r="J133" s="21" t="s">
        <v>8834</v>
      </c>
      <c r="K133" s="5814" t="s">
        <v>8835</v>
      </c>
    </row>
    <row r="134" spans="1:11">
      <c r="A134" s="21" t="s">
        <v>2655</v>
      </c>
      <c r="B134" s="21" t="s">
        <v>8836</v>
      </c>
      <c r="C134" s="21" t="s">
        <v>8</v>
      </c>
      <c r="D134" s="21" t="s">
        <v>944</v>
      </c>
      <c r="E134" s="21" t="s">
        <v>9</v>
      </c>
      <c r="F134" s="5812">
        <v>3</v>
      </c>
      <c r="G134" s="5813">
        <v>0.20833333333333334</v>
      </c>
      <c r="H134" s="21" t="s">
        <v>10</v>
      </c>
      <c r="I134" s="21" t="s">
        <v>55</v>
      </c>
      <c r="J134" s="21" t="s">
        <v>8837</v>
      </c>
      <c r="K134" s="5814" t="s">
        <v>8838</v>
      </c>
    </row>
    <row r="135" spans="1:11">
      <c r="A135" s="21" t="s">
        <v>2663</v>
      </c>
      <c r="B135" s="21" t="s">
        <v>8839</v>
      </c>
      <c r="C135" s="21" t="s">
        <v>22</v>
      </c>
      <c r="D135" s="21" t="s">
        <v>944</v>
      </c>
      <c r="E135" s="21" t="s">
        <v>9</v>
      </c>
      <c r="F135" s="5812">
        <v>3</v>
      </c>
      <c r="G135" s="5813">
        <v>0.20833333333333334</v>
      </c>
      <c r="H135" s="21" t="s">
        <v>10</v>
      </c>
      <c r="I135" s="21" t="s">
        <v>11</v>
      </c>
      <c r="J135" s="21" t="s">
        <v>8840</v>
      </c>
      <c r="K135" s="5814" t="s">
        <v>8841</v>
      </c>
    </row>
    <row r="136" spans="1:11">
      <c r="A136" s="21" t="s">
        <v>3364</v>
      </c>
      <c r="B136" s="21" t="s">
        <v>8842</v>
      </c>
      <c r="C136" s="21" t="s">
        <v>22</v>
      </c>
      <c r="D136" s="21" t="s">
        <v>944</v>
      </c>
      <c r="E136" s="21" t="s">
        <v>9</v>
      </c>
      <c r="F136" s="5812">
        <v>3</v>
      </c>
      <c r="G136" s="5813">
        <v>0.20833333333333334</v>
      </c>
      <c r="H136" s="21" t="s">
        <v>10</v>
      </c>
      <c r="I136" s="21" t="s">
        <v>11</v>
      </c>
      <c r="J136" s="21" t="s">
        <v>8843</v>
      </c>
      <c r="K136" s="5814" t="s">
        <v>8844</v>
      </c>
    </row>
    <row r="137" spans="1:11">
      <c r="A137" s="21" t="s">
        <v>3741</v>
      </c>
      <c r="B137" s="21" t="s">
        <v>8845</v>
      </c>
      <c r="C137" s="21" t="s">
        <v>8</v>
      </c>
      <c r="D137" s="21" t="s">
        <v>944</v>
      </c>
      <c r="E137" s="21" t="s">
        <v>9</v>
      </c>
      <c r="F137" s="5812">
        <v>3</v>
      </c>
      <c r="G137" s="5813">
        <v>0.20833333333333334</v>
      </c>
      <c r="H137" s="21" t="s">
        <v>10</v>
      </c>
      <c r="I137" s="21" t="s">
        <v>2872</v>
      </c>
      <c r="J137" s="21" t="s">
        <v>8846</v>
      </c>
      <c r="K137" s="5814" t="s">
        <v>8847</v>
      </c>
    </row>
    <row r="138" spans="1:11">
      <c r="A138" s="21" t="s">
        <v>2197</v>
      </c>
      <c r="B138" s="21" t="s">
        <v>8848</v>
      </c>
      <c r="C138" s="21" t="s">
        <v>8</v>
      </c>
      <c r="D138" s="21" t="s">
        <v>944</v>
      </c>
      <c r="E138" s="21" t="s">
        <v>9</v>
      </c>
      <c r="F138" s="5812">
        <v>3</v>
      </c>
      <c r="G138" s="5813">
        <v>0.20833333333333334</v>
      </c>
      <c r="H138" s="21" t="s">
        <v>10</v>
      </c>
      <c r="I138" s="21" t="s">
        <v>400</v>
      </c>
      <c r="J138" s="21" t="s">
        <v>8849</v>
      </c>
      <c r="K138" s="5814" t="s">
        <v>8850</v>
      </c>
    </row>
    <row r="139" spans="1:11">
      <c r="A139" s="21" t="s">
        <v>3089</v>
      </c>
      <c r="B139" s="21" t="s">
        <v>8851</v>
      </c>
      <c r="C139" s="21" t="s">
        <v>8</v>
      </c>
      <c r="D139" s="21" t="s">
        <v>944</v>
      </c>
      <c r="E139" s="21" t="s">
        <v>9</v>
      </c>
      <c r="F139" s="5812">
        <v>3</v>
      </c>
      <c r="G139" s="5813">
        <v>0.20833333333333334</v>
      </c>
      <c r="H139" s="21" t="s">
        <v>10</v>
      </c>
      <c r="I139" s="21" t="s">
        <v>3278</v>
      </c>
      <c r="J139" s="21" t="s">
        <v>8852</v>
      </c>
      <c r="K139" s="5814" t="s">
        <v>8853</v>
      </c>
    </row>
    <row r="140" spans="1:11">
      <c r="A140" s="21" t="s">
        <v>2201</v>
      </c>
      <c r="B140" s="21" t="s">
        <v>8854</v>
      </c>
      <c r="C140" s="21" t="s">
        <v>8</v>
      </c>
      <c r="D140" s="21" t="s">
        <v>944</v>
      </c>
      <c r="E140" s="21" t="s">
        <v>9</v>
      </c>
      <c r="F140" s="5812">
        <v>3</v>
      </c>
      <c r="G140" s="5813">
        <v>0.20833333333333334</v>
      </c>
      <c r="H140" s="21" t="s">
        <v>10</v>
      </c>
      <c r="I140" s="21" t="s">
        <v>89</v>
      </c>
      <c r="J140" s="21" t="s">
        <v>8855</v>
      </c>
      <c r="K140" s="5814" t="s">
        <v>8856</v>
      </c>
    </row>
    <row r="141" spans="1:11">
      <c r="A141" s="21" t="s">
        <v>2698</v>
      </c>
      <c r="B141" s="21" t="s">
        <v>8857</v>
      </c>
      <c r="C141" s="21" t="s">
        <v>22</v>
      </c>
      <c r="D141" s="21" t="s">
        <v>944</v>
      </c>
      <c r="E141" s="21" t="s">
        <v>9</v>
      </c>
      <c r="F141" s="5812">
        <v>3</v>
      </c>
      <c r="G141" s="5813">
        <v>0.20833333333333334</v>
      </c>
      <c r="H141" s="21" t="s">
        <v>10</v>
      </c>
      <c r="I141" s="21" t="s">
        <v>2523</v>
      </c>
      <c r="J141" s="21" t="s">
        <v>8858</v>
      </c>
      <c r="K141" s="5814" t="s">
        <v>8859</v>
      </c>
    </row>
    <row r="142" spans="1:11">
      <c r="A142" s="21" t="s">
        <v>3761</v>
      </c>
      <c r="B142" s="21" t="s">
        <v>8860</v>
      </c>
      <c r="C142" s="21" t="s">
        <v>8</v>
      </c>
      <c r="D142" s="21" t="s">
        <v>944</v>
      </c>
      <c r="E142" s="21" t="s">
        <v>9</v>
      </c>
      <c r="F142" s="5812">
        <v>3</v>
      </c>
      <c r="G142" s="5813">
        <v>0.20833333333333334</v>
      </c>
      <c r="H142" s="21" t="s">
        <v>10</v>
      </c>
      <c r="I142" s="21" t="s">
        <v>2544</v>
      </c>
      <c r="J142" s="21" t="s">
        <v>8861</v>
      </c>
      <c r="K142" s="5814" t="s">
        <v>8862</v>
      </c>
    </row>
    <row r="143" spans="1:11">
      <c r="A143" s="21" t="s">
        <v>2212</v>
      </c>
      <c r="B143" s="21" t="s">
        <v>8863</v>
      </c>
      <c r="C143" s="21" t="s">
        <v>8</v>
      </c>
      <c r="D143" s="21" t="s">
        <v>944</v>
      </c>
      <c r="E143" s="21" t="s">
        <v>9</v>
      </c>
      <c r="F143" s="5812">
        <v>3</v>
      </c>
      <c r="G143" s="5813">
        <v>0.20833333333333334</v>
      </c>
      <c r="H143" s="21" t="s">
        <v>10</v>
      </c>
      <c r="I143" s="21" t="s">
        <v>39</v>
      </c>
      <c r="J143" s="21" t="s">
        <v>8864</v>
      </c>
      <c r="K143" s="5814" t="s">
        <v>8865</v>
      </c>
    </row>
    <row r="144" spans="1:11">
      <c r="A144" s="21" t="s">
        <v>3532</v>
      </c>
      <c r="B144" s="21" t="s">
        <v>8866</v>
      </c>
      <c r="C144" s="21" t="s">
        <v>8</v>
      </c>
      <c r="D144" s="21" t="s">
        <v>944</v>
      </c>
      <c r="E144" s="21" t="s">
        <v>9</v>
      </c>
      <c r="F144" s="5812">
        <v>3</v>
      </c>
      <c r="G144" s="5813">
        <v>0.20833333333333334</v>
      </c>
      <c r="H144" s="21" t="s">
        <v>10</v>
      </c>
      <c r="I144" s="21" t="s">
        <v>2713</v>
      </c>
      <c r="J144" s="21" t="s">
        <v>8867</v>
      </c>
      <c r="K144" s="5814" t="s">
        <v>8868</v>
      </c>
    </row>
    <row r="145" spans="1:11">
      <c r="A145" s="21" t="s">
        <v>3213</v>
      </c>
      <c r="B145" s="21" t="s">
        <v>8869</v>
      </c>
      <c r="C145" s="21" t="s">
        <v>8</v>
      </c>
      <c r="D145" s="21" t="s">
        <v>944</v>
      </c>
      <c r="E145" s="21" t="s">
        <v>9</v>
      </c>
      <c r="F145" s="5812">
        <v>3</v>
      </c>
      <c r="G145" s="5813">
        <v>0.20833333333333334</v>
      </c>
      <c r="H145" s="21" t="s">
        <v>10</v>
      </c>
      <c r="I145" s="21" t="s">
        <v>2713</v>
      </c>
      <c r="J145" s="21" t="s">
        <v>8870</v>
      </c>
      <c r="K145" s="5814" t="s">
        <v>8871</v>
      </c>
    </row>
    <row r="146" spans="1:11">
      <c r="A146" s="21" t="s">
        <v>3213</v>
      </c>
      <c r="B146" s="21" t="s">
        <v>8872</v>
      </c>
      <c r="C146" s="21" t="s">
        <v>22</v>
      </c>
      <c r="D146" s="21" t="s">
        <v>944</v>
      </c>
      <c r="E146" s="21" t="s">
        <v>9</v>
      </c>
      <c r="F146" s="5812">
        <v>3</v>
      </c>
      <c r="G146" s="5813">
        <v>0.20833333333333334</v>
      </c>
      <c r="H146" s="21" t="s">
        <v>10</v>
      </c>
      <c r="I146" s="21" t="s">
        <v>2313</v>
      </c>
      <c r="J146" s="21" t="s">
        <v>7605</v>
      </c>
      <c r="K146" s="5814" t="s">
        <v>8873</v>
      </c>
    </row>
    <row r="147" spans="1:11">
      <c r="A147" s="21" t="s">
        <v>2221</v>
      </c>
      <c r="B147" s="21" t="s">
        <v>8874</v>
      </c>
      <c r="C147" s="21" t="s">
        <v>22</v>
      </c>
      <c r="D147" s="21" t="s">
        <v>944</v>
      </c>
      <c r="E147" s="21" t="s">
        <v>9</v>
      </c>
      <c r="F147" s="5812">
        <v>3</v>
      </c>
      <c r="G147" s="5813">
        <v>0.20833333333333334</v>
      </c>
      <c r="H147" s="21" t="s">
        <v>10</v>
      </c>
      <c r="I147" s="21" t="s">
        <v>23</v>
      </c>
      <c r="J147" s="21" t="s">
        <v>8875</v>
      </c>
      <c r="K147" s="5814" t="s">
        <v>8876</v>
      </c>
    </row>
    <row r="148" spans="1:11">
      <c r="A148" s="21" t="s">
        <v>2772</v>
      </c>
      <c r="B148" s="21" t="s">
        <v>8877</v>
      </c>
      <c r="C148" s="21" t="s">
        <v>8</v>
      </c>
      <c r="D148" s="21" t="s">
        <v>944</v>
      </c>
      <c r="E148" s="21" t="s">
        <v>9</v>
      </c>
      <c r="F148" s="5812">
        <v>3</v>
      </c>
      <c r="G148" s="5813">
        <v>0.20833333333333334</v>
      </c>
      <c r="H148" s="21" t="s">
        <v>10</v>
      </c>
      <c r="I148" s="21" t="s">
        <v>2814</v>
      </c>
      <c r="J148" s="21" t="s">
        <v>8878</v>
      </c>
      <c r="K148" s="5814" t="s">
        <v>8879</v>
      </c>
    </row>
    <row r="149" spans="1:11">
      <c r="A149" s="21" t="s">
        <v>4313</v>
      </c>
      <c r="B149" s="21" t="s">
        <v>8880</v>
      </c>
      <c r="C149" s="21" t="s">
        <v>8</v>
      </c>
      <c r="D149" s="21" t="s">
        <v>944</v>
      </c>
      <c r="E149" s="21" t="s">
        <v>9</v>
      </c>
      <c r="F149" s="5812">
        <v>3</v>
      </c>
      <c r="G149" s="5813">
        <v>0.20833333333333334</v>
      </c>
      <c r="H149" s="21" t="s">
        <v>10</v>
      </c>
      <c r="I149" s="21" t="s">
        <v>47</v>
      </c>
      <c r="J149" s="21" t="s">
        <v>8881</v>
      </c>
      <c r="K149" s="5814" t="s">
        <v>8882</v>
      </c>
    </row>
    <row r="150" spans="1:11">
      <c r="A150" s="21" t="s">
        <v>3651</v>
      </c>
      <c r="B150" s="21" t="s">
        <v>8883</v>
      </c>
      <c r="C150" s="21" t="s">
        <v>22</v>
      </c>
      <c r="D150" s="21" t="s">
        <v>944</v>
      </c>
      <c r="E150" s="21" t="s">
        <v>9</v>
      </c>
      <c r="F150" s="5812">
        <v>3</v>
      </c>
      <c r="G150" s="5813">
        <v>0.20833333333333334</v>
      </c>
      <c r="H150" s="21" t="s">
        <v>10</v>
      </c>
      <c r="I150" s="21" t="s">
        <v>6561</v>
      </c>
      <c r="J150" s="21" t="s">
        <v>8884</v>
      </c>
      <c r="K150" s="5814" t="s">
        <v>8885</v>
      </c>
    </row>
    <row r="151" spans="1:11">
      <c r="A151" s="21" t="s">
        <v>2229</v>
      </c>
      <c r="B151" s="21" t="s">
        <v>8886</v>
      </c>
      <c r="C151" s="21" t="s">
        <v>8</v>
      </c>
      <c r="D151" s="21" t="s">
        <v>944</v>
      </c>
      <c r="E151" s="21" t="s">
        <v>9</v>
      </c>
      <c r="F151" s="5812">
        <v>3</v>
      </c>
      <c r="G151" s="5813">
        <v>0.20833333333333334</v>
      </c>
      <c r="H151" s="21" t="s">
        <v>10</v>
      </c>
      <c r="I151" s="21" t="s">
        <v>233</v>
      </c>
      <c r="J151" s="21" t="s">
        <v>8887</v>
      </c>
      <c r="K151" s="5814" t="s">
        <v>8888</v>
      </c>
    </row>
    <row r="152" spans="1:11">
      <c r="A152" s="21" t="s">
        <v>2776</v>
      </c>
      <c r="B152" s="21" t="s">
        <v>8889</v>
      </c>
      <c r="C152" s="21" t="s">
        <v>8</v>
      </c>
      <c r="D152" s="21" t="s">
        <v>944</v>
      </c>
      <c r="E152" s="21" t="s">
        <v>9</v>
      </c>
      <c r="F152" s="5812">
        <v>3</v>
      </c>
      <c r="G152" s="5813">
        <v>0.20833333333333334</v>
      </c>
      <c r="H152" s="21" t="s">
        <v>10</v>
      </c>
      <c r="I152" s="21" t="s">
        <v>2523</v>
      </c>
      <c r="J152" s="21" t="s">
        <v>8890</v>
      </c>
      <c r="K152" s="5814" t="s">
        <v>8891</v>
      </c>
    </row>
    <row r="153" spans="1:11">
      <c r="A153" s="21" t="s">
        <v>2780</v>
      </c>
      <c r="B153" s="21" t="s">
        <v>8892</v>
      </c>
      <c r="C153" s="21" t="s">
        <v>8</v>
      </c>
      <c r="D153" s="21" t="s">
        <v>944</v>
      </c>
      <c r="E153" s="21" t="s">
        <v>9</v>
      </c>
      <c r="F153" s="5812">
        <v>3</v>
      </c>
      <c r="G153" s="5813">
        <v>0.20833333333333334</v>
      </c>
      <c r="H153" s="21" t="s">
        <v>10</v>
      </c>
      <c r="I153" s="21" t="s">
        <v>2297</v>
      </c>
      <c r="J153" s="21" t="s">
        <v>8893</v>
      </c>
      <c r="K153" s="5814" t="s">
        <v>8894</v>
      </c>
    </row>
    <row r="154" spans="1:11">
      <c r="A154" s="21" t="s">
        <v>2792</v>
      </c>
      <c r="B154" s="21" t="s">
        <v>8895</v>
      </c>
      <c r="C154" s="21" t="s">
        <v>8</v>
      </c>
      <c r="D154" s="21" t="s">
        <v>944</v>
      </c>
      <c r="E154" s="21" t="s">
        <v>9</v>
      </c>
      <c r="F154" s="5812">
        <v>3</v>
      </c>
      <c r="G154" s="5813">
        <v>0.20833333333333334</v>
      </c>
      <c r="H154" s="21" t="s">
        <v>10</v>
      </c>
      <c r="I154" s="21" t="s">
        <v>8044</v>
      </c>
      <c r="J154" s="21" t="s">
        <v>8896</v>
      </c>
      <c r="K154" s="5814" t="s">
        <v>8897</v>
      </c>
    </row>
    <row r="155" spans="1:11">
      <c r="A155" s="21" t="s">
        <v>2792</v>
      </c>
      <c r="B155" s="21" t="s">
        <v>8898</v>
      </c>
      <c r="C155" s="21" t="s">
        <v>8</v>
      </c>
      <c r="D155" s="21" t="s">
        <v>944</v>
      </c>
      <c r="E155" s="21" t="s">
        <v>9</v>
      </c>
      <c r="F155" s="5812">
        <v>3</v>
      </c>
      <c r="G155" s="5813">
        <v>0.20833333333333334</v>
      </c>
      <c r="H155" s="21" t="s">
        <v>10</v>
      </c>
      <c r="I155" s="21" t="s">
        <v>11</v>
      </c>
      <c r="J155" s="21" t="s">
        <v>8899</v>
      </c>
      <c r="K155" s="5814" t="s">
        <v>8900</v>
      </c>
    </row>
    <row r="156" spans="1:11">
      <c r="A156" s="21" t="s">
        <v>3783</v>
      </c>
      <c r="B156" s="21" t="s">
        <v>8901</v>
      </c>
      <c r="C156" s="21" t="s">
        <v>8</v>
      </c>
      <c r="D156" s="21" t="s">
        <v>944</v>
      </c>
      <c r="E156" s="21" t="s">
        <v>9</v>
      </c>
      <c r="F156" s="5812">
        <v>3</v>
      </c>
      <c r="G156" s="5813">
        <v>0.20833333333333334</v>
      </c>
      <c r="H156" s="21" t="s">
        <v>10</v>
      </c>
      <c r="I156" s="21" t="s">
        <v>2872</v>
      </c>
      <c r="J156" s="21" t="s">
        <v>8902</v>
      </c>
      <c r="K156" s="5814" t="s">
        <v>8903</v>
      </c>
    </row>
    <row r="157" spans="1:11">
      <c r="A157" s="21" t="s">
        <v>2237</v>
      </c>
      <c r="B157" s="21" t="s">
        <v>8904</v>
      </c>
      <c r="C157" s="21" t="s">
        <v>22</v>
      </c>
      <c r="D157" s="21" t="s">
        <v>944</v>
      </c>
      <c r="E157" s="21" t="s">
        <v>9</v>
      </c>
      <c r="F157" s="5812">
        <v>3</v>
      </c>
      <c r="G157" s="5813">
        <v>0.20833333333333334</v>
      </c>
      <c r="H157" s="21" t="s">
        <v>10</v>
      </c>
      <c r="I157" s="21" t="s">
        <v>55</v>
      </c>
      <c r="J157" s="21" t="s">
        <v>8905</v>
      </c>
      <c r="K157" s="5814" t="s">
        <v>8906</v>
      </c>
    </row>
    <row r="158" spans="1:11">
      <c r="A158" s="21" t="s">
        <v>2800</v>
      </c>
      <c r="B158" s="21" t="s">
        <v>8907</v>
      </c>
      <c r="C158" s="21" t="s">
        <v>8</v>
      </c>
      <c r="D158" s="21" t="s">
        <v>944</v>
      </c>
      <c r="E158" s="21" t="s">
        <v>9</v>
      </c>
      <c r="F158" s="5812">
        <v>3</v>
      </c>
      <c r="G158" s="5813">
        <v>0.20833333333333334</v>
      </c>
      <c r="H158" s="21" t="s">
        <v>10</v>
      </c>
      <c r="I158" s="21" t="s">
        <v>39</v>
      </c>
      <c r="J158" s="21" t="s">
        <v>8908</v>
      </c>
      <c r="K158" s="5814" t="s">
        <v>8909</v>
      </c>
    </row>
    <row r="159" spans="1:11">
      <c r="A159" s="21" t="s">
        <v>4338</v>
      </c>
      <c r="B159" s="21" t="s">
        <v>8910</v>
      </c>
      <c r="C159" s="21" t="s">
        <v>8</v>
      </c>
      <c r="D159" s="21" t="s">
        <v>944</v>
      </c>
      <c r="E159" s="21" t="s">
        <v>9</v>
      </c>
      <c r="F159" s="5812">
        <v>3</v>
      </c>
      <c r="G159" s="5813">
        <v>0.20833333333333334</v>
      </c>
      <c r="H159" s="21" t="s">
        <v>10</v>
      </c>
      <c r="I159" s="21" t="s">
        <v>11</v>
      </c>
      <c r="J159" s="21" t="s">
        <v>8911</v>
      </c>
      <c r="K159" s="5814" t="s">
        <v>8912</v>
      </c>
    </row>
    <row r="160" spans="1:11">
      <c r="A160" s="21" t="s">
        <v>4338</v>
      </c>
      <c r="B160" s="21" t="s">
        <v>8913</v>
      </c>
      <c r="C160" s="21" t="s">
        <v>22</v>
      </c>
      <c r="D160" s="21" t="s">
        <v>944</v>
      </c>
      <c r="E160" s="21" t="s">
        <v>9</v>
      </c>
      <c r="F160" s="5812">
        <v>3</v>
      </c>
      <c r="G160" s="5813">
        <v>0.20833333333333334</v>
      </c>
      <c r="H160" s="21" t="s">
        <v>10</v>
      </c>
      <c r="I160" s="21" t="s">
        <v>194</v>
      </c>
      <c r="J160" s="21" t="s">
        <v>8914</v>
      </c>
      <c r="K160" s="5814" t="s">
        <v>8915</v>
      </c>
    </row>
    <row r="161" spans="1:11">
      <c r="A161" s="21" t="s">
        <v>4345</v>
      </c>
      <c r="B161" s="21" t="s">
        <v>8916</v>
      </c>
      <c r="C161" s="21" t="s">
        <v>8</v>
      </c>
      <c r="D161" s="21" t="s">
        <v>944</v>
      </c>
      <c r="E161" s="21" t="s">
        <v>9</v>
      </c>
      <c r="F161" s="5812">
        <v>3</v>
      </c>
      <c r="G161" s="5813">
        <v>0.20833333333333334</v>
      </c>
      <c r="H161" s="21" t="s">
        <v>10</v>
      </c>
      <c r="I161" s="21" t="s">
        <v>55</v>
      </c>
      <c r="J161" s="21" t="s">
        <v>8917</v>
      </c>
      <c r="K161" s="5814" t="s">
        <v>8918</v>
      </c>
    </row>
    <row r="162" spans="1:11">
      <c r="A162" s="21" t="s">
        <v>3082</v>
      </c>
      <c r="B162" s="21" t="s">
        <v>8919</v>
      </c>
      <c r="C162" s="21" t="s">
        <v>22</v>
      </c>
      <c r="D162" s="21" t="s">
        <v>944</v>
      </c>
      <c r="E162" s="21" t="s">
        <v>9</v>
      </c>
      <c r="F162" s="5812">
        <v>3</v>
      </c>
      <c r="G162" s="5813">
        <v>0.20833333333333334</v>
      </c>
      <c r="H162" s="21" t="s">
        <v>10</v>
      </c>
      <c r="I162" s="21" t="s">
        <v>2247</v>
      </c>
      <c r="J162" s="21" t="s">
        <v>8920</v>
      </c>
      <c r="K162" s="5814" t="s">
        <v>8921</v>
      </c>
    </row>
    <row r="163" spans="1:11">
      <c r="A163" s="21" t="s">
        <v>2245</v>
      </c>
      <c r="B163" s="21" t="s">
        <v>8922</v>
      </c>
      <c r="C163" s="21" t="s">
        <v>8</v>
      </c>
      <c r="D163" s="21" t="s">
        <v>944</v>
      </c>
      <c r="E163" s="21" t="s">
        <v>9</v>
      </c>
      <c r="F163" s="5812">
        <v>3</v>
      </c>
      <c r="G163" s="5813">
        <v>0.20833333333333334</v>
      </c>
      <c r="H163" s="21" t="s">
        <v>10</v>
      </c>
      <c r="I163" s="21" t="s">
        <v>55</v>
      </c>
      <c r="J163" s="21" t="s">
        <v>8923</v>
      </c>
      <c r="K163" s="5814" t="s">
        <v>8924</v>
      </c>
    </row>
    <row r="164" spans="1:11">
      <c r="A164" s="21" t="s">
        <v>2827</v>
      </c>
      <c r="B164" s="21" t="s">
        <v>8925</v>
      </c>
      <c r="C164" s="21" t="s">
        <v>22</v>
      </c>
      <c r="D164" s="21" t="s">
        <v>944</v>
      </c>
      <c r="E164" s="21" t="s">
        <v>9</v>
      </c>
      <c r="F164" s="5812">
        <v>3</v>
      </c>
      <c r="G164" s="5813">
        <v>0.20833333333333334</v>
      </c>
      <c r="H164" s="21" t="s">
        <v>10</v>
      </c>
      <c r="I164" s="21" t="s">
        <v>2713</v>
      </c>
      <c r="J164" s="21" t="s">
        <v>8926</v>
      </c>
      <c r="K164" s="5814" t="s">
        <v>8927</v>
      </c>
    </row>
    <row r="165" spans="1:11">
      <c r="A165" s="21" t="s">
        <v>3828</v>
      </c>
      <c r="B165" s="21" t="s">
        <v>8928</v>
      </c>
      <c r="C165" s="21" t="s">
        <v>8</v>
      </c>
      <c r="D165" s="21" t="s">
        <v>944</v>
      </c>
      <c r="E165" s="21" t="s">
        <v>9</v>
      </c>
      <c r="F165" s="5812">
        <v>3</v>
      </c>
      <c r="G165" s="5813">
        <v>0.20833333333333334</v>
      </c>
      <c r="H165" s="21" t="s">
        <v>10</v>
      </c>
      <c r="I165" s="21" t="s">
        <v>226</v>
      </c>
      <c r="J165" s="21" t="s">
        <v>8929</v>
      </c>
      <c r="K165" s="5814" t="s">
        <v>8930</v>
      </c>
    </row>
    <row r="166" spans="1:11">
      <c r="A166" s="21" t="s">
        <v>4379</v>
      </c>
      <c r="B166" s="21" t="s">
        <v>8931</v>
      </c>
      <c r="C166" s="21" t="s">
        <v>8</v>
      </c>
      <c r="D166" s="21" t="s">
        <v>944</v>
      </c>
      <c r="E166" s="21" t="s">
        <v>9</v>
      </c>
      <c r="F166" s="5812">
        <v>3</v>
      </c>
      <c r="G166" s="5813">
        <v>0.20833333333333334</v>
      </c>
      <c r="H166" s="21" t="s">
        <v>10</v>
      </c>
      <c r="I166" s="21" t="s">
        <v>23</v>
      </c>
      <c r="J166" s="21" t="s">
        <v>8932</v>
      </c>
      <c r="K166" s="5814" t="s">
        <v>8933</v>
      </c>
    </row>
    <row r="167" spans="1:11">
      <c r="A167" s="21" t="s">
        <v>3458</v>
      </c>
      <c r="B167" s="21" t="s">
        <v>8934</v>
      </c>
      <c r="C167" s="21" t="s">
        <v>8</v>
      </c>
      <c r="D167" s="21" t="s">
        <v>944</v>
      </c>
      <c r="E167" s="21" t="s">
        <v>9</v>
      </c>
      <c r="F167" s="5812">
        <v>3</v>
      </c>
      <c r="G167" s="5813">
        <v>0.20833333333333334</v>
      </c>
      <c r="H167" s="21" t="s">
        <v>10</v>
      </c>
      <c r="I167" s="21" t="s">
        <v>2297</v>
      </c>
      <c r="J167" s="21" t="s">
        <v>8935</v>
      </c>
      <c r="K167" s="5814" t="s">
        <v>8936</v>
      </c>
    </row>
    <row r="168" spans="1:11">
      <c r="A168" s="21" t="s">
        <v>2254</v>
      </c>
      <c r="B168" s="21" t="s">
        <v>8937</v>
      </c>
      <c r="C168" s="21" t="s">
        <v>8</v>
      </c>
      <c r="D168" s="21" t="s">
        <v>944</v>
      </c>
      <c r="E168" s="21" t="s">
        <v>9</v>
      </c>
      <c r="F168" s="5812">
        <v>3</v>
      </c>
      <c r="G168" s="5813">
        <v>0.20833333333333334</v>
      </c>
      <c r="H168" s="21" t="s">
        <v>10</v>
      </c>
      <c r="I168" s="21" t="s">
        <v>55</v>
      </c>
      <c r="J168" s="21" t="s">
        <v>8938</v>
      </c>
      <c r="K168" s="5814" t="s">
        <v>8939</v>
      </c>
    </row>
    <row r="169" spans="1:11">
      <c r="A169" s="21" t="s">
        <v>4645</v>
      </c>
      <c r="B169" s="21" t="s">
        <v>8940</v>
      </c>
      <c r="C169" s="21" t="s">
        <v>8</v>
      </c>
      <c r="D169" s="21" t="s">
        <v>944</v>
      </c>
      <c r="E169" s="21" t="s">
        <v>9</v>
      </c>
      <c r="F169" s="5812">
        <v>3</v>
      </c>
      <c r="G169" s="5813">
        <v>0.20833333333333334</v>
      </c>
      <c r="H169" s="21" t="s">
        <v>10</v>
      </c>
      <c r="I169" s="21" t="s">
        <v>2297</v>
      </c>
      <c r="J169" s="21" t="s">
        <v>8941</v>
      </c>
      <c r="K169" s="5814" t="s">
        <v>8942</v>
      </c>
    </row>
    <row r="170" spans="1:11">
      <c r="A170" s="21" t="s">
        <v>2921</v>
      </c>
      <c r="B170" s="21" t="s">
        <v>8943</v>
      </c>
      <c r="C170" s="21" t="s">
        <v>22</v>
      </c>
      <c r="D170" s="21" t="s">
        <v>944</v>
      </c>
      <c r="E170" s="21" t="s">
        <v>9</v>
      </c>
      <c r="F170" s="5812">
        <v>3</v>
      </c>
      <c r="G170" s="5813">
        <v>0.20833333333333334</v>
      </c>
      <c r="H170" s="21" t="s">
        <v>10</v>
      </c>
      <c r="I170" s="21" t="s">
        <v>55</v>
      </c>
      <c r="J170" s="21" t="s">
        <v>8944</v>
      </c>
      <c r="K170" s="5814" t="s">
        <v>8945</v>
      </c>
    </row>
    <row r="171" spans="1:11">
      <c r="A171" s="21" t="s">
        <v>3049</v>
      </c>
      <c r="B171" s="21" t="s">
        <v>8946</v>
      </c>
      <c r="C171" s="21" t="s">
        <v>22</v>
      </c>
      <c r="D171" s="21" t="s">
        <v>944</v>
      </c>
      <c r="E171" s="21" t="s">
        <v>9</v>
      </c>
      <c r="F171" s="5812">
        <v>3</v>
      </c>
      <c r="G171" s="5813">
        <v>0.20833333333333334</v>
      </c>
      <c r="H171" s="21" t="s">
        <v>10</v>
      </c>
      <c r="I171" s="21" t="s">
        <v>2523</v>
      </c>
      <c r="J171" s="21" t="s">
        <v>8947</v>
      </c>
      <c r="K171" s="5814" t="s">
        <v>8948</v>
      </c>
    </row>
    <row r="172" spans="1:11">
      <c r="A172" s="21" t="s">
        <v>2258</v>
      </c>
      <c r="B172" s="21" t="s">
        <v>8949</v>
      </c>
      <c r="C172" s="21" t="s">
        <v>8</v>
      </c>
      <c r="D172" s="21" t="s">
        <v>944</v>
      </c>
      <c r="E172" s="21" t="s">
        <v>9</v>
      </c>
      <c r="F172" s="5812">
        <v>3</v>
      </c>
      <c r="G172" s="5813">
        <v>0.20833333333333334</v>
      </c>
      <c r="H172" s="21" t="s">
        <v>10</v>
      </c>
      <c r="I172" s="21" t="s">
        <v>47</v>
      </c>
      <c r="J172" s="21" t="s">
        <v>8950</v>
      </c>
      <c r="K172" s="5814" t="s">
        <v>8951</v>
      </c>
    </row>
    <row r="173" spans="1:11">
      <c r="A173" s="21" t="s">
        <v>2258</v>
      </c>
      <c r="B173" s="21" t="s">
        <v>8952</v>
      </c>
      <c r="C173" s="21" t="s">
        <v>22</v>
      </c>
      <c r="D173" s="21" t="s">
        <v>944</v>
      </c>
      <c r="E173" s="21" t="s">
        <v>9</v>
      </c>
      <c r="F173" s="5812">
        <v>3</v>
      </c>
      <c r="G173" s="5813">
        <v>0.20833333333333334</v>
      </c>
      <c r="H173" s="21" t="s">
        <v>10</v>
      </c>
      <c r="I173" s="21" t="s">
        <v>55</v>
      </c>
      <c r="J173" s="21" t="s">
        <v>4401</v>
      </c>
      <c r="K173" s="5814" t="s">
        <v>8953</v>
      </c>
    </row>
    <row r="174" spans="1:11">
      <c r="A174" s="21" t="s">
        <v>3565</v>
      </c>
      <c r="B174" s="21" t="s">
        <v>8954</v>
      </c>
      <c r="C174" s="21" t="s">
        <v>8</v>
      </c>
      <c r="D174" s="21" t="s">
        <v>944</v>
      </c>
      <c r="E174" s="21" t="s">
        <v>9</v>
      </c>
      <c r="F174" s="5812">
        <v>3</v>
      </c>
      <c r="G174" s="5813">
        <v>0.20833333333333334</v>
      </c>
      <c r="H174" s="21" t="s">
        <v>10</v>
      </c>
      <c r="I174" s="21" t="s">
        <v>5776</v>
      </c>
      <c r="J174" s="21" t="s">
        <v>8955</v>
      </c>
      <c r="K174" s="5814" t="s">
        <v>8956</v>
      </c>
    </row>
    <row r="175" spans="1:11">
      <c r="A175" s="21" t="s">
        <v>3427</v>
      </c>
      <c r="B175" s="21" t="s">
        <v>8957</v>
      </c>
      <c r="C175" s="21" t="s">
        <v>22</v>
      </c>
      <c r="D175" s="21" t="s">
        <v>944</v>
      </c>
      <c r="E175" s="21" t="s">
        <v>9</v>
      </c>
      <c r="F175" s="5812">
        <v>3</v>
      </c>
      <c r="G175" s="5813">
        <v>0.20833333333333334</v>
      </c>
      <c r="H175" s="21" t="s">
        <v>10</v>
      </c>
      <c r="I175" s="21" t="s">
        <v>47</v>
      </c>
      <c r="J175" s="21" t="s">
        <v>8958</v>
      </c>
      <c r="K175" s="5814" t="s">
        <v>8959</v>
      </c>
    </row>
    <row r="176" spans="1:11">
      <c r="A176" s="21" t="s">
        <v>5235</v>
      </c>
      <c r="B176" s="21" t="s">
        <v>8960</v>
      </c>
      <c r="C176" s="21" t="s">
        <v>22</v>
      </c>
      <c r="D176" s="21" t="s">
        <v>944</v>
      </c>
      <c r="E176" s="21" t="s">
        <v>9</v>
      </c>
      <c r="F176" s="5812">
        <v>3</v>
      </c>
      <c r="G176" s="5813">
        <v>0.20833333333333334</v>
      </c>
      <c r="H176" s="21" t="s">
        <v>10</v>
      </c>
      <c r="I176" s="21" t="s">
        <v>2269</v>
      </c>
      <c r="J176" s="21" t="s">
        <v>8961</v>
      </c>
      <c r="K176" s="5814" t="s">
        <v>8962</v>
      </c>
    </row>
    <row r="177" spans="1:11">
      <c r="A177" s="21" t="s">
        <v>5235</v>
      </c>
      <c r="B177" s="21" t="s">
        <v>8963</v>
      </c>
      <c r="C177" s="21" t="s">
        <v>8</v>
      </c>
      <c r="D177" s="21" t="s">
        <v>944</v>
      </c>
      <c r="E177" s="21" t="s">
        <v>9</v>
      </c>
      <c r="F177" s="5812">
        <v>3</v>
      </c>
      <c r="G177" s="5813">
        <v>0.20833333333333334</v>
      </c>
      <c r="H177" s="21" t="s">
        <v>10</v>
      </c>
      <c r="I177" s="21" t="s">
        <v>55</v>
      </c>
      <c r="J177" s="21" t="s">
        <v>8964</v>
      </c>
      <c r="K177" s="5814" t="s">
        <v>8965</v>
      </c>
    </row>
    <row r="178" spans="1:11">
      <c r="A178" s="21" t="s">
        <v>2276</v>
      </c>
      <c r="B178" s="21" t="s">
        <v>8966</v>
      </c>
      <c r="C178" s="21" t="s">
        <v>8</v>
      </c>
      <c r="D178" s="21" t="s">
        <v>944</v>
      </c>
      <c r="E178" s="21" t="s">
        <v>9</v>
      </c>
      <c r="F178" s="5812">
        <v>3</v>
      </c>
      <c r="G178" s="5813">
        <v>0.20833333333333334</v>
      </c>
      <c r="H178" s="21" t="s">
        <v>10</v>
      </c>
      <c r="I178" s="21" t="s">
        <v>2297</v>
      </c>
      <c r="J178" s="21" t="s">
        <v>8967</v>
      </c>
      <c r="K178" s="5814" t="s">
        <v>8968</v>
      </c>
    </row>
    <row r="179" spans="1:11">
      <c r="A179" s="21" t="s">
        <v>2280</v>
      </c>
      <c r="B179" s="21" t="s">
        <v>8969</v>
      </c>
      <c r="C179" s="21" t="s">
        <v>8</v>
      </c>
      <c r="D179" s="21" t="s">
        <v>944</v>
      </c>
      <c r="E179" s="21" t="s">
        <v>9</v>
      </c>
      <c r="F179" s="5812">
        <v>3</v>
      </c>
      <c r="G179" s="5813">
        <v>0.20833333333333334</v>
      </c>
      <c r="H179" s="21" t="s">
        <v>10</v>
      </c>
      <c r="I179" s="21" t="s">
        <v>55</v>
      </c>
      <c r="J179" s="21" t="s">
        <v>8970</v>
      </c>
      <c r="K179" s="5814" t="s">
        <v>8971</v>
      </c>
    </row>
    <row r="180" spans="1:11">
      <c r="A180" s="21" t="s">
        <v>2878</v>
      </c>
      <c r="B180" s="21" t="s">
        <v>8972</v>
      </c>
      <c r="C180" s="21" t="s">
        <v>22</v>
      </c>
      <c r="D180" s="21" t="s">
        <v>944</v>
      </c>
      <c r="E180" s="21" t="s">
        <v>9</v>
      </c>
      <c r="F180" s="5812">
        <v>3</v>
      </c>
      <c r="G180" s="5813">
        <v>0.20833333333333334</v>
      </c>
      <c r="H180" s="21" t="s">
        <v>10</v>
      </c>
      <c r="I180" s="21" t="s">
        <v>5299</v>
      </c>
      <c r="J180" s="21" t="s">
        <v>8973</v>
      </c>
      <c r="K180" s="5814" t="s">
        <v>8974</v>
      </c>
    </row>
    <row r="181" spans="1:11">
      <c r="A181" s="21" t="s">
        <v>3170</v>
      </c>
      <c r="B181" s="21" t="s">
        <v>8975</v>
      </c>
      <c r="C181" s="21" t="s">
        <v>8</v>
      </c>
      <c r="D181" s="21" t="s">
        <v>944</v>
      </c>
      <c r="E181" s="21" t="s">
        <v>9</v>
      </c>
      <c r="F181" s="5812">
        <v>3</v>
      </c>
      <c r="G181" s="5813">
        <v>0.20833333333333334</v>
      </c>
      <c r="H181" s="21" t="s">
        <v>10</v>
      </c>
      <c r="I181" s="21" t="s">
        <v>2660</v>
      </c>
      <c r="J181" s="21" t="s">
        <v>8976</v>
      </c>
      <c r="K181" s="5814" t="s">
        <v>8977</v>
      </c>
    </row>
    <row r="182" spans="1:11">
      <c r="A182" s="21" t="s">
        <v>3170</v>
      </c>
      <c r="B182" s="21" t="s">
        <v>8978</v>
      </c>
      <c r="C182" s="21" t="s">
        <v>8</v>
      </c>
      <c r="D182" s="21" t="s">
        <v>944</v>
      </c>
      <c r="E182" s="21" t="s">
        <v>9</v>
      </c>
      <c r="F182" s="5812">
        <v>3</v>
      </c>
      <c r="G182" s="5813">
        <v>0.20833333333333334</v>
      </c>
      <c r="H182" s="21" t="s">
        <v>10</v>
      </c>
      <c r="I182" s="21" t="s">
        <v>3822</v>
      </c>
      <c r="J182" s="21" t="s">
        <v>8979</v>
      </c>
      <c r="K182" s="5814" t="s">
        <v>8980</v>
      </c>
    </row>
    <row r="183" spans="1:11">
      <c r="A183" s="21" t="s">
        <v>3056</v>
      </c>
      <c r="B183" s="21" t="s">
        <v>8981</v>
      </c>
      <c r="C183" s="21" t="s">
        <v>8</v>
      </c>
      <c r="D183" s="21" t="s">
        <v>944</v>
      </c>
      <c r="E183" s="21" t="s">
        <v>9</v>
      </c>
      <c r="F183" s="5812">
        <v>3</v>
      </c>
      <c r="G183" s="5813">
        <v>0.20833333333333334</v>
      </c>
      <c r="H183" s="21" t="s">
        <v>10</v>
      </c>
      <c r="I183" s="21" t="s">
        <v>400</v>
      </c>
      <c r="J183" s="21" t="s">
        <v>8982</v>
      </c>
      <c r="K183" s="5814" t="s">
        <v>8983</v>
      </c>
    </row>
    <row r="184" spans="1:11">
      <c r="A184" s="21" t="s">
        <v>177</v>
      </c>
      <c r="B184" s="21" t="s">
        <v>958</v>
      </c>
      <c r="C184" s="21" t="s">
        <v>8</v>
      </c>
      <c r="D184" s="21" t="s">
        <v>944</v>
      </c>
      <c r="E184" s="21" t="s">
        <v>9</v>
      </c>
      <c r="F184" s="5812">
        <v>5</v>
      </c>
      <c r="G184" s="5813">
        <v>0.20833333333333334</v>
      </c>
      <c r="H184" s="21" t="s">
        <v>54</v>
      </c>
      <c r="I184" s="21" t="s">
        <v>39</v>
      </c>
      <c r="J184" s="21" t="s">
        <v>959</v>
      </c>
      <c r="K184" s="5814" t="s">
        <v>960</v>
      </c>
    </row>
    <row r="185" spans="1:11">
      <c r="A185" s="21" t="s">
        <v>3249</v>
      </c>
      <c r="B185" s="21" t="s">
        <v>8984</v>
      </c>
      <c r="C185" s="21" t="s">
        <v>22</v>
      </c>
      <c r="D185" s="21" t="s">
        <v>944</v>
      </c>
      <c r="E185" s="21" t="s">
        <v>9</v>
      </c>
      <c r="F185" s="5812">
        <v>5</v>
      </c>
      <c r="G185" s="5813">
        <v>0.20833333333333334</v>
      </c>
      <c r="H185" s="21" t="s">
        <v>54</v>
      </c>
      <c r="I185" s="21" t="s">
        <v>55</v>
      </c>
      <c r="J185" s="21" t="s">
        <v>8985</v>
      </c>
      <c r="K185" s="5814" t="s">
        <v>8986</v>
      </c>
    </row>
    <row r="186" spans="1:11">
      <c r="A186" s="21" t="s">
        <v>2481</v>
      </c>
      <c r="B186" s="21" t="s">
        <v>8987</v>
      </c>
      <c r="C186" s="21" t="s">
        <v>8</v>
      </c>
      <c r="D186" s="21" t="s">
        <v>944</v>
      </c>
      <c r="E186" s="21" t="s">
        <v>9</v>
      </c>
      <c r="F186" s="5812">
        <v>5</v>
      </c>
      <c r="G186" s="5813">
        <v>0.20833333333333334</v>
      </c>
      <c r="H186" s="21" t="s">
        <v>54</v>
      </c>
      <c r="I186" s="21" t="s">
        <v>55</v>
      </c>
      <c r="J186" s="21" t="s">
        <v>8988</v>
      </c>
      <c r="K186" s="5814" t="s">
        <v>8989</v>
      </c>
    </row>
    <row r="187" spans="1:11">
      <c r="A187" s="21" t="s">
        <v>3643</v>
      </c>
      <c r="B187" s="21" t="s">
        <v>8990</v>
      </c>
      <c r="C187" s="21" t="s">
        <v>22</v>
      </c>
      <c r="D187" s="21" t="s">
        <v>944</v>
      </c>
      <c r="E187" s="21" t="s">
        <v>9</v>
      </c>
      <c r="F187" s="5812">
        <v>5</v>
      </c>
      <c r="G187" s="5813">
        <v>0.20833333333333334</v>
      </c>
      <c r="H187" s="21" t="s">
        <v>54</v>
      </c>
      <c r="I187" s="21" t="s">
        <v>55</v>
      </c>
      <c r="J187" s="21" t="s">
        <v>8991</v>
      </c>
      <c r="K187" s="5814" t="s">
        <v>8992</v>
      </c>
    </row>
    <row r="188" spans="1:11">
      <c r="A188" s="21" t="s">
        <v>3102</v>
      </c>
      <c r="B188" s="21" t="s">
        <v>8993</v>
      </c>
      <c r="C188" s="21" t="s">
        <v>8</v>
      </c>
      <c r="D188" s="21" t="s">
        <v>944</v>
      </c>
      <c r="E188" s="21" t="s">
        <v>9</v>
      </c>
      <c r="F188" s="5812">
        <v>5</v>
      </c>
      <c r="G188" s="5813">
        <v>0.20833333333333334</v>
      </c>
      <c r="H188" s="21" t="s">
        <v>54</v>
      </c>
      <c r="I188" s="21" t="s">
        <v>55</v>
      </c>
      <c r="J188" s="21" t="s">
        <v>3549</v>
      </c>
      <c r="K188" s="5814" t="s">
        <v>8994</v>
      </c>
    </row>
    <row r="189" spans="1:11">
      <c r="A189" s="21" t="s">
        <v>2119</v>
      </c>
      <c r="B189" s="21" t="s">
        <v>8995</v>
      </c>
      <c r="C189" s="21" t="s">
        <v>8</v>
      </c>
      <c r="D189" s="21" t="s">
        <v>944</v>
      </c>
      <c r="E189" s="21" t="s">
        <v>9</v>
      </c>
      <c r="F189" s="5812">
        <v>5</v>
      </c>
      <c r="G189" s="5813">
        <v>0.20833333333333334</v>
      </c>
      <c r="H189" s="21" t="s">
        <v>54</v>
      </c>
      <c r="I189" s="21" t="s">
        <v>55</v>
      </c>
      <c r="J189" s="21" t="s">
        <v>8996</v>
      </c>
      <c r="K189" s="5814" t="s">
        <v>8997</v>
      </c>
    </row>
    <row r="190" spans="1:11">
      <c r="A190" s="21" t="s">
        <v>2969</v>
      </c>
      <c r="B190" s="21" t="s">
        <v>8998</v>
      </c>
      <c r="C190" s="21" t="s">
        <v>8</v>
      </c>
      <c r="D190" s="21" t="s">
        <v>944</v>
      </c>
      <c r="E190" s="21" t="s">
        <v>9</v>
      </c>
      <c r="F190" s="5812">
        <v>5</v>
      </c>
      <c r="G190" s="5813">
        <v>0.20833333333333334</v>
      </c>
      <c r="H190" s="21" t="s">
        <v>54</v>
      </c>
      <c r="I190" s="21" t="s">
        <v>55</v>
      </c>
      <c r="J190" s="21" t="s">
        <v>8999</v>
      </c>
      <c r="K190" s="5814" t="s">
        <v>9000</v>
      </c>
    </row>
    <row r="191" spans="1:11">
      <c r="A191" s="21" t="s">
        <v>3119</v>
      </c>
      <c r="B191" s="21" t="s">
        <v>9001</v>
      </c>
      <c r="C191" s="21" t="s">
        <v>22</v>
      </c>
      <c r="D191" s="21" t="s">
        <v>944</v>
      </c>
      <c r="E191" s="21" t="s">
        <v>9</v>
      </c>
      <c r="F191" s="5812">
        <v>5</v>
      </c>
      <c r="G191" s="5813">
        <v>0.20833333333333334</v>
      </c>
      <c r="H191" s="21" t="s">
        <v>54</v>
      </c>
      <c r="I191" s="21" t="s">
        <v>55</v>
      </c>
      <c r="J191" s="21" t="s">
        <v>9002</v>
      </c>
      <c r="K191" s="5814" t="s">
        <v>9003</v>
      </c>
    </row>
    <row r="192" spans="1:11">
      <c r="A192" s="21" t="s">
        <v>2538</v>
      </c>
      <c r="B192" s="21" t="s">
        <v>9004</v>
      </c>
      <c r="C192" s="21" t="s">
        <v>8</v>
      </c>
      <c r="D192" s="21" t="s">
        <v>944</v>
      </c>
      <c r="E192" s="21" t="s">
        <v>9</v>
      </c>
      <c r="F192" s="5812">
        <v>5</v>
      </c>
      <c r="G192" s="5813">
        <v>0.20833333333333334</v>
      </c>
      <c r="H192" s="21" t="s">
        <v>54</v>
      </c>
      <c r="I192" s="21" t="s">
        <v>55</v>
      </c>
      <c r="J192" s="21" t="s">
        <v>9005</v>
      </c>
      <c r="K192" s="5814" t="s">
        <v>9006</v>
      </c>
    </row>
    <row r="193" spans="1:11">
      <c r="A193" s="21" t="s">
        <v>2184</v>
      </c>
      <c r="B193" s="21" t="s">
        <v>9007</v>
      </c>
      <c r="C193" s="21" t="s">
        <v>22</v>
      </c>
      <c r="D193" s="21" t="s">
        <v>944</v>
      </c>
      <c r="E193" s="21" t="s">
        <v>9</v>
      </c>
      <c r="F193" s="5812">
        <v>5</v>
      </c>
      <c r="G193" s="5813">
        <v>0.20833333333333334</v>
      </c>
      <c r="H193" s="21" t="s">
        <v>54</v>
      </c>
      <c r="I193" s="21" t="s">
        <v>226</v>
      </c>
      <c r="J193" s="21" t="s">
        <v>9008</v>
      </c>
      <c r="K193" s="5814" t="s">
        <v>9009</v>
      </c>
    </row>
    <row r="194" spans="1:11">
      <c r="A194" s="21" t="s">
        <v>3647</v>
      </c>
      <c r="B194" s="21" t="s">
        <v>9010</v>
      </c>
      <c r="C194" s="21" t="s">
        <v>22</v>
      </c>
      <c r="D194" s="21" t="s">
        <v>944</v>
      </c>
      <c r="E194" s="21" t="s">
        <v>9</v>
      </c>
      <c r="F194" s="5812">
        <v>5</v>
      </c>
      <c r="G194" s="5813">
        <v>0.20833333333333334</v>
      </c>
      <c r="H194" s="21" t="s">
        <v>54</v>
      </c>
      <c r="I194" s="21" t="s">
        <v>55</v>
      </c>
      <c r="J194" s="21" t="s">
        <v>9011</v>
      </c>
      <c r="K194" s="5814" t="s">
        <v>9012</v>
      </c>
    </row>
    <row r="195" spans="1:11">
      <c r="A195" s="21" t="s">
        <v>2258</v>
      </c>
      <c r="B195" s="21" t="s">
        <v>9013</v>
      </c>
      <c r="C195" s="21" t="s">
        <v>22</v>
      </c>
      <c r="D195" s="21" t="s">
        <v>944</v>
      </c>
      <c r="E195" s="21" t="s">
        <v>9</v>
      </c>
      <c r="F195" s="5812">
        <v>5</v>
      </c>
      <c r="G195" s="5813">
        <v>0.20833333333333334</v>
      </c>
      <c r="H195" s="21" t="s">
        <v>54</v>
      </c>
      <c r="I195" s="21" t="s">
        <v>55</v>
      </c>
      <c r="J195" s="21" t="s">
        <v>9014</v>
      </c>
      <c r="K195" s="5814" t="s">
        <v>9015</v>
      </c>
    </row>
    <row r="196" spans="1:11">
      <c r="A196" s="21" t="s">
        <v>2307</v>
      </c>
      <c r="B196" s="21" t="s">
        <v>9016</v>
      </c>
      <c r="C196" s="21" t="s">
        <v>22</v>
      </c>
      <c r="D196" s="21" t="s">
        <v>944</v>
      </c>
      <c r="E196" s="21" t="s">
        <v>466</v>
      </c>
      <c r="F196" s="5812">
        <v>1</v>
      </c>
      <c r="G196" s="5813">
        <v>0.17708333333333334</v>
      </c>
      <c r="H196" s="21" t="s">
        <v>10</v>
      </c>
      <c r="I196" s="21" t="s">
        <v>39</v>
      </c>
      <c r="J196" s="21" t="s">
        <v>9017</v>
      </c>
      <c r="K196" s="5814" t="s">
        <v>9018</v>
      </c>
    </row>
    <row r="197" spans="1:11">
      <c r="A197" s="21" t="s">
        <v>2205</v>
      </c>
      <c r="B197" s="21" t="s">
        <v>9019</v>
      </c>
      <c r="C197" s="21" t="s">
        <v>8</v>
      </c>
      <c r="D197" s="21" t="s">
        <v>944</v>
      </c>
      <c r="E197" s="21" t="s">
        <v>466</v>
      </c>
      <c r="F197" s="5812">
        <v>1</v>
      </c>
      <c r="G197" s="5813">
        <v>0.20833333333333334</v>
      </c>
      <c r="H197" s="21" t="s">
        <v>10</v>
      </c>
      <c r="I197" s="21" t="s">
        <v>39</v>
      </c>
      <c r="J197" s="21" t="s">
        <v>9020</v>
      </c>
      <c r="K197" s="5814" t="s">
        <v>9021</v>
      </c>
    </row>
    <row r="198" spans="1:11">
      <c r="A198" s="21" t="s">
        <v>3293</v>
      </c>
      <c r="B198" s="21" t="s">
        <v>9022</v>
      </c>
      <c r="C198" s="21" t="s">
        <v>8</v>
      </c>
      <c r="D198" s="21" t="s">
        <v>944</v>
      </c>
      <c r="E198" s="21" t="s">
        <v>466</v>
      </c>
      <c r="F198" s="5812">
        <v>2</v>
      </c>
      <c r="G198" s="5813">
        <v>0.10277777777777777</v>
      </c>
      <c r="H198" s="21" t="s">
        <v>10</v>
      </c>
      <c r="I198" s="21" t="s">
        <v>96</v>
      </c>
      <c r="J198" s="21" t="s">
        <v>9023</v>
      </c>
      <c r="K198" s="5814" t="s">
        <v>9024</v>
      </c>
    </row>
    <row r="199" spans="1:11">
      <c r="A199" s="21" t="s">
        <v>3434</v>
      </c>
      <c r="B199" s="21" t="s">
        <v>9025</v>
      </c>
      <c r="C199" s="21" t="s">
        <v>8</v>
      </c>
      <c r="D199" s="21" t="s">
        <v>944</v>
      </c>
      <c r="E199" s="21" t="s">
        <v>46</v>
      </c>
      <c r="F199" s="5812">
        <v>1</v>
      </c>
      <c r="G199" s="5813">
        <v>1.1111111111111112E-2</v>
      </c>
      <c r="H199" s="21" t="s">
        <v>10</v>
      </c>
      <c r="I199" s="21" t="s">
        <v>55</v>
      </c>
      <c r="J199" s="21" t="s">
        <v>97</v>
      </c>
      <c r="K199" s="5814" t="s">
        <v>9026</v>
      </c>
    </row>
    <row r="200" spans="1:11">
      <c r="A200" s="21" t="s">
        <v>2079</v>
      </c>
      <c r="B200" s="21" t="s">
        <v>9027</v>
      </c>
      <c r="C200" s="21" t="s">
        <v>22</v>
      </c>
      <c r="D200" s="21" t="s">
        <v>944</v>
      </c>
      <c r="E200" s="21" t="s">
        <v>46</v>
      </c>
      <c r="F200" s="5812">
        <v>1</v>
      </c>
      <c r="G200" s="5813">
        <v>1.1805555555555555E-2</v>
      </c>
      <c r="H200" s="21" t="s">
        <v>10</v>
      </c>
      <c r="I200" s="21" t="s">
        <v>55</v>
      </c>
      <c r="J200" s="21" t="s">
        <v>722</v>
      </c>
      <c r="K200" s="5814" t="s">
        <v>9028</v>
      </c>
    </row>
    <row r="201" spans="1:11">
      <c r="A201" s="21" t="s">
        <v>2935</v>
      </c>
      <c r="B201" s="21" t="s">
        <v>9029</v>
      </c>
      <c r="C201" s="21" t="s">
        <v>8</v>
      </c>
      <c r="D201" s="21" t="s">
        <v>944</v>
      </c>
      <c r="E201" s="21" t="s">
        <v>46</v>
      </c>
      <c r="F201" s="5812">
        <v>1</v>
      </c>
      <c r="G201" s="5813">
        <v>1.1805555555555555E-2</v>
      </c>
      <c r="H201" s="21" t="s">
        <v>10</v>
      </c>
      <c r="I201" s="21" t="s">
        <v>55</v>
      </c>
      <c r="J201" s="21" t="s">
        <v>3156</v>
      </c>
      <c r="K201" s="5814" t="s">
        <v>9030</v>
      </c>
    </row>
    <row r="202" spans="1:11">
      <c r="A202" s="21" t="s">
        <v>2131</v>
      </c>
      <c r="B202" s="21" t="s">
        <v>9031</v>
      </c>
      <c r="C202" s="21" t="s">
        <v>8</v>
      </c>
      <c r="D202" s="21" t="s">
        <v>944</v>
      </c>
      <c r="E202" s="21" t="s">
        <v>46</v>
      </c>
      <c r="F202" s="5812">
        <v>1</v>
      </c>
      <c r="G202" s="5813">
        <v>1.1805555555555555E-2</v>
      </c>
      <c r="H202" s="21" t="s">
        <v>10</v>
      </c>
      <c r="I202" s="21" t="s">
        <v>39</v>
      </c>
      <c r="J202" s="21" t="s">
        <v>48</v>
      </c>
      <c r="K202" s="5814" t="s">
        <v>9032</v>
      </c>
    </row>
    <row r="203" spans="1:11">
      <c r="A203" s="21" t="s">
        <v>3446</v>
      </c>
      <c r="B203" s="21" t="s">
        <v>9033</v>
      </c>
      <c r="C203" s="21" t="s">
        <v>22</v>
      </c>
      <c r="D203" s="21" t="s">
        <v>944</v>
      </c>
      <c r="E203" s="21" t="s">
        <v>46</v>
      </c>
      <c r="F203" s="5812">
        <v>1</v>
      </c>
      <c r="G203" s="5813">
        <v>1.1805555555555555E-2</v>
      </c>
      <c r="H203" s="21" t="s">
        <v>10</v>
      </c>
      <c r="I203" s="21" t="s">
        <v>2260</v>
      </c>
      <c r="J203" s="21" t="s">
        <v>48</v>
      </c>
      <c r="K203" s="5814" t="s">
        <v>9034</v>
      </c>
    </row>
    <row r="204" spans="1:11">
      <c r="A204" s="21" t="s">
        <v>3515</v>
      </c>
      <c r="B204" s="21" t="s">
        <v>9035</v>
      </c>
      <c r="C204" s="21" t="s">
        <v>22</v>
      </c>
      <c r="D204" s="21" t="s">
        <v>944</v>
      </c>
      <c r="E204" s="21" t="s">
        <v>46</v>
      </c>
      <c r="F204" s="5812">
        <v>1</v>
      </c>
      <c r="G204" s="5813">
        <v>1.2500000000000001E-2</v>
      </c>
      <c r="H204" s="21" t="s">
        <v>10</v>
      </c>
      <c r="I204" s="21" t="s">
        <v>96</v>
      </c>
      <c r="J204" s="21" t="s">
        <v>97</v>
      </c>
      <c r="K204" s="5814" t="s">
        <v>9036</v>
      </c>
    </row>
    <row r="205" spans="1:11">
      <c r="A205" s="21" t="s">
        <v>3033</v>
      </c>
      <c r="B205" s="21" t="s">
        <v>9037</v>
      </c>
      <c r="C205" s="21" t="s">
        <v>8</v>
      </c>
      <c r="D205" s="21" t="s">
        <v>944</v>
      </c>
      <c r="E205" s="21" t="s">
        <v>46</v>
      </c>
      <c r="F205" s="5812">
        <v>1</v>
      </c>
      <c r="G205" s="5813">
        <v>1.3194444444444444E-2</v>
      </c>
      <c r="H205" s="21" t="s">
        <v>10</v>
      </c>
      <c r="I205" s="21" t="s">
        <v>3343</v>
      </c>
      <c r="J205" s="21" t="s">
        <v>1076</v>
      </c>
      <c r="K205" s="5814" t="s">
        <v>9038</v>
      </c>
    </row>
    <row r="206" spans="1:11">
      <c r="A206" s="21" t="s">
        <v>3565</v>
      </c>
      <c r="B206" s="21" t="s">
        <v>9039</v>
      </c>
      <c r="C206" s="21" t="s">
        <v>8</v>
      </c>
      <c r="D206" s="21" t="s">
        <v>944</v>
      </c>
      <c r="E206" s="21" t="s">
        <v>46</v>
      </c>
      <c r="F206" s="5812">
        <v>1</v>
      </c>
      <c r="G206" s="5813">
        <v>1.8055555555555554E-2</v>
      </c>
      <c r="H206" s="21" t="s">
        <v>10</v>
      </c>
      <c r="I206" s="21" t="s">
        <v>2247</v>
      </c>
      <c r="J206" s="21" t="s">
        <v>1203</v>
      </c>
      <c r="K206" s="5814" t="s">
        <v>9040</v>
      </c>
    </row>
    <row r="207" spans="1:11">
      <c r="A207" s="21" t="s">
        <v>2905</v>
      </c>
      <c r="B207" s="21" t="s">
        <v>9041</v>
      </c>
      <c r="C207" s="21" t="s">
        <v>22</v>
      </c>
      <c r="D207" s="21" t="s">
        <v>944</v>
      </c>
      <c r="E207" s="21" t="s">
        <v>46</v>
      </c>
      <c r="F207" s="5812">
        <v>1</v>
      </c>
      <c r="G207" s="5813">
        <v>1.9444444444444445E-2</v>
      </c>
      <c r="H207" s="21" t="s">
        <v>54</v>
      </c>
      <c r="I207" s="21" t="s">
        <v>2297</v>
      </c>
      <c r="J207" s="21" t="s">
        <v>406</v>
      </c>
      <c r="K207" s="5814" t="s">
        <v>9042</v>
      </c>
    </row>
    <row r="208" spans="1:11">
      <c r="A208" s="21" t="s">
        <v>2886</v>
      </c>
      <c r="B208" s="21" t="s">
        <v>9043</v>
      </c>
      <c r="C208" s="21" t="s">
        <v>8</v>
      </c>
      <c r="D208" s="21" t="s">
        <v>944</v>
      </c>
      <c r="E208" s="21" t="s">
        <v>46</v>
      </c>
      <c r="F208" s="5812">
        <v>1</v>
      </c>
      <c r="G208" s="5813">
        <v>2.013888888888889E-2</v>
      </c>
      <c r="H208" s="21" t="s">
        <v>10</v>
      </c>
      <c r="I208" s="21" t="s">
        <v>2923</v>
      </c>
      <c r="J208" s="21" t="s">
        <v>722</v>
      </c>
      <c r="K208" s="5814" t="s">
        <v>9044</v>
      </c>
    </row>
    <row r="209" spans="1:11">
      <c r="A209" s="21" t="s">
        <v>3029</v>
      </c>
      <c r="B209" s="21" t="s">
        <v>9045</v>
      </c>
      <c r="C209" s="21" t="s">
        <v>8</v>
      </c>
      <c r="D209" s="21" t="s">
        <v>944</v>
      </c>
      <c r="E209" s="21" t="s">
        <v>46</v>
      </c>
      <c r="F209" s="5812">
        <v>1</v>
      </c>
      <c r="G209" s="5813">
        <v>2.6388888888888889E-2</v>
      </c>
      <c r="H209" s="21" t="s">
        <v>10</v>
      </c>
      <c r="I209" s="21" t="s">
        <v>23</v>
      </c>
      <c r="J209" s="21" t="s">
        <v>97</v>
      </c>
      <c r="K209" s="5814" t="s">
        <v>9046</v>
      </c>
    </row>
    <row r="210" spans="1:11">
      <c r="A210" s="21" t="s">
        <v>2643</v>
      </c>
      <c r="B210" s="21" t="s">
        <v>9047</v>
      </c>
      <c r="C210" s="21" t="s">
        <v>8</v>
      </c>
      <c r="D210" s="21" t="s">
        <v>944</v>
      </c>
      <c r="E210" s="21" t="s">
        <v>46</v>
      </c>
      <c r="F210" s="5812">
        <v>1</v>
      </c>
      <c r="G210" s="5813">
        <v>2.6388888888888889E-2</v>
      </c>
      <c r="H210" s="21" t="s">
        <v>10</v>
      </c>
      <c r="I210" s="21" t="s">
        <v>39</v>
      </c>
      <c r="J210" s="21" t="s">
        <v>997</v>
      </c>
      <c r="K210" s="5814" t="s">
        <v>9048</v>
      </c>
    </row>
    <row r="211" spans="1:11">
      <c r="A211" s="21" t="s">
        <v>3710</v>
      </c>
      <c r="B211" s="21" t="s">
        <v>9049</v>
      </c>
      <c r="C211" s="21" t="s">
        <v>22</v>
      </c>
      <c r="D211" s="21" t="s">
        <v>944</v>
      </c>
      <c r="E211" s="21" t="s">
        <v>46</v>
      </c>
      <c r="F211" s="5812">
        <v>1</v>
      </c>
      <c r="G211" s="5813">
        <v>2.7083333333333334E-2</v>
      </c>
      <c r="H211" s="21" t="s">
        <v>10</v>
      </c>
      <c r="I211" s="21" t="s">
        <v>5994</v>
      </c>
      <c r="J211" s="21" t="s">
        <v>7866</v>
      </c>
      <c r="K211" s="5814" t="s">
        <v>9050</v>
      </c>
    </row>
    <row r="212" spans="1:11">
      <c r="A212" s="21" t="s">
        <v>2870</v>
      </c>
      <c r="B212" s="21" t="s">
        <v>9051</v>
      </c>
      <c r="C212" s="21" t="s">
        <v>8</v>
      </c>
      <c r="D212" s="21" t="s">
        <v>944</v>
      </c>
      <c r="E212" s="21" t="s">
        <v>46</v>
      </c>
      <c r="F212" s="5812">
        <v>1</v>
      </c>
      <c r="G212" s="5813">
        <v>2.9861111111111113E-2</v>
      </c>
      <c r="H212" s="21" t="s">
        <v>10</v>
      </c>
      <c r="I212" s="21" t="s">
        <v>9052</v>
      </c>
      <c r="J212" s="21" t="s">
        <v>97</v>
      </c>
      <c r="K212" s="5814" t="s">
        <v>9053</v>
      </c>
    </row>
    <row r="213" spans="1:11">
      <c r="A213" s="21" t="s">
        <v>4671</v>
      </c>
      <c r="B213" s="21" t="s">
        <v>9054</v>
      </c>
      <c r="C213" s="21" t="s">
        <v>22</v>
      </c>
      <c r="D213" s="21" t="s">
        <v>944</v>
      </c>
      <c r="E213" s="21" t="s">
        <v>46</v>
      </c>
      <c r="F213" s="5812">
        <v>1</v>
      </c>
      <c r="G213" s="5813">
        <v>3.0555555555555555E-2</v>
      </c>
      <c r="H213" s="21" t="s">
        <v>10</v>
      </c>
      <c r="I213" s="21" t="s">
        <v>2269</v>
      </c>
      <c r="J213" s="21" t="s">
        <v>406</v>
      </c>
      <c r="K213" s="5814" t="s">
        <v>9055</v>
      </c>
    </row>
    <row r="214" spans="1:11">
      <c r="A214" s="21" t="s">
        <v>4671</v>
      </c>
      <c r="B214" s="21" t="s">
        <v>9056</v>
      </c>
      <c r="C214" s="21" t="s">
        <v>22</v>
      </c>
      <c r="D214" s="21" t="s">
        <v>944</v>
      </c>
      <c r="E214" s="21" t="s">
        <v>46</v>
      </c>
      <c r="F214" s="5812">
        <v>1</v>
      </c>
      <c r="G214" s="5813">
        <v>3.4027777777777775E-2</v>
      </c>
      <c r="H214" s="21" t="s">
        <v>10</v>
      </c>
      <c r="I214" s="21" t="s">
        <v>2269</v>
      </c>
      <c r="J214" s="21" t="s">
        <v>406</v>
      </c>
      <c r="K214" s="5814" t="s">
        <v>9057</v>
      </c>
    </row>
    <row r="215" spans="1:11">
      <c r="A215" s="21" t="s">
        <v>3458</v>
      </c>
      <c r="B215" s="21" t="s">
        <v>9058</v>
      </c>
      <c r="C215" s="21" t="s">
        <v>22</v>
      </c>
      <c r="D215" s="21" t="s">
        <v>944</v>
      </c>
      <c r="E215" s="21" t="s">
        <v>46</v>
      </c>
      <c r="F215" s="5812">
        <v>1</v>
      </c>
      <c r="G215" s="5813">
        <v>4.0972222222222222E-2</v>
      </c>
      <c r="H215" s="21" t="s">
        <v>10</v>
      </c>
      <c r="I215" s="21" t="s">
        <v>2872</v>
      </c>
      <c r="J215" s="21" t="s">
        <v>48</v>
      </c>
      <c r="K215" s="5814" t="s">
        <v>9059</v>
      </c>
    </row>
    <row r="216" spans="1:11">
      <c r="A216" s="21" t="s">
        <v>3565</v>
      </c>
      <c r="B216" s="21" t="s">
        <v>9060</v>
      </c>
      <c r="C216" s="21" t="s">
        <v>22</v>
      </c>
      <c r="D216" s="21" t="s">
        <v>944</v>
      </c>
      <c r="E216" s="21" t="s">
        <v>46</v>
      </c>
      <c r="F216" s="5812">
        <v>1</v>
      </c>
      <c r="G216" s="5813">
        <v>4.1666666666666664E-2</v>
      </c>
      <c r="H216" s="21" t="s">
        <v>10</v>
      </c>
      <c r="I216" s="21" t="s">
        <v>2632</v>
      </c>
      <c r="J216" s="21" t="s">
        <v>722</v>
      </c>
      <c r="K216" s="5814" t="s">
        <v>9061</v>
      </c>
    </row>
    <row r="217" spans="1:11">
      <c r="A217" s="21" t="s">
        <v>3256</v>
      </c>
      <c r="B217" s="21" t="s">
        <v>9062</v>
      </c>
      <c r="C217" s="21" t="s">
        <v>8</v>
      </c>
      <c r="D217" s="21" t="s">
        <v>944</v>
      </c>
      <c r="E217" s="21" t="s">
        <v>46</v>
      </c>
      <c r="F217" s="5812">
        <v>1</v>
      </c>
      <c r="G217" s="5813">
        <v>4.4444444444444446E-2</v>
      </c>
      <c r="H217" s="21" t="s">
        <v>10</v>
      </c>
      <c r="I217" s="21" t="s">
        <v>209</v>
      </c>
      <c r="J217" s="21" t="s">
        <v>940</v>
      </c>
      <c r="K217" s="5814" t="s">
        <v>9063</v>
      </c>
    </row>
    <row r="218" spans="1:11">
      <c r="A218" s="21" t="s">
        <v>71</v>
      </c>
      <c r="B218" s="21" t="s">
        <v>1081</v>
      </c>
      <c r="C218" s="21" t="s">
        <v>22</v>
      </c>
      <c r="D218" s="21" t="s">
        <v>944</v>
      </c>
      <c r="E218" s="21" t="s">
        <v>46</v>
      </c>
      <c r="F218" s="5812">
        <v>1</v>
      </c>
      <c r="G218" s="5813">
        <v>4.583333333333333E-2</v>
      </c>
      <c r="H218" s="21" t="s">
        <v>10</v>
      </c>
      <c r="I218" s="21" t="s">
        <v>23</v>
      </c>
      <c r="J218" s="21" t="s">
        <v>48</v>
      </c>
      <c r="K218" s="5814" t="s">
        <v>9064</v>
      </c>
    </row>
    <row r="219" spans="1:11">
      <c r="A219" s="21" t="s">
        <v>2944</v>
      </c>
      <c r="B219" s="21" t="s">
        <v>9065</v>
      </c>
      <c r="C219" s="21" t="s">
        <v>8</v>
      </c>
      <c r="D219" s="21" t="s">
        <v>944</v>
      </c>
      <c r="E219" s="21" t="s">
        <v>46</v>
      </c>
      <c r="F219" s="5812">
        <v>1</v>
      </c>
      <c r="G219" s="5813">
        <v>5.0694444444444445E-2</v>
      </c>
      <c r="H219" s="21" t="s">
        <v>10</v>
      </c>
      <c r="I219" s="21" t="s">
        <v>89</v>
      </c>
      <c r="J219" s="21" t="s">
        <v>940</v>
      </c>
      <c r="K219" s="5814" t="s">
        <v>9066</v>
      </c>
    </row>
    <row r="220" spans="1:11">
      <c r="A220" s="21" t="s">
        <v>2966</v>
      </c>
      <c r="B220" s="21" t="s">
        <v>9067</v>
      </c>
      <c r="C220" s="21" t="s">
        <v>8</v>
      </c>
      <c r="D220" s="21" t="s">
        <v>944</v>
      </c>
      <c r="E220" s="21" t="s">
        <v>46</v>
      </c>
      <c r="F220" s="5812">
        <v>1</v>
      </c>
      <c r="G220" s="5813">
        <v>5.1388888888888887E-2</v>
      </c>
      <c r="H220" s="21" t="s">
        <v>10</v>
      </c>
      <c r="I220" s="21" t="s">
        <v>23</v>
      </c>
      <c r="J220" s="21" t="s">
        <v>48</v>
      </c>
      <c r="K220" s="5814" t="s">
        <v>9068</v>
      </c>
    </row>
    <row r="221" spans="1:11">
      <c r="A221" s="21" t="s">
        <v>4317</v>
      </c>
      <c r="B221" s="21" t="s">
        <v>9069</v>
      </c>
      <c r="C221" s="21" t="s">
        <v>8</v>
      </c>
      <c r="D221" s="21" t="s">
        <v>944</v>
      </c>
      <c r="E221" s="21" t="s">
        <v>46</v>
      </c>
      <c r="F221" s="5812">
        <v>1</v>
      </c>
      <c r="G221" s="5813">
        <v>5.2777777777777778E-2</v>
      </c>
      <c r="H221" s="21" t="s">
        <v>10</v>
      </c>
      <c r="I221" s="21" t="s">
        <v>3534</v>
      </c>
      <c r="J221" s="21" t="s">
        <v>48</v>
      </c>
      <c r="K221" s="5814" t="s">
        <v>9070</v>
      </c>
    </row>
    <row r="222" spans="1:11">
      <c r="A222" s="21" t="s">
        <v>4552</v>
      </c>
      <c r="B222" s="21" t="s">
        <v>9071</v>
      </c>
      <c r="C222" s="21" t="s">
        <v>22</v>
      </c>
      <c r="D222" s="21" t="s">
        <v>944</v>
      </c>
      <c r="E222" s="21" t="s">
        <v>46</v>
      </c>
      <c r="F222" s="5812">
        <v>1</v>
      </c>
      <c r="G222" s="5813">
        <v>5.347222222222222E-2</v>
      </c>
      <c r="H222" s="21" t="s">
        <v>10</v>
      </c>
      <c r="I222" s="21" t="s">
        <v>39</v>
      </c>
      <c r="J222" s="21" t="s">
        <v>127</v>
      </c>
      <c r="K222" s="5814" t="s">
        <v>9072</v>
      </c>
    </row>
    <row r="223" spans="1:11">
      <c r="A223" s="21" t="s">
        <v>2788</v>
      </c>
      <c r="B223" s="21" t="s">
        <v>9073</v>
      </c>
      <c r="C223" s="21" t="s">
        <v>22</v>
      </c>
      <c r="D223" s="21" t="s">
        <v>944</v>
      </c>
      <c r="E223" s="21" t="s">
        <v>46</v>
      </c>
      <c r="F223" s="5812">
        <v>1</v>
      </c>
      <c r="G223" s="5813">
        <v>5.347222222222222E-2</v>
      </c>
      <c r="H223" s="21" t="s">
        <v>10</v>
      </c>
      <c r="I223" s="21" t="s">
        <v>233</v>
      </c>
      <c r="J223" s="21" t="s">
        <v>406</v>
      </c>
      <c r="K223" s="5814" t="s">
        <v>9074</v>
      </c>
    </row>
    <row r="224" spans="1:11">
      <c r="A224" s="21" t="s">
        <v>2461</v>
      </c>
      <c r="B224" s="21" t="s">
        <v>9075</v>
      </c>
      <c r="C224" s="21" t="s">
        <v>22</v>
      </c>
      <c r="D224" s="21" t="s">
        <v>944</v>
      </c>
      <c r="E224" s="21" t="s">
        <v>46</v>
      </c>
      <c r="F224" s="5812">
        <v>1</v>
      </c>
      <c r="G224" s="5813">
        <v>6.1111111111111109E-2</v>
      </c>
      <c r="H224" s="21" t="s">
        <v>10</v>
      </c>
      <c r="I224" s="21" t="s">
        <v>55</v>
      </c>
      <c r="J224" s="21" t="s">
        <v>97</v>
      </c>
      <c r="K224" s="5814" t="s">
        <v>9076</v>
      </c>
    </row>
    <row r="225" spans="1:11">
      <c r="A225" s="21" t="s">
        <v>2075</v>
      </c>
      <c r="B225" s="21" t="s">
        <v>9077</v>
      </c>
      <c r="C225" s="21" t="s">
        <v>22</v>
      </c>
      <c r="D225" s="21" t="s">
        <v>944</v>
      </c>
      <c r="E225" s="21" t="s">
        <v>46</v>
      </c>
      <c r="F225" s="5812">
        <v>1</v>
      </c>
      <c r="G225" s="5813">
        <v>7.013888888888889E-2</v>
      </c>
      <c r="H225" s="21" t="s">
        <v>10</v>
      </c>
      <c r="I225" s="21" t="s">
        <v>55</v>
      </c>
      <c r="J225" s="21" t="s">
        <v>97</v>
      </c>
      <c r="K225" s="5814" t="s">
        <v>9078</v>
      </c>
    </row>
    <row r="226" spans="1:11">
      <c r="A226" s="21" t="s">
        <v>2517</v>
      </c>
      <c r="B226" s="21" t="s">
        <v>9079</v>
      </c>
      <c r="C226" s="21" t="s">
        <v>8</v>
      </c>
      <c r="D226" s="21" t="s">
        <v>944</v>
      </c>
      <c r="E226" s="21" t="s">
        <v>46</v>
      </c>
      <c r="F226" s="5812">
        <v>1</v>
      </c>
      <c r="G226" s="5813">
        <v>7.0833333333333331E-2</v>
      </c>
      <c r="H226" s="21" t="s">
        <v>10</v>
      </c>
      <c r="I226" s="21" t="s">
        <v>2313</v>
      </c>
      <c r="J226" s="21" t="s">
        <v>48</v>
      </c>
      <c r="K226" s="5814" t="s">
        <v>9080</v>
      </c>
    </row>
    <row r="227" spans="1:11">
      <c r="A227" s="21" t="s">
        <v>2300</v>
      </c>
      <c r="B227" s="21" t="s">
        <v>9081</v>
      </c>
      <c r="C227" s="21" t="s">
        <v>8</v>
      </c>
      <c r="D227" s="21" t="s">
        <v>944</v>
      </c>
      <c r="E227" s="21" t="s">
        <v>46</v>
      </c>
      <c r="F227" s="5812">
        <v>1</v>
      </c>
      <c r="G227" s="5813">
        <v>7.1527777777777773E-2</v>
      </c>
      <c r="H227" s="21" t="s">
        <v>10</v>
      </c>
      <c r="I227" s="21" t="s">
        <v>2317</v>
      </c>
      <c r="J227" s="21" t="s">
        <v>907</v>
      </c>
      <c r="K227" s="5814" t="s">
        <v>9082</v>
      </c>
    </row>
    <row r="228" spans="1:11">
      <c r="A228" s="21" t="s">
        <v>4047</v>
      </c>
      <c r="B228" s="21" t="s">
        <v>9083</v>
      </c>
      <c r="C228" s="21" t="s">
        <v>8</v>
      </c>
      <c r="D228" s="21" t="s">
        <v>944</v>
      </c>
      <c r="E228" s="21" t="s">
        <v>46</v>
      </c>
      <c r="F228" s="5812">
        <v>1</v>
      </c>
      <c r="G228" s="5813">
        <v>7.2916666666666671E-2</v>
      </c>
      <c r="H228" s="21" t="s">
        <v>10</v>
      </c>
      <c r="I228" s="21" t="s">
        <v>39</v>
      </c>
      <c r="J228" s="21" t="s">
        <v>9084</v>
      </c>
      <c r="K228" s="5814" t="s">
        <v>9085</v>
      </c>
    </row>
    <row r="229" spans="1:11">
      <c r="A229" s="21" t="s">
        <v>207</v>
      </c>
      <c r="B229" s="21" t="s">
        <v>1070</v>
      </c>
      <c r="C229" s="21" t="s">
        <v>22</v>
      </c>
      <c r="D229" s="21" t="s">
        <v>944</v>
      </c>
      <c r="E229" s="21" t="s">
        <v>46</v>
      </c>
      <c r="F229" s="5812">
        <v>1</v>
      </c>
      <c r="G229" s="5813">
        <v>7.5694444444444439E-2</v>
      </c>
      <c r="H229" s="21" t="s">
        <v>10</v>
      </c>
      <c r="I229" s="21" t="s">
        <v>209</v>
      </c>
      <c r="J229" s="21" t="s">
        <v>774</v>
      </c>
      <c r="K229" s="5814" t="s">
        <v>1071</v>
      </c>
    </row>
    <row r="230" spans="1:11">
      <c r="A230" s="21" t="s">
        <v>3671</v>
      </c>
      <c r="B230" s="21" t="s">
        <v>9086</v>
      </c>
      <c r="C230" s="21" t="s">
        <v>8</v>
      </c>
      <c r="D230" s="21" t="s">
        <v>944</v>
      </c>
      <c r="E230" s="21" t="s">
        <v>46</v>
      </c>
      <c r="F230" s="5812">
        <v>1</v>
      </c>
      <c r="G230" s="5813">
        <v>7.7777777777777779E-2</v>
      </c>
      <c r="H230" s="21" t="s">
        <v>10</v>
      </c>
      <c r="I230" s="21" t="s">
        <v>2313</v>
      </c>
      <c r="J230" s="21" t="s">
        <v>6829</v>
      </c>
      <c r="K230" s="5814" t="s">
        <v>9087</v>
      </c>
    </row>
    <row r="231" spans="1:11">
      <c r="A231" s="21" t="s">
        <v>4257</v>
      </c>
      <c r="B231" s="21" t="s">
        <v>9088</v>
      </c>
      <c r="C231" s="21" t="s">
        <v>8</v>
      </c>
      <c r="D231" s="21" t="s">
        <v>944</v>
      </c>
      <c r="E231" s="21" t="s">
        <v>46</v>
      </c>
      <c r="F231" s="5812">
        <v>1</v>
      </c>
      <c r="G231" s="5813">
        <v>7.9166666666666663E-2</v>
      </c>
      <c r="H231" s="21" t="s">
        <v>10</v>
      </c>
      <c r="I231" s="21" t="s">
        <v>73</v>
      </c>
      <c r="J231" s="21" t="s">
        <v>48</v>
      </c>
      <c r="K231" s="5814" t="s">
        <v>9089</v>
      </c>
    </row>
    <row r="232" spans="1:11">
      <c r="A232" s="21" t="s">
        <v>5984</v>
      </c>
      <c r="B232" s="21" t="s">
        <v>9090</v>
      </c>
      <c r="C232" s="21" t="s">
        <v>22</v>
      </c>
      <c r="D232" s="21" t="s">
        <v>944</v>
      </c>
      <c r="E232" s="21" t="s">
        <v>46</v>
      </c>
      <c r="F232" s="5812">
        <v>1</v>
      </c>
      <c r="G232" s="5813">
        <v>8.0555555555555561E-2</v>
      </c>
      <c r="H232" s="21" t="s">
        <v>10</v>
      </c>
      <c r="I232" s="21" t="s">
        <v>55</v>
      </c>
      <c r="J232" s="21" t="s">
        <v>48</v>
      </c>
      <c r="K232" s="5814" t="s">
        <v>9091</v>
      </c>
    </row>
    <row r="233" spans="1:11">
      <c r="A233" s="21" t="s">
        <v>2776</v>
      </c>
      <c r="B233" s="21" t="s">
        <v>9092</v>
      </c>
      <c r="C233" s="21" t="s">
        <v>8</v>
      </c>
      <c r="D233" s="21" t="s">
        <v>944</v>
      </c>
      <c r="E233" s="21" t="s">
        <v>46</v>
      </c>
      <c r="F233" s="5812">
        <v>1</v>
      </c>
      <c r="G233" s="5813">
        <v>8.3333333333333329E-2</v>
      </c>
      <c r="H233" s="21" t="s">
        <v>10</v>
      </c>
      <c r="I233" s="21" t="s">
        <v>8174</v>
      </c>
      <c r="J233" s="21" t="s">
        <v>258</v>
      </c>
      <c r="K233" s="5814" t="s">
        <v>9093</v>
      </c>
    </row>
    <row r="234" spans="1:11">
      <c r="A234" s="21" t="s">
        <v>2272</v>
      </c>
      <c r="B234" s="21" t="s">
        <v>9094</v>
      </c>
      <c r="C234" s="21" t="s">
        <v>8</v>
      </c>
      <c r="D234" s="21" t="s">
        <v>944</v>
      </c>
      <c r="E234" s="21" t="s">
        <v>46</v>
      </c>
      <c r="F234" s="5812">
        <v>1</v>
      </c>
      <c r="G234" s="5813">
        <v>8.819444444444445E-2</v>
      </c>
      <c r="H234" s="21" t="s">
        <v>54</v>
      </c>
      <c r="I234" s="21" t="s">
        <v>2247</v>
      </c>
      <c r="J234" s="21" t="s">
        <v>722</v>
      </c>
      <c r="K234" s="5814" t="s">
        <v>9095</v>
      </c>
    </row>
    <row r="235" spans="1:11">
      <c r="A235" s="21" t="s">
        <v>3872</v>
      </c>
      <c r="B235" s="21" t="s">
        <v>9096</v>
      </c>
      <c r="C235" s="21" t="s">
        <v>22</v>
      </c>
      <c r="D235" s="21" t="s">
        <v>944</v>
      </c>
      <c r="E235" s="21" t="s">
        <v>46</v>
      </c>
      <c r="F235" s="5812">
        <v>1</v>
      </c>
      <c r="G235" s="5813">
        <v>9.0277777777777776E-2</v>
      </c>
      <c r="H235" s="21" t="s">
        <v>10</v>
      </c>
      <c r="I235" s="21" t="s">
        <v>3441</v>
      </c>
      <c r="J235" s="21" t="s">
        <v>97</v>
      </c>
      <c r="K235" s="5814" t="s">
        <v>9097</v>
      </c>
    </row>
    <row r="236" spans="1:11">
      <c r="A236" s="21" t="s">
        <v>4043</v>
      </c>
      <c r="B236" s="21" t="s">
        <v>9098</v>
      </c>
      <c r="C236" s="21" t="s">
        <v>22</v>
      </c>
      <c r="D236" s="21" t="s">
        <v>944</v>
      </c>
      <c r="E236" s="21" t="s">
        <v>46</v>
      </c>
      <c r="F236" s="5812">
        <v>1</v>
      </c>
      <c r="G236" s="5813">
        <v>9.166666666666666E-2</v>
      </c>
      <c r="H236" s="21" t="s">
        <v>10</v>
      </c>
      <c r="I236" s="21" t="s">
        <v>11</v>
      </c>
      <c r="J236" s="21" t="s">
        <v>722</v>
      </c>
      <c r="K236" s="5814" t="s">
        <v>9099</v>
      </c>
    </row>
    <row r="237" spans="1:11">
      <c r="A237" s="21" t="s">
        <v>2276</v>
      </c>
      <c r="B237" s="21" t="s">
        <v>9100</v>
      </c>
      <c r="C237" s="21" t="s">
        <v>8</v>
      </c>
      <c r="D237" s="21" t="s">
        <v>944</v>
      </c>
      <c r="E237" s="21" t="s">
        <v>46</v>
      </c>
      <c r="F237" s="5812">
        <v>1</v>
      </c>
      <c r="G237" s="5813">
        <v>9.6527777777777782E-2</v>
      </c>
      <c r="H237" s="21" t="s">
        <v>10</v>
      </c>
      <c r="I237" s="21" t="s">
        <v>2247</v>
      </c>
      <c r="J237" s="21" t="s">
        <v>1076</v>
      </c>
      <c r="K237" s="5814" t="s">
        <v>9101</v>
      </c>
    </row>
    <row r="238" spans="1:11">
      <c r="A238" s="21" t="s">
        <v>3720</v>
      </c>
      <c r="B238" s="21" t="s">
        <v>9102</v>
      </c>
      <c r="C238" s="21" t="s">
        <v>22</v>
      </c>
      <c r="D238" s="21" t="s">
        <v>944</v>
      </c>
      <c r="E238" s="21" t="s">
        <v>46</v>
      </c>
      <c r="F238" s="5812">
        <v>1</v>
      </c>
      <c r="G238" s="5813">
        <v>0.10208333333333333</v>
      </c>
      <c r="H238" s="21" t="s">
        <v>10</v>
      </c>
      <c r="I238" s="21" t="s">
        <v>194</v>
      </c>
      <c r="J238" s="21" t="s">
        <v>722</v>
      </c>
      <c r="K238" s="5814" t="s">
        <v>9103</v>
      </c>
    </row>
    <row r="239" spans="1:11">
      <c r="A239" s="21" t="s">
        <v>3769</v>
      </c>
      <c r="B239" s="21" t="s">
        <v>9104</v>
      </c>
      <c r="C239" s="21" t="s">
        <v>22</v>
      </c>
      <c r="D239" s="21" t="s">
        <v>944</v>
      </c>
      <c r="E239" s="21" t="s">
        <v>46</v>
      </c>
      <c r="F239" s="5812">
        <v>1</v>
      </c>
      <c r="G239" s="5813">
        <v>0.10416666666666667</v>
      </c>
      <c r="H239" s="21" t="s">
        <v>54</v>
      </c>
      <c r="I239" s="21" t="s">
        <v>47</v>
      </c>
      <c r="J239" s="21" t="s">
        <v>48</v>
      </c>
      <c r="K239" s="5814" t="s">
        <v>9105</v>
      </c>
    </row>
    <row r="240" spans="1:11">
      <c r="A240" s="21" t="s">
        <v>2761</v>
      </c>
      <c r="B240" s="21" t="s">
        <v>9106</v>
      </c>
      <c r="C240" s="21" t="s">
        <v>8</v>
      </c>
      <c r="D240" s="21" t="s">
        <v>944</v>
      </c>
      <c r="E240" s="21" t="s">
        <v>46</v>
      </c>
      <c r="F240" s="5812">
        <v>1</v>
      </c>
      <c r="G240" s="5813">
        <v>0.10416666666666667</v>
      </c>
      <c r="H240" s="21" t="s">
        <v>54</v>
      </c>
      <c r="I240" s="21" t="s">
        <v>233</v>
      </c>
      <c r="J240" s="21" t="s">
        <v>48</v>
      </c>
      <c r="K240" s="5814" t="s">
        <v>9107</v>
      </c>
    </row>
    <row r="241" spans="1:11">
      <c r="A241" s="21" t="s">
        <v>2719</v>
      </c>
      <c r="B241" s="21" t="s">
        <v>9108</v>
      </c>
      <c r="C241" s="21" t="s">
        <v>8</v>
      </c>
      <c r="D241" s="21" t="s">
        <v>944</v>
      </c>
      <c r="E241" s="21" t="s">
        <v>46</v>
      </c>
      <c r="F241" s="5812">
        <v>1</v>
      </c>
      <c r="G241" s="5813">
        <v>0.10416666666666667</v>
      </c>
      <c r="H241" s="21" t="s">
        <v>10</v>
      </c>
      <c r="I241" s="21" t="s">
        <v>263</v>
      </c>
      <c r="J241" s="21" t="s">
        <v>48</v>
      </c>
      <c r="K241" s="5814" t="s">
        <v>9109</v>
      </c>
    </row>
    <row r="242" spans="1:11">
      <c r="A242" s="21" t="s">
        <v>2276</v>
      </c>
      <c r="B242" s="21" t="s">
        <v>9110</v>
      </c>
      <c r="C242" s="21" t="s">
        <v>8</v>
      </c>
      <c r="D242" s="21" t="s">
        <v>944</v>
      </c>
      <c r="E242" s="21" t="s">
        <v>46</v>
      </c>
      <c r="F242" s="5812">
        <v>1</v>
      </c>
      <c r="G242" s="5813">
        <v>0.10555555555555556</v>
      </c>
      <c r="H242" s="21" t="s">
        <v>10</v>
      </c>
      <c r="I242" s="21" t="s">
        <v>55</v>
      </c>
      <c r="J242" s="21" t="s">
        <v>127</v>
      </c>
      <c r="K242" s="5814" t="s">
        <v>9111</v>
      </c>
    </row>
    <row r="243" spans="1:11">
      <c r="A243" s="21" t="s">
        <v>2045</v>
      </c>
      <c r="B243" s="21" t="s">
        <v>9112</v>
      </c>
      <c r="C243" s="21" t="s">
        <v>22</v>
      </c>
      <c r="D243" s="21" t="s">
        <v>944</v>
      </c>
      <c r="E243" s="21" t="s">
        <v>46</v>
      </c>
      <c r="F243" s="5812">
        <v>1</v>
      </c>
      <c r="G243" s="5813">
        <v>0.10833333333333334</v>
      </c>
      <c r="H243" s="21" t="s">
        <v>10</v>
      </c>
      <c r="I243" s="21" t="s">
        <v>96</v>
      </c>
      <c r="J243" s="21" t="s">
        <v>97</v>
      </c>
      <c r="K243" s="5814" t="s">
        <v>9113</v>
      </c>
    </row>
    <row r="244" spans="1:11">
      <c r="A244" s="21" t="s">
        <v>3565</v>
      </c>
      <c r="B244" s="21" t="s">
        <v>9114</v>
      </c>
      <c r="C244" s="21" t="s">
        <v>8</v>
      </c>
      <c r="D244" s="21" t="s">
        <v>944</v>
      </c>
      <c r="E244" s="21" t="s">
        <v>46</v>
      </c>
      <c r="F244" s="5812">
        <v>1</v>
      </c>
      <c r="G244" s="5813">
        <v>0.10972222222222222</v>
      </c>
      <c r="H244" s="21" t="s">
        <v>10</v>
      </c>
      <c r="I244" s="21" t="s">
        <v>11</v>
      </c>
      <c r="J244" s="21" t="s">
        <v>417</v>
      </c>
      <c r="K244" s="5814" t="s">
        <v>9115</v>
      </c>
    </row>
    <row r="245" spans="1:11">
      <c r="A245" s="21" t="s">
        <v>3098</v>
      </c>
      <c r="B245" s="21" t="s">
        <v>9116</v>
      </c>
      <c r="C245" s="21" t="s">
        <v>8</v>
      </c>
      <c r="D245" s="21" t="s">
        <v>944</v>
      </c>
      <c r="E245" s="21" t="s">
        <v>46</v>
      </c>
      <c r="F245" s="5812">
        <v>1</v>
      </c>
      <c r="G245" s="5813">
        <v>0.11944444444444445</v>
      </c>
      <c r="H245" s="21" t="s">
        <v>10</v>
      </c>
      <c r="I245" s="21" t="s">
        <v>2713</v>
      </c>
      <c r="J245" s="21" t="s">
        <v>48</v>
      </c>
      <c r="K245" s="5814" t="s">
        <v>9117</v>
      </c>
    </row>
    <row r="246" spans="1:11">
      <c r="A246" s="21" t="s">
        <v>2768</v>
      </c>
      <c r="B246" s="21" t="s">
        <v>9118</v>
      </c>
      <c r="C246" s="21" t="s">
        <v>22</v>
      </c>
      <c r="D246" s="21" t="s">
        <v>944</v>
      </c>
      <c r="E246" s="21" t="s">
        <v>46</v>
      </c>
      <c r="F246" s="5812">
        <v>1</v>
      </c>
      <c r="G246" s="5813">
        <v>0.12083333333333333</v>
      </c>
      <c r="H246" s="21" t="s">
        <v>10</v>
      </c>
      <c r="I246" s="21" t="s">
        <v>11</v>
      </c>
      <c r="J246" s="21" t="s">
        <v>406</v>
      </c>
      <c r="K246" s="5814" t="s">
        <v>9119</v>
      </c>
    </row>
    <row r="247" spans="1:11">
      <c r="A247" s="21" t="s">
        <v>2341</v>
      </c>
      <c r="B247" s="21" t="s">
        <v>9120</v>
      </c>
      <c r="C247" s="21" t="s">
        <v>22</v>
      </c>
      <c r="D247" s="21" t="s">
        <v>944</v>
      </c>
      <c r="E247" s="21" t="s">
        <v>46</v>
      </c>
      <c r="F247" s="5812">
        <v>1</v>
      </c>
      <c r="G247" s="5813">
        <v>0.13541666666666666</v>
      </c>
      <c r="H247" s="21" t="s">
        <v>10</v>
      </c>
      <c r="I247" s="21" t="s">
        <v>47</v>
      </c>
      <c r="J247" s="21" t="s">
        <v>127</v>
      </c>
      <c r="K247" s="5814" t="s">
        <v>9121</v>
      </c>
    </row>
    <row r="248" spans="1:11">
      <c r="A248" s="21" t="s">
        <v>2362</v>
      </c>
      <c r="B248" s="21" t="s">
        <v>9122</v>
      </c>
      <c r="C248" s="21" t="s">
        <v>22</v>
      </c>
      <c r="D248" s="21" t="s">
        <v>944</v>
      </c>
      <c r="E248" s="21" t="s">
        <v>46</v>
      </c>
      <c r="F248" s="5812">
        <v>1</v>
      </c>
      <c r="G248" s="5813">
        <v>0.1361111111111111</v>
      </c>
      <c r="H248" s="21" t="s">
        <v>10</v>
      </c>
      <c r="I248" s="21" t="s">
        <v>39</v>
      </c>
      <c r="J248" s="21" t="s">
        <v>3226</v>
      </c>
      <c r="K248" s="5814" t="s">
        <v>9123</v>
      </c>
    </row>
    <row r="249" spans="1:11">
      <c r="A249" s="21" t="s">
        <v>2156</v>
      </c>
      <c r="B249" s="21" t="s">
        <v>9124</v>
      </c>
      <c r="C249" s="21" t="s">
        <v>8</v>
      </c>
      <c r="D249" s="21" t="s">
        <v>944</v>
      </c>
      <c r="E249" s="21" t="s">
        <v>46</v>
      </c>
      <c r="F249" s="5812">
        <v>1</v>
      </c>
      <c r="G249" s="5813">
        <v>0.13680555555555557</v>
      </c>
      <c r="H249" s="21" t="s">
        <v>10</v>
      </c>
      <c r="I249" s="21" t="s">
        <v>23</v>
      </c>
      <c r="J249" s="21" t="s">
        <v>48</v>
      </c>
      <c r="K249" s="5814" t="s">
        <v>9125</v>
      </c>
    </row>
    <row r="250" spans="1:11">
      <c r="A250" s="21" t="s">
        <v>115</v>
      </c>
      <c r="B250" s="21" t="s">
        <v>1002</v>
      </c>
      <c r="C250" s="21" t="s">
        <v>8</v>
      </c>
      <c r="D250" s="21" t="s">
        <v>944</v>
      </c>
      <c r="E250" s="21" t="s">
        <v>46</v>
      </c>
      <c r="F250" s="5812">
        <v>1</v>
      </c>
      <c r="G250" s="5813">
        <v>0.13750000000000001</v>
      </c>
      <c r="H250" s="21" t="s">
        <v>10</v>
      </c>
      <c r="I250" s="21" t="s">
        <v>117</v>
      </c>
      <c r="J250" s="21" t="s">
        <v>48</v>
      </c>
      <c r="K250" s="5814" t="s">
        <v>1003</v>
      </c>
    </row>
    <row r="251" spans="1:11">
      <c r="A251" s="21" t="s">
        <v>2944</v>
      </c>
      <c r="B251" s="21" t="s">
        <v>9126</v>
      </c>
      <c r="C251" s="21" t="s">
        <v>22</v>
      </c>
      <c r="D251" s="21" t="s">
        <v>944</v>
      </c>
      <c r="E251" s="21" t="s">
        <v>46</v>
      </c>
      <c r="F251" s="5812">
        <v>1</v>
      </c>
      <c r="G251" s="5813">
        <v>0.13750000000000001</v>
      </c>
      <c r="H251" s="21" t="s">
        <v>10</v>
      </c>
      <c r="I251" s="21" t="s">
        <v>89</v>
      </c>
      <c r="J251" s="21" t="s">
        <v>48</v>
      </c>
      <c r="K251" s="5814" t="s">
        <v>9127</v>
      </c>
    </row>
    <row r="252" spans="1:11">
      <c r="A252" s="21" t="s">
        <v>2517</v>
      </c>
      <c r="B252" s="21" t="s">
        <v>9128</v>
      </c>
      <c r="C252" s="21" t="s">
        <v>22</v>
      </c>
      <c r="D252" s="21" t="s">
        <v>944</v>
      </c>
      <c r="E252" s="21" t="s">
        <v>46</v>
      </c>
      <c r="F252" s="5812">
        <v>1</v>
      </c>
      <c r="G252" s="5813">
        <v>0.14027777777777778</v>
      </c>
      <c r="H252" s="21" t="s">
        <v>10</v>
      </c>
      <c r="I252" s="21" t="s">
        <v>2523</v>
      </c>
      <c r="J252" s="21" t="s">
        <v>48</v>
      </c>
      <c r="K252" s="5814" t="s">
        <v>9129</v>
      </c>
    </row>
    <row r="253" spans="1:11">
      <c r="A253" s="21" t="s">
        <v>3541</v>
      </c>
      <c r="B253" s="21" t="s">
        <v>9130</v>
      </c>
      <c r="C253" s="21" t="s">
        <v>22</v>
      </c>
      <c r="D253" s="21" t="s">
        <v>944</v>
      </c>
      <c r="E253" s="21" t="s">
        <v>46</v>
      </c>
      <c r="F253" s="5812">
        <v>1</v>
      </c>
      <c r="G253" s="5813">
        <v>0.14027777777777778</v>
      </c>
      <c r="H253" s="21" t="s">
        <v>10</v>
      </c>
      <c r="I253" s="21" t="s">
        <v>226</v>
      </c>
      <c r="J253" s="21" t="s">
        <v>97</v>
      </c>
      <c r="K253" s="5814" t="s">
        <v>9131</v>
      </c>
    </row>
    <row r="254" spans="1:11">
      <c r="A254" s="21" t="s">
        <v>3761</v>
      </c>
      <c r="B254" s="21" t="s">
        <v>9132</v>
      </c>
      <c r="C254" s="21" t="s">
        <v>22</v>
      </c>
      <c r="D254" s="21" t="s">
        <v>944</v>
      </c>
      <c r="E254" s="21" t="s">
        <v>46</v>
      </c>
      <c r="F254" s="5812">
        <v>1</v>
      </c>
      <c r="G254" s="5813">
        <v>0.14791666666666667</v>
      </c>
      <c r="H254" s="21" t="s">
        <v>10</v>
      </c>
      <c r="I254" s="21" t="s">
        <v>2544</v>
      </c>
      <c r="J254" s="21" t="s">
        <v>48</v>
      </c>
      <c r="K254" s="5814" t="s">
        <v>9133</v>
      </c>
    </row>
    <row r="255" spans="1:11">
      <c r="A255" s="21" t="s">
        <v>3039</v>
      </c>
      <c r="B255" s="21" t="s">
        <v>9134</v>
      </c>
      <c r="C255" s="21" t="s">
        <v>22</v>
      </c>
      <c r="D255" s="21" t="s">
        <v>944</v>
      </c>
      <c r="E255" s="21" t="s">
        <v>46</v>
      </c>
      <c r="F255" s="5812">
        <v>1</v>
      </c>
      <c r="G255" s="5813">
        <v>0.14930555555555555</v>
      </c>
      <c r="H255" s="21" t="s">
        <v>10</v>
      </c>
      <c r="I255" s="21" t="s">
        <v>39</v>
      </c>
      <c r="J255" s="21" t="s">
        <v>48</v>
      </c>
      <c r="K255" s="5814" t="s">
        <v>9135</v>
      </c>
    </row>
    <row r="256" spans="1:11">
      <c r="A256" s="21" t="s">
        <v>2839</v>
      </c>
      <c r="B256" s="21" t="s">
        <v>9136</v>
      </c>
      <c r="C256" s="21" t="s">
        <v>8</v>
      </c>
      <c r="D256" s="21" t="s">
        <v>944</v>
      </c>
      <c r="E256" s="21" t="s">
        <v>46</v>
      </c>
      <c r="F256" s="5812">
        <v>1</v>
      </c>
      <c r="G256" s="5813">
        <v>0.15208333333333332</v>
      </c>
      <c r="H256" s="21" t="s">
        <v>10</v>
      </c>
      <c r="I256" s="21" t="s">
        <v>187</v>
      </c>
      <c r="J256" s="21" t="s">
        <v>406</v>
      </c>
      <c r="K256" s="5814" t="s">
        <v>9137</v>
      </c>
    </row>
    <row r="257" spans="1:11">
      <c r="A257" s="21" t="s">
        <v>3765</v>
      </c>
      <c r="B257" s="21" t="s">
        <v>9138</v>
      </c>
      <c r="C257" s="21" t="s">
        <v>8</v>
      </c>
      <c r="D257" s="21" t="s">
        <v>944</v>
      </c>
      <c r="E257" s="21" t="s">
        <v>46</v>
      </c>
      <c r="F257" s="5812">
        <v>1</v>
      </c>
      <c r="G257" s="5813">
        <v>0.15972222222222221</v>
      </c>
      <c r="H257" s="21" t="s">
        <v>54</v>
      </c>
      <c r="I257" s="21" t="s">
        <v>226</v>
      </c>
      <c r="J257" s="21" t="s">
        <v>722</v>
      </c>
      <c r="K257" s="5814" t="s">
        <v>9139</v>
      </c>
    </row>
    <row r="258" spans="1:11">
      <c r="A258" s="21" t="s">
        <v>2403</v>
      </c>
      <c r="B258" s="21" t="s">
        <v>9140</v>
      </c>
      <c r="C258" s="21" t="s">
        <v>8</v>
      </c>
      <c r="D258" s="21" t="s">
        <v>944</v>
      </c>
      <c r="E258" s="21" t="s">
        <v>46</v>
      </c>
      <c r="F258" s="5812">
        <v>1</v>
      </c>
      <c r="G258" s="5813">
        <v>0.15972222222222221</v>
      </c>
      <c r="H258" s="21" t="s">
        <v>10</v>
      </c>
      <c r="I258" s="21" t="s">
        <v>55</v>
      </c>
      <c r="J258" s="21" t="s">
        <v>48</v>
      </c>
      <c r="K258" s="5814" t="s">
        <v>9141</v>
      </c>
    </row>
    <row r="259" spans="1:11">
      <c r="A259" s="21" t="s">
        <v>2225</v>
      </c>
      <c r="B259" s="21" t="s">
        <v>9142</v>
      </c>
      <c r="C259" s="21" t="s">
        <v>22</v>
      </c>
      <c r="D259" s="21" t="s">
        <v>944</v>
      </c>
      <c r="E259" s="21" t="s">
        <v>46</v>
      </c>
      <c r="F259" s="5812">
        <v>1</v>
      </c>
      <c r="G259" s="5813">
        <v>0.15972222222222221</v>
      </c>
      <c r="H259" s="21" t="s">
        <v>10</v>
      </c>
      <c r="I259" s="21" t="s">
        <v>162</v>
      </c>
      <c r="J259" s="21" t="s">
        <v>3226</v>
      </c>
      <c r="K259" s="5814" t="s">
        <v>9143</v>
      </c>
    </row>
    <row r="260" spans="1:11">
      <c r="A260" s="21" t="s">
        <v>2387</v>
      </c>
      <c r="B260" s="21" t="s">
        <v>9144</v>
      </c>
      <c r="C260" s="21" t="s">
        <v>8</v>
      </c>
      <c r="D260" s="21" t="s">
        <v>944</v>
      </c>
      <c r="E260" s="21" t="s">
        <v>46</v>
      </c>
      <c r="F260" s="5812">
        <v>1</v>
      </c>
      <c r="G260" s="5813">
        <v>0.16319444444444445</v>
      </c>
      <c r="H260" s="21" t="s">
        <v>10</v>
      </c>
      <c r="I260" s="21" t="s">
        <v>23</v>
      </c>
      <c r="J260" s="21" t="s">
        <v>48</v>
      </c>
      <c r="K260" s="5814" t="s">
        <v>9145</v>
      </c>
    </row>
    <row r="261" spans="1:11">
      <c r="A261" s="21" t="s">
        <v>4345</v>
      </c>
      <c r="B261" s="21" t="s">
        <v>9146</v>
      </c>
      <c r="C261" s="21" t="s">
        <v>8</v>
      </c>
      <c r="D261" s="21" t="s">
        <v>944</v>
      </c>
      <c r="E261" s="21" t="s">
        <v>46</v>
      </c>
      <c r="F261" s="5812">
        <v>1</v>
      </c>
      <c r="G261" s="5813">
        <v>0.17152777777777778</v>
      </c>
      <c r="H261" s="21" t="s">
        <v>54</v>
      </c>
      <c r="I261" s="21" t="s">
        <v>55</v>
      </c>
      <c r="J261" s="21" t="s">
        <v>722</v>
      </c>
      <c r="K261" s="5814" t="s">
        <v>9147</v>
      </c>
    </row>
    <row r="262" spans="1:11">
      <c r="A262" s="21" t="s">
        <v>3338</v>
      </c>
      <c r="B262" s="21" t="s">
        <v>9148</v>
      </c>
      <c r="C262" s="21" t="s">
        <v>22</v>
      </c>
      <c r="D262" s="21" t="s">
        <v>944</v>
      </c>
      <c r="E262" s="21" t="s">
        <v>46</v>
      </c>
      <c r="F262" s="5812">
        <v>1</v>
      </c>
      <c r="G262" s="5813">
        <v>0.17291666666666666</v>
      </c>
      <c r="H262" s="21" t="s">
        <v>10</v>
      </c>
      <c r="I262" s="21" t="s">
        <v>226</v>
      </c>
      <c r="J262" s="21" t="s">
        <v>9149</v>
      </c>
      <c r="K262" s="5814" t="s">
        <v>9150</v>
      </c>
    </row>
    <row r="263" spans="1:11">
      <c r="A263" s="21" t="s">
        <v>2354</v>
      </c>
      <c r="B263" s="21" t="s">
        <v>9151</v>
      </c>
      <c r="C263" s="21" t="s">
        <v>22</v>
      </c>
      <c r="D263" s="21" t="s">
        <v>944</v>
      </c>
      <c r="E263" s="21" t="s">
        <v>46</v>
      </c>
      <c r="F263" s="5812">
        <v>1</v>
      </c>
      <c r="G263" s="5813">
        <v>0.17569444444444443</v>
      </c>
      <c r="H263" s="21" t="s">
        <v>10</v>
      </c>
      <c r="I263" s="21" t="s">
        <v>788</v>
      </c>
      <c r="J263" s="21" t="s">
        <v>48</v>
      </c>
      <c r="K263" s="5814" t="s">
        <v>9152</v>
      </c>
    </row>
    <row r="264" spans="1:11">
      <c r="A264" s="21" t="s">
        <v>2135</v>
      </c>
      <c r="B264" s="21" t="s">
        <v>9153</v>
      </c>
      <c r="C264" s="21" t="s">
        <v>8</v>
      </c>
      <c r="D264" s="21" t="s">
        <v>944</v>
      </c>
      <c r="E264" s="21" t="s">
        <v>46</v>
      </c>
      <c r="F264" s="5812">
        <v>1</v>
      </c>
      <c r="G264" s="5813">
        <v>0.1763888888888889</v>
      </c>
      <c r="H264" s="21" t="s">
        <v>10</v>
      </c>
      <c r="I264" s="21" t="s">
        <v>55</v>
      </c>
      <c r="J264" s="21" t="s">
        <v>48</v>
      </c>
      <c r="K264" s="5814" t="s">
        <v>9154</v>
      </c>
    </row>
    <row r="265" spans="1:11">
      <c r="A265" s="21" t="s">
        <v>3220</v>
      </c>
      <c r="B265" s="21" t="s">
        <v>9155</v>
      </c>
      <c r="C265" s="21" t="s">
        <v>22</v>
      </c>
      <c r="D265" s="21" t="s">
        <v>944</v>
      </c>
      <c r="E265" s="21" t="s">
        <v>46</v>
      </c>
      <c r="F265" s="5812">
        <v>1</v>
      </c>
      <c r="G265" s="5813">
        <v>0.18541666666666667</v>
      </c>
      <c r="H265" s="21" t="s">
        <v>10</v>
      </c>
      <c r="I265" s="21" t="s">
        <v>194</v>
      </c>
      <c r="J265" s="21" t="s">
        <v>48</v>
      </c>
      <c r="K265" s="5814" t="s">
        <v>9156</v>
      </c>
    </row>
    <row r="266" spans="1:11">
      <c r="A266" s="21" t="s">
        <v>2835</v>
      </c>
      <c r="B266" s="21" t="s">
        <v>9157</v>
      </c>
      <c r="C266" s="21" t="s">
        <v>8</v>
      </c>
      <c r="D266" s="21" t="s">
        <v>944</v>
      </c>
      <c r="E266" s="21" t="s">
        <v>46</v>
      </c>
      <c r="F266" s="5812">
        <v>1</v>
      </c>
      <c r="G266" s="5813">
        <v>0.18888888888888888</v>
      </c>
      <c r="H266" s="21" t="s">
        <v>10</v>
      </c>
      <c r="I266" s="21" t="s">
        <v>47</v>
      </c>
      <c r="J266" s="21" t="s">
        <v>48</v>
      </c>
      <c r="K266" s="5814" t="s">
        <v>9158</v>
      </c>
    </row>
    <row r="267" spans="1:11">
      <c r="A267" s="21" t="s">
        <v>125</v>
      </c>
      <c r="B267" s="21" t="s">
        <v>1008</v>
      </c>
      <c r="C267" s="21" t="s">
        <v>8</v>
      </c>
      <c r="D267" s="21" t="s">
        <v>944</v>
      </c>
      <c r="E267" s="21" t="s">
        <v>46</v>
      </c>
      <c r="F267" s="5812">
        <v>1</v>
      </c>
      <c r="G267" s="5813">
        <v>0.18958333333333333</v>
      </c>
      <c r="H267" s="21" t="s">
        <v>10</v>
      </c>
      <c r="I267" s="21" t="s">
        <v>39</v>
      </c>
      <c r="J267" s="21" t="s">
        <v>127</v>
      </c>
      <c r="K267" s="5814" t="s">
        <v>1009</v>
      </c>
    </row>
    <row r="268" spans="1:11">
      <c r="A268" s="21" t="s">
        <v>2897</v>
      </c>
      <c r="B268" s="21" t="s">
        <v>9159</v>
      </c>
      <c r="C268" s="21" t="s">
        <v>22</v>
      </c>
      <c r="D268" s="21" t="s">
        <v>944</v>
      </c>
      <c r="E268" s="21" t="s">
        <v>46</v>
      </c>
      <c r="F268" s="5812">
        <v>1</v>
      </c>
      <c r="G268" s="5813">
        <v>0.19027777777777777</v>
      </c>
      <c r="H268" s="21" t="s">
        <v>10</v>
      </c>
      <c r="I268" s="21" t="s">
        <v>39</v>
      </c>
      <c r="J268" s="21" t="s">
        <v>258</v>
      </c>
      <c r="K268" s="5814" t="s">
        <v>9160</v>
      </c>
    </row>
    <row r="269" spans="1:11">
      <c r="A269" s="21" t="s">
        <v>2812</v>
      </c>
      <c r="B269" s="21" t="s">
        <v>9161</v>
      </c>
      <c r="C269" s="21" t="s">
        <v>8</v>
      </c>
      <c r="D269" s="21" t="s">
        <v>944</v>
      </c>
      <c r="E269" s="21" t="s">
        <v>46</v>
      </c>
      <c r="F269" s="5812">
        <v>1</v>
      </c>
      <c r="G269" s="5813">
        <v>0.19236111111111112</v>
      </c>
      <c r="H269" s="21" t="s">
        <v>54</v>
      </c>
      <c r="I269" s="21" t="s">
        <v>47</v>
      </c>
      <c r="J269" s="21" t="s">
        <v>4586</v>
      </c>
      <c r="K269" s="5814" t="s">
        <v>9162</v>
      </c>
    </row>
    <row r="270" spans="1:11">
      <c r="A270" s="21" t="s">
        <v>2839</v>
      </c>
      <c r="B270" s="21" t="s">
        <v>9163</v>
      </c>
      <c r="C270" s="21" t="s">
        <v>8</v>
      </c>
      <c r="D270" s="21" t="s">
        <v>944</v>
      </c>
      <c r="E270" s="21" t="s">
        <v>46</v>
      </c>
      <c r="F270" s="5812">
        <v>1</v>
      </c>
      <c r="G270" s="5813">
        <v>0.19305555555555556</v>
      </c>
      <c r="H270" s="21" t="s">
        <v>10</v>
      </c>
      <c r="I270" s="21" t="s">
        <v>233</v>
      </c>
      <c r="J270" s="21" t="s">
        <v>430</v>
      </c>
      <c r="K270" s="5814" t="s">
        <v>9164</v>
      </c>
    </row>
    <row r="271" spans="1:11">
      <c r="A271" s="21" t="s">
        <v>2495</v>
      </c>
      <c r="B271" s="21" t="s">
        <v>9165</v>
      </c>
      <c r="C271" s="21" t="s">
        <v>22</v>
      </c>
      <c r="D271" s="21" t="s">
        <v>944</v>
      </c>
      <c r="E271" s="21" t="s">
        <v>46</v>
      </c>
      <c r="F271" s="5812">
        <v>1</v>
      </c>
      <c r="G271" s="5813">
        <v>0.19791666666666666</v>
      </c>
      <c r="H271" s="21" t="s">
        <v>10</v>
      </c>
      <c r="I271" s="21" t="s">
        <v>23</v>
      </c>
      <c r="J271" s="21" t="s">
        <v>417</v>
      </c>
      <c r="K271" s="5814" t="s">
        <v>9166</v>
      </c>
    </row>
    <row r="272" spans="1:11">
      <c r="A272" s="21" t="s">
        <v>2258</v>
      </c>
      <c r="B272" s="21" t="s">
        <v>9167</v>
      </c>
      <c r="C272" s="21" t="s">
        <v>8</v>
      </c>
      <c r="D272" s="21" t="s">
        <v>944</v>
      </c>
      <c r="E272" s="21" t="s">
        <v>46</v>
      </c>
      <c r="F272" s="5812">
        <v>1</v>
      </c>
      <c r="G272" s="5813">
        <v>0.19791666666666666</v>
      </c>
      <c r="H272" s="21" t="s">
        <v>10</v>
      </c>
      <c r="I272" s="21" t="s">
        <v>2713</v>
      </c>
      <c r="J272" s="21" t="s">
        <v>48</v>
      </c>
      <c r="K272" s="5814" t="s">
        <v>9168</v>
      </c>
    </row>
    <row r="273" spans="1:11">
      <c r="A273" s="21" t="s">
        <v>2551</v>
      </c>
      <c r="B273" s="21" t="s">
        <v>9169</v>
      </c>
      <c r="C273" s="21" t="s">
        <v>8</v>
      </c>
      <c r="D273" s="21" t="s">
        <v>944</v>
      </c>
      <c r="E273" s="21" t="s">
        <v>46</v>
      </c>
      <c r="F273" s="5812">
        <v>1</v>
      </c>
      <c r="G273" s="5813">
        <v>0.19930555555555557</v>
      </c>
      <c r="H273" s="21" t="s">
        <v>10</v>
      </c>
      <c r="I273" s="21" t="s">
        <v>2218</v>
      </c>
      <c r="J273" s="21" t="s">
        <v>127</v>
      </c>
      <c r="K273" s="5814" t="s">
        <v>9170</v>
      </c>
    </row>
    <row r="274" spans="1:11">
      <c r="A274" s="21" t="s">
        <v>3160</v>
      </c>
      <c r="B274" s="21" t="s">
        <v>9171</v>
      </c>
      <c r="C274" s="21" t="s">
        <v>8</v>
      </c>
      <c r="D274" s="21" t="s">
        <v>944</v>
      </c>
      <c r="E274" s="21" t="s">
        <v>46</v>
      </c>
      <c r="F274" s="5812">
        <v>1</v>
      </c>
      <c r="G274" s="5813">
        <v>0.19930555555555557</v>
      </c>
      <c r="H274" s="21" t="s">
        <v>10</v>
      </c>
      <c r="I274" s="21" t="s">
        <v>55</v>
      </c>
      <c r="J274" s="21" t="s">
        <v>616</v>
      </c>
      <c r="K274" s="5814" t="s">
        <v>9172</v>
      </c>
    </row>
    <row r="275" spans="1:11">
      <c r="A275" s="21" t="s">
        <v>2424</v>
      </c>
      <c r="B275" s="21" t="s">
        <v>9173</v>
      </c>
      <c r="C275" s="21" t="s">
        <v>8</v>
      </c>
      <c r="D275" s="21" t="s">
        <v>944</v>
      </c>
      <c r="E275" s="21" t="s">
        <v>46</v>
      </c>
      <c r="F275" s="5812">
        <v>1</v>
      </c>
      <c r="G275" s="5813">
        <v>0.2</v>
      </c>
      <c r="H275" s="21" t="s">
        <v>10</v>
      </c>
      <c r="I275" s="21" t="s">
        <v>39</v>
      </c>
      <c r="J275" s="21" t="s">
        <v>3168</v>
      </c>
      <c r="K275" s="5814" t="s">
        <v>9174</v>
      </c>
    </row>
    <row r="276" spans="1:11">
      <c r="A276" s="21" t="s">
        <v>4043</v>
      </c>
      <c r="B276" s="21" t="s">
        <v>9175</v>
      </c>
      <c r="C276" s="21" t="s">
        <v>8</v>
      </c>
      <c r="D276" s="21" t="s">
        <v>944</v>
      </c>
      <c r="E276" s="21" t="s">
        <v>46</v>
      </c>
      <c r="F276" s="5812">
        <v>1</v>
      </c>
      <c r="G276" s="5813">
        <v>0.2</v>
      </c>
      <c r="H276" s="21" t="s">
        <v>10</v>
      </c>
      <c r="I276" s="21" t="s">
        <v>55</v>
      </c>
      <c r="J276" s="21" t="s">
        <v>48</v>
      </c>
      <c r="K276" s="5814" t="s">
        <v>9176</v>
      </c>
    </row>
    <row r="277" spans="1:11">
      <c r="A277" s="21" t="s">
        <v>3741</v>
      </c>
      <c r="B277" s="21" t="s">
        <v>9177</v>
      </c>
      <c r="C277" s="21" t="s">
        <v>22</v>
      </c>
      <c r="D277" s="21" t="s">
        <v>944</v>
      </c>
      <c r="E277" s="21" t="s">
        <v>46</v>
      </c>
      <c r="F277" s="5812">
        <v>1</v>
      </c>
      <c r="G277" s="5813">
        <v>0.20208333333333334</v>
      </c>
      <c r="H277" s="21" t="s">
        <v>10</v>
      </c>
      <c r="I277" s="21" t="s">
        <v>55</v>
      </c>
      <c r="J277" s="21" t="s">
        <v>97</v>
      </c>
      <c r="K277" s="5814" t="s">
        <v>9178</v>
      </c>
    </row>
    <row r="278" spans="1:11">
      <c r="A278" s="21" t="s">
        <v>37</v>
      </c>
      <c r="B278" s="21" t="s">
        <v>968</v>
      </c>
      <c r="C278" s="21" t="s">
        <v>22</v>
      </c>
      <c r="D278" s="21" t="s">
        <v>944</v>
      </c>
      <c r="E278" s="21" t="s">
        <v>46</v>
      </c>
      <c r="F278" s="5812">
        <v>1</v>
      </c>
      <c r="G278" s="5813">
        <v>0.2048611111111111</v>
      </c>
      <c r="H278" s="21" t="s">
        <v>10</v>
      </c>
      <c r="I278" s="21" t="s">
        <v>23</v>
      </c>
      <c r="J278" s="21" t="s">
        <v>48</v>
      </c>
      <c r="K278" s="5814" t="s">
        <v>969</v>
      </c>
    </row>
    <row r="279" spans="1:11">
      <c r="A279" s="21" t="s">
        <v>3006</v>
      </c>
      <c r="B279" s="21" t="s">
        <v>9179</v>
      </c>
      <c r="C279" s="21" t="s">
        <v>22</v>
      </c>
      <c r="D279" s="21" t="s">
        <v>944</v>
      </c>
      <c r="E279" s="21" t="s">
        <v>46</v>
      </c>
      <c r="F279" s="5812">
        <v>1</v>
      </c>
      <c r="G279" s="5813">
        <v>0.20624999999999999</v>
      </c>
      <c r="H279" s="21" t="s">
        <v>10</v>
      </c>
      <c r="I279" s="21" t="s">
        <v>3464</v>
      </c>
      <c r="J279" s="21" t="s">
        <v>48</v>
      </c>
      <c r="K279" s="5814" t="s">
        <v>9180</v>
      </c>
    </row>
    <row r="280" spans="1:11">
      <c r="A280" s="21" t="s">
        <v>2761</v>
      </c>
      <c r="B280" s="21" t="s">
        <v>9181</v>
      </c>
      <c r="C280" s="21" t="s">
        <v>8</v>
      </c>
      <c r="D280" s="21" t="s">
        <v>944</v>
      </c>
      <c r="E280" s="21" t="s">
        <v>46</v>
      </c>
      <c r="F280" s="5812">
        <v>1</v>
      </c>
      <c r="G280" s="5813">
        <v>0.2076388888888889</v>
      </c>
      <c r="H280" s="21" t="s">
        <v>10</v>
      </c>
      <c r="I280" s="21" t="s">
        <v>400</v>
      </c>
      <c r="J280" s="21" t="s">
        <v>406</v>
      </c>
      <c r="K280" s="5814" t="s">
        <v>9182</v>
      </c>
    </row>
    <row r="281" spans="1:11">
      <c r="A281" s="21" t="s">
        <v>3220</v>
      </c>
      <c r="B281" s="21" t="s">
        <v>9183</v>
      </c>
      <c r="C281" s="21" t="s">
        <v>8</v>
      </c>
      <c r="D281" s="21" t="s">
        <v>944</v>
      </c>
      <c r="E281" s="21" t="s">
        <v>46</v>
      </c>
      <c r="F281" s="5812">
        <v>2</v>
      </c>
      <c r="G281" s="5813">
        <v>1.2500000000000001E-2</v>
      </c>
      <c r="H281" s="21" t="s">
        <v>10</v>
      </c>
      <c r="I281" s="21" t="s">
        <v>226</v>
      </c>
      <c r="J281" s="21" t="s">
        <v>154</v>
      </c>
      <c r="K281" s="5814" t="s">
        <v>9184</v>
      </c>
    </row>
    <row r="282" spans="1:11">
      <c r="A282" s="21" t="s">
        <v>5335</v>
      </c>
      <c r="B282" s="21" t="s">
        <v>9185</v>
      </c>
      <c r="C282" s="21" t="s">
        <v>8</v>
      </c>
      <c r="D282" s="21" t="s">
        <v>944</v>
      </c>
      <c r="E282" s="21" t="s">
        <v>46</v>
      </c>
      <c r="F282" s="5812">
        <v>2</v>
      </c>
      <c r="G282" s="5813">
        <v>1.2500000000000001E-2</v>
      </c>
      <c r="H282" s="21" t="s">
        <v>10</v>
      </c>
      <c r="I282" s="21" t="s">
        <v>55</v>
      </c>
      <c r="J282" s="21" t="s">
        <v>97</v>
      </c>
      <c r="K282" s="5814" t="s">
        <v>9186</v>
      </c>
    </row>
    <row r="283" spans="1:11">
      <c r="A283" s="21" t="s">
        <v>2858</v>
      </c>
      <c r="B283" s="21" t="s">
        <v>9161</v>
      </c>
      <c r="C283" s="21" t="s">
        <v>22</v>
      </c>
      <c r="D283" s="21" t="s">
        <v>944</v>
      </c>
      <c r="E283" s="21" t="s">
        <v>46</v>
      </c>
      <c r="F283" s="5812">
        <v>2</v>
      </c>
      <c r="G283" s="5813">
        <v>1.7361111111111112E-2</v>
      </c>
      <c r="H283" s="21" t="s">
        <v>10</v>
      </c>
      <c r="I283" s="21" t="s">
        <v>2660</v>
      </c>
      <c r="J283" s="21" t="s">
        <v>7901</v>
      </c>
      <c r="K283" s="5814" t="s">
        <v>9187</v>
      </c>
    </row>
    <row r="284" spans="1:11">
      <c r="A284" s="21" t="s">
        <v>3446</v>
      </c>
      <c r="B284" s="21" t="s">
        <v>9188</v>
      </c>
      <c r="C284" s="21" t="s">
        <v>22</v>
      </c>
      <c r="D284" s="21" t="s">
        <v>944</v>
      </c>
      <c r="E284" s="21" t="s">
        <v>46</v>
      </c>
      <c r="F284" s="5812">
        <v>2</v>
      </c>
      <c r="G284" s="5813">
        <v>1.8749999999999999E-2</v>
      </c>
      <c r="H284" s="21" t="s">
        <v>54</v>
      </c>
      <c r="I284" s="21" t="s">
        <v>47</v>
      </c>
      <c r="J284" s="21" t="s">
        <v>48</v>
      </c>
      <c r="K284" s="5814" t="s">
        <v>9189</v>
      </c>
    </row>
    <row r="285" spans="1:11">
      <c r="A285" s="21" t="s">
        <v>2358</v>
      </c>
      <c r="B285" s="21" t="s">
        <v>9190</v>
      </c>
      <c r="C285" s="21" t="s">
        <v>22</v>
      </c>
      <c r="D285" s="21" t="s">
        <v>944</v>
      </c>
      <c r="E285" s="21" t="s">
        <v>46</v>
      </c>
      <c r="F285" s="5812">
        <v>2</v>
      </c>
      <c r="G285" s="5813">
        <v>1.9444444444444445E-2</v>
      </c>
      <c r="H285" s="21" t="s">
        <v>10</v>
      </c>
      <c r="I285" s="21" t="s">
        <v>39</v>
      </c>
      <c r="J285" s="21" t="s">
        <v>97</v>
      </c>
      <c r="K285" s="5814" t="s">
        <v>9191</v>
      </c>
    </row>
    <row r="286" spans="1:11">
      <c r="A286" s="21" t="s">
        <v>3409</v>
      </c>
      <c r="B286" s="21" t="s">
        <v>9192</v>
      </c>
      <c r="C286" s="21" t="s">
        <v>8</v>
      </c>
      <c r="D286" s="21" t="s">
        <v>944</v>
      </c>
      <c r="E286" s="21" t="s">
        <v>46</v>
      </c>
      <c r="F286" s="5812">
        <v>2</v>
      </c>
      <c r="G286" s="5813">
        <v>1.9444444444444445E-2</v>
      </c>
      <c r="H286" s="21" t="s">
        <v>10</v>
      </c>
      <c r="I286" s="21" t="s">
        <v>226</v>
      </c>
      <c r="J286" s="21" t="s">
        <v>48</v>
      </c>
      <c r="K286" s="5814" t="s">
        <v>9193</v>
      </c>
    </row>
    <row r="287" spans="1:11">
      <c r="A287" s="21" t="s">
        <v>3630</v>
      </c>
      <c r="B287" s="21" t="s">
        <v>9194</v>
      </c>
      <c r="C287" s="21" t="s">
        <v>22</v>
      </c>
      <c r="D287" s="21" t="s">
        <v>944</v>
      </c>
      <c r="E287" s="21" t="s">
        <v>46</v>
      </c>
      <c r="F287" s="5812">
        <v>2</v>
      </c>
      <c r="G287" s="5813">
        <v>1.9444444444444445E-2</v>
      </c>
      <c r="H287" s="21" t="s">
        <v>10</v>
      </c>
      <c r="I287" s="21" t="s">
        <v>55</v>
      </c>
      <c r="J287" s="21" t="s">
        <v>48</v>
      </c>
      <c r="K287" s="5814" t="s">
        <v>9195</v>
      </c>
    </row>
    <row r="288" spans="1:11">
      <c r="A288" s="21" t="s">
        <v>5015</v>
      </c>
      <c r="B288" s="21" t="s">
        <v>9196</v>
      </c>
      <c r="C288" s="21" t="s">
        <v>8</v>
      </c>
      <c r="D288" s="21" t="s">
        <v>944</v>
      </c>
      <c r="E288" s="21" t="s">
        <v>46</v>
      </c>
      <c r="F288" s="5812">
        <v>2</v>
      </c>
      <c r="G288" s="5813">
        <v>2.2916666666666665E-2</v>
      </c>
      <c r="H288" s="21" t="s">
        <v>10</v>
      </c>
      <c r="I288" s="21" t="s">
        <v>47</v>
      </c>
      <c r="J288" s="21" t="s">
        <v>722</v>
      </c>
      <c r="K288" s="5814" t="s">
        <v>9197</v>
      </c>
    </row>
    <row r="289" spans="1:11">
      <c r="A289" s="21" t="s">
        <v>115</v>
      </c>
      <c r="B289" s="21" t="s">
        <v>954</v>
      </c>
      <c r="C289" s="21" t="s">
        <v>22</v>
      </c>
      <c r="D289" s="21" t="s">
        <v>944</v>
      </c>
      <c r="E289" s="21" t="s">
        <v>46</v>
      </c>
      <c r="F289" s="5812">
        <v>2</v>
      </c>
      <c r="G289" s="5813">
        <v>2.7083333333333334E-2</v>
      </c>
      <c r="H289" s="21" t="s">
        <v>10</v>
      </c>
      <c r="I289" s="21" t="s">
        <v>263</v>
      </c>
      <c r="J289" s="21" t="s">
        <v>955</v>
      </c>
      <c r="K289" s="5814" t="s">
        <v>956</v>
      </c>
    </row>
    <row r="290" spans="1:11">
      <c r="A290" s="21" t="s">
        <v>3741</v>
      </c>
      <c r="B290" s="21" t="s">
        <v>9198</v>
      </c>
      <c r="C290" s="21" t="s">
        <v>22</v>
      </c>
      <c r="D290" s="21" t="s">
        <v>944</v>
      </c>
      <c r="E290" s="21" t="s">
        <v>46</v>
      </c>
      <c r="F290" s="5812">
        <v>2</v>
      </c>
      <c r="G290" s="5813">
        <v>2.7083333333333334E-2</v>
      </c>
      <c r="H290" s="21" t="s">
        <v>10</v>
      </c>
      <c r="I290" s="21" t="s">
        <v>11</v>
      </c>
      <c r="J290" s="21" t="s">
        <v>97</v>
      </c>
      <c r="K290" s="5814" t="s">
        <v>9199</v>
      </c>
    </row>
    <row r="291" spans="1:11">
      <c r="A291" s="21" t="s">
        <v>3651</v>
      </c>
      <c r="B291" s="21" t="s">
        <v>9200</v>
      </c>
      <c r="C291" s="21" t="s">
        <v>8</v>
      </c>
      <c r="D291" s="21" t="s">
        <v>944</v>
      </c>
      <c r="E291" s="21" t="s">
        <v>46</v>
      </c>
      <c r="F291" s="5812">
        <v>2</v>
      </c>
      <c r="G291" s="5813">
        <v>3.1944444444444442E-2</v>
      </c>
      <c r="H291" s="21" t="s">
        <v>10</v>
      </c>
      <c r="I291" s="21" t="s">
        <v>187</v>
      </c>
      <c r="J291" s="21" t="s">
        <v>1076</v>
      </c>
      <c r="K291" s="5814" t="s">
        <v>9201</v>
      </c>
    </row>
    <row r="292" spans="1:11">
      <c r="A292" s="21" t="s">
        <v>5220</v>
      </c>
      <c r="B292" s="21" t="s">
        <v>9202</v>
      </c>
      <c r="C292" s="21" t="s">
        <v>8</v>
      </c>
      <c r="D292" s="21" t="s">
        <v>944</v>
      </c>
      <c r="E292" s="21" t="s">
        <v>46</v>
      </c>
      <c r="F292" s="5812">
        <v>2</v>
      </c>
      <c r="G292" s="5813">
        <v>3.2638888888888891E-2</v>
      </c>
      <c r="H292" s="21" t="s">
        <v>10</v>
      </c>
      <c r="I292" s="21" t="s">
        <v>2313</v>
      </c>
      <c r="J292" s="21" t="s">
        <v>722</v>
      </c>
      <c r="K292" s="5814" t="s">
        <v>9203</v>
      </c>
    </row>
    <row r="293" spans="1:11">
      <c r="A293" s="21" t="s">
        <v>3217</v>
      </c>
      <c r="B293" s="21" t="s">
        <v>9204</v>
      </c>
      <c r="C293" s="21" t="s">
        <v>22</v>
      </c>
      <c r="D293" s="21" t="s">
        <v>944</v>
      </c>
      <c r="E293" s="21" t="s">
        <v>46</v>
      </c>
      <c r="F293" s="5812">
        <v>2</v>
      </c>
      <c r="G293" s="5813">
        <v>4.1666666666666664E-2</v>
      </c>
      <c r="H293" s="21" t="s">
        <v>10</v>
      </c>
      <c r="I293" s="21" t="s">
        <v>47</v>
      </c>
      <c r="J293" s="21" t="s">
        <v>3222</v>
      </c>
      <c r="K293" s="5814" t="s">
        <v>9205</v>
      </c>
    </row>
    <row r="294" spans="1:11">
      <c r="A294" s="21" t="s">
        <v>2745</v>
      </c>
      <c r="B294" s="21" t="s">
        <v>9206</v>
      </c>
      <c r="C294" s="21" t="s">
        <v>8</v>
      </c>
      <c r="D294" s="21" t="s">
        <v>944</v>
      </c>
      <c r="E294" s="21" t="s">
        <v>46</v>
      </c>
      <c r="F294" s="5812">
        <v>2</v>
      </c>
      <c r="G294" s="5813">
        <v>4.3749999999999997E-2</v>
      </c>
      <c r="H294" s="21" t="s">
        <v>10</v>
      </c>
      <c r="I294" s="21" t="s">
        <v>47</v>
      </c>
      <c r="J294" s="21" t="s">
        <v>3004</v>
      </c>
      <c r="K294" s="5814" t="s">
        <v>9207</v>
      </c>
    </row>
    <row r="295" spans="1:11">
      <c r="A295" s="21" t="s">
        <v>2229</v>
      </c>
      <c r="B295" s="21" t="s">
        <v>9208</v>
      </c>
      <c r="C295" s="21" t="s">
        <v>8</v>
      </c>
      <c r="D295" s="21" t="s">
        <v>944</v>
      </c>
      <c r="E295" s="21" t="s">
        <v>46</v>
      </c>
      <c r="F295" s="5812">
        <v>2</v>
      </c>
      <c r="G295" s="5813">
        <v>4.583333333333333E-2</v>
      </c>
      <c r="H295" s="21" t="s">
        <v>10</v>
      </c>
      <c r="I295" s="21" t="s">
        <v>2297</v>
      </c>
      <c r="J295" s="21" t="s">
        <v>127</v>
      </c>
      <c r="K295" s="5814" t="s">
        <v>9209</v>
      </c>
    </row>
    <row r="296" spans="1:11">
      <c r="A296" s="21" t="s">
        <v>2254</v>
      </c>
      <c r="B296" s="21" t="s">
        <v>9210</v>
      </c>
      <c r="C296" s="21" t="s">
        <v>8</v>
      </c>
      <c r="D296" s="21" t="s">
        <v>944</v>
      </c>
      <c r="E296" s="21" t="s">
        <v>46</v>
      </c>
      <c r="F296" s="5812">
        <v>2</v>
      </c>
      <c r="G296" s="5813">
        <v>4.583333333333333E-2</v>
      </c>
      <c r="H296" s="21" t="s">
        <v>10</v>
      </c>
      <c r="I296" s="21" t="s">
        <v>96</v>
      </c>
      <c r="J296" s="21" t="s">
        <v>3000</v>
      </c>
      <c r="K296" s="5814" t="s">
        <v>9211</v>
      </c>
    </row>
    <row r="297" spans="1:11">
      <c r="A297" s="21" t="s">
        <v>4396</v>
      </c>
      <c r="B297" s="21" t="s">
        <v>9212</v>
      </c>
      <c r="C297" s="21" t="s">
        <v>8</v>
      </c>
      <c r="D297" s="21" t="s">
        <v>944</v>
      </c>
      <c r="E297" s="21" t="s">
        <v>46</v>
      </c>
      <c r="F297" s="5812">
        <v>2</v>
      </c>
      <c r="G297" s="5813">
        <v>4.791666666666667E-2</v>
      </c>
      <c r="H297" s="21" t="s">
        <v>10</v>
      </c>
      <c r="I297" s="21" t="s">
        <v>23</v>
      </c>
      <c r="J297" s="21" t="s">
        <v>722</v>
      </c>
      <c r="K297" s="5814" t="s">
        <v>9213</v>
      </c>
    </row>
    <row r="298" spans="1:11">
      <c r="A298" s="21" t="s">
        <v>2966</v>
      </c>
      <c r="B298" s="21" t="s">
        <v>9214</v>
      </c>
      <c r="C298" s="21" t="s">
        <v>22</v>
      </c>
      <c r="D298" s="21" t="s">
        <v>944</v>
      </c>
      <c r="E298" s="21" t="s">
        <v>46</v>
      </c>
      <c r="F298" s="5812">
        <v>2</v>
      </c>
      <c r="G298" s="5813">
        <v>4.8611111111111112E-2</v>
      </c>
      <c r="H298" s="21" t="s">
        <v>10</v>
      </c>
      <c r="I298" s="21" t="s">
        <v>55</v>
      </c>
      <c r="J298" s="21" t="s">
        <v>127</v>
      </c>
      <c r="K298" s="5814" t="s">
        <v>9215</v>
      </c>
    </row>
    <row r="299" spans="1:11">
      <c r="A299" s="21" t="s">
        <v>3195</v>
      </c>
      <c r="B299" s="21" t="s">
        <v>9216</v>
      </c>
      <c r="C299" s="21" t="s">
        <v>22</v>
      </c>
      <c r="D299" s="21" t="s">
        <v>944</v>
      </c>
      <c r="E299" s="21" t="s">
        <v>46</v>
      </c>
      <c r="F299" s="5812">
        <v>2</v>
      </c>
      <c r="G299" s="5813">
        <v>5.7638888888888892E-2</v>
      </c>
      <c r="H299" s="21" t="s">
        <v>10</v>
      </c>
      <c r="I299" s="21" t="s">
        <v>2297</v>
      </c>
      <c r="J299" s="21" t="s">
        <v>97</v>
      </c>
      <c r="K299" s="5814" t="s">
        <v>9217</v>
      </c>
    </row>
    <row r="300" spans="1:11">
      <c r="A300" s="21" t="s">
        <v>2387</v>
      </c>
      <c r="B300" s="21" t="s">
        <v>9218</v>
      </c>
      <c r="C300" s="21" t="s">
        <v>22</v>
      </c>
      <c r="D300" s="21" t="s">
        <v>944</v>
      </c>
      <c r="E300" s="21" t="s">
        <v>46</v>
      </c>
      <c r="F300" s="5812">
        <v>2</v>
      </c>
      <c r="G300" s="5813">
        <v>6.0416666666666667E-2</v>
      </c>
      <c r="H300" s="21" t="s">
        <v>10</v>
      </c>
      <c r="I300" s="21" t="s">
        <v>39</v>
      </c>
      <c r="J300" s="21" t="s">
        <v>4586</v>
      </c>
      <c r="K300" s="5814" t="s">
        <v>9219</v>
      </c>
    </row>
    <row r="301" spans="1:11">
      <c r="A301" s="21" t="s">
        <v>4383</v>
      </c>
      <c r="B301" s="21" t="s">
        <v>9220</v>
      </c>
      <c r="C301" s="21" t="s">
        <v>8</v>
      </c>
      <c r="D301" s="21" t="s">
        <v>944</v>
      </c>
      <c r="E301" s="21" t="s">
        <v>46</v>
      </c>
      <c r="F301" s="5812">
        <v>2</v>
      </c>
      <c r="G301" s="5813">
        <v>6.0416666666666667E-2</v>
      </c>
      <c r="H301" s="21" t="s">
        <v>10</v>
      </c>
      <c r="I301" s="21" t="s">
        <v>55</v>
      </c>
      <c r="J301" s="21" t="s">
        <v>3168</v>
      </c>
      <c r="K301" s="5814" t="s">
        <v>9221</v>
      </c>
    </row>
    <row r="302" spans="1:11">
      <c r="A302" s="21" t="s">
        <v>3235</v>
      </c>
      <c r="B302" s="21" t="s">
        <v>9222</v>
      </c>
      <c r="C302" s="21" t="s">
        <v>22</v>
      </c>
      <c r="D302" s="21" t="s">
        <v>944</v>
      </c>
      <c r="E302" s="21" t="s">
        <v>46</v>
      </c>
      <c r="F302" s="5812">
        <v>2</v>
      </c>
      <c r="G302" s="5813">
        <v>7.013888888888889E-2</v>
      </c>
      <c r="H302" s="21" t="s">
        <v>10</v>
      </c>
      <c r="I302" s="21" t="s">
        <v>23</v>
      </c>
      <c r="J302" s="21" t="s">
        <v>48</v>
      </c>
      <c r="K302" s="5814" t="s">
        <v>9223</v>
      </c>
    </row>
    <row r="303" spans="1:11">
      <c r="A303" s="21" t="s">
        <v>3761</v>
      </c>
      <c r="B303" s="21" t="s">
        <v>9224</v>
      </c>
      <c r="C303" s="21" t="s">
        <v>22</v>
      </c>
      <c r="D303" s="21" t="s">
        <v>944</v>
      </c>
      <c r="E303" s="21" t="s">
        <v>46</v>
      </c>
      <c r="F303" s="5812">
        <v>2</v>
      </c>
      <c r="G303" s="5813">
        <v>7.4305555555555555E-2</v>
      </c>
      <c r="H303" s="21" t="s">
        <v>10</v>
      </c>
      <c r="I303" s="21" t="s">
        <v>2713</v>
      </c>
      <c r="J303" s="21" t="s">
        <v>48</v>
      </c>
      <c r="K303" s="5814" t="s">
        <v>9225</v>
      </c>
    </row>
    <row r="304" spans="1:11">
      <c r="A304" s="21" t="s">
        <v>2267</v>
      </c>
      <c r="B304" s="21" t="s">
        <v>9226</v>
      </c>
      <c r="C304" s="21" t="s">
        <v>8</v>
      </c>
      <c r="D304" s="21" t="s">
        <v>944</v>
      </c>
      <c r="E304" s="21" t="s">
        <v>46</v>
      </c>
      <c r="F304" s="5812">
        <v>2</v>
      </c>
      <c r="G304" s="5813">
        <v>7.6388888888888895E-2</v>
      </c>
      <c r="H304" s="21" t="s">
        <v>10</v>
      </c>
      <c r="I304" s="21" t="s">
        <v>55</v>
      </c>
      <c r="J304" s="21" t="s">
        <v>127</v>
      </c>
      <c r="K304" s="5814" t="s">
        <v>9227</v>
      </c>
    </row>
    <row r="305" spans="1:11">
      <c r="A305" s="21" t="s">
        <v>31</v>
      </c>
      <c r="B305" s="21" t="s">
        <v>1031</v>
      </c>
      <c r="C305" s="21" t="s">
        <v>8</v>
      </c>
      <c r="D305" s="21" t="s">
        <v>944</v>
      </c>
      <c r="E305" s="21" t="s">
        <v>46</v>
      </c>
      <c r="F305" s="5812">
        <v>2</v>
      </c>
      <c r="G305" s="5813">
        <v>8.1250000000000003E-2</v>
      </c>
      <c r="H305" s="21" t="s">
        <v>10</v>
      </c>
      <c r="I305" s="21" t="s">
        <v>39</v>
      </c>
      <c r="J305" s="21" t="s">
        <v>258</v>
      </c>
      <c r="K305" s="5814" t="s">
        <v>1032</v>
      </c>
    </row>
    <row r="306" spans="1:11">
      <c r="A306" s="21" t="s">
        <v>2897</v>
      </c>
      <c r="B306" s="21" t="s">
        <v>990</v>
      </c>
      <c r="C306" s="21" t="s">
        <v>22</v>
      </c>
      <c r="D306" s="21" t="s">
        <v>944</v>
      </c>
      <c r="E306" s="21" t="s">
        <v>46</v>
      </c>
      <c r="F306" s="5812">
        <v>2</v>
      </c>
      <c r="G306" s="5813">
        <v>8.1944444444444445E-2</v>
      </c>
      <c r="H306" s="21" t="s">
        <v>10</v>
      </c>
      <c r="I306" s="21" t="s">
        <v>55</v>
      </c>
      <c r="J306" s="21" t="s">
        <v>7866</v>
      </c>
      <c r="K306" s="5814" t="s">
        <v>9228</v>
      </c>
    </row>
    <row r="307" spans="1:11">
      <c r="A307" s="21" t="s">
        <v>2517</v>
      </c>
      <c r="B307" s="21" t="s">
        <v>9229</v>
      </c>
      <c r="C307" s="21" t="s">
        <v>22</v>
      </c>
      <c r="D307" s="21" t="s">
        <v>944</v>
      </c>
      <c r="E307" s="21" t="s">
        <v>46</v>
      </c>
      <c r="F307" s="5812">
        <v>2</v>
      </c>
      <c r="G307" s="5813">
        <v>8.5416666666666669E-2</v>
      </c>
      <c r="H307" s="21" t="s">
        <v>10</v>
      </c>
      <c r="I307" s="21" t="s">
        <v>2523</v>
      </c>
      <c r="J307" s="21" t="s">
        <v>7901</v>
      </c>
      <c r="K307" s="5814" t="s">
        <v>9230</v>
      </c>
    </row>
    <row r="308" spans="1:11">
      <c r="A308" s="21" t="s">
        <v>3430</v>
      </c>
      <c r="B308" s="21" t="s">
        <v>9231</v>
      </c>
      <c r="C308" s="21" t="s">
        <v>8</v>
      </c>
      <c r="D308" s="21" t="s">
        <v>944</v>
      </c>
      <c r="E308" s="21" t="s">
        <v>46</v>
      </c>
      <c r="F308" s="5812">
        <v>2</v>
      </c>
      <c r="G308" s="5813">
        <v>8.611111111111111E-2</v>
      </c>
      <c r="H308" s="21" t="s">
        <v>10</v>
      </c>
      <c r="I308" s="21" t="s">
        <v>47</v>
      </c>
      <c r="J308" s="21" t="s">
        <v>127</v>
      </c>
      <c r="K308" s="5814" t="s">
        <v>9232</v>
      </c>
    </row>
    <row r="309" spans="1:11">
      <c r="A309" s="21" t="s">
        <v>87</v>
      </c>
      <c r="B309" s="21" t="s">
        <v>980</v>
      </c>
      <c r="C309" s="21" t="s">
        <v>22</v>
      </c>
      <c r="D309" s="21" t="s">
        <v>944</v>
      </c>
      <c r="E309" s="21" t="s">
        <v>46</v>
      </c>
      <c r="F309" s="5812">
        <v>2</v>
      </c>
      <c r="G309" s="5813">
        <v>9.0277777777777776E-2</v>
      </c>
      <c r="H309" s="21" t="s">
        <v>10</v>
      </c>
      <c r="I309" s="21" t="s">
        <v>47</v>
      </c>
      <c r="J309" s="21" t="s">
        <v>97</v>
      </c>
      <c r="K309" s="5814" t="s">
        <v>981</v>
      </c>
    </row>
    <row r="310" spans="1:11">
      <c r="A310" s="21" t="s">
        <v>79</v>
      </c>
      <c r="B310" s="21" t="s">
        <v>996</v>
      </c>
      <c r="C310" s="21" t="s">
        <v>22</v>
      </c>
      <c r="D310" s="21" t="s">
        <v>944</v>
      </c>
      <c r="E310" s="21" t="s">
        <v>46</v>
      </c>
      <c r="F310" s="5812">
        <v>2</v>
      </c>
      <c r="G310" s="5813">
        <v>9.2361111111111116E-2</v>
      </c>
      <c r="H310" s="21" t="s">
        <v>10</v>
      </c>
      <c r="I310" s="21" t="s">
        <v>39</v>
      </c>
      <c r="J310" s="21" t="s">
        <v>997</v>
      </c>
      <c r="K310" s="5814" t="s">
        <v>998</v>
      </c>
    </row>
    <row r="311" spans="1:11">
      <c r="A311" s="21" t="s">
        <v>4597</v>
      </c>
      <c r="B311" s="21" t="s">
        <v>9233</v>
      </c>
      <c r="C311" s="21" t="s">
        <v>8</v>
      </c>
      <c r="D311" s="21" t="s">
        <v>944</v>
      </c>
      <c r="E311" s="21" t="s">
        <v>46</v>
      </c>
      <c r="F311" s="5812">
        <v>2</v>
      </c>
      <c r="G311" s="5813">
        <v>9.3055555555555558E-2</v>
      </c>
      <c r="H311" s="21" t="s">
        <v>10</v>
      </c>
      <c r="I311" s="21" t="s">
        <v>55</v>
      </c>
      <c r="J311" s="21" t="s">
        <v>940</v>
      </c>
      <c r="K311" s="5814" t="s">
        <v>9234</v>
      </c>
    </row>
    <row r="312" spans="1:11">
      <c r="A312" s="21" t="s">
        <v>2687</v>
      </c>
      <c r="B312" s="21" t="s">
        <v>9235</v>
      </c>
      <c r="C312" s="21" t="s">
        <v>22</v>
      </c>
      <c r="D312" s="21" t="s">
        <v>944</v>
      </c>
      <c r="E312" s="21" t="s">
        <v>46</v>
      </c>
      <c r="F312" s="5812">
        <v>2</v>
      </c>
      <c r="G312" s="5813">
        <v>9.5138888888888884E-2</v>
      </c>
      <c r="H312" s="21" t="s">
        <v>10</v>
      </c>
      <c r="I312" s="21" t="s">
        <v>654</v>
      </c>
      <c r="J312" s="21" t="s">
        <v>4652</v>
      </c>
      <c r="K312" s="5814" t="s">
        <v>9236</v>
      </c>
    </row>
    <row r="313" spans="1:11">
      <c r="A313" s="21" t="s">
        <v>2757</v>
      </c>
      <c r="B313" s="21" t="s">
        <v>9237</v>
      </c>
      <c r="C313" s="21" t="s">
        <v>22</v>
      </c>
      <c r="D313" s="21" t="s">
        <v>944</v>
      </c>
      <c r="E313" s="21" t="s">
        <v>46</v>
      </c>
      <c r="F313" s="5812">
        <v>2</v>
      </c>
      <c r="G313" s="5813">
        <v>9.583333333333334E-2</v>
      </c>
      <c r="H313" s="21" t="s">
        <v>10</v>
      </c>
      <c r="I313" s="21" t="s">
        <v>55</v>
      </c>
      <c r="J313" s="21" t="s">
        <v>3004</v>
      </c>
      <c r="K313" s="5814" t="s">
        <v>9238</v>
      </c>
    </row>
    <row r="314" spans="1:11">
      <c r="A314" s="21" t="s">
        <v>2792</v>
      </c>
      <c r="B314" s="21" t="s">
        <v>9239</v>
      </c>
      <c r="C314" s="21" t="s">
        <v>22</v>
      </c>
      <c r="D314" s="21" t="s">
        <v>944</v>
      </c>
      <c r="E314" s="21" t="s">
        <v>46</v>
      </c>
      <c r="F314" s="5812">
        <v>2</v>
      </c>
      <c r="G314" s="5813">
        <v>9.7916666666666666E-2</v>
      </c>
      <c r="H314" s="21" t="s">
        <v>10</v>
      </c>
      <c r="I314" s="21" t="s">
        <v>8044</v>
      </c>
      <c r="J314" s="21" t="s">
        <v>3094</v>
      </c>
      <c r="K314" s="5814" t="s">
        <v>9240</v>
      </c>
    </row>
    <row r="315" spans="1:11">
      <c r="A315" s="21" t="s">
        <v>3029</v>
      </c>
      <c r="B315" s="21" t="s">
        <v>9241</v>
      </c>
      <c r="C315" s="21" t="s">
        <v>22</v>
      </c>
      <c r="D315" s="21" t="s">
        <v>944</v>
      </c>
      <c r="E315" s="21" t="s">
        <v>46</v>
      </c>
      <c r="F315" s="5812">
        <v>2</v>
      </c>
      <c r="G315" s="5813">
        <v>9.930555555555555E-2</v>
      </c>
      <c r="H315" s="21" t="s">
        <v>10</v>
      </c>
      <c r="I315" s="21" t="s">
        <v>47</v>
      </c>
      <c r="J315" s="21" t="s">
        <v>97</v>
      </c>
      <c r="K315" s="5814" t="s">
        <v>9242</v>
      </c>
    </row>
    <row r="316" spans="1:11">
      <c r="A316" s="21" t="s">
        <v>5554</v>
      </c>
      <c r="B316" s="21" t="s">
        <v>9243</v>
      </c>
      <c r="C316" s="21" t="s">
        <v>22</v>
      </c>
      <c r="D316" s="21" t="s">
        <v>944</v>
      </c>
      <c r="E316" s="21" t="s">
        <v>46</v>
      </c>
      <c r="F316" s="5812">
        <v>2</v>
      </c>
      <c r="G316" s="5813">
        <v>0.10069444444444445</v>
      </c>
      <c r="H316" s="21" t="s">
        <v>10</v>
      </c>
      <c r="I316" s="21" t="s">
        <v>4254</v>
      </c>
      <c r="J316" s="21" t="s">
        <v>97</v>
      </c>
      <c r="K316" s="5814" t="s">
        <v>9244</v>
      </c>
    </row>
    <row r="317" spans="1:11">
      <c r="A317" s="21" t="s">
        <v>2707</v>
      </c>
      <c r="B317" s="21" t="s">
        <v>9245</v>
      </c>
      <c r="C317" s="21" t="s">
        <v>22</v>
      </c>
      <c r="D317" s="21" t="s">
        <v>944</v>
      </c>
      <c r="E317" s="21" t="s">
        <v>46</v>
      </c>
      <c r="F317" s="5812">
        <v>2</v>
      </c>
      <c r="G317" s="5813">
        <v>0.10972222222222222</v>
      </c>
      <c r="H317" s="21" t="s">
        <v>10</v>
      </c>
      <c r="I317" s="21" t="s">
        <v>39</v>
      </c>
      <c r="J317" s="21" t="s">
        <v>4589</v>
      </c>
      <c r="K317" s="5814" t="s">
        <v>9246</v>
      </c>
    </row>
    <row r="318" spans="1:11">
      <c r="A318" s="21" t="s">
        <v>2863</v>
      </c>
      <c r="B318" s="21" t="s">
        <v>9247</v>
      </c>
      <c r="C318" s="21" t="s">
        <v>8</v>
      </c>
      <c r="D318" s="21" t="s">
        <v>944</v>
      </c>
      <c r="E318" s="21" t="s">
        <v>46</v>
      </c>
      <c r="F318" s="5812">
        <v>2</v>
      </c>
      <c r="G318" s="5813">
        <v>0.10972222222222222</v>
      </c>
      <c r="H318" s="21" t="s">
        <v>10</v>
      </c>
      <c r="I318" s="21" t="s">
        <v>55</v>
      </c>
      <c r="J318" s="21" t="s">
        <v>9248</v>
      </c>
      <c r="K318" s="5814" t="s">
        <v>9249</v>
      </c>
    </row>
    <row r="319" spans="1:11">
      <c r="A319" s="21" t="s">
        <v>3286</v>
      </c>
      <c r="B319" s="21" t="s">
        <v>9250</v>
      </c>
      <c r="C319" s="21" t="s">
        <v>22</v>
      </c>
      <c r="D319" s="21" t="s">
        <v>944</v>
      </c>
      <c r="E319" s="21" t="s">
        <v>46</v>
      </c>
      <c r="F319" s="5812">
        <v>2</v>
      </c>
      <c r="G319" s="5813">
        <v>0.11319444444444444</v>
      </c>
      <c r="H319" s="21" t="s">
        <v>10</v>
      </c>
      <c r="I319" s="21" t="s">
        <v>47</v>
      </c>
      <c r="J319" s="21" t="s">
        <v>430</v>
      </c>
      <c r="K319" s="5814" t="s">
        <v>9251</v>
      </c>
    </row>
    <row r="320" spans="1:11">
      <c r="A320" s="21" t="s">
        <v>3896</v>
      </c>
      <c r="B320" s="21" t="s">
        <v>9252</v>
      </c>
      <c r="C320" s="21" t="s">
        <v>8</v>
      </c>
      <c r="D320" s="21" t="s">
        <v>944</v>
      </c>
      <c r="E320" s="21" t="s">
        <v>46</v>
      </c>
      <c r="F320" s="5812">
        <v>2</v>
      </c>
      <c r="G320" s="5813">
        <v>0.11458333333333333</v>
      </c>
      <c r="H320" s="21" t="s">
        <v>10</v>
      </c>
      <c r="I320" s="21" t="s">
        <v>11</v>
      </c>
      <c r="J320" s="21" t="s">
        <v>4586</v>
      </c>
      <c r="K320" s="5814" t="s">
        <v>9253</v>
      </c>
    </row>
    <row r="321" spans="1:11">
      <c r="A321" s="21" t="s">
        <v>3230</v>
      </c>
      <c r="B321" s="21" t="s">
        <v>9254</v>
      </c>
      <c r="C321" s="21" t="s">
        <v>8</v>
      </c>
      <c r="D321" s="21" t="s">
        <v>944</v>
      </c>
      <c r="E321" s="21" t="s">
        <v>46</v>
      </c>
      <c r="F321" s="5812">
        <v>2</v>
      </c>
      <c r="G321" s="5813">
        <v>0.11736111111111111</v>
      </c>
      <c r="H321" s="21" t="s">
        <v>10</v>
      </c>
      <c r="I321" s="21" t="s">
        <v>96</v>
      </c>
      <c r="J321" s="21" t="s">
        <v>406</v>
      </c>
      <c r="K321" s="5814" t="s">
        <v>9255</v>
      </c>
    </row>
    <row r="322" spans="1:11">
      <c r="A322" s="21" t="s">
        <v>2057</v>
      </c>
      <c r="B322" s="21" t="s">
        <v>9256</v>
      </c>
      <c r="C322" s="21" t="s">
        <v>8</v>
      </c>
      <c r="D322" s="21" t="s">
        <v>944</v>
      </c>
      <c r="E322" s="21" t="s">
        <v>46</v>
      </c>
      <c r="F322" s="5812">
        <v>2</v>
      </c>
      <c r="G322" s="5813">
        <v>0.13125000000000001</v>
      </c>
      <c r="H322" s="21" t="s">
        <v>10</v>
      </c>
      <c r="I322" s="21" t="s">
        <v>39</v>
      </c>
      <c r="J322" s="21" t="s">
        <v>127</v>
      </c>
      <c r="K322" s="5814" t="s">
        <v>9257</v>
      </c>
    </row>
    <row r="323" spans="1:11">
      <c r="A323" s="21" t="s">
        <v>4863</v>
      </c>
      <c r="B323" s="21" t="s">
        <v>9258</v>
      </c>
      <c r="C323" s="21" t="s">
        <v>8</v>
      </c>
      <c r="D323" s="21" t="s">
        <v>944</v>
      </c>
      <c r="E323" s="21" t="s">
        <v>46</v>
      </c>
      <c r="F323" s="5812">
        <v>2</v>
      </c>
      <c r="G323" s="5813">
        <v>0.13194444444444445</v>
      </c>
      <c r="H323" s="21" t="s">
        <v>10</v>
      </c>
      <c r="I323" s="21" t="s">
        <v>2713</v>
      </c>
      <c r="J323" s="21" t="s">
        <v>48</v>
      </c>
      <c r="K323" s="5814" t="s">
        <v>9259</v>
      </c>
    </row>
    <row r="324" spans="1:11">
      <c r="A324" s="21" t="s">
        <v>2100</v>
      </c>
      <c r="B324" s="21" t="s">
        <v>9260</v>
      </c>
      <c r="C324" s="21" t="s">
        <v>22</v>
      </c>
      <c r="D324" s="21" t="s">
        <v>944</v>
      </c>
      <c r="E324" s="21" t="s">
        <v>46</v>
      </c>
      <c r="F324" s="5812">
        <v>2</v>
      </c>
      <c r="G324" s="5813">
        <v>0.13333333333333333</v>
      </c>
      <c r="H324" s="21" t="s">
        <v>10</v>
      </c>
      <c r="I324" s="21" t="s">
        <v>23</v>
      </c>
      <c r="J324" s="21" t="s">
        <v>907</v>
      </c>
      <c r="K324" s="5814" t="s">
        <v>9261</v>
      </c>
    </row>
    <row r="325" spans="1:11">
      <c r="A325" s="21" t="s">
        <v>2467</v>
      </c>
      <c r="B325" s="21" t="s">
        <v>9262</v>
      </c>
      <c r="C325" s="21" t="s">
        <v>22</v>
      </c>
      <c r="D325" s="21" t="s">
        <v>944</v>
      </c>
      <c r="E325" s="21" t="s">
        <v>46</v>
      </c>
      <c r="F325" s="5812">
        <v>2</v>
      </c>
      <c r="G325" s="5813">
        <v>0.13402777777777777</v>
      </c>
      <c r="H325" s="21" t="s">
        <v>10</v>
      </c>
      <c r="I325" s="21" t="s">
        <v>11</v>
      </c>
      <c r="J325" s="21" t="s">
        <v>406</v>
      </c>
      <c r="K325" s="5814" t="s">
        <v>9263</v>
      </c>
    </row>
    <row r="326" spans="1:11">
      <c r="A326" s="21" t="s">
        <v>4568</v>
      </c>
      <c r="B326" s="21" t="s">
        <v>9264</v>
      </c>
      <c r="C326" s="21" t="s">
        <v>22</v>
      </c>
      <c r="D326" s="21" t="s">
        <v>944</v>
      </c>
      <c r="E326" s="21" t="s">
        <v>46</v>
      </c>
      <c r="F326" s="5812">
        <v>2</v>
      </c>
      <c r="G326" s="5813">
        <v>0.13402777777777777</v>
      </c>
      <c r="H326" s="21" t="s">
        <v>10</v>
      </c>
      <c r="I326" s="21" t="s">
        <v>226</v>
      </c>
      <c r="J326" s="21" t="s">
        <v>940</v>
      </c>
      <c r="K326" s="5814" t="s">
        <v>9265</v>
      </c>
    </row>
    <row r="327" spans="1:11">
      <c r="A327" s="21" t="s">
        <v>2521</v>
      </c>
      <c r="B327" s="21" t="s">
        <v>9266</v>
      </c>
      <c r="C327" s="21" t="s">
        <v>22</v>
      </c>
      <c r="D327" s="21" t="s">
        <v>944</v>
      </c>
      <c r="E327" s="21" t="s">
        <v>46</v>
      </c>
      <c r="F327" s="5812">
        <v>2</v>
      </c>
      <c r="G327" s="5813">
        <v>0.13541666666666666</v>
      </c>
      <c r="H327" s="21" t="s">
        <v>10</v>
      </c>
      <c r="I327" s="21" t="s">
        <v>96</v>
      </c>
      <c r="J327" s="21" t="s">
        <v>430</v>
      </c>
      <c r="K327" s="5814" t="s">
        <v>9267</v>
      </c>
    </row>
    <row r="328" spans="1:11">
      <c r="A328" s="21" t="s">
        <v>2358</v>
      </c>
      <c r="B328" s="21" t="s">
        <v>9268</v>
      </c>
      <c r="C328" s="21" t="s">
        <v>22</v>
      </c>
      <c r="D328" s="21" t="s">
        <v>944</v>
      </c>
      <c r="E328" s="21" t="s">
        <v>46</v>
      </c>
      <c r="F328" s="5812">
        <v>2</v>
      </c>
      <c r="G328" s="5813">
        <v>0.13819444444444445</v>
      </c>
      <c r="H328" s="21" t="s">
        <v>10</v>
      </c>
      <c r="I328" s="21" t="s">
        <v>73</v>
      </c>
      <c r="J328" s="21" t="s">
        <v>3004</v>
      </c>
      <c r="K328" s="5814" t="s">
        <v>9269</v>
      </c>
    </row>
    <row r="329" spans="1:11">
      <c r="A329" s="21" t="s">
        <v>3872</v>
      </c>
      <c r="B329" s="21" t="s">
        <v>9270</v>
      </c>
      <c r="C329" s="21" t="s">
        <v>22</v>
      </c>
      <c r="D329" s="21" t="s">
        <v>944</v>
      </c>
      <c r="E329" s="21" t="s">
        <v>46</v>
      </c>
      <c r="F329" s="5812">
        <v>2</v>
      </c>
      <c r="G329" s="5813">
        <v>0.13958333333333334</v>
      </c>
      <c r="H329" s="21" t="s">
        <v>10</v>
      </c>
      <c r="I329" s="21" t="s">
        <v>263</v>
      </c>
      <c r="J329" s="21" t="s">
        <v>127</v>
      </c>
      <c r="K329" s="5814" t="s">
        <v>9271</v>
      </c>
    </row>
    <row r="330" spans="1:11">
      <c r="A330" s="21" t="s">
        <v>3044</v>
      </c>
      <c r="B330" s="21" t="s">
        <v>9272</v>
      </c>
      <c r="C330" s="21" t="s">
        <v>22</v>
      </c>
      <c r="D330" s="21" t="s">
        <v>944</v>
      </c>
      <c r="E330" s="21" t="s">
        <v>46</v>
      </c>
      <c r="F330" s="5812">
        <v>2</v>
      </c>
      <c r="G330" s="5813">
        <v>0.14374999999999999</v>
      </c>
      <c r="H330" s="21" t="s">
        <v>10</v>
      </c>
      <c r="I330" s="21" t="s">
        <v>39</v>
      </c>
      <c r="J330" s="21" t="s">
        <v>3168</v>
      </c>
      <c r="K330" s="5814" t="s">
        <v>9273</v>
      </c>
    </row>
    <row r="331" spans="1:11">
      <c r="A331" s="21" t="s">
        <v>2784</v>
      </c>
      <c r="B331" s="21" t="s">
        <v>9274</v>
      </c>
      <c r="C331" s="21" t="s">
        <v>22</v>
      </c>
      <c r="D331" s="21" t="s">
        <v>944</v>
      </c>
      <c r="E331" s="21" t="s">
        <v>46</v>
      </c>
      <c r="F331" s="5812">
        <v>2</v>
      </c>
      <c r="G331" s="5813">
        <v>0.14444444444444443</v>
      </c>
      <c r="H331" s="21" t="s">
        <v>10</v>
      </c>
      <c r="I331" s="21" t="s">
        <v>2247</v>
      </c>
      <c r="J331" s="21" t="s">
        <v>722</v>
      </c>
      <c r="K331" s="5814" t="s">
        <v>9275</v>
      </c>
    </row>
    <row r="332" spans="1:11">
      <c r="A332" s="21" t="s">
        <v>2741</v>
      </c>
      <c r="B332" s="21" t="s">
        <v>9276</v>
      </c>
      <c r="C332" s="21" t="s">
        <v>22</v>
      </c>
      <c r="D332" s="21" t="s">
        <v>944</v>
      </c>
      <c r="E332" s="21" t="s">
        <v>46</v>
      </c>
      <c r="F332" s="5812">
        <v>2</v>
      </c>
      <c r="G332" s="5813">
        <v>0.15069444444444444</v>
      </c>
      <c r="H332" s="21" t="s">
        <v>10</v>
      </c>
      <c r="I332" s="21" t="s">
        <v>2269</v>
      </c>
      <c r="J332" s="21" t="s">
        <v>97</v>
      </c>
      <c r="K332" s="5814" t="s">
        <v>9277</v>
      </c>
    </row>
    <row r="333" spans="1:11">
      <c r="A333" s="21" t="s">
        <v>2812</v>
      </c>
      <c r="B333" s="21" t="s">
        <v>9278</v>
      </c>
      <c r="C333" s="21" t="s">
        <v>22</v>
      </c>
      <c r="D333" s="21" t="s">
        <v>944</v>
      </c>
      <c r="E333" s="21" t="s">
        <v>46</v>
      </c>
      <c r="F333" s="5812">
        <v>2</v>
      </c>
      <c r="G333" s="5813">
        <v>0.15277777777777779</v>
      </c>
      <c r="H333" s="21" t="s">
        <v>10</v>
      </c>
      <c r="I333" s="21" t="s">
        <v>2713</v>
      </c>
      <c r="J333" s="21" t="s">
        <v>406</v>
      </c>
      <c r="K333" s="5814" t="s">
        <v>9279</v>
      </c>
    </row>
    <row r="334" spans="1:11">
      <c r="A334" s="21" t="s">
        <v>3006</v>
      </c>
      <c r="B334" s="21" t="s">
        <v>9280</v>
      </c>
      <c r="C334" s="21" t="s">
        <v>8</v>
      </c>
      <c r="D334" s="21" t="s">
        <v>944</v>
      </c>
      <c r="E334" s="21" t="s">
        <v>46</v>
      </c>
      <c r="F334" s="5812">
        <v>2</v>
      </c>
      <c r="G334" s="5813">
        <v>0.15902777777777777</v>
      </c>
      <c r="H334" s="21" t="s">
        <v>10</v>
      </c>
      <c r="I334" s="21" t="s">
        <v>2297</v>
      </c>
      <c r="J334" s="21" t="s">
        <v>258</v>
      </c>
      <c r="K334" s="5814" t="s">
        <v>9281</v>
      </c>
    </row>
    <row r="335" spans="1:11">
      <c r="A335" s="21" t="s">
        <v>5554</v>
      </c>
      <c r="B335" s="21" t="s">
        <v>9282</v>
      </c>
      <c r="C335" s="21" t="s">
        <v>8</v>
      </c>
      <c r="D335" s="21" t="s">
        <v>944</v>
      </c>
      <c r="E335" s="21" t="s">
        <v>46</v>
      </c>
      <c r="F335" s="5812">
        <v>2</v>
      </c>
      <c r="G335" s="5813">
        <v>0.1701388888888889</v>
      </c>
      <c r="H335" s="21" t="s">
        <v>54</v>
      </c>
      <c r="I335" s="21" t="s">
        <v>226</v>
      </c>
      <c r="J335" s="21" t="s">
        <v>9283</v>
      </c>
      <c r="K335" s="5814" t="s">
        <v>9284</v>
      </c>
    </row>
    <row r="336" spans="1:11">
      <c r="A336" s="21" t="s">
        <v>3896</v>
      </c>
      <c r="B336" s="21" t="s">
        <v>9285</v>
      </c>
      <c r="C336" s="21" t="s">
        <v>22</v>
      </c>
      <c r="D336" s="21" t="s">
        <v>944</v>
      </c>
      <c r="E336" s="21" t="s">
        <v>46</v>
      </c>
      <c r="F336" s="5812">
        <v>2</v>
      </c>
      <c r="G336" s="5813">
        <v>0.17083333333333334</v>
      </c>
      <c r="H336" s="21" t="s">
        <v>10</v>
      </c>
      <c r="I336" s="21" t="s">
        <v>47</v>
      </c>
      <c r="J336" s="21" t="s">
        <v>127</v>
      </c>
      <c r="K336" s="5814" t="s">
        <v>9286</v>
      </c>
    </row>
    <row r="337" spans="1:11">
      <c r="A337" s="21" t="s">
        <v>2049</v>
      </c>
      <c r="B337" s="21" t="s">
        <v>9287</v>
      </c>
      <c r="C337" s="21" t="s">
        <v>22</v>
      </c>
      <c r="D337" s="21" t="s">
        <v>944</v>
      </c>
      <c r="E337" s="21" t="s">
        <v>46</v>
      </c>
      <c r="F337" s="5812">
        <v>2</v>
      </c>
      <c r="G337" s="5813">
        <v>0.17499999999999999</v>
      </c>
      <c r="H337" s="21" t="s">
        <v>10</v>
      </c>
      <c r="I337" s="21" t="s">
        <v>39</v>
      </c>
      <c r="J337" s="21" t="s">
        <v>1076</v>
      </c>
      <c r="K337" s="5814" t="s">
        <v>9288</v>
      </c>
    </row>
    <row r="338" spans="1:11">
      <c r="A338" s="21" t="s">
        <v>4552</v>
      </c>
      <c r="B338" s="21" t="s">
        <v>9289</v>
      </c>
      <c r="C338" s="21" t="s">
        <v>8</v>
      </c>
      <c r="D338" s="21" t="s">
        <v>944</v>
      </c>
      <c r="E338" s="21" t="s">
        <v>46</v>
      </c>
      <c r="F338" s="5812">
        <v>2</v>
      </c>
      <c r="G338" s="5813">
        <v>0.18055555555555555</v>
      </c>
      <c r="H338" s="21" t="s">
        <v>54</v>
      </c>
      <c r="I338" s="21" t="s">
        <v>39</v>
      </c>
      <c r="J338" s="21" t="s">
        <v>127</v>
      </c>
      <c r="K338" s="5814" t="s">
        <v>9290</v>
      </c>
    </row>
    <row r="339" spans="1:11">
      <c r="A339" s="21" t="s">
        <v>65</v>
      </c>
      <c r="B339" s="21" t="s">
        <v>1075</v>
      </c>
      <c r="C339" s="21" t="s">
        <v>8</v>
      </c>
      <c r="D339" s="21" t="s">
        <v>944</v>
      </c>
      <c r="E339" s="21" t="s">
        <v>46</v>
      </c>
      <c r="F339" s="5812">
        <v>2</v>
      </c>
      <c r="G339" s="5813">
        <v>0.18333333333333332</v>
      </c>
      <c r="H339" s="21" t="s">
        <v>10</v>
      </c>
      <c r="I339" s="21" t="s">
        <v>89</v>
      </c>
      <c r="J339" s="21" t="s">
        <v>1076</v>
      </c>
      <c r="K339" s="5814" t="s">
        <v>1077</v>
      </c>
    </row>
    <row r="340" spans="1:11">
      <c r="A340" s="21" t="s">
        <v>2944</v>
      </c>
      <c r="B340" s="21" t="s">
        <v>9291</v>
      </c>
      <c r="C340" s="21" t="s">
        <v>8</v>
      </c>
      <c r="D340" s="21" t="s">
        <v>944</v>
      </c>
      <c r="E340" s="21" t="s">
        <v>46</v>
      </c>
      <c r="F340" s="5812">
        <v>2</v>
      </c>
      <c r="G340" s="5813">
        <v>0.18402777777777779</v>
      </c>
      <c r="H340" s="21" t="s">
        <v>10</v>
      </c>
      <c r="I340" s="21" t="s">
        <v>55</v>
      </c>
      <c r="J340" s="21" t="s">
        <v>9292</v>
      </c>
      <c r="K340" s="5814" t="s">
        <v>9293</v>
      </c>
    </row>
    <row r="341" spans="1:11">
      <c r="A341" s="21" t="s">
        <v>2450</v>
      </c>
      <c r="B341" s="21" t="s">
        <v>9294</v>
      </c>
      <c r="C341" s="21" t="s">
        <v>8</v>
      </c>
      <c r="D341" s="21" t="s">
        <v>944</v>
      </c>
      <c r="E341" s="21" t="s">
        <v>46</v>
      </c>
      <c r="F341" s="5812">
        <v>2</v>
      </c>
      <c r="G341" s="5813">
        <v>0.18680555555555556</v>
      </c>
      <c r="H341" s="21" t="s">
        <v>10</v>
      </c>
      <c r="I341" s="21" t="s">
        <v>73</v>
      </c>
      <c r="J341" s="21" t="s">
        <v>1117</v>
      </c>
      <c r="K341" s="5814" t="s">
        <v>9295</v>
      </c>
    </row>
    <row r="342" spans="1:11">
      <c r="A342" s="21" t="s">
        <v>2084</v>
      </c>
      <c r="B342" s="21" t="s">
        <v>9296</v>
      </c>
      <c r="C342" s="21" t="s">
        <v>8</v>
      </c>
      <c r="D342" s="21" t="s">
        <v>944</v>
      </c>
      <c r="E342" s="21" t="s">
        <v>46</v>
      </c>
      <c r="F342" s="5812">
        <v>2</v>
      </c>
      <c r="G342" s="5813">
        <v>0.19444444444444445</v>
      </c>
      <c r="H342" s="21" t="s">
        <v>10</v>
      </c>
      <c r="I342" s="21" t="s">
        <v>2544</v>
      </c>
      <c r="J342" s="21" t="s">
        <v>907</v>
      </c>
      <c r="K342" s="5814" t="s">
        <v>9297</v>
      </c>
    </row>
    <row r="343" spans="1:11">
      <c r="A343" s="21" t="s">
        <v>3230</v>
      </c>
      <c r="B343" s="21" t="s">
        <v>9298</v>
      </c>
      <c r="C343" s="21" t="s">
        <v>8</v>
      </c>
      <c r="D343" s="21" t="s">
        <v>944</v>
      </c>
      <c r="E343" s="21" t="s">
        <v>46</v>
      </c>
      <c r="F343" s="5812">
        <v>2</v>
      </c>
      <c r="G343" s="5813">
        <v>0.19513888888888889</v>
      </c>
      <c r="H343" s="21" t="s">
        <v>10</v>
      </c>
      <c r="I343" s="21" t="s">
        <v>23</v>
      </c>
      <c r="J343" s="21" t="s">
        <v>127</v>
      </c>
      <c r="K343" s="5814" t="s">
        <v>9299</v>
      </c>
    </row>
    <row r="344" spans="1:11">
      <c r="A344" s="21" t="s">
        <v>2941</v>
      </c>
      <c r="B344" s="21" t="s">
        <v>9300</v>
      </c>
      <c r="C344" s="21" t="s">
        <v>8</v>
      </c>
      <c r="D344" s="21" t="s">
        <v>944</v>
      </c>
      <c r="E344" s="21" t="s">
        <v>46</v>
      </c>
      <c r="F344" s="5812">
        <v>2</v>
      </c>
      <c r="G344" s="5813">
        <v>0.19722222222222222</v>
      </c>
      <c r="H344" s="21" t="s">
        <v>10</v>
      </c>
      <c r="I344" s="21" t="s">
        <v>39</v>
      </c>
      <c r="J344" s="21" t="s">
        <v>518</v>
      </c>
      <c r="K344" s="5814" t="s">
        <v>9301</v>
      </c>
    </row>
    <row r="345" spans="1:11">
      <c r="A345" s="21" t="s">
        <v>2295</v>
      </c>
      <c r="B345" s="21" t="s">
        <v>9302</v>
      </c>
      <c r="C345" s="21" t="s">
        <v>8</v>
      </c>
      <c r="D345" s="21" t="s">
        <v>944</v>
      </c>
      <c r="E345" s="21" t="s">
        <v>46</v>
      </c>
      <c r="F345" s="5812">
        <v>2</v>
      </c>
      <c r="G345" s="5813">
        <v>0.19722222222222222</v>
      </c>
      <c r="H345" s="21" t="s">
        <v>10</v>
      </c>
      <c r="I345" s="21" t="s">
        <v>2297</v>
      </c>
      <c r="J345" s="21" t="s">
        <v>722</v>
      </c>
      <c r="K345" s="5814" t="s">
        <v>9303</v>
      </c>
    </row>
    <row r="346" spans="1:11">
      <c r="A346" s="21" t="s">
        <v>2391</v>
      </c>
      <c r="B346" s="21" t="s">
        <v>9304</v>
      </c>
      <c r="C346" s="21" t="s">
        <v>8</v>
      </c>
      <c r="D346" s="21" t="s">
        <v>944</v>
      </c>
      <c r="E346" s="21" t="s">
        <v>46</v>
      </c>
      <c r="F346" s="5812">
        <v>2</v>
      </c>
      <c r="G346" s="5813">
        <v>0.20277777777777778</v>
      </c>
      <c r="H346" s="21" t="s">
        <v>10</v>
      </c>
      <c r="I346" s="21" t="s">
        <v>89</v>
      </c>
      <c r="J346" s="21" t="s">
        <v>127</v>
      </c>
      <c r="K346" s="5814" t="s">
        <v>9305</v>
      </c>
    </row>
    <row r="347" spans="1:11">
      <c r="A347" s="21" t="s">
        <v>3220</v>
      </c>
      <c r="B347" s="21" t="s">
        <v>9306</v>
      </c>
      <c r="C347" s="21" t="s">
        <v>22</v>
      </c>
      <c r="D347" s="21" t="s">
        <v>944</v>
      </c>
      <c r="E347" s="21" t="s">
        <v>46</v>
      </c>
      <c r="F347" s="5812">
        <v>2</v>
      </c>
      <c r="G347" s="5813">
        <v>0.20277777777777778</v>
      </c>
      <c r="H347" s="21" t="s">
        <v>10</v>
      </c>
      <c r="I347" s="21" t="s">
        <v>11</v>
      </c>
      <c r="J347" s="21" t="s">
        <v>4687</v>
      </c>
      <c r="K347" s="5814" t="s">
        <v>9307</v>
      </c>
    </row>
    <row r="348" spans="1:11">
      <c r="A348" s="21" t="s">
        <v>3787</v>
      </c>
      <c r="B348" s="21" t="s">
        <v>9308</v>
      </c>
      <c r="C348" s="21" t="s">
        <v>8</v>
      </c>
      <c r="D348" s="21" t="s">
        <v>944</v>
      </c>
      <c r="E348" s="21" t="s">
        <v>46</v>
      </c>
      <c r="F348" s="5812">
        <v>2</v>
      </c>
      <c r="G348" s="5813">
        <v>0.20555555555555555</v>
      </c>
      <c r="H348" s="21" t="s">
        <v>10</v>
      </c>
      <c r="I348" s="21" t="s">
        <v>2872</v>
      </c>
      <c r="J348" s="21" t="s">
        <v>127</v>
      </c>
      <c r="K348" s="5814" t="s">
        <v>9309</v>
      </c>
    </row>
    <row r="349" spans="1:11">
      <c r="A349" s="21" t="s">
        <v>2049</v>
      </c>
      <c r="B349" s="21" t="s">
        <v>9310</v>
      </c>
      <c r="C349" s="21" t="s">
        <v>22</v>
      </c>
      <c r="D349" s="21" t="s">
        <v>944</v>
      </c>
      <c r="E349" s="21" t="s">
        <v>46</v>
      </c>
      <c r="F349" s="5812">
        <v>2</v>
      </c>
      <c r="G349" s="5813">
        <v>0.2076388888888889</v>
      </c>
      <c r="H349" s="21" t="s">
        <v>10</v>
      </c>
      <c r="I349" s="21" t="s">
        <v>55</v>
      </c>
      <c r="J349" s="21" t="s">
        <v>9311</v>
      </c>
      <c r="K349" s="5814" t="s">
        <v>9312</v>
      </c>
    </row>
    <row r="350" spans="1:11">
      <c r="A350" s="21" t="s">
        <v>2679</v>
      </c>
      <c r="B350" s="21" t="s">
        <v>9313</v>
      </c>
      <c r="C350" s="21" t="s">
        <v>8</v>
      </c>
      <c r="D350" s="21" t="s">
        <v>944</v>
      </c>
      <c r="E350" s="21" t="s">
        <v>46</v>
      </c>
      <c r="F350" s="5812">
        <v>2</v>
      </c>
      <c r="G350" s="5813">
        <v>0.20833333333333334</v>
      </c>
      <c r="H350" s="21" t="s">
        <v>10</v>
      </c>
      <c r="I350" s="21" t="s">
        <v>55</v>
      </c>
      <c r="J350" s="21" t="s">
        <v>127</v>
      </c>
      <c r="K350" s="5814" t="s">
        <v>9314</v>
      </c>
    </row>
    <row r="351" spans="1:11">
      <c r="A351" s="21" t="s">
        <v>3260</v>
      </c>
      <c r="B351" s="21" t="s">
        <v>9315</v>
      </c>
      <c r="C351" s="21" t="s">
        <v>8</v>
      </c>
      <c r="D351" s="21" t="s">
        <v>944</v>
      </c>
      <c r="E351" s="21" t="s">
        <v>46</v>
      </c>
      <c r="F351" s="5812">
        <v>2</v>
      </c>
      <c r="G351" s="5813">
        <v>0.20833333333333334</v>
      </c>
      <c r="H351" s="21" t="s">
        <v>10</v>
      </c>
      <c r="I351" s="21" t="s">
        <v>226</v>
      </c>
      <c r="J351" s="21" t="s">
        <v>3175</v>
      </c>
      <c r="K351" s="5814" t="s">
        <v>9316</v>
      </c>
    </row>
    <row r="352" spans="1:11">
      <c r="A352" s="21" t="s">
        <v>3541</v>
      </c>
      <c r="B352" s="21" t="s">
        <v>9317</v>
      </c>
      <c r="C352" s="21" t="s">
        <v>22</v>
      </c>
      <c r="D352" s="21" t="s">
        <v>944</v>
      </c>
      <c r="E352" s="21" t="s">
        <v>46</v>
      </c>
      <c r="F352" s="5812">
        <v>3</v>
      </c>
      <c r="G352" s="5813">
        <v>1.6666666666666666E-2</v>
      </c>
      <c r="H352" s="21" t="s">
        <v>10</v>
      </c>
      <c r="I352" s="21" t="s">
        <v>2247</v>
      </c>
      <c r="J352" s="21" t="s">
        <v>154</v>
      </c>
      <c r="K352" s="5814" t="s">
        <v>9318</v>
      </c>
    </row>
    <row r="353" spans="1:11">
      <c r="A353" s="21" t="s">
        <v>2534</v>
      </c>
      <c r="B353" s="21" t="s">
        <v>9319</v>
      </c>
      <c r="C353" s="21" t="s">
        <v>8</v>
      </c>
      <c r="D353" s="21" t="s">
        <v>944</v>
      </c>
      <c r="E353" s="21" t="s">
        <v>46</v>
      </c>
      <c r="F353" s="5812">
        <v>3</v>
      </c>
      <c r="G353" s="5813">
        <v>1.8055555555555554E-2</v>
      </c>
      <c r="H353" s="21" t="s">
        <v>10</v>
      </c>
      <c r="I353" s="21" t="s">
        <v>55</v>
      </c>
      <c r="J353" s="21" t="s">
        <v>127</v>
      </c>
      <c r="K353" s="5814" t="s">
        <v>9320</v>
      </c>
    </row>
    <row r="354" spans="1:11">
      <c r="A354" s="21" t="s">
        <v>2135</v>
      </c>
      <c r="B354" s="21" t="s">
        <v>9321</v>
      </c>
      <c r="C354" s="21" t="s">
        <v>8</v>
      </c>
      <c r="D354" s="21" t="s">
        <v>944</v>
      </c>
      <c r="E354" s="21" t="s">
        <v>46</v>
      </c>
      <c r="F354" s="5812">
        <v>3</v>
      </c>
      <c r="G354" s="5813">
        <v>2.2222222222222223E-2</v>
      </c>
      <c r="H354" s="21" t="s">
        <v>10</v>
      </c>
      <c r="I354" s="21" t="s">
        <v>39</v>
      </c>
      <c r="J354" s="21" t="s">
        <v>48</v>
      </c>
      <c r="K354" s="5814" t="s">
        <v>9322</v>
      </c>
    </row>
    <row r="355" spans="1:11">
      <c r="A355" s="21" t="s">
        <v>3152</v>
      </c>
      <c r="B355" s="21" t="s">
        <v>9323</v>
      </c>
      <c r="C355" s="21" t="s">
        <v>22</v>
      </c>
      <c r="D355" s="21" t="s">
        <v>944</v>
      </c>
      <c r="E355" s="21" t="s">
        <v>46</v>
      </c>
      <c r="F355" s="5812">
        <v>3</v>
      </c>
      <c r="G355" s="5813">
        <v>3.0555555555555555E-2</v>
      </c>
      <c r="H355" s="21" t="s">
        <v>54</v>
      </c>
      <c r="I355" s="21" t="s">
        <v>96</v>
      </c>
      <c r="J355" s="21" t="s">
        <v>48</v>
      </c>
      <c r="K355" s="5814" t="s">
        <v>9324</v>
      </c>
    </row>
    <row r="356" spans="1:11">
      <c r="A356" s="21" t="s">
        <v>177</v>
      </c>
      <c r="B356" s="21" t="s">
        <v>1050</v>
      </c>
      <c r="C356" s="21" t="s">
        <v>22</v>
      </c>
      <c r="D356" s="21" t="s">
        <v>944</v>
      </c>
      <c r="E356" s="21" t="s">
        <v>46</v>
      </c>
      <c r="F356" s="5812">
        <v>3</v>
      </c>
      <c r="G356" s="5813">
        <v>3.8194444444444448E-2</v>
      </c>
      <c r="H356" s="21" t="s">
        <v>10</v>
      </c>
      <c r="I356" s="21" t="s">
        <v>96</v>
      </c>
      <c r="J356" s="21" t="s">
        <v>97</v>
      </c>
      <c r="K356" s="5814" t="s">
        <v>1051</v>
      </c>
    </row>
    <row r="357" spans="1:11">
      <c r="A357" s="21" t="s">
        <v>2757</v>
      </c>
      <c r="B357" s="21" t="s">
        <v>9325</v>
      </c>
      <c r="C357" s="21" t="s">
        <v>22</v>
      </c>
      <c r="D357" s="21" t="s">
        <v>944</v>
      </c>
      <c r="E357" s="21" t="s">
        <v>46</v>
      </c>
      <c r="F357" s="5812">
        <v>3</v>
      </c>
      <c r="G357" s="5813">
        <v>4.027777777777778E-2</v>
      </c>
      <c r="H357" s="21" t="s">
        <v>10</v>
      </c>
      <c r="I357" s="21" t="s">
        <v>39</v>
      </c>
      <c r="J357" s="21" t="s">
        <v>48</v>
      </c>
      <c r="K357" s="5814" t="s">
        <v>9326</v>
      </c>
    </row>
    <row r="358" spans="1:11">
      <c r="A358" s="21" t="s">
        <v>3491</v>
      </c>
      <c r="B358" s="21" t="s">
        <v>9327</v>
      </c>
      <c r="C358" s="21" t="s">
        <v>22</v>
      </c>
      <c r="D358" s="21" t="s">
        <v>944</v>
      </c>
      <c r="E358" s="21" t="s">
        <v>46</v>
      </c>
      <c r="F358" s="5812">
        <v>3</v>
      </c>
      <c r="G358" s="5813">
        <v>4.2361111111111113E-2</v>
      </c>
      <c r="H358" s="21" t="s">
        <v>10</v>
      </c>
      <c r="I358" s="21" t="s">
        <v>55</v>
      </c>
      <c r="J358" s="21" t="s">
        <v>907</v>
      </c>
      <c r="K358" s="5814" t="s">
        <v>9328</v>
      </c>
    </row>
    <row r="359" spans="1:11">
      <c r="A359" s="21" t="s">
        <v>3033</v>
      </c>
      <c r="B359" s="21" t="s">
        <v>9329</v>
      </c>
      <c r="C359" s="21" t="s">
        <v>22</v>
      </c>
      <c r="D359" s="21" t="s">
        <v>944</v>
      </c>
      <c r="E359" s="21" t="s">
        <v>46</v>
      </c>
      <c r="F359" s="5812">
        <v>3</v>
      </c>
      <c r="G359" s="5813">
        <v>4.791666666666667E-2</v>
      </c>
      <c r="H359" s="21" t="s">
        <v>10</v>
      </c>
      <c r="I359" s="21" t="s">
        <v>2814</v>
      </c>
      <c r="J359" s="21" t="s">
        <v>97</v>
      </c>
      <c r="K359" s="5814" t="s">
        <v>9330</v>
      </c>
    </row>
    <row r="360" spans="1:11">
      <c r="A360" s="21" t="s">
        <v>2513</v>
      </c>
      <c r="B360" s="21" t="s">
        <v>9331</v>
      </c>
      <c r="C360" s="21" t="s">
        <v>8</v>
      </c>
      <c r="D360" s="21" t="s">
        <v>944</v>
      </c>
      <c r="E360" s="21" t="s">
        <v>46</v>
      </c>
      <c r="F360" s="5812">
        <v>3</v>
      </c>
      <c r="G360" s="5813">
        <v>5.9722222222222225E-2</v>
      </c>
      <c r="H360" s="21" t="s">
        <v>10</v>
      </c>
      <c r="I360" s="21" t="s">
        <v>39</v>
      </c>
      <c r="J360" s="21" t="s">
        <v>97</v>
      </c>
      <c r="K360" s="5814" t="s">
        <v>9332</v>
      </c>
    </row>
    <row r="361" spans="1:11">
      <c r="A361" s="21" t="s">
        <v>3173</v>
      </c>
      <c r="B361" s="21" t="s">
        <v>9333</v>
      </c>
      <c r="C361" s="21" t="s">
        <v>8</v>
      </c>
      <c r="D361" s="21" t="s">
        <v>944</v>
      </c>
      <c r="E361" s="21" t="s">
        <v>46</v>
      </c>
      <c r="F361" s="5812">
        <v>3</v>
      </c>
      <c r="G361" s="5813">
        <v>6.3888888888888884E-2</v>
      </c>
      <c r="H361" s="21" t="s">
        <v>10</v>
      </c>
      <c r="I361" s="21" t="s">
        <v>47</v>
      </c>
      <c r="J361" s="21" t="s">
        <v>48</v>
      </c>
      <c r="K361" s="5814" t="s">
        <v>9334</v>
      </c>
    </row>
    <row r="362" spans="1:11">
      <c r="A362" s="21" t="s">
        <v>4768</v>
      </c>
      <c r="B362" s="21" t="s">
        <v>9335</v>
      </c>
      <c r="C362" s="21" t="s">
        <v>8</v>
      </c>
      <c r="D362" s="21" t="s">
        <v>944</v>
      </c>
      <c r="E362" s="21" t="s">
        <v>46</v>
      </c>
      <c r="F362" s="5812">
        <v>3</v>
      </c>
      <c r="G362" s="5813">
        <v>6.6666666666666666E-2</v>
      </c>
      <c r="H362" s="21" t="s">
        <v>10</v>
      </c>
      <c r="I362" s="21" t="s">
        <v>2660</v>
      </c>
      <c r="J362" s="21" t="s">
        <v>4586</v>
      </c>
      <c r="K362" s="5814" t="s">
        <v>9336</v>
      </c>
    </row>
    <row r="363" spans="1:11">
      <c r="A363" s="21" t="s">
        <v>2886</v>
      </c>
      <c r="B363" s="21" t="s">
        <v>9337</v>
      </c>
      <c r="C363" s="21" t="s">
        <v>22</v>
      </c>
      <c r="D363" s="21" t="s">
        <v>944</v>
      </c>
      <c r="E363" s="21" t="s">
        <v>46</v>
      </c>
      <c r="F363" s="5812">
        <v>3</v>
      </c>
      <c r="G363" s="5813">
        <v>6.805555555555555E-2</v>
      </c>
      <c r="H363" s="21" t="s">
        <v>54</v>
      </c>
      <c r="I363" s="21" t="s">
        <v>2297</v>
      </c>
      <c r="J363" s="21" t="s">
        <v>3148</v>
      </c>
      <c r="K363" s="5814" t="s">
        <v>9338</v>
      </c>
    </row>
    <row r="364" spans="1:11">
      <c r="A364" s="21" t="s">
        <v>3217</v>
      </c>
      <c r="B364" s="21" t="s">
        <v>9339</v>
      </c>
      <c r="C364" s="21" t="s">
        <v>22</v>
      </c>
      <c r="D364" s="21" t="s">
        <v>944</v>
      </c>
      <c r="E364" s="21" t="s">
        <v>46</v>
      </c>
      <c r="F364" s="5812">
        <v>3</v>
      </c>
      <c r="G364" s="5813">
        <v>9.0277777777777776E-2</v>
      </c>
      <c r="H364" s="21" t="s">
        <v>10</v>
      </c>
      <c r="I364" s="21" t="s">
        <v>47</v>
      </c>
      <c r="J364" s="21" t="s">
        <v>430</v>
      </c>
      <c r="K364" s="5814" t="s">
        <v>9340</v>
      </c>
    </row>
    <row r="365" spans="1:11">
      <c r="A365" s="21" t="s">
        <v>2724</v>
      </c>
      <c r="B365" s="21" t="s">
        <v>9341</v>
      </c>
      <c r="C365" s="21" t="s">
        <v>22</v>
      </c>
      <c r="D365" s="21" t="s">
        <v>944</v>
      </c>
      <c r="E365" s="21" t="s">
        <v>46</v>
      </c>
      <c r="F365" s="5812">
        <v>3</v>
      </c>
      <c r="G365" s="5813">
        <v>9.4444444444444442E-2</v>
      </c>
      <c r="H365" s="21" t="s">
        <v>10</v>
      </c>
      <c r="I365" s="21" t="s">
        <v>2726</v>
      </c>
      <c r="J365" s="21" t="s">
        <v>406</v>
      </c>
      <c r="K365" s="5814" t="s">
        <v>9342</v>
      </c>
    </row>
    <row r="366" spans="1:11">
      <c r="A366" s="21" t="s">
        <v>2471</v>
      </c>
      <c r="B366" s="21" t="s">
        <v>9343</v>
      </c>
      <c r="C366" s="21" t="s">
        <v>8</v>
      </c>
      <c r="D366" s="21" t="s">
        <v>944</v>
      </c>
      <c r="E366" s="21" t="s">
        <v>46</v>
      </c>
      <c r="F366" s="5812">
        <v>3</v>
      </c>
      <c r="G366" s="5813">
        <v>0.10138888888888889</v>
      </c>
      <c r="H366" s="21" t="s">
        <v>10</v>
      </c>
      <c r="I366" s="21" t="s">
        <v>39</v>
      </c>
      <c r="J366" s="21" t="s">
        <v>97</v>
      </c>
      <c r="K366" s="5814" t="s">
        <v>9344</v>
      </c>
    </row>
    <row r="367" spans="1:11">
      <c r="A367" s="21" t="s">
        <v>2212</v>
      </c>
      <c r="B367" s="21" t="s">
        <v>9345</v>
      </c>
      <c r="C367" s="21" t="s">
        <v>22</v>
      </c>
      <c r="D367" s="21" t="s">
        <v>944</v>
      </c>
      <c r="E367" s="21" t="s">
        <v>46</v>
      </c>
      <c r="F367" s="5812">
        <v>3</v>
      </c>
      <c r="G367" s="5813">
        <v>0.10208333333333333</v>
      </c>
      <c r="H367" s="21" t="s">
        <v>10</v>
      </c>
      <c r="I367" s="21" t="s">
        <v>615</v>
      </c>
      <c r="J367" s="21" t="s">
        <v>97</v>
      </c>
      <c r="K367" s="5814" t="s">
        <v>9346</v>
      </c>
    </row>
    <row r="368" spans="1:11">
      <c r="A368" s="21" t="s">
        <v>5554</v>
      </c>
      <c r="B368" s="21" t="s">
        <v>9347</v>
      </c>
      <c r="C368" s="21" t="s">
        <v>22</v>
      </c>
      <c r="D368" s="21" t="s">
        <v>944</v>
      </c>
      <c r="E368" s="21" t="s">
        <v>46</v>
      </c>
      <c r="F368" s="5812">
        <v>3</v>
      </c>
      <c r="G368" s="5813">
        <v>0.10625</v>
      </c>
      <c r="H368" s="21" t="s">
        <v>10</v>
      </c>
      <c r="I368" s="21" t="s">
        <v>226</v>
      </c>
      <c r="J368" s="21" t="s">
        <v>97</v>
      </c>
      <c r="K368" s="5814" t="s">
        <v>9348</v>
      </c>
    </row>
    <row r="369" spans="1:11">
      <c r="A369" s="21" t="s">
        <v>2974</v>
      </c>
      <c r="B369" s="21" t="s">
        <v>9349</v>
      </c>
      <c r="C369" s="21" t="s">
        <v>22</v>
      </c>
      <c r="D369" s="21" t="s">
        <v>944</v>
      </c>
      <c r="E369" s="21" t="s">
        <v>46</v>
      </c>
      <c r="F369" s="5812">
        <v>3</v>
      </c>
      <c r="G369" s="5813">
        <v>0.1076388888888889</v>
      </c>
      <c r="H369" s="21" t="s">
        <v>10</v>
      </c>
      <c r="I369" s="21" t="s">
        <v>11</v>
      </c>
      <c r="J369" s="21" t="s">
        <v>97</v>
      </c>
      <c r="K369" s="5814" t="s">
        <v>9350</v>
      </c>
    </row>
    <row r="370" spans="1:11">
      <c r="A370" s="21" t="s">
        <v>2808</v>
      </c>
      <c r="B370" s="21" t="s">
        <v>9351</v>
      </c>
      <c r="C370" s="21" t="s">
        <v>22</v>
      </c>
      <c r="D370" s="21" t="s">
        <v>944</v>
      </c>
      <c r="E370" s="21" t="s">
        <v>46</v>
      </c>
      <c r="F370" s="5812">
        <v>3</v>
      </c>
      <c r="G370" s="5813">
        <v>0.11458333333333333</v>
      </c>
      <c r="H370" s="21" t="s">
        <v>10</v>
      </c>
      <c r="I370" s="21" t="s">
        <v>2297</v>
      </c>
      <c r="J370" s="21" t="s">
        <v>97</v>
      </c>
      <c r="K370" s="5814" t="s">
        <v>9352</v>
      </c>
    </row>
    <row r="371" spans="1:11">
      <c r="A371" s="21" t="s">
        <v>3741</v>
      </c>
      <c r="B371" s="21" t="s">
        <v>9353</v>
      </c>
      <c r="C371" s="21" t="s">
        <v>22</v>
      </c>
      <c r="D371" s="21" t="s">
        <v>944</v>
      </c>
      <c r="E371" s="21" t="s">
        <v>46</v>
      </c>
      <c r="F371" s="5812">
        <v>3</v>
      </c>
      <c r="G371" s="5813">
        <v>0.11527777777777778</v>
      </c>
      <c r="H371" s="21" t="s">
        <v>10</v>
      </c>
      <c r="I371" s="21" t="s">
        <v>226</v>
      </c>
      <c r="J371" s="21" t="s">
        <v>97</v>
      </c>
      <c r="K371" s="5814" t="s">
        <v>9354</v>
      </c>
    </row>
    <row r="372" spans="1:11">
      <c r="A372" s="21" t="s">
        <v>3481</v>
      </c>
      <c r="B372" s="21" t="s">
        <v>9355</v>
      </c>
      <c r="C372" s="21" t="s">
        <v>22</v>
      </c>
      <c r="D372" s="21" t="s">
        <v>944</v>
      </c>
      <c r="E372" s="21" t="s">
        <v>46</v>
      </c>
      <c r="F372" s="5812">
        <v>3</v>
      </c>
      <c r="G372" s="5813">
        <v>0.12430555555555556</v>
      </c>
      <c r="H372" s="21" t="s">
        <v>10</v>
      </c>
      <c r="I372" s="21" t="s">
        <v>96</v>
      </c>
      <c r="J372" s="21" t="s">
        <v>97</v>
      </c>
      <c r="K372" s="5814" t="s">
        <v>9356</v>
      </c>
    </row>
    <row r="373" spans="1:11">
      <c r="A373" s="21" t="s">
        <v>2079</v>
      </c>
      <c r="B373" s="21" t="s">
        <v>9357</v>
      </c>
      <c r="C373" s="21" t="s">
        <v>8</v>
      </c>
      <c r="D373" s="21" t="s">
        <v>944</v>
      </c>
      <c r="E373" s="21" t="s">
        <v>46</v>
      </c>
      <c r="F373" s="5812">
        <v>3</v>
      </c>
      <c r="G373" s="5813">
        <v>0.13333333333333333</v>
      </c>
      <c r="H373" s="21" t="s">
        <v>10</v>
      </c>
      <c r="I373" s="21" t="s">
        <v>96</v>
      </c>
      <c r="J373" s="21" t="s">
        <v>907</v>
      </c>
      <c r="K373" s="5814" t="s">
        <v>9358</v>
      </c>
    </row>
    <row r="374" spans="1:11">
      <c r="A374" s="21" t="s">
        <v>2846</v>
      </c>
      <c r="B374" s="21" t="s">
        <v>9359</v>
      </c>
      <c r="C374" s="21" t="s">
        <v>8</v>
      </c>
      <c r="D374" s="21" t="s">
        <v>944</v>
      </c>
      <c r="E374" s="21" t="s">
        <v>46</v>
      </c>
      <c r="F374" s="5812">
        <v>3</v>
      </c>
      <c r="G374" s="5813">
        <v>0.15069444444444444</v>
      </c>
      <c r="H374" s="21" t="s">
        <v>10</v>
      </c>
      <c r="I374" s="21" t="s">
        <v>263</v>
      </c>
      <c r="J374" s="21" t="s">
        <v>430</v>
      </c>
      <c r="K374" s="5814" t="s">
        <v>9360</v>
      </c>
    </row>
    <row r="375" spans="1:11">
      <c r="A375" s="21" t="s">
        <v>2784</v>
      </c>
      <c r="B375" s="21" t="s">
        <v>9361</v>
      </c>
      <c r="C375" s="21" t="s">
        <v>8</v>
      </c>
      <c r="D375" s="21" t="s">
        <v>944</v>
      </c>
      <c r="E375" s="21" t="s">
        <v>46</v>
      </c>
      <c r="F375" s="5812">
        <v>3</v>
      </c>
      <c r="G375" s="5813">
        <v>0.16111111111111112</v>
      </c>
      <c r="H375" s="21" t="s">
        <v>10</v>
      </c>
      <c r="I375" s="21" t="s">
        <v>11</v>
      </c>
      <c r="J375" s="21" t="s">
        <v>722</v>
      </c>
      <c r="K375" s="5814" t="s">
        <v>9362</v>
      </c>
    </row>
    <row r="376" spans="1:11">
      <c r="A376" s="21" t="s">
        <v>2070</v>
      </c>
      <c r="B376" s="21" t="s">
        <v>9363</v>
      </c>
      <c r="C376" s="21" t="s">
        <v>8</v>
      </c>
      <c r="D376" s="21" t="s">
        <v>944</v>
      </c>
      <c r="E376" s="21" t="s">
        <v>46</v>
      </c>
      <c r="F376" s="5812">
        <v>3</v>
      </c>
      <c r="G376" s="5813">
        <v>0.17291666666666666</v>
      </c>
      <c r="H376" s="21" t="s">
        <v>10</v>
      </c>
      <c r="I376" s="21" t="s">
        <v>2072</v>
      </c>
      <c r="J376" s="21" t="s">
        <v>48</v>
      </c>
      <c r="K376" s="5814" t="s">
        <v>9364</v>
      </c>
    </row>
    <row r="377" spans="1:11">
      <c r="A377" s="21" t="s">
        <v>3089</v>
      </c>
      <c r="B377" s="21" t="s">
        <v>9365</v>
      </c>
      <c r="C377" s="21" t="s">
        <v>8</v>
      </c>
      <c r="D377" s="21" t="s">
        <v>944</v>
      </c>
      <c r="E377" s="21" t="s">
        <v>46</v>
      </c>
      <c r="F377" s="5812">
        <v>3</v>
      </c>
      <c r="G377" s="5813">
        <v>0.19583333333333333</v>
      </c>
      <c r="H377" s="21" t="s">
        <v>10</v>
      </c>
      <c r="I377" s="21" t="s">
        <v>2692</v>
      </c>
      <c r="J377" s="21" t="s">
        <v>722</v>
      </c>
      <c r="K377" s="5814" t="s">
        <v>9366</v>
      </c>
    </row>
    <row r="378" spans="1:11">
      <c r="A378" s="21" t="s">
        <v>3224</v>
      </c>
      <c r="B378" s="21" t="s">
        <v>9367</v>
      </c>
      <c r="C378" s="21" t="s">
        <v>8</v>
      </c>
      <c r="D378" s="21" t="s">
        <v>944</v>
      </c>
      <c r="E378" s="21" t="s">
        <v>46</v>
      </c>
      <c r="F378" s="5812">
        <v>3</v>
      </c>
      <c r="G378" s="5813">
        <v>0.20555555555555555</v>
      </c>
      <c r="H378" s="21" t="s">
        <v>10</v>
      </c>
      <c r="I378" s="21" t="s">
        <v>400</v>
      </c>
      <c r="J378" s="21" t="s">
        <v>430</v>
      </c>
      <c r="K378" s="5814" t="s">
        <v>9368</v>
      </c>
    </row>
    <row r="379" spans="1:11">
      <c r="A379" s="21" t="s">
        <v>4430</v>
      </c>
      <c r="B379" s="21" t="s">
        <v>9369</v>
      </c>
      <c r="C379" s="21" t="s">
        <v>22</v>
      </c>
      <c r="D379" s="21" t="s">
        <v>944</v>
      </c>
      <c r="E379" s="21" t="s">
        <v>46</v>
      </c>
      <c r="F379" s="5812">
        <v>3</v>
      </c>
      <c r="G379" s="5813">
        <v>0.20694444444444443</v>
      </c>
      <c r="H379" s="21" t="s">
        <v>10</v>
      </c>
      <c r="I379" s="21" t="s">
        <v>3215</v>
      </c>
      <c r="J379" s="21" t="s">
        <v>4586</v>
      </c>
      <c r="K379" s="5814" t="s">
        <v>9370</v>
      </c>
    </row>
    <row r="380" spans="1:11">
      <c r="A380" s="21" t="s">
        <v>3009</v>
      </c>
      <c r="B380" s="21" t="s">
        <v>9371</v>
      </c>
      <c r="C380" s="21" t="s">
        <v>8</v>
      </c>
      <c r="D380" s="21" t="s">
        <v>944</v>
      </c>
      <c r="E380" s="21" t="s">
        <v>46</v>
      </c>
      <c r="F380" s="5812">
        <v>4</v>
      </c>
      <c r="G380" s="5813">
        <v>5.8333333333333334E-2</v>
      </c>
      <c r="H380" s="21" t="s">
        <v>54</v>
      </c>
      <c r="I380" s="21" t="s">
        <v>55</v>
      </c>
      <c r="J380" s="21" t="s">
        <v>127</v>
      </c>
      <c r="K380" s="5814" t="s">
        <v>9372</v>
      </c>
    </row>
    <row r="381" spans="1:11">
      <c r="A381" s="21" t="s">
        <v>2630</v>
      </c>
      <c r="B381" s="21" t="s">
        <v>9383</v>
      </c>
      <c r="C381" s="21" t="s">
        <v>22</v>
      </c>
      <c r="D381" s="21" t="s">
        <v>944</v>
      </c>
      <c r="E381" s="21" t="s">
        <v>61</v>
      </c>
      <c r="F381" s="5812">
        <v>1</v>
      </c>
      <c r="G381" s="5813">
        <v>3.4027777777777775E-2</v>
      </c>
      <c r="H381" s="21" t="s">
        <v>10</v>
      </c>
      <c r="I381" s="21" t="s">
        <v>226</v>
      </c>
      <c r="J381" s="21" t="s">
        <v>3313</v>
      </c>
      <c r="K381" s="5814" t="s">
        <v>9384</v>
      </c>
    </row>
    <row r="382" spans="1:11">
      <c r="A382" s="21" t="s">
        <v>87</v>
      </c>
      <c r="B382" s="21" t="s">
        <v>973</v>
      </c>
      <c r="C382" s="21" t="s">
        <v>8</v>
      </c>
      <c r="D382" s="21" t="s">
        <v>944</v>
      </c>
      <c r="E382" s="21" t="s">
        <v>61</v>
      </c>
      <c r="F382" s="5812">
        <v>1</v>
      </c>
      <c r="G382" s="5813">
        <v>3.7499999999999999E-2</v>
      </c>
      <c r="H382" s="21" t="s">
        <v>10</v>
      </c>
      <c r="I382" s="21" t="s">
        <v>788</v>
      </c>
      <c r="J382" s="21" t="s">
        <v>974</v>
      </c>
      <c r="K382" s="5814" t="s">
        <v>975</v>
      </c>
    </row>
    <row r="383" spans="1:11">
      <c r="A383" s="21" t="s">
        <v>135</v>
      </c>
      <c r="B383" s="21" t="s">
        <v>1020</v>
      </c>
      <c r="C383" s="21" t="s">
        <v>8</v>
      </c>
      <c r="D383" s="21" t="s">
        <v>944</v>
      </c>
      <c r="E383" s="21" t="s">
        <v>61</v>
      </c>
      <c r="F383" s="5812">
        <v>1</v>
      </c>
      <c r="G383" s="5813">
        <v>4.2361111111111113E-2</v>
      </c>
      <c r="H383" s="21" t="s">
        <v>10</v>
      </c>
      <c r="I383" s="21" t="s">
        <v>226</v>
      </c>
      <c r="J383" s="21" t="s">
        <v>67</v>
      </c>
      <c r="K383" s="5814" t="s">
        <v>1021</v>
      </c>
    </row>
    <row r="384" spans="1:11">
      <c r="A384" s="21" t="s">
        <v>2424</v>
      </c>
      <c r="B384" s="21" t="s">
        <v>9385</v>
      </c>
      <c r="C384" s="21" t="s">
        <v>8</v>
      </c>
      <c r="D384" s="21" t="s">
        <v>944</v>
      </c>
      <c r="E384" s="21" t="s">
        <v>61</v>
      </c>
      <c r="F384" s="5812">
        <v>1</v>
      </c>
      <c r="G384" s="5813">
        <v>4.4444444444444446E-2</v>
      </c>
      <c r="H384" s="21" t="s">
        <v>10</v>
      </c>
      <c r="I384" s="21" t="s">
        <v>55</v>
      </c>
      <c r="J384" s="21" t="s">
        <v>67</v>
      </c>
      <c r="K384" s="5814" t="s">
        <v>9386</v>
      </c>
    </row>
    <row r="385" spans="1:11">
      <c r="A385" s="21" t="s">
        <v>2985</v>
      </c>
      <c r="B385" s="21" t="s">
        <v>9387</v>
      </c>
      <c r="C385" s="21" t="s">
        <v>8</v>
      </c>
      <c r="D385" s="21" t="s">
        <v>944</v>
      </c>
      <c r="E385" s="21" t="s">
        <v>61</v>
      </c>
      <c r="F385" s="5812">
        <v>1</v>
      </c>
      <c r="G385" s="5813">
        <v>0.05</v>
      </c>
      <c r="H385" s="21" t="s">
        <v>10</v>
      </c>
      <c r="I385" s="21" t="s">
        <v>47</v>
      </c>
      <c r="J385" s="21" t="s">
        <v>67</v>
      </c>
      <c r="K385" s="5814" t="s">
        <v>9388</v>
      </c>
    </row>
    <row r="386" spans="1:11">
      <c r="A386" s="21" t="s">
        <v>3183</v>
      </c>
      <c r="B386" s="21" t="s">
        <v>9389</v>
      </c>
      <c r="C386" s="21" t="s">
        <v>22</v>
      </c>
      <c r="D386" s="21" t="s">
        <v>944</v>
      </c>
      <c r="E386" s="21" t="s">
        <v>61</v>
      </c>
      <c r="F386" s="5812">
        <v>1</v>
      </c>
      <c r="G386" s="5813">
        <v>5.2777777777777778E-2</v>
      </c>
      <c r="H386" s="21" t="s">
        <v>10</v>
      </c>
      <c r="I386" s="21" t="s">
        <v>23</v>
      </c>
      <c r="J386" s="21" t="s">
        <v>1327</v>
      </c>
      <c r="K386" s="5814" t="s">
        <v>9390</v>
      </c>
    </row>
    <row r="387" spans="1:11">
      <c r="A387" s="21" t="s">
        <v>2542</v>
      </c>
      <c r="B387" s="21" t="s">
        <v>9391</v>
      </c>
      <c r="C387" s="21" t="s">
        <v>8</v>
      </c>
      <c r="D387" s="21" t="s">
        <v>944</v>
      </c>
      <c r="E387" s="21" t="s">
        <v>61</v>
      </c>
      <c r="F387" s="5812">
        <v>1</v>
      </c>
      <c r="G387" s="5813">
        <v>5.4166666666666669E-2</v>
      </c>
      <c r="H387" s="21" t="s">
        <v>10</v>
      </c>
      <c r="I387" s="21" t="s">
        <v>55</v>
      </c>
      <c r="J387" s="21" t="s">
        <v>9392</v>
      </c>
      <c r="K387" s="5814" t="s">
        <v>9393</v>
      </c>
    </row>
    <row r="388" spans="1:11">
      <c r="A388" s="21" t="s">
        <v>2792</v>
      </c>
      <c r="B388" s="21" t="s">
        <v>9394</v>
      </c>
      <c r="C388" s="21" t="s">
        <v>8</v>
      </c>
      <c r="D388" s="21" t="s">
        <v>944</v>
      </c>
      <c r="E388" s="21" t="s">
        <v>61</v>
      </c>
      <c r="F388" s="5812">
        <v>1</v>
      </c>
      <c r="G388" s="5813">
        <v>6.5277777777777782E-2</v>
      </c>
      <c r="H388" s="21" t="s">
        <v>10</v>
      </c>
      <c r="I388" s="21" t="s">
        <v>11</v>
      </c>
      <c r="J388" s="21" t="s">
        <v>9395</v>
      </c>
      <c r="K388" s="5814" t="s">
        <v>9396</v>
      </c>
    </row>
    <row r="389" spans="1:11">
      <c r="A389" s="21" t="s">
        <v>3102</v>
      </c>
      <c r="B389" s="21" t="s">
        <v>9397</v>
      </c>
      <c r="C389" s="21" t="s">
        <v>22</v>
      </c>
      <c r="D389" s="21" t="s">
        <v>944</v>
      </c>
      <c r="E389" s="21" t="s">
        <v>61</v>
      </c>
      <c r="F389" s="5812">
        <v>1</v>
      </c>
      <c r="G389" s="5813">
        <v>8.3333333333333329E-2</v>
      </c>
      <c r="H389" s="21" t="s">
        <v>10</v>
      </c>
      <c r="I389" s="21" t="s">
        <v>55</v>
      </c>
      <c r="J389" s="21" t="s">
        <v>3313</v>
      </c>
      <c r="K389" s="5814" t="s">
        <v>9398</v>
      </c>
    </row>
    <row r="390" spans="1:11">
      <c r="A390" s="21" t="s">
        <v>2237</v>
      </c>
      <c r="B390" s="21" t="s">
        <v>9399</v>
      </c>
      <c r="C390" s="21" t="s">
        <v>8</v>
      </c>
      <c r="D390" s="21" t="s">
        <v>944</v>
      </c>
      <c r="E390" s="21" t="s">
        <v>61</v>
      </c>
      <c r="F390" s="5812">
        <v>1</v>
      </c>
      <c r="G390" s="5813">
        <v>9.3055555555555558E-2</v>
      </c>
      <c r="H390" s="21" t="s">
        <v>10</v>
      </c>
      <c r="I390" s="21" t="s">
        <v>2194</v>
      </c>
      <c r="J390" s="21" t="s">
        <v>3326</v>
      </c>
      <c r="K390" s="5814" t="s">
        <v>9400</v>
      </c>
    </row>
    <row r="391" spans="1:11">
      <c r="A391" s="21" t="s">
        <v>3439</v>
      </c>
      <c r="B391" s="21" t="s">
        <v>9401</v>
      </c>
      <c r="C391" s="21" t="s">
        <v>8</v>
      </c>
      <c r="D391" s="21" t="s">
        <v>944</v>
      </c>
      <c r="E391" s="21" t="s">
        <v>61</v>
      </c>
      <c r="F391" s="5812">
        <v>1</v>
      </c>
      <c r="G391" s="5813">
        <v>0.10625</v>
      </c>
      <c r="H391" s="21" t="s">
        <v>10</v>
      </c>
      <c r="I391" s="21" t="s">
        <v>226</v>
      </c>
      <c r="J391" s="21" t="s">
        <v>1379</v>
      </c>
      <c r="K391" s="5814" t="s">
        <v>9402</v>
      </c>
    </row>
    <row r="392" spans="1:11">
      <c r="A392" s="21" t="s">
        <v>3009</v>
      </c>
      <c r="B392" s="21" t="s">
        <v>9403</v>
      </c>
      <c r="C392" s="21" t="s">
        <v>8</v>
      </c>
      <c r="D392" s="21" t="s">
        <v>944</v>
      </c>
      <c r="E392" s="21" t="s">
        <v>61</v>
      </c>
      <c r="F392" s="5812">
        <v>1</v>
      </c>
      <c r="G392" s="5813">
        <v>0.11041666666666666</v>
      </c>
      <c r="H392" s="21" t="s">
        <v>10</v>
      </c>
      <c r="I392" s="21" t="s">
        <v>39</v>
      </c>
      <c r="J392" s="21" t="s">
        <v>9404</v>
      </c>
      <c r="K392" s="5814" t="s">
        <v>9405</v>
      </c>
    </row>
    <row r="393" spans="1:11">
      <c r="A393" s="21" t="s">
        <v>2526</v>
      </c>
      <c r="B393" s="21" t="s">
        <v>9406</v>
      </c>
      <c r="C393" s="21" t="s">
        <v>8</v>
      </c>
      <c r="D393" s="21" t="s">
        <v>944</v>
      </c>
      <c r="E393" s="21" t="s">
        <v>61</v>
      </c>
      <c r="F393" s="5812">
        <v>1</v>
      </c>
      <c r="G393" s="5813">
        <v>0.1125</v>
      </c>
      <c r="H393" s="21" t="s">
        <v>10</v>
      </c>
      <c r="I393" s="21" t="s">
        <v>39</v>
      </c>
      <c r="J393" s="21" t="s">
        <v>928</v>
      </c>
      <c r="K393" s="5814" t="s">
        <v>9407</v>
      </c>
    </row>
    <row r="394" spans="1:11">
      <c r="A394" s="21" t="s">
        <v>3006</v>
      </c>
      <c r="B394" s="21" t="s">
        <v>9408</v>
      </c>
      <c r="C394" s="21" t="s">
        <v>22</v>
      </c>
      <c r="D394" s="21" t="s">
        <v>944</v>
      </c>
      <c r="E394" s="21" t="s">
        <v>61</v>
      </c>
      <c r="F394" s="5812">
        <v>1</v>
      </c>
      <c r="G394" s="5813">
        <v>0.11319444444444444</v>
      </c>
      <c r="H394" s="21" t="s">
        <v>10</v>
      </c>
      <c r="I394" s="21" t="s">
        <v>2297</v>
      </c>
      <c r="J394" s="21" t="s">
        <v>974</v>
      </c>
      <c r="K394" s="5814" t="s">
        <v>9409</v>
      </c>
    </row>
    <row r="395" spans="1:11">
      <c r="A395" s="21" t="s">
        <v>2878</v>
      </c>
      <c r="B395" s="21" t="s">
        <v>9410</v>
      </c>
      <c r="C395" s="21" t="s">
        <v>8</v>
      </c>
      <c r="D395" s="21" t="s">
        <v>944</v>
      </c>
      <c r="E395" s="21" t="s">
        <v>61</v>
      </c>
      <c r="F395" s="5812">
        <v>1</v>
      </c>
      <c r="G395" s="5813">
        <v>0.11944444444444445</v>
      </c>
      <c r="H395" s="21" t="s">
        <v>10</v>
      </c>
      <c r="I395" s="21" t="s">
        <v>2297</v>
      </c>
      <c r="J395" s="21" t="s">
        <v>67</v>
      </c>
      <c r="K395" s="5814" t="s">
        <v>9411</v>
      </c>
    </row>
    <row r="396" spans="1:11">
      <c r="A396" s="21" t="s">
        <v>2049</v>
      </c>
      <c r="B396" s="21" t="s">
        <v>9412</v>
      </c>
      <c r="C396" s="21" t="s">
        <v>8</v>
      </c>
      <c r="D396" s="21" t="s">
        <v>944</v>
      </c>
      <c r="E396" s="21" t="s">
        <v>61</v>
      </c>
      <c r="F396" s="5812">
        <v>1</v>
      </c>
      <c r="G396" s="5813">
        <v>0.12083333333333333</v>
      </c>
      <c r="H396" s="21" t="s">
        <v>10</v>
      </c>
      <c r="I396" s="21" t="s">
        <v>11</v>
      </c>
      <c r="J396" s="21" t="s">
        <v>505</v>
      </c>
      <c r="K396" s="5814" t="s">
        <v>9413</v>
      </c>
    </row>
    <row r="397" spans="1:11">
      <c r="A397" s="21" t="s">
        <v>2979</v>
      </c>
      <c r="B397" s="21" t="s">
        <v>9414</v>
      </c>
      <c r="C397" s="21" t="s">
        <v>8</v>
      </c>
      <c r="D397" s="21" t="s">
        <v>944</v>
      </c>
      <c r="E397" s="21" t="s">
        <v>61</v>
      </c>
      <c r="F397" s="5812">
        <v>1</v>
      </c>
      <c r="G397" s="5813">
        <v>0.12361111111111112</v>
      </c>
      <c r="H397" s="21" t="s">
        <v>10</v>
      </c>
      <c r="I397" s="21" t="s">
        <v>96</v>
      </c>
      <c r="J397" s="21" t="s">
        <v>836</v>
      </c>
      <c r="K397" s="5814" t="s">
        <v>9415</v>
      </c>
    </row>
    <row r="398" spans="1:11">
      <c r="A398" s="21" t="s">
        <v>2817</v>
      </c>
      <c r="B398" s="21" t="s">
        <v>9416</v>
      </c>
      <c r="C398" s="21" t="s">
        <v>22</v>
      </c>
      <c r="D398" s="21" t="s">
        <v>944</v>
      </c>
      <c r="E398" s="21" t="s">
        <v>61</v>
      </c>
      <c r="F398" s="5812">
        <v>1</v>
      </c>
      <c r="G398" s="5813">
        <v>0.12361111111111112</v>
      </c>
      <c r="H398" s="21" t="s">
        <v>10</v>
      </c>
      <c r="I398" s="21" t="s">
        <v>2297</v>
      </c>
      <c r="J398" s="21" t="s">
        <v>67</v>
      </c>
      <c r="K398" s="5814" t="s">
        <v>9417</v>
      </c>
    </row>
    <row r="399" spans="1:11">
      <c r="A399" s="21" t="s">
        <v>2461</v>
      </c>
      <c r="B399" s="21" t="s">
        <v>9418</v>
      </c>
      <c r="C399" s="21" t="s">
        <v>8</v>
      </c>
      <c r="D399" s="21" t="s">
        <v>944</v>
      </c>
      <c r="E399" s="21" t="s">
        <v>61</v>
      </c>
      <c r="F399" s="5812">
        <v>1</v>
      </c>
      <c r="G399" s="5813">
        <v>0.13402777777777777</v>
      </c>
      <c r="H399" s="21" t="s">
        <v>10</v>
      </c>
      <c r="I399" s="21" t="s">
        <v>47</v>
      </c>
      <c r="J399" s="21" t="s">
        <v>5461</v>
      </c>
      <c r="K399" s="5814" t="s">
        <v>9419</v>
      </c>
    </row>
    <row r="400" spans="1:11">
      <c r="A400" s="21" t="s">
        <v>2442</v>
      </c>
      <c r="B400" s="21" t="s">
        <v>9420</v>
      </c>
      <c r="C400" s="21" t="s">
        <v>22</v>
      </c>
      <c r="D400" s="21" t="s">
        <v>944</v>
      </c>
      <c r="E400" s="21" t="s">
        <v>61</v>
      </c>
      <c r="F400" s="5812">
        <v>1</v>
      </c>
      <c r="G400" s="5813">
        <v>0.15347222222222223</v>
      </c>
      <c r="H400" s="21" t="s">
        <v>10</v>
      </c>
      <c r="I400" s="21" t="s">
        <v>39</v>
      </c>
      <c r="J400" s="21" t="s">
        <v>3350</v>
      </c>
      <c r="K400" s="5814" t="s">
        <v>9421</v>
      </c>
    </row>
    <row r="401" spans="1:11">
      <c r="A401" s="21" t="s">
        <v>2135</v>
      </c>
      <c r="B401" s="21" t="s">
        <v>9422</v>
      </c>
      <c r="C401" s="21" t="s">
        <v>22</v>
      </c>
      <c r="D401" s="21" t="s">
        <v>944</v>
      </c>
      <c r="E401" s="21" t="s">
        <v>61</v>
      </c>
      <c r="F401" s="5812">
        <v>1</v>
      </c>
      <c r="G401" s="5813">
        <v>0.15347222222222223</v>
      </c>
      <c r="H401" s="21" t="s">
        <v>10</v>
      </c>
      <c r="I401" s="21" t="s">
        <v>23</v>
      </c>
      <c r="J401" s="21" t="s">
        <v>3284</v>
      </c>
      <c r="K401" s="5814" t="s">
        <v>9423</v>
      </c>
    </row>
    <row r="402" spans="1:11">
      <c r="A402" s="21" t="s">
        <v>2216</v>
      </c>
      <c r="B402" s="21" t="s">
        <v>9424</v>
      </c>
      <c r="C402" s="21" t="s">
        <v>22</v>
      </c>
      <c r="D402" s="21" t="s">
        <v>944</v>
      </c>
      <c r="E402" s="21" t="s">
        <v>61</v>
      </c>
      <c r="F402" s="5812">
        <v>1</v>
      </c>
      <c r="G402" s="5813">
        <v>0.15347222222222223</v>
      </c>
      <c r="H402" s="21" t="s">
        <v>10</v>
      </c>
      <c r="I402" s="21" t="s">
        <v>4853</v>
      </c>
      <c r="J402" s="21" t="s">
        <v>67</v>
      </c>
      <c r="K402" s="5814" t="s">
        <v>9425</v>
      </c>
    </row>
    <row r="403" spans="1:11">
      <c r="A403" s="21" t="s">
        <v>3783</v>
      </c>
      <c r="B403" s="21" t="s">
        <v>9426</v>
      </c>
      <c r="C403" s="21" t="s">
        <v>8</v>
      </c>
      <c r="D403" s="21" t="s">
        <v>944</v>
      </c>
      <c r="E403" s="21" t="s">
        <v>61</v>
      </c>
      <c r="F403" s="5812">
        <v>1</v>
      </c>
      <c r="G403" s="5813">
        <v>0.15347222222222223</v>
      </c>
      <c r="H403" s="21" t="s">
        <v>10</v>
      </c>
      <c r="I403" s="21" t="s">
        <v>226</v>
      </c>
      <c r="J403" s="21" t="s">
        <v>6891</v>
      </c>
      <c r="K403" s="5814" t="s">
        <v>9427</v>
      </c>
    </row>
    <row r="404" spans="1:11">
      <c r="A404" s="21" t="s">
        <v>2729</v>
      </c>
      <c r="B404" s="21" t="s">
        <v>9428</v>
      </c>
      <c r="C404" s="21" t="s">
        <v>22</v>
      </c>
      <c r="D404" s="21" t="s">
        <v>944</v>
      </c>
      <c r="E404" s="21" t="s">
        <v>61</v>
      </c>
      <c r="F404" s="5812">
        <v>1</v>
      </c>
      <c r="G404" s="5813">
        <v>0.16527777777777777</v>
      </c>
      <c r="H404" s="21" t="s">
        <v>10</v>
      </c>
      <c r="I404" s="21" t="s">
        <v>47</v>
      </c>
      <c r="J404" s="21" t="s">
        <v>67</v>
      </c>
      <c r="K404" s="5814" t="s">
        <v>9429</v>
      </c>
    </row>
    <row r="405" spans="1:11">
      <c r="A405" s="21" t="s">
        <v>3256</v>
      </c>
      <c r="B405" s="21" t="s">
        <v>9430</v>
      </c>
      <c r="C405" s="21" t="s">
        <v>22</v>
      </c>
      <c r="D405" s="21" t="s">
        <v>944</v>
      </c>
      <c r="E405" s="21" t="s">
        <v>61</v>
      </c>
      <c r="F405" s="5812">
        <v>1</v>
      </c>
      <c r="G405" s="5813">
        <v>0.16597222222222222</v>
      </c>
      <c r="H405" s="21" t="s">
        <v>10</v>
      </c>
      <c r="I405" s="21" t="s">
        <v>654</v>
      </c>
      <c r="J405" s="21" t="s">
        <v>928</v>
      </c>
      <c r="K405" s="5814" t="s">
        <v>9431</v>
      </c>
    </row>
    <row r="406" spans="1:11">
      <c r="A406" s="21" t="s">
        <v>2918</v>
      </c>
      <c r="B406" s="21" t="s">
        <v>9432</v>
      </c>
      <c r="C406" s="21" t="s">
        <v>8</v>
      </c>
      <c r="D406" s="21" t="s">
        <v>944</v>
      </c>
      <c r="E406" s="21" t="s">
        <v>61</v>
      </c>
      <c r="F406" s="5812">
        <v>1</v>
      </c>
      <c r="G406" s="5813">
        <v>0.1701388888888889</v>
      </c>
      <c r="H406" s="21" t="s">
        <v>10</v>
      </c>
      <c r="I406" s="21" t="s">
        <v>39</v>
      </c>
      <c r="J406" s="21" t="s">
        <v>67</v>
      </c>
      <c r="K406" s="5814" t="s">
        <v>9433</v>
      </c>
    </row>
    <row r="407" spans="1:11">
      <c r="A407" s="21" t="s">
        <v>4338</v>
      </c>
      <c r="B407" s="21" t="s">
        <v>9434</v>
      </c>
      <c r="C407" s="21" t="s">
        <v>22</v>
      </c>
      <c r="D407" s="21" t="s">
        <v>944</v>
      </c>
      <c r="E407" s="21" t="s">
        <v>61</v>
      </c>
      <c r="F407" s="5812">
        <v>1</v>
      </c>
      <c r="G407" s="5813">
        <v>0.17499999999999999</v>
      </c>
      <c r="H407" s="21" t="s">
        <v>10</v>
      </c>
      <c r="I407" s="21" t="s">
        <v>194</v>
      </c>
      <c r="J407" s="21" t="s">
        <v>1327</v>
      </c>
      <c r="K407" s="5814" t="s">
        <v>9435</v>
      </c>
    </row>
    <row r="408" spans="1:11">
      <c r="A408" s="21" t="s">
        <v>2383</v>
      </c>
      <c r="B408" s="21" t="s">
        <v>9436</v>
      </c>
      <c r="C408" s="21" t="s">
        <v>22</v>
      </c>
      <c r="D408" s="21" t="s">
        <v>944</v>
      </c>
      <c r="E408" s="21" t="s">
        <v>61</v>
      </c>
      <c r="F408" s="5812">
        <v>1</v>
      </c>
      <c r="G408" s="5813">
        <v>0.17847222222222223</v>
      </c>
      <c r="H408" s="21" t="s">
        <v>10</v>
      </c>
      <c r="I408" s="21" t="s">
        <v>73</v>
      </c>
      <c r="J408" s="21" t="s">
        <v>67</v>
      </c>
      <c r="K408" s="5814" t="s">
        <v>9437</v>
      </c>
    </row>
    <row r="409" spans="1:11">
      <c r="A409" s="21" t="s">
        <v>2547</v>
      </c>
      <c r="B409" s="21" t="s">
        <v>9438</v>
      </c>
      <c r="C409" s="21" t="s">
        <v>22</v>
      </c>
      <c r="D409" s="21" t="s">
        <v>944</v>
      </c>
      <c r="E409" s="21" t="s">
        <v>61</v>
      </c>
      <c r="F409" s="5812">
        <v>1</v>
      </c>
      <c r="G409" s="5813">
        <v>0.17847222222222223</v>
      </c>
      <c r="H409" s="21" t="s">
        <v>10</v>
      </c>
      <c r="I409" s="21" t="s">
        <v>226</v>
      </c>
      <c r="J409" s="21" t="s">
        <v>67</v>
      </c>
      <c r="K409" s="5814" t="s">
        <v>9439</v>
      </c>
    </row>
    <row r="410" spans="1:11">
      <c r="A410" s="21" t="s">
        <v>2663</v>
      </c>
      <c r="B410" s="21" t="s">
        <v>9440</v>
      </c>
      <c r="C410" s="21" t="s">
        <v>22</v>
      </c>
      <c r="D410" s="21" t="s">
        <v>944</v>
      </c>
      <c r="E410" s="21" t="s">
        <v>61</v>
      </c>
      <c r="F410" s="5812">
        <v>1</v>
      </c>
      <c r="G410" s="5813">
        <v>0.18402777777777779</v>
      </c>
      <c r="H410" s="21" t="s">
        <v>10</v>
      </c>
      <c r="I410" s="21" t="s">
        <v>2665</v>
      </c>
      <c r="J410" s="21" t="s">
        <v>3313</v>
      </c>
      <c r="K410" s="5814" t="s">
        <v>9441</v>
      </c>
    </row>
    <row r="411" spans="1:11">
      <c r="A411" s="21" t="s">
        <v>3217</v>
      </c>
      <c r="B411" s="21" t="s">
        <v>9442</v>
      </c>
      <c r="C411" s="21" t="s">
        <v>8</v>
      </c>
      <c r="D411" s="21" t="s">
        <v>944</v>
      </c>
      <c r="E411" s="21" t="s">
        <v>61</v>
      </c>
      <c r="F411" s="5812">
        <v>1</v>
      </c>
      <c r="G411" s="5813">
        <v>0.18611111111111112</v>
      </c>
      <c r="H411" s="21" t="s">
        <v>10</v>
      </c>
      <c r="I411" s="21" t="s">
        <v>788</v>
      </c>
      <c r="J411" s="21" t="s">
        <v>67</v>
      </c>
      <c r="K411" s="5814" t="s">
        <v>9443</v>
      </c>
    </row>
    <row r="412" spans="1:11">
      <c r="A412" s="21" t="s">
        <v>2724</v>
      </c>
      <c r="B412" s="21" t="s">
        <v>9444</v>
      </c>
      <c r="C412" s="21" t="s">
        <v>22</v>
      </c>
      <c r="D412" s="21" t="s">
        <v>944</v>
      </c>
      <c r="E412" s="21" t="s">
        <v>61</v>
      </c>
      <c r="F412" s="5812">
        <v>1</v>
      </c>
      <c r="G412" s="5813">
        <v>0.18611111111111112</v>
      </c>
      <c r="H412" s="21" t="s">
        <v>10</v>
      </c>
      <c r="I412" s="21" t="s">
        <v>55</v>
      </c>
      <c r="J412" s="21" t="s">
        <v>67</v>
      </c>
      <c r="K412" s="5814" t="s">
        <v>9445</v>
      </c>
    </row>
    <row r="413" spans="1:11">
      <c r="A413" s="21" t="s">
        <v>2761</v>
      </c>
      <c r="B413" s="21" t="s">
        <v>9446</v>
      </c>
      <c r="C413" s="21" t="s">
        <v>8</v>
      </c>
      <c r="D413" s="21" t="s">
        <v>944</v>
      </c>
      <c r="E413" s="21" t="s">
        <v>61</v>
      </c>
      <c r="F413" s="5812">
        <v>1</v>
      </c>
      <c r="G413" s="5813">
        <v>0.1875</v>
      </c>
      <c r="H413" s="21" t="s">
        <v>10</v>
      </c>
      <c r="I413" s="21" t="s">
        <v>233</v>
      </c>
      <c r="J413" s="21" t="s">
        <v>67</v>
      </c>
      <c r="K413" s="5814" t="s">
        <v>9447</v>
      </c>
    </row>
    <row r="414" spans="1:11">
      <c r="A414" s="21" t="s">
        <v>2932</v>
      </c>
      <c r="B414" s="21" t="s">
        <v>9448</v>
      </c>
      <c r="C414" s="21" t="s">
        <v>22</v>
      </c>
      <c r="D414" s="21" t="s">
        <v>944</v>
      </c>
      <c r="E414" s="21" t="s">
        <v>61</v>
      </c>
      <c r="F414" s="5812">
        <v>1</v>
      </c>
      <c r="G414" s="5813">
        <v>0.1875</v>
      </c>
      <c r="H414" s="21" t="s">
        <v>10</v>
      </c>
      <c r="I414" s="21" t="s">
        <v>226</v>
      </c>
      <c r="J414" s="21" t="s">
        <v>3313</v>
      </c>
      <c r="K414" s="5814" t="s">
        <v>9449</v>
      </c>
    </row>
    <row r="415" spans="1:11">
      <c r="A415" s="21" t="s">
        <v>3664</v>
      </c>
      <c r="B415" s="21" t="s">
        <v>9450</v>
      </c>
      <c r="C415" s="21" t="s">
        <v>8</v>
      </c>
      <c r="D415" s="21" t="s">
        <v>944</v>
      </c>
      <c r="E415" s="21" t="s">
        <v>61</v>
      </c>
      <c r="F415" s="5812">
        <v>1</v>
      </c>
      <c r="G415" s="5813">
        <v>0.19375000000000001</v>
      </c>
      <c r="H415" s="21" t="s">
        <v>10</v>
      </c>
      <c r="I415" s="21" t="s">
        <v>47</v>
      </c>
      <c r="J415" s="21" t="s">
        <v>67</v>
      </c>
      <c r="K415" s="5814" t="s">
        <v>9451</v>
      </c>
    </row>
    <row r="416" spans="1:11">
      <c r="A416" s="21" t="s">
        <v>3217</v>
      </c>
      <c r="B416" s="21" t="s">
        <v>9452</v>
      </c>
      <c r="C416" s="21" t="s">
        <v>8</v>
      </c>
      <c r="D416" s="21" t="s">
        <v>944</v>
      </c>
      <c r="E416" s="21" t="s">
        <v>61</v>
      </c>
      <c r="F416" s="5812">
        <v>1</v>
      </c>
      <c r="G416" s="5813">
        <v>0.19791666666666666</v>
      </c>
      <c r="H416" s="21" t="s">
        <v>10</v>
      </c>
      <c r="I416" s="21" t="s">
        <v>788</v>
      </c>
      <c r="J416" s="21" t="s">
        <v>9453</v>
      </c>
      <c r="K416" s="5814" t="s">
        <v>9454</v>
      </c>
    </row>
    <row r="417" spans="1:11">
      <c r="A417" s="21" t="s">
        <v>177</v>
      </c>
      <c r="B417" s="21" t="s">
        <v>1054</v>
      </c>
      <c r="C417" s="21" t="s">
        <v>8</v>
      </c>
      <c r="D417" s="21" t="s">
        <v>944</v>
      </c>
      <c r="E417" s="21" t="s">
        <v>61</v>
      </c>
      <c r="F417" s="5812">
        <v>1</v>
      </c>
      <c r="G417" s="5813">
        <v>0.2</v>
      </c>
      <c r="H417" s="21" t="s">
        <v>10</v>
      </c>
      <c r="I417" s="21" t="s">
        <v>39</v>
      </c>
      <c r="J417" s="21" t="s">
        <v>836</v>
      </c>
      <c r="K417" s="5814" t="s">
        <v>1055</v>
      </c>
    </row>
    <row r="418" spans="1:11">
      <c r="A418" s="21" t="s">
        <v>2935</v>
      </c>
      <c r="B418" s="21" t="s">
        <v>9455</v>
      </c>
      <c r="C418" s="21" t="s">
        <v>22</v>
      </c>
      <c r="D418" s="21" t="s">
        <v>944</v>
      </c>
      <c r="E418" s="21" t="s">
        <v>61</v>
      </c>
      <c r="F418" s="5812">
        <v>1</v>
      </c>
      <c r="G418" s="5813">
        <v>0.2048611111111111</v>
      </c>
      <c r="H418" s="21" t="s">
        <v>10</v>
      </c>
      <c r="I418" s="21" t="s">
        <v>226</v>
      </c>
      <c r="J418" s="21" t="s">
        <v>9456</v>
      </c>
      <c r="K418" s="5814" t="s">
        <v>9457</v>
      </c>
    </row>
    <row r="419" spans="1:11">
      <c r="A419" s="21" t="s">
        <v>2679</v>
      </c>
      <c r="B419" s="21" t="s">
        <v>9458</v>
      </c>
      <c r="C419" s="21" t="s">
        <v>22</v>
      </c>
      <c r="D419" s="21" t="s">
        <v>944</v>
      </c>
      <c r="E419" s="21" t="s">
        <v>61</v>
      </c>
      <c r="F419" s="5812">
        <v>2</v>
      </c>
      <c r="G419" s="5813">
        <v>2.9166666666666667E-2</v>
      </c>
      <c r="H419" s="21" t="s">
        <v>10</v>
      </c>
      <c r="I419" s="21" t="s">
        <v>47</v>
      </c>
      <c r="J419" s="21" t="s">
        <v>505</v>
      </c>
      <c r="K419" s="5814" t="s">
        <v>9459</v>
      </c>
    </row>
    <row r="420" spans="1:11">
      <c r="A420" s="21" t="s">
        <v>3338</v>
      </c>
      <c r="B420" s="21" t="s">
        <v>9460</v>
      </c>
      <c r="C420" s="21" t="s">
        <v>22</v>
      </c>
      <c r="D420" s="21" t="s">
        <v>944</v>
      </c>
      <c r="E420" s="21" t="s">
        <v>61</v>
      </c>
      <c r="F420" s="5812">
        <v>2</v>
      </c>
      <c r="G420" s="5813">
        <v>3.4027777777777775E-2</v>
      </c>
      <c r="H420" s="21" t="s">
        <v>10</v>
      </c>
      <c r="I420" s="21" t="s">
        <v>23</v>
      </c>
      <c r="J420" s="21" t="s">
        <v>324</v>
      </c>
      <c r="K420" s="5814" t="s">
        <v>9461</v>
      </c>
    </row>
    <row r="421" spans="1:11">
      <c r="A421" s="21" t="s">
        <v>2998</v>
      </c>
      <c r="B421" s="21" t="s">
        <v>9462</v>
      </c>
      <c r="C421" s="21" t="s">
        <v>8</v>
      </c>
      <c r="D421" s="21" t="s">
        <v>944</v>
      </c>
      <c r="E421" s="21" t="s">
        <v>61</v>
      </c>
      <c r="F421" s="5812">
        <v>2</v>
      </c>
      <c r="G421" s="5813">
        <v>4.6527777777777779E-2</v>
      </c>
      <c r="H421" s="21" t="s">
        <v>10</v>
      </c>
      <c r="I421" s="21" t="s">
        <v>2176</v>
      </c>
      <c r="J421" s="21" t="s">
        <v>1327</v>
      </c>
      <c r="K421" s="5814" t="s">
        <v>9463</v>
      </c>
    </row>
    <row r="422" spans="1:11">
      <c r="A422" s="21" t="s">
        <v>3387</v>
      </c>
      <c r="B422" s="21" t="s">
        <v>9464</v>
      </c>
      <c r="C422" s="21" t="s">
        <v>22</v>
      </c>
      <c r="D422" s="21" t="s">
        <v>944</v>
      </c>
      <c r="E422" s="21" t="s">
        <v>61</v>
      </c>
      <c r="F422" s="5812">
        <v>2</v>
      </c>
      <c r="G422" s="5813">
        <v>0.05</v>
      </c>
      <c r="H422" s="21" t="s">
        <v>10</v>
      </c>
      <c r="I422" s="21" t="s">
        <v>55</v>
      </c>
      <c r="J422" s="21" t="s">
        <v>782</v>
      </c>
      <c r="K422" s="5814" t="s">
        <v>9465</v>
      </c>
    </row>
    <row r="423" spans="1:11">
      <c r="A423" s="21" t="s">
        <v>3243</v>
      </c>
      <c r="B423" s="21" t="s">
        <v>9466</v>
      </c>
      <c r="C423" s="21" t="s">
        <v>8</v>
      </c>
      <c r="D423" s="21" t="s">
        <v>944</v>
      </c>
      <c r="E423" s="21" t="s">
        <v>61</v>
      </c>
      <c r="F423" s="5812">
        <v>2</v>
      </c>
      <c r="G423" s="5813">
        <v>6.1111111111111109E-2</v>
      </c>
      <c r="H423" s="21" t="s">
        <v>10</v>
      </c>
      <c r="I423" s="21" t="s">
        <v>39</v>
      </c>
      <c r="J423" s="21" t="s">
        <v>836</v>
      </c>
      <c r="K423" s="5814" t="s">
        <v>9467</v>
      </c>
    </row>
    <row r="424" spans="1:11">
      <c r="A424" s="21" t="s">
        <v>3559</v>
      </c>
      <c r="B424" s="21" t="s">
        <v>9468</v>
      </c>
      <c r="C424" s="21" t="s">
        <v>22</v>
      </c>
      <c r="D424" s="21" t="s">
        <v>944</v>
      </c>
      <c r="E424" s="21" t="s">
        <v>61</v>
      </c>
      <c r="F424" s="5812">
        <v>2</v>
      </c>
      <c r="G424" s="5813">
        <v>6.1805555555555558E-2</v>
      </c>
      <c r="H424" s="21" t="s">
        <v>10</v>
      </c>
      <c r="I424" s="21" t="s">
        <v>39</v>
      </c>
      <c r="J424" s="21" t="s">
        <v>928</v>
      </c>
      <c r="K424" s="5814" t="s">
        <v>9469</v>
      </c>
    </row>
    <row r="425" spans="1:11">
      <c r="A425" s="21" t="s">
        <v>3412</v>
      </c>
      <c r="B425" s="21" t="s">
        <v>9470</v>
      </c>
      <c r="C425" s="21" t="s">
        <v>8</v>
      </c>
      <c r="D425" s="21" t="s">
        <v>944</v>
      </c>
      <c r="E425" s="21" t="s">
        <v>61</v>
      </c>
      <c r="F425" s="5812">
        <v>2</v>
      </c>
      <c r="G425" s="5813">
        <v>7.013888888888889E-2</v>
      </c>
      <c r="H425" s="21" t="s">
        <v>10</v>
      </c>
      <c r="I425" s="21" t="s">
        <v>2313</v>
      </c>
      <c r="J425" s="21" t="s">
        <v>505</v>
      </c>
      <c r="K425" s="5814" t="s">
        <v>9471</v>
      </c>
    </row>
    <row r="426" spans="1:11">
      <c r="A426" s="21" t="s">
        <v>2079</v>
      </c>
      <c r="B426" s="21" t="s">
        <v>9472</v>
      </c>
      <c r="C426" s="21" t="s">
        <v>22</v>
      </c>
      <c r="D426" s="21" t="s">
        <v>944</v>
      </c>
      <c r="E426" s="21" t="s">
        <v>61</v>
      </c>
      <c r="F426" s="5812">
        <v>2</v>
      </c>
      <c r="G426" s="5813">
        <v>7.5694444444444439E-2</v>
      </c>
      <c r="H426" s="21" t="s">
        <v>10</v>
      </c>
      <c r="I426" s="21" t="s">
        <v>39</v>
      </c>
      <c r="J426" s="21" t="s">
        <v>67</v>
      </c>
      <c r="K426" s="5814" t="s">
        <v>9473</v>
      </c>
    </row>
    <row r="427" spans="1:11">
      <c r="A427" s="21" t="s">
        <v>3505</v>
      </c>
      <c r="B427" s="21" t="s">
        <v>9474</v>
      </c>
      <c r="C427" s="21" t="s">
        <v>22</v>
      </c>
      <c r="D427" s="21" t="s">
        <v>944</v>
      </c>
      <c r="E427" s="21" t="s">
        <v>61</v>
      </c>
      <c r="F427" s="5812">
        <v>2</v>
      </c>
      <c r="G427" s="5813">
        <v>7.8472222222222221E-2</v>
      </c>
      <c r="H427" s="21" t="s">
        <v>10</v>
      </c>
      <c r="I427" s="21" t="s">
        <v>11</v>
      </c>
      <c r="J427" s="21" t="s">
        <v>3313</v>
      </c>
      <c r="K427" s="5814" t="s">
        <v>9475</v>
      </c>
    </row>
    <row r="428" spans="1:11">
      <c r="A428" s="21" t="s">
        <v>3130</v>
      </c>
      <c r="B428" s="21" t="s">
        <v>9476</v>
      </c>
      <c r="C428" s="21" t="s">
        <v>8</v>
      </c>
      <c r="D428" s="21" t="s">
        <v>944</v>
      </c>
      <c r="E428" s="21" t="s">
        <v>61</v>
      </c>
      <c r="F428" s="5812">
        <v>2</v>
      </c>
      <c r="G428" s="5813">
        <v>8.1944444444444445E-2</v>
      </c>
      <c r="H428" s="21" t="s">
        <v>10</v>
      </c>
      <c r="I428" s="21" t="s">
        <v>263</v>
      </c>
      <c r="J428" s="21" t="s">
        <v>67</v>
      </c>
      <c r="K428" s="5814" t="s">
        <v>9477</v>
      </c>
    </row>
    <row r="429" spans="1:11">
      <c r="A429" s="21" t="s">
        <v>6</v>
      </c>
      <c r="B429" s="21" t="s">
        <v>943</v>
      </c>
      <c r="C429" s="21" t="s">
        <v>8</v>
      </c>
      <c r="D429" s="21" t="s">
        <v>944</v>
      </c>
      <c r="E429" s="21" t="s">
        <v>61</v>
      </c>
      <c r="F429" s="5812">
        <v>2</v>
      </c>
      <c r="G429" s="5813">
        <v>8.6805555555555552E-2</v>
      </c>
      <c r="H429" s="21" t="s">
        <v>10</v>
      </c>
      <c r="I429" s="21" t="s">
        <v>39</v>
      </c>
      <c r="J429" s="21" t="s">
        <v>62</v>
      </c>
      <c r="K429" s="5814" t="s">
        <v>9478</v>
      </c>
    </row>
    <row r="430" spans="1:11">
      <c r="A430" s="21" t="s">
        <v>2119</v>
      </c>
      <c r="B430" s="21" t="s">
        <v>9479</v>
      </c>
      <c r="C430" s="21" t="s">
        <v>22</v>
      </c>
      <c r="D430" s="21" t="s">
        <v>944</v>
      </c>
      <c r="E430" s="21" t="s">
        <v>61</v>
      </c>
      <c r="F430" s="5812">
        <v>2</v>
      </c>
      <c r="G430" s="5813">
        <v>8.819444444444445E-2</v>
      </c>
      <c r="H430" s="21" t="s">
        <v>10</v>
      </c>
      <c r="I430" s="21" t="s">
        <v>39</v>
      </c>
      <c r="J430" s="21" t="s">
        <v>67</v>
      </c>
      <c r="K430" s="5814" t="s">
        <v>9480</v>
      </c>
    </row>
    <row r="431" spans="1:11">
      <c r="A431" s="21" t="s">
        <v>3082</v>
      </c>
      <c r="B431" s="21" t="s">
        <v>9481</v>
      </c>
      <c r="C431" s="21" t="s">
        <v>8</v>
      </c>
      <c r="D431" s="21" t="s">
        <v>944</v>
      </c>
      <c r="E431" s="21" t="s">
        <v>61</v>
      </c>
      <c r="F431" s="5812">
        <v>2</v>
      </c>
      <c r="G431" s="5813">
        <v>9.0972222222222218E-2</v>
      </c>
      <c r="H431" s="21" t="s">
        <v>10</v>
      </c>
      <c r="I431" s="21" t="s">
        <v>788</v>
      </c>
      <c r="J431" s="21" t="s">
        <v>505</v>
      </c>
      <c r="K431" s="5814" t="s">
        <v>9482</v>
      </c>
    </row>
    <row r="432" spans="1:11">
      <c r="A432" s="21" t="s">
        <v>2079</v>
      </c>
      <c r="B432" s="21" t="s">
        <v>9483</v>
      </c>
      <c r="C432" s="21" t="s">
        <v>8</v>
      </c>
      <c r="D432" s="21" t="s">
        <v>944</v>
      </c>
      <c r="E432" s="21" t="s">
        <v>61</v>
      </c>
      <c r="F432" s="5812">
        <v>2</v>
      </c>
      <c r="G432" s="5813">
        <v>9.375E-2</v>
      </c>
      <c r="H432" s="21" t="s">
        <v>2081</v>
      </c>
      <c r="I432" s="21" t="s">
        <v>55</v>
      </c>
      <c r="J432" s="21" t="s">
        <v>67</v>
      </c>
      <c r="K432" s="5814" t="s">
        <v>9484</v>
      </c>
    </row>
    <row r="433" spans="1:11">
      <c r="A433" s="21" t="s">
        <v>3439</v>
      </c>
      <c r="B433" s="21" t="s">
        <v>9485</v>
      </c>
      <c r="C433" s="21" t="s">
        <v>22</v>
      </c>
      <c r="D433" s="21" t="s">
        <v>944</v>
      </c>
      <c r="E433" s="21" t="s">
        <v>61</v>
      </c>
      <c r="F433" s="5812">
        <v>2</v>
      </c>
      <c r="G433" s="5813">
        <v>0.10486111111111111</v>
      </c>
      <c r="H433" s="21" t="s">
        <v>54</v>
      </c>
      <c r="I433" s="21" t="s">
        <v>11</v>
      </c>
      <c r="J433" s="21" t="s">
        <v>67</v>
      </c>
      <c r="K433" s="5814" t="s">
        <v>9486</v>
      </c>
    </row>
    <row r="434" spans="1:11">
      <c r="A434" s="21" t="s">
        <v>4597</v>
      </c>
      <c r="B434" s="21" t="s">
        <v>9487</v>
      </c>
      <c r="C434" s="21" t="s">
        <v>8</v>
      </c>
      <c r="D434" s="21" t="s">
        <v>944</v>
      </c>
      <c r="E434" s="21" t="s">
        <v>61</v>
      </c>
      <c r="F434" s="5812">
        <v>2</v>
      </c>
      <c r="G434" s="5813">
        <v>0.1125</v>
      </c>
      <c r="H434" s="21" t="s">
        <v>10</v>
      </c>
      <c r="I434" s="21" t="s">
        <v>400</v>
      </c>
      <c r="J434" s="21" t="s">
        <v>4808</v>
      </c>
      <c r="K434" s="5814" t="s">
        <v>9488</v>
      </c>
    </row>
    <row r="435" spans="1:11">
      <c r="A435" s="21" t="s">
        <v>3243</v>
      </c>
      <c r="B435" s="21" t="s">
        <v>9489</v>
      </c>
      <c r="C435" s="21" t="s">
        <v>8</v>
      </c>
      <c r="D435" s="21" t="s">
        <v>944</v>
      </c>
      <c r="E435" s="21" t="s">
        <v>61</v>
      </c>
      <c r="F435" s="5812">
        <v>2</v>
      </c>
      <c r="G435" s="5813">
        <v>0.11736111111111111</v>
      </c>
      <c r="H435" s="21" t="s">
        <v>10</v>
      </c>
      <c r="I435" s="21" t="s">
        <v>96</v>
      </c>
      <c r="J435" s="21" t="s">
        <v>67</v>
      </c>
      <c r="K435" s="5814" t="s">
        <v>9490</v>
      </c>
    </row>
    <row r="436" spans="1:11">
      <c r="A436" s="21" t="s">
        <v>2088</v>
      </c>
      <c r="B436" s="21" t="s">
        <v>9491</v>
      </c>
      <c r="C436" s="21" t="s">
        <v>22</v>
      </c>
      <c r="D436" s="21" t="s">
        <v>944</v>
      </c>
      <c r="E436" s="21" t="s">
        <v>61</v>
      </c>
      <c r="F436" s="5812">
        <v>2</v>
      </c>
      <c r="G436" s="5813">
        <v>0.125</v>
      </c>
      <c r="H436" s="21" t="s">
        <v>10</v>
      </c>
      <c r="I436" s="21" t="s">
        <v>23</v>
      </c>
      <c r="J436" s="21" t="s">
        <v>3456</v>
      </c>
      <c r="K436" s="5814" t="s">
        <v>9492</v>
      </c>
    </row>
    <row r="437" spans="1:11">
      <c r="A437" s="21" t="s">
        <v>3338</v>
      </c>
      <c r="B437" s="21" t="s">
        <v>9493</v>
      </c>
      <c r="C437" s="21" t="s">
        <v>22</v>
      </c>
      <c r="D437" s="21" t="s">
        <v>944</v>
      </c>
      <c r="E437" s="21" t="s">
        <v>61</v>
      </c>
      <c r="F437" s="5812">
        <v>2</v>
      </c>
      <c r="G437" s="5813">
        <v>0.12777777777777777</v>
      </c>
      <c r="H437" s="21" t="s">
        <v>10</v>
      </c>
      <c r="I437" s="21" t="s">
        <v>23</v>
      </c>
      <c r="J437" s="21" t="s">
        <v>67</v>
      </c>
      <c r="K437" s="5814" t="s">
        <v>9494</v>
      </c>
    </row>
    <row r="438" spans="1:11">
      <c r="A438" s="21" t="s">
        <v>166</v>
      </c>
      <c r="B438" s="21" t="s">
        <v>1042</v>
      </c>
      <c r="C438" s="21" t="s">
        <v>8</v>
      </c>
      <c r="D438" s="21" t="s">
        <v>944</v>
      </c>
      <c r="E438" s="21" t="s">
        <v>61</v>
      </c>
      <c r="F438" s="5812">
        <v>2</v>
      </c>
      <c r="G438" s="5813">
        <v>0.14097222222222222</v>
      </c>
      <c r="H438" s="21" t="s">
        <v>10</v>
      </c>
      <c r="I438" s="21" t="s">
        <v>96</v>
      </c>
      <c r="J438" s="21" t="s">
        <v>67</v>
      </c>
      <c r="K438" s="5814" t="s">
        <v>1043</v>
      </c>
    </row>
    <row r="439" spans="1:11">
      <c r="A439" s="21" t="s">
        <v>103</v>
      </c>
      <c r="B439" s="21" t="s">
        <v>986</v>
      </c>
      <c r="C439" s="21" t="s">
        <v>8</v>
      </c>
      <c r="D439" s="21" t="s">
        <v>944</v>
      </c>
      <c r="E439" s="21" t="s">
        <v>61</v>
      </c>
      <c r="F439" s="5812">
        <v>2</v>
      </c>
      <c r="G439" s="5813">
        <v>0.15138888888888888</v>
      </c>
      <c r="H439" s="21" t="s">
        <v>10</v>
      </c>
      <c r="I439" s="21" t="s">
        <v>23</v>
      </c>
      <c r="J439" s="21" t="s">
        <v>67</v>
      </c>
      <c r="K439" s="5814" t="s">
        <v>987</v>
      </c>
    </row>
    <row r="440" spans="1:11">
      <c r="A440" s="21" t="s">
        <v>2992</v>
      </c>
      <c r="B440" s="21" t="s">
        <v>9495</v>
      </c>
      <c r="C440" s="21" t="s">
        <v>8</v>
      </c>
      <c r="D440" s="21" t="s">
        <v>944</v>
      </c>
      <c r="E440" s="21" t="s">
        <v>61</v>
      </c>
      <c r="F440" s="5812">
        <v>2</v>
      </c>
      <c r="G440" s="5813">
        <v>0.15138888888888888</v>
      </c>
      <c r="H440" s="21" t="s">
        <v>10</v>
      </c>
      <c r="I440" s="21" t="s">
        <v>4146</v>
      </c>
      <c r="J440" s="21" t="s">
        <v>67</v>
      </c>
      <c r="K440" s="5814" t="s">
        <v>9496</v>
      </c>
    </row>
    <row r="441" spans="1:11">
      <c r="A441" s="21" t="s">
        <v>2229</v>
      </c>
      <c r="B441" s="21" t="s">
        <v>9497</v>
      </c>
      <c r="C441" s="21" t="s">
        <v>8</v>
      </c>
      <c r="D441" s="21" t="s">
        <v>944</v>
      </c>
      <c r="E441" s="21" t="s">
        <v>61</v>
      </c>
      <c r="F441" s="5812">
        <v>2</v>
      </c>
      <c r="G441" s="5813">
        <v>0.15902777777777777</v>
      </c>
      <c r="H441" s="21" t="s">
        <v>10</v>
      </c>
      <c r="I441" s="21" t="s">
        <v>2297</v>
      </c>
      <c r="J441" s="21" t="s">
        <v>67</v>
      </c>
      <c r="K441" s="5814" t="s">
        <v>9498</v>
      </c>
    </row>
    <row r="442" spans="1:11">
      <c r="A442" s="21" t="s">
        <v>207</v>
      </c>
      <c r="B442" s="21" t="s">
        <v>1067</v>
      </c>
      <c r="C442" s="21" t="s">
        <v>22</v>
      </c>
      <c r="D442" s="21" t="s">
        <v>944</v>
      </c>
      <c r="E442" s="21" t="s">
        <v>61</v>
      </c>
      <c r="F442" s="5812">
        <v>2</v>
      </c>
      <c r="G442" s="5813">
        <v>0.1736111111111111</v>
      </c>
      <c r="H442" s="21" t="s">
        <v>10</v>
      </c>
      <c r="I442" s="21" t="s">
        <v>73</v>
      </c>
      <c r="J442" s="21" t="s">
        <v>67</v>
      </c>
      <c r="K442" s="5814" t="s">
        <v>1068</v>
      </c>
    </row>
    <row r="443" spans="1:11">
      <c r="A443" s="21" t="s">
        <v>20</v>
      </c>
      <c r="B443" s="21" t="s">
        <v>1015</v>
      </c>
      <c r="C443" s="21" t="s">
        <v>8</v>
      </c>
      <c r="D443" s="21" t="s">
        <v>944</v>
      </c>
      <c r="E443" s="21" t="s">
        <v>61</v>
      </c>
      <c r="F443" s="5812">
        <v>2</v>
      </c>
      <c r="G443" s="5813">
        <v>0.18263888888888888</v>
      </c>
      <c r="H443" s="21" t="s">
        <v>10</v>
      </c>
      <c r="I443" s="21" t="s">
        <v>55</v>
      </c>
      <c r="J443" s="21" t="s">
        <v>67</v>
      </c>
      <c r="K443" s="5814" t="s">
        <v>1016</v>
      </c>
    </row>
    <row r="444" spans="1:11">
      <c r="A444" s="21" t="s">
        <v>2174</v>
      </c>
      <c r="B444" s="21" t="s">
        <v>9499</v>
      </c>
      <c r="C444" s="21" t="s">
        <v>8</v>
      </c>
      <c r="D444" s="21" t="s">
        <v>944</v>
      </c>
      <c r="E444" s="21" t="s">
        <v>61</v>
      </c>
      <c r="F444" s="5812">
        <v>2</v>
      </c>
      <c r="G444" s="5813">
        <v>0.18472222222222223</v>
      </c>
      <c r="H444" s="21" t="s">
        <v>10</v>
      </c>
      <c r="I444" s="21" t="s">
        <v>233</v>
      </c>
      <c r="J444" s="21" t="s">
        <v>62</v>
      </c>
      <c r="K444" s="5814" t="s">
        <v>9500</v>
      </c>
    </row>
    <row r="445" spans="1:11">
      <c r="A445" s="21" t="s">
        <v>2579</v>
      </c>
      <c r="B445" s="21" t="s">
        <v>9501</v>
      </c>
      <c r="C445" s="21" t="s">
        <v>22</v>
      </c>
      <c r="D445" s="21" t="s">
        <v>944</v>
      </c>
      <c r="E445" s="21" t="s">
        <v>61</v>
      </c>
      <c r="F445" s="5812">
        <v>2</v>
      </c>
      <c r="G445" s="5813">
        <v>0.19375000000000001</v>
      </c>
      <c r="H445" s="21" t="s">
        <v>10</v>
      </c>
      <c r="I445" s="21" t="s">
        <v>2269</v>
      </c>
      <c r="J445" s="21" t="s">
        <v>1327</v>
      </c>
      <c r="K445" s="5814" t="s">
        <v>9502</v>
      </c>
    </row>
    <row r="446" spans="1:11">
      <c r="A446" s="21" t="s">
        <v>3855</v>
      </c>
      <c r="B446" s="21" t="s">
        <v>9503</v>
      </c>
      <c r="C446" s="21" t="s">
        <v>22</v>
      </c>
      <c r="D446" s="21" t="s">
        <v>944</v>
      </c>
      <c r="E446" s="21" t="s">
        <v>61</v>
      </c>
      <c r="F446" s="5812">
        <v>2</v>
      </c>
      <c r="G446" s="5813">
        <v>0.19791666666666666</v>
      </c>
      <c r="H446" s="21" t="s">
        <v>10</v>
      </c>
      <c r="I446" s="21" t="s">
        <v>39</v>
      </c>
      <c r="J446" s="21" t="s">
        <v>67</v>
      </c>
      <c r="K446" s="5814" t="s">
        <v>9504</v>
      </c>
    </row>
    <row r="447" spans="1:11">
      <c r="A447" s="21" t="s">
        <v>4671</v>
      </c>
      <c r="B447" s="21" t="s">
        <v>9505</v>
      </c>
      <c r="C447" s="21" t="s">
        <v>22</v>
      </c>
      <c r="D447" s="21" t="s">
        <v>944</v>
      </c>
      <c r="E447" s="21" t="s">
        <v>61</v>
      </c>
      <c r="F447" s="5812">
        <v>2</v>
      </c>
      <c r="G447" s="5813">
        <v>0.20416666666666666</v>
      </c>
      <c r="H447" s="21" t="s">
        <v>10</v>
      </c>
      <c r="I447" s="21" t="s">
        <v>2660</v>
      </c>
      <c r="J447" s="21" t="s">
        <v>3313</v>
      </c>
      <c r="K447" s="5814" t="s">
        <v>9506</v>
      </c>
    </row>
    <row r="448" spans="1:11">
      <c r="A448" s="21" t="s">
        <v>3647</v>
      </c>
      <c r="B448" s="21" t="s">
        <v>9507</v>
      </c>
      <c r="C448" s="21" t="s">
        <v>8</v>
      </c>
      <c r="D448" s="21" t="s">
        <v>944</v>
      </c>
      <c r="E448" s="21" t="s">
        <v>61</v>
      </c>
      <c r="F448" s="5812">
        <v>2</v>
      </c>
      <c r="G448" s="5813">
        <v>0.2048611111111111</v>
      </c>
      <c r="H448" s="21" t="s">
        <v>10</v>
      </c>
      <c r="I448" s="21" t="s">
        <v>23</v>
      </c>
      <c r="J448" s="21" t="s">
        <v>67</v>
      </c>
      <c r="K448" s="5814" t="s">
        <v>9508</v>
      </c>
    </row>
    <row r="449" spans="1:11">
      <c r="A449" s="21" t="s">
        <v>65</v>
      </c>
      <c r="B449" s="21" t="s">
        <v>1072</v>
      </c>
      <c r="C449" s="21" t="s">
        <v>8</v>
      </c>
      <c r="D449" s="21" t="s">
        <v>944</v>
      </c>
      <c r="E449" s="21" t="s">
        <v>61</v>
      </c>
      <c r="F449" s="5812">
        <v>3</v>
      </c>
      <c r="G449" s="5813">
        <v>2.6388888888888889E-2</v>
      </c>
      <c r="H449" s="21" t="s">
        <v>54</v>
      </c>
      <c r="I449" s="21" t="s">
        <v>39</v>
      </c>
      <c r="J449" s="21" t="s">
        <v>67</v>
      </c>
      <c r="K449" s="5814" t="s">
        <v>1073</v>
      </c>
    </row>
    <row r="450" spans="1:11">
      <c r="A450" s="21" t="s">
        <v>2053</v>
      </c>
      <c r="B450" s="21" t="s">
        <v>9509</v>
      </c>
      <c r="C450" s="21" t="s">
        <v>22</v>
      </c>
      <c r="D450" s="21" t="s">
        <v>944</v>
      </c>
      <c r="E450" s="21" t="s">
        <v>61</v>
      </c>
      <c r="F450" s="5812">
        <v>3</v>
      </c>
      <c r="G450" s="5813">
        <v>6.8750000000000006E-2</v>
      </c>
      <c r="H450" s="21" t="s">
        <v>10</v>
      </c>
      <c r="I450" s="21" t="s">
        <v>89</v>
      </c>
      <c r="J450" s="21" t="s">
        <v>3313</v>
      </c>
      <c r="K450" s="5814" t="s">
        <v>9510</v>
      </c>
    </row>
    <row r="451" spans="1:11">
      <c r="A451" s="21" t="s">
        <v>5387</v>
      </c>
      <c r="B451" s="21" t="s">
        <v>9511</v>
      </c>
      <c r="C451" s="21" t="s">
        <v>22</v>
      </c>
      <c r="D451" s="21" t="s">
        <v>944</v>
      </c>
      <c r="E451" s="21" t="s">
        <v>61</v>
      </c>
      <c r="F451" s="5812">
        <v>3</v>
      </c>
      <c r="G451" s="5813">
        <v>7.5694444444444439E-2</v>
      </c>
      <c r="H451" s="21" t="s">
        <v>10</v>
      </c>
      <c r="I451" s="21" t="s">
        <v>55</v>
      </c>
      <c r="J451" s="21" t="s">
        <v>3313</v>
      </c>
      <c r="K451" s="5814" t="s">
        <v>9512</v>
      </c>
    </row>
    <row r="452" spans="1:11">
      <c r="A452" s="21" t="s">
        <v>2387</v>
      </c>
      <c r="B452" s="21" t="s">
        <v>9513</v>
      </c>
      <c r="C452" s="21" t="s">
        <v>8</v>
      </c>
      <c r="D452" s="21" t="s">
        <v>944</v>
      </c>
      <c r="E452" s="21" t="s">
        <v>61</v>
      </c>
      <c r="F452" s="5812">
        <v>3</v>
      </c>
      <c r="G452" s="5813">
        <v>7.8472222222222221E-2</v>
      </c>
      <c r="H452" s="21" t="s">
        <v>10</v>
      </c>
      <c r="I452" s="21" t="s">
        <v>55</v>
      </c>
      <c r="J452" s="21" t="s">
        <v>836</v>
      </c>
      <c r="K452" s="5814" t="s">
        <v>9514</v>
      </c>
    </row>
    <row r="453" spans="1:11">
      <c r="A453" s="21" t="s">
        <v>2491</v>
      </c>
      <c r="B453" s="21" t="s">
        <v>9515</v>
      </c>
      <c r="C453" s="21" t="s">
        <v>8</v>
      </c>
      <c r="D453" s="21" t="s">
        <v>944</v>
      </c>
      <c r="E453" s="21" t="s">
        <v>61</v>
      </c>
      <c r="F453" s="5812">
        <v>3</v>
      </c>
      <c r="G453" s="5813">
        <v>7.9166666666666663E-2</v>
      </c>
      <c r="H453" s="21" t="s">
        <v>10</v>
      </c>
      <c r="I453" s="21" t="s">
        <v>55</v>
      </c>
      <c r="J453" s="21" t="s">
        <v>67</v>
      </c>
      <c r="K453" s="5814" t="s">
        <v>9516</v>
      </c>
    </row>
    <row r="454" spans="1:11">
      <c r="A454" s="21" t="s">
        <v>2478</v>
      </c>
      <c r="B454" s="21" t="s">
        <v>9517</v>
      </c>
      <c r="C454" s="21" t="s">
        <v>8</v>
      </c>
      <c r="D454" s="21" t="s">
        <v>944</v>
      </c>
      <c r="E454" s="21" t="s">
        <v>61</v>
      </c>
      <c r="F454" s="5812">
        <v>3</v>
      </c>
      <c r="G454" s="5813">
        <v>9.2361111111111116E-2</v>
      </c>
      <c r="H454" s="21" t="s">
        <v>54</v>
      </c>
      <c r="I454" s="21" t="s">
        <v>55</v>
      </c>
      <c r="J454" s="21" t="s">
        <v>67</v>
      </c>
      <c r="K454" s="5814" t="s">
        <v>9518</v>
      </c>
    </row>
    <row r="455" spans="1:11">
      <c r="A455" s="21" t="s">
        <v>2979</v>
      </c>
      <c r="B455" s="21" t="s">
        <v>9519</v>
      </c>
      <c r="C455" s="21" t="s">
        <v>8</v>
      </c>
      <c r="D455" s="21" t="s">
        <v>944</v>
      </c>
      <c r="E455" s="21" t="s">
        <v>61</v>
      </c>
      <c r="F455" s="5812">
        <v>3</v>
      </c>
      <c r="G455" s="5813">
        <v>9.2361111111111116E-2</v>
      </c>
      <c r="H455" s="21" t="s">
        <v>10</v>
      </c>
      <c r="I455" s="21" t="s">
        <v>11</v>
      </c>
      <c r="J455" s="21" t="s">
        <v>67</v>
      </c>
      <c r="K455" s="5814" t="s">
        <v>9520</v>
      </c>
    </row>
    <row r="456" spans="1:11">
      <c r="A456" s="21" t="s">
        <v>3230</v>
      </c>
      <c r="B456" s="21" t="s">
        <v>9521</v>
      </c>
      <c r="C456" s="21" t="s">
        <v>22</v>
      </c>
      <c r="D456" s="21" t="s">
        <v>944</v>
      </c>
      <c r="E456" s="21" t="s">
        <v>61</v>
      </c>
      <c r="F456" s="5812">
        <v>3</v>
      </c>
      <c r="G456" s="5813">
        <v>0.11319444444444444</v>
      </c>
      <c r="H456" s="21" t="s">
        <v>10</v>
      </c>
      <c r="I456" s="21" t="s">
        <v>39</v>
      </c>
      <c r="J456" s="21" t="s">
        <v>897</v>
      </c>
      <c r="K456" s="5814" t="s">
        <v>9522</v>
      </c>
    </row>
    <row r="457" spans="1:11">
      <c r="A457" s="21" t="s">
        <v>3116</v>
      </c>
      <c r="B457" s="21" t="s">
        <v>9523</v>
      </c>
      <c r="C457" s="21" t="s">
        <v>22</v>
      </c>
      <c r="D457" s="21" t="s">
        <v>944</v>
      </c>
      <c r="E457" s="21" t="s">
        <v>61</v>
      </c>
      <c r="F457" s="5812">
        <v>3</v>
      </c>
      <c r="G457" s="5813">
        <v>0.12361111111111112</v>
      </c>
      <c r="H457" s="21" t="s">
        <v>10</v>
      </c>
      <c r="I457" s="21" t="s">
        <v>39</v>
      </c>
      <c r="J457" s="21" t="s">
        <v>67</v>
      </c>
      <c r="K457" s="5814" t="s">
        <v>9524</v>
      </c>
    </row>
    <row r="458" spans="1:11">
      <c r="A458" s="21" t="s">
        <v>3828</v>
      </c>
      <c r="B458" s="21" t="s">
        <v>9525</v>
      </c>
      <c r="C458" s="21" t="s">
        <v>8</v>
      </c>
      <c r="D458" s="21" t="s">
        <v>944</v>
      </c>
      <c r="E458" s="21" t="s">
        <v>61</v>
      </c>
      <c r="F458" s="5812">
        <v>3</v>
      </c>
      <c r="G458" s="5813">
        <v>0.12361111111111112</v>
      </c>
      <c r="H458" s="21" t="s">
        <v>10</v>
      </c>
      <c r="I458" s="21" t="s">
        <v>226</v>
      </c>
      <c r="J458" s="21" t="s">
        <v>67</v>
      </c>
      <c r="K458" s="5814" t="s">
        <v>9526</v>
      </c>
    </row>
    <row r="459" spans="1:11">
      <c r="A459" s="21" t="s">
        <v>2768</v>
      </c>
      <c r="B459" s="21" t="s">
        <v>9527</v>
      </c>
      <c r="C459" s="21" t="s">
        <v>8</v>
      </c>
      <c r="D459" s="21" t="s">
        <v>944</v>
      </c>
      <c r="E459" s="21" t="s">
        <v>61</v>
      </c>
      <c r="F459" s="5812">
        <v>3</v>
      </c>
      <c r="G459" s="5813">
        <v>0.15625</v>
      </c>
      <c r="H459" s="21" t="s">
        <v>54</v>
      </c>
      <c r="I459" s="21" t="s">
        <v>2297</v>
      </c>
      <c r="J459" s="21" t="s">
        <v>6161</v>
      </c>
      <c r="K459" s="5814" t="s">
        <v>9528</v>
      </c>
    </row>
    <row r="460" spans="1:11">
      <c r="A460" s="21" t="s">
        <v>2160</v>
      </c>
      <c r="B460" s="21" t="s">
        <v>9529</v>
      </c>
      <c r="C460" s="21" t="s">
        <v>22</v>
      </c>
      <c r="D460" s="21" t="s">
        <v>944</v>
      </c>
      <c r="E460" s="21" t="s">
        <v>61</v>
      </c>
      <c r="F460" s="5812">
        <v>3</v>
      </c>
      <c r="G460" s="5813">
        <v>0.1673611111111111</v>
      </c>
      <c r="H460" s="21" t="s">
        <v>10</v>
      </c>
      <c r="I460" s="21" t="s">
        <v>2162</v>
      </c>
      <c r="J460" s="21" t="s">
        <v>67</v>
      </c>
      <c r="K460" s="5814" t="s">
        <v>9530</v>
      </c>
    </row>
    <row r="461" spans="1:11">
      <c r="A461" s="21" t="s">
        <v>4711</v>
      </c>
      <c r="B461" s="21" t="s">
        <v>9531</v>
      </c>
      <c r="C461" s="21" t="s">
        <v>8</v>
      </c>
      <c r="D461" s="21" t="s">
        <v>944</v>
      </c>
      <c r="E461" s="21" t="s">
        <v>61</v>
      </c>
      <c r="F461" s="5812">
        <v>3</v>
      </c>
      <c r="G461" s="5813">
        <v>0.1673611111111111</v>
      </c>
      <c r="H461" s="21" t="s">
        <v>10</v>
      </c>
      <c r="I461" s="21" t="s">
        <v>194</v>
      </c>
      <c r="J461" s="21" t="s">
        <v>3313</v>
      </c>
      <c r="K461" s="5814" t="s">
        <v>9532</v>
      </c>
    </row>
    <row r="462" spans="1:11">
      <c r="A462" s="21" t="s">
        <v>2188</v>
      </c>
      <c r="B462" s="21" t="s">
        <v>9533</v>
      </c>
      <c r="C462" s="21" t="s">
        <v>8</v>
      </c>
      <c r="D462" s="21" t="s">
        <v>944</v>
      </c>
      <c r="E462" s="21" t="s">
        <v>61</v>
      </c>
      <c r="F462" s="5812">
        <v>3</v>
      </c>
      <c r="G462" s="5813">
        <v>0.1701388888888889</v>
      </c>
      <c r="H462" s="21" t="s">
        <v>10</v>
      </c>
      <c r="I462" s="21" t="s">
        <v>2149</v>
      </c>
      <c r="J462" s="21" t="s">
        <v>67</v>
      </c>
      <c r="K462" s="5814" t="s">
        <v>9534</v>
      </c>
    </row>
    <row r="463" spans="1:11">
      <c r="A463" s="21" t="s">
        <v>3630</v>
      </c>
      <c r="B463" s="21" t="s">
        <v>9535</v>
      </c>
      <c r="C463" s="21" t="s">
        <v>22</v>
      </c>
      <c r="D463" s="21" t="s">
        <v>944</v>
      </c>
      <c r="E463" s="21" t="s">
        <v>61</v>
      </c>
      <c r="F463" s="5812">
        <v>3</v>
      </c>
      <c r="G463" s="5813">
        <v>0.1736111111111111</v>
      </c>
      <c r="H463" s="21" t="s">
        <v>10</v>
      </c>
      <c r="I463" s="21" t="s">
        <v>5159</v>
      </c>
      <c r="J463" s="21" t="s">
        <v>3326</v>
      </c>
      <c r="K463" s="5814" t="s">
        <v>9536</v>
      </c>
    </row>
    <row r="464" spans="1:11">
      <c r="A464" s="21" t="s">
        <v>3505</v>
      </c>
      <c r="B464" s="21" t="s">
        <v>9537</v>
      </c>
      <c r="C464" s="21" t="s">
        <v>22</v>
      </c>
      <c r="D464" s="21" t="s">
        <v>944</v>
      </c>
      <c r="E464" s="21" t="s">
        <v>61</v>
      </c>
      <c r="F464" s="5812">
        <v>3</v>
      </c>
      <c r="G464" s="5813">
        <v>0.17847222222222223</v>
      </c>
      <c r="H464" s="21" t="s">
        <v>10</v>
      </c>
      <c r="I464" s="21" t="s">
        <v>39</v>
      </c>
      <c r="J464" s="21" t="s">
        <v>1327</v>
      </c>
      <c r="K464" s="5814" t="s">
        <v>9538</v>
      </c>
    </row>
    <row r="465" spans="1:11">
      <c r="A465" s="21" t="s">
        <v>3474</v>
      </c>
      <c r="B465" s="21" t="s">
        <v>9539</v>
      </c>
      <c r="C465" s="21" t="s">
        <v>22</v>
      </c>
      <c r="D465" s="21" t="s">
        <v>944</v>
      </c>
      <c r="E465" s="21" t="s">
        <v>61</v>
      </c>
      <c r="F465" s="5812">
        <v>3</v>
      </c>
      <c r="G465" s="5813">
        <v>0.18402777777777779</v>
      </c>
      <c r="H465" s="21" t="s">
        <v>10</v>
      </c>
      <c r="I465" s="21" t="s">
        <v>96</v>
      </c>
      <c r="J465" s="21" t="s">
        <v>67</v>
      </c>
      <c r="K465" s="5814" t="s">
        <v>9540</v>
      </c>
    </row>
    <row r="466" spans="1:11">
      <c r="A466" s="21" t="s">
        <v>2886</v>
      </c>
      <c r="B466" s="21" t="s">
        <v>9541</v>
      </c>
      <c r="C466" s="21" t="s">
        <v>8</v>
      </c>
      <c r="D466" s="21" t="s">
        <v>944</v>
      </c>
      <c r="E466" s="21" t="s">
        <v>61</v>
      </c>
      <c r="F466" s="5812">
        <v>3</v>
      </c>
      <c r="G466" s="5813">
        <v>0.19236111111111112</v>
      </c>
      <c r="H466" s="21" t="s">
        <v>10</v>
      </c>
      <c r="I466" s="21" t="s">
        <v>5159</v>
      </c>
      <c r="J466" s="21" t="s">
        <v>67</v>
      </c>
      <c r="K466" s="5814" t="s">
        <v>9542</v>
      </c>
    </row>
    <row r="467" spans="1:11">
      <c r="A467" s="21" t="s">
        <v>3974</v>
      </c>
      <c r="B467" s="21" t="s">
        <v>9543</v>
      </c>
      <c r="C467" s="21" t="s">
        <v>22</v>
      </c>
      <c r="D467" s="21" t="s">
        <v>944</v>
      </c>
      <c r="E467" s="21" t="s">
        <v>61</v>
      </c>
      <c r="F467" s="5812">
        <v>3</v>
      </c>
      <c r="G467" s="5813">
        <v>0.1986111111111111</v>
      </c>
      <c r="H467" s="21" t="s">
        <v>10</v>
      </c>
      <c r="I467" s="21" t="s">
        <v>96</v>
      </c>
      <c r="J467" s="21" t="s">
        <v>505</v>
      </c>
      <c r="K467" s="5814" t="s">
        <v>9544</v>
      </c>
    </row>
    <row r="468" spans="1:11">
      <c r="A468" s="21" t="s">
        <v>2075</v>
      </c>
      <c r="B468" s="21" t="s">
        <v>9545</v>
      </c>
      <c r="C468" s="21" t="s">
        <v>8</v>
      </c>
      <c r="D468" s="21" t="s">
        <v>944</v>
      </c>
      <c r="E468" s="21" t="s">
        <v>61</v>
      </c>
      <c r="F468" s="5812">
        <v>3</v>
      </c>
      <c r="G468" s="5813">
        <v>0.1986111111111111</v>
      </c>
      <c r="H468" s="21" t="s">
        <v>10</v>
      </c>
      <c r="I468" s="21" t="s">
        <v>654</v>
      </c>
      <c r="J468" s="21" t="s">
        <v>67</v>
      </c>
      <c r="K468" s="5814" t="s">
        <v>9546</v>
      </c>
    </row>
    <row r="469" spans="1:11">
      <c r="A469" s="21" t="s">
        <v>2944</v>
      </c>
      <c r="B469" s="21" t="s">
        <v>9547</v>
      </c>
      <c r="C469" s="21" t="s">
        <v>8</v>
      </c>
      <c r="D469" s="21" t="s">
        <v>944</v>
      </c>
      <c r="E469" s="5826" t="s">
        <v>46</v>
      </c>
      <c r="F469" s="5812">
        <v>2</v>
      </c>
      <c r="G469" s="5813">
        <v>0.20833333333333334</v>
      </c>
      <c r="H469" s="21" t="s">
        <v>10</v>
      </c>
      <c r="I469" s="21" t="s">
        <v>654</v>
      </c>
      <c r="J469" s="21"/>
      <c r="K469" s="5814" t="s">
        <v>9548</v>
      </c>
    </row>
    <row r="470" spans="1:11">
      <c r="A470" s="21" t="s">
        <v>2626</v>
      </c>
      <c r="B470" s="21" t="s">
        <v>9697</v>
      </c>
      <c r="C470" s="21" t="s">
        <v>22</v>
      </c>
      <c r="D470" s="21" t="s">
        <v>9698</v>
      </c>
      <c r="E470" s="21" t="s">
        <v>9</v>
      </c>
      <c r="F470" s="5812">
        <v>5</v>
      </c>
      <c r="G470" s="5813">
        <v>0.20833333333333334</v>
      </c>
      <c r="H470" s="21" t="s">
        <v>54</v>
      </c>
      <c r="I470" s="21" t="s">
        <v>47</v>
      </c>
      <c r="J470" s="21" t="s">
        <v>9699</v>
      </c>
      <c r="K470" s="5814" t="s">
        <v>9700</v>
      </c>
    </row>
    <row r="471" spans="1:11">
      <c r="A471" s="21" t="s">
        <v>3430</v>
      </c>
      <c r="B471" s="21" t="s">
        <v>9701</v>
      </c>
      <c r="C471" s="21" t="s">
        <v>22</v>
      </c>
      <c r="D471" s="21" t="s">
        <v>9698</v>
      </c>
      <c r="E471" s="21" t="s">
        <v>9</v>
      </c>
      <c r="F471" s="5812">
        <v>5</v>
      </c>
      <c r="G471" s="5813">
        <v>0.20833333333333334</v>
      </c>
      <c r="H471" s="21" t="s">
        <v>54</v>
      </c>
      <c r="I471" s="21" t="s">
        <v>2297</v>
      </c>
      <c r="J471" s="21" t="s">
        <v>9702</v>
      </c>
      <c r="K471" s="5814" t="s">
        <v>9703</v>
      </c>
    </row>
    <row r="472" spans="1:11">
      <c r="A472" s="21" t="s">
        <v>2741</v>
      </c>
      <c r="B472" s="21" t="s">
        <v>9704</v>
      </c>
      <c r="C472" s="21" t="s">
        <v>8</v>
      </c>
      <c r="D472" s="21" t="s">
        <v>9698</v>
      </c>
      <c r="E472" s="5826" t="s">
        <v>46</v>
      </c>
      <c r="F472" s="5812">
        <v>3</v>
      </c>
      <c r="G472" s="5813">
        <v>7.4999999999999997E-2</v>
      </c>
      <c r="H472" s="21" t="s">
        <v>54</v>
      </c>
      <c r="I472" s="21" t="s">
        <v>47</v>
      </c>
      <c r="J472" s="21" t="s">
        <v>48</v>
      </c>
      <c r="K472" s="5814" t="s">
        <v>9705</v>
      </c>
    </row>
    <row r="473" spans="1:11">
      <c r="A473" s="21" t="s">
        <v>185</v>
      </c>
      <c r="B473" s="21" t="s">
        <v>1121</v>
      </c>
      <c r="C473" s="21" t="s">
        <v>22</v>
      </c>
      <c r="D473" s="21" t="s">
        <v>1122</v>
      </c>
      <c r="E473" s="21" t="s">
        <v>193</v>
      </c>
      <c r="F473" s="5812">
        <v>5</v>
      </c>
      <c r="G473" s="5813">
        <v>0.20833333333333334</v>
      </c>
      <c r="H473" s="21" t="s">
        <v>54</v>
      </c>
      <c r="I473" s="21" t="s">
        <v>47</v>
      </c>
      <c r="J473" s="21" t="s">
        <v>1123</v>
      </c>
      <c r="K473" s="5814" t="s">
        <v>1124</v>
      </c>
    </row>
    <row r="474" spans="1:11">
      <c r="A474" s="21" t="s">
        <v>4654</v>
      </c>
      <c r="B474" s="21" t="s">
        <v>9773</v>
      </c>
      <c r="C474" s="21" t="s">
        <v>22</v>
      </c>
      <c r="D474" s="21" t="s">
        <v>1122</v>
      </c>
      <c r="E474" s="21" t="s">
        <v>9</v>
      </c>
      <c r="F474" s="5812">
        <v>5</v>
      </c>
      <c r="G474" s="5813">
        <v>0.20833333333333334</v>
      </c>
      <c r="H474" s="21" t="s">
        <v>54</v>
      </c>
      <c r="I474" s="21" t="s">
        <v>47</v>
      </c>
      <c r="J474" s="21" t="s">
        <v>9774</v>
      </c>
      <c r="K474" s="5814" t="s">
        <v>9775</v>
      </c>
    </row>
    <row r="475" spans="1:11">
      <c r="A475" s="21" t="s">
        <v>2045</v>
      </c>
      <c r="B475" s="21" t="s">
        <v>9776</v>
      </c>
      <c r="C475" s="21" t="s">
        <v>8</v>
      </c>
      <c r="D475" s="21" t="s">
        <v>1122</v>
      </c>
      <c r="E475" s="21" t="s">
        <v>9</v>
      </c>
      <c r="F475" s="5812">
        <v>5</v>
      </c>
      <c r="G475" s="5813">
        <v>0.20833333333333334</v>
      </c>
      <c r="H475" s="21" t="s">
        <v>54</v>
      </c>
      <c r="I475" s="21" t="s">
        <v>55</v>
      </c>
      <c r="J475" s="21" t="s">
        <v>9777</v>
      </c>
      <c r="K475" s="5814" t="s">
        <v>9778</v>
      </c>
    </row>
    <row r="476" spans="1:11">
      <c r="A476" s="21" t="s">
        <v>2450</v>
      </c>
      <c r="B476" s="21" t="s">
        <v>9779</v>
      </c>
      <c r="C476" s="21" t="s">
        <v>8</v>
      </c>
      <c r="D476" s="21" t="s">
        <v>1122</v>
      </c>
      <c r="E476" s="21" t="s">
        <v>9</v>
      </c>
      <c r="F476" s="5812">
        <v>5</v>
      </c>
      <c r="G476" s="5813">
        <v>0.20833333333333334</v>
      </c>
      <c r="H476" s="21" t="s">
        <v>54</v>
      </c>
      <c r="I476" s="21" t="s">
        <v>55</v>
      </c>
      <c r="J476" s="21" t="s">
        <v>9780</v>
      </c>
      <c r="K476" s="5814" t="s">
        <v>9781</v>
      </c>
    </row>
    <row r="477" spans="1:11">
      <c r="A477" s="21" t="s">
        <v>3984</v>
      </c>
      <c r="B477" s="21" t="s">
        <v>8554</v>
      </c>
      <c r="C477" s="21" t="s">
        <v>8</v>
      </c>
      <c r="D477" s="21" t="s">
        <v>1122</v>
      </c>
      <c r="E477" s="21" t="s">
        <v>9</v>
      </c>
      <c r="F477" s="5812">
        <v>5</v>
      </c>
      <c r="G477" s="5813">
        <v>0.20833333333333334</v>
      </c>
      <c r="H477" s="21" t="s">
        <v>54</v>
      </c>
      <c r="I477" s="21" t="s">
        <v>47</v>
      </c>
      <c r="J477" s="21" t="s">
        <v>9782</v>
      </c>
      <c r="K477" s="5814" t="s">
        <v>9783</v>
      </c>
    </row>
    <row r="478" spans="1:11">
      <c r="A478" s="21" t="s">
        <v>2979</v>
      </c>
      <c r="B478" s="21" t="s">
        <v>9784</v>
      </c>
      <c r="C478" s="21" t="s">
        <v>8</v>
      </c>
      <c r="D478" s="21" t="s">
        <v>1122</v>
      </c>
      <c r="E478" s="21" t="s">
        <v>9</v>
      </c>
      <c r="F478" s="5812">
        <v>5</v>
      </c>
      <c r="G478" s="5813">
        <v>0.20833333333333334</v>
      </c>
      <c r="H478" s="21" t="s">
        <v>54</v>
      </c>
      <c r="I478" s="21" t="s">
        <v>226</v>
      </c>
      <c r="J478" s="21" t="s">
        <v>9785</v>
      </c>
      <c r="K478" s="5814" t="s">
        <v>9786</v>
      </c>
    </row>
    <row r="479" spans="1:11">
      <c r="A479" s="21" t="s">
        <v>3286</v>
      </c>
      <c r="B479" s="21" t="s">
        <v>9787</v>
      </c>
      <c r="C479" s="21" t="s">
        <v>8</v>
      </c>
      <c r="D479" s="21" t="s">
        <v>1122</v>
      </c>
      <c r="E479" s="21" t="s">
        <v>9</v>
      </c>
      <c r="F479" s="5812">
        <v>5</v>
      </c>
      <c r="G479" s="5813">
        <v>0.20833333333333334</v>
      </c>
      <c r="H479" s="21" t="s">
        <v>54</v>
      </c>
      <c r="I479" s="21" t="s">
        <v>2872</v>
      </c>
      <c r="J479" s="21" t="s">
        <v>9788</v>
      </c>
      <c r="K479" s="5814" t="s">
        <v>9789</v>
      </c>
    </row>
    <row r="480" spans="1:11">
      <c r="A480" s="21" t="s">
        <v>5264</v>
      </c>
      <c r="B480" s="21" t="s">
        <v>9790</v>
      </c>
      <c r="C480" s="21" t="s">
        <v>8</v>
      </c>
      <c r="D480" s="21" t="s">
        <v>1122</v>
      </c>
      <c r="E480" s="21" t="s">
        <v>46</v>
      </c>
      <c r="F480" s="5812">
        <v>1</v>
      </c>
      <c r="G480" s="5813">
        <v>0.12013888888888889</v>
      </c>
      <c r="H480" s="21" t="s">
        <v>54</v>
      </c>
      <c r="I480" s="21" t="s">
        <v>55</v>
      </c>
      <c r="J480" s="21" t="s">
        <v>9791</v>
      </c>
      <c r="K480" s="5814" t="s">
        <v>9792</v>
      </c>
    </row>
    <row r="481" spans="1:11">
      <c r="A481" s="21" t="s">
        <v>4383</v>
      </c>
      <c r="B481" s="21" t="s">
        <v>9793</v>
      </c>
      <c r="C481" s="21" t="s">
        <v>22</v>
      </c>
      <c r="D481" s="21" t="s">
        <v>1122</v>
      </c>
      <c r="E481" s="21" t="s">
        <v>46</v>
      </c>
      <c r="F481" s="5812">
        <v>1</v>
      </c>
      <c r="G481" s="5813">
        <v>0.15</v>
      </c>
      <c r="H481" s="21" t="s">
        <v>54</v>
      </c>
      <c r="I481" s="21" t="s">
        <v>2297</v>
      </c>
      <c r="J481" s="21" t="s">
        <v>48</v>
      </c>
      <c r="K481" s="5814" t="s">
        <v>9794</v>
      </c>
    </row>
    <row r="482" spans="1:11">
      <c r="A482" s="21" t="s">
        <v>3252</v>
      </c>
      <c r="B482" s="21" t="s">
        <v>9795</v>
      </c>
      <c r="C482" s="21" t="s">
        <v>22</v>
      </c>
      <c r="D482" s="21" t="s">
        <v>1122</v>
      </c>
      <c r="E482" s="21" t="s">
        <v>46</v>
      </c>
      <c r="F482" s="5812">
        <v>2</v>
      </c>
      <c r="G482" s="5813">
        <v>0.14791666666666667</v>
      </c>
      <c r="H482" s="21" t="s">
        <v>54</v>
      </c>
      <c r="I482" s="21" t="s">
        <v>47</v>
      </c>
      <c r="J482" s="21" t="s">
        <v>48</v>
      </c>
      <c r="K482" s="5814" t="s">
        <v>9796</v>
      </c>
    </row>
    <row r="483" spans="1:11">
      <c r="A483" s="21" t="s">
        <v>3703</v>
      </c>
      <c r="B483" s="21" t="s">
        <v>9797</v>
      </c>
      <c r="C483" s="21" t="s">
        <v>8</v>
      </c>
      <c r="D483" s="21" t="s">
        <v>1122</v>
      </c>
      <c r="E483" s="21" t="s">
        <v>46</v>
      </c>
      <c r="F483" s="5812">
        <v>2</v>
      </c>
      <c r="G483" s="5813">
        <v>0.16597222222222222</v>
      </c>
      <c r="H483" s="21" t="s">
        <v>54</v>
      </c>
      <c r="I483" s="21" t="s">
        <v>96</v>
      </c>
      <c r="J483" s="21" t="s">
        <v>48</v>
      </c>
      <c r="K483" s="5814" t="s">
        <v>9798</v>
      </c>
    </row>
    <row r="484" spans="1:11">
      <c r="A484" s="21" t="s">
        <v>2341</v>
      </c>
      <c r="B484" s="21" t="s">
        <v>9799</v>
      </c>
      <c r="C484" s="21" t="s">
        <v>22</v>
      </c>
      <c r="D484" s="21" t="s">
        <v>1122</v>
      </c>
      <c r="E484" s="21" t="s">
        <v>46</v>
      </c>
      <c r="F484" s="5812">
        <v>2</v>
      </c>
      <c r="G484" s="5813">
        <v>0.18124999999999999</v>
      </c>
      <c r="H484" s="21" t="s">
        <v>54</v>
      </c>
      <c r="I484" s="21" t="s">
        <v>226</v>
      </c>
      <c r="J484" s="21" t="s">
        <v>48</v>
      </c>
      <c r="K484" s="5814" t="s">
        <v>9800</v>
      </c>
    </row>
    <row r="485" spans="1:11">
      <c r="A485" s="21" t="s">
        <v>2850</v>
      </c>
      <c r="B485" s="21" t="s">
        <v>9801</v>
      </c>
      <c r="C485" s="21" t="s">
        <v>22</v>
      </c>
      <c r="D485" s="21" t="s">
        <v>1122</v>
      </c>
      <c r="E485" s="21" t="s">
        <v>46</v>
      </c>
      <c r="F485" s="5812">
        <v>4</v>
      </c>
      <c r="G485" s="5813">
        <v>0.13333333333333333</v>
      </c>
      <c r="H485" s="21" t="s">
        <v>54</v>
      </c>
      <c r="I485" s="21" t="s">
        <v>55</v>
      </c>
      <c r="J485" s="21" t="s">
        <v>4586</v>
      </c>
      <c r="K485" s="5814" t="s">
        <v>9802</v>
      </c>
    </row>
    <row r="486" spans="1:11">
      <c r="A486" s="21" t="s">
        <v>2372</v>
      </c>
      <c r="B486" s="21" t="s">
        <v>9803</v>
      </c>
      <c r="C486" s="21" t="s">
        <v>22</v>
      </c>
      <c r="D486" s="21" t="s">
        <v>1122</v>
      </c>
      <c r="E486" s="21" t="s">
        <v>46</v>
      </c>
      <c r="F486" s="5812">
        <v>5</v>
      </c>
      <c r="G486" s="5813">
        <v>8.4027777777777785E-2</v>
      </c>
      <c r="H486" s="21" t="s">
        <v>54</v>
      </c>
      <c r="I486" s="21" t="s">
        <v>47</v>
      </c>
      <c r="J486" s="21" t="s">
        <v>97</v>
      </c>
      <c r="K486" s="5814" t="s">
        <v>9804</v>
      </c>
    </row>
    <row r="487" spans="1:11">
      <c r="A487" s="21" t="s">
        <v>3195</v>
      </c>
      <c r="B487" s="21" t="s">
        <v>9805</v>
      </c>
      <c r="C487" s="21" t="s">
        <v>22</v>
      </c>
      <c r="D487" s="21" t="s">
        <v>1122</v>
      </c>
      <c r="E487" s="21" t="s">
        <v>61</v>
      </c>
      <c r="F487" s="5812">
        <v>3</v>
      </c>
      <c r="G487" s="5813">
        <v>0.18263888888888888</v>
      </c>
      <c r="H487" s="21" t="s">
        <v>54</v>
      </c>
      <c r="I487" s="21" t="s">
        <v>2297</v>
      </c>
      <c r="J487" s="21" t="s">
        <v>5466</v>
      </c>
      <c r="K487" s="5814" t="s">
        <v>9806</v>
      </c>
    </row>
  </sheetData>
  <hyperlinks>
    <hyperlink ref="K4" r:id="rId1" xr:uid="{00000000-0004-0000-1100-000000000000}"/>
    <hyperlink ref="K5" r:id="rId2" xr:uid="{00000000-0004-0000-1100-000001000000}"/>
    <hyperlink ref="K6" r:id="rId3" xr:uid="{00000000-0004-0000-1100-000002000000}"/>
    <hyperlink ref="K7" r:id="rId4" xr:uid="{00000000-0004-0000-1100-000003000000}"/>
    <hyperlink ref="K8" r:id="rId5" xr:uid="{00000000-0004-0000-1100-000004000000}"/>
    <hyperlink ref="K9" r:id="rId6" xr:uid="{00000000-0004-0000-1100-000005000000}"/>
    <hyperlink ref="K10" r:id="rId7" xr:uid="{00000000-0004-0000-1100-000006000000}"/>
    <hyperlink ref="K11" r:id="rId8" xr:uid="{00000000-0004-0000-1100-000007000000}"/>
    <hyperlink ref="K12" r:id="rId9" xr:uid="{00000000-0004-0000-1100-000008000000}"/>
    <hyperlink ref="K13" r:id="rId10" xr:uid="{00000000-0004-0000-1100-000009000000}"/>
    <hyperlink ref="K14" r:id="rId11" xr:uid="{00000000-0004-0000-1100-00000A000000}"/>
    <hyperlink ref="K15" r:id="rId12" xr:uid="{00000000-0004-0000-1100-00000B000000}"/>
    <hyperlink ref="K16" r:id="rId13" xr:uid="{00000000-0004-0000-1100-00000C000000}"/>
    <hyperlink ref="K17" r:id="rId14" xr:uid="{00000000-0004-0000-1100-00000D000000}"/>
    <hyperlink ref="K18" r:id="rId15" xr:uid="{00000000-0004-0000-1100-00000E000000}"/>
    <hyperlink ref="K19" r:id="rId16" xr:uid="{00000000-0004-0000-1100-00000F000000}"/>
    <hyperlink ref="K20" r:id="rId17" xr:uid="{00000000-0004-0000-1100-000010000000}"/>
    <hyperlink ref="K21" r:id="rId18" xr:uid="{00000000-0004-0000-1100-000011000000}"/>
    <hyperlink ref="K22" r:id="rId19" xr:uid="{00000000-0004-0000-1100-000012000000}"/>
    <hyperlink ref="K23" r:id="rId20" xr:uid="{00000000-0004-0000-1100-000013000000}"/>
    <hyperlink ref="K24" r:id="rId21" xr:uid="{00000000-0004-0000-1100-000014000000}"/>
    <hyperlink ref="K25" r:id="rId22" xr:uid="{00000000-0004-0000-1100-000015000000}"/>
    <hyperlink ref="K26" r:id="rId23" xr:uid="{00000000-0004-0000-1100-000016000000}"/>
    <hyperlink ref="K27" r:id="rId24" xr:uid="{00000000-0004-0000-1100-000017000000}"/>
    <hyperlink ref="K28" r:id="rId25" xr:uid="{00000000-0004-0000-1100-000018000000}"/>
    <hyperlink ref="K29" r:id="rId26" xr:uid="{00000000-0004-0000-1100-000019000000}"/>
    <hyperlink ref="K30" r:id="rId27" xr:uid="{00000000-0004-0000-1100-00001A000000}"/>
    <hyperlink ref="K31" r:id="rId28" xr:uid="{00000000-0004-0000-1100-00001B000000}"/>
    <hyperlink ref="K32" r:id="rId29" xr:uid="{00000000-0004-0000-1100-00001C000000}"/>
    <hyperlink ref="K33" r:id="rId30" xr:uid="{00000000-0004-0000-1100-00001D000000}"/>
    <hyperlink ref="K34" r:id="rId31" xr:uid="{00000000-0004-0000-1100-00001E000000}"/>
    <hyperlink ref="K35" r:id="rId32" xr:uid="{00000000-0004-0000-1100-00001F000000}"/>
    <hyperlink ref="K36" r:id="rId33" xr:uid="{00000000-0004-0000-1100-000020000000}"/>
    <hyperlink ref="K37" r:id="rId34" xr:uid="{00000000-0004-0000-1100-000021000000}"/>
    <hyperlink ref="K38" r:id="rId35" xr:uid="{00000000-0004-0000-1100-000022000000}"/>
    <hyperlink ref="K39" r:id="rId36" xr:uid="{00000000-0004-0000-1100-000023000000}"/>
    <hyperlink ref="K40" r:id="rId37" xr:uid="{00000000-0004-0000-1100-000024000000}"/>
    <hyperlink ref="K41" r:id="rId38" xr:uid="{00000000-0004-0000-1100-000025000000}"/>
    <hyperlink ref="K42" r:id="rId39" xr:uid="{00000000-0004-0000-1100-000026000000}"/>
    <hyperlink ref="K43" r:id="rId40" xr:uid="{00000000-0004-0000-1100-000027000000}"/>
    <hyperlink ref="K44" r:id="rId41" xr:uid="{00000000-0004-0000-1100-000028000000}"/>
    <hyperlink ref="K45" r:id="rId42" xr:uid="{00000000-0004-0000-1100-000029000000}"/>
    <hyperlink ref="K46" r:id="rId43" xr:uid="{00000000-0004-0000-1100-00002A000000}"/>
    <hyperlink ref="K47" r:id="rId44" xr:uid="{00000000-0004-0000-1100-00002B000000}"/>
    <hyperlink ref="K48" r:id="rId45" xr:uid="{00000000-0004-0000-1100-00002C000000}"/>
    <hyperlink ref="K49" r:id="rId46" xr:uid="{00000000-0004-0000-1100-00002D000000}"/>
    <hyperlink ref="K50" r:id="rId47" xr:uid="{00000000-0004-0000-1100-00002E000000}"/>
    <hyperlink ref="K51" r:id="rId48" xr:uid="{00000000-0004-0000-1100-00002F000000}"/>
    <hyperlink ref="K52" r:id="rId49" xr:uid="{00000000-0004-0000-1100-000030000000}"/>
    <hyperlink ref="K53" r:id="rId50" xr:uid="{00000000-0004-0000-1100-000031000000}"/>
    <hyperlink ref="K54" r:id="rId51" xr:uid="{00000000-0004-0000-1100-000032000000}"/>
    <hyperlink ref="K55" r:id="rId52" xr:uid="{00000000-0004-0000-1100-000033000000}"/>
    <hyperlink ref="K56" r:id="rId53" xr:uid="{00000000-0004-0000-1100-000034000000}"/>
    <hyperlink ref="K57" r:id="rId54" xr:uid="{00000000-0004-0000-1100-000035000000}"/>
    <hyperlink ref="K58" r:id="rId55" xr:uid="{00000000-0004-0000-1100-000036000000}"/>
    <hyperlink ref="K59" r:id="rId56" xr:uid="{00000000-0004-0000-1100-000037000000}"/>
    <hyperlink ref="K60" r:id="rId57" xr:uid="{00000000-0004-0000-1100-000038000000}"/>
    <hyperlink ref="K61" r:id="rId58" xr:uid="{00000000-0004-0000-1100-000039000000}"/>
    <hyperlink ref="K62" r:id="rId59" xr:uid="{00000000-0004-0000-1100-00003A000000}"/>
    <hyperlink ref="K63" r:id="rId60" xr:uid="{00000000-0004-0000-1100-00003B000000}"/>
    <hyperlink ref="K64" r:id="rId61" xr:uid="{00000000-0004-0000-1100-00003C000000}"/>
    <hyperlink ref="K65" r:id="rId62" xr:uid="{00000000-0004-0000-1100-00003D000000}"/>
    <hyperlink ref="K66" r:id="rId63" xr:uid="{00000000-0004-0000-1100-00003E000000}"/>
    <hyperlink ref="K67" r:id="rId64" xr:uid="{00000000-0004-0000-1100-00003F000000}"/>
    <hyperlink ref="K68" r:id="rId65" xr:uid="{00000000-0004-0000-1100-000040000000}"/>
    <hyperlink ref="K69" r:id="rId66" xr:uid="{00000000-0004-0000-1100-000041000000}"/>
    <hyperlink ref="K70" r:id="rId67" xr:uid="{00000000-0004-0000-1100-000042000000}"/>
    <hyperlink ref="K71" r:id="rId68" xr:uid="{00000000-0004-0000-1100-000043000000}"/>
    <hyperlink ref="K72" r:id="rId69" xr:uid="{00000000-0004-0000-1100-000044000000}"/>
    <hyperlink ref="K73" r:id="rId70" xr:uid="{00000000-0004-0000-1100-000045000000}"/>
    <hyperlink ref="K74" r:id="rId71" xr:uid="{00000000-0004-0000-1100-000046000000}"/>
    <hyperlink ref="K75" r:id="rId72" xr:uid="{00000000-0004-0000-1100-000047000000}"/>
    <hyperlink ref="K76" r:id="rId73" xr:uid="{00000000-0004-0000-1100-000048000000}"/>
    <hyperlink ref="K77" r:id="rId74" xr:uid="{00000000-0004-0000-1100-000049000000}"/>
    <hyperlink ref="K78" r:id="rId75" xr:uid="{00000000-0004-0000-1100-00004A000000}"/>
    <hyperlink ref="K79" r:id="rId76" xr:uid="{00000000-0004-0000-1100-00004B000000}"/>
    <hyperlink ref="K80" r:id="rId77" xr:uid="{00000000-0004-0000-1100-00004C000000}"/>
    <hyperlink ref="K81" r:id="rId78" xr:uid="{00000000-0004-0000-1100-00004D000000}"/>
    <hyperlink ref="K82" r:id="rId79" xr:uid="{00000000-0004-0000-1100-00004E000000}"/>
    <hyperlink ref="K83" r:id="rId80" xr:uid="{00000000-0004-0000-1100-00004F000000}"/>
    <hyperlink ref="K84" r:id="rId81" xr:uid="{00000000-0004-0000-1100-000050000000}"/>
    <hyperlink ref="K85" r:id="rId82" xr:uid="{00000000-0004-0000-1100-000051000000}"/>
    <hyperlink ref="K86" r:id="rId83" xr:uid="{00000000-0004-0000-1100-000052000000}"/>
    <hyperlink ref="K87" r:id="rId84" xr:uid="{00000000-0004-0000-1100-000053000000}"/>
    <hyperlink ref="K88" r:id="rId85" xr:uid="{00000000-0004-0000-1100-000054000000}"/>
    <hyperlink ref="K89" r:id="rId86" xr:uid="{00000000-0004-0000-1100-000055000000}"/>
    <hyperlink ref="K90" r:id="rId87" xr:uid="{00000000-0004-0000-1100-000056000000}"/>
    <hyperlink ref="K91" r:id="rId88" xr:uid="{00000000-0004-0000-1100-000057000000}"/>
    <hyperlink ref="K92" r:id="rId89" xr:uid="{00000000-0004-0000-1100-000058000000}"/>
    <hyperlink ref="K93" r:id="rId90" xr:uid="{00000000-0004-0000-1100-000059000000}"/>
    <hyperlink ref="K94" r:id="rId91" xr:uid="{00000000-0004-0000-1100-00005A000000}"/>
    <hyperlink ref="K95" r:id="rId92" xr:uid="{00000000-0004-0000-1100-00005B000000}"/>
    <hyperlink ref="K96" r:id="rId93" xr:uid="{00000000-0004-0000-1100-00005C000000}"/>
    <hyperlink ref="K97" r:id="rId94" xr:uid="{00000000-0004-0000-1100-00005D000000}"/>
    <hyperlink ref="K98" r:id="rId95" xr:uid="{00000000-0004-0000-1100-00005E000000}"/>
    <hyperlink ref="K99" r:id="rId96" xr:uid="{00000000-0004-0000-1100-00005F000000}"/>
    <hyperlink ref="K100" r:id="rId97" xr:uid="{00000000-0004-0000-1100-000060000000}"/>
    <hyperlink ref="K101" r:id="rId98" xr:uid="{00000000-0004-0000-1100-000061000000}"/>
    <hyperlink ref="K102" r:id="rId99" xr:uid="{00000000-0004-0000-1100-000062000000}"/>
    <hyperlink ref="K103" r:id="rId100" xr:uid="{00000000-0004-0000-1100-000063000000}"/>
    <hyperlink ref="K104" r:id="rId101" xr:uid="{00000000-0004-0000-1100-000064000000}"/>
    <hyperlink ref="K105" r:id="rId102" xr:uid="{00000000-0004-0000-1100-000065000000}"/>
    <hyperlink ref="K106" r:id="rId103" xr:uid="{00000000-0004-0000-1100-000066000000}"/>
    <hyperlink ref="K107" r:id="rId104" xr:uid="{00000000-0004-0000-1100-000067000000}"/>
    <hyperlink ref="K108" r:id="rId105" xr:uid="{00000000-0004-0000-1100-000068000000}"/>
    <hyperlink ref="K109" r:id="rId106" xr:uid="{00000000-0004-0000-1100-000069000000}"/>
    <hyperlink ref="K110" r:id="rId107" xr:uid="{00000000-0004-0000-1100-00006A000000}"/>
    <hyperlink ref="K111" r:id="rId108" xr:uid="{00000000-0004-0000-1100-00006B000000}"/>
    <hyperlink ref="K112" r:id="rId109" xr:uid="{00000000-0004-0000-1100-00006C000000}"/>
    <hyperlink ref="K113" r:id="rId110" xr:uid="{00000000-0004-0000-1100-00006D000000}"/>
    <hyperlink ref="K114" r:id="rId111" xr:uid="{00000000-0004-0000-1100-00006E000000}"/>
    <hyperlink ref="K115" r:id="rId112" xr:uid="{00000000-0004-0000-1100-00006F000000}"/>
    <hyperlink ref="K116" r:id="rId113" xr:uid="{00000000-0004-0000-1100-000070000000}"/>
    <hyperlink ref="K117" r:id="rId114" xr:uid="{00000000-0004-0000-1100-000071000000}"/>
    <hyperlink ref="K118" r:id="rId115" xr:uid="{00000000-0004-0000-1100-000072000000}"/>
    <hyperlink ref="K119" r:id="rId116" xr:uid="{00000000-0004-0000-1100-000073000000}"/>
    <hyperlink ref="K120" r:id="rId117" xr:uid="{00000000-0004-0000-1100-000074000000}"/>
    <hyperlink ref="K121" r:id="rId118" xr:uid="{00000000-0004-0000-1100-000075000000}"/>
    <hyperlink ref="K122" r:id="rId119" xr:uid="{00000000-0004-0000-1100-000076000000}"/>
    <hyperlink ref="K123" r:id="rId120" xr:uid="{00000000-0004-0000-1100-000077000000}"/>
    <hyperlink ref="K124" r:id="rId121" xr:uid="{00000000-0004-0000-1100-000078000000}"/>
    <hyperlink ref="K125" r:id="rId122" xr:uid="{00000000-0004-0000-1100-000079000000}"/>
    <hyperlink ref="K126" r:id="rId123" xr:uid="{00000000-0004-0000-1100-00007A000000}"/>
    <hyperlink ref="K127" r:id="rId124" xr:uid="{00000000-0004-0000-1100-00007B000000}"/>
    <hyperlink ref="K128" r:id="rId125" xr:uid="{00000000-0004-0000-1100-00007C000000}"/>
    <hyperlink ref="K129" r:id="rId126" xr:uid="{00000000-0004-0000-1100-00007D000000}"/>
    <hyperlink ref="K130" r:id="rId127" xr:uid="{00000000-0004-0000-1100-00007E000000}"/>
    <hyperlink ref="K131" r:id="rId128" xr:uid="{00000000-0004-0000-1100-00007F000000}"/>
    <hyperlink ref="K132" r:id="rId129" xr:uid="{00000000-0004-0000-1100-000080000000}"/>
    <hyperlink ref="K133" r:id="rId130" xr:uid="{00000000-0004-0000-1100-000081000000}"/>
    <hyperlink ref="K134" r:id="rId131" xr:uid="{00000000-0004-0000-1100-000082000000}"/>
    <hyperlink ref="K135" r:id="rId132" xr:uid="{00000000-0004-0000-1100-000083000000}"/>
    <hyperlink ref="K136" r:id="rId133" xr:uid="{00000000-0004-0000-1100-000084000000}"/>
    <hyperlink ref="K137" r:id="rId134" xr:uid="{00000000-0004-0000-1100-000085000000}"/>
    <hyperlink ref="K138" r:id="rId135" xr:uid="{00000000-0004-0000-1100-000086000000}"/>
    <hyperlink ref="K139" r:id="rId136" xr:uid="{00000000-0004-0000-1100-000087000000}"/>
    <hyperlink ref="K140" r:id="rId137" xr:uid="{00000000-0004-0000-1100-000088000000}"/>
    <hyperlink ref="K141" r:id="rId138" xr:uid="{00000000-0004-0000-1100-000089000000}"/>
    <hyperlink ref="K142" r:id="rId139" xr:uid="{00000000-0004-0000-1100-00008A000000}"/>
    <hyperlink ref="K143" r:id="rId140" xr:uid="{00000000-0004-0000-1100-00008B000000}"/>
    <hyperlink ref="K144" r:id="rId141" xr:uid="{00000000-0004-0000-1100-00008C000000}"/>
    <hyperlink ref="K145" r:id="rId142" xr:uid="{00000000-0004-0000-1100-00008D000000}"/>
    <hyperlink ref="K146" r:id="rId143" xr:uid="{00000000-0004-0000-1100-00008E000000}"/>
    <hyperlink ref="K147" r:id="rId144" xr:uid="{00000000-0004-0000-1100-00008F000000}"/>
    <hyperlink ref="K148" r:id="rId145" xr:uid="{00000000-0004-0000-1100-000090000000}"/>
    <hyperlink ref="K149" r:id="rId146" xr:uid="{00000000-0004-0000-1100-000091000000}"/>
    <hyperlink ref="K150" r:id="rId147" xr:uid="{00000000-0004-0000-1100-000092000000}"/>
    <hyperlink ref="K151" r:id="rId148" xr:uid="{00000000-0004-0000-1100-000093000000}"/>
    <hyperlink ref="K152" r:id="rId149" xr:uid="{00000000-0004-0000-1100-000094000000}"/>
    <hyperlink ref="K153" r:id="rId150" xr:uid="{00000000-0004-0000-1100-000095000000}"/>
    <hyperlink ref="K154" r:id="rId151" xr:uid="{00000000-0004-0000-1100-000096000000}"/>
    <hyperlink ref="K155" r:id="rId152" xr:uid="{00000000-0004-0000-1100-000097000000}"/>
    <hyperlink ref="K156" r:id="rId153" xr:uid="{00000000-0004-0000-1100-000098000000}"/>
    <hyperlink ref="K157" r:id="rId154" xr:uid="{00000000-0004-0000-1100-000099000000}"/>
    <hyperlink ref="K158" r:id="rId155" xr:uid="{00000000-0004-0000-1100-00009A000000}"/>
    <hyperlink ref="K159" r:id="rId156" xr:uid="{00000000-0004-0000-1100-00009B000000}"/>
    <hyperlink ref="K160" r:id="rId157" xr:uid="{00000000-0004-0000-1100-00009C000000}"/>
    <hyperlink ref="K161" r:id="rId158" xr:uid="{00000000-0004-0000-1100-00009D000000}"/>
    <hyperlink ref="K162" r:id="rId159" xr:uid="{00000000-0004-0000-1100-00009E000000}"/>
    <hyperlink ref="K163" r:id="rId160" xr:uid="{00000000-0004-0000-1100-00009F000000}"/>
    <hyperlink ref="K164" r:id="rId161" xr:uid="{00000000-0004-0000-1100-0000A0000000}"/>
    <hyperlink ref="K165" r:id="rId162" xr:uid="{00000000-0004-0000-1100-0000A1000000}"/>
    <hyperlink ref="K166" r:id="rId163" xr:uid="{00000000-0004-0000-1100-0000A2000000}"/>
    <hyperlink ref="K167" r:id="rId164" xr:uid="{00000000-0004-0000-1100-0000A3000000}"/>
    <hyperlink ref="K168" r:id="rId165" xr:uid="{00000000-0004-0000-1100-0000A4000000}"/>
    <hyperlink ref="K169" r:id="rId166" xr:uid="{00000000-0004-0000-1100-0000A5000000}"/>
    <hyperlink ref="K170" r:id="rId167" xr:uid="{00000000-0004-0000-1100-0000A6000000}"/>
    <hyperlink ref="K171" r:id="rId168" xr:uid="{00000000-0004-0000-1100-0000A7000000}"/>
    <hyperlink ref="K172" r:id="rId169" xr:uid="{00000000-0004-0000-1100-0000A8000000}"/>
    <hyperlink ref="K173" r:id="rId170" xr:uid="{00000000-0004-0000-1100-0000A9000000}"/>
    <hyperlink ref="K174" r:id="rId171" xr:uid="{00000000-0004-0000-1100-0000AA000000}"/>
    <hyperlink ref="K175" r:id="rId172" xr:uid="{00000000-0004-0000-1100-0000AB000000}"/>
    <hyperlink ref="K176" r:id="rId173" xr:uid="{00000000-0004-0000-1100-0000AC000000}"/>
    <hyperlink ref="K177" r:id="rId174" xr:uid="{00000000-0004-0000-1100-0000AD000000}"/>
    <hyperlink ref="K178" r:id="rId175" xr:uid="{00000000-0004-0000-1100-0000AE000000}"/>
    <hyperlink ref="K179" r:id="rId176" xr:uid="{00000000-0004-0000-1100-0000AF000000}"/>
    <hyperlink ref="K180" r:id="rId177" xr:uid="{00000000-0004-0000-1100-0000B0000000}"/>
    <hyperlink ref="K181" r:id="rId178" xr:uid="{00000000-0004-0000-1100-0000B1000000}"/>
    <hyperlink ref="K182" r:id="rId179" xr:uid="{00000000-0004-0000-1100-0000B2000000}"/>
    <hyperlink ref="K183" r:id="rId180" xr:uid="{00000000-0004-0000-1100-0000B3000000}"/>
    <hyperlink ref="K184" r:id="rId181" xr:uid="{00000000-0004-0000-1100-0000B4000000}"/>
    <hyperlink ref="K185" r:id="rId182" xr:uid="{00000000-0004-0000-1100-0000B5000000}"/>
    <hyperlink ref="K186" r:id="rId183" xr:uid="{00000000-0004-0000-1100-0000B6000000}"/>
    <hyperlink ref="K187" r:id="rId184" xr:uid="{00000000-0004-0000-1100-0000B7000000}"/>
    <hyperlink ref="K188" r:id="rId185" xr:uid="{00000000-0004-0000-1100-0000B8000000}"/>
    <hyperlink ref="K189" r:id="rId186" xr:uid="{00000000-0004-0000-1100-0000B9000000}"/>
    <hyperlink ref="K190" r:id="rId187" xr:uid="{00000000-0004-0000-1100-0000BA000000}"/>
    <hyperlink ref="K191" r:id="rId188" xr:uid="{00000000-0004-0000-1100-0000BB000000}"/>
    <hyperlink ref="K192" r:id="rId189" xr:uid="{00000000-0004-0000-1100-0000BC000000}"/>
    <hyperlink ref="K193" r:id="rId190" xr:uid="{00000000-0004-0000-1100-0000BD000000}"/>
    <hyperlink ref="K194" r:id="rId191" xr:uid="{00000000-0004-0000-1100-0000BE000000}"/>
    <hyperlink ref="K195" r:id="rId192" xr:uid="{00000000-0004-0000-1100-0000BF000000}"/>
    <hyperlink ref="K196" r:id="rId193" xr:uid="{00000000-0004-0000-1100-0000C0000000}"/>
    <hyperlink ref="K197" r:id="rId194" xr:uid="{00000000-0004-0000-1100-0000C1000000}"/>
    <hyperlink ref="K198" r:id="rId195" xr:uid="{00000000-0004-0000-1100-0000C2000000}"/>
    <hyperlink ref="K199" r:id="rId196" xr:uid="{00000000-0004-0000-1100-0000C3000000}"/>
    <hyperlink ref="K200" r:id="rId197" xr:uid="{00000000-0004-0000-1100-0000C4000000}"/>
    <hyperlink ref="K201" r:id="rId198" xr:uid="{00000000-0004-0000-1100-0000C5000000}"/>
    <hyperlink ref="K202" r:id="rId199" xr:uid="{00000000-0004-0000-1100-0000C6000000}"/>
    <hyperlink ref="K203" r:id="rId200" xr:uid="{00000000-0004-0000-1100-0000C7000000}"/>
    <hyperlink ref="K204" r:id="rId201" xr:uid="{00000000-0004-0000-1100-0000C8000000}"/>
    <hyperlink ref="K205" r:id="rId202" xr:uid="{00000000-0004-0000-1100-0000C9000000}"/>
    <hyperlink ref="K206" r:id="rId203" xr:uid="{00000000-0004-0000-1100-0000CA000000}"/>
    <hyperlink ref="K207" r:id="rId204" xr:uid="{00000000-0004-0000-1100-0000CB000000}"/>
    <hyperlink ref="K208" r:id="rId205" xr:uid="{00000000-0004-0000-1100-0000CC000000}"/>
    <hyperlink ref="K209" r:id="rId206" xr:uid="{00000000-0004-0000-1100-0000CD000000}"/>
    <hyperlink ref="K210" r:id="rId207" xr:uid="{00000000-0004-0000-1100-0000CE000000}"/>
    <hyperlink ref="K211" r:id="rId208" xr:uid="{00000000-0004-0000-1100-0000CF000000}"/>
    <hyperlink ref="K212" r:id="rId209" xr:uid="{00000000-0004-0000-1100-0000D0000000}"/>
    <hyperlink ref="K213" r:id="rId210" xr:uid="{00000000-0004-0000-1100-0000D1000000}"/>
    <hyperlink ref="K214" r:id="rId211" xr:uid="{00000000-0004-0000-1100-0000D2000000}"/>
    <hyperlink ref="K215" r:id="rId212" xr:uid="{00000000-0004-0000-1100-0000D3000000}"/>
    <hyperlink ref="K216" r:id="rId213" xr:uid="{00000000-0004-0000-1100-0000D4000000}"/>
    <hyperlink ref="K217" r:id="rId214" xr:uid="{00000000-0004-0000-1100-0000D5000000}"/>
    <hyperlink ref="K218" r:id="rId215" xr:uid="{00000000-0004-0000-1100-0000D6000000}"/>
    <hyperlink ref="K219" r:id="rId216" xr:uid="{00000000-0004-0000-1100-0000D7000000}"/>
    <hyperlink ref="K220" r:id="rId217" xr:uid="{00000000-0004-0000-1100-0000D8000000}"/>
    <hyperlink ref="K221" r:id="rId218" xr:uid="{00000000-0004-0000-1100-0000D9000000}"/>
    <hyperlink ref="K222" r:id="rId219" xr:uid="{00000000-0004-0000-1100-0000DA000000}"/>
    <hyperlink ref="K223" r:id="rId220" xr:uid="{00000000-0004-0000-1100-0000DB000000}"/>
    <hyperlink ref="K224" r:id="rId221" xr:uid="{00000000-0004-0000-1100-0000DC000000}"/>
    <hyperlink ref="K225" r:id="rId222" xr:uid="{00000000-0004-0000-1100-0000DD000000}"/>
    <hyperlink ref="K226" r:id="rId223" xr:uid="{00000000-0004-0000-1100-0000DE000000}"/>
    <hyperlink ref="K227" r:id="rId224" xr:uid="{00000000-0004-0000-1100-0000DF000000}"/>
    <hyperlink ref="K228" r:id="rId225" xr:uid="{00000000-0004-0000-1100-0000E0000000}"/>
    <hyperlink ref="K229" r:id="rId226" xr:uid="{00000000-0004-0000-1100-0000E1000000}"/>
    <hyperlink ref="K230" r:id="rId227" xr:uid="{00000000-0004-0000-1100-0000E2000000}"/>
    <hyperlink ref="K231" r:id="rId228" xr:uid="{00000000-0004-0000-1100-0000E3000000}"/>
    <hyperlink ref="K232" r:id="rId229" xr:uid="{00000000-0004-0000-1100-0000E4000000}"/>
    <hyperlink ref="K233" r:id="rId230" xr:uid="{00000000-0004-0000-1100-0000E5000000}"/>
    <hyperlink ref="K234" r:id="rId231" xr:uid="{00000000-0004-0000-1100-0000E6000000}"/>
    <hyperlink ref="K235" r:id="rId232" xr:uid="{00000000-0004-0000-1100-0000E7000000}"/>
    <hyperlink ref="K236" r:id="rId233" xr:uid="{00000000-0004-0000-1100-0000E8000000}"/>
    <hyperlink ref="K237" r:id="rId234" xr:uid="{00000000-0004-0000-1100-0000E9000000}"/>
    <hyperlink ref="K238" r:id="rId235" xr:uid="{00000000-0004-0000-1100-0000EA000000}"/>
    <hyperlink ref="K239" r:id="rId236" xr:uid="{00000000-0004-0000-1100-0000EB000000}"/>
    <hyperlink ref="K240" r:id="rId237" xr:uid="{00000000-0004-0000-1100-0000EC000000}"/>
    <hyperlink ref="K241" r:id="rId238" xr:uid="{00000000-0004-0000-1100-0000ED000000}"/>
    <hyperlink ref="K242" r:id="rId239" xr:uid="{00000000-0004-0000-1100-0000EE000000}"/>
    <hyperlink ref="K243" r:id="rId240" xr:uid="{00000000-0004-0000-1100-0000EF000000}"/>
    <hyperlink ref="K244" r:id="rId241" xr:uid="{00000000-0004-0000-1100-0000F0000000}"/>
    <hyperlink ref="K245" r:id="rId242" xr:uid="{00000000-0004-0000-1100-0000F1000000}"/>
    <hyperlink ref="K246" r:id="rId243" xr:uid="{00000000-0004-0000-1100-0000F2000000}"/>
    <hyperlink ref="K247" r:id="rId244" xr:uid="{00000000-0004-0000-1100-0000F3000000}"/>
    <hyperlink ref="K248" r:id="rId245" xr:uid="{00000000-0004-0000-1100-0000F4000000}"/>
    <hyperlink ref="K249" r:id="rId246" xr:uid="{00000000-0004-0000-1100-0000F5000000}"/>
    <hyperlink ref="K250" r:id="rId247" xr:uid="{00000000-0004-0000-1100-0000F6000000}"/>
    <hyperlink ref="K251" r:id="rId248" xr:uid="{00000000-0004-0000-1100-0000F7000000}"/>
    <hyperlink ref="K252" r:id="rId249" xr:uid="{00000000-0004-0000-1100-0000F8000000}"/>
    <hyperlink ref="K253" r:id="rId250" xr:uid="{00000000-0004-0000-1100-0000F9000000}"/>
    <hyperlink ref="K254" r:id="rId251" xr:uid="{00000000-0004-0000-1100-0000FA000000}"/>
    <hyperlink ref="K255" r:id="rId252" xr:uid="{00000000-0004-0000-1100-0000FB000000}"/>
    <hyperlink ref="K256" r:id="rId253" xr:uid="{00000000-0004-0000-1100-0000FC000000}"/>
    <hyperlink ref="K257" r:id="rId254" xr:uid="{00000000-0004-0000-1100-0000FD000000}"/>
    <hyperlink ref="K258" r:id="rId255" xr:uid="{00000000-0004-0000-1100-0000FE000000}"/>
    <hyperlink ref="K259" r:id="rId256" xr:uid="{00000000-0004-0000-1100-0000FF000000}"/>
    <hyperlink ref="K260" r:id="rId257" xr:uid="{00000000-0004-0000-1100-000000010000}"/>
    <hyperlink ref="K261" r:id="rId258" xr:uid="{00000000-0004-0000-1100-000001010000}"/>
    <hyperlink ref="K262" r:id="rId259" xr:uid="{00000000-0004-0000-1100-000002010000}"/>
    <hyperlink ref="K263" r:id="rId260" xr:uid="{00000000-0004-0000-1100-000003010000}"/>
    <hyperlink ref="K264" r:id="rId261" xr:uid="{00000000-0004-0000-1100-000004010000}"/>
    <hyperlink ref="K265" r:id="rId262" xr:uid="{00000000-0004-0000-1100-000005010000}"/>
    <hyperlink ref="K266" r:id="rId263" xr:uid="{00000000-0004-0000-1100-000006010000}"/>
    <hyperlink ref="K267" r:id="rId264" xr:uid="{00000000-0004-0000-1100-000007010000}"/>
    <hyperlink ref="K268" r:id="rId265" xr:uid="{00000000-0004-0000-1100-000008010000}"/>
    <hyperlink ref="K269" r:id="rId266" xr:uid="{00000000-0004-0000-1100-000009010000}"/>
    <hyperlink ref="K270" r:id="rId267" xr:uid="{00000000-0004-0000-1100-00000A010000}"/>
    <hyperlink ref="K271" r:id="rId268" xr:uid="{00000000-0004-0000-1100-00000B010000}"/>
    <hyperlink ref="K272" r:id="rId269" xr:uid="{00000000-0004-0000-1100-00000C010000}"/>
    <hyperlink ref="K273" r:id="rId270" xr:uid="{00000000-0004-0000-1100-00000D010000}"/>
    <hyperlink ref="K274" r:id="rId271" xr:uid="{00000000-0004-0000-1100-00000E010000}"/>
    <hyperlink ref="K275" r:id="rId272" xr:uid="{00000000-0004-0000-1100-00000F010000}"/>
    <hyperlink ref="K276" r:id="rId273" xr:uid="{00000000-0004-0000-1100-000010010000}"/>
    <hyperlink ref="K277" r:id="rId274" xr:uid="{00000000-0004-0000-1100-000011010000}"/>
    <hyperlink ref="K278" r:id="rId275" xr:uid="{00000000-0004-0000-1100-000012010000}"/>
    <hyperlink ref="K279" r:id="rId276" xr:uid="{00000000-0004-0000-1100-000013010000}"/>
    <hyperlink ref="K280" r:id="rId277" xr:uid="{00000000-0004-0000-1100-000014010000}"/>
    <hyperlink ref="K281" r:id="rId278" xr:uid="{00000000-0004-0000-1100-000015010000}"/>
    <hyperlink ref="K282" r:id="rId279" xr:uid="{00000000-0004-0000-1100-000016010000}"/>
    <hyperlink ref="K283" r:id="rId280" xr:uid="{00000000-0004-0000-1100-000017010000}"/>
    <hyperlink ref="K284" r:id="rId281" xr:uid="{00000000-0004-0000-1100-000018010000}"/>
    <hyperlink ref="K285" r:id="rId282" xr:uid="{00000000-0004-0000-1100-000019010000}"/>
    <hyperlink ref="K286" r:id="rId283" xr:uid="{00000000-0004-0000-1100-00001A010000}"/>
    <hyperlink ref="K287" r:id="rId284" xr:uid="{00000000-0004-0000-1100-00001B010000}"/>
    <hyperlink ref="K288" r:id="rId285" xr:uid="{00000000-0004-0000-1100-00001C010000}"/>
    <hyperlink ref="K289" r:id="rId286" xr:uid="{00000000-0004-0000-1100-00001D010000}"/>
    <hyperlink ref="K290" r:id="rId287" xr:uid="{00000000-0004-0000-1100-00001E010000}"/>
    <hyperlink ref="K291" r:id="rId288" xr:uid="{00000000-0004-0000-1100-00001F010000}"/>
    <hyperlink ref="K292" r:id="rId289" xr:uid="{00000000-0004-0000-1100-000020010000}"/>
    <hyperlink ref="K293" r:id="rId290" xr:uid="{00000000-0004-0000-1100-000021010000}"/>
    <hyperlink ref="K294" r:id="rId291" xr:uid="{00000000-0004-0000-1100-000022010000}"/>
    <hyperlink ref="K295" r:id="rId292" xr:uid="{00000000-0004-0000-1100-000023010000}"/>
    <hyperlink ref="K296" r:id="rId293" xr:uid="{00000000-0004-0000-1100-000024010000}"/>
    <hyperlink ref="K297" r:id="rId294" xr:uid="{00000000-0004-0000-1100-000025010000}"/>
    <hyperlink ref="K298" r:id="rId295" xr:uid="{00000000-0004-0000-1100-000026010000}"/>
    <hyperlink ref="K299" r:id="rId296" xr:uid="{00000000-0004-0000-1100-000027010000}"/>
    <hyperlink ref="K300" r:id="rId297" xr:uid="{00000000-0004-0000-1100-000028010000}"/>
    <hyperlink ref="K301" r:id="rId298" xr:uid="{00000000-0004-0000-1100-000029010000}"/>
    <hyperlink ref="K302" r:id="rId299" xr:uid="{00000000-0004-0000-1100-00002A010000}"/>
    <hyperlink ref="K303" r:id="rId300" xr:uid="{00000000-0004-0000-1100-00002B010000}"/>
    <hyperlink ref="K304" r:id="rId301" xr:uid="{00000000-0004-0000-1100-00002C010000}"/>
    <hyperlink ref="K305" r:id="rId302" xr:uid="{00000000-0004-0000-1100-00002D010000}"/>
    <hyperlink ref="K306" r:id="rId303" xr:uid="{00000000-0004-0000-1100-00002E010000}"/>
    <hyperlink ref="K307" r:id="rId304" xr:uid="{00000000-0004-0000-1100-00002F010000}"/>
    <hyperlink ref="K308" r:id="rId305" xr:uid="{00000000-0004-0000-1100-000030010000}"/>
    <hyperlink ref="K309" r:id="rId306" xr:uid="{00000000-0004-0000-1100-000031010000}"/>
    <hyperlink ref="K310" r:id="rId307" xr:uid="{00000000-0004-0000-1100-000032010000}"/>
    <hyperlink ref="K311" r:id="rId308" xr:uid="{00000000-0004-0000-1100-000033010000}"/>
    <hyperlink ref="K312" r:id="rId309" xr:uid="{00000000-0004-0000-1100-000034010000}"/>
    <hyperlink ref="K313" r:id="rId310" xr:uid="{00000000-0004-0000-1100-000035010000}"/>
    <hyperlink ref="K314" r:id="rId311" xr:uid="{00000000-0004-0000-1100-000036010000}"/>
    <hyperlink ref="K315" r:id="rId312" xr:uid="{00000000-0004-0000-1100-000037010000}"/>
    <hyperlink ref="K316" r:id="rId313" xr:uid="{00000000-0004-0000-1100-000038010000}"/>
    <hyperlink ref="K317" r:id="rId314" xr:uid="{00000000-0004-0000-1100-000039010000}"/>
    <hyperlink ref="K318" r:id="rId315" xr:uid="{00000000-0004-0000-1100-00003A010000}"/>
    <hyperlink ref="K319" r:id="rId316" xr:uid="{00000000-0004-0000-1100-00003B010000}"/>
    <hyperlink ref="K320" r:id="rId317" xr:uid="{00000000-0004-0000-1100-00003C010000}"/>
    <hyperlink ref="K321" r:id="rId318" xr:uid="{00000000-0004-0000-1100-00003D010000}"/>
    <hyperlink ref="K322" r:id="rId319" xr:uid="{00000000-0004-0000-1100-00003E010000}"/>
    <hyperlink ref="K323" r:id="rId320" xr:uid="{00000000-0004-0000-1100-00003F010000}"/>
    <hyperlink ref="K324" r:id="rId321" xr:uid="{00000000-0004-0000-1100-000040010000}"/>
    <hyperlink ref="K325" r:id="rId322" xr:uid="{00000000-0004-0000-1100-000041010000}"/>
    <hyperlink ref="K326" r:id="rId323" xr:uid="{00000000-0004-0000-1100-000042010000}"/>
    <hyperlink ref="K327" r:id="rId324" xr:uid="{00000000-0004-0000-1100-000043010000}"/>
    <hyperlink ref="K328" r:id="rId325" xr:uid="{00000000-0004-0000-1100-000044010000}"/>
    <hyperlink ref="K329" r:id="rId326" xr:uid="{00000000-0004-0000-1100-000045010000}"/>
    <hyperlink ref="K330" r:id="rId327" xr:uid="{00000000-0004-0000-1100-000046010000}"/>
    <hyperlink ref="K331" r:id="rId328" xr:uid="{00000000-0004-0000-1100-000047010000}"/>
    <hyperlink ref="K332" r:id="rId329" xr:uid="{00000000-0004-0000-1100-000048010000}"/>
    <hyperlink ref="K333" r:id="rId330" xr:uid="{00000000-0004-0000-1100-000049010000}"/>
    <hyperlink ref="K334" r:id="rId331" xr:uid="{00000000-0004-0000-1100-00004A010000}"/>
    <hyperlink ref="K335" r:id="rId332" xr:uid="{00000000-0004-0000-1100-00004B010000}"/>
    <hyperlink ref="K336" r:id="rId333" xr:uid="{00000000-0004-0000-1100-00004C010000}"/>
    <hyperlink ref="K337" r:id="rId334" xr:uid="{00000000-0004-0000-1100-00004D010000}"/>
    <hyperlink ref="K338" r:id="rId335" xr:uid="{00000000-0004-0000-1100-00004E010000}"/>
    <hyperlink ref="K339" r:id="rId336" xr:uid="{00000000-0004-0000-1100-00004F010000}"/>
    <hyperlink ref="K340" r:id="rId337" xr:uid="{00000000-0004-0000-1100-000050010000}"/>
    <hyperlink ref="K341" r:id="rId338" xr:uid="{00000000-0004-0000-1100-000051010000}"/>
    <hyperlink ref="K342" r:id="rId339" xr:uid="{00000000-0004-0000-1100-000052010000}"/>
    <hyperlink ref="K343" r:id="rId340" xr:uid="{00000000-0004-0000-1100-000053010000}"/>
    <hyperlink ref="K344" r:id="rId341" xr:uid="{00000000-0004-0000-1100-000054010000}"/>
    <hyperlink ref="K345" r:id="rId342" xr:uid="{00000000-0004-0000-1100-000055010000}"/>
    <hyperlink ref="K346" r:id="rId343" xr:uid="{00000000-0004-0000-1100-000056010000}"/>
    <hyperlink ref="K347" r:id="rId344" xr:uid="{00000000-0004-0000-1100-000057010000}"/>
    <hyperlink ref="K348" r:id="rId345" xr:uid="{00000000-0004-0000-1100-000058010000}"/>
    <hyperlink ref="K349" r:id="rId346" xr:uid="{00000000-0004-0000-1100-000059010000}"/>
    <hyperlink ref="K350" r:id="rId347" xr:uid="{00000000-0004-0000-1100-00005A010000}"/>
    <hyperlink ref="K351" r:id="rId348" xr:uid="{00000000-0004-0000-1100-00005B010000}"/>
    <hyperlink ref="K352" r:id="rId349" xr:uid="{00000000-0004-0000-1100-00005C010000}"/>
    <hyperlink ref="K353" r:id="rId350" xr:uid="{00000000-0004-0000-1100-00005D010000}"/>
    <hyperlink ref="K354" r:id="rId351" xr:uid="{00000000-0004-0000-1100-00005E010000}"/>
    <hyperlink ref="K355" r:id="rId352" xr:uid="{00000000-0004-0000-1100-00005F010000}"/>
    <hyperlink ref="K356" r:id="rId353" xr:uid="{00000000-0004-0000-1100-000060010000}"/>
    <hyperlink ref="K357" r:id="rId354" xr:uid="{00000000-0004-0000-1100-000061010000}"/>
    <hyperlink ref="K358" r:id="rId355" xr:uid="{00000000-0004-0000-1100-000062010000}"/>
    <hyperlink ref="K359" r:id="rId356" xr:uid="{00000000-0004-0000-1100-000063010000}"/>
    <hyperlink ref="K360" r:id="rId357" xr:uid="{00000000-0004-0000-1100-000064010000}"/>
    <hyperlink ref="K361" r:id="rId358" xr:uid="{00000000-0004-0000-1100-000065010000}"/>
    <hyperlink ref="K362" r:id="rId359" xr:uid="{00000000-0004-0000-1100-000066010000}"/>
    <hyperlink ref="K363" r:id="rId360" xr:uid="{00000000-0004-0000-1100-000067010000}"/>
    <hyperlink ref="K364" r:id="rId361" xr:uid="{00000000-0004-0000-1100-000068010000}"/>
    <hyperlink ref="K365" r:id="rId362" xr:uid="{00000000-0004-0000-1100-000069010000}"/>
    <hyperlink ref="K366" r:id="rId363" xr:uid="{00000000-0004-0000-1100-00006A010000}"/>
    <hyperlink ref="K367" r:id="rId364" xr:uid="{00000000-0004-0000-1100-00006B010000}"/>
    <hyperlink ref="K368" r:id="rId365" xr:uid="{00000000-0004-0000-1100-00006C010000}"/>
    <hyperlink ref="K369" r:id="rId366" xr:uid="{00000000-0004-0000-1100-00006D010000}"/>
    <hyperlink ref="K370" r:id="rId367" xr:uid="{00000000-0004-0000-1100-00006E010000}"/>
    <hyperlink ref="K371" r:id="rId368" xr:uid="{00000000-0004-0000-1100-00006F010000}"/>
    <hyperlink ref="K372" r:id="rId369" xr:uid="{00000000-0004-0000-1100-000070010000}"/>
    <hyperlink ref="K373" r:id="rId370" xr:uid="{00000000-0004-0000-1100-000071010000}"/>
    <hyperlink ref="K374" r:id="rId371" xr:uid="{00000000-0004-0000-1100-000072010000}"/>
    <hyperlink ref="K375" r:id="rId372" xr:uid="{00000000-0004-0000-1100-000073010000}"/>
    <hyperlink ref="K376" r:id="rId373" xr:uid="{00000000-0004-0000-1100-000074010000}"/>
    <hyperlink ref="K377" r:id="rId374" xr:uid="{00000000-0004-0000-1100-000075010000}"/>
    <hyperlink ref="K378" r:id="rId375" xr:uid="{00000000-0004-0000-1100-000076010000}"/>
    <hyperlink ref="K379" r:id="rId376" xr:uid="{00000000-0004-0000-1100-000077010000}"/>
    <hyperlink ref="K380" r:id="rId377" xr:uid="{00000000-0004-0000-1100-000078010000}"/>
    <hyperlink ref="K381" r:id="rId378" xr:uid="{00000000-0004-0000-1100-000079010000}"/>
    <hyperlink ref="K382" r:id="rId379" xr:uid="{00000000-0004-0000-1100-00007A010000}"/>
    <hyperlink ref="K383" r:id="rId380" xr:uid="{00000000-0004-0000-1100-00007B010000}"/>
    <hyperlink ref="K384" r:id="rId381" xr:uid="{00000000-0004-0000-1100-00007C010000}"/>
    <hyperlink ref="K385" r:id="rId382" xr:uid="{00000000-0004-0000-1100-00007D010000}"/>
    <hyperlink ref="K386" r:id="rId383" xr:uid="{00000000-0004-0000-1100-00007E010000}"/>
    <hyperlink ref="K387" r:id="rId384" xr:uid="{00000000-0004-0000-1100-00007F010000}"/>
    <hyperlink ref="K388" r:id="rId385" xr:uid="{00000000-0004-0000-1100-000080010000}"/>
    <hyperlink ref="K389" r:id="rId386" xr:uid="{00000000-0004-0000-1100-000081010000}"/>
    <hyperlink ref="K390" r:id="rId387" xr:uid="{00000000-0004-0000-1100-000082010000}"/>
    <hyperlink ref="K391" r:id="rId388" xr:uid="{00000000-0004-0000-1100-000083010000}"/>
    <hyperlink ref="K392" r:id="rId389" xr:uid="{00000000-0004-0000-1100-000084010000}"/>
    <hyperlink ref="K393" r:id="rId390" xr:uid="{00000000-0004-0000-1100-000085010000}"/>
    <hyperlink ref="K394" r:id="rId391" xr:uid="{00000000-0004-0000-1100-000086010000}"/>
    <hyperlink ref="K395" r:id="rId392" xr:uid="{00000000-0004-0000-1100-000087010000}"/>
    <hyperlink ref="K396" r:id="rId393" xr:uid="{00000000-0004-0000-1100-000088010000}"/>
    <hyperlink ref="K397" r:id="rId394" xr:uid="{00000000-0004-0000-1100-000089010000}"/>
    <hyperlink ref="K398" r:id="rId395" xr:uid="{00000000-0004-0000-1100-00008A010000}"/>
    <hyperlink ref="K399" r:id="rId396" xr:uid="{00000000-0004-0000-1100-00008B010000}"/>
    <hyperlink ref="K400" r:id="rId397" xr:uid="{00000000-0004-0000-1100-00008C010000}"/>
    <hyperlink ref="K401" r:id="rId398" xr:uid="{00000000-0004-0000-1100-00008D010000}"/>
    <hyperlink ref="K402" r:id="rId399" xr:uid="{00000000-0004-0000-1100-00008E010000}"/>
    <hyperlink ref="K403" r:id="rId400" xr:uid="{00000000-0004-0000-1100-00008F010000}"/>
    <hyperlink ref="K404" r:id="rId401" xr:uid="{00000000-0004-0000-1100-000090010000}"/>
    <hyperlink ref="K405" r:id="rId402" xr:uid="{00000000-0004-0000-1100-000091010000}"/>
    <hyperlink ref="K406" r:id="rId403" xr:uid="{00000000-0004-0000-1100-000092010000}"/>
    <hyperlink ref="K407" r:id="rId404" xr:uid="{00000000-0004-0000-1100-000093010000}"/>
    <hyperlink ref="K408" r:id="rId405" xr:uid="{00000000-0004-0000-1100-000094010000}"/>
    <hyperlink ref="K409" r:id="rId406" xr:uid="{00000000-0004-0000-1100-000095010000}"/>
    <hyperlink ref="K410" r:id="rId407" xr:uid="{00000000-0004-0000-1100-000096010000}"/>
    <hyperlink ref="K411" r:id="rId408" xr:uid="{00000000-0004-0000-1100-000097010000}"/>
    <hyperlink ref="K412" r:id="rId409" xr:uid="{00000000-0004-0000-1100-000098010000}"/>
    <hyperlink ref="K413" r:id="rId410" xr:uid="{00000000-0004-0000-1100-000099010000}"/>
    <hyperlink ref="K414" r:id="rId411" xr:uid="{00000000-0004-0000-1100-00009A010000}"/>
    <hyperlink ref="K415" r:id="rId412" xr:uid="{00000000-0004-0000-1100-00009B010000}"/>
    <hyperlink ref="K416" r:id="rId413" xr:uid="{00000000-0004-0000-1100-00009C010000}"/>
    <hyperlink ref="K417" r:id="rId414" xr:uid="{00000000-0004-0000-1100-00009D010000}"/>
    <hyperlink ref="K418" r:id="rId415" xr:uid="{00000000-0004-0000-1100-00009E010000}"/>
    <hyperlink ref="K419" r:id="rId416" xr:uid="{00000000-0004-0000-1100-00009F010000}"/>
    <hyperlink ref="K420" r:id="rId417" xr:uid="{00000000-0004-0000-1100-0000A0010000}"/>
    <hyperlink ref="K421" r:id="rId418" xr:uid="{00000000-0004-0000-1100-0000A1010000}"/>
    <hyperlink ref="K422" r:id="rId419" xr:uid="{00000000-0004-0000-1100-0000A2010000}"/>
    <hyperlink ref="K423" r:id="rId420" xr:uid="{00000000-0004-0000-1100-0000A3010000}"/>
    <hyperlink ref="K424" r:id="rId421" xr:uid="{00000000-0004-0000-1100-0000A4010000}"/>
    <hyperlink ref="K425" r:id="rId422" xr:uid="{00000000-0004-0000-1100-0000A5010000}"/>
    <hyperlink ref="K426" r:id="rId423" xr:uid="{00000000-0004-0000-1100-0000A6010000}"/>
    <hyperlink ref="K427" r:id="rId424" xr:uid="{00000000-0004-0000-1100-0000A7010000}"/>
    <hyperlink ref="K428" r:id="rId425" xr:uid="{00000000-0004-0000-1100-0000A8010000}"/>
    <hyperlink ref="K429" r:id="rId426" xr:uid="{00000000-0004-0000-1100-0000A9010000}"/>
    <hyperlink ref="K430" r:id="rId427" xr:uid="{00000000-0004-0000-1100-0000AA010000}"/>
    <hyperlink ref="K431" r:id="rId428" xr:uid="{00000000-0004-0000-1100-0000AB010000}"/>
    <hyperlink ref="K432" r:id="rId429" xr:uid="{00000000-0004-0000-1100-0000AC010000}"/>
    <hyperlink ref="K433" r:id="rId430" xr:uid="{00000000-0004-0000-1100-0000AD010000}"/>
    <hyperlink ref="K434" r:id="rId431" xr:uid="{00000000-0004-0000-1100-0000AE010000}"/>
    <hyperlink ref="K435" r:id="rId432" xr:uid="{00000000-0004-0000-1100-0000AF010000}"/>
    <hyperlink ref="K436" r:id="rId433" xr:uid="{00000000-0004-0000-1100-0000B0010000}"/>
    <hyperlink ref="K437" r:id="rId434" xr:uid="{00000000-0004-0000-1100-0000B1010000}"/>
    <hyperlink ref="K438" r:id="rId435" xr:uid="{00000000-0004-0000-1100-0000B2010000}"/>
    <hyperlink ref="K439" r:id="rId436" xr:uid="{00000000-0004-0000-1100-0000B3010000}"/>
    <hyperlink ref="K440" r:id="rId437" xr:uid="{00000000-0004-0000-1100-0000B4010000}"/>
    <hyperlink ref="K441" r:id="rId438" xr:uid="{00000000-0004-0000-1100-0000B5010000}"/>
    <hyperlink ref="K442" r:id="rId439" xr:uid="{00000000-0004-0000-1100-0000B6010000}"/>
    <hyperlink ref="K443" r:id="rId440" xr:uid="{00000000-0004-0000-1100-0000B7010000}"/>
    <hyperlink ref="K444" r:id="rId441" xr:uid="{00000000-0004-0000-1100-0000B8010000}"/>
    <hyperlink ref="K445" r:id="rId442" xr:uid="{00000000-0004-0000-1100-0000B9010000}"/>
    <hyperlink ref="K446" r:id="rId443" xr:uid="{00000000-0004-0000-1100-0000BA010000}"/>
    <hyperlink ref="K447" r:id="rId444" xr:uid="{00000000-0004-0000-1100-0000BB010000}"/>
    <hyperlink ref="K448" r:id="rId445" xr:uid="{00000000-0004-0000-1100-0000BC010000}"/>
    <hyperlink ref="K449" r:id="rId446" xr:uid="{00000000-0004-0000-1100-0000BD010000}"/>
    <hyperlink ref="K450" r:id="rId447" xr:uid="{00000000-0004-0000-1100-0000BE010000}"/>
    <hyperlink ref="K451" r:id="rId448" xr:uid="{00000000-0004-0000-1100-0000BF010000}"/>
    <hyperlink ref="K452" r:id="rId449" xr:uid="{00000000-0004-0000-1100-0000C0010000}"/>
    <hyperlink ref="K453" r:id="rId450" xr:uid="{00000000-0004-0000-1100-0000C1010000}"/>
    <hyperlink ref="K454" r:id="rId451" xr:uid="{00000000-0004-0000-1100-0000C2010000}"/>
    <hyperlink ref="K455" r:id="rId452" xr:uid="{00000000-0004-0000-1100-0000C3010000}"/>
    <hyperlink ref="K456" r:id="rId453" xr:uid="{00000000-0004-0000-1100-0000C4010000}"/>
    <hyperlink ref="K457" r:id="rId454" xr:uid="{00000000-0004-0000-1100-0000C5010000}"/>
    <hyperlink ref="K458" r:id="rId455" xr:uid="{00000000-0004-0000-1100-0000C6010000}"/>
    <hyperlink ref="K459" r:id="rId456" xr:uid="{00000000-0004-0000-1100-0000C7010000}"/>
    <hyperlink ref="K460" r:id="rId457" xr:uid="{00000000-0004-0000-1100-0000C8010000}"/>
    <hyperlink ref="K461" r:id="rId458" xr:uid="{00000000-0004-0000-1100-0000C9010000}"/>
    <hyperlink ref="K462" r:id="rId459" xr:uid="{00000000-0004-0000-1100-0000CA010000}"/>
    <hyperlink ref="K463" r:id="rId460" xr:uid="{00000000-0004-0000-1100-0000CB010000}"/>
    <hyperlink ref="K464" r:id="rId461" xr:uid="{00000000-0004-0000-1100-0000CC010000}"/>
    <hyperlink ref="K465" r:id="rId462" xr:uid="{00000000-0004-0000-1100-0000CD010000}"/>
    <hyperlink ref="K466" r:id="rId463" xr:uid="{00000000-0004-0000-1100-0000CE010000}"/>
    <hyperlink ref="K467" r:id="rId464" xr:uid="{00000000-0004-0000-1100-0000CF010000}"/>
    <hyperlink ref="K468" r:id="rId465" xr:uid="{00000000-0004-0000-1100-0000D0010000}"/>
    <hyperlink ref="K469" r:id="rId466" xr:uid="{00000000-0004-0000-1100-0000D1010000}"/>
    <hyperlink ref="K470" r:id="rId467" xr:uid="{00000000-0004-0000-1100-0000D2010000}"/>
    <hyperlink ref="K471" r:id="rId468" xr:uid="{00000000-0004-0000-1100-0000D3010000}"/>
    <hyperlink ref="K472" r:id="rId469" xr:uid="{00000000-0004-0000-1100-0000D4010000}"/>
    <hyperlink ref="K473" r:id="rId470" xr:uid="{00000000-0004-0000-1100-0000D5010000}"/>
    <hyperlink ref="K474" r:id="rId471" xr:uid="{00000000-0004-0000-1100-0000D6010000}"/>
    <hyperlink ref="K475" r:id="rId472" xr:uid="{00000000-0004-0000-1100-0000D7010000}"/>
    <hyperlink ref="K476" r:id="rId473" xr:uid="{00000000-0004-0000-1100-0000D8010000}"/>
    <hyperlink ref="K477" r:id="rId474" xr:uid="{00000000-0004-0000-1100-0000D9010000}"/>
    <hyperlink ref="K478" r:id="rId475" xr:uid="{00000000-0004-0000-1100-0000DA010000}"/>
    <hyperlink ref="K479" r:id="rId476" xr:uid="{00000000-0004-0000-1100-0000DB010000}"/>
    <hyperlink ref="K480" r:id="rId477" xr:uid="{00000000-0004-0000-1100-0000DC010000}"/>
    <hyperlink ref="K481" r:id="rId478" xr:uid="{00000000-0004-0000-1100-0000DD010000}"/>
    <hyperlink ref="K482" r:id="rId479" xr:uid="{00000000-0004-0000-1100-0000DE010000}"/>
    <hyperlink ref="K483" r:id="rId480" xr:uid="{00000000-0004-0000-1100-0000DF010000}"/>
    <hyperlink ref="K484" r:id="rId481" xr:uid="{00000000-0004-0000-1100-0000E0010000}"/>
    <hyperlink ref="K485" r:id="rId482" xr:uid="{00000000-0004-0000-1100-0000E1010000}"/>
    <hyperlink ref="K486" r:id="rId483" xr:uid="{00000000-0004-0000-1100-0000E2010000}"/>
    <hyperlink ref="K487" r:id="rId484" xr:uid="{00000000-0004-0000-1100-0000E301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BC650"/>
  <sheetViews>
    <sheetView workbookViewId="0"/>
  </sheetViews>
  <sheetFormatPr defaultColWidth="12.5703125" defaultRowHeight="15.75" customHeight="1"/>
  <cols>
    <col min="4" max="4" width="24.42578125" customWidth="1"/>
    <col min="5" max="5" width="24.7109375" customWidth="1"/>
  </cols>
  <sheetData>
    <row r="1" spans="1:55">
      <c r="A1" s="5815" t="s">
        <v>13059</v>
      </c>
      <c r="B1" s="5815" t="s">
        <v>13060</v>
      </c>
      <c r="C1" s="5815" t="s">
        <v>13063</v>
      </c>
      <c r="D1" s="5815" t="s">
        <v>13064</v>
      </c>
      <c r="E1" s="5815" t="s">
        <v>13065</v>
      </c>
      <c r="F1" s="5815" t="s">
        <v>13060</v>
      </c>
      <c r="G1" s="5815" t="s">
        <v>1523</v>
      </c>
      <c r="H1" s="5815" t="s">
        <v>46</v>
      </c>
      <c r="I1" s="5815" t="s">
        <v>1522</v>
      </c>
      <c r="J1" s="5815" t="s">
        <v>13062</v>
      </c>
      <c r="K1" s="5815"/>
      <c r="L1" s="5815"/>
      <c r="M1" s="5815"/>
      <c r="N1" s="5815"/>
      <c r="O1" s="5815"/>
      <c r="P1" s="5815"/>
      <c r="Q1" s="5815"/>
      <c r="R1" s="5815"/>
      <c r="S1" s="5815"/>
      <c r="T1" s="5816"/>
      <c r="U1" s="5815"/>
      <c r="V1" s="5815"/>
      <c r="W1" s="5815"/>
      <c r="X1" s="5815"/>
      <c r="Y1" s="5815"/>
      <c r="Z1" s="5815"/>
      <c r="AA1" s="5815"/>
      <c r="AB1" s="5815"/>
      <c r="AC1" s="5815"/>
      <c r="AD1" s="5815"/>
      <c r="AE1" s="5815"/>
      <c r="AF1" s="5815"/>
      <c r="AG1" s="5815"/>
      <c r="AH1" s="5815"/>
      <c r="AI1" s="5815"/>
      <c r="AJ1" s="5815"/>
      <c r="AK1" s="5815"/>
      <c r="AL1" s="5815"/>
      <c r="AM1" s="5815"/>
      <c r="AN1" s="5815"/>
      <c r="AO1" s="5815"/>
      <c r="AP1" s="5815"/>
      <c r="AQ1" s="5815"/>
      <c r="AR1" s="5815"/>
      <c r="AS1" s="5815"/>
      <c r="AT1" s="5815"/>
      <c r="AU1" s="5815"/>
      <c r="AV1" s="5815"/>
      <c r="AW1" s="5815"/>
      <c r="AX1" s="5815"/>
      <c r="AY1" s="5815"/>
      <c r="AZ1" s="5815"/>
      <c r="BA1" s="5815"/>
      <c r="BB1" s="5815"/>
      <c r="BC1" s="620"/>
    </row>
    <row r="2" spans="1:55">
      <c r="A2" s="5817">
        <f>COUNTA(A4:A999)</f>
        <v>647</v>
      </c>
      <c r="B2" s="5822">
        <f>COUNTIF($E$3:$E$800, "Decision*")</f>
        <v>314</v>
      </c>
      <c r="C2" s="5818">
        <f>SUM(B2/$A$2)</f>
        <v>0.48531684698608962</v>
      </c>
      <c r="D2" s="5818">
        <f t="shared" ref="D2:E2" si="0">SUM(G2/$A$2)</f>
        <v>0.17310664605873261</v>
      </c>
      <c r="E2" s="5818">
        <f t="shared" si="0"/>
        <v>0.31993817619783615</v>
      </c>
      <c r="F2" s="5822">
        <f>COUNTIF($E$3:$E$999, "Decision*")</f>
        <v>314</v>
      </c>
      <c r="G2" s="5817">
        <f>COUNTIF($E$3:$E$999, "Submission")</f>
        <v>112</v>
      </c>
      <c r="H2" s="5817">
        <f>COUNTIF($E$3:$E$1000, "KO/TKO")</f>
        <v>207</v>
      </c>
      <c r="I2" s="5817">
        <f>COUNTIF($E$3:$E$999, "Decision - Unanimous")</f>
        <v>240</v>
      </c>
      <c r="J2" s="5819">
        <f>COUNTIF($E$3:$E$999, "Decision - Split")</f>
        <v>64</v>
      </c>
      <c r="K2" s="5824"/>
      <c r="L2" s="5820"/>
      <c r="M2" s="5820"/>
      <c r="N2" s="5820"/>
      <c r="O2" s="5820"/>
      <c r="P2" s="5820"/>
      <c r="Q2" s="5820"/>
      <c r="R2" s="5820"/>
      <c r="S2" s="5820"/>
      <c r="T2" s="5821"/>
      <c r="U2" s="5820"/>
      <c r="V2" s="5820"/>
      <c r="W2" s="5820"/>
      <c r="X2" s="5820"/>
      <c r="Y2" s="5820"/>
      <c r="Z2" s="5820"/>
      <c r="AA2" s="5820"/>
      <c r="AB2" s="5820"/>
      <c r="AC2" s="5820"/>
      <c r="AD2" s="5820"/>
      <c r="AE2" s="5820"/>
      <c r="AF2" s="5820"/>
      <c r="AG2" s="5820"/>
      <c r="AH2" s="5820"/>
      <c r="AI2" s="5820"/>
      <c r="AJ2" s="5820"/>
      <c r="AK2" s="5820"/>
      <c r="AL2" s="5820"/>
      <c r="AM2" s="5820"/>
      <c r="AN2" s="5820"/>
      <c r="AO2" s="5820"/>
      <c r="AP2" s="5820"/>
      <c r="AQ2" s="5820"/>
      <c r="AR2" s="5820"/>
      <c r="AS2" s="5820"/>
      <c r="AT2" s="5820"/>
      <c r="AU2" s="5820"/>
      <c r="AV2" s="5820"/>
      <c r="AW2" s="5820"/>
      <c r="AX2" s="5820"/>
      <c r="AY2" s="5820"/>
      <c r="AZ2" s="5820"/>
      <c r="BA2" s="5820"/>
      <c r="BB2" s="5820"/>
      <c r="BC2" s="620"/>
    </row>
    <row r="3" spans="1:55">
      <c r="A3" s="21" t="s">
        <v>2034</v>
      </c>
      <c r="B3" s="21" t="s">
        <v>2035</v>
      </c>
      <c r="C3" s="21" t="s">
        <v>2036</v>
      </c>
      <c r="D3" s="21" t="s">
        <v>2037</v>
      </c>
      <c r="E3" s="21" t="s">
        <v>2038</v>
      </c>
      <c r="F3" s="21" t="s">
        <v>2039</v>
      </c>
      <c r="G3" s="21" t="s">
        <v>2040</v>
      </c>
      <c r="H3" s="21" t="s">
        <v>2041</v>
      </c>
      <c r="I3" s="21" t="s">
        <v>2042</v>
      </c>
      <c r="J3" s="21" t="s">
        <v>2043</v>
      </c>
      <c r="K3" s="21" t="s">
        <v>2044</v>
      </c>
    </row>
    <row r="4" spans="1:55">
      <c r="A4" s="21" t="s">
        <v>2800</v>
      </c>
      <c r="B4" s="21" t="s">
        <v>10006</v>
      </c>
      <c r="C4" s="21" t="s">
        <v>179</v>
      </c>
      <c r="D4" s="21" t="s">
        <v>1147</v>
      </c>
      <c r="E4" s="21" t="s">
        <v>180</v>
      </c>
      <c r="F4" s="5812">
        <v>1</v>
      </c>
      <c r="G4" s="5813">
        <v>0.14791666666666667</v>
      </c>
      <c r="H4" s="21" t="s">
        <v>10</v>
      </c>
      <c r="I4" s="21" t="s">
        <v>226</v>
      </c>
      <c r="J4" s="21" t="s">
        <v>10007</v>
      </c>
      <c r="K4" s="5814" t="s">
        <v>10008</v>
      </c>
    </row>
    <row r="5" spans="1:55">
      <c r="A5" s="21" t="s">
        <v>3134</v>
      </c>
      <c r="B5" s="21" t="s">
        <v>10009</v>
      </c>
      <c r="C5" s="21" t="s">
        <v>179</v>
      </c>
      <c r="D5" s="21" t="s">
        <v>1147</v>
      </c>
      <c r="E5" s="21" t="s">
        <v>180</v>
      </c>
      <c r="F5" s="5812">
        <v>2</v>
      </c>
      <c r="G5" s="5813">
        <v>1.2500000000000001E-2</v>
      </c>
      <c r="H5" s="21" t="s">
        <v>54</v>
      </c>
      <c r="I5" s="21" t="s">
        <v>55</v>
      </c>
      <c r="J5" s="21" t="s">
        <v>10010</v>
      </c>
      <c r="K5" s="5814" t="s">
        <v>10011</v>
      </c>
    </row>
    <row r="6" spans="1:55">
      <c r="A6" s="21" t="s">
        <v>20</v>
      </c>
      <c r="B6" s="21" t="s">
        <v>1208</v>
      </c>
      <c r="C6" s="21" t="s">
        <v>179</v>
      </c>
      <c r="D6" s="21" t="s">
        <v>1147</v>
      </c>
      <c r="E6" s="21" t="s">
        <v>180</v>
      </c>
      <c r="F6" s="5812">
        <v>2</v>
      </c>
      <c r="G6" s="5813">
        <v>4.1666666666666664E-2</v>
      </c>
      <c r="H6" s="21" t="s">
        <v>10</v>
      </c>
      <c r="I6" s="21" t="s">
        <v>89</v>
      </c>
      <c r="J6" s="21" t="s">
        <v>1209</v>
      </c>
      <c r="K6" s="5814" t="s">
        <v>1210</v>
      </c>
    </row>
    <row r="7" spans="1:55">
      <c r="A7" s="21" t="s">
        <v>231</v>
      </c>
      <c r="B7" s="21" t="s">
        <v>1152</v>
      </c>
      <c r="C7" s="21" t="s">
        <v>709</v>
      </c>
      <c r="D7" s="21" t="s">
        <v>1147</v>
      </c>
      <c r="E7" s="21" t="s">
        <v>710</v>
      </c>
      <c r="F7" s="5812">
        <v>3</v>
      </c>
      <c r="G7" s="5813">
        <v>0.20833333333333334</v>
      </c>
      <c r="H7" s="21" t="s">
        <v>10</v>
      </c>
      <c r="I7" s="21" t="s">
        <v>788</v>
      </c>
      <c r="J7" s="21" t="s">
        <v>1153</v>
      </c>
      <c r="K7" s="5814" t="s">
        <v>10012</v>
      </c>
    </row>
    <row r="8" spans="1:55">
      <c r="A8" s="21" t="s">
        <v>3643</v>
      </c>
      <c r="B8" s="21" t="s">
        <v>10013</v>
      </c>
      <c r="C8" s="21" t="s">
        <v>22</v>
      </c>
      <c r="D8" s="21" t="s">
        <v>1147</v>
      </c>
      <c r="E8" s="21" t="s">
        <v>710</v>
      </c>
      <c r="F8" s="5812">
        <v>3</v>
      </c>
      <c r="G8" s="5813">
        <v>0.20833333333333334</v>
      </c>
      <c r="H8" s="21" t="s">
        <v>10</v>
      </c>
      <c r="I8" s="21" t="s">
        <v>11</v>
      </c>
      <c r="J8" s="21" t="s">
        <v>10014</v>
      </c>
      <c r="K8" s="5814" t="s">
        <v>10015</v>
      </c>
    </row>
    <row r="9" spans="1:55">
      <c r="A9" s="21" t="s">
        <v>2600</v>
      </c>
      <c r="B9" s="21" t="s">
        <v>10016</v>
      </c>
      <c r="C9" s="21" t="s">
        <v>8</v>
      </c>
      <c r="D9" s="21" t="s">
        <v>1147</v>
      </c>
      <c r="E9" s="21" t="s">
        <v>710</v>
      </c>
      <c r="F9" s="5812">
        <v>3</v>
      </c>
      <c r="G9" s="5813">
        <v>0.20833333333333334</v>
      </c>
      <c r="H9" s="21" t="s">
        <v>10</v>
      </c>
      <c r="I9" s="21" t="s">
        <v>6604</v>
      </c>
      <c r="J9" s="21" t="s">
        <v>10017</v>
      </c>
      <c r="K9" s="5814" t="s">
        <v>10018</v>
      </c>
    </row>
    <row r="10" spans="1:55">
      <c r="A10" s="21" t="s">
        <v>2626</v>
      </c>
      <c r="B10" s="21" t="s">
        <v>10019</v>
      </c>
      <c r="C10" s="21" t="s">
        <v>8</v>
      </c>
      <c r="D10" s="21" t="s">
        <v>1147</v>
      </c>
      <c r="E10" s="21" t="s">
        <v>710</v>
      </c>
      <c r="F10" s="5812">
        <v>3</v>
      </c>
      <c r="G10" s="5813">
        <v>0.20833333333333334</v>
      </c>
      <c r="H10" s="21" t="s">
        <v>10</v>
      </c>
      <c r="I10" s="21" t="s">
        <v>2171</v>
      </c>
      <c r="J10" s="21" t="s">
        <v>10020</v>
      </c>
      <c r="K10" s="5814" t="s">
        <v>10021</v>
      </c>
    </row>
    <row r="11" spans="1:55">
      <c r="A11" s="21" t="s">
        <v>2831</v>
      </c>
      <c r="B11" s="21" t="s">
        <v>10022</v>
      </c>
      <c r="C11" s="21" t="s">
        <v>709</v>
      </c>
      <c r="D11" s="21" t="s">
        <v>1147</v>
      </c>
      <c r="E11" s="21" t="s">
        <v>710</v>
      </c>
      <c r="F11" s="5812">
        <v>3</v>
      </c>
      <c r="G11" s="5813">
        <v>0.20833333333333334</v>
      </c>
      <c r="H11" s="21" t="s">
        <v>10</v>
      </c>
      <c r="I11" s="21" t="s">
        <v>2171</v>
      </c>
      <c r="J11" s="21" t="s">
        <v>10023</v>
      </c>
      <c r="K11" s="5814" t="s">
        <v>10024</v>
      </c>
    </row>
    <row r="12" spans="1:55">
      <c r="A12" s="21" t="s">
        <v>4430</v>
      </c>
      <c r="B12" s="21" t="s">
        <v>10025</v>
      </c>
      <c r="C12" s="21" t="s">
        <v>709</v>
      </c>
      <c r="D12" s="21" t="s">
        <v>1147</v>
      </c>
      <c r="E12" s="21" t="s">
        <v>710</v>
      </c>
      <c r="F12" s="5812">
        <v>3</v>
      </c>
      <c r="G12" s="5813">
        <v>0.20833333333333334</v>
      </c>
      <c r="H12" s="21" t="s">
        <v>10</v>
      </c>
      <c r="I12" s="21" t="s">
        <v>47</v>
      </c>
      <c r="J12" s="21" t="s">
        <v>10026</v>
      </c>
      <c r="K12" s="5814" t="s">
        <v>10027</v>
      </c>
    </row>
    <row r="13" spans="1:55">
      <c r="A13" s="21" t="s">
        <v>2932</v>
      </c>
      <c r="B13" s="21" t="s">
        <v>10028</v>
      </c>
      <c r="C13" s="21" t="s">
        <v>22</v>
      </c>
      <c r="D13" s="21" t="s">
        <v>1147</v>
      </c>
      <c r="E13" s="21" t="s">
        <v>710</v>
      </c>
      <c r="F13" s="5812">
        <v>5</v>
      </c>
      <c r="G13" s="5813">
        <v>0.20833333333333334</v>
      </c>
      <c r="H13" s="21" t="s">
        <v>54</v>
      </c>
      <c r="I13" s="21" t="s">
        <v>2297</v>
      </c>
      <c r="J13" s="21" t="s">
        <v>10029</v>
      </c>
      <c r="K13" s="5814" t="s">
        <v>10030</v>
      </c>
    </row>
    <row r="14" spans="1:55">
      <c r="A14" s="21" t="s">
        <v>115</v>
      </c>
      <c r="B14" s="21" t="s">
        <v>1223</v>
      </c>
      <c r="C14" s="21" t="s">
        <v>8</v>
      </c>
      <c r="D14" s="21" t="s">
        <v>1147</v>
      </c>
      <c r="E14" s="21" t="s">
        <v>193</v>
      </c>
      <c r="F14" s="5812">
        <v>3</v>
      </c>
      <c r="G14" s="5813">
        <v>0.20833333333333334</v>
      </c>
      <c r="H14" s="21" t="s">
        <v>10</v>
      </c>
      <c r="I14" s="21" t="s">
        <v>11</v>
      </c>
      <c r="J14" s="21" t="s">
        <v>1224</v>
      </c>
      <c r="K14" s="5814" t="s">
        <v>1225</v>
      </c>
    </row>
    <row r="15" spans="1:55">
      <c r="A15" s="21" t="s">
        <v>166</v>
      </c>
      <c r="B15" s="21" t="s">
        <v>1240</v>
      </c>
      <c r="C15" s="21" t="s">
        <v>22</v>
      </c>
      <c r="D15" s="21" t="s">
        <v>1147</v>
      </c>
      <c r="E15" s="21" t="s">
        <v>193</v>
      </c>
      <c r="F15" s="5812">
        <v>3</v>
      </c>
      <c r="G15" s="5813">
        <v>0.20833333333333334</v>
      </c>
      <c r="H15" s="21" t="s">
        <v>10</v>
      </c>
      <c r="I15" s="21" t="s">
        <v>615</v>
      </c>
      <c r="J15" s="21" t="s">
        <v>1241</v>
      </c>
      <c r="K15" s="5814" t="s">
        <v>1242</v>
      </c>
    </row>
    <row r="16" spans="1:55">
      <c r="A16" s="21" t="s">
        <v>177</v>
      </c>
      <c r="B16" s="21" t="s">
        <v>1170</v>
      </c>
      <c r="C16" s="21" t="s">
        <v>8</v>
      </c>
      <c r="D16" s="21" t="s">
        <v>1147</v>
      </c>
      <c r="E16" s="21" t="s">
        <v>193</v>
      </c>
      <c r="F16" s="5812">
        <v>3</v>
      </c>
      <c r="G16" s="5813">
        <v>0.20833333333333334</v>
      </c>
      <c r="H16" s="21" t="s">
        <v>10</v>
      </c>
      <c r="I16" s="21" t="s">
        <v>23</v>
      </c>
      <c r="J16" s="21" t="s">
        <v>1171</v>
      </c>
      <c r="K16" s="5814" t="s">
        <v>1172</v>
      </c>
    </row>
    <row r="17" spans="1:11">
      <c r="A17" s="21" t="s">
        <v>2941</v>
      </c>
      <c r="B17" s="21" t="s">
        <v>10031</v>
      </c>
      <c r="C17" s="21" t="s">
        <v>22</v>
      </c>
      <c r="D17" s="21" t="s">
        <v>1147</v>
      </c>
      <c r="E17" s="21" t="s">
        <v>193</v>
      </c>
      <c r="F17" s="5812">
        <v>3</v>
      </c>
      <c r="G17" s="5813">
        <v>0.20833333333333334</v>
      </c>
      <c r="H17" s="21" t="s">
        <v>10</v>
      </c>
      <c r="I17" s="21" t="s">
        <v>96</v>
      </c>
      <c r="J17" s="21" t="s">
        <v>10032</v>
      </c>
      <c r="K17" s="5814" t="s">
        <v>10033</v>
      </c>
    </row>
    <row r="18" spans="1:11">
      <c r="A18" s="21" t="s">
        <v>3855</v>
      </c>
      <c r="B18" s="21" t="s">
        <v>10034</v>
      </c>
      <c r="C18" s="21" t="s">
        <v>8</v>
      </c>
      <c r="D18" s="21" t="s">
        <v>1147</v>
      </c>
      <c r="E18" s="21" t="s">
        <v>193</v>
      </c>
      <c r="F18" s="5812">
        <v>3</v>
      </c>
      <c r="G18" s="5813">
        <v>0.20833333333333334</v>
      </c>
      <c r="H18" s="21" t="s">
        <v>10</v>
      </c>
      <c r="I18" s="21" t="s">
        <v>39</v>
      </c>
      <c r="J18" s="21" t="s">
        <v>10035</v>
      </c>
      <c r="K18" s="5814" t="s">
        <v>10036</v>
      </c>
    </row>
    <row r="19" spans="1:11">
      <c r="A19" s="21" t="s">
        <v>3664</v>
      </c>
      <c r="B19" s="21" t="s">
        <v>10037</v>
      </c>
      <c r="C19" s="21" t="s">
        <v>8</v>
      </c>
      <c r="D19" s="21" t="s">
        <v>1147</v>
      </c>
      <c r="E19" s="21" t="s">
        <v>193</v>
      </c>
      <c r="F19" s="5812">
        <v>3</v>
      </c>
      <c r="G19" s="5813">
        <v>0.20833333333333334</v>
      </c>
      <c r="H19" s="21" t="s">
        <v>10</v>
      </c>
      <c r="I19" s="21" t="s">
        <v>226</v>
      </c>
      <c r="J19" s="21" t="s">
        <v>10038</v>
      </c>
      <c r="K19" s="5814" t="s">
        <v>10039</v>
      </c>
    </row>
    <row r="20" spans="1:11">
      <c r="A20" s="21" t="s">
        <v>2327</v>
      </c>
      <c r="B20" s="21" t="s">
        <v>10040</v>
      </c>
      <c r="C20" s="21" t="s">
        <v>22</v>
      </c>
      <c r="D20" s="21" t="s">
        <v>1147</v>
      </c>
      <c r="E20" s="21" t="s">
        <v>193</v>
      </c>
      <c r="F20" s="5812">
        <v>3</v>
      </c>
      <c r="G20" s="5813">
        <v>0.20833333333333334</v>
      </c>
      <c r="H20" s="21" t="s">
        <v>10</v>
      </c>
      <c r="I20" s="21" t="s">
        <v>226</v>
      </c>
      <c r="J20" s="21" t="s">
        <v>10041</v>
      </c>
      <c r="K20" s="5814" t="s">
        <v>10042</v>
      </c>
    </row>
    <row r="21" spans="1:11">
      <c r="A21" s="21" t="s">
        <v>3872</v>
      </c>
      <c r="B21" s="21" t="s">
        <v>10043</v>
      </c>
      <c r="C21" s="21" t="s">
        <v>8</v>
      </c>
      <c r="D21" s="21" t="s">
        <v>1147</v>
      </c>
      <c r="E21" s="21" t="s">
        <v>193</v>
      </c>
      <c r="F21" s="5812">
        <v>3</v>
      </c>
      <c r="G21" s="5813">
        <v>0.20833333333333334</v>
      </c>
      <c r="H21" s="21" t="s">
        <v>10</v>
      </c>
      <c r="I21" s="21" t="s">
        <v>11</v>
      </c>
      <c r="J21" s="21" t="s">
        <v>10044</v>
      </c>
      <c r="K21" s="5814" t="s">
        <v>10045</v>
      </c>
    </row>
    <row r="22" spans="1:11">
      <c r="A22" s="21" t="s">
        <v>3039</v>
      </c>
      <c r="B22" s="21" t="s">
        <v>10046</v>
      </c>
      <c r="C22" s="21" t="s">
        <v>8</v>
      </c>
      <c r="D22" s="21" t="s">
        <v>1147</v>
      </c>
      <c r="E22" s="21" t="s">
        <v>193</v>
      </c>
      <c r="F22" s="5812">
        <v>3</v>
      </c>
      <c r="G22" s="5813">
        <v>0.20833333333333334</v>
      </c>
      <c r="H22" s="21" t="s">
        <v>10</v>
      </c>
      <c r="I22" s="21" t="s">
        <v>47</v>
      </c>
      <c r="J22" s="21" t="s">
        <v>10047</v>
      </c>
      <c r="K22" s="5814" t="s">
        <v>10048</v>
      </c>
    </row>
    <row r="23" spans="1:11">
      <c r="A23" s="21" t="s">
        <v>2284</v>
      </c>
      <c r="B23" s="21" t="s">
        <v>10049</v>
      </c>
      <c r="C23" s="21" t="s">
        <v>8</v>
      </c>
      <c r="D23" s="21" t="s">
        <v>1147</v>
      </c>
      <c r="E23" s="21" t="s">
        <v>193</v>
      </c>
      <c r="F23" s="5812">
        <v>3</v>
      </c>
      <c r="G23" s="5813">
        <v>0.20833333333333334</v>
      </c>
      <c r="H23" s="21" t="s">
        <v>10</v>
      </c>
      <c r="I23" s="21" t="s">
        <v>73</v>
      </c>
      <c r="J23" s="21" t="s">
        <v>10050</v>
      </c>
      <c r="K23" s="5814" t="s">
        <v>10051</v>
      </c>
    </row>
    <row r="24" spans="1:11">
      <c r="A24" s="21" t="s">
        <v>2354</v>
      </c>
      <c r="B24" s="21" t="s">
        <v>10052</v>
      </c>
      <c r="C24" s="21" t="s">
        <v>22</v>
      </c>
      <c r="D24" s="21" t="s">
        <v>1147</v>
      </c>
      <c r="E24" s="21" t="s">
        <v>193</v>
      </c>
      <c r="F24" s="5812">
        <v>3</v>
      </c>
      <c r="G24" s="5813">
        <v>0.20833333333333334</v>
      </c>
      <c r="H24" s="21" t="s">
        <v>10</v>
      </c>
      <c r="I24" s="21" t="s">
        <v>55</v>
      </c>
      <c r="J24" s="21" t="s">
        <v>10053</v>
      </c>
      <c r="K24" s="5814" t="s">
        <v>10054</v>
      </c>
    </row>
    <row r="25" spans="1:11">
      <c r="A25" s="21" t="s">
        <v>3338</v>
      </c>
      <c r="B25" s="21" t="s">
        <v>10055</v>
      </c>
      <c r="C25" s="21" t="s">
        <v>22</v>
      </c>
      <c r="D25" s="21" t="s">
        <v>1147</v>
      </c>
      <c r="E25" s="21" t="s">
        <v>193</v>
      </c>
      <c r="F25" s="5812">
        <v>3</v>
      </c>
      <c r="G25" s="5813">
        <v>0.20833333333333334</v>
      </c>
      <c r="H25" s="21" t="s">
        <v>10</v>
      </c>
      <c r="I25" s="21" t="s">
        <v>226</v>
      </c>
      <c r="J25" s="21" t="s">
        <v>10056</v>
      </c>
      <c r="K25" s="5814" t="s">
        <v>10057</v>
      </c>
    </row>
    <row r="26" spans="1:11">
      <c r="A26" s="21" t="s">
        <v>2391</v>
      </c>
      <c r="B26" s="21" t="s">
        <v>10058</v>
      </c>
      <c r="C26" s="21" t="s">
        <v>22</v>
      </c>
      <c r="D26" s="21" t="s">
        <v>1147</v>
      </c>
      <c r="E26" s="21" t="s">
        <v>193</v>
      </c>
      <c r="F26" s="5812">
        <v>3</v>
      </c>
      <c r="G26" s="5813">
        <v>0.20833333333333334</v>
      </c>
      <c r="H26" s="21" t="s">
        <v>10</v>
      </c>
      <c r="I26" s="21" t="s">
        <v>89</v>
      </c>
      <c r="J26" s="21" t="s">
        <v>10059</v>
      </c>
      <c r="K26" s="5814" t="s">
        <v>10060</v>
      </c>
    </row>
    <row r="27" spans="1:11">
      <c r="A27" s="21" t="s">
        <v>2424</v>
      </c>
      <c r="B27" s="21" t="s">
        <v>10061</v>
      </c>
      <c r="C27" s="21" t="s">
        <v>22</v>
      </c>
      <c r="D27" s="21" t="s">
        <v>1147</v>
      </c>
      <c r="E27" s="21" t="s">
        <v>193</v>
      </c>
      <c r="F27" s="5812">
        <v>3</v>
      </c>
      <c r="G27" s="5813">
        <v>0.20833333333333334</v>
      </c>
      <c r="H27" s="21" t="s">
        <v>10</v>
      </c>
      <c r="I27" s="21" t="s">
        <v>55</v>
      </c>
      <c r="J27" s="21" t="s">
        <v>10062</v>
      </c>
      <c r="K27" s="5814" t="s">
        <v>10063</v>
      </c>
    </row>
    <row r="28" spans="1:11">
      <c r="A28" s="21" t="s">
        <v>2428</v>
      </c>
      <c r="B28" s="21" t="s">
        <v>10064</v>
      </c>
      <c r="C28" s="21" t="s">
        <v>8</v>
      </c>
      <c r="D28" s="21" t="s">
        <v>1147</v>
      </c>
      <c r="E28" s="21" t="s">
        <v>193</v>
      </c>
      <c r="F28" s="5812">
        <v>3</v>
      </c>
      <c r="G28" s="5813">
        <v>0.20833333333333334</v>
      </c>
      <c r="H28" s="21" t="s">
        <v>10</v>
      </c>
      <c r="I28" s="21" t="s">
        <v>96</v>
      </c>
      <c r="J28" s="21" t="s">
        <v>10065</v>
      </c>
      <c r="K28" s="5814" t="s">
        <v>10066</v>
      </c>
    </row>
    <row r="29" spans="1:11">
      <c r="A29" s="21" t="s">
        <v>3130</v>
      </c>
      <c r="B29" s="21" t="s">
        <v>10067</v>
      </c>
      <c r="C29" s="21" t="s">
        <v>22</v>
      </c>
      <c r="D29" s="21" t="s">
        <v>1147</v>
      </c>
      <c r="E29" s="21" t="s">
        <v>193</v>
      </c>
      <c r="F29" s="5812">
        <v>3</v>
      </c>
      <c r="G29" s="5813">
        <v>0.20833333333333334</v>
      </c>
      <c r="H29" s="21" t="s">
        <v>10</v>
      </c>
      <c r="I29" s="21" t="s">
        <v>11</v>
      </c>
      <c r="J29" s="21" t="s">
        <v>10068</v>
      </c>
      <c r="K29" s="5814" t="s">
        <v>10069</v>
      </c>
    </row>
    <row r="30" spans="1:11">
      <c r="A30" s="21" t="s">
        <v>3130</v>
      </c>
      <c r="B30" s="21" t="s">
        <v>10070</v>
      </c>
      <c r="C30" s="21" t="s">
        <v>8</v>
      </c>
      <c r="D30" s="21" t="s">
        <v>1147</v>
      </c>
      <c r="E30" s="21" t="s">
        <v>193</v>
      </c>
      <c r="F30" s="5812">
        <v>3</v>
      </c>
      <c r="G30" s="5813">
        <v>0.20833333333333334</v>
      </c>
      <c r="H30" s="21" t="s">
        <v>10</v>
      </c>
      <c r="I30" s="21" t="s">
        <v>11</v>
      </c>
      <c r="J30" s="21" t="s">
        <v>10071</v>
      </c>
      <c r="K30" s="5814" t="s">
        <v>10072</v>
      </c>
    </row>
    <row r="31" spans="1:11">
      <c r="A31" s="21" t="s">
        <v>2461</v>
      </c>
      <c r="B31" s="21" t="s">
        <v>10073</v>
      </c>
      <c r="C31" s="21" t="s">
        <v>8</v>
      </c>
      <c r="D31" s="21" t="s">
        <v>1147</v>
      </c>
      <c r="E31" s="21" t="s">
        <v>193</v>
      </c>
      <c r="F31" s="5812">
        <v>3</v>
      </c>
      <c r="G31" s="5813">
        <v>0.20833333333333334</v>
      </c>
      <c r="H31" s="21" t="s">
        <v>10</v>
      </c>
      <c r="I31" s="21" t="s">
        <v>39</v>
      </c>
      <c r="J31" s="21" t="s">
        <v>10074</v>
      </c>
      <c r="K31" s="5814" t="s">
        <v>10075</v>
      </c>
    </row>
    <row r="32" spans="1:11">
      <c r="A32" s="21" t="s">
        <v>2467</v>
      </c>
      <c r="B32" s="21" t="s">
        <v>10076</v>
      </c>
      <c r="C32" s="21" t="s">
        <v>8</v>
      </c>
      <c r="D32" s="21" t="s">
        <v>1147</v>
      </c>
      <c r="E32" s="21" t="s">
        <v>193</v>
      </c>
      <c r="F32" s="5812">
        <v>3</v>
      </c>
      <c r="G32" s="5813">
        <v>0.20833333333333334</v>
      </c>
      <c r="H32" s="21" t="s">
        <v>10</v>
      </c>
      <c r="I32" s="21" t="s">
        <v>23</v>
      </c>
      <c r="J32" s="21" t="s">
        <v>10077</v>
      </c>
      <c r="K32" s="5814" t="s">
        <v>10078</v>
      </c>
    </row>
    <row r="33" spans="1:11">
      <c r="A33" s="21" t="s">
        <v>2974</v>
      </c>
      <c r="B33" s="21" t="s">
        <v>10079</v>
      </c>
      <c r="C33" s="21" t="s">
        <v>8</v>
      </c>
      <c r="D33" s="21" t="s">
        <v>1147</v>
      </c>
      <c r="E33" s="21" t="s">
        <v>193</v>
      </c>
      <c r="F33" s="5812">
        <v>3</v>
      </c>
      <c r="G33" s="5813">
        <v>0.20833333333333334</v>
      </c>
      <c r="H33" s="21" t="s">
        <v>10</v>
      </c>
      <c r="I33" s="21" t="s">
        <v>39</v>
      </c>
      <c r="J33" s="21" t="s">
        <v>10080</v>
      </c>
      <c r="K33" s="5814" t="s">
        <v>10081</v>
      </c>
    </row>
    <row r="34" spans="1:11">
      <c r="A34" s="21" t="s">
        <v>2935</v>
      </c>
      <c r="B34" s="21" t="s">
        <v>10082</v>
      </c>
      <c r="C34" s="21" t="s">
        <v>8</v>
      </c>
      <c r="D34" s="21" t="s">
        <v>1147</v>
      </c>
      <c r="E34" s="21" t="s">
        <v>193</v>
      </c>
      <c r="F34" s="5812">
        <v>3</v>
      </c>
      <c r="G34" s="5813">
        <v>0.20833333333333334</v>
      </c>
      <c r="H34" s="21" t="s">
        <v>10</v>
      </c>
      <c r="I34" s="21" t="s">
        <v>10083</v>
      </c>
      <c r="J34" s="21" t="s">
        <v>10084</v>
      </c>
      <c r="K34" s="5814" t="s">
        <v>10085</v>
      </c>
    </row>
    <row r="35" spans="1:11">
      <c r="A35" s="21" t="s">
        <v>4043</v>
      </c>
      <c r="B35" s="21" t="s">
        <v>10086</v>
      </c>
      <c r="C35" s="21" t="s">
        <v>22</v>
      </c>
      <c r="D35" s="21" t="s">
        <v>1147</v>
      </c>
      <c r="E35" s="21" t="s">
        <v>193</v>
      </c>
      <c r="F35" s="5812">
        <v>3</v>
      </c>
      <c r="G35" s="5813">
        <v>0.20833333333333334</v>
      </c>
      <c r="H35" s="21" t="s">
        <v>10</v>
      </c>
      <c r="I35" s="21" t="s">
        <v>96</v>
      </c>
      <c r="J35" s="21" t="s">
        <v>10087</v>
      </c>
      <c r="K35" s="5814" t="s">
        <v>10088</v>
      </c>
    </row>
    <row r="36" spans="1:11">
      <c r="A36" s="21" t="s">
        <v>3203</v>
      </c>
      <c r="B36" s="21" t="s">
        <v>10089</v>
      </c>
      <c r="C36" s="21" t="s">
        <v>22</v>
      </c>
      <c r="D36" s="21" t="s">
        <v>1147</v>
      </c>
      <c r="E36" s="21" t="s">
        <v>193</v>
      </c>
      <c r="F36" s="5812">
        <v>3</v>
      </c>
      <c r="G36" s="5813">
        <v>0.20833333333333334</v>
      </c>
      <c r="H36" s="21" t="s">
        <v>10</v>
      </c>
      <c r="I36" s="21" t="s">
        <v>55</v>
      </c>
      <c r="J36" s="21" t="s">
        <v>10090</v>
      </c>
      <c r="K36" s="5814" t="s">
        <v>10091</v>
      </c>
    </row>
    <row r="37" spans="1:11">
      <c r="A37" s="21" t="s">
        <v>2979</v>
      </c>
      <c r="B37" s="21" t="s">
        <v>10092</v>
      </c>
      <c r="C37" s="21" t="s">
        <v>8</v>
      </c>
      <c r="D37" s="21" t="s">
        <v>1147</v>
      </c>
      <c r="E37" s="21" t="s">
        <v>193</v>
      </c>
      <c r="F37" s="5812">
        <v>3</v>
      </c>
      <c r="G37" s="5813">
        <v>0.20833333333333334</v>
      </c>
      <c r="H37" s="21" t="s">
        <v>10</v>
      </c>
      <c r="I37" s="21" t="s">
        <v>39</v>
      </c>
      <c r="J37" s="21" t="s">
        <v>10093</v>
      </c>
      <c r="K37" s="5814" t="s">
        <v>10094</v>
      </c>
    </row>
    <row r="38" spans="1:11">
      <c r="A38" s="21" t="s">
        <v>3252</v>
      </c>
      <c r="B38" s="21" t="s">
        <v>10095</v>
      </c>
      <c r="C38" s="21" t="s">
        <v>22</v>
      </c>
      <c r="D38" s="21" t="s">
        <v>1147</v>
      </c>
      <c r="E38" s="21" t="s">
        <v>193</v>
      </c>
      <c r="F38" s="5812">
        <v>3</v>
      </c>
      <c r="G38" s="5813">
        <v>0.20833333333333334</v>
      </c>
      <c r="H38" s="21" t="s">
        <v>10</v>
      </c>
      <c r="I38" s="21" t="s">
        <v>47</v>
      </c>
      <c r="J38" s="21" t="s">
        <v>10096</v>
      </c>
      <c r="K38" s="5814" t="s">
        <v>10097</v>
      </c>
    </row>
    <row r="39" spans="1:11">
      <c r="A39" s="21" t="s">
        <v>2174</v>
      </c>
      <c r="B39" s="21" t="s">
        <v>10098</v>
      </c>
      <c r="C39" s="21" t="s">
        <v>8</v>
      </c>
      <c r="D39" s="21" t="s">
        <v>1147</v>
      </c>
      <c r="E39" s="21" t="s">
        <v>193</v>
      </c>
      <c r="F39" s="5812">
        <v>3</v>
      </c>
      <c r="G39" s="5813">
        <v>0.20833333333333334</v>
      </c>
      <c r="H39" s="21" t="s">
        <v>10</v>
      </c>
      <c r="I39" s="21" t="s">
        <v>2176</v>
      </c>
      <c r="J39" s="21" t="s">
        <v>10099</v>
      </c>
      <c r="K39" s="5814" t="s">
        <v>10100</v>
      </c>
    </row>
    <row r="40" spans="1:11">
      <c r="A40" s="21" t="s">
        <v>2184</v>
      </c>
      <c r="B40" s="21" t="s">
        <v>10101</v>
      </c>
      <c r="C40" s="21" t="s">
        <v>22</v>
      </c>
      <c r="D40" s="21" t="s">
        <v>1147</v>
      </c>
      <c r="E40" s="21" t="s">
        <v>193</v>
      </c>
      <c r="F40" s="5812">
        <v>3</v>
      </c>
      <c r="G40" s="5813">
        <v>0.20833333333333334</v>
      </c>
      <c r="H40" s="21" t="s">
        <v>10</v>
      </c>
      <c r="I40" s="21" t="s">
        <v>226</v>
      </c>
      <c r="J40" s="21" t="s">
        <v>10102</v>
      </c>
      <c r="K40" s="5814" t="s">
        <v>10103</v>
      </c>
    </row>
    <row r="41" spans="1:11">
      <c r="A41" s="21" t="s">
        <v>2626</v>
      </c>
      <c r="B41" s="21" t="s">
        <v>10104</v>
      </c>
      <c r="C41" s="21" t="s">
        <v>22</v>
      </c>
      <c r="D41" s="21" t="s">
        <v>1147</v>
      </c>
      <c r="E41" s="21" t="s">
        <v>193</v>
      </c>
      <c r="F41" s="5812">
        <v>3</v>
      </c>
      <c r="G41" s="5813">
        <v>0.20833333333333334</v>
      </c>
      <c r="H41" s="21" t="s">
        <v>10</v>
      </c>
      <c r="I41" s="21" t="s">
        <v>2171</v>
      </c>
      <c r="J41" s="21" t="s">
        <v>10105</v>
      </c>
      <c r="K41" s="5814" t="s">
        <v>10106</v>
      </c>
    </row>
    <row r="42" spans="1:11">
      <c r="A42" s="21" t="s">
        <v>3395</v>
      </c>
      <c r="B42" s="21" t="s">
        <v>10107</v>
      </c>
      <c r="C42" s="21" t="s">
        <v>8</v>
      </c>
      <c r="D42" s="21" t="s">
        <v>1147</v>
      </c>
      <c r="E42" s="21" t="s">
        <v>193</v>
      </c>
      <c r="F42" s="5812">
        <v>3</v>
      </c>
      <c r="G42" s="5813">
        <v>0.20833333333333334</v>
      </c>
      <c r="H42" s="21" t="s">
        <v>10</v>
      </c>
      <c r="I42" s="21" t="s">
        <v>2523</v>
      </c>
      <c r="J42" s="21" t="s">
        <v>10108</v>
      </c>
      <c r="K42" s="5814" t="s">
        <v>10109</v>
      </c>
    </row>
    <row r="43" spans="1:11">
      <c r="A43" s="21" t="s">
        <v>2998</v>
      </c>
      <c r="B43" s="21" t="s">
        <v>10110</v>
      </c>
      <c r="C43" s="21" t="s">
        <v>8</v>
      </c>
      <c r="D43" s="21" t="s">
        <v>1147</v>
      </c>
      <c r="E43" s="21" t="s">
        <v>193</v>
      </c>
      <c r="F43" s="5812">
        <v>3</v>
      </c>
      <c r="G43" s="5813">
        <v>0.20833333333333334</v>
      </c>
      <c r="H43" s="21" t="s">
        <v>10</v>
      </c>
      <c r="I43" s="21" t="s">
        <v>96</v>
      </c>
      <c r="J43" s="21" t="s">
        <v>10111</v>
      </c>
      <c r="K43" s="5814" t="s">
        <v>10112</v>
      </c>
    </row>
    <row r="44" spans="1:11">
      <c r="A44" s="21" t="s">
        <v>2663</v>
      </c>
      <c r="B44" s="21" t="s">
        <v>10113</v>
      </c>
      <c r="C44" s="21" t="s">
        <v>8</v>
      </c>
      <c r="D44" s="21" t="s">
        <v>1147</v>
      </c>
      <c r="E44" s="21" t="s">
        <v>193</v>
      </c>
      <c r="F44" s="5812">
        <v>3</v>
      </c>
      <c r="G44" s="5813">
        <v>0.20833333333333334</v>
      </c>
      <c r="H44" s="21" t="s">
        <v>10</v>
      </c>
      <c r="I44" s="21" t="s">
        <v>4254</v>
      </c>
      <c r="J44" s="21" t="s">
        <v>10114</v>
      </c>
      <c r="K44" s="5814" t="s">
        <v>10115</v>
      </c>
    </row>
    <row r="45" spans="1:11">
      <c r="A45" s="21" t="s">
        <v>4527</v>
      </c>
      <c r="B45" s="21" t="s">
        <v>10116</v>
      </c>
      <c r="C45" s="21" t="s">
        <v>8</v>
      </c>
      <c r="D45" s="21" t="s">
        <v>1147</v>
      </c>
      <c r="E45" s="21" t="s">
        <v>193</v>
      </c>
      <c r="F45" s="5812">
        <v>3</v>
      </c>
      <c r="G45" s="5813">
        <v>0.20833333333333334</v>
      </c>
      <c r="H45" s="21" t="s">
        <v>10</v>
      </c>
      <c r="I45" s="21" t="s">
        <v>5887</v>
      </c>
      <c r="J45" s="21" t="s">
        <v>10117</v>
      </c>
      <c r="K45" s="5814" t="s">
        <v>10118</v>
      </c>
    </row>
    <row r="46" spans="1:11">
      <c r="A46" s="21" t="s">
        <v>2698</v>
      </c>
      <c r="B46" s="21" t="s">
        <v>10119</v>
      </c>
      <c r="C46" s="21" t="s">
        <v>8</v>
      </c>
      <c r="D46" s="21" t="s">
        <v>1147</v>
      </c>
      <c r="E46" s="21" t="s">
        <v>193</v>
      </c>
      <c r="F46" s="5812">
        <v>3</v>
      </c>
      <c r="G46" s="5813">
        <v>0.20833333333333334</v>
      </c>
      <c r="H46" s="21" t="s">
        <v>10</v>
      </c>
      <c r="I46" s="21" t="s">
        <v>2713</v>
      </c>
      <c r="J46" s="21" t="s">
        <v>10120</v>
      </c>
      <c r="K46" s="5814" t="s">
        <v>10121</v>
      </c>
    </row>
    <row r="47" spans="1:11">
      <c r="A47" s="21" t="s">
        <v>2707</v>
      </c>
      <c r="B47" s="21" t="s">
        <v>10122</v>
      </c>
      <c r="C47" s="21" t="s">
        <v>22</v>
      </c>
      <c r="D47" s="21" t="s">
        <v>1147</v>
      </c>
      <c r="E47" s="21" t="s">
        <v>193</v>
      </c>
      <c r="F47" s="5812">
        <v>3</v>
      </c>
      <c r="G47" s="5813">
        <v>0.20833333333333334</v>
      </c>
      <c r="H47" s="21" t="s">
        <v>10</v>
      </c>
      <c r="I47" s="21" t="s">
        <v>47</v>
      </c>
      <c r="J47" s="21" t="s">
        <v>10123</v>
      </c>
      <c r="K47" s="5814" t="s">
        <v>10124</v>
      </c>
    </row>
    <row r="48" spans="1:11">
      <c r="A48" s="21" t="s">
        <v>3761</v>
      </c>
      <c r="B48" s="21" t="s">
        <v>10125</v>
      </c>
      <c r="C48" s="21" t="s">
        <v>22</v>
      </c>
      <c r="D48" s="21" t="s">
        <v>1147</v>
      </c>
      <c r="E48" s="21" t="s">
        <v>193</v>
      </c>
      <c r="F48" s="5812">
        <v>3</v>
      </c>
      <c r="G48" s="5813">
        <v>0.20833333333333334</v>
      </c>
      <c r="H48" s="21" t="s">
        <v>10</v>
      </c>
      <c r="I48" s="21" t="s">
        <v>2713</v>
      </c>
      <c r="J48" s="21" t="s">
        <v>10126</v>
      </c>
      <c r="K48" s="5814" t="s">
        <v>10127</v>
      </c>
    </row>
    <row r="49" spans="1:11">
      <c r="A49" s="21" t="s">
        <v>2711</v>
      </c>
      <c r="B49" s="21" t="s">
        <v>10128</v>
      </c>
      <c r="C49" s="21" t="s">
        <v>22</v>
      </c>
      <c r="D49" s="21" t="s">
        <v>1147</v>
      </c>
      <c r="E49" s="21" t="s">
        <v>193</v>
      </c>
      <c r="F49" s="5812">
        <v>3</v>
      </c>
      <c r="G49" s="5813">
        <v>0.20833333333333334</v>
      </c>
      <c r="H49" s="21" t="s">
        <v>10</v>
      </c>
      <c r="I49" s="21"/>
      <c r="J49" s="21" t="s">
        <v>10129</v>
      </c>
      <c r="K49" s="5814" t="s">
        <v>10130</v>
      </c>
    </row>
    <row r="50" spans="1:11">
      <c r="A50" s="21" t="s">
        <v>2745</v>
      </c>
      <c r="B50" s="21" t="s">
        <v>10131</v>
      </c>
      <c r="C50" s="21" t="s">
        <v>8</v>
      </c>
      <c r="D50" s="21" t="s">
        <v>1147</v>
      </c>
      <c r="E50" s="21" t="s">
        <v>193</v>
      </c>
      <c r="F50" s="5812">
        <v>3</v>
      </c>
      <c r="G50" s="5813">
        <v>0.20833333333333334</v>
      </c>
      <c r="H50" s="21" t="s">
        <v>10</v>
      </c>
      <c r="I50" s="21" t="s">
        <v>2176</v>
      </c>
      <c r="J50" s="21" t="s">
        <v>10132</v>
      </c>
      <c r="K50" s="5814" t="s">
        <v>10133</v>
      </c>
    </row>
    <row r="51" spans="1:11">
      <c r="A51" s="21" t="s">
        <v>3532</v>
      </c>
      <c r="B51" s="21" t="s">
        <v>10134</v>
      </c>
      <c r="C51" s="21" t="s">
        <v>22</v>
      </c>
      <c r="D51" s="21" t="s">
        <v>1147</v>
      </c>
      <c r="E51" s="21" t="s">
        <v>193</v>
      </c>
      <c r="F51" s="5812">
        <v>3</v>
      </c>
      <c r="G51" s="5813">
        <v>0.20833333333333334</v>
      </c>
      <c r="H51" s="21" t="s">
        <v>10</v>
      </c>
      <c r="I51" s="21" t="s">
        <v>2269</v>
      </c>
      <c r="J51" s="21" t="s">
        <v>10135</v>
      </c>
      <c r="K51" s="5814" t="s">
        <v>10136</v>
      </c>
    </row>
    <row r="52" spans="1:11">
      <c r="A52" s="21" t="s">
        <v>3532</v>
      </c>
      <c r="B52" s="21" t="s">
        <v>10137</v>
      </c>
      <c r="C52" s="21" t="s">
        <v>8</v>
      </c>
      <c r="D52" s="21" t="s">
        <v>1147</v>
      </c>
      <c r="E52" s="21" t="s">
        <v>193</v>
      </c>
      <c r="F52" s="5812">
        <v>3</v>
      </c>
      <c r="G52" s="5813">
        <v>0.20833333333333334</v>
      </c>
      <c r="H52" s="21" t="s">
        <v>10</v>
      </c>
      <c r="I52" s="21" t="s">
        <v>5887</v>
      </c>
      <c r="J52" s="21" t="s">
        <v>10138</v>
      </c>
      <c r="K52" s="5814" t="s">
        <v>10139</v>
      </c>
    </row>
    <row r="53" spans="1:11">
      <c r="A53" s="21" t="s">
        <v>4289</v>
      </c>
      <c r="B53" s="21" t="s">
        <v>10140</v>
      </c>
      <c r="C53" s="21" t="s">
        <v>8</v>
      </c>
      <c r="D53" s="21" t="s">
        <v>1147</v>
      </c>
      <c r="E53" s="21" t="s">
        <v>193</v>
      </c>
      <c r="F53" s="5812">
        <v>3</v>
      </c>
      <c r="G53" s="5813">
        <v>0.20833333333333334</v>
      </c>
      <c r="H53" s="21" t="s">
        <v>10</v>
      </c>
      <c r="I53" s="21" t="s">
        <v>2660</v>
      </c>
      <c r="J53" s="21" t="s">
        <v>10141</v>
      </c>
      <c r="K53" s="5814" t="s">
        <v>10142</v>
      </c>
    </row>
    <row r="54" spans="1:11">
      <c r="A54" s="21" t="s">
        <v>2768</v>
      </c>
      <c r="B54" s="21" t="s">
        <v>10143</v>
      </c>
      <c r="C54" s="21" t="s">
        <v>22</v>
      </c>
      <c r="D54" s="21" t="s">
        <v>1147</v>
      </c>
      <c r="E54" s="21" t="s">
        <v>193</v>
      </c>
      <c r="F54" s="5812">
        <v>3</v>
      </c>
      <c r="G54" s="5813">
        <v>0.20833333333333334</v>
      </c>
      <c r="H54" s="21" t="s">
        <v>10</v>
      </c>
      <c r="I54" s="21" t="s">
        <v>194</v>
      </c>
      <c r="J54" s="21" t="s">
        <v>10144</v>
      </c>
      <c r="K54" s="5814" t="s">
        <v>10145</v>
      </c>
    </row>
    <row r="55" spans="1:11">
      <c r="A55" s="21" t="s">
        <v>4317</v>
      </c>
      <c r="B55" s="21" t="s">
        <v>10146</v>
      </c>
      <c r="C55" s="21" t="s">
        <v>22</v>
      </c>
      <c r="D55" s="21" t="s">
        <v>1147</v>
      </c>
      <c r="E55" s="21" t="s">
        <v>193</v>
      </c>
      <c r="F55" s="5812">
        <v>3</v>
      </c>
      <c r="G55" s="5813">
        <v>0.20833333333333334</v>
      </c>
      <c r="H55" s="21" t="s">
        <v>10</v>
      </c>
      <c r="I55" s="21" t="s">
        <v>3534</v>
      </c>
      <c r="J55" s="21" t="s">
        <v>10147</v>
      </c>
      <c r="K55" s="5814" t="s">
        <v>10148</v>
      </c>
    </row>
    <row r="56" spans="1:11">
      <c r="A56" s="21" t="s">
        <v>2776</v>
      </c>
      <c r="B56" s="21" t="s">
        <v>10149</v>
      </c>
      <c r="C56" s="21" t="s">
        <v>22</v>
      </c>
      <c r="D56" s="21" t="s">
        <v>1147</v>
      </c>
      <c r="E56" s="21" t="s">
        <v>193</v>
      </c>
      <c r="F56" s="5812">
        <v>3</v>
      </c>
      <c r="G56" s="5813">
        <v>0.20833333333333334</v>
      </c>
      <c r="H56" s="21" t="s">
        <v>10</v>
      </c>
      <c r="I56" s="21" t="s">
        <v>8174</v>
      </c>
      <c r="J56" s="21" t="s">
        <v>10150</v>
      </c>
      <c r="K56" s="5814" t="s">
        <v>10151</v>
      </c>
    </row>
    <row r="57" spans="1:11">
      <c r="A57" s="21" t="s">
        <v>4321</v>
      </c>
      <c r="B57" s="21" t="s">
        <v>10152</v>
      </c>
      <c r="C57" s="21" t="s">
        <v>8</v>
      </c>
      <c r="D57" s="21" t="s">
        <v>1147</v>
      </c>
      <c r="E57" s="21" t="s">
        <v>193</v>
      </c>
      <c r="F57" s="5812">
        <v>3</v>
      </c>
      <c r="G57" s="5813">
        <v>0.20833333333333334</v>
      </c>
      <c r="H57" s="21" t="s">
        <v>10</v>
      </c>
      <c r="I57" s="21" t="s">
        <v>73</v>
      </c>
      <c r="J57" s="21" t="s">
        <v>10153</v>
      </c>
      <c r="K57" s="5814" t="s">
        <v>10154</v>
      </c>
    </row>
    <row r="58" spans="1:11">
      <c r="A58" s="21" t="s">
        <v>2800</v>
      </c>
      <c r="B58" s="21" t="s">
        <v>10155</v>
      </c>
      <c r="C58" s="21" t="s">
        <v>8</v>
      </c>
      <c r="D58" s="21" t="s">
        <v>1147</v>
      </c>
      <c r="E58" s="21" t="s">
        <v>193</v>
      </c>
      <c r="F58" s="5812">
        <v>3</v>
      </c>
      <c r="G58" s="5813">
        <v>0.20833333333333334</v>
      </c>
      <c r="H58" s="21" t="s">
        <v>10</v>
      </c>
      <c r="I58" s="21" t="s">
        <v>2297</v>
      </c>
      <c r="J58" s="21" t="s">
        <v>10156</v>
      </c>
      <c r="K58" s="5814" t="s">
        <v>10157</v>
      </c>
    </row>
    <row r="59" spans="1:11">
      <c r="A59" s="21" t="s">
        <v>2804</v>
      </c>
      <c r="B59" s="21" t="s">
        <v>10158</v>
      </c>
      <c r="C59" s="21" t="s">
        <v>22</v>
      </c>
      <c r="D59" s="21" t="s">
        <v>1147</v>
      </c>
      <c r="E59" s="21" t="s">
        <v>193</v>
      </c>
      <c r="F59" s="5812">
        <v>3</v>
      </c>
      <c r="G59" s="5813">
        <v>0.20833333333333334</v>
      </c>
      <c r="H59" s="21" t="s">
        <v>10</v>
      </c>
      <c r="I59" s="21" t="s">
        <v>3024</v>
      </c>
      <c r="J59" s="21" t="s">
        <v>10159</v>
      </c>
      <c r="K59" s="5814" t="s">
        <v>10160</v>
      </c>
    </row>
    <row r="60" spans="1:11">
      <c r="A60" s="21" t="s">
        <v>3082</v>
      </c>
      <c r="B60" s="21" t="s">
        <v>10161</v>
      </c>
      <c r="C60" s="21" t="s">
        <v>8</v>
      </c>
      <c r="D60" s="21" t="s">
        <v>1147</v>
      </c>
      <c r="E60" s="21" t="s">
        <v>193</v>
      </c>
      <c r="F60" s="5812">
        <v>3</v>
      </c>
      <c r="G60" s="5813">
        <v>0.20833333333333334</v>
      </c>
      <c r="H60" s="21" t="s">
        <v>10</v>
      </c>
      <c r="I60" s="21" t="s">
        <v>2176</v>
      </c>
      <c r="J60" s="21" t="s">
        <v>10162</v>
      </c>
      <c r="K60" s="5814" t="s">
        <v>10163</v>
      </c>
    </row>
    <row r="61" spans="1:11">
      <c r="A61" s="21" t="s">
        <v>2295</v>
      </c>
      <c r="B61" s="21" t="s">
        <v>10164</v>
      </c>
      <c r="C61" s="21" t="s">
        <v>22</v>
      </c>
      <c r="D61" s="21" t="s">
        <v>1147</v>
      </c>
      <c r="E61" s="21" t="s">
        <v>193</v>
      </c>
      <c r="F61" s="5812">
        <v>3</v>
      </c>
      <c r="G61" s="5813">
        <v>0.20833333333333334</v>
      </c>
      <c r="H61" s="21" t="s">
        <v>10</v>
      </c>
      <c r="I61" s="21" t="s">
        <v>2297</v>
      </c>
      <c r="J61" s="21" t="s">
        <v>10165</v>
      </c>
      <c r="K61" s="5814" t="s">
        <v>10166</v>
      </c>
    </row>
    <row r="62" spans="1:11">
      <c r="A62" s="21" t="s">
        <v>2075</v>
      </c>
      <c r="B62" s="21" t="s">
        <v>10167</v>
      </c>
      <c r="C62" s="21" t="s">
        <v>8</v>
      </c>
      <c r="D62" s="21" t="s">
        <v>1147</v>
      </c>
      <c r="E62" s="21" t="s">
        <v>193</v>
      </c>
      <c r="F62" s="5812">
        <v>3</v>
      </c>
      <c r="G62" s="5813">
        <v>0.20833333333333334</v>
      </c>
      <c r="H62" s="21" t="s">
        <v>10</v>
      </c>
      <c r="I62" s="21" t="s">
        <v>73</v>
      </c>
      <c r="J62" s="21" t="s">
        <v>10168</v>
      </c>
      <c r="K62" s="5814" t="s">
        <v>10169</v>
      </c>
    </row>
    <row r="63" spans="1:11">
      <c r="A63" s="21" t="s">
        <v>2827</v>
      </c>
      <c r="B63" s="21" t="s">
        <v>10170</v>
      </c>
      <c r="C63" s="21" t="s">
        <v>8</v>
      </c>
      <c r="D63" s="21" t="s">
        <v>1147</v>
      </c>
      <c r="E63" s="21" t="s">
        <v>193</v>
      </c>
      <c r="F63" s="5812">
        <v>3</v>
      </c>
      <c r="G63" s="5813">
        <v>0.20833333333333334</v>
      </c>
      <c r="H63" s="21" t="s">
        <v>10</v>
      </c>
      <c r="I63" s="21" t="s">
        <v>47</v>
      </c>
      <c r="J63" s="21" t="s">
        <v>10171</v>
      </c>
      <c r="K63" s="5814" t="s">
        <v>10172</v>
      </c>
    </row>
    <row r="64" spans="1:11">
      <c r="A64" s="21" t="s">
        <v>4383</v>
      </c>
      <c r="B64" s="21" t="s">
        <v>10173</v>
      </c>
      <c r="C64" s="21" t="s">
        <v>8</v>
      </c>
      <c r="D64" s="21" t="s">
        <v>1147</v>
      </c>
      <c r="E64" s="21" t="s">
        <v>193</v>
      </c>
      <c r="F64" s="5812">
        <v>3</v>
      </c>
      <c r="G64" s="5813">
        <v>0.20833333333333334</v>
      </c>
      <c r="H64" s="21" t="s">
        <v>10</v>
      </c>
      <c r="I64" s="21" t="s">
        <v>55</v>
      </c>
      <c r="J64" s="21" t="s">
        <v>10174</v>
      </c>
      <c r="K64" s="5814" t="s">
        <v>10175</v>
      </c>
    </row>
    <row r="65" spans="1:11">
      <c r="A65" s="21" t="s">
        <v>2254</v>
      </c>
      <c r="B65" s="21" t="s">
        <v>10176</v>
      </c>
      <c r="C65" s="21" t="s">
        <v>22</v>
      </c>
      <c r="D65" s="21" t="s">
        <v>1147</v>
      </c>
      <c r="E65" s="21" t="s">
        <v>193</v>
      </c>
      <c r="F65" s="5812">
        <v>3</v>
      </c>
      <c r="G65" s="5813">
        <v>0.20833333333333334</v>
      </c>
      <c r="H65" s="21" t="s">
        <v>10</v>
      </c>
      <c r="I65" s="21" t="s">
        <v>96</v>
      </c>
      <c r="J65" s="21" t="s">
        <v>10177</v>
      </c>
      <c r="K65" s="5814" t="s">
        <v>10178</v>
      </c>
    </row>
    <row r="66" spans="1:11">
      <c r="A66" s="21" t="s">
        <v>2839</v>
      </c>
      <c r="B66" s="21" t="s">
        <v>10179</v>
      </c>
      <c r="C66" s="21" t="s">
        <v>709</v>
      </c>
      <c r="D66" s="21" t="s">
        <v>1147</v>
      </c>
      <c r="E66" s="21" t="s">
        <v>193</v>
      </c>
      <c r="F66" s="5812">
        <v>3</v>
      </c>
      <c r="G66" s="5813">
        <v>0.20833333333333334</v>
      </c>
      <c r="H66" s="21" t="s">
        <v>10</v>
      </c>
      <c r="I66" s="21" t="s">
        <v>233</v>
      </c>
      <c r="J66" s="21" t="s">
        <v>10180</v>
      </c>
      <c r="K66" s="5814" t="s">
        <v>10181</v>
      </c>
    </row>
    <row r="67" spans="1:11">
      <c r="A67" s="21" t="s">
        <v>2263</v>
      </c>
      <c r="B67" s="21" t="s">
        <v>10182</v>
      </c>
      <c r="C67" s="21" t="s">
        <v>22</v>
      </c>
      <c r="D67" s="21" t="s">
        <v>1147</v>
      </c>
      <c r="E67" s="21" t="s">
        <v>193</v>
      </c>
      <c r="F67" s="5812">
        <v>3</v>
      </c>
      <c r="G67" s="5813">
        <v>0.20833333333333334</v>
      </c>
      <c r="H67" s="21" t="s">
        <v>10</v>
      </c>
      <c r="I67" s="21" t="s">
        <v>2247</v>
      </c>
      <c r="J67" s="21" t="s">
        <v>2113</v>
      </c>
      <c r="K67" s="5814" t="s">
        <v>10183</v>
      </c>
    </row>
    <row r="68" spans="1:11">
      <c r="A68" s="21" t="s">
        <v>2263</v>
      </c>
      <c r="B68" s="21" t="s">
        <v>10184</v>
      </c>
      <c r="C68" s="21" t="s">
        <v>22</v>
      </c>
      <c r="D68" s="21" t="s">
        <v>1147</v>
      </c>
      <c r="E68" s="21" t="s">
        <v>193</v>
      </c>
      <c r="F68" s="5812">
        <v>3</v>
      </c>
      <c r="G68" s="5813">
        <v>0.20833333333333334</v>
      </c>
      <c r="H68" s="21" t="s">
        <v>10</v>
      </c>
      <c r="I68" s="21" t="s">
        <v>2297</v>
      </c>
      <c r="J68" s="21" t="s">
        <v>10185</v>
      </c>
      <c r="K68" s="5814" t="s">
        <v>10186</v>
      </c>
    </row>
    <row r="69" spans="1:11">
      <c r="A69" s="21" t="s">
        <v>2267</v>
      </c>
      <c r="B69" s="21" t="s">
        <v>10187</v>
      </c>
      <c r="C69" s="21" t="s">
        <v>22</v>
      </c>
      <c r="D69" s="21" t="s">
        <v>1147</v>
      </c>
      <c r="E69" s="21" t="s">
        <v>193</v>
      </c>
      <c r="F69" s="5812">
        <v>3</v>
      </c>
      <c r="G69" s="5813">
        <v>0.20833333333333334</v>
      </c>
      <c r="H69" s="21" t="s">
        <v>10</v>
      </c>
      <c r="I69" s="21" t="s">
        <v>2269</v>
      </c>
      <c r="J69" s="21" t="s">
        <v>10188</v>
      </c>
      <c r="K69" s="5814" t="s">
        <v>10189</v>
      </c>
    </row>
    <row r="70" spans="1:11">
      <c r="A70" s="21" t="s">
        <v>2870</v>
      </c>
      <c r="B70" s="21" t="s">
        <v>10190</v>
      </c>
      <c r="C70" s="21" t="s">
        <v>22</v>
      </c>
      <c r="D70" s="21" t="s">
        <v>1147</v>
      </c>
      <c r="E70" s="21" t="s">
        <v>193</v>
      </c>
      <c r="F70" s="5812">
        <v>3</v>
      </c>
      <c r="G70" s="5813">
        <v>0.20833333333333334</v>
      </c>
      <c r="H70" s="21" t="s">
        <v>10</v>
      </c>
      <c r="I70" s="21" t="s">
        <v>9052</v>
      </c>
      <c r="J70" s="21" t="s">
        <v>10191</v>
      </c>
      <c r="K70" s="5814" t="s">
        <v>10192</v>
      </c>
    </row>
    <row r="71" spans="1:11">
      <c r="A71" s="21" t="s">
        <v>2882</v>
      </c>
      <c r="B71" s="21" t="s">
        <v>10193</v>
      </c>
      <c r="C71" s="21" t="s">
        <v>22</v>
      </c>
      <c r="D71" s="21" t="s">
        <v>1147</v>
      </c>
      <c r="E71" s="21" t="s">
        <v>193</v>
      </c>
      <c r="F71" s="5812">
        <v>3</v>
      </c>
      <c r="G71" s="5813">
        <v>0.20833333333333334</v>
      </c>
      <c r="H71" s="21" t="s">
        <v>10</v>
      </c>
      <c r="I71" s="21" t="s">
        <v>2297</v>
      </c>
      <c r="J71" s="21" t="s">
        <v>10194</v>
      </c>
      <c r="K71" s="5814" t="s">
        <v>10195</v>
      </c>
    </row>
    <row r="72" spans="1:11">
      <c r="A72" s="21" t="s">
        <v>4621</v>
      </c>
      <c r="B72" s="21" t="s">
        <v>10196</v>
      </c>
      <c r="C72" s="21" t="s">
        <v>22</v>
      </c>
      <c r="D72" s="21" t="s">
        <v>1147</v>
      </c>
      <c r="E72" s="21" t="s">
        <v>193</v>
      </c>
      <c r="F72" s="5812">
        <v>3</v>
      </c>
      <c r="G72" s="5813">
        <v>0.20833333333333334</v>
      </c>
      <c r="H72" s="21" t="s">
        <v>10</v>
      </c>
      <c r="I72" s="21" t="s">
        <v>2568</v>
      </c>
      <c r="J72" s="21" t="s">
        <v>10197</v>
      </c>
      <c r="K72" s="5814" t="s">
        <v>10198</v>
      </c>
    </row>
    <row r="73" spans="1:11">
      <c r="A73" s="21" t="s">
        <v>4671</v>
      </c>
      <c r="B73" s="21" t="s">
        <v>10199</v>
      </c>
      <c r="C73" s="21" t="s">
        <v>8</v>
      </c>
      <c r="D73" s="21" t="s">
        <v>1147</v>
      </c>
      <c r="E73" s="21" t="s">
        <v>193</v>
      </c>
      <c r="F73" s="5812">
        <v>3</v>
      </c>
      <c r="G73" s="5813">
        <v>0.20833333333333334</v>
      </c>
      <c r="H73" s="21" t="s">
        <v>10</v>
      </c>
      <c r="I73" s="21" t="s">
        <v>2660</v>
      </c>
      <c r="J73" s="21" t="s">
        <v>10200</v>
      </c>
      <c r="K73" s="5814" t="s">
        <v>10201</v>
      </c>
    </row>
    <row r="74" spans="1:11">
      <c r="A74" s="21" t="s">
        <v>2267</v>
      </c>
      <c r="B74" s="21" t="s">
        <v>10202</v>
      </c>
      <c r="C74" s="21" t="s">
        <v>8</v>
      </c>
      <c r="D74" s="21" t="s">
        <v>1147</v>
      </c>
      <c r="E74" s="21" t="s">
        <v>193</v>
      </c>
      <c r="F74" s="5812">
        <v>5</v>
      </c>
      <c r="G74" s="5813">
        <v>0.20833333333333334</v>
      </c>
      <c r="H74" s="21" t="s">
        <v>54</v>
      </c>
      <c r="I74" s="21" t="s">
        <v>55</v>
      </c>
      <c r="J74" s="21" t="s">
        <v>10203</v>
      </c>
      <c r="K74" s="5814" t="s">
        <v>10204</v>
      </c>
    </row>
    <row r="75" spans="1:11">
      <c r="A75" s="21" t="s">
        <v>2854</v>
      </c>
      <c r="B75" s="21" t="s">
        <v>10205</v>
      </c>
      <c r="C75" s="21" t="s">
        <v>8</v>
      </c>
      <c r="D75" s="21" t="s">
        <v>1147</v>
      </c>
      <c r="E75" s="21" t="s">
        <v>193</v>
      </c>
      <c r="F75" s="5812">
        <v>5</v>
      </c>
      <c r="G75" s="5813">
        <v>0.20833333333333334</v>
      </c>
      <c r="H75" s="21" t="s">
        <v>54</v>
      </c>
      <c r="I75" s="21" t="s">
        <v>2297</v>
      </c>
      <c r="J75" s="21" t="s">
        <v>10206</v>
      </c>
      <c r="K75" s="5814" t="s">
        <v>10207</v>
      </c>
    </row>
    <row r="76" spans="1:11">
      <c r="A76" s="21" t="s">
        <v>339</v>
      </c>
      <c r="B76" s="21" t="s">
        <v>1155</v>
      </c>
      <c r="C76" s="21" t="s">
        <v>8</v>
      </c>
      <c r="D76" s="21" t="s">
        <v>1147</v>
      </c>
      <c r="E76" s="21" t="s">
        <v>9</v>
      </c>
      <c r="F76" s="5812">
        <v>3</v>
      </c>
      <c r="G76" s="5813">
        <v>0.20833333333333334</v>
      </c>
      <c r="H76" s="21" t="s">
        <v>10</v>
      </c>
      <c r="I76" s="21" t="s">
        <v>11</v>
      </c>
      <c r="J76" s="21" t="s">
        <v>1156</v>
      </c>
      <c r="K76" s="5814" t="s">
        <v>1157</v>
      </c>
    </row>
    <row r="77" spans="1:11">
      <c r="A77" s="21" t="s">
        <v>339</v>
      </c>
      <c r="B77" s="21" t="s">
        <v>1161</v>
      </c>
      <c r="C77" s="21" t="s">
        <v>22</v>
      </c>
      <c r="D77" s="21" t="s">
        <v>1147</v>
      </c>
      <c r="E77" s="21" t="s">
        <v>9</v>
      </c>
      <c r="F77" s="5812">
        <v>3</v>
      </c>
      <c r="G77" s="5813">
        <v>0.20833333333333334</v>
      </c>
      <c r="H77" s="21" t="s">
        <v>10</v>
      </c>
      <c r="I77" s="21" t="s">
        <v>572</v>
      </c>
      <c r="J77" s="21" t="s">
        <v>1162</v>
      </c>
      <c r="K77" s="5814" t="s">
        <v>1163</v>
      </c>
    </row>
    <row r="78" spans="1:11">
      <c r="A78" s="21" t="s">
        <v>79</v>
      </c>
      <c r="B78" s="21" t="s">
        <v>1217</v>
      </c>
      <c r="C78" s="21" t="s">
        <v>22</v>
      </c>
      <c r="D78" s="21" t="s">
        <v>1147</v>
      </c>
      <c r="E78" s="21" t="s">
        <v>9</v>
      </c>
      <c r="F78" s="5812">
        <v>3</v>
      </c>
      <c r="G78" s="5813">
        <v>0.20833333333333334</v>
      </c>
      <c r="H78" s="21" t="s">
        <v>10</v>
      </c>
      <c r="I78" s="21" t="s">
        <v>96</v>
      </c>
      <c r="J78" s="21" t="s">
        <v>1218</v>
      </c>
      <c r="K78" s="5814" t="s">
        <v>1219</v>
      </c>
    </row>
    <row r="79" spans="1:11">
      <c r="A79" s="21" t="s">
        <v>135</v>
      </c>
      <c r="B79" s="21" t="s">
        <v>1229</v>
      </c>
      <c r="C79" s="21" t="s">
        <v>22</v>
      </c>
      <c r="D79" s="21" t="s">
        <v>1147</v>
      </c>
      <c r="E79" s="21" t="s">
        <v>9</v>
      </c>
      <c r="F79" s="5812">
        <v>3</v>
      </c>
      <c r="G79" s="5813">
        <v>0.20833333333333334</v>
      </c>
      <c r="H79" s="21" t="s">
        <v>10</v>
      </c>
      <c r="I79" s="21" t="s">
        <v>226</v>
      </c>
      <c r="J79" s="21" t="s">
        <v>1230</v>
      </c>
      <c r="K79" s="5814" t="s">
        <v>1231</v>
      </c>
    </row>
    <row r="80" spans="1:11">
      <c r="A80" s="21" t="s">
        <v>166</v>
      </c>
      <c r="B80" s="21" t="s">
        <v>1250</v>
      </c>
      <c r="C80" s="21" t="s">
        <v>8</v>
      </c>
      <c r="D80" s="21" t="s">
        <v>1147</v>
      </c>
      <c r="E80" s="21" t="s">
        <v>9</v>
      </c>
      <c r="F80" s="5812">
        <v>3</v>
      </c>
      <c r="G80" s="5813">
        <v>0.20833333333333334</v>
      </c>
      <c r="H80" s="21" t="s">
        <v>10</v>
      </c>
      <c r="I80" s="21" t="s">
        <v>168</v>
      </c>
      <c r="J80" s="21" t="s">
        <v>1251</v>
      </c>
      <c r="K80" s="5814" t="s">
        <v>1252</v>
      </c>
    </row>
    <row r="81" spans="1:11">
      <c r="A81" s="21" t="s">
        <v>37</v>
      </c>
      <c r="B81" s="21" t="s">
        <v>1188</v>
      </c>
      <c r="C81" s="21" t="s">
        <v>22</v>
      </c>
      <c r="D81" s="21" t="s">
        <v>1147</v>
      </c>
      <c r="E81" s="21" t="s">
        <v>9</v>
      </c>
      <c r="F81" s="5812">
        <v>3</v>
      </c>
      <c r="G81" s="5813">
        <v>0.20833333333333334</v>
      </c>
      <c r="H81" s="21" t="s">
        <v>10</v>
      </c>
      <c r="I81" s="21" t="s">
        <v>226</v>
      </c>
      <c r="J81" s="21" t="s">
        <v>1189</v>
      </c>
      <c r="K81" s="5814" t="s">
        <v>1190</v>
      </c>
    </row>
    <row r="82" spans="1:11">
      <c r="A82" s="21" t="s">
        <v>52</v>
      </c>
      <c r="B82" s="21" t="s">
        <v>1271</v>
      </c>
      <c r="C82" s="21" t="s">
        <v>22</v>
      </c>
      <c r="D82" s="21" t="s">
        <v>1147</v>
      </c>
      <c r="E82" s="21" t="s">
        <v>9</v>
      </c>
      <c r="F82" s="5812">
        <v>3</v>
      </c>
      <c r="G82" s="5813">
        <v>0.20833333333333334</v>
      </c>
      <c r="H82" s="21" t="s">
        <v>10</v>
      </c>
      <c r="I82" s="21" t="s">
        <v>39</v>
      </c>
      <c r="J82" s="21" t="s">
        <v>1272</v>
      </c>
      <c r="K82" s="5814" t="s">
        <v>1273</v>
      </c>
    </row>
    <row r="83" spans="1:11">
      <c r="A83" s="21" t="s">
        <v>65</v>
      </c>
      <c r="B83" s="21" t="s">
        <v>1280</v>
      </c>
      <c r="C83" s="21" t="s">
        <v>8</v>
      </c>
      <c r="D83" s="21" t="s">
        <v>1147</v>
      </c>
      <c r="E83" s="21" t="s">
        <v>9</v>
      </c>
      <c r="F83" s="5812">
        <v>3</v>
      </c>
      <c r="G83" s="5813">
        <v>0.20833333333333334</v>
      </c>
      <c r="H83" s="21" t="s">
        <v>10</v>
      </c>
      <c r="I83" s="21" t="s">
        <v>55</v>
      </c>
      <c r="J83" s="21" t="s">
        <v>1281</v>
      </c>
      <c r="K83" s="5814" t="s">
        <v>1282</v>
      </c>
    </row>
    <row r="84" spans="1:11">
      <c r="A84" s="21" t="s">
        <v>6</v>
      </c>
      <c r="B84" s="21" t="s">
        <v>1146</v>
      </c>
      <c r="C84" s="21" t="s">
        <v>22</v>
      </c>
      <c r="D84" s="21" t="s">
        <v>1147</v>
      </c>
      <c r="E84" s="21" t="s">
        <v>9</v>
      </c>
      <c r="F84" s="5812">
        <v>3</v>
      </c>
      <c r="G84" s="5813">
        <v>0.20833333333333334</v>
      </c>
      <c r="H84" s="21" t="s">
        <v>10</v>
      </c>
      <c r="I84" s="21" t="s">
        <v>73</v>
      </c>
      <c r="J84" s="21" t="s">
        <v>1148</v>
      </c>
      <c r="K84" s="5814" t="s">
        <v>10208</v>
      </c>
    </row>
    <row r="85" spans="1:11">
      <c r="A85" s="21" t="s">
        <v>4654</v>
      </c>
      <c r="B85" s="21" t="s">
        <v>10209</v>
      </c>
      <c r="C85" s="21" t="s">
        <v>22</v>
      </c>
      <c r="D85" s="21" t="s">
        <v>1147</v>
      </c>
      <c r="E85" s="21" t="s">
        <v>9</v>
      </c>
      <c r="F85" s="5812">
        <v>3</v>
      </c>
      <c r="G85" s="5813">
        <v>0.20833333333333334</v>
      </c>
      <c r="H85" s="21" t="s">
        <v>10</v>
      </c>
      <c r="I85" s="21" t="s">
        <v>55</v>
      </c>
      <c r="J85" s="21" t="s">
        <v>10210</v>
      </c>
      <c r="K85" s="5814" t="s">
        <v>10211</v>
      </c>
    </row>
    <row r="86" spans="1:11">
      <c r="A86" s="21" t="s">
        <v>2311</v>
      </c>
      <c r="B86" s="21" t="s">
        <v>10212</v>
      </c>
      <c r="C86" s="21" t="s">
        <v>8</v>
      </c>
      <c r="D86" s="21" t="s">
        <v>1147</v>
      </c>
      <c r="E86" s="21" t="s">
        <v>9</v>
      </c>
      <c r="F86" s="5812">
        <v>3</v>
      </c>
      <c r="G86" s="5813">
        <v>0.20833333333333334</v>
      </c>
      <c r="H86" s="21" t="s">
        <v>10</v>
      </c>
      <c r="I86" s="21" t="s">
        <v>3343</v>
      </c>
      <c r="J86" s="21" t="s">
        <v>10213</v>
      </c>
      <c r="K86" s="5814" t="s">
        <v>10214</v>
      </c>
    </row>
    <row r="87" spans="1:11">
      <c r="A87" s="21" t="s">
        <v>2300</v>
      </c>
      <c r="B87" s="21" t="s">
        <v>10215</v>
      </c>
      <c r="C87" s="21" t="s">
        <v>22</v>
      </c>
      <c r="D87" s="21" t="s">
        <v>1147</v>
      </c>
      <c r="E87" s="21" t="s">
        <v>9</v>
      </c>
      <c r="F87" s="5812">
        <v>3</v>
      </c>
      <c r="G87" s="5813">
        <v>0.20833333333333334</v>
      </c>
      <c r="H87" s="21" t="s">
        <v>10</v>
      </c>
      <c r="I87" s="21" t="s">
        <v>11</v>
      </c>
      <c r="J87" s="21" t="s">
        <v>10216</v>
      </c>
      <c r="K87" s="5814" t="s">
        <v>10217</v>
      </c>
    </row>
    <row r="88" spans="1:11">
      <c r="A88" s="21" t="s">
        <v>4552</v>
      </c>
      <c r="B88" s="21" t="s">
        <v>10218</v>
      </c>
      <c r="C88" s="21" t="s">
        <v>22</v>
      </c>
      <c r="D88" s="21" t="s">
        <v>1147</v>
      </c>
      <c r="E88" s="21" t="s">
        <v>9</v>
      </c>
      <c r="F88" s="5812">
        <v>3</v>
      </c>
      <c r="G88" s="5813">
        <v>0.20833333333333334</v>
      </c>
      <c r="H88" s="21" t="s">
        <v>10</v>
      </c>
      <c r="I88" s="21" t="s">
        <v>73</v>
      </c>
      <c r="J88" s="21" t="s">
        <v>10219</v>
      </c>
      <c r="K88" s="5814" t="s">
        <v>10220</v>
      </c>
    </row>
    <row r="89" spans="1:11">
      <c r="A89" s="21" t="s">
        <v>3664</v>
      </c>
      <c r="B89" s="21" t="s">
        <v>10221</v>
      </c>
      <c r="C89" s="21" t="s">
        <v>8</v>
      </c>
      <c r="D89" s="21" t="s">
        <v>1147</v>
      </c>
      <c r="E89" s="21" t="s">
        <v>9</v>
      </c>
      <c r="F89" s="5812">
        <v>3</v>
      </c>
      <c r="G89" s="5813">
        <v>0.20833333333333334</v>
      </c>
      <c r="H89" s="21" t="s">
        <v>10</v>
      </c>
      <c r="I89" s="21" t="s">
        <v>609</v>
      </c>
      <c r="J89" s="21" t="s">
        <v>10222</v>
      </c>
      <c r="K89" s="5814" t="s">
        <v>10223</v>
      </c>
    </row>
    <row r="90" spans="1:11">
      <c r="A90" s="21" t="s">
        <v>3249</v>
      </c>
      <c r="B90" s="21" t="s">
        <v>10224</v>
      </c>
      <c r="C90" s="21" t="s">
        <v>8</v>
      </c>
      <c r="D90" s="21" t="s">
        <v>1147</v>
      </c>
      <c r="E90" s="21" t="s">
        <v>9</v>
      </c>
      <c r="F90" s="5812">
        <v>3</v>
      </c>
      <c r="G90" s="5813">
        <v>0.20833333333333334</v>
      </c>
      <c r="H90" s="21" t="s">
        <v>10</v>
      </c>
      <c r="I90" s="21" t="s">
        <v>39</v>
      </c>
      <c r="J90" s="21" t="s">
        <v>10225</v>
      </c>
      <c r="K90" s="5814" t="s">
        <v>10226</v>
      </c>
    </row>
    <row r="91" spans="1:11">
      <c r="A91" s="21" t="s">
        <v>3491</v>
      </c>
      <c r="B91" s="21" t="s">
        <v>10227</v>
      </c>
      <c r="C91" s="21" t="s">
        <v>22</v>
      </c>
      <c r="D91" s="21" t="s">
        <v>1147</v>
      </c>
      <c r="E91" s="21" t="s">
        <v>9</v>
      </c>
      <c r="F91" s="5812">
        <v>3</v>
      </c>
      <c r="G91" s="5813">
        <v>0.20833333333333334</v>
      </c>
      <c r="H91" s="21" t="s">
        <v>10</v>
      </c>
      <c r="I91" s="21" t="s">
        <v>23</v>
      </c>
      <c r="J91" s="21" t="s">
        <v>10228</v>
      </c>
      <c r="K91" s="5814" t="s">
        <v>10229</v>
      </c>
    </row>
    <row r="92" spans="1:11">
      <c r="A92" s="21" t="s">
        <v>3243</v>
      </c>
      <c r="B92" s="21" t="s">
        <v>10230</v>
      </c>
      <c r="C92" s="21" t="s">
        <v>22</v>
      </c>
      <c r="D92" s="21" t="s">
        <v>1147</v>
      </c>
      <c r="E92" s="21" t="s">
        <v>9</v>
      </c>
      <c r="F92" s="5812">
        <v>3</v>
      </c>
      <c r="G92" s="5813">
        <v>0.20833333333333334</v>
      </c>
      <c r="H92" s="21" t="s">
        <v>10</v>
      </c>
      <c r="I92" s="21" t="s">
        <v>96</v>
      </c>
      <c r="J92" s="21" t="s">
        <v>5630</v>
      </c>
      <c r="K92" s="5814" t="s">
        <v>10231</v>
      </c>
    </row>
    <row r="93" spans="1:11">
      <c r="A93" s="21" t="s">
        <v>2341</v>
      </c>
      <c r="B93" s="21" t="s">
        <v>10232</v>
      </c>
      <c r="C93" s="21" t="s">
        <v>8</v>
      </c>
      <c r="D93" s="21" t="s">
        <v>1147</v>
      </c>
      <c r="E93" s="21" t="s">
        <v>9</v>
      </c>
      <c r="F93" s="5812">
        <v>3</v>
      </c>
      <c r="G93" s="5813">
        <v>0.20833333333333334</v>
      </c>
      <c r="H93" s="21" t="s">
        <v>10</v>
      </c>
      <c r="I93" s="21" t="s">
        <v>47</v>
      </c>
      <c r="J93" s="21" t="s">
        <v>10233</v>
      </c>
      <c r="K93" s="5814" t="s">
        <v>10234</v>
      </c>
    </row>
    <row r="94" spans="1:11">
      <c r="A94" s="21" t="s">
        <v>2088</v>
      </c>
      <c r="B94" s="21" t="s">
        <v>10235</v>
      </c>
      <c r="C94" s="21" t="s">
        <v>8</v>
      </c>
      <c r="D94" s="21" t="s">
        <v>1147</v>
      </c>
      <c r="E94" s="21" t="s">
        <v>9</v>
      </c>
      <c r="F94" s="5812">
        <v>3</v>
      </c>
      <c r="G94" s="5813">
        <v>0.20833333333333334</v>
      </c>
      <c r="H94" s="21" t="s">
        <v>10</v>
      </c>
      <c r="I94" s="21" t="s">
        <v>11</v>
      </c>
      <c r="J94" s="21" t="s">
        <v>10236</v>
      </c>
      <c r="K94" s="5814" t="s">
        <v>10237</v>
      </c>
    </row>
    <row r="95" spans="1:11">
      <c r="A95" s="21" t="s">
        <v>2362</v>
      </c>
      <c r="B95" s="21" t="s">
        <v>10238</v>
      </c>
      <c r="C95" s="21" t="s">
        <v>22</v>
      </c>
      <c r="D95" s="21" t="s">
        <v>1147</v>
      </c>
      <c r="E95" s="21" t="s">
        <v>9</v>
      </c>
      <c r="F95" s="5812">
        <v>3</v>
      </c>
      <c r="G95" s="5813">
        <v>0.20833333333333334</v>
      </c>
      <c r="H95" s="21" t="s">
        <v>10</v>
      </c>
      <c r="I95" s="21" t="s">
        <v>55</v>
      </c>
      <c r="J95" s="21" t="s">
        <v>10239</v>
      </c>
      <c r="K95" s="5814" t="s">
        <v>10240</v>
      </c>
    </row>
    <row r="96" spans="1:11">
      <c r="A96" s="21" t="s">
        <v>2362</v>
      </c>
      <c r="B96" s="21" t="s">
        <v>10241</v>
      </c>
      <c r="C96" s="21" t="s">
        <v>22</v>
      </c>
      <c r="D96" s="21" t="s">
        <v>1147</v>
      </c>
      <c r="E96" s="21" t="s">
        <v>9</v>
      </c>
      <c r="F96" s="5812">
        <v>3</v>
      </c>
      <c r="G96" s="5813">
        <v>0.20833333333333334</v>
      </c>
      <c r="H96" s="21" t="s">
        <v>10</v>
      </c>
      <c r="I96" s="21" t="s">
        <v>55</v>
      </c>
      <c r="J96" s="21" t="s">
        <v>10242</v>
      </c>
      <c r="K96" s="5814" t="s">
        <v>10243</v>
      </c>
    </row>
    <row r="97" spans="1:11">
      <c r="A97" s="21" t="s">
        <v>2096</v>
      </c>
      <c r="B97" s="21" t="s">
        <v>10244</v>
      </c>
      <c r="C97" s="21" t="s">
        <v>8</v>
      </c>
      <c r="D97" s="21" t="s">
        <v>1147</v>
      </c>
      <c r="E97" s="21" t="s">
        <v>9</v>
      </c>
      <c r="F97" s="5812">
        <v>3</v>
      </c>
      <c r="G97" s="5813">
        <v>0.20833333333333334</v>
      </c>
      <c r="H97" s="21" t="s">
        <v>10</v>
      </c>
      <c r="I97" s="21" t="s">
        <v>2313</v>
      </c>
      <c r="J97" s="21" t="s">
        <v>10245</v>
      </c>
      <c r="K97" s="5814" t="s">
        <v>10246</v>
      </c>
    </row>
    <row r="98" spans="1:11">
      <c r="A98" s="21" t="s">
        <v>2383</v>
      </c>
      <c r="B98" s="21" t="s">
        <v>10247</v>
      </c>
      <c r="C98" s="21" t="s">
        <v>8</v>
      </c>
      <c r="D98" s="21" t="s">
        <v>1147</v>
      </c>
      <c r="E98" s="21" t="s">
        <v>9</v>
      </c>
      <c r="F98" s="5812">
        <v>3</v>
      </c>
      <c r="G98" s="5813">
        <v>0.20833333333333334</v>
      </c>
      <c r="H98" s="21" t="s">
        <v>10</v>
      </c>
      <c r="I98" s="21" t="s">
        <v>11</v>
      </c>
      <c r="J98" s="21" t="s">
        <v>10248</v>
      </c>
      <c r="K98" s="5814" t="s">
        <v>10249</v>
      </c>
    </row>
    <row r="99" spans="1:11">
      <c r="A99" s="21" t="s">
        <v>2387</v>
      </c>
      <c r="B99" s="21" t="s">
        <v>10250</v>
      </c>
      <c r="C99" s="21" t="s">
        <v>8</v>
      </c>
      <c r="D99" s="21" t="s">
        <v>1147</v>
      </c>
      <c r="E99" s="21" t="s">
        <v>9</v>
      </c>
      <c r="F99" s="5812">
        <v>3</v>
      </c>
      <c r="G99" s="5813">
        <v>0.20833333333333334</v>
      </c>
      <c r="H99" s="21" t="s">
        <v>10</v>
      </c>
      <c r="I99" s="21" t="s">
        <v>23</v>
      </c>
      <c r="J99" s="21" t="s">
        <v>10251</v>
      </c>
      <c r="K99" s="5814" t="s">
        <v>10252</v>
      </c>
    </row>
    <row r="100" spans="1:11">
      <c r="A100" s="21" t="s">
        <v>2395</v>
      </c>
      <c r="B100" s="21" t="s">
        <v>10253</v>
      </c>
      <c r="C100" s="21" t="s">
        <v>22</v>
      </c>
      <c r="D100" s="21" t="s">
        <v>1147</v>
      </c>
      <c r="E100" s="21" t="s">
        <v>9</v>
      </c>
      <c r="F100" s="5812">
        <v>3</v>
      </c>
      <c r="G100" s="5813">
        <v>0.20833333333333334</v>
      </c>
      <c r="H100" s="21" t="s">
        <v>10</v>
      </c>
      <c r="I100" s="21" t="s">
        <v>89</v>
      </c>
      <c r="J100" s="21" t="s">
        <v>10254</v>
      </c>
      <c r="K100" s="5814" t="s">
        <v>10255</v>
      </c>
    </row>
    <row r="101" spans="1:11">
      <c r="A101" s="21" t="s">
        <v>5390</v>
      </c>
      <c r="B101" s="21" t="s">
        <v>10256</v>
      </c>
      <c r="C101" s="21" t="s">
        <v>8</v>
      </c>
      <c r="D101" s="21" t="s">
        <v>1147</v>
      </c>
      <c r="E101" s="21" t="s">
        <v>9</v>
      </c>
      <c r="F101" s="5812">
        <v>3</v>
      </c>
      <c r="G101" s="5813">
        <v>0.20833333333333334</v>
      </c>
      <c r="H101" s="21" t="s">
        <v>10</v>
      </c>
      <c r="I101" s="21" t="s">
        <v>226</v>
      </c>
      <c r="J101" s="21" t="s">
        <v>10257</v>
      </c>
      <c r="K101" s="5814" t="s">
        <v>10258</v>
      </c>
    </row>
    <row r="102" spans="1:11">
      <c r="A102" s="21" t="s">
        <v>5390</v>
      </c>
      <c r="B102" s="21" t="s">
        <v>10259</v>
      </c>
      <c r="C102" s="21" t="s">
        <v>8</v>
      </c>
      <c r="D102" s="21" t="s">
        <v>1147</v>
      </c>
      <c r="E102" s="21" t="s">
        <v>9</v>
      </c>
      <c r="F102" s="5812">
        <v>3</v>
      </c>
      <c r="G102" s="5813">
        <v>0.20833333333333334</v>
      </c>
      <c r="H102" s="21" t="s">
        <v>10</v>
      </c>
      <c r="I102" s="21" t="s">
        <v>654</v>
      </c>
      <c r="J102" s="21" t="s">
        <v>10260</v>
      </c>
      <c r="K102" s="5814" t="s">
        <v>10261</v>
      </c>
    </row>
    <row r="103" spans="1:11">
      <c r="A103" s="21" t="s">
        <v>3909</v>
      </c>
      <c r="B103" s="21" t="s">
        <v>10262</v>
      </c>
      <c r="C103" s="21" t="s">
        <v>22</v>
      </c>
      <c r="D103" s="21" t="s">
        <v>1147</v>
      </c>
      <c r="E103" s="21" t="s">
        <v>9</v>
      </c>
      <c r="F103" s="5812">
        <v>3</v>
      </c>
      <c r="G103" s="5813">
        <v>0.20833333333333334</v>
      </c>
      <c r="H103" s="21" t="s">
        <v>10</v>
      </c>
      <c r="I103" s="21" t="s">
        <v>2313</v>
      </c>
      <c r="J103" s="21" t="s">
        <v>10263</v>
      </c>
      <c r="K103" s="5814" t="s">
        <v>10264</v>
      </c>
    </row>
    <row r="104" spans="1:11">
      <c r="A104" s="21" t="s">
        <v>2045</v>
      </c>
      <c r="B104" s="21" t="s">
        <v>10265</v>
      </c>
      <c r="C104" s="21" t="s">
        <v>8</v>
      </c>
      <c r="D104" s="21" t="s">
        <v>1147</v>
      </c>
      <c r="E104" s="21" t="s">
        <v>9</v>
      </c>
      <c r="F104" s="5812">
        <v>3</v>
      </c>
      <c r="G104" s="5813">
        <v>0.20833333333333334</v>
      </c>
      <c r="H104" s="21" t="s">
        <v>10</v>
      </c>
      <c r="I104" s="21" t="s">
        <v>23</v>
      </c>
      <c r="J104" s="21" t="s">
        <v>10266</v>
      </c>
      <c r="K104" s="5814" t="s">
        <v>10267</v>
      </c>
    </row>
    <row r="105" spans="1:11">
      <c r="A105" s="21" t="s">
        <v>2955</v>
      </c>
      <c r="B105" s="21" t="s">
        <v>10268</v>
      </c>
      <c r="C105" s="21" t="s">
        <v>8</v>
      </c>
      <c r="D105" s="21" t="s">
        <v>1147</v>
      </c>
      <c r="E105" s="21" t="s">
        <v>9</v>
      </c>
      <c r="F105" s="5812">
        <v>3</v>
      </c>
      <c r="G105" s="5813">
        <v>0.20833333333333334</v>
      </c>
      <c r="H105" s="21" t="s">
        <v>10</v>
      </c>
      <c r="I105" s="21" t="s">
        <v>39</v>
      </c>
      <c r="J105" s="21" t="s">
        <v>10269</v>
      </c>
      <c r="K105" s="5814" t="s">
        <v>10270</v>
      </c>
    </row>
    <row r="106" spans="1:11">
      <c r="A106" s="21" t="s">
        <v>2428</v>
      </c>
      <c r="B106" s="21" t="s">
        <v>10271</v>
      </c>
      <c r="C106" s="21" t="s">
        <v>8</v>
      </c>
      <c r="D106" s="21" t="s">
        <v>1147</v>
      </c>
      <c r="E106" s="21" t="s">
        <v>9</v>
      </c>
      <c r="F106" s="5812">
        <v>3</v>
      </c>
      <c r="G106" s="5813">
        <v>0.20833333333333334</v>
      </c>
      <c r="H106" s="21" t="s">
        <v>10</v>
      </c>
      <c r="I106" s="21" t="s">
        <v>2430</v>
      </c>
      <c r="J106" s="21" t="s">
        <v>10272</v>
      </c>
      <c r="K106" s="5814" t="s">
        <v>10273</v>
      </c>
    </row>
    <row r="107" spans="1:11">
      <c r="A107" s="21" t="s">
        <v>3012</v>
      </c>
      <c r="B107" s="21" t="s">
        <v>10274</v>
      </c>
      <c r="C107" s="21" t="s">
        <v>8</v>
      </c>
      <c r="D107" s="21" t="s">
        <v>1147</v>
      </c>
      <c r="E107" s="21" t="s">
        <v>9</v>
      </c>
      <c r="F107" s="5812">
        <v>3</v>
      </c>
      <c r="G107" s="5813">
        <v>0.20833333333333334</v>
      </c>
      <c r="H107" s="21" t="s">
        <v>10</v>
      </c>
      <c r="I107" s="21" t="s">
        <v>55</v>
      </c>
      <c r="J107" s="21" t="s">
        <v>10275</v>
      </c>
      <c r="K107" s="5814" t="s">
        <v>10276</v>
      </c>
    </row>
    <row r="108" spans="1:11">
      <c r="A108" s="21" t="s">
        <v>2929</v>
      </c>
      <c r="B108" s="21" t="s">
        <v>10277</v>
      </c>
      <c r="C108" s="21" t="s">
        <v>8</v>
      </c>
      <c r="D108" s="21" t="s">
        <v>1147</v>
      </c>
      <c r="E108" s="21" t="s">
        <v>9</v>
      </c>
      <c r="F108" s="5812">
        <v>3</v>
      </c>
      <c r="G108" s="5813">
        <v>0.20833333333333334</v>
      </c>
      <c r="H108" s="21" t="s">
        <v>10</v>
      </c>
      <c r="I108" s="21" t="s">
        <v>39</v>
      </c>
      <c r="J108" s="21" t="s">
        <v>10278</v>
      </c>
      <c r="K108" s="5814" t="s">
        <v>10279</v>
      </c>
    </row>
    <row r="109" spans="1:11">
      <c r="A109" s="21" t="s">
        <v>2433</v>
      </c>
      <c r="B109" s="21" t="s">
        <v>10280</v>
      </c>
      <c r="C109" s="21" t="s">
        <v>22</v>
      </c>
      <c r="D109" s="21" t="s">
        <v>1147</v>
      </c>
      <c r="E109" s="21" t="s">
        <v>9</v>
      </c>
      <c r="F109" s="5812">
        <v>3</v>
      </c>
      <c r="G109" s="5813">
        <v>0.20833333333333334</v>
      </c>
      <c r="H109" s="21" t="s">
        <v>10</v>
      </c>
      <c r="I109" s="21" t="s">
        <v>89</v>
      </c>
      <c r="J109" s="21" t="s">
        <v>10281</v>
      </c>
      <c r="K109" s="5814" t="s">
        <v>10282</v>
      </c>
    </row>
    <row r="110" spans="1:11">
      <c r="A110" s="21" t="s">
        <v>2433</v>
      </c>
      <c r="B110" s="21" t="s">
        <v>10283</v>
      </c>
      <c r="C110" s="21" t="s">
        <v>8</v>
      </c>
      <c r="D110" s="21" t="s">
        <v>1147</v>
      </c>
      <c r="E110" s="21" t="s">
        <v>9</v>
      </c>
      <c r="F110" s="5812">
        <v>3</v>
      </c>
      <c r="G110" s="5813">
        <v>0.20833333333333334</v>
      </c>
      <c r="H110" s="21" t="s">
        <v>10</v>
      </c>
      <c r="I110" s="21" t="s">
        <v>55</v>
      </c>
      <c r="J110" s="21" t="s">
        <v>10284</v>
      </c>
      <c r="K110" s="5814" t="s">
        <v>10285</v>
      </c>
    </row>
    <row r="111" spans="1:11">
      <c r="A111" s="21" t="s">
        <v>2438</v>
      </c>
      <c r="B111" s="21" t="s">
        <v>10286</v>
      </c>
      <c r="C111" s="21" t="s">
        <v>8</v>
      </c>
      <c r="D111" s="21" t="s">
        <v>1147</v>
      </c>
      <c r="E111" s="21" t="s">
        <v>9</v>
      </c>
      <c r="F111" s="5812">
        <v>3</v>
      </c>
      <c r="G111" s="5813">
        <v>0.20833333333333334</v>
      </c>
      <c r="H111" s="21" t="s">
        <v>10</v>
      </c>
      <c r="I111" s="21" t="s">
        <v>2814</v>
      </c>
      <c r="J111" s="21" t="s">
        <v>10287</v>
      </c>
      <c r="K111" s="5814" t="s">
        <v>10288</v>
      </c>
    </row>
    <row r="112" spans="1:11">
      <c r="A112" s="21" t="s">
        <v>2442</v>
      </c>
      <c r="B112" s="21" t="s">
        <v>10289</v>
      </c>
      <c r="C112" s="21" t="s">
        <v>8</v>
      </c>
      <c r="D112" s="21" t="s">
        <v>1147</v>
      </c>
      <c r="E112" s="21" t="s">
        <v>9</v>
      </c>
      <c r="F112" s="5812">
        <v>3</v>
      </c>
      <c r="G112" s="5813">
        <v>0.20833333333333334</v>
      </c>
      <c r="H112" s="21" t="s">
        <v>10</v>
      </c>
      <c r="I112" s="21" t="s">
        <v>55</v>
      </c>
      <c r="J112" s="21" t="s">
        <v>10290</v>
      </c>
      <c r="K112" s="5814" t="s">
        <v>10291</v>
      </c>
    </row>
    <row r="113" spans="1:11">
      <c r="A113" s="21" t="s">
        <v>2454</v>
      </c>
      <c r="B113" s="21" t="s">
        <v>10292</v>
      </c>
      <c r="C113" s="21" t="s">
        <v>8</v>
      </c>
      <c r="D113" s="21" t="s">
        <v>1147</v>
      </c>
      <c r="E113" s="21" t="s">
        <v>9</v>
      </c>
      <c r="F113" s="5812">
        <v>3</v>
      </c>
      <c r="G113" s="5813">
        <v>0.20833333333333334</v>
      </c>
      <c r="H113" s="21" t="s">
        <v>10</v>
      </c>
      <c r="I113" s="21" t="s">
        <v>89</v>
      </c>
      <c r="J113" s="21" t="s">
        <v>10293</v>
      </c>
      <c r="K113" s="5814" t="s">
        <v>10294</v>
      </c>
    </row>
    <row r="114" spans="1:11">
      <c r="A114" s="21" t="s">
        <v>3946</v>
      </c>
      <c r="B114" s="21" t="s">
        <v>10295</v>
      </c>
      <c r="C114" s="21" t="s">
        <v>8</v>
      </c>
      <c r="D114" s="21" t="s">
        <v>1147</v>
      </c>
      <c r="E114" s="21" t="s">
        <v>9</v>
      </c>
      <c r="F114" s="5812">
        <v>3</v>
      </c>
      <c r="G114" s="5813">
        <v>0.20833333333333334</v>
      </c>
      <c r="H114" s="21" t="s">
        <v>10</v>
      </c>
      <c r="I114" s="21" t="s">
        <v>23</v>
      </c>
      <c r="J114" s="21" t="s">
        <v>10228</v>
      </c>
      <c r="K114" s="5814" t="s">
        <v>10296</v>
      </c>
    </row>
    <row r="115" spans="1:11">
      <c r="A115" s="21" t="s">
        <v>3116</v>
      </c>
      <c r="B115" s="21" t="s">
        <v>10297</v>
      </c>
      <c r="C115" s="21" t="s">
        <v>22</v>
      </c>
      <c r="D115" s="21" t="s">
        <v>1147</v>
      </c>
      <c r="E115" s="21" t="s">
        <v>9</v>
      </c>
      <c r="F115" s="5812">
        <v>3</v>
      </c>
      <c r="G115" s="5813">
        <v>0.20833333333333334</v>
      </c>
      <c r="H115" s="21" t="s">
        <v>10</v>
      </c>
      <c r="I115" s="21" t="s">
        <v>55</v>
      </c>
      <c r="J115" s="21" t="s">
        <v>10298</v>
      </c>
      <c r="K115" s="5814" t="s">
        <v>10299</v>
      </c>
    </row>
    <row r="116" spans="1:11">
      <c r="A116" s="21" t="s">
        <v>2897</v>
      </c>
      <c r="B116" s="21" t="s">
        <v>10300</v>
      </c>
      <c r="C116" s="21" t="s">
        <v>8</v>
      </c>
      <c r="D116" s="21" t="s">
        <v>1147</v>
      </c>
      <c r="E116" s="21" t="s">
        <v>9</v>
      </c>
      <c r="F116" s="5812">
        <v>3</v>
      </c>
      <c r="G116" s="5813">
        <v>0.20833333333333334</v>
      </c>
      <c r="H116" s="21" t="s">
        <v>10</v>
      </c>
      <c r="I116" s="21" t="s">
        <v>23</v>
      </c>
      <c r="J116" s="21" t="s">
        <v>10301</v>
      </c>
      <c r="K116" s="5814" t="s">
        <v>10302</v>
      </c>
    </row>
    <row r="117" spans="1:11">
      <c r="A117" s="21" t="s">
        <v>2897</v>
      </c>
      <c r="B117" s="21" t="s">
        <v>10303</v>
      </c>
      <c r="C117" s="21" t="s">
        <v>8</v>
      </c>
      <c r="D117" s="21" t="s">
        <v>1147</v>
      </c>
      <c r="E117" s="21" t="s">
        <v>9</v>
      </c>
      <c r="F117" s="5812">
        <v>3</v>
      </c>
      <c r="G117" s="5813">
        <v>0.20833333333333334</v>
      </c>
      <c r="H117" s="21" t="s">
        <v>10</v>
      </c>
      <c r="I117" s="21" t="s">
        <v>55</v>
      </c>
      <c r="J117" s="21" t="s">
        <v>5063</v>
      </c>
      <c r="K117" s="5814" t="s">
        <v>10304</v>
      </c>
    </row>
    <row r="118" spans="1:11">
      <c r="A118" s="21" t="s">
        <v>2104</v>
      </c>
      <c r="B118" s="21" t="s">
        <v>10305</v>
      </c>
      <c r="C118" s="21" t="s">
        <v>22</v>
      </c>
      <c r="D118" s="21" t="s">
        <v>1147</v>
      </c>
      <c r="E118" s="21" t="s">
        <v>9</v>
      </c>
      <c r="F118" s="5812">
        <v>3</v>
      </c>
      <c r="G118" s="5813">
        <v>0.20833333333333334</v>
      </c>
      <c r="H118" s="21" t="s">
        <v>10</v>
      </c>
      <c r="I118" s="21" t="s">
        <v>55</v>
      </c>
      <c r="J118" s="21" t="s">
        <v>10306</v>
      </c>
      <c r="K118" s="5814" t="s">
        <v>10307</v>
      </c>
    </row>
    <row r="119" spans="1:11">
      <c r="A119" s="21" t="s">
        <v>3974</v>
      </c>
      <c r="B119" s="21" t="s">
        <v>10308</v>
      </c>
      <c r="C119" s="21" t="s">
        <v>8</v>
      </c>
      <c r="D119" s="21" t="s">
        <v>1147</v>
      </c>
      <c r="E119" s="21" t="s">
        <v>9</v>
      </c>
      <c r="F119" s="5812">
        <v>3</v>
      </c>
      <c r="G119" s="5813">
        <v>0.20833333333333334</v>
      </c>
      <c r="H119" s="21" t="s">
        <v>10</v>
      </c>
      <c r="I119" s="21" t="s">
        <v>2162</v>
      </c>
      <c r="J119" s="21" t="s">
        <v>10309</v>
      </c>
      <c r="K119" s="5814" t="s">
        <v>10310</v>
      </c>
    </row>
    <row r="120" spans="1:11">
      <c r="A120" s="21" t="s">
        <v>2108</v>
      </c>
      <c r="B120" s="21" t="s">
        <v>10311</v>
      </c>
      <c r="C120" s="21" t="s">
        <v>8</v>
      </c>
      <c r="D120" s="21" t="s">
        <v>1147</v>
      </c>
      <c r="E120" s="21" t="s">
        <v>9</v>
      </c>
      <c r="F120" s="5812">
        <v>3</v>
      </c>
      <c r="G120" s="5813">
        <v>0.20833333333333334</v>
      </c>
      <c r="H120" s="21" t="s">
        <v>10</v>
      </c>
      <c r="I120" s="21" t="s">
        <v>55</v>
      </c>
      <c r="J120" s="21" t="s">
        <v>10312</v>
      </c>
      <c r="K120" s="5814" t="s">
        <v>10313</v>
      </c>
    </row>
    <row r="121" spans="1:11">
      <c r="A121" s="21" t="s">
        <v>2982</v>
      </c>
      <c r="B121" s="21" t="s">
        <v>10314</v>
      </c>
      <c r="C121" s="21" t="s">
        <v>22</v>
      </c>
      <c r="D121" s="21" t="s">
        <v>1147</v>
      </c>
      <c r="E121" s="21" t="s">
        <v>9</v>
      </c>
      <c r="F121" s="5812">
        <v>3</v>
      </c>
      <c r="G121" s="5813">
        <v>0.20833333333333334</v>
      </c>
      <c r="H121" s="21" t="s">
        <v>10</v>
      </c>
      <c r="I121" s="21" t="s">
        <v>39</v>
      </c>
      <c r="J121" s="21" t="s">
        <v>6353</v>
      </c>
      <c r="K121" s="5814" t="s">
        <v>10315</v>
      </c>
    </row>
    <row r="122" spans="1:11">
      <c r="A122" s="21" t="s">
        <v>2478</v>
      </c>
      <c r="B122" s="21" t="s">
        <v>10316</v>
      </c>
      <c r="C122" s="21" t="s">
        <v>8</v>
      </c>
      <c r="D122" s="21" t="s">
        <v>1147</v>
      </c>
      <c r="E122" s="21" t="s">
        <v>9</v>
      </c>
      <c r="F122" s="5812">
        <v>3</v>
      </c>
      <c r="G122" s="5813">
        <v>0.20833333333333334</v>
      </c>
      <c r="H122" s="21" t="s">
        <v>10</v>
      </c>
      <c r="I122" s="21" t="s">
        <v>96</v>
      </c>
      <c r="J122" s="21" t="s">
        <v>10317</v>
      </c>
      <c r="K122" s="5814" t="s">
        <v>10318</v>
      </c>
    </row>
    <row r="123" spans="1:11">
      <c r="A123" s="21" t="s">
        <v>2079</v>
      </c>
      <c r="B123" s="21" t="s">
        <v>10319</v>
      </c>
      <c r="C123" s="21" t="s">
        <v>22</v>
      </c>
      <c r="D123" s="21" t="s">
        <v>1147</v>
      </c>
      <c r="E123" s="21" t="s">
        <v>9</v>
      </c>
      <c r="F123" s="5812">
        <v>3</v>
      </c>
      <c r="G123" s="5813">
        <v>0.20833333333333334</v>
      </c>
      <c r="H123" s="21" t="s">
        <v>10</v>
      </c>
      <c r="I123" s="21" t="s">
        <v>55</v>
      </c>
      <c r="J123" s="21" t="s">
        <v>10320</v>
      </c>
      <c r="K123" s="5814" t="s">
        <v>10321</v>
      </c>
    </row>
    <row r="124" spans="1:11">
      <c r="A124" s="21" t="s">
        <v>3235</v>
      </c>
      <c r="B124" s="21" t="s">
        <v>10322</v>
      </c>
      <c r="C124" s="21" t="s">
        <v>8</v>
      </c>
      <c r="D124" s="21" t="s">
        <v>1147</v>
      </c>
      <c r="E124" s="21" t="s">
        <v>9</v>
      </c>
      <c r="F124" s="5812">
        <v>3</v>
      </c>
      <c r="G124" s="5813">
        <v>0.20833333333333334</v>
      </c>
      <c r="H124" s="21" t="s">
        <v>10</v>
      </c>
      <c r="I124" s="21" t="s">
        <v>47</v>
      </c>
      <c r="J124" s="21" t="s">
        <v>10323</v>
      </c>
      <c r="K124" s="5814" t="s">
        <v>10324</v>
      </c>
    </row>
    <row r="125" spans="1:11">
      <c r="A125" s="21" t="s">
        <v>3235</v>
      </c>
      <c r="B125" s="21" t="s">
        <v>10325</v>
      </c>
      <c r="C125" s="21" t="s">
        <v>22</v>
      </c>
      <c r="D125" s="21" t="s">
        <v>1147</v>
      </c>
      <c r="E125" s="21" t="s">
        <v>9</v>
      </c>
      <c r="F125" s="5812">
        <v>3</v>
      </c>
      <c r="G125" s="5813">
        <v>0.20833333333333334</v>
      </c>
      <c r="H125" s="21" t="s">
        <v>10</v>
      </c>
      <c r="I125" s="21" t="s">
        <v>47</v>
      </c>
      <c r="J125" s="21" t="s">
        <v>10326</v>
      </c>
      <c r="K125" s="5814" t="s">
        <v>10327</v>
      </c>
    </row>
    <row r="126" spans="1:11">
      <c r="A126" s="21" t="s">
        <v>3235</v>
      </c>
      <c r="B126" s="21" t="s">
        <v>10328</v>
      </c>
      <c r="C126" s="21" t="s">
        <v>22</v>
      </c>
      <c r="D126" s="21" t="s">
        <v>1147</v>
      </c>
      <c r="E126" s="21" t="s">
        <v>9</v>
      </c>
      <c r="F126" s="5812">
        <v>3</v>
      </c>
      <c r="G126" s="5813">
        <v>0.20833333333333334</v>
      </c>
      <c r="H126" s="21" t="s">
        <v>10</v>
      </c>
      <c r="I126" s="21" t="s">
        <v>39</v>
      </c>
      <c r="J126" s="21" t="s">
        <v>10329</v>
      </c>
      <c r="K126" s="5814" t="s">
        <v>10330</v>
      </c>
    </row>
    <row r="127" spans="1:11">
      <c r="A127" s="21" t="s">
        <v>2061</v>
      </c>
      <c r="B127" s="21" t="s">
        <v>10331</v>
      </c>
      <c r="C127" s="21" t="s">
        <v>8</v>
      </c>
      <c r="D127" s="21" t="s">
        <v>1147</v>
      </c>
      <c r="E127" s="21" t="s">
        <v>9</v>
      </c>
      <c r="F127" s="5812">
        <v>3</v>
      </c>
      <c r="G127" s="5813">
        <v>0.20833333333333334</v>
      </c>
      <c r="H127" s="21" t="s">
        <v>10</v>
      </c>
      <c r="I127" s="21" t="s">
        <v>96</v>
      </c>
      <c r="J127" s="21" t="s">
        <v>10332</v>
      </c>
      <c r="K127" s="5814" t="s">
        <v>10333</v>
      </c>
    </row>
    <row r="128" spans="1:11">
      <c r="A128" s="21" t="s">
        <v>2495</v>
      </c>
      <c r="B128" s="21" t="s">
        <v>10334</v>
      </c>
      <c r="C128" s="21" t="s">
        <v>8</v>
      </c>
      <c r="D128" s="21" t="s">
        <v>1147</v>
      </c>
      <c r="E128" s="21" t="s">
        <v>9</v>
      </c>
      <c r="F128" s="5812">
        <v>3</v>
      </c>
      <c r="G128" s="5813">
        <v>0.20833333333333334</v>
      </c>
      <c r="H128" s="21" t="s">
        <v>10</v>
      </c>
      <c r="I128" s="21" t="s">
        <v>55</v>
      </c>
      <c r="J128" s="21" t="s">
        <v>10335</v>
      </c>
      <c r="K128" s="5814" t="s">
        <v>10336</v>
      </c>
    </row>
    <row r="129" spans="1:11">
      <c r="A129" s="21" t="s">
        <v>3984</v>
      </c>
      <c r="B129" s="21" t="s">
        <v>10337</v>
      </c>
      <c r="C129" s="21" t="s">
        <v>22</v>
      </c>
      <c r="D129" s="21" t="s">
        <v>1147</v>
      </c>
      <c r="E129" s="21" t="s">
        <v>9</v>
      </c>
      <c r="F129" s="5812">
        <v>3</v>
      </c>
      <c r="G129" s="5813">
        <v>0.20833333333333334</v>
      </c>
      <c r="H129" s="21" t="s">
        <v>10</v>
      </c>
      <c r="I129" s="21" t="s">
        <v>96</v>
      </c>
      <c r="J129" s="21" t="s">
        <v>10338</v>
      </c>
      <c r="K129" s="5814" t="s">
        <v>10339</v>
      </c>
    </row>
    <row r="130" spans="1:11">
      <c r="A130" s="21" t="s">
        <v>3690</v>
      </c>
      <c r="B130" s="21" t="s">
        <v>10340</v>
      </c>
      <c r="C130" s="21" t="s">
        <v>8</v>
      </c>
      <c r="D130" s="21" t="s">
        <v>1147</v>
      </c>
      <c r="E130" s="21" t="s">
        <v>9</v>
      </c>
      <c r="F130" s="5812">
        <v>3</v>
      </c>
      <c r="G130" s="5813">
        <v>0.20833333333333334</v>
      </c>
      <c r="H130" s="21" t="s">
        <v>10</v>
      </c>
      <c r="I130" s="21" t="s">
        <v>55</v>
      </c>
      <c r="J130" s="21" t="s">
        <v>10290</v>
      </c>
      <c r="K130" s="5814" t="s">
        <v>10341</v>
      </c>
    </row>
    <row r="131" spans="1:11">
      <c r="A131" s="21" t="s">
        <v>3690</v>
      </c>
      <c r="B131" s="21" t="s">
        <v>10342</v>
      </c>
      <c r="C131" s="21" t="s">
        <v>22</v>
      </c>
      <c r="D131" s="21" t="s">
        <v>1147</v>
      </c>
      <c r="E131" s="21" t="s">
        <v>9</v>
      </c>
      <c r="F131" s="5812">
        <v>3</v>
      </c>
      <c r="G131" s="5813">
        <v>0.20833333333333334</v>
      </c>
      <c r="H131" s="21" t="s">
        <v>10</v>
      </c>
      <c r="I131" s="21" t="s">
        <v>39</v>
      </c>
      <c r="J131" s="21" t="s">
        <v>5041</v>
      </c>
      <c r="K131" s="5814" t="s">
        <v>10343</v>
      </c>
    </row>
    <row r="132" spans="1:11">
      <c r="A132" s="21" t="s">
        <v>2901</v>
      </c>
      <c r="B132" s="21" t="s">
        <v>10344</v>
      </c>
      <c r="C132" s="21" t="s">
        <v>8</v>
      </c>
      <c r="D132" s="21" t="s">
        <v>1147</v>
      </c>
      <c r="E132" s="21" t="s">
        <v>9</v>
      </c>
      <c r="F132" s="5812">
        <v>3</v>
      </c>
      <c r="G132" s="5813">
        <v>0.20833333333333334</v>
      </c>
      <c r="H132" s="21" t="s">
        <v>10</v>
      </c>
      <c r="I132" s="21" t="s">
        <v>11</v>
      </c>
      <c r="J132" s="21" t="s">
        <v>10345</v>
      </c>
      <c r="K132" s="5814" t="s">
        <v>10346</v>
      </c>
    </row>
    <row r="133" spans="1:11">
      <c r="A133" s="21" t="s">
        <v>4003</v>
      </c>
      <c r="B133" s="21" t="s">
        <v>10347</v>
      </c>
      <c r="C133" s="21" t="s">
        <v>8</v>
      </c>
      <c r="D133" s="21" t="s">
        <v>1147</v>
      </c>
      <c r="E133" s="21" t="s">
        <v>9</v>
      </c>
      <c r="F133" s="5812">
        <v>3</v>
      </c>
      <c r="G133" s="5813">
        <v>0.20833333333333334</v>
      </c>
      <c r="H133" s="21" t="s">
        <v>10</v>
      </c>
      <c r="I133" s="21" t="s">
        <v>39</v>
      </c>
      <c r="J133" s="21" t="s">
        <v>10348</v>
      </c>
      <c r="K133" s="5814" t="s">
        <v>10349</v>
      </c>
    </row>
    <row r="134" spans="1:11">
      <c r="A134" s="21" t="s">
        <v>2119</v>
      </c>
      <c r="B134" s="21" t="s">
        <v>10350</v>
      </c>
      <c r="C134" s="21" t="s">
        <v>22</v>
      </c>
      <c r="D134" s="21" t="s">
        <v>1147</v>
      </c>
      <c r="E134" s="21" t="s">
        <v>9</v>
      </c>
      <c r="F134" s="5812">
        <v>3</v>
      </c>
      <c r="G134" s="5813">
        <v>0.20833333333333334</v>
      </c>
      <c r="H134" s="21" t="s">
        <v>10</v>
      </c>
      <c r="I134" s="21" t="s">
        <v>89</v>
      </c>
      <c r="J134" s="21" t="s">
        <v>10351</v>
      </c>
      <c r="K134" s="5814" t="s">
        <v>10352</v>
      </c>
    </row>
    <row r="135" spans="1:11">
      <c r="A135" s="21" t="s">
        <v>3224</v>
      </c>
      <c r="B135" s="21" t="s">
        <v>10353</v>
      </c>
      <c r="C135" s="21" t="s">
        <v>22</v>
      </c>
      <c r="D135" s="21" t="s">
        <v>1147</v>
      </c>
      <c r="E135" s="21" t="s">
        <v>9</v>
      </c>
      <c r="F135" s="5812">
        <v>3</v>
      </c>
      <c r="G135" s="5813">
        <v>0.20833333333333334</v>
      </c>
      <c r="H135" s="21" t="s">
        <v>10</v>
      </c>
      <c r="I135" s="21" t="s">
        <v>39</v>
      </c>
      <c r="J135" s="21" t="s">
        <v>10354</v>
      </c>
      <c r="K135" s="5814" t="s">
        <v>10355</v>
      </c>
    </row>
    <row r="136" spans="1:11">
      <c r="A136" s="21" t="s">
        <v>3505</v>
      </c>
      <c r="B136" s="21" t="s">
        <v>10356</v>
      </c>
      <c r="C136" s="21" t="s">
        <v>8</v>
      </c>
      <c r="D136" s="21" t="s">
        <v>1147</v>
      </c>
      <c r="E136" s="21" t="s">
        <v>9</v>
      </c>
      <c r="F136" s="5812">
        <v>3</v>
      </c>
      <c r="G136" s="5813">
        <v>0.20833333333333334</v>
      </c>
      <c r="H136" s="21" t="s">
        <v>10</v>
      </c>
      <c r="I136" s="21" t="s">
        <v>55</v>
      </c>
      <c r="J136" s="21" t="s">
        <v>10357</v>
      </c>
      <c r="K136" s="5814" t="s">
        <v>10358</v>
      </c>
    </row>
    <row r="137" spans="1:11">
      <c r="A137" s="21" t="s">
        <v>3505</v>
      </c>
      <c r="B137" s="21" t="s">
        <v>10359</v>
      </c>
      <c r="C137" s="21" t="s">
        <v>8</v>
      </c>
      <c r="D137" s="21" t="s">
        <v>1147</v>
      </c>
      <c r="E137" s="21" t="s">
        <v>9</v>
      </c>
      <c r="F137" s="5812">
        <v>3</v>
      </c>
      <c r="G137" s="5813">
        <v>0.20833333333333334</v>
      </c>
      <c r="H137" s="21" t="s">
        <v>10</v>
      </c>
      <c r="I137" s="21" t="s">
        <v>39</v>
      </c>
      <c r="J137" s="21" t="s">
        <v>10360</v>
      </c>
      <c r="K137" s="5814" t="s">
        <v>10361</v>
      </c>
    </row>
    <row r="138" spans="1:11">
      <c r="A138" s="21" t="s">
        <v>4043</v>
      </c>
      <c r="B138" s="21" t="s">
        <v>10362</v>
      </c>
      <c r="C138" s="21" t="s">
        <v>8</v>
      </c>
      <c r="D138" s="21" t="s">
        <v>1147</v>
      </c>
      <c r="E138" s="21" t="s">
        <v>9</v>
      </c>
      <c r="F138" s="5812">
        <v>3</v>
      </c>
      <c r="G138" s="5813">
        <v>0.20833333333333334</v>
      </c>
      <c r="H138" s="21" t="s">
        <v>10</v>
      </c>
      <c r="I138" s="21" t="s">
        <v>47</v>
      </c>
      <c r="J138" s="21" t="s">
        <v>10363</v>
      </c>
      <c r="K138" s="5814" t="s">
        <v>10364</v>
      </c>
    </row>
    <row r="139" spans="1:11">
      <c r="A139" s="21" t="s">
        <v>2509</v>
      </c>
      <c r="B139" s="21" t="s">
        <v>10365</v>
      </c>
      <c r="C139" s="21" t="s">
        <v>8</v>
      </c>
      <c r="D139" s="21" t="s">
        <v>1147</v>
      </c>
      <c r="E139" s="21" t="s">
        <v>9</v>
      </c>
      <c r="F139" s="5812">
        <v>3</v>
      </c>
      <c r="G139" s="5813">
        <v>0.20833333333333334</v>
      </c>
      <c r="H139" s="21" t="s">
        <v>10</v>
      </c>
      <c r="I139" s="21" t="s">
        <v>39</v>
      </c>
      <c r="J139" s="21" t="s">
        <v>10366</v>
      </c>
      <c r="K139" s="5814" t="s">
        <v>10367</v>
      </c>
    </row>
    <row r="140" spans="1:11">
      <c r="A140" s="21" t="s">
        <v>2509</v>
      </c>
      <c r="B140" s="21" t="s">
        <v>10368</v>
      </c>
      <c r="C140" s="21" t="s">
        <v>8</v>
      </c>
      <c r="D140" s="21" t="s">
        <v>1147</v>
      </c>
      <c r="E140" s="21" t="s">
        <v>9</v>
      </c>
      <c r="F140" s="5812">
        <v>3</v>
      </c>
      <c r="G140" s="5813">
        <v>0.20833333333333334</v>
      </c>
      <c r="H140" s="21" t="s">
        <v>10</v>
      </c>
      <c r="I140" s="21" t="s">
        <v>47</v>
      </c>
      <c r="J140" s="21" t="s">
        <v>10369</v>
      </c>
      <c r="K140" s="5814" t="s">
        <v>10370</v>
      </c>
    </row>
    <row r="141" spans="1:11">
      <c r="A141" s="21" t="s">
        <v>5335</v>
      </c>
      <c r="B141" s="21" t="s">
        <v>10371</v>
      </c>
      <c r="C141" s="21" t="s">
        <v>22</v>
      </c>
      <c r="D141" s="21" t="s">
        <v>1147</v>
      </c>
      <c r="E141" s="21" t="s">
        <v>9</v>
      </c>
      <c r="F141" s="5812">
        <v>3</v>
      </c>
      <c r="G141" s="5813">
        <v>0.20833333333333334</v>
      </c>
      <c r="H141" s="21" t="s">
        <v>10</v>
      </c>
      <c r="I141" s="21" t="s">
        <v>47</v>
      </c>
      <c r="J141" s="21" t="s">
        <v>10372</v>
      </c>
      <c r="K141" s="5814" t="s">
        <v>10373</v>
      </c>
    </row>
    <row r="142" spans="1:11">
      <c r="A142" s="21" t="s">
        <v>5335</v>
      </c>
      <c r="B142" s="21" t="s">
        <v>10374</v>
      </c>
      <c r="C142" s="21" t="s">
        <v>22</v>
      </c>
      <c r="D142" s="21" t="s">
        <v>1147</v>
      </c>
      <c r="E142" s="21" t="s">
        <v>9</v>
      </c>
      <c r="F142" s="5812">
        <v>3</v>
      </c>
      <c r="G142" s="5813">
        <v>0.20833333333333334</v>
      </c>
      <c r="H142" s="21" t="s">
        <v>10</v>
      </c>
      <c r="I142" s="21" t="s">
        <v>39</v>
      </c>
      <c r="J142" s="21" t="s">
        <v>10375</v>
      </c>
      <c r="K142" s="5814" t="s">
        <v>10376</v>
      </c>
    </row>
    <row r="143" spans="1:11">
      <c r="A143" s="21" t="s">
        <v>5335</v>
      </c>
      <c r="B143" s="21" t="s">
        <v>10377</v>
      </c>
      <c r="C143" s="21" t="s">
        <v>8</v>
      </c>
      <c r="D143" s="21" t="s">
        <v>1147</v>
      </c>
      <c r="E143" s="21" t="s">
        <v>9</v>
      </c>
      <c r="F143" s="5812">
        <v>3</v>
      </c>
      <c r="G143" s="5813">
        <v>0.20833333333333334</v>
      </c>
      <c r="H143" s="21" t="s">
        <v>10</v>
      </c>
      <c r="I143" s="21" t="s">
        <v>23</v>
      </c>
      <c r="J143" s="21" t="s">
        <v>10378</v>
      </c>
      <c r="K143" s="5814" t="s">
        <v>10379</v>
      </c>
    </row>
    <row r="144" spans="1:11">
      <c r="A144" s="21" t="s">
        <v>2127</v>
      </c>
      <c r="B144" s="21" t="s">
        <v>10380</v>
      </c>
      <c r="C144" s="21" t="s">
        <v>8</v>
      </c>
      <c r="D144" s="21" t="s">
        <v>1147</v>
      </c>
      <c r="E144" s="21" t="s">
        <v>9</v>
      </c>
      <c r="F144" s="5812">
        <v>3</v>
      </c>
      <c r="G144" s="5813">
        <v>0.20833333333333334</v>
      </c>
      <c r="H144" s="21" t="s">
        <v>10</v>
      </c>
      <c r="I144" s="21" t="s">
        <v>96</v>
      </c>
      <c r="J144" s="21" t="s">
        <v>10381</v>
      </c>
      <c r="K144" s="5814" t="s">
        <v>10382</v>
      </c>
    </row>
    <row r="145" spans="1:11">
      <c r="A145" s="21" t="s">
        <v>2938</v>
      </c>
      <c r="B145" s="21" t="s">
        <v>10383</v>
      </c>
      <c r="C145" s="21" t="s">
        <v>22</v>
      </c>
      <c r="D145" s="21" t="s">
        <v>1147</v>
      </c>
      <c r="E145" s="21" t="s">
        <v>9</v>
      </c>
      <c r="F145" s="5812">
        <v>3</v>
      </c>
      <c r="G145" s="5813">
        <v>0.20833333333333334</v>
      </c>
      <c r="H145" s="21" t="s">
        <v>10</v>
      </c>
      <c r="I145" s="21" t="s">
        <v>2313</v>
      </c>
      <c r="J145" s="21" t="s">
        <v>7268</v>
      </c>
      <c r="K145" s="5814" t="s">
        <v>10384</v>
      </c>
    </row>
    <row r="146" spans="1:11">
      <c r="A146" s="21" t="s">
        <v>2521</v>
      </c>
      <c r="B146" s="21" t="s">
        <v>10385</v>
      </c>
      <c r="C146" s="21" t="s">
        <v>8</v>
      </c>
      <c r="D146" s="21" t="s">
        <v>1147</v>
      </c>
      <c r="E146" s="21" t="s">
        <v>9</v>
      </c>
      <c r="F146" s="5812">
        <v>3</v>
      </c>
      <c r="G146" s="5813">
        <v>0.20833333333333334</v>
      </c>
      <c r="H146" s="21" t="s">
        <v>10</v>
      </c>
      <c r="I146" s="21" t="s">
        <v>47</v>
      </c>
      <c r="J146" s="21" t="s">
        <v>10386</v>
      </c>
      <c r="K146" s="5814" t="s">
        <v>10387</v>
      </c>
    </row>
    <row r="147" spans="1:11">
      <c r="A147" s="21" t="s">
        <v>3703</v>
      </c>
      <c r="B147" s="21" t="s">
        <v>10388</v>
      </c>
      <c r="C147" s="21" t="s">
        <v>22</v>
      </c>
      <c r="D147" s="21" t="s">
        <v>1147</v>
      </c>
      <c r="E147" s="21" t="s">
        <v>9</v>
      </c>
      <c r="F147" s="5812">
        <v>3</v>
      </c>
      <c r="G147" s="5813">
        <v>0.20833333333333334</v>
      </c>
      <c r="H147" s="21" t="s">
        <v>10</v>
      </c>
      <c r="I147" s="21" t="s">
        <v>96</v>
      </c>
      <c r="J147" s="21" t="s">
        <v>10389</v>
      </c>
      <c r="K147" s="5814" t="s">
        <v>10390</v>
      </c>
    </row>
    <row r="148" spans="1:11">
      <c r="A148" s="21" t="s">
        <v>3613</v>
      </c>
      <c r="B148" s="21" t="s">
        <v>10391</v>
      </c>
      <c r="C148" s="21" t="s">
        <v>8</v>
      </c>
      <c r="D148" s="21" t="s">
        <v>1147</v>
      </c>
      <c r="E148" s="21" t="s">
        <v>9</v>
      </c>
      <c r="F148" s="5812">
        <v>3</v>
      </c>
      <c r="G148" s="5813">
        <v>0.20833333333333334</v>
      </c>
      <c r="H148" s="21" t="s">
        <v>10</v>
      </c>
      <c r="I148" s="21" t="s">
        <v>23</v>
      </c>
      <c r="J148" s="21" t="s">
        <v>10392</v>
      </c>
      <c r="K148" s="5814" t="s">
        <v>10393</v>
      </c>
    </row>
    <row r="149" spans="1:11">
      <c r="A149" s="21" t="s">
        <v>4068</v>
      </c>
      <c r="B149" s="21" t="s">
        <v>10394</v>
      </c>
      <c r="C149" s="21" t="s">
        <v>22</v>
      </c>
      <c r="D149" s="21" t="s">
        <v>1147</v>
      </c>
      <c r="E149" s="21" t="s">
        <v>9</v>
      </c>
      <c r="F149" s="5812">
        <v>3</v>
      </c>
      <c r="G149" s="5813">
        <v>0.20833333333333334</v>
      </c>
      <c r="H149" s="21" t="s">
        <v>10</v>
      </c>
      <c r="I149" s="21" t="s">
        <v>96</v>
      </c>
      <c r="J149" s="21" t="s">
        <v>10395</v>
      </c>
      <c r="K149" s="5814" t="s">
        <v>10396</v>
      </c>
    </row>
    <row r="150" spans="1:11">
      <c r="A150" s="21" t="s">
        <v>2291</v>
      </c>
      <c r="B150" s="21" t="s">
        <v>10397</v>
      </c>
      <c r="C150" s="21" t="s">
        <v>22</v>
      </c>
      <c r="D150" s="21" t="s">
        <v>1147</v>
      </c>
      <c r="E150" s="21" t="s">
        <v>9</v>
      </c>
      <c r="F150" s="5812">
        <v>3</v>
      </c>
      <c r="G150" s="5813">
        <v>0.20833333333333334</v>
      </c>
      <c r="H150" s="21" t="s">
        <v>10</v>
      </c>
      <c r="I150" s="21" t="s">
        <v>39</v>
      </c>
      <c r="J150" s="21" t="s">
        <v>10398</v>
      </c>
      <c r="K150" s="5814" t="s">
        <v>10399</v>
      </c>
    </row>
    <row r="151" spans="1:11">
      <c r="A151" s="21" t="s">
        <v>2135</v>
      </c>
      <c r="B151" s="21" t="s">
        <v>10400</v>
      </c>
      <c r="C151" s="21" t="s">
        <v>8</v>
      </c>
      <c r="D151" s="21" t="s">
        <v>1147</v>
      </c>
      <c r="E151" s="21" t="s">
        <v>9</v>
      </c>
      <c r="F151" s="5812">
        <v>3</v>
      </c>
      <c r="G151" s="5813">
        <v>0.20833333333333334</v>
      </c>
      <c r="H151" s="21" t="s">
        <v>10</v>
      </c>
      <c r="I151" s="21" t="s">
        <v>96</v>
      </c>
      <c r="J151" s="21" t="s">
        <v>10401</v>
      </c>
      <c r="K151" s="5814" t="s">
        <v>10402</v>
      </c>
    </row>
    <row r="152" spans="1:11">
      <c r="A152" s="21" t="s">
        <v>2538</v>
      </c>
      <c r="B152" s="21" t="s">
        <v>10403</v>
      </c>
      <c r="C152" s="21" t="s">
        <v>8</v>
      </c>
      <c r="D152" s="21" t="s">
        <v>1147</v>
      </c>
      <c r="E152" s="21" t="s">
        <v>9</v>
      </c>
      <c r="F152" s="5812">
        <v>3</v>
      </c>
      <c r="G152" s="5813">
        <v>0.20833333333333334</v>
      </c>
      <c r="H152" s="21" t="s">
        <v>10</v>
      </c>
      <c r="I152" s="21" t="s">
        <v>2544</v>
      </c>
      <c r="J152" s="21" t="s">
        <v>10404</v>
      </c>
      <c r="K152" s="5814" t="s">
        <v>10405</v>
      </c>
    </row>
    <row r="153" spans="1:11">
      <c r="A153" s="21" t="s">
        <v>2538</v>
      </c>
      <c r="B153" s="21" t="s">
        <v>10406</v>
      </c>
      <c r="C153" s="21" t="s">
        <v>8</v>
      </c>
      <c r="D153" s="21" t="s">
        <v>1147</v>
      </c>
      <c r="E153" s="21" t="s">
        <v>9</v>
      </c>
      <c r="F153" s="5812">
        <v>3</v>
      </c>
      <c r="G153" s="5813">
        <v>0.20833333333333334</v>
      </c>
      <c r="H153" s="21" t="s">
        <v>10</v>
      </c>
      <c r="I153" s="21" t="s">
        <v>2544</v>
      </c>
      <c r="J153" s="21" t="s">
        <v>10407</v>
      </c>
      <c r="K153" s="5814" t="s">
        <v>10408</v>
      </c>
    </row>
    <row r="154" spans="1:11">
      <c r="A154" s="21" t="s">
        <v>3387</v>
      </c>
      <c r="B154" s="21" t="s">
        <v>10409</v>
      </c>
      <c r="C154" s="21" t="s">
        <v>22</v>
      </c>
      <c r="D154" s="21" t="s">
        <v>1147</v>
      </c>
      <c r="E154" s="21" t="s">
        <v>9</v>
      </c>
      <c r="F154" s="5812">
        <v>3</v>
      </c>
      <c r="G154" s="5813">
        <v>0.20833333333333334</v>
      </c>
      <c r="H154" s="21" t="s">
        <v>10</v>
      </c>
      <c r="I154" s="21" t="s">
        <v>2544</v>
      </c>
      <c r="J154" s="21" t="s">
        <v>10410</v>
      </c>
      <c r="K154" s="5814" t="s">
        <v>10411</v>
      </c>
    </row>
    <row r="155" spans="1:11">
      <c r="A155" s="21" t="s">
        <v>3616</v>
      </c>
      <c r="B155" s="21" t="s">
        <v>10412</v>
      </c>
      <c r="C155" s="21" t="s">
        <v>8</v>
      </c>
      <c r="D155" s="21" t="s">
        <v>1147</v>
      </c>
      <c r="E155" s="21" t="s">
        <v>9</v>
      </c>
      <c r="F155" s="5812">
        <v>3</v>
      </c>
      <c r="G155" s="5813">
        <v>0.20833333333333334</v>
      </c>
      <c r="H155" s="21" t="s">
        <v>10</v>
      </c>
      <c r="I155" s="21" t="s">
        <v>11</v>
      </c>
      <c r="J155" s="21" t="s">
        <v>10290</v>
      </c>
      <c r="K155" s="5814" t="s">
        <v>10413</v>
      </c>
    </row>
    <row r="156" spans="1:11">
      <c r="A156" s="21" t="s">
        <v>3597</v>
      </c>
      <c r="B156" s="21" t="s">
        <v>10414</v>
      </c>
      <c r="C156" s="21" t="s">
        <v>8</v>
      </c>
      <c r="D156" s="21" t="s">
        <v>1147</v>
      </c>
      <c r="E156" s="21" t="s">
        <v>9</v>
      </c>
      <c r="F156" s="5812">
        <v>3</v>
      </c>
      <c r="G156" s="5813">
        <v>0.20833333333333334</v>
      </c>
      <c r="H156" s="21" t="s">
        <v>10</v>
      </c>
      <c r="I156" s="21" t="s">
        <v>23</v>
      </c>
      <c r="J156" s="21" t="s">
        <v>10415</v>
      </c>
      <c r="K156" s="5814" t="s">
        <v>10416</v>
      </c>
    </row>
    <row r="157" spans="1:11">
      <c r="A157" s="21" t="s">
        <v>2966</v>
      </c>
      <c r="B157" s="21" t="s">
        <v>10417</v>
      </c>
      <c r="C157" s="21" t="s">
        <v>8</v>
      </c>
      <c r="D157" s="21" t="s">
        <v>1147</v>
      </c>
      <c r="E157" s="21" t="s">
        <v>9</v>
      </c>
      <c r="F157" s="5812">
        <v>3</v>
      </c>
      <c r="G157" s="5813">
        <v>0.20833333333333334</v>
      </c>
      <c r="H157" s="21" t="s">
        <v>10</v>
      </c>
      <c r="I157" s="21" t="s">
        <v>39</v>
      </c>
      <c r="J157" s="21" t="s">
        <v>10418</v>
      </c>
      <c r="K157" s="5814" t="s">
        <v>10419</v>
      </c>
    </row>
    <row r="158" spans="1:11">
      <c r="A158" s="21" t="s">
        <v>3315</v>
      </c>
      <c r="B158" s="21" t="s">
        <v>10420</v>
      </c>
      <c r="C158" s="21" t="s">
        <v>8</v>
      </c>
      <c r="D158" s="21" t="s">
        <v>1147</v>
      </c>
      <c r="E158" s="21" t="s">
        <v>9</v>
      </c>
      <c r="F158" s="5812">
        <v>3</v>
      </c>
      <c r="G158" s="5813">
        <v>0.20833333333333334</v>
      </c>
      <c r="H158" s="21" t="s">
        <v>10</v>
      </c>
      <c r="I158" s="21" t="s">
        <v>39</v>
      </c>
      <c r="J158" s="21" t="s">
        <v>8622</v>
      </c>
      <c r="K158" s="5814" t="s">
        <v>10421</v>
      </c>
    </row>
    <row r="159" spans="1:11">
      <c r="A159" s="21" t="s">
        <v>4116</v>
      </c>
      <c r="B159" s="21" t="s">
        <v>10422</v>
      </c>
      <c r="C159" s="21" t="s">
        <v>8</v>
      </c>
      <c r="D159" s="21" t="s">
        <v>1147</v>
      </c>
      <c r="E159" s="21" t="s">
        <v>9</v>
      </c>
      <c r="F159" s="5812">
        <v>3</v>
      </c>
      <c r="G159" s="5813">
        <v>0.20833333333333334</v>
      </c>
      <c r="H159" s="21" t="s">
        <v>10</v>
      </c>
      <c r="I159" s="21" t="s">
        <v>11</v>
      </c>
      <c r="J159" s="21" t="s">
        <v>10423</v>
      </c>
      <c r="K159" s="5814" t="s">
        <v>10424</v>
      </c>
    </row>
    <row r="160" spans="1:11">
      <c r="A160" s="21" t="s">
        <v>2065</v>
      </c>
      <c r="B160" s="21" t="s">
        <v>10425</v>
      </c>
      <c r="C160" s="21" t="s">
        <v>8</v>
      </c>
      <c r="D160" s="21" t="s">
        <v>1147</v>
      </c>
      <c r="E160" s="21" t="s">
        <v>9</v>
      </c>
      <c r="F160" s="5812">
        <v>3</v>
      </c>
      <c r="G160" s="5813">
        <v>0.20833333333333334</v>
      </c>
      <c r="H160" s="21" t="s">
        <v>10</v>
      </c>
      <c r="I160" s="21" t="s">
        <v>233</v>
      </c>
      <c r="J160" s="21" t="s">
        <v>10426</v>
      </c>
      <c r="K160" s="5814" t="s">
        <v>10427</v>
      </c>
    </row>
    <row r="161" spans="1:11">
      <c r="A161" s="21" t="s">
        <v>2979</v>
      </c>
      <c r="B161" s="21" t="s">
        <v>10428</v>
      </c>
      <c r="C161" s="21" t="s">
        <v>8</v>
      </c>
      <c r="D161" s="21" t="s">
        <v>1147</v>
      </c>
      <c r="E161" s="21" t="s">
        <v>9</v>
      </c>
      <c r="F161" s="5812">
        <v>3</v>
      </c>
      <c r="G161" s="5813">
        <v>0.20833333333333334</v>
      </c>
      <c r="H161" s="21" t="s">
        <v>10</v>
      </c>
      <c r="I161" s="21" t="s">
        <v>11</v>
      </c>
      <c r="J161" s="21" t="s">
        <v>10429</v>
      </c>
      <c r="K161" s="5814" t="s">
        <v>10430</v>
      </c>
    </row>
    <row r="162" spans="1:11">
      <c r="A162" s="21" t="s">
        <v>2551</v>
      </c>
      <c r="B162" s="21" t="s">
        <v>10431</v>
      </c>
      <c r="C162" s="21" t="s">
        <v>8</v>
      </c>
      <c r="D162" s="21" t="s">
        <v>1147</v>
      </c>
      <c r="E162" s="21" t="s">
        <v>9</v>
      </c>
      <c r="F162" s="5812">
        <v>3</v>
      </c>
      <c r="G162" s="5813">
        <v>0.20833333333333334</v>
      </c>
      <c r="H162" s="21" t="s">
        <v>10</v>
      </c>
      <c r="I162" s="21" t="s">
        <v>4510</v>
      </c>
      <c r="J162" s="21" t="s">
        <v>10432</v>
      </c>
      <c r="K162" s="5814" t="s">
        <v>10433</v>
      </c>
    </row>
    <row r="163" spans="1:11">
      <c r="A163" s="21" t="s">
        <v>4565</v>
      </c>
      <c r="B163" s="21" t="s">
        <v>10434</v>
      </c>
      <c r="C163" s="21" t="s">
        <v>8</v>
      </c>
      <c r="D163" s="21" t="s">
        <v>1147</v>
      </c>
      <c r="E163" s="21" t="s">
        <v>9</v>
      </c>
      <c r="F163" s="5812">
        <v>3</v>
      </c>
      <c r="G163" s="5813">
        <v>0.20833333333333334</v>
      </c>
      <c r="H163" s="21" t="s">
        <v>10</v>
      </c>
      <c r="I163" s="21" t="s">
        <v>3534</v>
      </c>
      <c r="J163" s="21" t="s">
        <v>10435</v>
      </c>
      <c r="K163" s="5814" t="s">
        <v>10436</v>
      </c>
    </row>
    <row r="164" spans="1:11">
      <c r="A164" s="21" t="s">
        <v>2560</v>
      </c>
      <c r="B164" s="21" t="s">
        <v>10437</v>
      </c>
      <c r="C164" s="21" t="s">
        <v>22</v>
      </c>
      <c r="D164" s="21" t="s">
        <v>1147</v>
      </c>
      <c r="E164" s="21" t="s">
        <v>9</v>
      </c>
      <c r="F164" s="5812">
        <v>3</v>
      </c>
      <c r="G164" s="5813">
        <v>0.20833333333333334</v>
      </c>
      <c r="H164" s="21" t="s">
        <v>10</v>
      </c>
      <c r="I164" s="21" t="s">
        <v>187</v>
      </c>
      <c r="J164" s="21" t="s">
        <v>10438</v>
      </c>
      <c r="K164" s="5814" t="s">
        <v>10439</v>
      </c>
    </row>
    <row r="165" spans="1:11">
      <c r="A165" s="21" t="s">
        <v>2160</v>
      </c>
      <c r="B165" s="21" t="s">
        <v>10440</v>
      </c>
      <c r="C165" s="21" t="s">
        <v>22</v>
      </c>
      <c r="D165" s="21" t="s">
        <v>1147</v>
      </c>
      <c r="E165" s="21" t="s">
        <v>9</v>
      </c>
      <c r="F165" s="5812">
        <v>3</v>
      </c>
      <c r="G165" s="5813">
        <v>0.20833333333333334</v>
      </c>
      <c r="H165" s="21" t="s">
        <v>10</v>
      </c>
      <c r="I165" s="21" t="s">
        <v>47</v>
      </c>
      <c r="J165" s="21" t="s">
        <v>10441</v>
      </c>
      <c r="K165" s="5814" t="s">
        <v>10442</v>
      </c>
    </row>
    <row r="166" spans="1:11">
      <c r="A166" s="21" t="s">
        <v>2160</v>
      </c>
      <c r="B166" s="21" t="s">
        <v>10443</v>
      </c>
      <c r="C166" s="21" t="s">
        <v>8</v>
      </c>
      <c r="D166" s="21" t="s">
        <v>1147</v>
      </c>
      <c r="E166" s="21" t="s">
        <v>9</v>
      </c>
      <c r="F166" s="5812">
        <v>3</v>
      </c>
      <c r="G166" s="5813">
        <v>0.20833333333333334</v>
      </c>
      <c r="H166" s="21" t="s">
        <v>10</v>
      </c>
      <c r="I166" s="21" t="s">
        <v>2814</v>
      </c>
      <c r="J166" s="21" t="s">
        <v>10444</v>
      </c>
      <c r="K166" s="5814" t="s">
        <v>10445</v>
      </c>
    </row>
    <row r="167" spans="1:11">
      <c r="A167" s="21" t="s">
        <v>3720</v>
      </c>
      <c r="B167" s="21" t="s">
        <v>10446</v>
      </c>
      <c r="C167" s="21" t="s">
        <v>8</v>
      </c>
      <c r="D167" s="21" t="s">
        <v>1147</v>
      </c>
      <c r="E167" s="21" t="s">
        <v>9</v>
      </c>
      <c r="F167" s="5812">
        <v>3</v>
      </c>
      <c r="G167" s="5813">
        <v>0.20833333333333334</v>
      </c>
      <c r="H167" s="21" t="s">
        <v>10</v>
      </c>
      <c r="I167" s="21" t="s">
        <v>11</v>
      </c>
      <c r="J167" s="21" t="s">
        <v>10447</v>
      </c>
      <c r="K167" s="5814" t="s">
        <v>10448</v>
      </c>
    </row>
    <row r="168" spans="1:11">
      <c r="A168" s="21" t="s">
        <v>4139</v>
      </c>
      <c r="B168" s="21" t="s">
        <v>10449</v>
      </c>
      <c r="C168" s="21" t="s">
        <v>8</v>
      </c>
      <c r="D168" s="21" t="s">
        <v>1147</v>
      </c>
      <c r="E168" s="21" t="s">
        <v>9</v>
      </c>
      <c r="F168" s="5812">
        <v>3</v>
      </c>
      <c r="G168" s="5813">
        <v>0.20833333333333334</v>
      </c>
      <c r="H168" s="21" t="s">
        <v>10</v>
      </c>
      <c r="I168" s="21" t="s">
        <v>2153</v>
      </c>
      <c r="J168" s="21" t="s">
        <v>10450</v>
      </c>
      <c r="K168" s="5814" t="s">
        <v>10451</v>
      </c>
    </row>
    <row r="169" spans="1:11">
      <c r="A169" s="21" t="s">
        <v>2992</v>
      </c>
      <c r="B169" s="21" t="s">
        <v>10452</v>
      </c>
      <c r="C169" s="21" t="s">
        <v>22</v>
      </c>
      <c r="D169" s="21" t="s">
        <v>1147</v>
      </c>
      <c r="E169" s="21" t="s">
        <v>9</v>
      </c>
      <c r="F169" s="5812">
        <v>3</v>
      </c>
      <c r="G169" s="5813">
        <v>0.20833333333333334</v>
      </c>
      <c r="H169" s="21" t="s">
        <v>10</v>
      </c>
      <c r="I169" s="21" t="s">
        <v>2317</v>
      </c>
      <c r="J169" s="21" t="s">
        <v>10453</v>
      </c>
      <c r="K169" s="5814" t="s">
        <v>10454</v>
      </c>
    </row>
    <row r="170" spans="1:11">
      <c r="A170" s="21" t="s">
        <v>3208</v>
      </c>
      <c r="B170" s="21" t="s">
        <v>10455</v>
      </c>
      <c r="C170" s="21" t="s">
        <v>22</v>
      </c>
      <c r="D170" s="21" t="s">
        <v>1147</v>
      </c>
      <c r="E170" s="21" t="s">
        <v>9</v>
      </c>
      <c r="F170" s="5812">
        <v>3</v>
      </c>
      <c r="G170" s="5813">
        <v>0.20833333333333334</v>
      </c>
      <c r="H170" s="21" t="s">
        <v>10</v>
      </c>
      <c r="I170" s="21" t="s">
        <v>55</v>
      </c>
      <c r="J170" s="21" t="s">
        <v>10456</v>
      </c>
      <c r="K170" s="5814" t="s">
        <v>10457</v>
      </c>
    </row>
    <row r="171" spans="1:11">
      <c r="A171" s="21" t="s">
        <v>3252</v>
      </c>
      <c r="B171" s="21" t="s">
        <v>10458</v>
      </c>
      <c r="C171" s="21" t="s">
        <v>8</v>
      </c>
      <c r="D171" s="21" t="s">
        <v>1147</v>
      </c>
      <c r="E171" s="21" t="s">
        <v>9</v>
      </c>
      <c r="F171" s="5812">
        <v>3</v>
      </c>
      <c r="G171" s="5813">
        <v>0.20833333333333334</v>
      </c>
      <c r="H171" s="21" t="s">
        <v>10</v>
      </c>
      <c r="I171" s="21" t="s">
        <v>2660</v>
      </c>
      <c r="J171" s="21" t="s">
        <v>10459</v>
      </c>
      <c r="K171" s="5814" t="s">
        <v>10460</v>
      </c>
    </row>
    <row r="172" spans="1:11">
      <c r="A172" s="21" t="s">
        <v>3252</v>
      </c>
      <c r="B172" s="21" t="s">
        <v>10461</v>
      </c>
      <c r="C172" s="21" t="s">
        <v>8</v>
      </c>
      <c r="D172" s="21" t="s">
        <v>1147</v>
      </c>
      <c r="E172" s="21" t="s">
        <v>9</v>
      </c>
      <c r="F172" s="5812">
        <v>3</v>
      </c>
      <c r="G172" s="5813">
        <v>0.20833333333333334</v>
      </c>
      <c r="H172" s="21" t="s">
        <v>10</v>
      </c>
      <c r="I172" s="21" t="s">
        <v>2269</v>
      </c>
      <c r="J172" s="21" t="s">
        <v>10462</v>
      </c>
      <c r="K172" s="5814" t="s">
        <v>10463</v>
      </c>
    </row>
    <row r="173" spans="1:11">
      <c r="A173" s="21" t="s">
        <v>3446</v>
      </c>
      <c r="B173" s="21" t="s">
        <v>10464</v>
      </c>
      <c r="C173" s="21" t="s">
        <v>22</v>
      </c>
      <c r="D173" s="21" t="s">
        <v>1147</v>
      </c>
      <c r="E173" s="21" t="s">
        <v>9</v>
      </c>
      <c r="F173" s="5812">
        <v>3</v>
      </c>
      <c r="G173" s="5813">
        <v>0.20833333333333334</v>
      </c>
      <c r="H173" s="21" t="s">
        <v>10</v>
      </c>
      <c r="I173" s="21" t="s">
        <v>2260</v>
      </c>
      <c r="J173" s="21" t="s">
        <v>10465</v>
      </c>
      <c r="K173" s="5814" t="s">
        <v>10466</v>
      </c>
    </row>
    <row r="174" spans="1:11">
      <c r="A174" s="21" t="s">
        <v>3446</v>
      </c>
      <c r="B174" s="21" t="s">
        <v>10467</v>
      </c>
      <c r="C174" s="21" t="s">
        <v>8</v>
      </c>
      <c r="D174" s="21" t="s">
        <v>1147</v>
      </c>
      <c r="E174" s="21" t="s">
        <v>9</v>
      </c>
      <c r="F174" s="5812">
        <v>3</v>
      </c>
      <c r="G174" s="5813">
        <v>0.20833333333333334</v>
      </c>
      <c r="H174" s="21" t="s">
        <v>10</v>
      </c>
      <c r="I174" s="21" t="s">
        <v>3725</v>
      </c>
      <c r="J174" s="21" t="s">
        <v>8798</v>
      </c>
      <c r="K174" s="5814" t="s">
        <v>10468</v>
      </c>
    </row>
    <row r="175" spans="1:11">
      <c r="A175" s="21" t="s">
        <v>3446</v>
      </c>
      <c r="B175" s="21" t="s">
        <v>10469</v>
      </c>
      <c r="C175" s="21" t="s">
        <v>22</v>
      </c>
      <c r="D175" s="21" t="s">
        <v>1147</v>
      </c>
      <c r="E175" s="21" t="s">
        <v>9</v>
      </c>
      <c r="F175" s="5812">
        <v>3</v>
      </c>
      <c r="G175" s="5813">
        <v>0.20833333333333334</v>
      </c>
      <c r="H175" s="21" t="s">
        <v>10</v>
      </c>
      <c r="I175" s="21" t="s">
        <v>47</v>
      </c>
      <c r="J175" s="21" t="s">
        <v>10470</v>
      </c>
      <c r="K175" s="5814" t="s">
        <v>10471</v>
      </c>
    </row>
    <row r="176" spans="1:11">
      <c r="A176" s="21" t="s">
        <v>2165</v>
      </c>
      <c r="B176" s="21" t="s">
        <v>10472</v>
      </c>
      <c r="C176" s="21" t="s">
        <v>22</v>
      </c>
      <c r="D176" s="21" t="s">
        <v>1147</v>
      </c>
      <c r="E176" s="21" t="s">
        <v>9</v>
      </c>
      <c r="F176" s="5812">
        <v>3</v>
      </c>
      <c r="G176" s="5813">
        <v>0.20833333333333334</v>
      </c>
      <c r="H176" s="21" t="s">
        <v>10</v>
      </c>
      <c r="I176" s="21" t="s">
        <v>96</v>
      </c>
      <c r="J176" s="21" t="s">
        <v>10473</v>
      </c>
      <c r="K176" s="5814" t="s">
        <v>10474</v>
      </c>
    </row>
    <row r="177" spans="1:11">
      <c r="A177" s="21" t="s">
        <v>2579</v>
      </c>
      <c r="B177" s="21" t="s">
        <v>10475</v>
      </c>
      <c r="C177" s="21" t="s">
        <v>8</v>
      </c>
      <c r="D177" s="21" t="s">
        <v>1147</v>
      </c>
      <c r="E177" s="21" t="s">
        <v>9</v>
      </c>
      <c r="F177" s="5812">
        <v>3</v>
      </c>
      <c r="G177" s="5813">
        <v>0.20833333333333334</v>
      </c>
      <c r="H177" s="21" t="s">
        <v>10</v>
      </c>
      <c r="I177" s="21" t="s">
        <v>3534</v>
      </c>
      <c r="J177" s="21" t="s">
        <v>10476</v>
      </c>
      <c r="K177" s="5814" t="s">
        <v>10477</v>
      </c>
    </row>
    <row r="178" spans="1:11">
      <c r="A178" s="21" t="s">
        <v>2169</v>
      </c>
      <c r="B178" s="21" t="s">
        <v>10478</v>
      </c>
      <c r="C178" s="21" t="s">
        <v>22</v>
      </c>
      <c r="D178" s="21" t="s">
        <v>1147</v>
      </c>
      <c r="E178" s="21" t="s">
        <v>9</v>
      </c>
      <c r="F178" s="5812">
        <v>3</v>
      </c>
      <c r="G178" s="5813">
        <v>0.20833333333333334</v>
      </c>
      <c r="H178" s="21" t="s">
        <v>10</v>
      </c>
      <c r="I178" s="21" t="s">
        <v>89</v>
      </c>
      <c r="J178" s="21" t="s">
        <v>10479</v>
      </c>
      <c r="K178" s="5814" t="s">
        <v>10480</v>
      </c>
    </row>
    <row r="179" spans="1:11">
      <c r="A179" s="21" t="s">
        <v>2174</v>
      </c>
      <c r="B179" s="21" t="s">
        <v>10481</v>
      </c>
      <c r="C179" s="21" t="s">
        <v>8</v>
      </c>
      <c r="D179" s="21" t="s">
        <v>1147</v>
      </c>
      <c r="E179" s="21" t="s">
        <v>9</v>
      </c>
      <c r="F179" s="5812">
        <v>3</v>
      </c>
      <c r="G179" s="5813">
        <v>0.20833333333333334</v>
      </c>
      <c r="H179" s="21" t="s">
        <v>10</v>
      </c>
      <c r="I179" s="21" t="s">
        <v>11</v>
      </c>
      <c r="J179" s="21" t="s">
        <v>10482</v>
      </c>
      <c r="K179" s="5814" t="s">
        <v>10483</v>
      </c>
    </row>
    <row r="180" spans="1:11">
      <c r="A180" s="21" t="s">
        <v>5387</v>
      </c>
      <c r="B180" s="21" t="s">
        <v>10484</v>
      </c>
      <c r="C180" s="21" t="s">
        <v>8</v>
      </c>
      <c r="D180" s="21" t="s">
        <v>1147</v>
      </c>
      <c r="E180" s="21" t="s">
        <v>9</v>
      </c>
      <c r="F180" s="5812">
        <v>3</v>
      </c>
      <c r="G180" s="5813">
        <v>0.20833333333333334</v>
      </c>
      <c r="H180" s="21" t="s">
        <v>10</v>
      </c>
      <c r="I180" s="21" t="s">
        <v>263</v>
      </c>
      <c r="J180" s="21" t="s">
        <v>10485</v>
      </c>
      <c r="K180" s="5814" t="s">
        <v>10486</v>
      </c>
    </row>
    <row r="181" spans="1:11">
      <c r="A181" s="21" t="s">
        <v>4724</v>
      </c>
      <c r="B181" s="21" t="s">
        <v>10487</v>
      </c>
      <c r="C181" s="21" t="s">
        <v>8</v>
      </c>
      <c r="D181" s="21" t="s">
        <v>1147</v>
      </c>
      <c r="E181" s="21" t="s">
        <v>9</v>
      </c>
      <c r="F181" s="5812">
        <v>3</v>
      </c>
      <c r="G181" s="5813">
        <v>0.20833333333333334</v>
      </c>
      <c r="H181" s="21" t="s">
        <v>10</v>
      </c>
      <c r="I181" s="21" t="s">
        <v>47</v>
      </c>
      <c r="J181" s="21" t="s">
        <v>10488</v>
      </c>
      <c r="K181" s="5814" t="s">
        <v>10489</v>
      </c>
    </row>
    <row r="182" spans="1:11">
      <c r="A182" s="21" t="s">
        <v>2985</v>
      </c>
      <c r="B182" s="21" t="s">
        <v>10490</v>
      </c>
      <c r="C182" s="21" t="s">
        <v>22</v>
      </c>
      <c r="D182" s="21" t="s">
        <v>1147</v>
      </c>
      <c r="E182" s="21" t="s">
        <v>9</v>
      </c>
      <c r="F182" s="5812">
        <v>3</v>
      </c>
      <c r="G182" s="5813">
        <v>0.20833333333333334</v>
      </c>
      <c r="H182" s="21" t="s">
        <v>10</v>
      </c>
      <c r="I182" s="21" t="s">
        <v>39</v>
      </c>
      <c r="J182" s="21" t="s">
        <v>10491</v>
      </c>
      <c r="K182" s="5814" t="s">
        <v>10492</v>
      </c>
    </row>
    <row r="183" spans="1:11">
      <c r="A183" s="21" t="s">
        <v>2985</v>
      </c>
      <c r="B183" s="21" t="s">
        <v>10493</v>
      </c>
      <c r="C183" s="21" t="s">
        <v>22</v>
      </c>
      <c r="D183" s="21" t="s">
        <v>1147</v>
      </c>
      <c r="E183" s="21" t="s">
        <v>9</v>
      </c>
      <c r="F183" s="5812">
        <v>3</v>
      </c>
      <c r="G183" s="5813">
        <v>0.20833333333333334</v>
      </c>
      <c r="H183" s="21" t="s">
        <v>10</v>
      </c>
      <c r="I183" s="21" t="s">
        <v>39</v>
      </c>
      <c r="J183" s="21" t="s">
        <v>10494</v>
      </c>
      <c r="K183" s="5814" t="s">
        <v>10495</v>
      </c>
    </row>
    <row r="184" spans="1:11">
      <c r="A184" s="21" t="s">
        <v>4170</v>
      </c>
      <c r="B184" s="21" t="s">
        <v>10496</v>
      </c>
      <c r="C184" s="21" t="s">
        <v>22</v>
      </c>
      <c r="D184" s="21" t="s">
        <v>1147</v>
      </c>
      <c r="E184" s="21" t="s">
        <v>9</v>
      </c>
      <c r="F184" s="5812">
        <v>3</v>
      </c>
      <c r="G184" s="5813">
        <v>0.20833333333333334</v>
      </c>
      <c r="H184" s="21" t="s">
        <v>10</v>
      </c>
      <c r="I184" s="21" t="s">
        <v>2713</v>
      </c>
      <c r="J184" s="21" t="s">
        <v>10497</v>
      </c>
      <c r="K184" s="5814" t="s">
        <v>10498</v>
      </c>
    </row>
    <row r="185" spans="1:11">
      <c r="A185" s="21" t="s">
        <v>3160</v>
      </c>
      <c r="B185" s="21" t="s">
        <v>10499</v>
      </c>
      <c r="C185" s="21" t="s">
        <v>22</v>
      </c>
      <c r="D185" s="21" t="s">
        <v>1147</v>
      </c>
      <c r="E185" s="21" t="s">
        <v>9</v>
      </c>
      <c r="F185" s="5812">
        <v>3</v>
      </c>
      <c r="G185" s="5813">
        <v>0.20833333333333334</v>
      </c>
      <c r="H185" s="21" t="s">
        <v>10</v>
      </c>
      <c r="I185" s="21" t="s">
        <v>233</v>
      </c>
      <c r="J185" s="21" t="s">
        <v>10500</v>
      </c>
      <c r="K185" s="5814" t="s">
        <v>10501</v>
      </c>
    </row>
    <row r="186" spans="1:11">
      <c r="A186" s="21" t="s">
        <v>2616</v>
      </c>
      <c r="B186" s="21" t="s">
        <v>10502</v>
      </c>
      <c r="C186" s="21" t="s">
        <v>8</v>
      </c>
      <c r="D186" s="21" t="s">
        <v>1147</v>
      </c>
      <c r="E186" s="21" t="s">
        <v>9</v>
      </c>
      <c r="F186" s="5812">
        <v>3</v>
      </c>
      <c r="G186" s="5813">
        <v>0.20833333333333334</v>
      </c>
      <c r="H186" s="21" t="s">
        <v>10</v>
      </c>
      <c r="I186" s="21" t="s">
        <v>400</v>
      </c>
      <c r="J186" s="21" t="s">
        <v>10503</v>
      </c>
      <c r="K186" s="5814" t="s">
        <v>10504</v>
      </c>
    </row>
    <row r="187" spans="1:11">
      <c r="A187" s="21" t="s">
        <v>2184</v>
      </c>
      <c r="B187" s="21" t="s">
        <v>10505</v>
      </c>
      <c r="C187" s="21" t="s">
        <v>22</v>
      </c>
      <c r="D187" s="21" t="s">
        <v>1147</v>
      </c>
      <c r="E187" s="21" t="s">
        <v>9</v>
      </c>
      <c r="F187" s="5812">
        <v>3</v>
      </c>
      <c r="G187" s="5813">
        <v>0.20833333333333334</v>
      </c>
      <c r="H187" s="21" t="s">
        <v>10</v>
      </c>
      <c r="I187" s="21" t="s">
        <v>8259</v>
      </c>
      <c r="J187" s="21" t="s">
        <v>10506</v>
      </c>
      <c r="K187" s="5814" t="s">
        <v>10507</v>
      </c>
    </row>
    <row r="188" spans="1:11">
      <c r="A188" s="21" t="s">
        <v>4177</v>
      </c>
      <c r="B188" s="21" t="s">
        <v>10508</v>
      </c>
      <c r="C188" s="21" t="s">
        <v>8</v>
      </c>
      <c r="D188" s="21" t="s">
        <v>1147</v>
      </c>
      <c r="E188" s="21" t="s">
        <v>9</v>
      </c>
      <c r="F188" s="5812">
        <v>3</v>
      </c>
      <c r="G188" s="5813">
        <v>0.20833333333333334</v>
      </c>
      <c r="H188" s="21" t="s">
        <v>10</v>
      </c>
      <c r="I188" s="21" t="s">
        <v>2713</v>
      </c>
      <c r="J188" s="21" t="s">
        <v>10509</v>
      </c>
      <c r="K188" s="5814" t="s">
        <v>10510</v>
      </c>
    </row>
    <row r="189" spans="1:11">
      <c r="A189" s="21" t="s">
        <v>2626</v>
      </c>
      <c r="B189" s="21" t="s">
        <v>10511</v>
      </c>
      <c r="C189" s="21" t="s">
        <v>22</v>
      </c>
      <c r="D189" s="21" t="s">
        <v>1147</v>
      </c>
      <c r="E189" s="21" t="s">
        <v>9</v>
      </c>
      <c r="F189" s="5812">
        <v>3</v>
      </c>
      <c r="G189" s="5813">
        <v>0.20833333333333334</v>
      </c>
      <c r="H189" s="21" t="s">
        <v>10</v>
      </c>
      <c r="I189" s="21" t="s">
        <v>47</v>
      </c>
      <c r="J189" s="21" t="s">
        <v>10512</v>
      </c>
      <c r="K189" s="5814" t="s">
        <v>10513</v>
      </c>
    </row>
    <row r="190" spans="1:11">
      <c r="A190" s="21" t="s">
        <v>3323</v>
      </c>
      <c r="B190" s="21" t="s">
        <v>10514</v>
      </c>
      <c r="C190" s="21" t="s">
        <v>8</v>
      </c>
      <c r="D190" s="21" t="s">
        <v>1147</v>
      </c>
      <c r="E190" s="21" t="s">
        <v>9</v>
      </c>
      <c r="F190" s="5812">
        <v>3</v>
      </c>
      <c r="G190" s="5813">
        <v>0.20833333333333334</v>
      </c>
      <c r="H190" s="21" t="s">
        <v>10</v>
      </c>
      <c r="I190" s="21" t="s">
        <v>4254</v>
      </c>
      <c r="J190" s="21" t="s">
        <v>10515</v>
      </c>
      <c r="K190" s="5814" t="s">
        <v>10516</v>
      </c>
    </row>
    <row r="191" spans="1:11">
      <c r="A191" s="21" t="s">
        <v>2647</v>
      </c>
      <c r="B191" s="21" t="s">
        <v>10517</v>
      </c>
      <c r="C191" s="21" t="s">
        <v>22</v>
      </c>
      <c r="D191" s="21" t="s">
        <v>1147</v>
      </c>
      <c r="E191" s="21" t="s">
        <v>9</v>
      </c>
      <c r="F191" s="5812">
        <v>3</v>
      </c>
      <c r="G191" s="5813">
        <v>0.20833333333333334</v>
      </c>
      <c r="H191" s="21" t="s">
        <v>10</v>
      </c>
      <c r="I191" s="21" t="s">
        <v>47</v>
      </c>
      <c r="J191" s="21" t="s">
        <v>10518</v>
      </c>
      <c r="K191" s="5814" t="s">
        <v>10519</v>
      </c>
    </row>
    <row r="192" spans="1:11">
      <c r="A192" s="21" t="s">
        <v>3328</v>
      </c>
      <c r="B192" s="21" t="s">
        <v>10520</v>
      </c>
      <c r="C192" s="21" t="s">
        <v>22</v>
      </c>
      <c r="D192" s="21" t="s">
        <v>1147</v>
      </c>
      <c r="E192" s="21" t="s">
        <v>9</v>
      </c>
      <c r="F192" s="5812">
        <v>3</v>
      </c>
      <c r="G192" s="5813">
        <v>0.20833333333333334</v>
      </c>
      <c r="H192" s="21" t="s">
        <v>10</v>
      </c>
      <c r="I192" s="21" t="s">
        <v>194</v>
      </c>
      <c r="J192" s="21" t="s">
        <v>10521</v>
      </c>
      <c r="K192" s="5814" t="s">
        <v>10522</v>
      </c>
    </row>
    <row r="193" spans="1:11">
      <c r="A193" s="21" t="s">
        <v>3173</v>
      </c>
      <c r="B193" s="21" t="s">
        <v>10523</v>
      </c>
      <c r="C193" s="21" t="s">
        <v>8</v>
      </c>
      <c r="D193" s="21" t="s">
        <v>1147</v>
      </c>
      <c r="E193" s="21" t="s">
        <v>9</v>
      </c>
      <c r="F193" s="5812">
        <v>3</v>
      </c>
      <c r="G193" s="5813">
        <v>0.20833333333333334</v>
      </c>
      <c r="H193" s="21" t="s">
        <v>10</v>
      </c>
      <c r="I193" s="21" t="s">
        <v>89</v>
      </c>
      <c r="J193" s="21" t="s">
        <v>10524</v>
      </c>
      <c r="K193" s="5814" t="s">
        <v>10525</v>
      </c>
    </row>
    <row r="194" spans="1:11">
      <c r="A194" s="21" t="s">
        <v>4527</v>
      </c>
      <c r="B194" s="21" t="s">
        <v>10526</v>
      </c>
      <c r="C194" s="21" t="s">
        <v>22</v>
      </c>
      <c r="D194" s="21" t="s">
        <v>1147</v>
      </c>
      <c r="E194" s="21" t="s">
        <v>9</v>
      </c>
      <c r="F194" s="5812">
        <v>3</v>
      </c>
      <c r="G194" s="5813">
        <v>0.20833333333333334</v>
      </c>
      <c r="H194" s="21" t="s">
        <v>10</v>
      </c>
      <c r="I194" s="21" t="s">
        <v>2860</v>
      </c>
      <c r="J194" s="21" t="s">
        <v>10527</v>
      </c>
      <c r="K194" s="5814" t="s">
        <v>10528</v>
      </c>
    </row>
    <row r="195" spans="1:11">
      <c r="A195" s="21" t="s">
        <v>2188</v>
      </c>
      <c r="B195" s="21" t="s">
        <v>10529</v>
      </c>
      <c r="C195" s="21" t="s">
        <v>22</v>
      </c>
      <c r="D195" s="21" t="s">
        <v>1147</v>
      </c>
      <c r="E195" s="21" t="s">
        <v>9</v>
      </c>
      <c r="F195" s="5812">
        <v>3</v>
      </c>
      <c r="G195" s="5813">
        <v>0.20833333333333334</v>
      </c>
      <c r="H195" s="21" t="s">
        <v>10</v>
      </c>
      <c r="I195" s="21" t="s">
        <v>47</v>
      </c>
      <c r="J195" s="21" t="s">
        <v>10530</v>
      </c>
      <c r="K195" s="5814" t="s">
        <v>10531</v>
      </c>
    </row>
    <row r="196" spans="1:11">
      <c r="A196" s="21" t="s">
        <v>3364</v>
      </c>
      <c r="B196" s="21" t="s">
        <v>10532</v>
      </c>
      <c r="C196" s="21" t="s">
        <v>8</v>
      </c>
      <c r="D196" s="21" t="s">
        <v>1147</v>
      </c>
      <c r="E196" s="21" t="s">
        <v>9</v>
      </c>
      <c r="F196" s="5812">
        <v>3</v>
      </c>
      <c r="G196" s="5813">
        <v>0.20833333333333334</v>
      </c>
      <c r="H196" s="21" t="s">
        <v>10</v>
      </c>
      <c r="I196" s="21" t="s">
        <v>788</v>
      </c>
      <c r="J196" s="21" t="s">
        <v>10533</v>
      </c>
      <c r="K196" s="5814" t="s">
        <v>10534</v>
      </c>
    </row>
    <row r="197" spans="1:11">
      <c r="A197" s="21" t="s">
        <v>2675</v>
      </c>
      <c r="B197" s="21" t="s">
        <v>10535</v>
      </c>
      <c r="C197" s="21" t="s">
        <v>22</v>
      </c>
      <c r="D197" s="21" t="s">
        <v>1147</v>
      </c>
      <c r="E197" s="21" t="s">
        <v>9</v>
      </c>
      <c r="F197" s="5812">
        <v>3</v>
      </c>
      <c r="G197" s="5813">
        <v>0.20833333333333334</v>
      </c>
      <c r="H197" s="21" t="s">
        <v>10</v>
      </c>
      <c r="I197" s="21" t="s">
        <v>400</v>
      </c>
      <c r="J197" s="21" t="s">
        <v>10536</v>
      </c>
      <c r="K197" s="5814" t="s">
        <v>10537</v>
      </c>
    </row>
    <row r="198" spans="1:11">
      <c r="A198" s="21" t="s">
        <v>2679</v>
      </c>
      <c r="B198" s="21" t="s">
        <v>10538</v>
      </c>
      <c r="C198" s="21" t="s">
        <v>8</v>
      </c>
      <c r="D198" s="21" t="s">
        <v>1147</v>
      </c>
      <c r="E198" s="21" t="s">
        <v>9</v>
      </c>
      <c r="F198" s="5812">
        <v>3</v>
      </c>
      <c r="G198" s="5813">
        <v>0.20833333333333334</v>
      </c>
      <c r="H198" s="21" t="s">
        <v>10</v>
      </c>
      <c r="I198" s="21" t="s">
        <v>47</v>
      </c>
      <c r="J198" s="21" t="s">
        <v>10539</v>
      </c>
      <c r="K198" s="5814" t="s">
        <v>10540</v>
      </c>
    </row>
    <row r="199" spans="1:11">
      <c r="A199" s="21" t="s">
        <v>2679</v>
      </c>
      <c r="B199" s="21" t="s">
        <v>10541</v>
      </c>
      <c r="C199" s="21" t="s">
        <v>8</v>
      </c>
      <c r="D199" s="21" t="s">
        <v>1147</v>
      </c>
      <c r="E199" s="21" t="s">
        <v>9</v>
      </c>
      <c r="F199" s="5812">
        <v>3</v>
      </c>
      <c r="G199" s="5813">
        <v>0.20833333333333334</v>
      </c>
      <c r="H199" s="21" t="s">
        <v>10</v>
      </c>
      <c r="I199" s="21" t="s">
        <v>2713</v>
      </c>
      <c r="J199" s="21" t="s">
        <v>10542</v>
      </c>
      <c r="K199" s="5814" t="s">
        <v>10543</v>
      </c>
    </row>
    <row r="200" spans="1:11">
      <c r="A200" s="21" t="s">
        <v>2687</v>
      </c>
      <c r="B200" s="21" t="s">
        <v>10544</v>
      </c>
      <c r="C200" s="21" t="s">
        <v>8</v>
      </c>
      <c r="D200" s="21" t="s">
        <v>1147</v>
      </c>
      <c r="E200" s="21" t="s">
        <v>9</v>
      </c>
      <c r="F200" s="5812">
        <v>3</v>
      </c>
      <c r="G200" s="5813">
        <v>0.20833333333333334</v>
      </c>
      <c r="H200" s="21" t="s">
        <v>10</v>
      </c>
      <c r="I200" s="21" t="s">
        <v>73</v>
      </c>
      <c r="J200" s="21" t="s">
        <v>10545</v>
      </c>
      <c r="K200" s="5814" t="s">
        <v>10546</v>
      </c>
    </row>
    <row r="201" spans="1:11">
      <c r="A201" s="21" t="s">
        <v>4233</v>
      </c>
      <c r="B201" s="21" t="s">
        <v>10547</v>
      </c>
      <c r="C201" s="21" t="s">
        <v>8</v>
      </c>
      <c r="D201" s="21" t="s">
        <v>1147</v>
      </c>
      <c r="E201" s="21" t="s">
        <v>9</v>
      </c>
      <c r="F201" s="5812">
        <v>3</v>
      </c>
      <c r="G201" s="5813">
        <v>0.20833333333333334</v>
      </c>
      <c r="H201" s="21" t="s">
        <v>10</v>
      </c>
      <c r="I201" s="21" t="s">
        <v>11</v>
      </c>
      <c r="J201" s="21" t="s">
        <v>10548</v>
      </c>
      <c r="K201" s="5814" t="s">
        <v>10549</v>
      </c>
    </row>
    <row r="202" spans="1:11">
      <c r="A202" s="21" t="s">
        <v>2698</v>
      </c>
      <c r="B202" s="21" t="s">
        <v>10550</v>
      </c>
      <c r="C202" s="21" t="s">
        <v>22</v>
      </c>
      <c r="D202" s="21" t="s">
        <v>1147</v>
      </c>
      <c r="E202" s="21" t="s">
        <v>9</v>
      </c>
      <c r="F202" s="5812">
        <v>3</v>
      </c>
      <c r="G202" s="5813">
        <v>0.20833333333333334</v>
      </c>
      <c r="H202" s="21" t="s">
        <v>10</v>
      </c>
      <c r="I202" s="21" t="s">
        <v>2523</v>
      </c>
      <c r="J202" s="21" t="s">
        <v>10551</v>
      </c>
      <c r="K202" s="5814" t="s">
        <v>10552</v>
      </c>
    </row>
    <row r="203" spans="1:11">
      <c r="A203" s="21" t="s">
        <v>2707</v>
      </c>
      <c r="B203" s="21" t="s">
        <v>10553</v>
      </c>
      <c r="C203" s="21" t="s">
        <v>8</v>
      </c>
      <c r="D203" s="21" t="s">
        <v>1147</v>
      </c>
      <c r="E203" s="21" t="s">
        <v>9</v>
      </c>
      <c r="F203" s="5812">
        <v>3</v>
      </c>
      <c r="G203" s="5813">
        <v>0.20833333333333334</v>
      </c>
      <c r="H203" s="21" t="s">
        <v>10</v>
      </c>
      <c r="I203" s="21" t="s">
        <v>96</v>
      </c>
      <c r="J203" s="21" t="s">
        <v>10554</v>
      </c>
      <c r="K203" s="5814" t="s">
        <v>10555</v>
      </c>
    </row>
    <row r="204" spans="1:11">
      <c r="A204" s="21" t="s">
        <v>3036</v>
      </c>
      <c r="B204" s="21" t="s">
        <v>10556</v>
      </c>
      <c r="C204" s="21" t="s">
        <v>8</v>
      </c>
      <c r="D204" s="21" t="s">
        <v>1147</v>
      </c>
      <c r="E204" s="21" t="s">
        <v>9</v>
      </c>
      <c r="F204" s="5812">
        <v>3</v>
      </c>
      <c r="G204" s="5813">
        <v>0.20833333333333334</v>
      </c>
      <c r="H204" s="21" t="s">
        <v>10</v>
      </c>
      <c r="I204" s="21" t="s">
        <v>2713</v>
      </c>
      <c r="J204" s="21" t="s">
        <v>10557</v>
      </c>
      <c r="K204" s="5814" t="s">
        <v>10558</v>
      </c>
    </row>
    <row r="205" spans="1:11">
      <c r="A205" s="21" t="s">
        <v>2915</v>
      </c>
      <c r="B205" s="21" t="s">
        <v>10559</v>
      </c>
      <c r="C205" s="21" t="s">
        <v>8</v>
      </c>
      <c r="D205" s="21" t="s">
        <v>1147</v>
      </c>
      <c r="E205" s="21" t="s">
        <v>9</v>
      </c>
      <c r="F205" s="5812">
        <v>3</v>
      </c>
      <c r="G205" s="5813">
        <v>0.20833333333333334</v>
      </c>
      <c r="H205" s="21" t="s">
        <v>10</v>
      </c>
      <c r="I205" s="21" t="s">
        <v>187</v>
      </c>
      <c r="J205" s="21" t="s">
        <v>10560</v>
      </c>
      <c r="K205" s="5814" t="s">
        <v>10561</v>
      </c>
    </row>
    <row r="206" spans="1:11">
      <c r="A206" s="21" t="s">
        <v>3217</v>
      </c>
      <c r="B206" s="21" t="s">
        <v>10562</v>
      </c>
      <c r="C206" s="21" t="s">
        <v>22</v>
      </c>
      <c r="D206" s="21" t="s">
        <v>1147</v>
      </c>
      <c r="E206" s="21" t="s">
        <v>9</v>
      </c>
      <c r="F206" s="5812">
        <v>3</v>
      </c>
      <c r="G206" s="5813">
        <v>0.20833333333333334</v>
      </c>
      <c r="H206" s="21" t="s">
        <v>10</v>
      </c>
      <c r="I206" s="21" t="s">
        <v>2176</v>
      </c>
      <c r="J206" s="21" t="s">
        <v>10563</v>
      </c>
      <c r="K206" s="5814" t="s">
        <v>10564</v>
      </c>
    </row>
    <row r="207" spans="1:11">
      <c r="A207" s="21" t="s">
        <v>2719</v>
      </c>
      <c r="B207" s="21" t="s">
        <v>10565</v>
      </c>
      <c r="C207" s="21" t="s">
        <v>8</v>
      </c>
      <c r="D207" s="21" t="s">
        <v>1147</v>
      </c>
      <c r="E207" s="21" t="s">
        <v>9</v>
      </c>
      <c r="F207" s="5812">
        <v>3</v>
      </c>
      <c r="G207" s="5813">
        <v>0.20833333333333334</v>
      </c>
      <c r="H207" s="21" t="s">
        <v>10</v>
      </c>
      <c r="I207" s="21" t="s">
        <v>47</v>
      </c>
      <c r="J207" s="21" t="s">
        <v>10566</v>
      </c>
      <c r="K207" s="5814" t="s">
        <v>10567</v>
      </c>
    </row>
    <row r="208" spans="1:11">
      <c r="A208" s="21" t="s">
        <v>2719</v>
      </c>
      <c r="B208" s="21" t="s">
        <v>10568</v>
      </c>
      <c r="C208" s="21" t="s">
        <v>8</v>
      </c>
      <c r="D208" s="21" t="s">
        <v>1147</v>
      </c>
      <c r="E208" s="21" t="s">
        <v>9</v>
      </c>
      <c r="F208" s="5812">
        <v>3</v>
      </c>
      <c r="G208" s="5813">
        <v>0.20833333333333334</v>
      </c>
      <c r="H208" s="21" t="s">
        <v>10</v>
      </c>
      <c r="I208" s="21" t="s">
        <v>2721</v>
      </c>
      <c r="J208" s="21" t="s">
        <v>10569</v>
      </c>
      <c r="K208" s="5814" t="s">
        <v>10570</v>
      </c>
    </row>
    <row r="209" spans="1:11">
      <c r="A209" s="21" t="s">
        <v>2724</v>
      </c>
      <c r="B209" s="21" t="s">
        <v>10571</v>
      </c>
      <c r="C209" s="21" t="s">
        <v>22</v>
      </c>
      <c r="D209" s="21" t="s">
        <v>1147</v>
      </c>
      <c r="E209" s="21" t="s">
        <v>9</v>
      </c>
      <c r="F209" s="5812">
        <v>3</v>
      </c>
      <c r="G209" s="5813">
        <v>0.20833333333333334</v>
      </c>
      <c r="H209" s="21" t="s">
        <v>10</v>
      </c>
      <c r="I209" s="21" t="s">
        <v>3138</v>
      </c>
      <c r="J209" s="21" t="s">
        <v>10572</v>
      </c>
      <c r="K209" s="5814" t="s">
        <v>10573</v>
      </c>
    </row>
    <row r="210" spans="1:11">
      <c r="A210" s="21" t="s">
        <v>2737</v>
      </c>
      <c r="B210" s="21" t="s">
        <v>10574</v>
      </c>
      <c r="C210" s="21" t="s">
        <v>22</v>
      </c>
      <c r="D210" s="21" t="s">
        <v>1147</v>
      </c>
      <c r="E210" s="21" t="s">
        <v>9</v>
      </c>
      <c r="F210" s="5812">
        <v>3</v>
      </c>
      <c r="G210" s="5813">
        <v>0.20833333333333334</v>
      </c>
      <c r="H210" s="21" t="s">
        <v>10</v>
      </c>
      <c r="I210" s="21" t="s">
        <v>609</v>
      </c>
      <c r="J210" s="21" t="s">
        <v>10575</v>
      </c>
      <c r="K210" s="5814" t="s">
        <v>10576</v>
      </c>
    </row>
    <row r="211" spans="1:11">
      <c r="A211" s="21" t="s">
        <v>2741</v>
      </c>
      <c r="B211" s="21" t="s">
        <v>10577</v>
      </c>
      <c r="C211" s="21" t="s">
        <v>8</v>
      </c>
      <c r="D211" s="21" t="s">
        <v>1147</v>
      </c>
      <c r="E211" s="21" t="s">
        <v>9</v>
      </c>
      <c r="F211" s="5812">
        <v>3</v>
      </c>
      <c r="G211" s="5813">
        <v>0.20833333333333334</v>
      </c>
      <c r="H211" s="21" t="s">
        <v>10</v>
      </c>
      <c r="I211" s="21" t="s">
        <v>10578</v>
      </c>
      <c r="J211" s="21" t="s">
        <v>10579</v>
      </c>
      <c r="K211" s="5814" t="s">
        <v>10580</v>
      </c>
    </row>
    <row r="212" spans="1:11">
      <c r="A212" s="21" t="s">
        <v>2741</v>
      </c>
      <c r="B212" s="21" t="s">
        <v>10581</v>
      </c>
      <c r="C212" s="21" t="s">
        <v>8</v>
      </c>
      <c r="D212" s="21" t="s">
        <v>1147</v>
      </c>
      <c r="E212" s="21" t="s">
        <v>9</v>
      </c>
      <c r="F212" s="5812">
        <v>3</v>
      </c>
      <c r="G212" s="5813">
        <v>0.20833333333333334</v>
      </c>
      <c r="H212" s="21" t="s">
        <v>10</v>
      </c>
      <c r="I212" s="21" t="s">
        <v>10578</v>
      </c>
      <c r="J212" s="21" t="s">
        <v>10582</v>
      </c>
      <c r="K212" s="5814" t="s">
        <v>10583</v>
      </c>
    </row>
    <row r="213" spans="1:11">
      <c r="A213" s="21" t="s">
        <v>3765</v>
      </c>
      <c r="B213" s="21" t="s">
        <v>10584</v>
      </c>
      <c r="C213" s="21" t="s">
        <v>8</v>
      </c>
      <c r="D213" s="21" t="s">
        <v>1147</v>
      </c>
      <c r="E213" s="21" t="s">
        <v>9</v>
      </c>
      <c r="F213" s="5812">
        <v>3</v>
      </c>
      <c r="G213" s="5813">
        <v>0.20833333333333334</v>
      </c>
      <c r="H213" s="21" t="s">
        <v>10</v>
      </c>
      <c r="I213" s="21" t="s">
        <v>4663</v>
      </c>
      <c r="J213" s="21" t="s">
        <v>10585</v>
      </c>
      <c r="K213" s="5814" t="s">
        <v>10586</v>
      </c>
    </row>
    <row r="214" spans="1:11">
      <c r="A214" s="21" t="s">
        <v>3354</v>
      </c>
      <c r="B214" s="21" t="s">
        <v>10587</v>
      </c>
      <c r="C214" s="21" t="s">
        <v>8</v>
      </c>
      <c r="D214" s="21" t="s">
        <v>1147</v>
      </c>
      <c r="E214" s="21" t="s">
        <v>9</v>
      </c>
      <c r="F214" s="5812">
        <v>3</v>
      </c>
      <c r="G214" s="5813">
        <v>0.20833333333333334</v>
      </c>
      <c r="H214" s="21" t="s">
        <v>10</v>
      </c>
      <c r="I214" s="21" t="s">
        <v>11</v>
      </c>
      <c r="J214" s="21" t="s">
        <v>10588</v>
      </c>
      <c r="K214" s="5814" t="s">
        <v>10589</v>
      </c>
    </row>
    <row r="215" spans="1:11">
      <c r="A215" s="21" t="s">
        <v>3369</v>
      </c>
      <c r="B215" s="21" t="s">
        <v>10590</v>
      </c>
      <c r="C215" s="21" t="s">
        <v>22</v>
      </c>
      <c r="D215" s="21" t="s">
        <v>1147</v>
      </c>
      <c r="E215" s="21" t="s">
        <v>9</v>
      </c>
      <c r="F215" s="5812">
        <v>3</v>
      </c>
      <c r="G215" s="5813">
        <v>0.20833333333333334</v>
      </c>
      <c r="H215" s="21" t="s">
        <v>10</v>
      </c>
      <c r="I215" s="21" t="s">
        <v>2297</v>
      </c>
      <c r="J215" s="21" t="s">
        <v>10591</v>
      </c>
      <c r="K215" s="5814" t="s">
        <v>10592</v>
      </c>
    </row>
    <row r="216" spans="1:11">
      <c r="A216" s="21" t="s">
        <v>4597</v>
      </c>
      <c r="B216" s="21" t="s">
        <v>10593</v>
      </c>
      <c r="C216" s="21" t="s">
        <v>8</v>
      </c>
      <c r="D216" s="21" t="s">
        <v>1147</v>
      </c>
      <c r="E216" s="21" t="s">
        <v>9</v>
      </c>
      <c r="F216" s="5812">
        <v>3</v>
      </c>
      <c r="G216" s="5813">
        <v>0.20833333333333334</v>
      </c>
      <c r="H216" s="21" t="s">
        <v>10</v>
      </c>
      <c r="I216" s="21" t="s">
        <v>2872</v>
      </c>
      <c r="J216" s="21" t="s">
        <v>10594</v>
      </c>
      <c r="K216" s="5814" t="s">
        <v>10595</v>
      </c>
    </row>
    <row r="217" spans="1:11">
      <c r="A217" s="21" t="s">
        <v>4597</v>
      </c>
      <c r="B217" s="21" t="s">
        <v>10596</v>
      </c>
      <c r="C217" s="21" t="s">
        <v>8</v>
      </c>
      <c r="D217" s="21" t="s">
        <v>1147</v>
      </c>
      <c r="E217" s="21" t="s">
        <v>9</v>
      </c>
      <c r="F217" s="5812">
        <v>3</v>
      </c>
      <c r="G217" s="5813">
        <v>0.20833333333333334</v>
      </c>
      <c r="H217" s="21" t="s">
        <v>10</v>
      </c>
      <c r="I217" s="21" t="s">
        <v>2872</v>
      </c>
      <c r="J217" s="21" t="s">
        <v>10597</v>
      </c>
      <c r="K217" s="5814" t="s">
        <v>10598</v>
      </c>
    </row>
    <row r="218" spans="1:11">
      <c r="A218" s="21" t="s">
        <v>2216</v>
      </c>
      <c r="B218" s="21" t="s">
        <v>10599</v>
      </c>
      <c r="C218" s="21" t="s">
        <v>22</v>
      </c>
      <c r="D218" s="21" t="s">
        <v>1147</v>
      </c>
      <c r="E218" s="21" t="s">
        <v>9</v>
      </c>
      <c r="F218" s="5812">
        <v>3</v>
      </c>
      <c r="G218" s="5813">
        <v>0.20833333333333334</v>
      </c>
      <c r="H218" s="21" t="s">
        <v>10</v>
      </c>
      <c r="I218" s="21" t="s">
        <v>10600</v>
      </c>
      <c r="J218" s="21" t="s">
        <v>10601</v>
      </c>
      <c r="K218" s="5814" t="s">
        <v>10602</v>
      </c>
    </row>
    <row r="219" spans="1:11">
      <c r="A219" s="21" t="s">
        <v>3195</v>
      </c>
      <c r="B219" s="21" t="s">
        <v>10603</v>
      </c>
      <c r="C219" s="21" t="s">
        <v>8</v>
      </c>
      <c r="D219" s="21" t="s">
        <v>1147</v>
      </c>
      <c r="E219" s="21" t="s">
        <v>9</v>
      </c>
      <c r="F219" s="5812">
        <v>3</v>
      </c>
      <c r="G219" s="5813">
        <v>0.20833333333333334</v>
      </c>
      <c r="H219" s="21" t="s">
        <v>10</v>
      </c>
      <c r="I219" s="21" t="s">
        <v>226</v>
      </c>
      <c r="J219" s="21" t="s">
        <v>10604</v>
      </c>
      <c r="K219" s="5814" t="s">
        <v>10605</v>
      </c>
    </row>
    <row r="220" spans="1:11">
      <c r="A220" s="21" t="s">
        <v>3195</v>
      </c>
      <c r="B220" s="21" t="s">
        <v>10606</v>
      </c>
      <c r="C220" s="21" t="s">
        <v>8</v>
      </c>
      <c r="D220" s="21" t="s">
        <v>1147</v>
      </c>
      <c r="E220" s="21" t="s">
        <v>9</v>
      </c>
      <c r="F220" s="5812">
        <v>3</v>
      </c>
      <c r="G220" s="5813">
        <v>0.20833333333333334</v>
      </c>
      <c r="H220" s="21" t="s">
        <v>10</v>
      </c>
      <c r="I220" s="21" t="s">
        <v>194</v>
      </c>
      <c r="J220" s="21" t="s">
        <v>10607</v>
      </c>
      <c r="K220" s="5814" t="s">
        <v>10608</v>
      </c>
    </row>
    <row r="221" spans="1:11">
      <c r="A221" s="21" t="s">
        <v>2761</v>
      </c>
      <c r="B221" s="21" t="s">
        <v>10609</v>
      </c>
      <c r="C221" s="21" t="s">
        <v>22</v>
      </c>
      <c r="D221" s="21" t="s">
        <v>1147</v>
      </c>
      <c r="E221" s="21" t="s">
        <v>9</v>
      </c>
      <c r="F221" s="5812">
        <v>3</v>
      </c>
      <c r="G221" s="5813">
        <v>0.20833333333333334</v>
      </c>
      <c r="H221" s="21" t="s">
        <v>10</v>
      </c>
      <c r="I221" s="21" t="s">
        <v>400</v>
      </c>
      <c r="J221" s="21" t="s">
        <v>10610</v>
      </c>
      <c r="K221" s="5814" t="s">
        <v>10611</v>
      </c>
    </row>
    <row r="222" spans="1:11">
      <c r="A222" s="21" t="s">
        <v>2761</v>
      </c>
      <c r="B222" s="21" t="s">
        <v>10612</v>
      </c>
      <c r="C222" s="21" t="s">
        <v>8</v>
      </c>
      <c r="D222" s="21" t="s">
        <v>1147</v>
      </c>
      <c r="E222" s="21" t="s">
        <v>9</v>
      </c>
      <c r="F222" s="5812">
        <v>3</v>
      </c>
      <c r="G222" s="5813">
        <v>0.20833333333333334</v>
      </c>
      <c r="H222" s="21" t="s">
        <v>10</v>
      </c>
      <c r="I222" s="21" t="s">
        <v>400</v>
      </c>
      <c r="J222" s="21" t="s">
        <v>10613</v>
      </c>
      <c r="K222" s="5814" t="s">
        <v>10614</v>
      </c>
    </row>
    <row r="223" spans="1:11">
      <c r="A223" s="21" t="s">
        <v>3213</v>
      </c>
      <c r="B223" s="21" t="s">
        <v>10615</v>
      </c>
      <c r="C223" s="21" t="s">
        <v>22</v>
      </c>
      <c r="D223" s="21" t="s">
        <v>1147</v>
      </c>
      <c r="E223" s="21" t="s">
        <v>9</v>
      </c>
      <c r="F223" s="5812">
        <v>3</v>
      </c>
      <c r="G223" s="5813">
        <v>0.20833333333333334</v>
      </c>
      <c r="H223" s="21" t="s">
        <v>10</v>
      </c>
      <c r="I223" s="21" t="s">
        <v>4286</v>
      </c>
      <c r="J223" s="21" t="s">
        <v>10616</v>
      </c>
      <c r="K223" s="5814" t="s">
        <v>10617</v>
      </c>
    </row>
    <row r="224" spans="1:11">
      <c r="A224" s="21" t="s">
        <v>4289</v>
      </c>
      <c r="B224" s="21" t="s">
        <v>10618</v>
      </c>
      <c r="C224" s="21" t="s">
        <v>8</v>
      </c>
      <c r="D224" s="21" t="s">
        <v>1147</v>
      </c>
      <c r="E224" s="21" t="s">
        <v>9</v>
      </c>
      <c r="F224" s="5812">
        <v>3</v>
      </c>
      <c r="G224" s="5813">
        <v>0.20833333333333334</v>
      </c>
      <c r="H224" s="21" t="s">
        <v>10</v>
      </c>
      <c r="I224" s="21" t="s">
        <v>3534</v>
      </c>
      <c r="J224" s="21" t="s">
        <v>10619</v>
      </c>
      <c r="K224" s="5814" t="s">
        <v>10620</v>
      </c>
    </row>
    <row r="225" spans="1:11">
      <c r="A225" s="21" t="s">
        <v>4289</v>
      </c>
      <c r="B225" s="21" t="s">
        <v>10621</v>
      </c>
      <c r="C225" s="21" t="s">
        <v>8</v>
      </c>
      <c r="D225" s="21" t="s">
        <v>1147</v>
      </c>
      <c r="E225" s="21" t="s">
        <v>9</v>
      </c>
      <c r="F225" s="5812">
        <v>3</v>
      </c>
      <c r="G225" s="5813">
        <v>0.20833333333333334</v>
      </c>
      <c r="H225" s="21" t="s">
        <v>10</v>
      </c>
      <c r="I225" s="21" t="s">
        <v>2660</v>
      </c>
      <c r="J225" s="21" t="s">
        <v>5786</v>
      </c>
      <c r="K225" s="5814" t="s">
        <v>10622</v>
      </c>
    </row>
    <row r="226" spans="1:11">
      <c r="A226" s="21" t="s">
        <v>4863</v>
      </c>
      <c r="B226" s="21" t="s">
        <v>10623</v>
      </c>
      <c r="C226" s="21" t="s">
        <v>8</v>
      </c>
      <c r="D226" s="21" t="s">
        <v>1147</v>
      </c>
      <c r="E226" s="21" t="s">
        <v>9</v>
      </c>
      <c r="F226" s="5812">
        <v>3</v>
      </c>
      <c r="G226" s="5813">
        <v>0.20833333333333334</v>
      </c>
      <c r="H226" s="21" t="s">
        <v>10</v>
      </c>
      <c r="I226" s="21" t="s">
        <v>2260</v>
      </c>
      <c r="J226" s="21" t="s">
        <v>10624</v>
      </c>
      <c r="K226" s="5814" t="s">
        <v>10625</v>
      </c>
    </row>
    <row r="227" spans="1:11">
      <c r="A227" s="21" t="s">
        <v>4863</v>
      </c>
      <c r="B227" s="21" t="s">
        <v>10626</v>
      </c>
      <c r="C227" s="21" t="s">
        <v>8</v>
      </c>
      <c r="D227" s="21" t="s">
        <v>1147</v>
      </c>
      <c r="E227" s="21" t="s">
        <v>9</v>
      </c>
      <c r="F227" s="5812">
        <v>3</v>
      </c>
      <c r="G227" s="5813">
        <v>0.20833333333333334</v>
      </c>
      <c r="H227" s="21" t="s">
        <v>10</v>
      </c>
      <c r="I227" s="21" t="s">
        <v>47</v>
      </c>
      <c r="J227" s="21" t="s">
        <v>6470</v>
      </c>
      <c r="K227" s="5814" t="s">
        <v>10627</v>
      </c>
    </row>
    <row r="228" spans="1:11">
      <c r="A228" s="21" t="s">
        <v>3537</v>
      </c>
      <c r="B228" s="21" t="s">
        <v>10628</v>
      </c>
      <c r="C228" s="21" t="s">
        <v>8</v>
      </c>
      <c r="D228" s="21" t="s">
        <v>1147</v>
      </c>
      <c r="E228" s="21" t="s">
        <v>9</v>
      </c>
      <c r="F228" s="5812">
        <v>3</v>
      </c>
      <c r="G228" s="5813">
        <v>0.20833333333333334</v>
      </c>
      <c r="H228" s="21" t="s">
        <v>10</v>
      </c>
      <c r="I228" s="21" t="s">
        <v>2297</v>
      </c>
      <c r="J228" s="21" t="s">
        <v>10629</v>
      </c>
      <c r="K228" s="5814" t="s">
        <v>10630</v>
      </c>
    </row>
    <row r="229" spans="1:11">
      <c r="A229" s="21" t="s">
        <v>3430</v>
      </c>
      <c r="B229" s="21" t="s">
        <v>10631</v>
      </c>
      <c r="C229" s="21" t="s">
        <v>22</v>
      </c>
      <c r="D229" s="21" t="s">
        <v>1147</v>
      </c>
      <c r="E229" s="21" t="s">
        <v>9</v>
      </c>
      <c r="F229" s="5812">
        <v>3</v>
      </c>
      <c r="G229" s="5813">
        <v>0.20833333333333334</v>
      </c>
      <c r="H229" s="21" t="s">
        <v>10</v>
      </c>
      <c r="I229" s="21" t="s">
        <v>39</v>
      </c>
      <c r="J229" s="21" t="s">
        <v>10632</v>
      </c>
      <c r="K229" s="5814" t="s">
        <v>10633</v>
      </c>
    </row>
    <row r="230" spans="1:11">
      <c r="A230" s="21" t="s">
        <v>4313</v>
      </c>
      <c r="B230" s="21" t="s">
        <v>10634</v>
      </c>
      <c r="C230" s="21" t="s">
        <v>8</v>
      </c>
      <c r="D230" s="21" t="s">
        <v>1147</v>
      </c>
      <c r="E230" s="21" t="s">
        <v>9</v>
      </c>
      <c r="F230" s="5812">
        <v>3</v>
      </c>
      <c r="G230" s="5813">
        <v>0.20833333333333334</v>
      </c>
      <c r="H230" s="21" t="s">
        <v>10</v>
      </c>
      <c r="I230" s="21" t="s">
        <v>23</v>
      </c>
      <c r="J230" s="21" t="s">
        <v>10635</v>
      </c>
      <c r="K230" s="5814" t="s">
        <v>10636</v>
      </c>
    </row>
    <row r="231" spans="1:11">
      <c r="A231" s="21" t="s">
        <v>3651</v>
      </c>
      <c r="B231" s="21" t="s">
        <v>10637</v>
      </c>
      <c r="C231" s="21" t="s">
        <v>8</v>
      </c>
      <c r="D231" s="21" t="s">
        <v>1147</v>
      </c>
      <c r="E231" s="21" t="s">
        <v>9</v>
      </c>
      <c r="F231" s="5812">
        <v>3</v>
      </c>
      <c r="G231" s="5813">
        <v>0.20833333333333334</v>
      </c>
      <c r="H231" s="21" t="s">
        <v>10</v>
      </c>
      <c r="I231" s="21" t="s">
        <v>2247</v>
      </c>
      <c r="J231" s="21" t="s">
        <v>10638</v>
      </c>
      <c r="K231" s="5814" t="s">
        <v>10639</v>
      </c>
    </row>
    <row r="232" spans="1:11">
      <c r="A232" s="21" t="s">
        <v>3053</v>
      </c>
      <c r="B232" s="21" t="s">
        <v>10640</v>
      </c>
      <c r="C232" s="21" t="s">
        <v>22</v>
      </c>
      <c r="D232" s="21" t="s">
        <v>1147</v>
      </c>
      <c r="E232" s="21" t="s">
        <v>9</v>
      </c>
      <c r="F232" s="5812">
        <v>3</v>
      </c>
      <c r="G232" s="5813">
        <v>0.20833333333333334</v>
      </c>
      <c r="H232" s="21" t="s">
        <v>10</v>
      </c>
      <c r="I232" s="21" t="s">
        <v>2269</v>
      </c>
      <c r="J232" s="21" t="s">
        <v>10641</v>
      </c>
      <c r="K232" s="5814" t="s">
        <v>10642</v>
      </c>
    </row>
    <row r="233" spans="1:11">
      <c r="A233" s="21" t="s">
        <v>3053</v>
      </c>
      <c r="B233" s="21" t="s">
        <v>10643</v>
      </c>
      <c r="C233" s="21" t="s">
        <v>22</v>
      </c>
      <c r="D233" s="21" t="s">
        <v>1147</v>
      </c>
      <c r="E233" s="21" t="s">
        <v>9</v>
      </c>
      <c r="F233" s="5812">
        <v>3</v>
      </c>
      <c r="G233" s="5813">
        <v>0.20833333333333334</v>
      </c>
      <c r="H233" s="21" t="s">
        <v>10</v>
      </c>
      <c r="I233" s="21" t="s">
        <v>2660</v>
      </c>
      <c r="J233" s="21" t="s">
        <v>10644</v>
      </c>
      <c r="K233" s="5814" t="s">
        <v>10645</v>
      </c>
    </row>
    <row r="234" spans="1:11">
      <c r="A234" s="21" t="s">
        <v>3053</v>
      </c>
      <c r="B234" s="21" t="s">
        <v>10646</v>
      </c>
      <c r="C234" s="21" t="s">
        <v>8</v>
      </c>
      <c r="D234" s="21" t="s">
        <v>1147</v>
      </c>
      <c r="E234" s="21" t="s">
        <v>9</v>
      </c>
      <c r="F234" s="5812">
        <v>3</v>
      </c>
      <c r="G234" s="5813">
        <v>0.20833333333333334</v>
      </c>
      <c r="H234" s="21" t="s">
        <v>10</v>
      </c>
      <c r="I234" s="21" t="s">
        <v>3534</v>
      </c>
      <c r="J234" s="21" t="s">
        <v>10647</v>
      </c>
      <c r="K234" s="5814" t="s">
        <v>10648</v>
      </c>
    </row>
    <row r="235" spans="1:11">
      <c r="A235" s="21" t="s">
        <v>4317</v>
      </c>
      <c r="B235" s="21" t="s">
        <v>10649</v>
      </c>
      <c r="C235" s="21" t="s">
        <v>8</v>
      </c>
      <c r="D235" s="21" t="s">
        <v>1147</v>
      </c>
      <c r="E235" s="21" t="s">
        <v>9</v>
      </c>
      <c r="F235" s="5812">
        <v>3</v>
      </c>
      <c r="G235" s="5813">
        <v>0.20833333333333334</v>
      </c>
      <c r="H235" s="21" t="s">
        <v>10</v>
      </c>
      <c r="I235" s="21" t="s">
        <v>2860</v>
      </c>
      <c r="J235" s="21" t="s">
        <v>10650</v>
      </c>
      <c r="K235" s="5814" t="s">
        <v>10651</v>
      </c>
    </row>
    <row r="236" spans="1:11">
      <c r="A236" s="21" t="s">
        <v>2776</v>
      </c>
      <c r="B236" s="21" t="s">
        <v>10652</v>
      </c>
      <c r="C236" s="21" t="s">
        <v>22</v>
      </c>
      <c r="D236" s="21" t="s">
        <v>1147</v>
      </c>
      <c r="E236" s="21" t="s">
        <v>9</v>
      </c>
      <c r="F236" s="5812">
        <v>3</v>
      </c>
      <c r="G236" s="5813">
        <v>0.20833333333333334</v>
      </c>
      <c r="H236" s="21" t="s">
        <v>10</v>
      </c>
      <c r="I236" s="21" t="s">
        <v>47</v>
      </c>
      <c r="J236" s="21" t="s">
        <v>10653</v>
      </c>
      <c r="K236" s="5814" t="s">
        <v>10654</v>
      </c>
    </row>
    <row r="237" spans="1:11">
      <c r="A237" s="21" t="s">
        <v>2776</v>
      </c>
      <c r="B237" s="21" t="s">
        <v>10655</v>
      </c>
      <c r="C237" s="21" t="s">
        <v>8</v>
      </c>
      <c r="D237" s="21" t="s">
        <v>1147</v>
      </c>
      <c r="E237" s="21" t="s">
        <v>9</v>
      </c>
      <c r="F237" s="5812">
        <v>3</v>
      </c>
      <c r="G237" s="5813">
        <v>0.20833333333333334</v>
      </c>
      <c r="H237" s="21" t="s">
        <v>10</v>
      </c>
      <c r="I237" s="21" t="s">
        <v>2260</v>
      </c>
      <c r="J237" s="21" t="s">
        <v>10656</v>
      </c>
      <c r="K237" s="5814" t="s">
        <v>10657</v>
      </c>
    </row>
    <row r="238" spans="1:11">
      <c r="A238" s="21" t="s">
        <v>4568</v>
      </c>
      <c r="B238" s="21" t="s">
        <v>10658</v>
      </c>
      <c r="C238" s="21" t="s">
        <v>8</v>
      </c>
      <c r="D238" s="21" t="s">
        <v>1147</v>
      </c>
      <c r="E238" s="21" t="s">
        <v>9</v>
      </c>
      <c r="F238" s="5812">
        <v>3</v>
      </c>
      <c r="G238" s="5813">
        <v>0.20833333333333334</v>
      </c>
      <c r="H238" s="21" t="s">
        <v>10</v>
      </c>
      <c r="I238" s="21" t="s">
        <v>194</v>
      </c>
      <c r="J238" s="21" t="s">
        <v>10659</v>
      </c>
      <c r="K238" s="5814" t="s">
        <v>10660</v>
      </c>
    </row>
    <row r="239" spans="1:11">
      <c r="A239" s="21" t="s">
        <v>4568</v>
      </c>
      <c r="B239" s="21" t="s">
        <v>10661</v>
      </c>
      <c r="C239" s="21" t="s">
        <v>8</v>
      </c>
      <c r="D239" s="21" t="s">
        <v>1147</v>
      </c>
      <c r="E239" s="21" t="s">
        <v>9</v>
      </c>
      <c r="F239" s="5812">
        <v>3</v>
      </c>
      <c r="G239" s="5813">
        <v>0.20833333333333334</v>
      </c>
      <c r="H239" s="21" t="s">
        <v>10</v>
      </c>
      <c r="I239" s="21" t="s">
        <v>11</v>
      </c>
      <c r="J239" s="21" t="s">
        <v>10662</v>
      </c>
      <c r="K239" s="5814" t="s">
        <v>10663</v>
      </c>
    </row>
    <row r="240" spans="1:11">
      <c r="A240" s="21" t="s">
        <v>3584</v>
      </c>
      <c r="B240" s="21" t="s">
        <v>10664</v>
      </c>
      <c r="C240" s="21" t="s">
        <v>8</v>
      </c>
      <c r="D240" s="21" t="s">
        <v>1147</v>
      </c>
      <c r="E240" s="21" t="s">
        <v>9</v>
      </c>
      <c r="F240" s="5812">
        <v>3</v>
      </c>
      <c r="G240" s="5813">
        <v>0.20833333333333334</v>
      </c>
      <c r="H240" s="21" t="s">
        <v>10</v>
      </c>
      <c r="I240" s="21" t="s">
        <v>2731</v>
      </c>
      <c r="J240" s="21" t="s">
        <v>10665</v>
      </c>
      <c r="K240" s="5814" t="s">
        <v>10666</v>
      </c>
    </row>
    <row r="241" spans="1:11">
      <c r="A241" s="21" t="s">
        <v>2788</v>
      </c>
      <c r="B241" s="21" t="s">
        <v>10667</v>
      </c>
      <c r="C241" s="21" t="s">
        <v>8</v>
      </c>
      <c r="D241" s="21" t="s">
        <v>1147</v>
      </c>
      <c r="E241" s="21" t="s">
        <v>9</v>
      </c>
      <c r="F241" s="5812">
        <v>3</v>
      </c>
      <c r="G241" s="5813">
        <v>0.20833333333333334</v>
      </c>
      <c r="H241" s="21" t="s">
        <v>10</v>
      </c>
      <c r="I241" s="21" t="s">
        <v>233</v>
      </c>
      <c r="J241" s="21" t="s">
        <v>10668</v>
      </c>
      <c r="K241" s="5814" t="s">
        <v>10669</v>
      </c>
    </row>
    <row r="242" spans="1:11">
      <c r="A242" s="21" t="s">
        <v>2792</v>
      </c>
      <c r="B242" s="21" t="s">
        <v>10670</v>
      </c>
      <c r="C242" s="21" t="s">
        <v>22</v>
      </c>
      <c r="D242" s="21" t="s">
        <v>1147</v>
      </c>
      <c r="E242" s="21" t="s">
        <v>9</v>
      </c>
      <c r="F242" s="5812">
        <v>3</v>
      </c>
      <c r="G242" s="5813">
        <v>0.20833333333333334</v>
      </c>
      <c r="H242" s="21" t="s">
        <v>10</v>
      </c>
      <c r="I242" s="21" t="s">
        <v>4329</v>
      </c>
      <c r="J242" s="21" t="s">
        <v>10671</v>
      </c>
      <c r="K242" s="5814" t="s">
        <v>10672</v>
      </c>
    </row>
    <row r="243" spans="1:11">
      <c r="A243" s="21" t="s">
        <v>3783</v>
      </c>
      <c r="B243" s="21" t="s">
        <v>10673</v>
      </c>
      <c r="C243" s="21" t="s">
        <v>22</v>
      </c>
      <c r="D243" s="21" t="s">
        <v>1147</v>
      </c>
      <c r="E243" s="21" t="s">
        <v>9</v>
      </c>
      <c r="F243" s="5812">
        <v>3</v>
      </c>
      <c r="G243" s="5813">
        <v>0.20833333333333334</v>
      </c>
      <c r="H243" s="21" t="s">
        <v>10</v>
      </c>
      <c r="I243" s="21" t="s">
        <v>2872</v>
      </c>
      <c r="J243" s="21" t="s">
        <v>10674</v>
      </c>
      <c r="K243" s="5814" t="s">
        <v>10675</v>
      </c>
    </row>
    <row r="244" spans="1:11">
      <c r="A244" s="21" t="s">
        <v>3783</v>
      </c>
      <c r="B244" s="21" t="s">
        <v>10676</v>
      </c>
      <c r="C244" s="21" t="s">
        <v>8</v>
      </c>
      <c r="D244" s="21" t="s">
        <v>1147</v>
      </c>
      <c r="E244" s="21" t="s">
        <v>9</v>
      </c>
      <c r="F244" s="5812">
        <v>3</v>
      </c>
      <c r="G244" s="5813">
        <v>0.20833333333333334</v>
      </c>
      <c r="H244" s="21" t="s">
        <v>10</v>
      </c>
      <c r="I244" s="21" t="s">
        <v>226</v>
      </c>
      <c r="J244" s="21" t="s">
        <v>10677</v>
      </c>
      <c r="K244" s="5814" t="s">
        <v>10678</v>
      </c>
    </row>
    <row r="245" spans="1:11">
      <c r="A245" s="21" t="s">
        <v>2241</v>
      </c>
      <c r="B245" s="21" t="s">
        <v>10679</v>
      </c>
      <c r="C245" s="21" t="s">
        <v>22</v>
      </c>
      <c r="D245" s="21" t="s">
        <v>1147</v>
      </c>
      <c r="E245" s="21" t="s">
        <v>9</v>
      </c>
      <c r="F245" s="5812">
        <v>3</v>
      </c>
      <c r="G245" s="5813">
        <v>0.20833333333333334</v>
      </c>
      <c r="H245" s="21" t="s">
        <v>10</v>
      </c>
      <c r="I245" s="21" t="s">
        <v>2297</v>
      </c>
      <c r="J245" s="21" t="s">
        <v>10680</v>
      </c>
      <c r="K245" s="5814" t="s">
        <v>10681</v>
      </c>
    </row>
    <row r="246" spans="1:11">
      <c r="A246" s="21" t="s">
        <v>2800</v>
      </c>
      <c r="B246" s="21" t="s">
        <v>10682</v>
      </c>
      <c r="C246" s="21" t="s">
        <v>22</v>
      </c>
      <c r="D246" s="21" t="s">
        <v>1147</v>
      </c>
      <c r="E246" s="21" t="s">
        <v>9</v>
      </c>
      <c r="F246" s="5812">
        <v>3</v>
      </c>
      <c r="G246" s="5813">
        <v>0.20833333333333334</v>
      </c>
      <c r="H246" s="21" t="s">
        <v>10</v>
      </c>
      <c r="I246" s="21" t="s">
        <v>2297</v>
      </c>
      <c r="J246" s="21" t="s">
        <v>10683</v>
      </c>
      <c r="K246" s="5814" t="s">
        <v>10684</v>
      </c>
    </row>
    <row r="247" spans="1:11">
      <c r="A247" s="21" t="s">
        <v>2804</v>
      </c>
      <c r="B247" s="21" t="s">
        <v>10685</v>
      </c>
      <c r="C247" s="21" t="s">
        <v>8</v>
      </c>
      <c r="D247" s="21" t="s">
        <v>1147</v>
      </c>
      <c r="E247" s="21" t="s">
        <v>9</v>
      </c>
      <c r="F247" s="5812">
        <v>3</v>
      </c>
      <c r="G247" s="5813">
        <v>0.20833333333333334</v>
      </c>
      <c r="H247" s="21" t="s">
        <v>10</v>
      </c>
      <c r="I247" s="21" t="s">
        <v>55</v>
      </c>
      <c r="J247" s="21" t="s">
        <v>10686</v>
      </c>
      <c r="K247" s="5814" t="s">
        <v>10687</v>
      </c>
    </row>
    <row r="248" spans="1:11">
      <c r="A248" s="21" t="s">
        <v>2804</v>
      </c>
      <c r="B248" s="21" t="s">
        <v>10688</v>
      </c>
      <c r="C248" s="21" t="s">
        <v>22</v>
      </c>
      <c r="D248" s="21" t="s">
        <v>1147</v>
      </c>
      <c r="E248" s="21" t="s">
        <v>9</v>
      </c>
      <c r="F248" s="5812">
        <v>3</v>
      </c>
      <c r="G248" s="5813">
        <v>0.20833333333333334</v>
      </c>
      <c r="H248" s="21" t="s">
        <v>10</v>
      </c>
      <c r="I248" s="21" t="s">
        <v>89</v>
      </c>
      <c r="J248" s="21" t="s">
        <v>10689</v>
      </c>
      <c r="K248" s="5814" t="s">
        <v>10690</v>
      </c>
    </row>
    <row r="249" spans="1:11">
      <c r="A249" s="21" t="s">
        <v>2804</v>
      </c>
      <c r="B249" s="21" t="s">
        <v>10691</v>
      </c>
      <c r="C249" s="21" t="s">
        <v>22</v>
      </c>
      <c r="D249" s="21" t="s">
        <v>1147</v>
      </c>
      <c r="E249" s="21" t="s">
        <v>9</v>
      </c>
      <c r="F249" s="5812">
        <v>3</v>
      </c>
      <c r="G249" s="5813">
        <v>0.20833333333333334</v>
      </c>
      <c r="H249" s="21" t="s">
        <v>10</v>
      </c>
      <c r="I249" s="21" t="s">
        <v>2297</v>
      </c>
      <c r="J249" s="21" t="s">
        <v>10692</v>
      </c>
      <c r="K249" s="5814" t="s">
        <v>10693</v>
      </c>
    </row>
    <row r="250" spans="1:11">
      <c r="A250" s="21" t="s">
        <v>2808</v>
      </c>
      <c r="B250" s="21" t="s">
        <v>10694</v>
      </c>
      <c r="C250" s="21" t="s">
        <v>22</v>
      </c>
      <c r="D250" s="21" t="s">
        <v>1147</v>
      </c>
      <c r="E250" s="21" t="s">
        <v>9</v>
      </c>
      <c r="F250" s="5812">
        <v>3</v>
      </c>
      <c r="G250" s="5813">
        <v>0.20833333333333334</v>
      </c>
      <c r="H250" s="21" t="s">
        <v>10</v>
      </c>
      <c r="I250" s="21" t="s">
        <v>226</v>
      </c>
      <c r="J250" s="21" t="s">
        <v>10695</v>
      </c>
      <c r="K250" s="5814" t="s">
        <v>10696</v>
      </c>
    </row>
    <row r="251" spans="1:11">
      <c r="A251" s="21" t="s">
        <v>4345</v>
      </c>
      <c r="B251" s="21" t="s">
        <v>10697</v>
      </c>
      <c r="C251" s="21" t="s">
        <v>22</v>
      </c>
      <c r="D251" s="21" t="s">
        <v>1147</v>
      </c>
      <c r="E251" s="21" t="s">
        <v>9</v>
      </c>
      <c r="F251" s="5812">
        <v>3</v>
      </c>
      <c r="G251" s="5813">
        <v>0.20833333333333334</v>
      </c>
      <c r="H251" s="21" t="s">
        <v>10</v>
      </c>
      <c r="I251" s="21" t="s">
        <v>2269</v>
      </c>
      <c r="J251" s="21" t="s">
        <v>10698</v>
      </c>
      <c r="K251" s="5814" t="s">
        <v>10699</v>
      </c>
    </row>
    <row r="252" spans="1:11">
      <c r="A252" s="21" t="s">
        <v>4345</v>
      </c>
      <c r="B252" s="21" t="s">
        <v>10700</v>
      </c>
      <c r="C252" s="21" t="s">
        <v>22</v>
      </c>
      <c r="D252" s="21" t="s">
        <v>1147</v>
      </c>
      <c r="E252" s="21" t="s">
        <v>9</v>
      </c>
      <c r="F252" s="5812">
        <v>3</v>
      </c>
      <c r="G252" s="5813">
        <v>0.20833333333333334</v>
      </c>
      <c r="H252" s="21" t="s">
        <v>10</v>
      </c>
      <c r="I252" s="21" t="s">
        <v>2269</v>
      </c>
      <c r="J252" s="21" t="s">
        <v>10701</v>
      </c>
      <c r="K252" s="5814" t="s">
        <v>10702</v>
      </c>
    </row>
    <row r="253" spans="1:11">
      <c r="A253" s="21" t="s">
        <v>3082</v>
      </c>
      <c r="B253" s="21" t="s">
        <v>10703</v>
      </c>
      <c r="C253" s="21" t="s">
        <v>22</v>
      </c>
      <c r="D253" s="21" t="s">
        <v>1147</v>
      </c>
      <c r="E253" s="21" t="s">
        <v>9</v>
      </c>
      <c r="F253" s="5812">
        <v>3</v>
      </c>
      <c r="G253" s="5813">
        <v>0.20833333333333334</v>
      </c>
      <c r="H253" s="21" t="s">
        <v>10</v>
      </c>
      <c r="I253" s="21" t="s">
        <v>117</v>
      </c>
      <c r="J253" s="21" t="s">
        <v>10704</v>
      </c>
      <c r="K253" s="5814" t="s">
        <v>10705</v>
      </c>
    </row>
    <row r="254" spans="1:11">
      <c r="A254" s="21" t="s">
        <v>2295</v>
      </c>
      <c r="B254" s="21" t="s">
        <v>10706</v>
      </c>
      <c r="C254" s="21" t="s">
        <v>22</v>
      </c>
      <c r="D254" s="21" t="s">
        <v>1147</v>
      </c>
      <c r="E254" s="21" t="s">
        <v>9</v>
      </c>
      <c r="F254" s="5812">
        <v>3</v>
      </c>
      <c r="G254" s="5813">
        <v>0.20833333333333334</v>
      </c>
      <c r="H254" s="21" t="s">
        <v>10</v>
      </c>
      <c r="I254" s="21" t="s">
        <v>6019</v>
      </c>
      <c r="J254" s="21" t="s">
        <v>10707</v>
      </c>
      <c r="K254" s="5814" t="s">
        <v>10708</v>
      </c>
    </row>
    <row r="255" spans="1:11">
      <c r="A255" s="21" t="s">
        <v>2827</v>
      </c>
      <c r="B255" s="21" t="s">
        <v>10709</v>
      </c>
      <c r="C255" s="21" t="s">
        <v>8</v>
      </c>
      <c r="D255" s="21" t="s">
        <v>1147</v>
      </c>
      <c r="E255" s="21" t="s">
        <v>9</v>
      </c>
      <c r="F255" s="5812">
        <v>3</v>
      </c>
      <c r="G255" s="5813">
        <v>0.20833333333333334</v>
      </c>
      <c r="H255" s="21" t="s">
        <v>10</v>
      </c>
      <c r="I255" s="21" t="s">
        <v>2713</v>
      </c>
      <c r="J255" s="21" t="s">
        <v>10710</v>
      </c>
      <c r="K255" s="5814" t="s">
        <v>10711</v>
      </c>
    </row>
    <row r="256" spans="1:11">
      <c r="A256" s="21" t="s">
        <v>3828</v>
      </c>
      <c r="B256" s="21" t="s">
        <v>10712</v>
      </c>
      <c r="C256" s="21" t="s">
        <v>8</v>
      </c>
      <c r="D256" s="21" t="s">
        <v>1147</v>
      </c>
      <c r="E256" s="21" t="s">
        <v>9</v>
      </c>
      <c r="F256" s="5812">
        <v>3</v>
      </c>
      <c r="G256" s="5813">
        <v>0.20833333333333334</v>
      </c>
      <c r="H256" s="21" t="s">
        <v>10</v>
      </c>
      <c r="I256" s="21" t="s">
        <v>55</v>
      </c>
      <c r="J256" s="21" t="s">
        <v>10713</v>
      </c>
      <c r="K256" s="5814" t="s">
        <v>10714</v>
      </c>
    </row>
    <row r="257" spans="1:11">
      <c r="A257" s="21" t="s">
        <v>3828</v>
      </c>
      <c r="B257" s="21" t="s">
        <v>10715</v>
      </c>
      <c r="C257" s="21" t="s">
        <v>8</v>
      </c>
      <c r="D257" s="21" t="s">
        <v>1147</v>
      </c>
      <c r="E257" s="21" t="s">
        <v>9</v>
      </c>
      <c r="F257" s="5812">
        <v>3</v>
      </c>
      <c r="G257" s="5813">
        <v>0.20833333333333334</v>
      </c>
      <c r="H257" s="21" t="s">
        <v>10</v>
      </c>
      <c r="I257" s="21" t="s">
        <v>226</v>
      </c>
      <c r="J257" s="21" t="s">
        <v>10716</v>
      </c>
      <c r="K257" s="5814" t="s">
        <v>10717</v>
      </c>
    </row>
    <row r="258" spans="1:11">
      <c r="A258" s="21" t="s">
        <v>2831</v>
      </c>
      <c r="B258" s="21" t="s">
        <v>10718</v>
      </c>
      <c r="C258" s="21" t="s">
        <v>22</v>
      </c>
      <c r="D258" s="21" t="s">
        <v>1147</v>
      </c>
      <c r="E258" s="21" t="s">
        <v>9</v>
      </c>
      <c r="F258" s="5812">
        <v>3</v>
      </c>
      <c r="G258" s="5813">
        <v>0.20833333333333334</v>
      </c>
      <c r="H258" s="21" t="s">
        <v>10</v>
      </c>
      <c r="I258" s="21" t="s">
        <v>2692</v>
      </c>
      <c r="J258" s="21" t="s">
        <v>10719</v>
      </c>
      <c r="K258" s="5814" t="s">
        <v>10720</v>
      </c>
    </row>
    <row r="259" spans="1:11">
      <c r="A259" s="21" t="s">
        <v>3192</v>
      </c>
      <c r="B259" s="21" t="s">
        <v>10721</v>
      </c>
      <c r="C259" s="21" t="s">
        <v>8</v>
      </c>
      <c r="D259" s="21" t="s">
        <v>1147</v>
      </c>
      <c r="E259" s="21" t="s">
        <v>9</v>
      </c>
      <c r="F259" s="5812">
        <v>3</v>
      </c>
      <c r="G259" s="5813">
        <v>0.20833333333333334</v>
      </c>
      <c r="H259" s="21" t="s">
        <v>10</v>
      </c>
      <c r="I259" s="21" t="s">
        <v>2297</v>
      </c>
      <c r="J259" s="21" t="s">
        <v>10722</v>
      </c>
      <c r="K259" s="5814" t="s">
        <v>10723</v>
      </c>
    </row>
    <row r="260" spans="1:11">
      <c r="A260" s="21" t="s">
        <v>3192</v>
      </c>
      <c r="B260" s="21" t="s">
        <v>10724</v>
      </c>
      <c r="C260" s="21" t="s">
        <v>8</v>
      </c>
      <c r="D260" s="21" t="s">
        <v>1147</v>
      </c>
      <c r="E260" s="21" t="s">
        <v>9</v>
      </c>
      <c r="F260" s="5812">
        <v>3</v>
      </c>
      <c r="G260" s="5813">
        <v>0.20833333333333334</v>
      </c>
      <c r="H260" s="21" t="s">
        <v>10</v>
      </c>
      <c r="I260" s="21" t="s">
        <v>55</v>
      </c>
      <c r="J260" s="21" t="s">
        <v>10725</v>
      </c>
      <c r="K260" s="5814" t="s">
        <v>10726</v>
      </c>
    </row>
    <row r="261" spans="1:11">
      <c r="A261" s="21" t="s">
        <v>2835</v>
      </c>
      <c r="B261" s="21" t="s">
        <v>10727</v>
      </c>
      <c r="C261" s="21" t="s">
        <v>22</v>
      </c>
      <c r="D261" s="21" t="s">
        <v>1147</v>
      </c>
      <c r="E261" s="21" t="s">
        <v>9</v>
      </c>
      <c r="F261" s="5812">
        <v>3</v>
      </c>
      <c r="G261" s="5813">
        <v>0.20833333333333334</v>
      </c>
      <c r="H261" s="21" t="s">
        <v>10</v>
      </c>
      <c r="I261" s="21" t="s">
        <v>226</v>
      </c>
      <c r="J261" s="21" t="s">
        <v>10728</v>
      </c>
      <c r="K261" s="5814" t="s">
        <v>10729</v>
      </c>
    </row>
    <row r="262" spans="1:11">
      <c r="A262" s="21" t="s">
        <v>2250</v>
      </c>
      <c r="B262" s="21" t="s">
        <v>10730</v>
      </c>
      <c r="C262" s="21" t="s">
        <v>8</v>
      </c>
      <c r="D262" s="21" t="s">
        <v>1147</v>
      </c>
      <c r="E262" s="21" t="s">
        <v>9</v>
      </c>
      <c r="F262" s="5812">
        <v>3</v>
      </c>
      <c r="G262" s="5813">
        <v>0.20833333333333334</v>
      </c>
      <c r="H262" s="21" t="s">
        <v>10</v>
      </c>
      <c r="I262" s="21" t="s">
        <v>55</v>
      </c>
      <c r="J262" s="21" t="s">
        <v>10731</v>
      </c>
      <c r="K262" s="5814" t="s">
        <v>10732</v>
      </c>
    </row>
    <row r="263" spans="1:11">
      <c r="A263" s="21" t="s">
        <v>2254</v>
      </c>
      <c r="B263" s="21" t="s">
        <v>10733</v>
      </c>
      <c r="C263" s="21" t="s">
        <v>22</v>
      </c>
      <c r="D263" s="21" t="s">
        <v>1147</v>
      </c>
      <c r="E263" s="21" t="s">
        <v>9</v>
      </c>
      <c r="F263" s="5812">
        <v>3</v>
      </c>
      <c r="G263" s="5813">
        <v>0.20833333333333334</v>
      </c>
      <c r="H263" s="21" t="s">
        <v>10</v>
      </c>
      <c r="I263" s="21" t="s">
        <v>2297</v>
      </c>
      <c r="J263" s="21" t="s">
        <v>10734</v>
      </c>
      <c r="K263" s="5814" t="s">
        <v>10735</v>
      </c>
    </row>
    <row r="264" spans="1:11">
      <c r="A264" s="21" t="s">
        <v>2839</v>
      </c>
      <c r="B264" s="21" t="s">
        <v>10736</v>
      </c>
      <c r="C264" s="21" t="s">
        <v>22</v>
      </c>
      <c r="D264" s="21" t="s">
        <v>1147</v>
      </c>
      <c r="E264" s="21" t="s">
        <v>9</v>
      </c>
      <c r="F264" s="5812">
        <v>3</v>
      </c>
      <c r="G264" s="5813">
        <v>0.20833333333333334</v>
      </c>
      <c r="H264" s="21" t="s">
        <v>10</v>
      </c>
      <c r="I264" s="21" t="s">
        <v>2713</v>
      </c>
      <c r="J264" s="21" t="s">
        <v>10737</v>
      </c>
      <c r="K264" s="5814" t="s">
        <v>10738</v>
      </c>
    </row>
    <row r="265" spans="1:11">
      <c r="A265" s="21" t="s">
        <v>5220</v>
      </c>
      <c r="B265" s="21" t="s">
        <v>10739</v>
      </c>
      <c r="C265" s="21" t="s">
        <v>8</v>
      </c>
      <c r="D265" s="21" t="s">
        <v>1147</v>
      </c>
      <c r="E265" s="21" t="s">
        <v>9</v>
      </c>
      <c r="F265" s="5812">
        <v>3</v>
      </c>
      <c r="G265" s="5813">
        <v>0.20833333333333334</v>
      </c>
      <c r="H265" s="21" t="s">
        <v>10</v>
      </c>
      <c r="I265" s="21" t="s">
        <v>2313</v>
      </c>
      <c r="J265" s="21" t="s">
        <v>10740</v>
      </c>
      <c r="K265" s="5814" t="s">
        <v>10741</v>
      </c>
    </row>
    <row r="266" spans="1:11">
      <c r="A266" s="21" t="s">
        <v>4645</v>
      </c>
      <c r="B266" s="21" t="s">
        <v>10742</v>
      </c>
      <c r="C266" s="21" t="s">
        <v>8</v>
      </c>
      <c r="D266" s="21" t="s">
        <v>1147</v>
      </c>
      <c r="E266" s="21" t="s">
        <v>9</v>
      </c>
      <c r="F266" s="5812">
        <v>3</v>
      </c>
      <c r="G266" s="5813">
        <v>0.20833333333333334</v>
      </c>
      <c r="H266" s="21" t="s">
        <v>10</v>
      </c>
      <c r="I266" s="21" t="s">
        <v>55</v>
      </c>
      <c r="J266" s="21" t="s">
        <v>10743</v>
      </c>
      <c r="K266" s="5814" t="s">
        <v>10744</v>
      </c>
    </row>
    <row r="267" spans="1:11">
      <c r="A267" s="21" t="s">
        <v>3049</v>
      </c>
      <c r="B267" s="21" t="s">
        <v>10745</v>
      </c>
      <c r="C267" s="21" t="s">
        <v>22</v>
      </c>
      <c r="D267" s="21" t="s">
        <v>1147</v>
      </c>
      <c r="E267" s="21" t="s">
        <v>9</v>
      </c>
      <c r="F267" s="5812">
        <v>3</v>
      </c>
      <c r="G267" s="5813">
        <v>0.20833333333333334</v>
      </c>
      <c r="H267" s="21" t="s">
        <v>10</v>
      </c>
      <c r="I267" s="21" t="s">
        <v>47</v>
      </c>
      <c r="J267" s="21" t="s">
        <v>10746</v>
      </c>
      <c r="K267" s="5814" t="s">
        <v>10747</v>
      </c>
    </row>
    <row r="268" spans="1:11">
      <c r="A268" s="21" t="s">
        <v>4768</v>
      </c>
      <c r="B268" s="21" t="s">
        <v>10748</v>
      </c>
      <c r="C268" s="21" t="s">
        <v>22</v>
      </c>
      <c r="D268" s="21" t="s">
        <v>1147</v>
      </c>
      <c r="E268" s="21" t="s">
        <v>9</v>
      </c>
      <c r="F268" s="5812">
        <v>3</v>
      </c>
      <c r="G268" s="5813">
        <v>0.20833333333333334</v>
      </c>
      <c r="H268" s="21" t="s">
        <v>10</v>
      </c>
      <c r="I268" s="21" t="s">
        <v>47</v>
      </c>
      <c r="J268" s="21" t="s">
        <v>10749</v>
      </c>
      <c r="K268" s="5814" t="s">
        <v>10750</v>
      </c>
    </row>
    <row r="269" spans="1:11">
      <c r="A269" s="21" t="s">
        <v>2258</v>
      </c>
      <c r="B269" s="21" t="s">
        <v>10751</v>
      </c>
      <c r="C269" s="21" t="s">
        <v>8</v>
      </c>
      <c r="D269" s="21" t="s">
        <v>1147</v>
      </c>
      <c r="E269" s="21" t="s">
        <v>9</v>
      </c>
      <c r="F269" s="5812">
        <v>3</v>
      </c>
      <c r="G269" s="5813">
        <v>0.20833333333333334</v>
      </c>
      <c r="H269" s="21" t="s">
        <v>10</v>
      </c>
      <c r="I269" s="21" t="s">
        <v>2713</v>
      </c>
      <c r="J269" s="21" t="s">
        <v>10752</v>
      </c>
      <c r="K269" s="5814" t="s">
        <v>10753</v>
      </c>
    </row>
    <row r="270" spans="1:11">
      <c r="A270" s="21" t="s">
        <v>3565</v>
      </c>
      <c r="B270" s="21" t="s">
        <v>10754</v>
      </c>
      <c r="C270" s="21" t="s">
        <v>22</v>
      </c>
      <c r="D270" s="21" t="s">
        <v>1147</v>
      </c>
      <c r="E270" s="21" t="s">
        <v>9</v>
      </c>
      <c r="F270" s="5812">
        <v>3</v>
      </c>
      <c r="G270" s="5813">
        <v>0.20833333333333334</v>
      </c>
      <c r="H270" s="21" t="s">
        <v>10</v>
      </c>
      <c r="I270" s="21" t="s">
        <v>11</v>
      </c>
      <c r="J270" s="21" t="s">
        <v>10755</v>
      </c>
      <c r="K270" s="5814" t="s">
        <v>10756</v>
      </c>
    </row>
    <row r="271" spans="1:11">
      <c r="A271" s="21" t="s">
        <v>2846</v>
      </c>
      <c r="B271" s="21" t="s">
        <v>10757</v>
      </c>
      <c r="C271" s="21" t="s">
        <v>8</v>
      </c>
      <c r="D271" s="21" t="s">
        <v>1147</v>
      </c>
      <c r="E271" s="21" t="s">
        <v>9</v>
      </c>
      <c r="F271" s="5812">
        <v>3</v>
      </c>
      <c r="G271" s="5813">
        <v>0.20833333333333334</v>
      </c>
      <c r="H271" s="21" t="s">
        <v>10</v>
      </c>
      <c r="I271" s="21" t="s">
        <v>3441</v>
      </c>
      <c r="J271" s="21" t="s">
        <v>10758</v>
      </c>
      <c r="K271" s="5814" t="s">
        <v>10759</v>
      </c>
    </row>
    <row r="272" spans="1:11">
      <c r="A272" s="21" t="s">
        <v>2846</v>
      </c>
      <c r="B272" s="21" t="s">
        <v>10760</v>
      </c>
      <c r="C272" s="21" t="s">
        <v>22</v>
      </c>
      <c r="D272" s="21" t="s">
        <v>1147</v>
      </c>
      <c r="E272" s="21" t="s">
        <v>9</v>
      </c>
      <c r="F272" s="5812">
        <v>3</v>
      </c>
      <c r="G272" s="5813">
        <v>0.20833333333333334</v>
      </c>
      <c r="H272" s="21" t="s">
        <v>10</v>
      </c>
      <c r="I272" s="21" t="s">
        <v>2721</v>
      </c>
      <c r="J272" s="21" t="s">
        <v>7816</v>
      </c>
      <c r="K272" s="5814" t="s">
        <v>10761</v>
      </c>
    </row>
    <row r="273" spans="1:11">
      <c r="A273" s="21" t="s">
        <v>3630</v>
      </c>
      <c r="B273" s="21" t="s">
        <v>9837</v>
      </c>
      <c r="C273" s="21" t="s">
        <v>8</v>
      </c>
      <c r="D273" s="21" t="s">
        <v>1147</v>
      </c>
      <c r="E273" s="21" t="s">
        <v>9</v>
      </c>
      <c r="F273" s="5812">
        <v>3</v>
      </c>
      <c r="G273" s="5813">
        <v>0.20833333333333334</v>
      </c>
      <c r="H273" s="21" t="s">
        <v>10</v>
      </c>
      <c r="I273" s="21" t="s">
        <v>226</v>
      </c>
      <c r="J273" s="21" t="s">
        <v>10762</v>
      </c>
      <c r="K273" s="5814" t="s">
        <v>10763</v>
      </c>
    </row>
    <row r="274" spans="1:11">
      <c r="A274" s="21" t="s">
        <v>2850</v>
      </c>
      <c r="B274" s="21" t="s">
        <v>10764</v>
      </c>
      <c r="C274" s="21" t="s">
        <v>8</v>
      </c>
      <c r="D274" s="21" t="s">
        <v>1147</v>
      </c>
      <c r="E274" s="21" t="s">
        <v>9</v>
      </c>
      <c r="F274" s="5812">
        <v>3</v>
      </c>
      <c r="G274" s="5813">
        <v>0.20833333333333334</v>
      </c>
      <c r="H274" s="21" t="s">
        <v>10</v>
      </c>
      <c r="I274" s="21" t="s">
        <v>2297</v>
      </c>
      <c r="J274" s="21" t="s">
        <v>10765</v>
      </c>
      <c r="K274" s="5814" t="s">
        <v>10766</v>
      </c>
    </row>
    <row r="275" spans="1:11">
      <c r="A275" s="21" t="s">
        <v>2850</v>
      </c>
      <c r="B275" s="21" t="s">
        <v>10767</v>
      </c>
      <c r="C275" s="21" t="s">
        <v>8</v>
      </c>
      <c r="D275" s="21" t="s">
        <v>1147</v>
      </c>
      <c r="E275" s="21" t="s">
        <v>9</v>
      </c>
      <c r="F275" s="5812">
        <v>3</v>
      </c>
      <c r="G275" s="5813">
        <v>0.20833333333333334</v>
      </c>
      <c r="H275" s="21" t="s">
        <v>10</v>
      </c>
      <c r="I275" s="21" t="s">
        <v>39</v>
      </c>
      <c r="J275" s="21" t="s">
        <v>10768</v>
      </c>
      <c r="K275" s="5814" t="s">
        <v>10769</v>
      </c>
    </row>
    <row r="276" spans="1:11">
      <c r="A276" s="21" t="s">
        <v>4423</v>
      </c>
      <c r="B276" s="21" t="s">
        <v>10770</v>
      </c>
      <c r="C276" s="21" t="s">
        <v>8</v>
      </c>
      <c r="D276" s="21" t="s">
        <v>1147</v>
      </c>
      <c r="E276" s="21" t="s">
        <v>9</v>
      </c>
      <c r="F276" s="5812">
        <v>3</v>
      </c>
      <c r="G276" s="5813">
        <v>0.20833333333333334</v>
      </c>
      <c r="H276" s="21" t="s">
        <v>10</v>
      </c>
      <c r="I276" s="21" t="s">
        <v>96</v>
      </c>
      <c r="J276" s="21" t="s">
        <v>10771</v>
      </c>
      <c r="K276" s="5814" t="s">
        <v>10772</v>
      </c>
    </row>
    <row r="277" spans="1:11">
      <c r="A277" s="21" t="s">
        <v>2854</v>
      </c>
      <c r="B277" s="21" t="s">
        <v>10773</v>
      </c>
      <c r="C277" s="21" t="s">
        <v>22</v>
      </c>
      <c r="D277" s="21" t="s">
        <v>1147</v>
      </c>
      <c r="E277" s="21" t="s">
        <v>9</v>
      </c>
      <c r="F277" s="5812">
        <v>3</v>
      </c>
      <c r="G277" s="5813">
        <v>0.20833333333333334</v>
      </c>
      <c r="H277" s="21" t="s">
        <v>10</v>
      </c>
      <c r="I277" s="21" t="s">
        <v>2247</v>
      </c>
      <c r="J277" s="21" t="s">
        <v>10774</v>
      </c>
      <c r="K277" s="5814" t="s">
        <v>10775</v>
      </c>
    </row>
    <row r="278" spans="1:11">
      <c r="A278" s="21" t="s">
        <v>5235</v>
      </c>
      <c r="B278" s="21" t="s">
        <v>10776</v>
      </c>
      <c r="C278" s="21" t="s">
        <v>8</v>
      </c>
      <c r="D278" s="21" t="s">
        <v>1147</v>
      </c>
      <c r="E278" s="21" t="s">
        <v>9</v>
      </c>
      <c r="F278" s="5812">
        <v>3</v>
      </c>
      <c r="G278" s="5813">
        <v>0.20833333333333334</v>
      </c>
      <c r="H278" s="21" t="s">
        <v>10</v>
      </c>
      <c r="I278" s="21" t="s">
        <v>3534</v>
      </c>
      <c r="J278" s="21" t="s">
        <v>10777</v>
      </c>
      <c r="K278" s="5814" t="s">
        <v>10778</v>
      </c>
    </row>
    <row r="279" spans="1:11">
      <c r="A279" s="21" t="s">
        <v>2272</v>
      </c>
      <c r="B279" s="21" t="s">
        <v>10779</v>
      </c>
      <c r="C279" s="21" t="s">
        <v>8</v>
      </c>
      <c r="D279" s="21" t="s">
        <v>1147</v>
      </c>
      <c r="E279" s="21" t="s">
        <v>9</v>
      </c>
      <c r="F279" s="5812">
        <v>3</v>
      </c>
      <c r="G279" s="5813">
        <v>0.20833333333333334</v>
      </c>
      <c r="H279" s="21" t="s">
        <v>10</v>
      </c>
      <c r="I279" s="21" t="s">
        <v>2176</v>
      </c>
      <c r="J279" s="21" t="s">
        <v>10780</v>
      </c>
      <c r="K279" s="5814" t="s">
        <v>10781</v>
      </c>
    </row>
    <row r="280" spans="1:11">
      <c r="A280" s="21" t="s">
        <v>3345</v>
      </c>
      <c r="B280" s="21" t="s">
        <v>10782</v>
      </c>
      <c r="C280" s="21" t="s">
        <v>8</v>
      </c>
      <c r="D280" s="21" t="s">
        <v>1147</v>
      </c>
      <c r="E280" s="21" t="s">
        <v>9</v>
      </c>
      <c r="F280" s="5812">
        <v>3</v>
      </c>
      <c r="G280" s="5813">
        <v>0.20833333333333334</v>
      </c>
      <c r="H280" s="21" t="s">
        <v>10</v>
      </c>
      <c r="I280" s="21" t="s">
        <v>2872</v>
      </c>
      <c r="J280" s="21" t="s">
        <v>10783</v>
      </c>
      <c r="K280" s="5814" t="s">
        <v>10784</v>
      </c>
    </row>
    <row r="281" spans="1:11">
      <c r="A281" s="21" t="s">
        <v>2961</v>
      </c>
      <c r="B281" s="21" t="s">
        <v>10785</v>
      </c>
      <c r="C281" s="21" t="s">
        <v>8</v>
      </c>
      <c r="D281" s="21" t="s">
        <v>1147</v>
      </c>
      <c r="E281" s="21" t="s">
        <v>9</v>
      </c>
      <c r="F281" s="5812">
        <v>3</v>
      </c>
      <c r="G281" s="5813">
        <v>0.20833333333333334</v>
      </c>
      <c r="H281" s="21" t="s">
        <v>10</v>
      </c>
      <c r="I281" s="21" t="s">
        <v>2713</v>
      </c>
      <c r="J281" s="21" t="s">
        <v>10786</v>
      </c>
      <c r="K281" s="5814" t="s">
        <v>10787</v>
      </c>
    </row>
    <row r="282" spans="1:11">
      <c r="A282" s="21" t="s">
        <v>2280</v>
      </c>
      <c r="B282" s="21" t="s">
        <v>10788</v>
      </c>
      <c r="C282" s="21" t="s">
        <v>8</v>
      </c>
      <c r="D282" s="21" t="s">
        <v>1147</v>
      </c>
      <c r="E282" s="21" t="s">
        <v>9</v>
      </c>
      <c r="F282" s="5812">
        <v>3</v>
      </c>
      <c r="G282" s="5813">
        <v>0.20833333333333334</v>
      </c>
      <c r="H282" s="21" t="s">
        <v>10</v>
      </c>
      <c r="I282" s="21" t="s">
        <v>55</v>
      </c>
      <c r="J282" s="21" t="s">
        <v>10789</v>
      </c>
      <c r="K282" s="5814" t="s">
        <v>10790</v>
      </c>
    </row>
    <row r="283" spans="1:11">
      <c r="A283" s="21" t="s">
        <v>2280</v>
      </c>
      <c r="B283" s="21" t="s">
        <v>10791</v>
      </c>
      <c r="C283" s="21" t="s">
        <v>22</v>
      </c>
      <c r="D283" s="21" t="s">
        <v>1147</v>
      </c>
      <c r="E283" s="21" t="s">
        <v>9</v>
      </c>
      <c r="F283" s="5812">
        <v>3</v>
      </c>
      <c r="G283" s="5813">
        <v>0.20833333333333334</v>
      </c>
      <c r="H283" s="21" t="s">
        <v>10</v>
      </c>
      <c r="I283" s="21" t="s">
        <v>2297</v>
      </c>
      <c r="J283" s="21" t="s">
        <v>10792</v>
      </c>
      <c r="K283" s="5814" t="s">
        <v>10793</v>
      </c>
    </row>
    <row r="284" spans="1:11">
      <c r="A284" s="21" t="s">
        <v>2878</v>
      </c>
      <c r="B284" s="21" t="s">
        <v>10794</v>
      </c>
      <c r="C284" s="21" t="s">
        <v>8</v>
      </c>
      <c r="D284" s="21" t="s">
        <v>1147</v>
      </c>
      <c r="E284" s="21" t="s">
        <v>9</v>
      </c>
      <c r="F284" s="5812">
        <v>3</v>
      </c>
      <c r="G284" s="5813">
        <v>0.20833333333333334</v>
      </c>
      <c r="H284" s="21" t="s">
        <v>10</v>
      </c>
      <c r="I284" s="21" t="s">
        <v>2872</v>
      </c>
      <c r="J284" s="21" t="s">
        <v>10795</v>
      </c>
      <c r="K284" s="5814" t="s">
        <v>10796</v>
      </c>
    </row>
    <row r="285" spans="1:11">
      <c r="A285" s="21" t="s">
        <v>2878</v>
      </c>
      <c r="B285" s="21" t="s">
        <v>10797</v>
      </c>
      <c r="C285" s="21" t="s">
        <v>8</v>
      </c>
      <c r="D285" s="21" t="s">
        <v>1147</v>
      </c>
      <c r="E285" s="21" t="s">
        <v>9</v>
      </c>
      <c r="F285" s="5812">
        <v>3</v>
      </c>
      <c r="G285" s="5813">
        <v>0.20833333333333334</v>
      </c>
      <c r="H285" s="21" t="s">
        <v>10</v>
      </c>
      <c r="I285" s="21" t="s">
        <v>2872</v>
      </c>
      <c r="J285" s="21" t="s">
        <v>10798</v>
      </c>
      <c r="K285" s="5814" t="s">
        <v>10799</v>
      </c>
    </row>
    <row r="286" spans="1:11">
      <c r="A286" s="21" t="s">
        <v>2882</v>
      </c>
      <c r="B286" s="21" t="s">
        <v>10800</v>
      </c>
      <c r="C286" s="21" t="s">
        <v>22</v>
      </c>
      <c r="D286" s="21" t="s">
        <v>1147</v>
      </c>
      <c r="E286" s="21" t="s">
        <v>9</v>
      </c>
      <c r="F286" s="5812">
        <v>3</v>
      </c>
      <c r="G286" s="5813">
        <v>0.20833333333333334</v>
      </c>
      <c r="H286" s="21" t="s">
        <v>10</v>
      </c>
      <c r="I286" s="21" t="s">
        <v>55</v>
      </c>
      <c r="J286" s="21" t="s">
        <v>10801</v>
      </c>
      <c r="K286" s="5814" t="s">
        <v>10802</v>
      </c>
    </row>
    <row r="287" spans="1:11">
      <c r="A287" s="21" t="s">
        <v>2886</v>
      </c>
      <c r="B287" s="21" t="s">
        <v>10803</v>
      </c>
      <c r="C287" s="21" t="s">
        <v>8</v>
      </c>
      <c r="D287" s="21" t="s">
        <v>1147</v>
      </c>
      <c r="E287" s="21" t="s">
        <v>9</v>
      </c>
      <c r="F287" s="5812">
        <v>3</v>
      </c>
      <c r="G287" s="5813">
        <v>0.20833333333333334</v>
      </c>
      <c r="H287" s="21" t="s">
        <v>10</v>
      </c>
      <c r="I287" s="21" t="s">
        <v>55</v>
      </c>
      <c r="J287" s="21" t="s">
        <v>10804</v>
      </c>
      <c r="K287" s="5814" t="s">
        <v>10805</v>
      </c>
    </row>
    <row r="288" spans="1:11">
      <c r="A288" s="21" t="s">
        <v>2886</v>
      </c>
      <c r="B288" s="21" t="s">
        <v>10806</v>
      </c>
      <c r="C288" s="21" t="s">
        <v>8</v>
      </c>
      <c r="D288" s="21" t="s">
        <v>1147</v>
      </c>
      <c r="E288" s="21" t="s">
        <v>9</v>
      </c>
      <c r="F288" s="5812">
        <v>3</v>
      </c>
      <c r="G288" s="5813">
        <v>0.20833333333333334</v>
      </c>
      <c r="H288" s="21" t="s">
        <v>10</v>
      </c>
      <c r="I288" s="21" t="s">
        <v>5159</v>
      </c>
      <c r="J288" s="21" t="s">
        <v>10807</v>
      </c>
      <c r="K288" s="5814" t="s">
        <v>10808</v>
      </c>
    </row>
    <row r="289" spans="1:11">
      <c r="A289" s="21" t="s">
        <v>3260</v>
      </c>
      <c r="B289" s="21" t="s">
        <v>10809</v>
      </c>
      <c r="C289" s="21" t="s">
        <v>22</v>
      </c>
      <c r="D289" s="21" t="s">
        <v>1147</v>
      </c>
      <c r="E289" s="21" t="s">
        <v>9</v>
      </c>
      <c r="F289" s="5812">
        <v>3</v>
      </c>
      <c r="G289" s="5813">
        <v>0.20833333333333334</v>
      </c>
      <c r="H289" s="21" t="s">
        <v>10</v>
      </c>
      <c r="I289" s="21" t="s">
        <v>55</v>
      </c>
      <c r="J289" s="21" t="s">
        <v>10810</v>
      </c>
      <c r="K289" s="5814" t="s">
        <v>10811</v>
      </c>
    </row>
    <row r="290" spans="1:11">
      <c r="A290" s="21" t="s">
        <v>5264</v>
      </c>
      <c r="B290" s="21" t="s">
        <v>10812</v>
      </c>
      <c r="C290" s="21" t="s">
        <v>22</v>
      </c>
      <c r="D290" s="21" t="s">
        <v>1147</v>
      </c>
      <c r="E290" s="21" t="s">
        <v>9</v>
      </c>
      <c r="F290" s="5812">
        <v>3</v>
      </c>
      <c r="G290" s="5813">
        <v>0.20833333333333334</v>
      </c>
      <c r="H290" s="21" t="s">
        <v>10</v>
      </c>
      <c r="I290" s="21" t="s">
        <v>55</v>
      </c>
      <c r="J290" s="21" t="s">
        <v>10813</v>
      </c>
      <c r="K290" s="5814" t="s">
        <v>10814</v>
      </c>
    </row>
    <row r="291" spans="1:11">
      <c r="A291" s="21" t="s">
        <v>4671</v>
      </c>
      <c r="B291" s="21" t="s">
        <v>10815</v>
      </c>
      <c r="C291" s="21" t="s">
        <v>22</v>
      </c>
      <c r="D291" s="21" t="s">
        <v>1147</v>
      </c>
      <c r="E291" s="21" t="s">
        <v>9</v>
      </c>
      <c r="F291" s="5812">
        <v>3</v>
      </c>
      <c r="G291" s="5813">
        <v>0.20833333333333334</v>
      </c>
      <c r="H291" s="21" t="s">
        <v>10</v>
      </c>
      <c r="I291" s="21" t="s">
        <v>3534</v>
      </c>
      <c r="J291" s="21" t="s">
        <v>10816</v>
      </c>
      <c r="K291" s="5814" t="s">
        <v>10817</v>
      </c>
    </row>
    <row r="292" spans="1:11">
      <c r="A292" s="21" t="s">
        <v>3056</v>
      </c>
      <c r="B292" s="21" t="s">
        <v>10818</v>
      </c>
      <c r="C292" s="21" t="s">
        <v>8</v>
      </c>
      <c r="D292" s="21" t="s">
        <v>1147</v>
      </c>
      <c r="E292" s="21" t="s">
        <v>9</v>
      </c>
      <c r="F292" s="5812">
        <v>3</v>
      </c>
      <c r="G292" s="5813">
        <v>0.20833333333333334</v>
      </c>
      <c r="H292" s="21" t="s">
        <v>10</v>
      </c>
      <c r="I292" s="21" t="s">
        <v>47</v>
      </c>
      <c r="J292" s="21" t="s">
        <v>10819</v>
      </c>
      <c r="K292" s="5814" t="s">
        <v>10820</v>
      </c>
    </row>
    <row r="293" spans="1:11">
      <c r="A293" s="21" t="s">
        <v>3056</v>
      </c>
      <c r="B293" s="21" t="s">
        <v>10821</v>
      </c>
      <c r="C293" s="21" t="s">
        <v>8</v>
      </c>
      <c r="D293" s="21" t="s">
        <v>1147</v>
      </c>
      <c r="E293" s="21" t="s">
        <v>9</v>
      </c>
      <c r="F293" s="5812">
        <v>3</v>
      </c>
      <c r="G293" s="5813">
        <v>0.20833333333333334</v>
      </c>
      <c r="H293" s="21" t="s">
        <v>10</v>
      </c>
      <c r="I293" s="21" t="s">
        <v>47</v>
      </c>
      <c r="J293" s="21" t="s">
        <v>10822</v>
      </c>
      <c r="K293" s="5814" t="s">
        <v>10823</v>
      </c>
    </row>
    <row r="294" spans="1:11">
      <c r="A294" s="21" t="s">
        <v>2995</v>
      </c>
      <c r="B294" s="21" t="s">
        <v>10824</v>
      </c>
      <c r="C294" s="21" t="s">
        <v>8</v>
      </c>
      <c r="D294" s="21" t="s">
        <v>1147</v>
      </c>
      <c r="E294" s="21" t="s">
        <v>9</v>
      </c>
      <c r="F294" s="5812">
        <v>5</v>
      </c>
      <c r="G294" s="5813">
        <v>0.20833333333333334</v>
      </c>
      <c r="H294" s="21" t="s">
        <v>54</v>
      </c>
      <c r="I294" s="21" t="s">
        <v>39</v>
      </c>
      <c r="J294" s="21" t="s">
        <v>10825</v>
      </c>
      <c r="K294" s="5814" t="s">
        <v>10826</v>
      </c>
    </row>
    <row r="295" spans="1:11">
      <c r="A295" s="21" t="s">
        <v>3872</v>
      </c>
      <c r="B295" s="21" t="s">
        <v>10827</v>
      </c>
      <c r="C295" s="21" t="s">
        <v>8</v>
      </c>
      <c r="D295" s="21" t="s">
        <v>1147</v>
      </c>
      <c r="E295" s="21" t="s">
        <v>9</v>
      </c>
      <c r="F295" s="5812">
        <v>5</v>
      </c>
      <c r="G295" s="5813">
        <v>0.20833333333333334</v>
      </c>
      <c r="H295" s="21" t="s">
        <v>54</v>
      </c>
      <c r="I295" s="21" t="s">
        <v>11</v>
      </c>
      <c r="J295" s="21" t="s">
        <v>10828</v>
      </c>
      <c r="K295" s="5814" t="s">
        <v>10829</v>
      </c>
    </row>
    <row r="296" spans="1:11">
      <c r="A296" s="21" t="s">
        <v>2929</v>
      </c>
      <c r="B296" s="21" t="s">
        <v>10830</v>
      </c>
      <c r="C296" s="21" t="s">
        <v>22</v>
      </c>
      <c r="D296" s="21" t="s">
        <v>1147</v>
      </c>
      <c r="E296" s="21" t="s">
        <v>9</v>
      </c>
      <c r="F296" s="5812">
        <v>5</v>
      </c>
      <c r="G296" s="5813">
        <v>0.20833333333333334</v>
      </c>
      <c r="H296" s="21" t="s">
        <v>54</v>
      </c>
      <c r="I296" s="21" t="s">
        <v>55</v>
      </c>
      <c r="J296" s="21" t="s">
        <v>10831</v>
      </c>
      <c r="K296" s="5814" t="s">
        <v>10832</v>
      </c>
    </row>
    <row r="297" spans="1:11">
      <c r="A297" s="21" t="s">
        <v>3551</v>
      </c>
      <c r="B297" s="21" t="s">
        <v>10833</v>
      </c>
      <c r="C297" s="21" t="s">
        <v>8</v>
      </c>
      <c r="D297" s="21" t="s">
        <v>1147</v>
      </c>
      <c r="E297" s="21" t="s">
        <v>9</v>
      </c>
      <c r="F297" s="5812">
        <v>5</v>
      </c>
      <c r="G297" s="5813">
        <v>0.20833333333333334</v>
      </c>
      <c r="H297" s="21" t="s">
        <v>54</v>
      </c>
      <c r="I297" s="21" t="s">
        <v>55</v>
      </c>
      <c r="J297" s="21" t="s">
        <v>10834</v>
      </c>
      <c r="K297" s="5814" t="s">
        <v>10835</v>
      </c>
    </row>
    <row r="298" spans="1:11">
      <c r="A298" s="21" t="s">
        <v>3984</v>
      </c>
      <c r="B298" s="21" t="s">
        <v>10836</v>
      </c>
      <c r="C298" s="21" t="s">
        <v>8</v>
      </c>
      <c r="D298" s="21" t="s">
        <v>1147</v>
      </c>
      <c r="E298" s="21" t="s">
        <v>9</v>
      </c>
      <c r="F298" s="5812">
        <v>5</v>
      </c>
      <c r="G298" s="5813">
        <v>0.20833333333333334</v>
      </c>
      <c r="H298" s="21" t="s">
        <v>54</v>
      </c>
      <c r="I298" s="21" t="s">
        <v>55</v>
      </c>
      <c r="J298" s="21" t="s">
        <v>10837</v>
      </c>
      <c r="K298" s="5814" t="s">
        <v>10838</v>
      </c>
    </row>
    <row r="299" spans="1:11">
      <c r="A299" s="21" t="s">
        <v>3412</v>
      </c>
      <c r="B299" s="21" t="s">
        <v>10839</v>
      </c>
      <c r="C299" s="21" t="s">
        <v>8</v>
      </c>
      <c r="D299" s="21" t="s">
        <v>1147</v>
      </c>
      <c r="E299" s="21" t="s">
        <v>9</v>
      </c>
      <c r="F299" s="5812">
        <v>5</v>
      </c>
      <c r="G299" s="5813">
        <v>0.20833333333333334</v>
      </c>
      <c r="H299" s="21" t="s">
        <v>54</v>
      </c>
      <c r="I299" s="21" t="s">
        <v>47</v>
      </c>
      <c r="J299" s="21" t="s">
        <v>10840</v>
      </c>
      <c r="K299" s="5814" t="s">
        <v>10841</v>
      </c>
    </row>
    <row r="300" spans="1:11">
      <c r="A300" s="21" t="s">
        <v>2509</v>
      </c>
      <c r="B300" s="21" t="s">
        <v>10842</v>
      </c>
      <c r="C300" s="21" t="s">
        <v>8</v>
      </c>
      <c r="D300" s="21" t="s">
        <v>1147</v>
      </c>
      <c r="E300" s="21" t="s">
        <v>9</v>
      </c>
      <c r="F300" s="5812">
        <v>5</v>
      </c>
      <c r="G300" s="5813">
        <v>0.20833333333333334</v>
      </c>
      <c r="H300" s="21" t="s">
        <v>54</v>
      </c>
      <c r="I300" s="21" t="s">
        <v>47</v>
      </c>
      <c r="J300" s="21" t="s">
        <v>5805</v>
      </c>
      <c r="K300" s="5814" t="s">
        <v>10843</v>
      </c>
    </row>
    <row r="301" spans="1:11">
      <c r="A301" s="21" t="s">
        <v>3315</v>
      </c>
      <c r="B301" s="21" t="s">
        <v>10844</v>
      </c>
      <c r="C301" s="21" t="s">
        <v>22</v>
      </c>
      <c r="D301" s="21" t="s">
        <v>1147</v>
      </c>
      <c r="E301" s="21" t="s">
        <v>9</v>
      </c>
      <c r="F301" s="5812">
        <v>5</v>
      </c>
      <c r="G301" s="5813">
        <v>0.20833333333333334</v>
      </c>
      <c r="H301" s="21" t="s">
        <v>54</v>
      </c>
      <c r="I301" s="21" t="s">
        <v>55</v>
      </c>
      <c r="J301" s="21" t="s">
        <v>10845</v>
      </c>
      <c r="K301" s="5814" t="s">
        <v>10846</v>
      </c>
    </row>
    <row r="302" spans="1:11">
      <c r="A302" s="21" t="s">
        <v>5387</v>
      </c>
      <c r="B302" s="21" t="s">
        <v>10847</v>
      </c>
      <c r="C302" s="21" t="s">
        <v>8</v>
      </c>
      <c r="D302" s="21" t="s">
        <v>1147</v>
      </c>
      <c r="E302" s="21" t="s">
        <v>9</v>
      </c>
      <c r="F302" s="5812">
        <v>5</v>
      </c>
      <c r="G302" s="5813">
        <v>0.20833333333333334</v>
      </c>
      <c r="H302" s="21" t="s">
        <v>54</v>
      </c>
      <c r="I302" s="21" t="s">
        <v>11</v>
      </c>
      <c r="J302" s="21" t="s">
        <v>10848</v>
      </c>
      <c r="K302" s="5814" t="s">
        <v>10849</v>
      </c>
    </row>
    <row r="303" spans="1:11">
      <c r="A303" s="21" t="s">
        <v>2179</v>
      </c>
      <c r="B303" s="21" t="s">
        <v>10850</v>
      </c>
      <c r="C303" s="21" t="s">
        <v>22</v>
      </c>
      <c r="D303" s="21" t="s">
        <v>1147</v>
      </c>
      <c r="E303" s="21" t="s">
        <v>9</v>
      </c>
      <c r="F303" s="5812">
        <v>5</v>
      </c>
      <c r="G303" s="5813">
        <v>0.20833333333333334</v>
      </c>
      <c r="H303" s="21" t="s">
        <v>54</v>
      </c>
      <c r="I303" s="21" t="s">
        <v>226</v>
      </c>
      <c r="J303" s="21" t="s">
        <v>10851</v>
      </c>
      <c r="K303" s="5814" t="s">
        <v>10852</v>
      </c>
    </row>
    <row r="304" spans="1:11">
      <c r="A304" s="21" t="s">
        <v>3002</v>
      </c>
      <c r="B304" s="21" t="s">
        <v>10853</v>
      </c>
      <c r="C304" s="21" t="s">
        <v>22</v>
      </c>
      <c r="D304" s="21" t="s">
        <v>1147</v>
      </c>
      <c r="E304" s="21" t="s">
        <v>9</v>
      </c>
      <c r="F304" s="5812">
        <v>5</v>
      </c>
      <c r="G304" s="5813">
        <v>0.20833333333333334</v>
      </c>
      <c r="H304" s="21" t="s">
        <v>54</v>
      </c>
      <c r="I304" s="21" t="s">
        <v>2872</v>
      </c>
      <c r="J304" s="21" t="s">
        <v>10854</v>
      </c>
      <c r="K304" s="5814" t="s">
        <v>10855</v>
      </c>
    </row>
    <row r="305" spans="1:11">
      <c r="A305" s="21" t="s">
        <v>3036</v>
      </c>
      <c r="B305" s="21" t="s">
        <v>10856</v>
      </c>
      <c r="C305" s="21" t="s">
        <v>22</v>
      </c>
      <c r="D305" s="21" t="s">
        <v>1147</v>
      </c>
      <c r="E305" s="21" t="s">
        <v>9</v>
      </c>
      <c r="F305" s="5812">
        <v>5</v>
      </c>
      <c r="G305" s="5813">
        <v>0.20833333333333334</v>
      </c>
      <c r="H305" s="21" t="s">
        <v>54</v>
      </c>
      <c r="I305" s="21" t="s">
        <v>2713</v>
      </c>
      <c r="J305" s="21" t="s">
        <v>10857</v>
      </c>
      <c r="K305" s="5814" t="s">
        <v>10858</v>
      </c>
    </row>
    <row r="306" spans="1:11">
      <c r="A306" s="21" t="s">
        <v>3761</v>
      </c>
      <c r="B306" s="21" t="s">
        <v>10859</v>
      </c>
      <c r="C306" s="21" t="s">
        <v>22</v>
      </c>
      <c r="D306" s="21" t="s">
        <v>1147</v>
      </c>
      <c r="E306" s="21" t="s">
        <v>9</v>
      </c>
      <c r="F306" s="5812">
        <v>5</v>
      </c>
      <c r="G306" s="5813">
        <v>0.20833333333333334</v>
      </c>
      <c r="H306" s="21" t="s">
        <v>54</v>
      </c>
      <c r="I306" s="21" t="s">
        <v>47</v>
      </c>
      <c r="J306" s="21" t="s">
        <v>10860</v>
      </c>
      <c r="K306" s="5814" t="s">
        <v>10861</v>
      </c>
    </row>
    <row r="307" spans="1:11">
      <c r="A307" s="21" t="s">
        <v>2711</v>
      </c>
      <c r="B307" s="21" t="s">
        <v>10862</v>
      </c>
      <c r="C307" s="21" t="s">
        <v>22</v>
      </c>
      <c r="D307" s="21" t="s">
        <v>1147</v>
      </c>
      <c r="E307" s="21" t="s">
        <v>9</v>
      </c>
      <c r="F307" s="5812">
        <v>5</v>
      </c>
      <c r="G307" s="5813">
        <v>0.20833333333333334</v>
      </c>
      <c r="H307" s="21" t="s">
        <v>54</v>
      </c>
      <c r="I307" s="21" t="s">
        <v>2713</v>
      </c>
      <c r="J307" s="21" t="s">
        <v>10863</v>
      </c>
      <c r="K307" s="5814" t="s">
        <v>10864</v>
      </c>
    </row>
    <row r="308" spans="1:11">
      <c r="A308" s="21" t="s">
        <v>4597</v>
      </c>
      <c r="B308" s="21" t="s">
        <v>10865</v>
      </c>
      <c r="C308" s="21" t="s">
        <v>22</v>
      </c>
      <c r="D308" s="21" t="s">
        <v>1147</v>
      </c>
      <c r="E308" s="21" t="s">
        <v>9</v>
      </c>
      <c r="F308" s="5812">
        <v>5</v>
      </c>
      <c r="G308" s="5813">
        <v>0.20833333333333334</v>
      </c>
      <c r="H308" s="21" t="s">
        <v>54</v>
      </c>
      <c r="I308" s="21" t="s">
        <v>55</v>
      </c>
      <c r="J308" s="21" t="s">
        <v>10866</v>
      </c>
      <c r="K308" s="5814" t="s">
        <v>10867</v>
      </c>
    </row>
    <row r="309" spans="1:11">
      <c r="A309" s="21" t="s">
        <v>3458</v>
      </c>
      <c r="B309" s="21" t="s">
        <v>10868</v>
      </c>
      <c r="C309" s="21" t="s">
        <v>22</v>
      </c>
      <c r="D309" s="21" t="s">
        <v>1147</v>
      </c>
      <c r="E309" s="21" t="s">
        <v>9</v>
      </c>
      <c r="F309" s="5812">
        <v>5</v>
      </c>
      <c r="G309" s="5813">
        <v>0.20833333333333334</v>
      </c>
      <c r="H309" s="21" t="s">
        <v>54</v>
      </c>
      <c r="I309" s="21" t="s">
        <v>2297</v>
      </c>
      <c r="J309" s="21" t="s">
        <v>10869</v>
      </c>
      <c r="K309" s="5814" t="s">
        <v>10870</v>
      </c>
    </row>
    <row r="310" spans="1:11">
      <c r="A310" s="21" t="s">
        <v>3012</v>
      </c>
      <c r="B310" s="21" t="s">
        <v>10871</v>
      </c>
      <c r="C310" s="21" t="s">
        <v>22</v>
      </c>
      <c r="D310" s="21" t="s">
        <v>1147</v>
      </c>
      <c r="E310" s="21" t="s">
        <v>466</v>
      </c>
      <c r="F310" s="5812">
        <v>1</v>
      </c>
      <c r="G310" s="5813">
        <v>0.16111111111111112</v>
      </c>
      <c r="H310" s="21" t="s">
        <v>10</v>
      </c>
      <c r="I310" s="21" t="s">
        <v>23</v>
      </c>
      <c r="J310" s="21" t="s">
        <v>3628</v>
      </c>
      <c r="K310" s="5814" t="s">
        <v>10872</v>
      </c>
    </row>
    <row r="311" spans="1:11">
      <c r="A311" s="21" t="s">
        <v>2555</v>
      </c>
      <c r="B311" s="21" t="s">
        <v>10873</v>
      </c>
      <c r="C311" s="21" t="s">
        <v>8</v>
      </c>
      <c r="D311" s="21" t="s">
        <v>1147</v>
      </c>
      <c r="E311" s="21" t="s">
        <v>466</v>
      </c>
      <c r="F311" s="5812">
        <v>3</v>
      </c>
      <c r="G311" s="5813">
        <v>0.13125000000000001</v>
      </c>
      <c r="H311" s="21" t="s">
        <v>10</v>
      </c>
      <c r="I311" s="21" t="s">
        <v>96</v>
      </c>
      <c r="J311" s="21" t="s">
        <v>7837</v>
      </c>
      <c r="K311" s="5814" t="s">
        <v>10874</v>
      </c>
    </row>
    <row r="312" spans="1:11">
      <c r="A312" s="21" t="s">
        <v>2985</v>
      </c>
      <c r="B312" s="21" t="s">
        <v>10875</v>
      </c>
      <c r="C312" s="21" t="s">
        <v>8</v>
      </c>
      <c r="D312" s="21" t="s">
        <v>1147</v>
      </c>
      <c r="E312" s="21" t="s">
        <v>46</v>
      </c>
      <c r="F312" s="5812">
        <v>1</v>
      </c>
      <c r="G312" s="5813">
        <v>3.472222222222222E-3</v>
      </c>
      <c r="H312" s="21" t="s">
        <v>10</v>
      </c>
      <c r="I312" s="21" t="s">
        <v>96</v>
      </c>
      <c r="J312" s="21" t="s">
        <v>154</v>
      </c>
      <c r="K312" s="5814" t="s">
        <v>10876</v>
      </c>
    </row>
    <row r="313" spans="1:11">
      <c r="A313" s="21" t="s">
        <v>3495</v>
      </c>
      <c r="B313" s="21" t="s">
        <v>10877</v>
      </c>
      <c r="C313" s="21" t="s">
        <v>8</v>
      </c>
      <c r="D313" s="21" t="s">
        <v>1147</v>
      </c>
      <c r="E313" s="21" t="s">
        <v>46</v>
      </c>
      <c r="F313" s="5812">
        <v>1</v>
      </c>
      <c r="G313" s="5813">
        <v>9.7222222222222224E-3</v>
      </c>
      <c r="H313" s="21" t="s">
        <v>10</v>
      </c>
      <c r="I313" s="21" t="s">
        <v>3451</v>
      </c>
      <c r="J313" s="21" t="s">
        <v>48</v>
      </c>
      <c r="K313" s="5814" t="s">
        <v>10878</v>
      </c>
    </row>
    <row r="314" spans="1:11">
      <c r="A314" s="21" t="s">
        <v>3152</v>
      </c>
      <c r="B314" s="21" t="s">
        <v>10879</v>
      </c>
      <c r="C314" s="21" t="s">
        <v>8</v>
      </c>
      <c r="D314" s="21" t="s">
        <v>1147</v>
      </c>
      <c r="E314" s="21" t="s">
        <v>46</v>
      </c>
      <c r="F314" s="5812">
        <v>1</v>
      </c>
      <c r="G314" s="5813">
        <v>1.0416666666666666E-2</v>
      </c>
      <c r="H314" s="21" t="s">
        <v>10</v>
      </c>
      <c r="I314" s="21" t="s">
        <v>39</v>
      </c>
      <c r="J314" s="21" t="s">
        <v>48</v>
      </c>
      <c r="K314" s="5814" t="s">
        <v>10880</v>
      </c>
    </row>
    <row r="315" spans="1:11">
      <c r="A315" s="21" t="s">
        <v>3769</v>
      </c>
      <c r="B315" s="21" t="s">
        <v>10881</v>
      </c>
      <c r="C315" s="21" t="s">
        <v>8</v>
      </c>
      <c r="D315" s="21" t="s">
        <v>1147</v>
      </c>
      <c r="E315" s="21" t="s">
        <v>46</v>
      </c>
      <c r="F315" s="5812">
        <v>1</v>
      </c>
      <c r="G315" s="5813">
        <v>1.0416666666666666E-2</v>
      </c>
      <c r="H315" s="21" t="s">
        <v>10</v>
      </c>
      <c r="I315" s="21" t="s">
        <v>55</v>
      </c>
      <c r="J315" s="21" t="s">
        <v>97</v>
      </c>
      <c r="K315" s="5814" t="s">
        <v>10882</v>
      </c>
    </row>
    <row r="316" spans="1:11">
      <c r="A316" s="21" t="s">
        <v>3134</v>
      </c>
      <c r="B316" s="21" t="s">
        <v>10883</v>
      </c>
      <c r="C316" s="21" t="s">
        <v>8</v>
      </c>
      <c r="D316" s="21" t="s">
        <v>1147</v>
      </c>
      <c r="E316" s="21" t="s">
        <v>46</v>
      </c>
      <c r="F316" s="5812">
        <v>1</v>
      </c>
      <c r="G316" s="5813">
        <v>1.1111111111111112E-2</v>
      </c>
      <c r="H316" s="21" t="s">
        <v>10</v>
      </c>
      <c r="I316" s="21" t="s">
        <v>23</v>
      </c>
      <c r="J316" s="21" t="s">
        <v>48</v>
      </c>
      <c r="K316" s="5814" t="s">
        <v>10884</v>
      </c>
    </row>
    <row r="317" spans="1:11">
      <c r="A317" s="21" t="s">
        <v>2143</v>
      </c>
      <c r="B317" s="21" t="s">
        <v>10885</v>
      </c>
      <c r="C317" s="21" t="s">
        <v>22</v>
      </c>
      <c r="D317" s="21" t="s">
        <v>1147</v>
      </c>
      <c r="E317" s="21" t="s">
        <v>46</v>
      </c>
      <c r="F317" s="5812">
        <v>1</v>
      </c>
      <c r="G317" s="5813">
        <v>1.8749999999999999E-2</v>
      </c>
      <c r="H317" s="21" t="s">
        <v>10</v>
      </c>
      <c r="I317" s="21" t="s">
        <v>73</v>
      </c>
      <c r="J317" s="21" t="s">
        <v>48</v>
      </c>
      <c r="K317" s="5814" t="s">
        <v>10886</v>
      </c>
    </row>
    <row r="318" spans="1:11">
      <c r="A318" s="21" t="s">
        <v>2127</v>
      </c>
      <c r="B318" s="21" t="s">
        <v>10887</v>
      </c>
      <c r="C318" s="21" t="s">
        <v>22</v>
      </c>
      <c r="D318" s="21" t="s">
        <v>1147</v>
      </c>
      <c r="E318" s="21" t="s">
        <v>46</v>
      </c>
      <c r="F318" s="5812">
        <v>1</v>
      </c>
      <c r="G318" s="5813">
        <v>2.0833333333333332E-2</v>
      </c>
      <c r="H318" s="21" t="s">
        <v>10</v>
      </c>
      <c r="I318" s="21" t="s">
        <v>39</v>
      </c>
      <c r="J318" s="21" t="s">
        <v>48</v>
      </c>
      <c r="K318" s="5814" t="s">
        <v>10888</v>
      </c>
    </row>
    <row r="319" spans="1:11">
      <c r="A319" s="21" t="s">
        <v>2854</v>
      </c>
      <c r="B319" s="21" t="s">
        <v>10889</v>
      </c>
      <c r="C319" s="21" t="s">
        <v>22</v>
      </c>
      <c r="D319" s="21" t="s">
        <v>1147</v>
      </c>
      <c r="E319" s="21" t="s">
        <v>46</v>
      </c>
      <c r="F319" s="5812">
        <v>1</v>
      </c>
      <c r="G319" s="5813">
        <v>2.0833333333333332E-2</v>
      </c>
      <c r="H319" s="21" t="s">
        <v>10</v>
      </c>
      <c r="I319" s="21" t="s">
        <v>226</v>
      </c>
      <c r="J319" s="21" t="s">
        <v>97</v>
      </c>
      <c r="K319" s="5814" t="s">
        <v>10890</v>
      </c>
    </row>
    <row r="320" spans="1:11">
      <c r="A320" s="21" t="s">
        <v>311</v>
      </c>
      <c r="B320" s="21" t="s">
        <v>1179</v>
      </c>
      <c r="C320" s="21" t="s">
        <v>8</v>
      </c>
      <c r="D320" s="21" t="s">
        <v>1147</v>
      </c>
      <c r="E320" s="21" t="s">
        <v>46</v>
      </c>
      <c r="F320" s="5812">
        <v>1</v>
      </c>
      <c r="G320" s="5813">
        <v>2.2222222222222223E-2</v>
      </c>
      <c r="H320" s="21" t="s">
        <v>10</v>
      </c>
      <c r="I320" s="21" t="s">
        <v>55</v>
      </c>
      <c r="J320" s="21" t="s">
        <v>48</v>
      </c>
      <c r="K320" s="5814" t="s">
        <v>1180</v>
      </c>
    </row>
    <row r="321" spans="1:11">
      <c r="A321" s="21" t="s">
        <v>3029</v>
      </c>
      <c r="B321" s="21" t="s">
        <v>10891</v>
      </c>
      <c r="C321" s="21" t="s">
        <v>8</v>
      </c>
      <c r="D321" s="21" t="s">
        <v>1147</v>
      </c>
      <c r="E321" s="21" t="s">
        <v>46</v>
      </c>
      <c r="F321" s="5812">
        <v>1</v>
      </c>
      <c r="G321" s="5813">
        <v>2.6388888888888889E-2</v>
      </c>
      <c r="H321" s="21" t="s">
        <v>10</v>
      </c>
      <c r="I321" s="21" t="s">
        <v>47</v>
      </c>
      <c r="J321" s="21" t="s">
        <v>1076</v>
      </c>
      <c r="K321" s="5814" t="s">
        <v>10892</v>
      </c>
    </row>
    <row r="322" spans="1:11">
      <c r="A322" s="21" t="s">
        <v>2197</v>
      </c>
      <c r="B322" s="21" t="s">
        <v>10893</v>
      </c>
      <c r="C322" s="21" t="s">
        <v>8</v>
      </c>
      <c r="D322" s="21" t="s">
        <v>1147</v>
      </c>
      <c r="E322" s="21" t="s">
        <v>46</v>
      </c>
      <c r="F322" s="5812">
        <v>1</v>
      </c>
      <c r="G322" s="5813">
        <v>2.7083333333333334E-2</v>
      </c>
      <c r="H322" s="21" t="s">
        <v>10</v>
      </c>
      <c r="I322" s="21" t="s">
        <v>400</v>
      </c>
      <c r="J322" s="21" t="s">
        <v>406</v>
      </c>
      <c r="K322" s="5814" t="s">
        <v>10894</v>
      </c>
    </row>
    <row r="323" spans="1:11">
      <c r="A323" s="21" t="s">
        <v>3311</v>
      </c>
      <c r="B323" s="21" t="s">
        <v>10895</v>
      </c>
      <c r="C323" s="21" t="s">
        <v>8</v>
      </c>
      <c r="D323" s="21" t="s">
        <v>1147</v>
      </c>
      <c r="E323" s="21" t="s">
        <v>46</v>
      </c>
      <c r="F323" s="5812">
        <v>1</v>
      </c>
      <c r="G323" s="5813">
        <v>2.7777777777777776E-2</v>
      </c>
      <c r="H323" s="21" t="s">
        <v>54</v>
      </c>
      <c r="I323" s="21" t="s">
        <v>55</v>
      </c>
      <c r="J323" s="21" t="s">
        <v>127</v>
      </c>
      <c r="K323" s="5814" t="s">
        <v>10896</v>
      </c>
    </row>
    <row r="324" spans="1:11">
      <c r="A324" s="21" t="s">
        <v>2687</v>
      </c>
      <c r="B324" s="21" t="s">
        <v>10897</v>
      </c>
      <c r="C324" s="21" t="s">
        <v>8</v>
      </c>
      <c r="D324" s="21" t="s">
        <v>1147</v>
      </c>
      <c r="E324" s="21" t="s">
        <v>46</v>
      </c>
      <c r="F324" s="5812">
        <v>1</v>
      </c>
      <c r="G324" s="5813">
        <v>2.9861111111111113E-2</v>
      </c>
      <c r="H324" s="21" t="s">
        <v>10</v>
      </c>
      <c r="I324" s="21" t="s">
        <v>654</v>
      </c>
      <c r="J324" s="21" t="s">
        <v>97</v>
      </c>
      <c r="K324" s="5814" t="s">
        <v>10898</v>
      </c>
    </row>
    <row r="325" spans="1:11">
      <c r="A325" s="21" t="s">
        <v>5984</v>
      </c>
      <c r="B325" s="21" t="s">
        <v>10899</v>
      </c>
      <c r="C325" s="21" t="s">
        <v>8</v>
      </c>
      <c r="D325" s="21" t="s">
        <v>1147</v>
      </c>
      <c r="E325" s="21" t="s">
        <v>46</v>
      </c>
      <c r="F325" s="5812">
        <v>1</v>
      </c>
      <c r="G325" s="5813">
        <v>3.0555555555555555E-2</v>
      </c>
      <c r="H325" s="21" t="s">
        <v>10</v>
      </c>
      <c r="I325" s="21" t="s">
        <v>39</v>
      </c>
      <c r="J325" s="21" t="s">
        <v>722</v>
      </c>
      <c r="K325" s="5814" t="s">
        <v>10900</v>
      </c>
    </row>
    <row r="326" spans="1:11">
      <c r="A326" s="21" t="s">
        <v>3616</v>
      </c>
      <c r="B326" s="21" t="s">
        <v>10901</v>
      </c>
      <c r="C326" s="21" t="s">
        <v>8</v>
      </c>
      <c r="D326" s="21" t="s">
        <v>1147</v>
      </c>
      <c r="E326" s="21" t="s">
        <v>46</v>
      </c>
      <c r="F326" s="5812">
        <v>1</v>
      </c>
      <c r="G326" s="5813">
        <v>3.3333333333333333E-2</v>
      </c>
      <c r="H326" s="21" t="s">
        <v>10</v>
      </c>
      <c r="I326" s="21" t="s">
        <v>23</v>
      </c>
      <c r="J326" s="21" t="s">
        <v>127</v>
      </c>
      <c r="K326" s="5814" t="s">
        <v>10902</v>
      </c>
    </row>
    <row r="327" spans="1:11">
      <c r="A327" s="21" t="s">
        <v>2812</v>
      </c>
      <c r="B327" s="21" t="s">
        <v>10903</v>
      </c>
      <c r="C327" s="21" t="s">
        <v>22</v>
      </c>
      <c r="D327" s="21" t="s">
        <v>1147</v>
      </c>
      <c r="E327" s="21" t="s">
        <v>46</v>
      </c>
      <c r="F327" s="5812">
        <v>1</v>
      </c>
      <c r="G327" s="5813">
        <v>3.6805555555555557E-2</v>
      </c>
      <c r="H327" s="21" t="s">
        <v>10</v>
      </c>
      <c r="I327" s="21" t="s">
        <v>47</v>
      </c>
      <c r="J327" s="21" t="s">
        <v>406</v>
      </c>
      <c r="K327" s="5814" t="s">
        <v>10904</v>
      </c>
    </row>
    <row r="328" spans="1:11">
      <c r="A328" s="21" t="s">
        <v>2245</v>
      </c>
      <c r="B328" s="21" t="s">
        <v>10905</v>
      </c>
      <c r="C328" s="21" t="s">
        <v>22</v>
      </c>
      <c r="D328" s="21" t="s">
        <v>1147</v>
      </c>
      <c r="E328" s="21" t="s">
        <v>46</v>
      </c>
      <c r="F328" s="5812">
        <v>1</v>
      </c>
      <c r="G328" s="5813">
        <v>3.7499999999999999E-2</v>
      </c>
      <c r="H328" s="21" t="s">
        <v>10</v>
      </c>
      <c r="I328" s="21" t="s">
        <v>400</v>
      </c>
      <c r="J328" s="21" t="s">
        <v>48</v>
      </c>
      <c r="K328" s="5814" t="s">
        <v>10906</v>
      </c>
    </row>
    <row r="329" spans="1:11">
      <c r="A329" s="21" t="s">
        <v>2547</v>
      </c>
      <c r="B329" s="21" t="s">
        <v>10907</v>
      </c>
      <c r="C329" s="21" t="s">
        <v>22</v>
      </c>
      <c r="D329" s="21" t="s">
        <v>1147</v>
      </c>
      <c r="E329" s="21" t="s">
        <v>46</v>
      </c>
      <c r="F329" s="5812">
        <v>1</v>
      </c>
      <c r="G329" s="5813">
        <v>4.0972222222222222E-2</v>
      </c>
      <c r="H329" s="21" t="s">
        <v>10</v>
      </c>
      <c r="I329" s="21" t="s">
        <v>226</v>
      </c>
      <c r="J329" s="21" t="s">
        <v>97</v>
      </c>
      <c r="K329" s="5814" t="s">
        <v>10908</v>
      </c>
    </row>
    <row r="330" spans="1:11">
      <c r="A330" s="21" t="s">
        <v>4597</v>
      </c>
      <c r="B330" s="21" t="s">
        <v>10909</v>
      </c>
      <c r="C330" s="21" t="s">
        <v>8</v>
      </c>
      <c r="D330" s="21" t="s">
        <v>1147</v>
      </c>
      <c r="E330" s="21" t="s">
        <v>46</v>
      </c>
      <c r="F330" s="5812">
        <v>1</v>
      </c>
      <c r="G330" s="5813">
        <v>4.0972222222222222E-2</v>
      </c>
      <c r="H330" s="21" t="s">
        <v>10</v>
      </c>
      <c r="I330" s="21" t="s">
        <v>400</v>
      </c>
      <c r="J330" s="21" t="s">
        <v>722</v>
      </c>
      <c r="K330" s="5814" t="s">
        <v>10910</v>
      </c>
    </row>
    <row r="331" spans="1:11">
      <c r="A331" s="21" t="s">
        <v>2817</v>
      </c>
      <c r="B331" s="21" t="s">
        <v>10911</v>
      </c>
      <c r="C331" s="21" t="s">
        <v>8</v>
      </c>
      <c r="D331" s="21" t="s">
        <v>1147</v>
      </c>
      <c r="E331" s="21" t="s">
        <v>46</v>
      </c>
      <c r="F331" s="5812">
        <v>1</v>
      </c>
      <c r="G331" s="5813">
        <v>4.1666666666666664E-2</v>
      </c>
      <c r="H331" s="21" t="s">
        <v>10</v>
      </c>
      <c r="I331" s="21" t="s">
        <v>788</v>
      </c>
      <c r="J331" s="21" t="s">
        <v>48</v>
      </c>
      <c r="K331" s="5814" t="s">
        <v>10912</v>
      </c>
    </row>
    <row r="332" spans="1:11">
      <c r="A332" s="21" t="s">
        <v>3643</v>
      </c>
      <c r="B332" s="21" t="s">
        <v>10913</v>
      </c>
      <c r="C332" s="21" t="s">
        <v>22</v>
      </c>
      <c r="D332" s="21" t="s">
        <v>1147</v>
      </c>
      <c r="E332" s="21" t="s">
        <v>46</v>
      </c>
      <c r="F332" s="5812">
        <v>1</v>
      </c>
      <c r="G332" s="5813">
        <v>4.7222222222222221E-2</v>
      </c>
      <c r="H332" s="21" t="s">
        <v>10</v>
      </c>
      <c r="I332" s="21" t="s">
        <v>55</v>
      </c>
      <c r="J332" s="21" t="s">
        <v>48</v>
      </c>
      <c r="K332" s="5814" t="s">
        <v>10914</v>
      </c>
    </row>
    <row r="333" spans="1:11">
      <c r="A333" s="21" t="s">
        <v>3002</v>
      </c>
      <c r="B333" s="21" t="s">
        <v>10915</v>
      </c>
      <c r="C333" s="21" t="s">
        <v>8</v>
      </c>
      <c r="D333" s="21" t="s">
        <v>1147</v>
      </c>
      <c r="E333" s="21" t="s">
        <v>46</v>
      </c>
      <c r="F333" s="5812">
        <v>1</v>
      </c>
      <c r="G333" s="5813">
        <v>5.4166666666666669E-2</v>
      </c>
      <c r="H333" s="21" t="s">
        <v>10</v>
      </c>
      <c r="I333" s="21" t="s">
        <v>39</v>
      </c>
      <c r="J333" s="21" t="s">
        <v>127</v>
      </c>
      <c r="K333" s="5814" t="s">
        <v>10916</v>
      </c>
    </row>
    <row r="334" spans="1:11">
      <c r="A334" s="21" t="s">
        <v>5554</v>
      </c>
      <c r="B334" s="21" t="s">
        <v>10917</v>
      </c>
      <c r="C334" s="21" t="s">
        <v>8</v>
      </c>
      <c r="D334" s="21" t="s">
        <v>1147</v>
      </c>
      <c r="E334" s="21" t="s">
        <v>46</v>
      </c>
      <c r="F334" s="5812">
        <v>1</v>
      </c>
      <c r="G334" s="5813">
        <v>5.486111111111111E-2</v>
      </c>
      <c r="H334" s="21" t="s">
        <v>10</v>
      </c>
      <c r="I334" s="21" t="s">
        <v>11</v>
      </c>
      <c r="J334" s="21" t="s">
        <v>940</v>
      </c>
      <c r="K334" s="5814" t="s">
        <v>10918</v>
      </c>
    </row>
    <row r="335" spans="1:11">
      <c r="A335" s="21" t="s">
        <v>3541</v>
      </c>
      <c r="B335" s="21" t="s">
        <v>10830</v>
      </c>
      <c r="C335" s="21" t="s">
        <v>8</v>
      </c>
      <c r="D335" s="21" t="s">
        <v>1147</v>
      </c>
      <c r="E335" s="21" t="s">
        <v>46</v>
      </c>
      <c r="F335" s="5812">
        <v>1</v>
      </c>
      <c r="G335" s="5813">
        <v>5.486111111111111E-2</v>
      </c>
      <c r="H335" s="21" t="s">
        <v>10</v>
      </c>
      <c r="I335" s="21" t="s">
        <v>2297</v>
      </c>
      <c r="J335" s="21" t="s">
        <v>97</v>
      </c>
      <c r="K335" s="5814" t="s">
        <v>10919</v>
      </c>
    </row>
    <row r="336" spans="1:11">
      <c r="A336" s="21" t="s">
        <v>2772</v>
      </c>
      <c r="B336" s="21" t="s">
        <v>10920</v>
      </c>
      <c r="C336" s="21" t="s">
        <v>22</v>
      </c>
      <c r="D336" s="21" t="s">
        <v>1147</v>
      </c>
      <c r="E336" s="21" t="s">
        <v>46</v>
      </c>
      <c r="F336" s="5812">
        <v>1</v>
      </c>
      <c r="G336" s="5813">
        <v>5.6944444444444443E-2</v>
      </c>
      <c r="H336" s="21" t="s">
        <v>54</v>
      </c>
      <c r="I336" s="21" t="s">
        <v>2713</v>
      </c>
      <c r="J336" s="21" t="s">
        <v>97</v>
      </c>
      <c r="K336" s="5814" t="s">
        <v>10921</v>
      </c>
    </row>
    <row r="337" spans="1:11">
      <c r="A337" s="21" t="s">
        <v>3170</v>
      </c>
      <c r="B337" s="21" t="s">
        <v>10922</v>
      </c>
      <c r="C337" s="21" t="s">
        <v>8</v>
      </c>
      <c r="D337" s="21" t="s">
        <v>1147</v>
      </c>
      <c r="E337" s="21" t="s">
        <v>46</v>
      </c>
      <c r="F337" s="5812">
        <v>1</v>
      </c>
      <c r="G337" s="5813">
        <v>5.9027777777777776E-2</v>
      </c>
      <c r="H337" s="21" t="s">
        <v>10</v>
      </c>
      <c r="I337" s="21" t="s">
        <v>3822</v>
      </c>
      <c r="J337" s="21" t="s">
        <v>97</v>
      </c>
      <c r="K337" s="5814" t="s">
        <v>10923</v>
      </c>
    </row>
    <row r="338" spans="1:11">
      <c r="A338" s="21" t="s">
        <v>2156</v>
      </c>
      <c r="B338" s="21" t="s">
        <v>10924</v>
      </c>
      <c r="C338" s="21" t="s">
        <v>8</v>
      </c>
      <c r="D338" s="21" t="s">
        <v>1147</v>
      </c>
      <c r="E338" s="21" t="s">
        <v>46</v>
      </c>
      <c r="F338" s="5812">
        <v>1</v>
      </c>
      <c r="G338" s="5813">
        <v>6.25E-2</v>
      </c>
      <c r="H338" s="21" t="s">
        <v>10</v>
      </c>
      <c r="I338" s="21" t="s">
        <v>23</v>
      </c>
      <c r="J338" s="21" t="s">
        <v>97</v>
      </c>
      <c r="K338" s="5814" t="s">
        <v>10925</v>
      </c>
    </row>
    <row r="339" spans="1:11">
      <c r="A339" s="21" t="s">
        <v>3741</v>
      </c>
      <c r="B339" s="21" t="s">
        <v>10926</v>
      </c>
      <c r="C339" s="21" t="s">
        <v>8</v>
      </c>
      <c r="D339" s="21" t="s">
        <v>1147</v>
      </c>
      <c r="E339" s="21" t="s">
        <v>46</v>
      </c>
      <c r="F339" s="5812">
        <v>1</v>
      </c>
      <c r="G339" s="5813">
        <v>6.3888888888888884E-2</v>
      </c>
      <c r="H339" s="21" t="s">
        <v>10</v>
      </c>
      <c r="I339" s="21" t="s">
        <v>55</v>
      </c>
      <c r="J339" s="21" t="s">
        <v>1076</v>
      </c>
      <c r="K339" s="5814" t="s">
        <v>10927</v>
      </c>
    </row>
    <row r="340" spans="1:11">
      <c r="A340" s="21" t="s">
        <v>2100</v>
      </c>
      <c r="B340" s="21" t="s">
        <v>10928</v>
      </c>
      <c r="C340" s="21" t="s">
        <v>22</v>
      </c>
      <c r="D340" s="21" t="s">
        <v>1147</v>
      </c>
      <c r="E340" s="21" t="s">
        <v>46</v>
      </c>
      <c r="F340" s="5812">
        <v>1</v>
      </c>
      <c r="G340" s="5813">
        <v>6.458333333333334E-2</v>
      </c>
      <c r="H340" s="21" t="s">
        <v>10</v>
      </c>
      <c r="I340" s="21" t="s">
        <v>23</v>
      </c>
      <c r="J340" s="21" t="s">
        <v>2953</v>
      </c>
      <c r="K340" s="5814" t="s">
        <v>10929</v>
      </c>
    </row>
    <row r="341" spans="1:11">
      <c r="A341" s="21" t="s">
        <v>2944</v>
      </c>
      <c r="B341" s="21" t="s">
        <v>10930</v>
      </c>
      <c r="C341" s="21" t="s">
        <v>22</v>
      </c>
      <c r="D341" s="21" t="s">
        <v>1147</v>
      </c>
      <c r="E341" s="21" t="s">
        <v>46</v>
      </c>
      <c r="F341" s="5812">
        <v>1</v>
      </c>
      <c r="G341" s="5813">
        <v>6.5277777777777782E-2</v>
      </c>
      <c r="H341" s="21" t="s">
        <v>10</v>
      </c>
      <c r="I341" s="21" t="s">
        <v>55</v>
      </c>
      <c r="J341" s="21" t="s">
        <v>48</v>
      </c>
      <c r="K341" s="5814" t="s">
        <v>10931</v>
      </c>
    </row>
    <row r="342" spans="1:11">
      <c r="A342" s="21" t="s">
        <v>2668</v>
      </c>
      <c r="B342" s="21" t="s">
        <v>10932</v>
      </c>
      <c r="C342" s="21" t="s">
        <v>22</v>
      </c>
      <c r="D342" s="21" t="s">
        <v>1147</v>
      </c>
      <c r="E342" s="21" t="s">
        <v>46</v>
      </c>
      <c r="F342" s="5812">
        <v>1</v>
      </c>
      <c r="G342" s="5813">
        <v>6.7361111111111108E-2</v>
      </c>
      <c r="H342" s="21" t="s">
        <v>10</v>
      </c>
      <c r="I342" s="21" t="s">
        <v>10933</v>
      </c>
      <c r="J342" s="21" t="s">
        <v>48</v>
      </c>
      <c r="K342" s="5814" t="s">
        <v>10934</v>
      </c>
    </row>
    <row r="343" spans="1:11">
      <c r="A343" s="21" t="s">
        <v>3208</v>
      </c>
      <c r="B343" s="21" t="s">
        <v>10935</v>
      </c>
      <c r="C343" s="21" t="s">
        <v>8</v>
      </c>
      <c r="D343" s="21" t="s">
        <v>1147</v>
      </c>
      <c r="E343" s="21" t="s">
        <v>46</v>
      </c>
      <c r="F343" s="5812">
        <v>1</v>
      </c>
      <c r="G343" s="5813">
        <v>7.2222222222222215E-2</v>
      </c>
      <c r="H343" s="21" t="s">
        <v>10</v>
      </c>
      <c r="I343" s="21" t="s">
        <v>55</v>
      </c>
      <c r="J343" s="21" t="s">
        <v>10936</v>
      </c>
      <c r="K343" s="5814" t="s">
        <v>10937</v>
      </c>
    </row>
    <row r="344" spans="1:11">
      <c r="A344" s="21" t="s">
        <v>2225</v>
      </c>
      <c r="B344" s="21" t="s">
        <v>10938</v>
      </c>
      <c r="C344" s="21" t="s">
        <v>22</v>
      </c>
      <c r="D344" s="21" t="s">
        <v>1147</v>
      </c>
      <c r="E344" s="21" t="s">
        <v>46</v>
      </c>
      <c r="F344" s="5812">
        <v>1</v>
      </c>
      <c r="G344" s="5813">
        <v>7.2222222222222215E-2</v>
      </c>
      <c r="H344" s="21" t="s">
        <v>10</v>
      </c>
      <c r="I344" s="21" t="s">
        <v>263</v>
      </c>
      <c r="J344" s="21" t="s">
        <v>406</v>
      </c>
      <c r="K344" s="5814" t="s">
        <v>10939</v>
      </c>
    </row>
    <row r="345" spans="1:11">
      <c r="A345" s="21" t="s">
        <v>2831</v>
      </c>
      <c r="B345" s="21" t="s">
        <v>10940</v>
      </c>
      <c r="C345" s="21" t="s">
        <v>22</v>
      </c>
      <c r="D345" s="21" t="s">
        <v>1147</v>
      </c>
      <c r="E345" s="21" t="s">
        <v>46</v>
      </c>
      <c r="F345" s="5812">
        <v>1</v>
      </c>
      <c r="G345" s="5813">
        <v>7.3611111111111113E-2</v>
      </c>
      <c r="H345" s="21" t="s">
        <v>10</v>
      </c>
      <c r="I345" s="21" t="s">
        <v>47</v>
      </c>
      <c r="J345" s="21" t="s">
        <v>3004</v>
      </c>
      <c r="K345" s="5814" t="s">
        <v>10941</v>
      </c>
    </row>
    <row r="346" spans="1:11">
      <c r="A346" s="21" t="s">
        <v>4711</v>
      </c>
      <c r="B346" s="21" t="s">
        <v>10942</v>
      </c>
      <c r="C346" s="21" t="s">
        <v>22</v>
      </c>
      <c r="D346" s="21" t="s">
        <v>1147</v>
      </c>
      <c r="E346" s="21" t="s">
        <v>46</v>
      </c>
      <c r="F346" s="5812">
        <v>1</v>
      </c>
      <c r="G346" s="5813">
        <v>7.4305555555555555E-2</v>
      </c>
      <c r="H346" s="21" t="s">
        <v>10</v>
      </c>
      <c r="I346" s="21" t="s">
        <v>194</v>
      </c>
      <c r="J346" s="21" t="s">
        <v>154</v>
      </c>
      <c r="K346" s="5814" t="s">
        <v>10943</v>
      </c>
    </row>
    <row r="347" spans="1:11">
      <c r="A347" s="21" t="s">
        <v>2915</v>
      </c>
      <c r="B347" s="21" t="s">
        <v>10944</v>
      </c>
      <c r="C347" s="21" t="s">
        <v>22</v>
      </c>
      <c r="D347" s="21" t="s">
        <v>1147</v>
      </c>
      <c r="E347" s="21" t="s">
        <v>46</v>
      </c>
      <c r="F347" s="5812">
        <v>1</v>
      </c>
      <c r="G347" s="5813">
        <v>8.0555555555555561E-2</v>
      </c>
      <c r="H347" s="21" t="s">
        <v>10</v>
      </c>
      <c r="I347" s="21" t="s">
        <v>226</v>
      </c>
      <c r="J347" s="21" t="s">
        <v>1321</v>
      </c>
      <c r="K347" s="5814" t="s">
        <v>10945</v>
      </c>
    </row>
    <row r="348" spans="1:11">
      <c r="A348" s="21" t="s">
        <v>5235</v>
      </c>
      <c r="B348" s="21" t="s">
        <v>10946</v>
      </c>
      <c r="C348" s="21" t="s">
        <v>8</v>
      </c>
      <c r="D348" s="21" t="s">
        <v>1147</v>
      </c>
      <c r="E348" s="21" t="s">
        <v>46</v>
      </c>
      <c r="F348" s="5812">
        <v>1</v>
      </c>
      <c r="G348" s="5813">
        <v>8.4027777777777785E-2</v>
      </c>
      <c r="H348" s="21" t="s">
        <v>10</v>
      </c>
      <c r="I348" s="21" t="s">
        <v>2269</v>
      </c>
      <c r="J348" s="21" t="s">
        <v>3004</v>
      </c>
      <c r="K348" s="5814" t="s">
        <v>10947</v>
      </c>
    </row>
    <row r="349" spans="1:11">
      <c r="A349" s="21" t="s">
        <v>94</v>
      </c>
      <c r="B349" s="21" t="s">
        <v>1212</v>
      </c>
      <c r="C349" s="21" t="s">
        <v>22</v>
      </c>
      <c r="D349" s="21" t="s">
        <v>1147</v>
      </c>
      <c r="E349" s="21" t="s">
        <v>46</v>
      </c>
      <c r="F349" s="5812">
        <v>1</v>
      </c>
      <c r="G349" s="5813">
        <v>8.9583333333333334E-2</v>
      </c>
      <c r="H349" s="21" t="s">
        <v>10</v>
      </c>
      <c r="I349" s="21" t="s">
        <v>55</v>
      </c>
      <c r="J349" s="21" t="s">
        <v>48</v>
      </c>
      <c r="K349" s="5814" t="s">
        <v>1213</v>
      </c>
    </row>
    <row r="350" spans="1:11">
      <c r="A350" s="21" t="s">
        <v>2772</v>
      </c>
      <c r="B350" s="21" t="s">
        <v>10948</v>
      </c>
      <c r="C350" s="21" t="s">
        <v>22</v>
      </c>
      <c r="D350" s="21" t="s">
        <v>1147</v>
      </c>
      <c r="E350" s="21" t="s">
        <v>46</v>
      </c>
      <c r="F350" s="5812">
        <v>1</v>
      </c>
      <c r="G350" s="5813">
        <v>9.0277777777777776E-2</v>
      </c>
      <c r="H350" s="21" t="s">
        <v>10</v>
      </c>
      <c r="I350" s="21" t="s">
        <v>47</v>
      </c>
      <c r="J350" s="21" t="s">
        <v>774</v>
      </c>
      <c r="K350" s="5814" t="s">
        <v>10949</v>
      </c>
    </row>
    <row r="351" spans="1:11">
      <c r="A351" s="21" t="s">
        <v>2729</v>
      </c>
      <c r="B351" s="21" t="s">
        <v>10950</v>
      </c>
      <c r="C351" s="21" t="s">
        <v>8</v>
      </c>
      <c r="D351" s="21" t="s">
        <v>1147</v>
      </c>
      <c r="E351" s="21" t="s">
        <v>46</v>
      </c>
      <c r="F351" s="5812">
        <v>1</v>
      </c>
      <c r="G351" s="5813">
        <v>9.166666666666666E-2</v>
      </c>
      <c r="H351" s="21" t="s">
        <v>10</v>
      </c>
      <c r="I351" s="21" t="s">
        <v>2713</v>
      </c>
      <c r="J351" s="21" t="s">
        <v>48</v>
      </c>
      <c r="K351" s="5814" t="s">
        <v>10951</v>
      </c>
    </row>
    <row r="352" spans="1:11">
      <c r="A352" s="21" t="s">
        <v>4768</v>
      </c>
      <c r="B352" s="21" t="s">
        <v>10952</v>
      </c>
      <c r="C352" s="21" t="s">
        <v>22</v>
      </c>
      <c r="D352" s="21" t="s">
        <v>1147</v>
      </c>
      <c r="E352" s="21" t="s">
        <v>46</v>
      </c>
      <c r="F352" s="5812">
        <v>1</v>
      </c>
      <c r="G352" s="5813">
        <v>9.375E-2</v>
      </c>
      <c r="H352" s="21" t="s">
        <v>10</v>
      </c>
      <c r="I352" s="21" t="s">
        <v>3534</v>
      </c>
      <c r="J352" s="21" t="s">
        <v>3168</v>
      </c>
      <c r="K352" s="5814" t="s">
        <v>10953</v>
      </c>
    </row>
    <row r="353" spans="1:11">
      <c r="A353" s="21" t="s">
        <v>2969</v>
      </c>
      <c r="B353" s="21" t="s">
        <v>10954</v>
      </c>
      <c r="C353" s="21" t="s">
        <v>22</v>
      </c>
      <c r="D353" s="21" t="s">
        <v>1147</v>
      </c>
      <c r="E353" s="21" t="s">
        <v>46</v>
      </c>
      <c r="F353" s="5812">
        <v>1</v>
      </c>
      <c r="G353" s="5813">
        <v>9.7222222222222224E-2</v>
      </c>
      <c r="H353" s="21" t="s">
        <v>10</v>
      </c>
      <c r="I353" s="21" t="s">
        <v>11</v>
      </c>
      <c r="J353" s="21" t="s">
        <v>48</v>
      </c>
      <c r="K353" s="5814" t="s">
        <v>10955</v>
      </c>
    </row>
    <row r="354" spans="1:11">
      <c r="A354" s="21" t="s">
        <v>4565</v>
      </c>
      <c r="B354" s="21" t="s">
        <v>10956</v>
      </c>
      <c r="C354" s="21" t="s">
        <v>22</v>
      </c>
      <c r="D354" s="21" t="s">
        <v>1147</v>
      </c>
      <c r="E354" s="21" t="s">
        <v>46</v>
      </c>
      <c r="F354" s="5812">
        <v>1</v>
      </c>
      <c r="G354" s="5813">
        <v>9.7222222222222224E-2</v>
      </c>
      <c r="H354" s="21" t="s">
        <v>10</v>
      </c>
      <c r="I354" s="21" t="s">
        <v>2860</v>
      </c>
      <c r="J354" s="21" t="s">
        <v>48</v>
      </c>
      <c r="K354" s="5814" t="s">
        <v>10957</v>
      </c>
    </row>
    <row r="355" spans="1:11">
      <c r="A355" s="21" t="s">
        <v>2291</v>
      </c>
      <c r="B355" s="21" t="s">
        <v>10958</v>
      </c>
      <c r="C355" s="21" t="s">
        <v>8</v>
      </c>
      <c r="D355" s="21" t="s">
        <v>1147</v>
      </c>
      <c r="E355" s="21" t="s">
        <v>46</v>
      </c>
      <c r="F355" s="5812">
        <v>1</v>
      </c>
      <c r="G355" s="5813">
        <v>0.1</v>
      </c>
      <c r="H355" s="21" t="s">
        <v>10</v>
      </c>
      <c r="I355" s="21" t="s">
        <v>23</v>
      </c>
      <c r="J355" s="21" t="s">
        <v>1076</v>
      </c>
      <c r="K355" s="5814" t="s">
        <v>10959</v>
      </c>
    </row>
    <row r="356" spans="1:11">
      <c r="A356" s="21" t="s">
        <v>3089</v>
      </c>
      <c r="B356" s="21" t="s">
        <v>10960</v>
      </c>
      <c r="C356" s="21" t="s">
        <v>22</v>
      </c>
      <c r="D356" s="21" t="s">
        <v>1147</v>
      </c>
      <c r="E356" s="21" t="s">
        <v>46</v>
      </c>
      <c r="F356" s="5812">
        <v>1</v>
      </c>
      <c r="G356" s="5813">
        <v>0.10138888888888889</v>
      </c>
      <c r="H356" s="21" t="s">
        <v>10</v>
      </c>
      <c r="I356" s="21" t="s">
        <v>2317</v>
      </c>
      <c r="J356" s="21" t="s">
        <v>406</v>
      </c>
      <c r="K356" s="5814" t="s">
        <v>10961</v>
      </c>
    </row>
    <row r="357" spans="1:11">
      <c r="A357" s="21" t="s">
        <v>2420</v>
      </c>
      <c r="B357" s="21" t="s">
        <v>10962</v>
      </c>
      <c r="C357" s="21" t="s">
        <v>8</v>
      </c>
      <c r="D357" s="21" t="s">
        <v>1147</v>
      </c>
      <c r="E357" s="21" t="s">
        <v>46</v>
      </c>
      <c r="F357" s="5812">
        <v>1</v>
      </c>
      <c r="G357" s="5813">
        <v>0.10555555555555556</v>
      </c>
      <c r="H357" s="21" t="s">
        <v>10</v>
      </c>
      <c r="I357" s="21" t="s">
        <v>3534</v>
      </c>
      <c r="J357" s="21" t="s">
        <v>518</v>
      </c>
      <c r="K357" s="5814" t="s">
        <v>10963</v>
      </c>
    </row>
    <row r="358" spans="1:11">
      <c r="A358" s="21" t="s">
        <v>2065</v>
      </c>
      <c r="B358" s="21" t="s">
        <v>10964</v>
      </c>
      <c r="C358" s="21" t="s">
        <v>22</v>
      </c>
      <c r="D358" s="21" t="s">
        <v>1147</v>
      </c>
      <c r="E358" s="21" t="s">
        <v>46</v>
      </c>
      <c r="F358" s="5812">
        <v>1</v>
      </c>
      <c r="G358" s="5813">
        <v>0.10694444444444444</v>
      </c>
      <c r="H358" s="21" t="s">
        <v>10</v>
      </c>
      <c r="I358" s="21" t="s">
        <v>233</v>
      </c>
      <c r="J358" s="21" t="s">
        <v>48</v>
      </c>
      <c r="K358" s="5814" t="s">
        <v>10965</v>
      </c>
    </row>
    <row r="359" spans="1:11">
      <c r="A359" s="21" t="s">
        <v>2205</v>
      </c>
      <c r="B359" s="21" t="s">
        <v>10966</v>
      </c>
      <c r="C359" s="21" t="s">
        <v>22</v>
      </c>
      <c r="D359" s="21" t="s">
        <v>1147</v>
      </c>
      <c r="E359" s="21" t="s">
        <v>46</v>
      </c>
      <c r="F359" s="5812">
        <v>1</v>
      </c>
      <c r="G359" s="5813">
        <v>0.10694444444444444</v>
      </c>
      <c r="H359" s="21" t="s">
        <v>10</v>
      </c>
      <c r="I359" s="21" t="s">
        <v>55</v>
      </c>
      <c r="J359" s="21" t="s">
        <v>4586</v>
      </c>
      <c r="K359" s="5814" t="s">
        <v>10967</v>
      </c>
    </row>
    <row r="360" spans="1:11">
      <c r="A360" s="21" t="s">
        <v>2428</v>
      </c>
      <c r="B360" s="21" t="s">
        <v>10968</v>
      </c>
      <c r="C360" s="21" t="s">
        <v>8</v>
      </c>
      <c r="D360" s="21" t="s">
        <v>1147</v>
      </c>
      <c r="E360" s="21" t="s">
        <v>46</v>
      </c>
      <c r="F360" s="5812">
        <v>1</v>
      </c>
      <c r="G360" s="5813">
        <v>0.1076388888888889</v>
      </c>
      <c r="H360" s="21" t="s">
        <v>10</v>
      </c>
      <c r="I360" s="21" t="s">
        <v>47</v>
      </c>
      <c r="J360" s="21" t="s">
        <v>48</v>
      </c>
      <c r="K360" s="5814" t="s">
        <v>10969</v>
      </c>
    </row>
    <row r="361" spans="1:11">
      <c r="A361" s="21" t="s">
        <v>3412</v>
      </c>
      <c r="B361" s="21" t="s">
        <v>10970</v>
      </c>
      <c r="C361" s="21" t="s">
        <v>8</v>
      </c>
      <c r="D361" s="21" t="s">
        <v>1147</v>
      </c>
      <c r="E361" s="21" t="s">
        <v>46</v>
      </c>
      <c r="F361" s="5812">
        <v>1</v>
      </c>
      <c r="G361" s="5813">
        <v>0.1076388888888889</v>
      </c>
      <c r="H361" s="21" t="s">
        <v>10</v>
      </c>
      <c r="I361" s="21" t="s">
        <v>55</v>
      </c>
      <c r="J361" s="21" t="s">
        <v>3004</v>
      </c>
      <c r="K361" s="5814" t="s">
        <v>10971</v>
      </c>
    </row>
    <row r="362" spans="1:11">
      <c r="A362" s="21" t="s">
        <v>2471</v>
      </c>
      <c r="B362" s="21" t="s">
        <v>10972</v>
      </c>
      <c r="C362" s="21" t="s">
        <v>22</v>
      </c>
      <c r="D362" s="21" t="s">
        <v>1147</v>
      </c>
      <c r="E362" s="21" t="s">
        <v>46</v>
      </c>
      <c r="F362" s="5812">
        <v>1</v>
      </c>
      <c r="G362" s="5813">
        <v>0.10972222222222222</v>
      </c>
      <c r="H362" s="21" t="s">
        <v>10</v>
      </c>
      <c r="I362" s="21" t="s">
        <v>39</v>
      </c>
      <c r="J362" s="21" t="s">
        <v>127</v>
      </c>
      <c r="K362" s="5814" t="s">
        <v>10973</v>
      </c>
    </row>
    <row r="363" spans="1:11">
      <c r="A363" s="21" t="s">
        <v>2886</v>
      </c>
      <c r="B363" s="21" t="s">
        <v>10974</v>
      </c>
      <c r="C363" s="21" t="s">
        <v>22</v>
      </c>
      <c r="D363" s="21" t="s">
        <v>1147</v>
      </c>
      <c r="E363" s="21" t="s">
        <v>46</v>
      </c>
      <c r="F363" s="5812">
        <v>1</v>
      </c>
      <c r="G363" s="5813">
        <v>0.11319444444444444</v>
      </c>
      <c r="H363" s="21" t="s">
        <v>10</v>
      </c>
      <c r="I363" s="21" t="s">
        <v>2923</v>
      </c>
      <c r="J363" s="21" t="s">
        <v>48</v>
      </c>
      <c r="K363" s="5814" t="s">
        <v>10975</v>
      </c>
    </row>
    <row r="364" spans="1:11">
      <c r="A364" s="21" t="s">
        <v>4379</v>
      </c>
      <c r="B364" s="21" t="s">
        <v>10976</v>
      </c>
      <c r="C364" s="21" t="s">
        <v>8</v>
      </c>
      <c r="D364" s="21" t="s">
        <v>1147</v>
      </c>
      <c r="E364" s="21" t="s">
        <v>46</v>
      </c>
      <c r="F364" s="5812">
        <v>1</v>
      </c>
      <c r="G364" s="5813">
        <v>0.11527777777777778</v>
      </c>
      <c r="H364" s="21" t="s">
        <v>10</v>
      </c>
      <c r="I364" s="21" t="s">
        <v>23</v>
      </c>
      <c r="J364" s="21" t="s">
        <v>417</v>
      </c>
      <c r="K364" s="5814" t="s">
        <v>10977</v>
      </c>
    </row>
    <row r="365" spans="1:11">
      <c r="A365" s="21" t="s">
        <v>5554</v>
      </c>
      <c r="B365" s="21" t="s">
        <v>10978</v>
      </c>
      <c r="C365" s="21" t="s">
        <v>8</v>
      </c>
      <c r="D365" s="21" t="s">
        <v>1147</v>
      </c>
      <c r="E365" s="21" t="s">
        <v>46</v>
      </c>
      <c r="F365" s="5812">
        <v>1</v>
      </c>
      <c r="G365" s="5813">
        <v>0.11666666666666667</v>
      </c>
      <c r="H365" s="21" t="s">
        <v>10</v>
      </c>
      <c r="I365" s="21" t="s">
        <v>226</v>
      </c>
      <c r="J365" s="21" t="s">
        <v>48</v>
      </c>
      <c r="K365" s="5814" t="s">
        <v>10979</v>
      </c>
    </row>
    <row r="366" spans="1:11">
      <c r="A366" s="21" t="s">
        <v>4434</v>
      </c>
      <c r="B366" s="21" t="s">
        <v>10980</v>
      </c>
      <c r="C366" s="21" t="s">
        <v>22</v>
      </c>
      <c r="D366" s="21" t="s">
        <v>1147</v>
      </c>
      <c r="E366" s="21" t="s">
        <v>46</v>
      </c>
      <c r="F366" s="5812">
        <v>1</v>
      </c>
      <c r="G366" s="5813">
        <v>0.12152777777777778</v>
      </c>
      <c r="H366" s="21" t="s">
        <v>10</v>
      </c>
      <c r="I366" s="21" t="s">
        <v>2181</v>
      </c>
      <c r="J366" s="21" t="s">
        <v>97</v>
      </c>
      <c r="K366" s="5814" t="s">
        <v>10981</v>
      </c>
    </row>
    <row r="367" spans="1:11">
      <c r="A367" s="21" t="s">
        <v>3495</v>
      </c>
      <c r="B367" s="21" t="s">
        <v>10982</v>
      </c>
      <c r="C367" s="21" t="s">
        <v>22</v>
      </c>
      <c r="D367" s="21" t="s">
        <v>1147</v>
      </c>
      <c r="E367" s="21" t="s">
        <v>46</v>
      </c>
      <c r="F367" s="5812">
        <v>1</v>
      </c>
      <c r="G367" s="5813">
        <v>0.12291666666666666</v>
      </c>
      <c r="H367" s="21" t="s">
        <v>10</v>
      </c>
      <c r="I367" s="21" t="s">
        <v>226</v>
      </c>
      <c r="J367" s="21" t="s">
        <v>722</v>
      </c>
      <c r="K367" s="5814" t="s">
        <v>10983</v>
      </c>
    </row>
    <row r="368" spans="1:11">
      <c r="A368" s="21" t="s">
        <v>3769</v>
      </c>
      <c r="B368" s="21" t="s">
        <v>10984</v>
      </c>
      <c r="C368" s="21" t="s">
        <v>8</v>
      </c>
      <c r="D368" s="21" t="s">
        <v>1147</v>
      </c>
      <c r="E368" s="21" t="s">
        <v>46</v>
      </c>
      <c r="F368" s="5812">
        <v>1</v>
      </c>
      <c r="G368" s="5813">
        <v>0.12291666666666666</v>
      </c>
      <c r="H368" s="21" t="s">
        <v>10</v>
      </c>
      <c r="I368" s="21" t="s">
        <v>55</v>
      </c>
      <c r="J368" s="21" t="s">
        <v>97</v>
      </c>
      <c r="K368" s="5814" t="s">
        <v>10985</v>
      </c>
    </row>
    <row r="369" spans="1:11">
      <c r="A369" s="21" t="s">
        <v>2454</v>
      </c>
      <c r="B369" s="21" t="s">
        <v>10986</v>
      </c>
      <c r="C369" s="21" t="s">
        <v>8</v>
      </c>
      <c r="D369" s="21" t="s">
        <v>1147</v>
      </c>
      <c r="E369" s="21" t="s">
        <v>46</v>
      </c>
      <c r="F369" s="5812">
        <v>1</v>
      </c>
      <c r="G369" s="5813">
        <v>0.12430555555555556</v>
      </c>
      <c r="H369" s="21" t="s">
        <v>10</v>
      </c>
      <c r="I369" s="21" t="s">
        <v>615</v>
      </c>
      <c r="J369" s="21" t="s">
        <v>48</v>
      </c>
      <c r="K369" s="5814" t="s">
        <v>10987</v>
      </c>
    </row>
    <row r="370" spans="1:11">
      <c r="A370" s="21" t="s">
        <v>2538</v>
      </c>
      <c r="B370" s="21" t="s">
        <v>10988</v>
      </c>
      <c r="C370" s="21" t="s">
        <v>8</v>
      </c>
      <c r="D370" s="21" t="s">
        <v>1147</v>
      </c>
      <c r="E370" s="21" t="s">
        <v>46</v>
      </c>
      <c r="F370" s="5812">
        <v>1</v>
      </c>
      <c r="G370" s="5813">
        <v>0.13125000000000001</v>
      </c>
      <c r="H370" s="21" t="s">
        <v>10</v>
      </c>
      <c r="I370" s="21" t="s">
        <v>2814</v>
      </c>
      <c r="J370" s="21" t="s">
        <v>430</v>
      </c>
      <c r="K370" s="5814" t="s">
        <v>10989</v>
      </c>
    </row>
    <row r="371" spans="1:11">
      <c r="A371" s="21" t="s">
        <v>2267</v>
      </c>
      <c r="B371" s="21" t="s">
        <v>10990</v>
      </c>
      <c r="C371" s="21" t="s">
        <v>8</v>
      </c>
      <c r="D371" s="21" t="s">
        <v>1147</v>
      </c>
      <c r="E371" s="21" t="s">
        <v>46</v>
      </c>
      <c r="F371" s="5812">
        <v>1</v>
      </c>
      <c r="G371" s="5813">
        <v>0.13263888888888889</v>
      </c>
      <c r="H371" s="21" t="s">
        <v>10</v>
      </c>
      <c r="I371" s="21" t="s">
        <v>2713</v>
      </c>
      <c r="J371" s="21" t="s">
        <v>9732</v>
      </c>
      <c r="K371" s="5814" t="s">
        <v>10991</v>
      </c>
    </row>
    <row r="372" spans="1:11">
      <c r="A372" s="21" t="s">
        <v>2263</v>
      </c>
      <c r="B372" s="21" t="s">
        <v>10992</v>
      </c>
      <c r="C372" s="21" t="s">
        <v>8</v>
      </c>
      <c r="D372" s="21" t="s">
        <v>1147</v>
      </c>
      <c r="E372" s="21" t="s">
        <v>46</v>
      </c>
      <c r="F372" s="5812">
        <v>1</v>
      </c>
      <c r="G372" s="5813">
        <v>0.13333333333333333</v>
      </c>
      <c r="H372" s="21" t="s">
        <v>10</v>
      </c>
      <c r="I372" s="21" t="s">
        <v>23</v>
      </c>
      <c r="J372" s="21" t="s">
        <v>258</v>
      </c>
      <c r="K372" s="5814" t="s">
        <v>10993</v>
      </c>
    </row>
    <row r="373" spans="1:11">
      <c r="A373" s="21" t="s">
        <v>311</v>
      </c>
      <c r="B373" s="21" t="s">
        <v>1259</v>
      </c>
      <c r="C373" s="21" t="s">
        <v>8</v>
      </c>
      <c r="D373" s="21" t="s">
        <v>1147</v>
      </c>
      <c r="E373" s="21" t="s">
        <v>46</v>
      </c>
      <c r="F373" s="5812">
        <v>1</v>
      </c>
      <c r="G373" s="5813">
        <v>0.13680555555555557</v>
      </c>
      <c r="H373" s="21" t="s">
        <v>10</v>
      </c>
      <c r="I373" s="21" t="s">
        <v>73</v>
      </c>
      <c r="J373" s="21" t="s">
        <v>48</v>
      </c>
      <c r="K373" s="5814" t="s">
        <v>1260</v>
      </c>
    </row>
    <row r="374" spans="1:11">
      <c r="A374" s="21" t="s">
        <v>2092</v>
      </c>
      <c r="B374" s="21" t="s">
        <v>10994</v>
      </c>
      <c r="C374" s="21" t="s">
        <v>8</v>
      </c>
      <c r="D374" s="21" t="s">
        <v>1147</v>
      </c>
      <c r="E374" s="21" t="s">
        <v>46</v>
      </c>
      <c r="F374" s="5812">
        <v>1</v>
      </c>
      <c r="G374" s="5813">
        <v>0.14166666666666666</v>
      </c>
      <c r="H374" s="21" t="s">
        <v>10</v>
      </c>
      <c r="I374" s="21" t="s">
        <v>39</v>
      </c>
      <c r="J374" s="21" t="s">
        <v>97</v>
      </c>
      <c r="K374" s="5814" t="s">
        <v>10995</v>
      </c>
    </row>
    <row r="375" spans="1:11">
      <c r="A375" s="21" t="s">
        <v>2780</v>
      </c>
      <c r="B375" s="21" t="s">
        <v>10996</v>
      </c>
      <c r="C375" s="21" t="s">
        <v>8</v>
      </c>
      <c r="D375" s="21" t="s">
        <v>1147</v>
      </c>
      <c r="E375" s="21" t="s">
        <v>46</v>
      </c>
      <c r="F375" s="5812">
        <v>1</v>
      </c>
      <c r="G375" s="5813">
        <v>0.14583333333333334</v>
      </c>
      <c r="H375" s="21" t="s">
        <v>10</v>
      </c>
      <c r="I375" s="21" t="s">
        <v>226</v>
      </c>
      <c r="J375" s="21" t="s">
        <v>48</v>
      </c>
      <c r="K375" s="5814" t="s">
        <v>10997</v>
      </c>
    </row>
    <row r="376" spans="1:11">
      <c r="A376" s="21" t="s">
        <v>4409</v>
      </c>
      <c r="B376" s="21" t="s">
        <v>10998</v>
      </c>
      <c r="C376" s="21" t="s">
        <v>22</v>
      </c>
      <c r="D376" s="21" t="s">
        <v>1147</v>
      </c>
      <c r="E376" s="21" t="s">
        <v>46</v>
      </c>
      <c r="F376" s="5812">
        <v>1</v>
      </c>
      <c r="G376" s="5813">
        <v>0.14652777777777778</v>
      </c>
      <c r="H376" s="21" t="s">
        <v>54</v>
      </c>
      <c r="I376" s="21" t="s">
        <v>2297</v>
      </c>
      <c r="J376" s="21" t="s">
        <v>406</v>
      </c>
      <c r="K376" s="5814" t="s">
        <v>10999</v>
      </c>
    </row>
    <row r="377" spans="1:11">
      <c r="A377" s="21" t="s">
        <v>3323</v>
      </c>
      <c r="B377" s="21" t="s">
        <v>11000</v>
      </c>
      <c r="C377" s="21" t="s">
        <v>8</v>
      </c>
      <c r="D377" s="21" t="s">
        <v>1147</v>
      </c>
      <c r="E377" s="21" t="s">
        <v>46</v>
      </c>
      <c r="F377" s="5812">
        <v>1</v>
      </c>
      <c r="G377" s="5813">
        <v>0.14861111111111111</v>
      </c>
      <c r="H377" s="21" t="s">
        <v>10</v>
      </c>
      <c r="I377" s="21" t="s">
        <v>4254</v>
      </c>
      <c r="J377" s="21" t="s">
        <v>3080</v>
      </c>
      <c r="K377" s="5814" t="s">
        <v>11001</v>
      </c>
    </row>
    <row r="378" spans="1:11">
      <c r="A378" s="21" t="s">
        <v>2800</v>
      </c>
      <c r="B378" s="21" t="s">
        <v>11002</v>
      </c>
      <c r="C378" s="21" t="s">
        <v>22</v>
      </c>
      <c r="D378" s="21" t="s">
        <v>1147</v>
      </c>
      <c r="E378" s="21" t="s">
        <v>46</v>
      </c>
      <c r="F378" s="5812">
        <v>1</v>
      </c>
      <c r="G378" s="5813">
        <v>0.14861111111111111</v>
      </c>
      <c r="H378" s="21" t="s">
        <v>10</v>
      </c>
      <c r="I378" s="21" t="s">
        <v>226</v>
      </c>
      <c r="J378" s="21" t="s">
        <v>48</v>
      </c>
      <c r="K378" s="5814" t="s">
        <v>11003</v>
      </c>
    </row>
    <row r="379" spans="1:11">
      <c r="A379" s="21" t="s">
        <v>2932</v>
      </c>
      <c r="B379" s="21" t="s">
        <v>11004</v>
      </c>
      <c r="C379" s="21" t="s">
        <v>22</v>
      </c>
      <c r="D379" s="21" t="s">
        <v>1147</v>
      </c>
      <c r="E379" s="21" t="s">
        <v>46</v>
      </c>
      <c r="F379" s="5812">
        <v>1</v>
      </c>
      <c r="G379" s="5813">
        <v>0.15138888888888888</v>
      </c>
      <c r="H379" s="21" t="s">
        <v>10</v>
      </c>
      <c r="I379" s="21" t="s">
        <v>2297</v>
      </c>
      <c r="J379" s="21" t="s">
        <v>48</v>
      </c>
      <c r="K379" s="5814" t="s">
        <v>11005</v>
      </c>
    </row>
    <row r="380" spans="1:11">
      <c r="A380" s="21" t="s">
        <v>3217</v>
      </c>
      <c r="B380" s="21" t="s">
        <v>11006</v>
      </c>
      <c r="C380" s="21" t="s">
        <v>8</v>
      </c>
      <c r="D380" s="21" t="s">
        <v>1147</v>
      </c>
      <c r="E380" s="21" t="s">
        <v>46</v>
      </c>
      <c r="F380" s="5812">
        <v>1</v>
      </c>
      <c r="G380" s="5813">
        <v>0.15277777777777779</v>
      </c>
      <c r="H380" s="21" t="s">
        <v>10</v>
      </c>
      <c r="I380" s="21" t="s">
        <v>788</v>
      </c>
      <c r="J380" s="21" t="s">
        <v>3094</v>
      </c>
      <c r="K380" s="5814" t="s">
        <v>11007</v>
      </c>
    </row>
    <row r="381" spans="1:11">
      <c r="A381" s="21" t="s">
        <v>2433</v>
      </c>
      <c r="B381" s="21" t="s">
        <v>11008</v>
      </c>
      <c r="C381" s="21" t="s">
        <v>22</v>
      </c>
      <c r="D381" s="21" t="s">
        <v>1147</v>
      </c>
      <c r="E381" s="21" t="s">
        <v>46</v>
      </c>
      <c r="F381" s="5812">
        <v>1</v>
      </c>
      <c r="G381" s="5813">
        <v>0.15347222222222223</v>
      </c>
      <c r="H381" s="21" t="s">
        <v>10</v>
      </c>
      <c r="I381" s="21" t="s">
        <v>2435</v>
      </c>
      <c r="J381" s="21" t="s">
        <v>48</v>
      </c>
      <c r="K381" s="5814" t="s">
        <v>11009</v>
      </c>
    </row>
    <row r="382" spans="1:11">
      <c r="A382" s="21" t="s">
        <v>2216</v>
      </c>
      <c r="B382" s="21" t="s">
        <v>11010</v>
      </c>
      <c r="C382" s="21" t="s">
        <v>8</v>
      </c>
      <c r="D382" s="21" t="s">
        <v>1147</v>
      </c>
      <c r="E382" s="21" t="s">
        <v>46</v>
      </c>
      <c r="F382" s="5812">
        <v>1</v>
      </c>
      <c r="G382" s="5813">
        <v>0.15555555555555556</v>
      </c>
      <c r="H382" s="21" t="s">
        <v>10</v>
      </c>
      <c r="I382" s="21" t="s">
        <v>226</v>
      </c>
      <c r="J382" s="21" t="s">
        <v>4652</v>
      </c>
      <c r="K382" s="5814" t="s">
        <v>11011</v>
      </c>
    </row>
    <row r="383" spans="1:11">
      <c r="A383" s="21" t="s">
        <v>2491</v>
      </c>
      <c r="B383" s="21" t="s">
        <v>11012</v>
      </c>
      <c r="C383" s="21" t="s">
        <v>8</v>
      </c>
      <c r="D383" s="21" t="s">
        <v>1147</v>
      </c>
      <c r="E383" s="21" t="s">
        <v>46</v>
      </c>
      <c r="F383" s="5812">
        <v>1</v>
      </c>
      <c r="G383" s="5813">
        <v>0.15763888888888888</v>
      </c>
      <c r="H383" s="21" t="s">
        <v>10</v>
      </c>
      <c r="I383" s="21" t="s">
        <v>89</v>
      </c>
      <c r="J383" s="21" t="s">
        <v>127</v>
      </c>
      <c r="K383" s="5814" t="s">
        <v>11013</v>
      </c>
    </row>
    <row r="384" spans="1:11">
      <c r="A384" s="21" t="s">
        <v>3125</v>
      </c>
      <c r="B384" s="21" t="s">
        <v>11014</v>
      </c>
      <c r="C384" s="21" t="s">
        <v>22</v>
      </c>
      <c r="D384" s="21" t="s">
        <v>1147</v>
      </c>
      <c r="E384" s="21" t="s">
        <v>46</v>
      </c>
      <c r="F384" s="5812">
        <v>1</v>
      </c>
      <c r="G384" s="5813">
        <v>0.15763888888888888</v>
      </c>
      <c r="H384" s="21" t="s">
        <v>10</v>
      </c>
      <c r="I384" s="21" t="s">
        <v>4146</v>
      </c>
      <c r="J384" s="21" t="s">
        <v>48</v>
      </c>
      <c r="K384" s="5814" t="s">
        <v>11015</v>
      </c>
    </row>
    <row r="385" spans="1:11">
      <c r="A385" s="21" t="s">
        <v>4711</v>
      </c>
      <c r="B385" s="21" t="s">
        <v>11016</v>
      </c>
      <c r="C385" s="21" t="s">
        <v>8</v>
      </c>
      <c r="D385" s="21" t="s">
        <v>1147</v>
      </c>
      <c r="E385" s="21" t="s">
        <v>46</v>
      </c>
      <c r="F385" s="5812">
        <v>1</v>
      </c>
      <c r="G385" s="5813">
        <v>0.16111111111111112</v>
      </c>
      <c r="H385" s="21" t="s">
        <v>10</v>
      </c>
      <c r="I385" s="21" t="s">
        <v>226</v>
      </c>
      <c r="J385" s="21" t="s">
        <v>48</v>
      </c>
      <c r="K385" s="5814" t="s">
        <v>11017</v>
      </c>
    </row>
    <row r="386" spans="1:11">
      <c r="A386" s="21" t="s">
        <v>5148</v>
      </c>
      <c r="B386" s="21" t="s">
        <v>11018</v>
      </c>
      <c r="C386" s="21" t="s">
        <v>8</v>
      </c>
      <c r="D386" s="21" t="s">
        <v>1147</v>
      </c>
      <c r="E386" s="21" t="s">
        <v>46</v>
      </c>
      <c r="F386" s="5812">
        <v>1</v>
      </c>
      <c r="G386" s="5813">
        <v>0.16111111111111112</v>
      </c>
      <c r="H386" s="21" t="s">
        <v>10</v>
      </c>
      <c r="I386" s="21" t="s">
        <v>226</v>
      </c>
      <c r="J386" s="21" t="s">
        <v>417</v>
      </c>
      <c r="K386" s="5814" t="s">
        <v>11019</v>
      </c>
    </row>
    <row r="387" spans="1:11">
      <c r="A387" s="21" t="s">
        <v>2846</v>
      </c>
      <c r="B387" s="21" t="s">
        <v>11020</v>
      </c>
      <c r="C387" s="21" t="s">
        <v>22</v>
      </c>
      <c r="D387" s="21" t="s">
        <v>1147</v>
      </c>
      <c r="E387" s="21" t="s">
        <v>46</v>
      </c>
      <c r="F387" s="5812">
        <v>1</v>
      </c>
      <c r="G387" s="5813">
        <v>0.16597222222222222</v>
      </c>
      <c r="H387" s="21" t="s">
        <v>10</v>
      </c>
      <c r="I387" s="21" t="s">
        <v>3441</v>
      </c>
      <c r="J387" s="21" t="s">
        <v>97</v>
      </c>
      <c r="K387" s="5814" t="s">
        <v>11021</v>
      </c>
    </row>
    <row r="388" spans="1:11">
      <c r="A388" s="21" t="s">
        <v>3044</v>
      </c>
      <c r="B388" s="21" t="s">
        <v>11022</v>
      </c>
      <c r="C388" s="21" t="s">
        <v>22</v>
      </c>
      <c r="D388" s="21" t="s">
        <v>1147</v>
      </c>
      <c r="E388" s="21" t="s">
        <v>46</v>
      </c>
      <c r="F388" s="5812">
        <v>1</v>
      </c>
      <c r="G388" s="5813">
        <v>0.1701388888888889</v>
      </c>
      <c r="H388" s="21" t="s">
        <v>10</v>
      </c>
      <c r="I388" s="21" t="s">
        <v>55</v>
      </c>
      <c r="J388" s="21" t="s">
        <v>127</v>
      </c>
      <c r="K388" s="5814" t="s">
        <v>11023</v>
      </c>
    </row>
    <row r="389" spans="1:11">
      <c r="A389" s="21" t="s">
        <v>2454</v>
      </c>
      <c r="B389" s="21" t="s">
        <v>11024</v>
      </c>
      <c r="C389" s="21" t="s">
        <v>8</v>
      </c>
      <c r="D389" s="21" t="s">
        <v>1147</v>
      </c>
      <c r="E389" s="21" t="s">
        <v>46</v>
      </c>
      <c r="F389" s="5812">
        <v>1</v>
      </c>
      <c r="G389" s="5813">
        <v>0.17083333333333334</v>
      </c>
      <c r="H389" s="21" t="s">
        <v>10</v>
      </c>
      <c r="I389" s="21" t="s">
        <v>89</v>
      </c>
      <c r="J389" s="21" t="s">
        <v>127</v>
      </c>
      <c r="K389" s="5814" t="s">
        <v>11025</v>
      </c>
    </row>
    <row r="390" spans="1:11">
      <c r="A390" s="21" t="s">
        <v>2932</v>
      </c>
      <c r="B390" s="21" t="s">
        <v>11026</v>
      </c>
      <c r="C390" s="21" t="s">
        <v>22</v>
      </c>
      <c r="D390" s="21" t="s">
        <v>1147</v>
      </c>
      <c r="E390" s="21" t="s">
        <v>46</v>
      </c>
      <c r="F390" s="5812">
        <v>1</v>
      </c>
      <c r="G390" s="5813">
        <v>0.17222222222222222</v>
      </c>
      <c r="H390" s="21" t="s">
        <v>10</v>
      </c>
      <c r="I390" s="21" t="s">
        <v>226</v>
      </c>
      <c r="J390" s="21" t="s">
        <v>997</v>
      </c>
      <c r="K390" s="5814" t="s">
        <v>11027</v>
      </c>
    </row>
    <row r="391" spans="1:11">
      <c r="A391" s="21" t="s">
        <v>3495</v>
      </c>
      <c r="B391" s="21" t="s">
        <v>11028</v>
      </c>
      <c r="C391" s="21" t="s">
        <v>8</v>
      </c>
      <c r="D391" s="21" t="s">
        <v>1147</v>
      </c>
      <c r="E391" s="21" t="s">
        <v>46</v>
      </c>
      <c r="F391" s="5812">
        <v>1</v>
      </c>
      <c r="G391" s="5813">
        <v>0.17291666666666666</v>
      </c>
      <c r="H391" s="21" t="s">
        <v>10</v>
      </c>
      <c r="I391" s="21" t="s">
        <v>226</v>
      </c>
      <c r="J391" s="21" t="s">
        <v>48</v>
      </c>
      <c r="K391" s="5814" t="s">
        <v>11029</v>
      </c>
    </row>
    <row r="392" spans="1:11">
      <c r="A392" s="21" t="s">
        <v>3434</v>
      </c>
      <c r="B392" s="21" t="s">
        <v>11030</v>
      </c>
      <c r="C392" s="21" t="s">
        <v>8</v>
      </c>
      <c r="D392" s="21" t="s">
        <v>1147</v>
      </c>
      <c r="E392" s="21" t="s">
        <v>46</v>
      </c>
      <c r="F392" s="5812">
        <v>1</v>
      </c>
      <c r="G392" s="5813">
        <v>0.1736111111111111</v>
      </c>
      <c r="H392" s="21" t="s">
        <v>10</v>
      </c>
      <c r="I392" s="21" t="s">
        <v>89</v>
      </c>
      <c r="J392" s="21" t="s">
        <v>8195</v>
      </c>
      <c r="K392" s="5814" t="s">
        <v>11031</v>
      </c>
    </row>
    <row r="393" spans="1:11">
      <c r="A393" s="21" t="s">
        <v>4597</v>
      </c>
      <c r="B393" s="21" t="s">
        <v>11032</v>
      </c>
      <c r="C393" s="21" t="s">
        <v>8</v>
      </c>
      <c r="D393" s="21" t="s">
        <v>1147</v>
      </c>
      <c r="E393" s="21" t="s">
        <v>46</v>
      </c>
      <c r="F393" s="5812">
        <v>1</v>
      </c>
      <c r="G393" s="5813">
        <v>0.1736111111111111</v>
      </c>
      <c r="H393" s="21" t="s">
        <v>10</v>
      </c>
      <c r="I393" s="21" t="s">
        <v>2872</v>
      </c>
      <c r="J393" s="21" t="s">
        <v>430</v>
      </c>
      <c r="K393" s="5814" t="s">
        <v>11033</v>
      </c>
    </row>
    <row r="394" spans="1:11">
      <c r="A394" s="21" t="s">
        <v>2921</v>
      </c>
      <c r="B394" s="21" t="s">
        <v>11034</v>
      </c>
      <c r="C394" s="21" t="s">
        <v>22</v>
      </c>
      <c r="D394" s="21" t="s">
        <v>1147</v>
      </c>
      <c r="E394" s="21" t="s">
        <v>46</v>
      </c>
      <c r="F394" s="5812">
        <v>1</v>
      </c>
      <c r="G394" s="5813">
        <v>0.17708333333333334</v>
      </c>
      <c r="H394" s="21" t="s">
        <v>10</v>
      </c>
      <c r="I394" s="21" t="s">
        <v>55</v>
      </c>
      <c r="J394" s="21" t="s">
        <v>406</v>
      </c>
      <c r="K394" s="5814" t="s">
        <v>11035</v>
      </c>
    </row>
    <row r="395" spans="1:11">
      <c r="A395" s="21" t="s">
        <v>2711</v>
      </c>
      <c r="B395" s="21" t="s">
        <v>11036</v>
      </c>
      <c r="C395" s="21" t="s">
        <v>8</v>
      </c>
      <c r="D395" s="21" t="s">
        <v>1147</v>
      </c>
      <c r="E395" s="21" t="s">
        <v>46</v>
      </c>
      <c r="F395" s="5812">
        <v>1</v>
      </c>
      <c r="G395" s="5813">
        <v>0.17777777777777778</v>
      </c>
      <c r="H395" s="21" t="s">
        <v>10</v>
      </c>
      <c r="I395" s="21" t="s">
        <v>47</v>
      </c>
      <c r="J395" s="21" t="s">
        <v>406</v>
      </c>
      <c r="K395" s="5814" t="s">
        <v>11037</v>
      </c>
    </row>
    <row r="396" spans="1:11">
      <c r="A396" s="21" t="s">
        <v>3213</v>
      </c>
      <c r="B396" s="21" t="s">
        <v>11038</v>
      </c>
      <c r="C396" s="21" t="s">
        <v>22</v>
      </c>
      <c r="D396" s="21" t="s">
        <v>1147</v>
      </c>
      <c r="E396" s="21" t="s">
        <v>46</v>
      </c>
      <c r="F396" s="5812">
        <v>1</v>
      </c>
      <c r="G396" s="5813">
        <v>0.18055555555555555</v>
      </c>
      <c r="H396" s="21" t="s">
        <v>54</v>
      </c>
      <c r="I396" s="21" t="s">
        <v>47</v>
      </c>
      <c r="J396" s="21" t="s">
        <v>406</v>
      </c>
      <c r="K396" s="5814" t="s">
        <v>11039</v>
      </c>
    </row>
    <row r="397" spans="1:11">
      <c r="A397" s="21" t="s">
        <v>5168</v>
      </c>
      <c r="B397" s="21" t="s">
        <v>11014</v>
      </c>
      <c r="C397" s="21" t="s">
        <v>22</v>
      </c>
      <c r="D397" s="21" t="s">
        <v>1147</v>
      </c>
      <c r="E397" s="21" t="s">
        <v>46</v>
      </c>
      <c r="F397" s="5812">
        <v>1</v>
      </c>
      <c r="G397" s="5813">
        <v>0.18124999999999999</v>
      </c>
      <c r="H397" s="21" t="s">
        <v>10</v>
      </c>
      <c r="I397" s="21" t="s">
        <v>55</v>
      </c>
      <c r="J397" s="21" t="s">
        <v>97</v>
      </c>
      <c r="K397" s="5814" t="s">
        <v>11040</v>
      </c>
    </row>
    <row r="398" spans="1:11">
      <c r="A398" s="21" t="s">
        <v>2878</v>
      </c>
      <c r="B398" s="21" t="s">
        <v>11041</v>
      </c>
      <c r="C398" s="21" t="s">
        <v>8</v>
      </c>
      <c r="D398" s="21" t="s">
        <v>1147</v>
      </c>
      <c r="E398" s="21" t="s">
        <v>46</v>
      </c>
      <c r="F398" s="5812">
        <v>1</v>
      </c>
      <c r="G398" s="5813">
        <v>0.18194444444444444</v>
      </c>
      <c r="H398" s="21" t="s">
        <v>10</v>
      </c>
      <c r="I398" s="21" t="s">
        <v>2297</v>
      </c>
      <c r="J398" s="21" t="s">
        <v>3168</v>
      </c>
      <c r="K398" s="5814" t="s">
        <v>11042</v>
      </c>
    </row>
    <row r="399" spans="1:11">
      <c r="A399" s="21" t="s">
        <v>4043</v>
      </c>
      <c r="B399" s="21" t="s">
        <v>11043</v>
      </c>
      <c r="C399" s="21" t="s">
        <v>22</v>
      </c>
      <c r="D399" s="21" t="s">
        <v>1147</v>
      </c>
      <c r="E399" s="21" t="s">
        <v>46</v>
      </c>
      <c r="F399" s="5812">
        <v>1</v>
      </c>
      <c r="G399" s="5813">
        <v>0.18402777777777779</v>
      </c>
      <c r="H399" s="21" t="s">
        <v>10</v>
      </c>
      <c r="I399" s="21" t="s">
        <v>96</v>
      </c>
      <c r="J399" s="21" t="s">
        <v>48</v>
      </c>
      <c r="K399" s="5814" t="s">
        <v>11044</v>
      </c>
    </row>
    <row r="400" spans="1:11">
      <c r="A400" s="21" t="s">
        <v>3427</v>
      </c>
      <c r="B400" s="21" t="s">
        <v>11045</v>
      </c>
      <c r="C400" s="21" t="s">
        <v>8</v>
      </c>
      <c r="D400" s="21" t="s">
        <v>1147</v>
      </c>
      <c r="E400" s="21" t="s">
        <v>46</v>
      </c>
      <c r="F400" s="5812">
        <v>1</v>
      </c>
      <c r="G400" s="5813">
        <v>0.18402777777777779</v>
      </c>
      <c r="H400" s="21" t="s">
        <v>10</v>
      </c>
      <c r="I400" s="21" t="s">
        <v>55</v>
      </c>
      <c r="J400" s="21" t="s">
        <v>48</v>
      </c>
      <c r="K400" s="5814" t="s">
        <v>11046</v>
      </c>
    </row>
    <row r="401" spans="1:11">
      <c r="A401" s="21" t="s">
        <v>3728</v>
      </c>
      <c r="B401" s="21" t="s">
        <v>11047</v>
      </c>
      <c r="C401" s="21" t="s">
        <v>22</v>
      </c>
      <c r="D401" s="21" t="s">
        <v>1147</v>
      </c>
      <c r="E401" s="21" t="s">
        <v>46</v>
      </c>
      <c r="F401" s="5812">
        <v>1</v>
      </c>
      <c r="G401" s="5813">
        <v>0.18472222222222223</v>
      </c>
      <c r="H401" s="21" t="s">
        <v>10</v>
      </c>
      <c r="I401" s="21" t="s">
        <v>55</v>
      </c>
      <c r="J401" s="21" t="s">
        <v>48</v>
      </c>
      <c r="K401" s="5814" t="s">
        <v>11048</v>
      </c>
    </row>
    <row r="402" spans="1:11">
      <c r="A402" s="21" t="s">
        <v>2878</v>
      </c>
      <c r="B402" s="21" t="s">
        <v>11049</v>
      </c>
      <c r="C402" s="21" t="s">
        <v>22</v>
      </c>
      <c r="D402" s="21" t="s">
        <v>1147</v>
      </c>
      <c r="E402" s="21" t="s">
        <v>46</v>
      </c>
      <c r="F402" s="5812">
        <v>1</v>
      </c>
      <c r="G402" s="5813">
        <v>0.18680555555555556</v>
      </c>
      <c r="H402" s="21" t="s">
        <v>54</v>
      </c>
      <c r="I402" s="21" t="s">
        <v>2297</v>
      </c>
      <c r="J402" s="21" t="s">
        <v>3094</v>
      </c>
      <c r="K402" s="5814" t="s">
        <v>11050</v>
      </c>
    </row>
    <row r="403" spans="1:11">
      <c r="A403" s="21" t="s">
        <v>3761</v>
      </c>
      <c r="B403" s="21" t="s">
        <v>11051</v>
      </c>
      <c r="C403" s="21" t="s">
        <v>8</v>
      </c>
      <c r="D403" s="21" t="s">
        <v>1147</v>
      </c>
      <c r="E403" s="21" t="s">
        <v>46</v>
      </c>
      <c r="F403" s="5812">
        <v>1</v>
      </c>
      <c r="G403" s="5813">
        <v>0.18888888888888888</v>
      </c>
      <c r="H403" s="21" t="s">
        <v>10</v>
      </c>
      <c r="I403" s="21" t="s">
        <v>2713</v>
      </c>
      <c r="J403" s="21" t="s">
        <v>940</v>
      </c>
      <c r="K403" s="5814" t="s">
        <v>11052</v>
      </c>
    </row>
    <row r="404" spans="1:11">
      <c r="A404" s="21" t="s">
        <v>2918</v>
      </c>
      <c r="B404" s="21" t="s">
        <v>11053</v>
      </c>
      <c r="C404" s="21" t="s">
        <v>22</v>
      </c>
      <c r="D404" s="21" t="s">
        <v>1147</v>
      </c>
      <c r="E404" s="21" t="s">
        <v>46</v>
      </c>
      <c r="F404" s="5812">
        <v>1</v>
      </c>
      <c r="G404" s="5813">
        <v>0.19166666666666668</v>
      </c>
      <c r="H404" s="21" t="s">
        <v>10</v>
      </c>
      <c r="I404" s="21" t="s">
        <v>11</v>
      </c>
      <c r="J404" s="21" t="s">
        <v>907</v>
      </c>
      <c r="K404" s="5814" t="s">
        <v>11054</v>
      </c>
    </row>
    <row r="405" spans="1:11">
      <c r="A405" s="21" t="s">
        <v>5235</v>
      </c>
      <c r="B405" s="21" t="s">
        <v>11055</v>
      </c>
      <c r="C405" s="21" t="s">
        <v>8</v>
      </c>
      <c r="D405" s="21" t="s">
        <v>1147</v>
      </c>
      <c r="E405" s="21" t="s">
        <v>46</v>
      </c>
      <c r="F405" s="5812">
        <v>1</v>
      </c>
      <c r="G405" s="5813">
        <v>0.19166666666666668</v>
      </c>
      <c r="H405" s="21" t="s">
        <v>10</v>
      </c>
      <c r="I405" s="21" t="s">
        <v>2269</v>
      </c>
      <c r="J405" s="21" t="s">
        <v>3000</v>
      </c>
      <c r="K405" s="5814" t="s">
        <v>11056</v>
      </c>
    </row>
    <row r="406" spans="1:11">
      <c r="A406" s="21" t="s">
        <v>4430</v>
      </c>
      <c r="B406" s="21" t="s">
        <v>11057</v>
      </c>
      <c r="C406" s="21" t="s">
        <v>22</v>
      </c>
      <c r="D406" s="21" t="s">
        <v>1147</v>
      </c>
      <c r="E406" s="21" t="s">
        <v>46</v>
      </c>
      <c r="F406" s="5812">
        <v>1</v>
      </c>
      <c r="G406" s="5813">
        <v>0.19236111111111112</v>
      </c>
      <c r="H406" s="21" t="s">
        <v>10</v>
      </c>
      <c r="I406" s="21" t="s">
        <v>2713</v>
      </c>
      <c r="J406" s="21" t="s">
        <v>97</v>
      </c>
      <c r="K406" s="5814" t="s">
        <v>11058</v>
      </c>
    </row>
    <row r="407" spans="1:11">
      <c r="A407" s="21" t="s">
        <v>2929</v>
      </c>
      <c r="B407" s="21" t="s">
        <v>11059</v>
      </c>
      <c r="C407" s="21" t="s">
        <v>22</v>
      </c>
      <c r="D407" s="21" t="s">
        <v>1147</v>
      </c>
      <c r="E407" s="21" t="s">
        <v>46</v>
      </c>
      <c r="F407" s="5812">
        <v>1</v>
      </c>
      <c r="G407" s="5813">
        <v>0.19375000000000001</v>
      </c>
      <c r="H407" s="21" t="s">
        <v>10</v>
      </c>
      <c r="I407" s="21" t="s">
        <v>39</v>
      </c>
      <c r="J407" s="21" t="s">
        <v>97</v>
      </c>
      <c r="K407" s="5814" t="s">
        <v>11060</v>
      </c>
    </row>
    <row r="408" spans="1:11">
      <c r="A408" s="21" t="s">
        <v>4003</v>
      </c>
      <c r="B408" s="21" t="s">
        <v>11061</v>
      </c>
      <c r="C408" s="21" t="s">
        <v>22</v>
      </c>
      <c r="D408" s="21" t="s">
        <v>1147</v>
      </c>
      <c r="E408" s="21" t="s">
        <v>46</v>
      </c>
      <c r="F408" s="5812">
        <v>1</v>
      </c>
      <c r="G408" s="5813">
        <v>0.19444444444444445</v>
      </c>
      <c r="H408" s="21" t="s">
        <v>10</v>
      </c>
      <c r="I408" s="21" t="s">
        <v>47</v>
      </c>
      <c r="J408" s="21" t="s">
        <v>97</v>
      </c>
      <c r="K408" s="5814" t="s">
        <v>11062</v>
      </c>
    </row>
    <row r="409" spans="1:11">
      <c r="A409" s="21" t="s">
        <v>311</v>
      </c>
      <c r="B409" s="21" t="s">
        <v>1175</v>
      </c>
      <c r="C409" s="21" t="s">
        <v>22</v>
      </c>
      <c r="D409" s="21" t="s">
        <v>1147</v>
      </c>
      <c r="E409" s="21" t="s">
        <v>46</v>
      </c>
      <c r="F409" s="5812">
        <v>1</v>
      </c>
      <c r="G409" s="5813">
        <v>0.19930555555555557</v>
      </c>
      <c r="H409" s="21" t="s">
        <v>10</v>
      </c>
      <c r="I409" s="21" t="s">
        <v>39</v>
      </c>
      <c r="J409" s="21" t="s">
        <v>48</v>
      </c>
      <c r="K409" s="5814" t="s">
        <v>1176</v>
      </c>
    </row>
    <row r="410" spans="1:11">
      <c r="A410" s="21" t="s">
        <v>3323</v>
      </c>
      <c r="B410" s="21" t="s">
        <v>11063</v>
      </c>
      <c r="C410" s="21" t="s">
        <v>22</v>
      </c>
      <c r="D410" s="21" t="s">
        <v>1147</v>
      </c>
      <c r="E410" s="21" t="s">
        <v>46</v>
      </c>
      <c r="F410" s="5812">
        <v>1</v>
      </c>
      <c r="G410" s="5813">
        <v>0.2013888888888889</v>
      </c>
      <c r="H410" s="21" t="s">
        <v>10</v>
      </c>
      <c r="I410" s="21" t="s">
        <v>4254</v>
      </c>
      <c r="J410" s="21" t="s">
        <v>48</v>
      </c>
      <c r="K410" s="5814" t="s">
        <v>11064</v>
      </c>
    </row>
    <row r="411" spans="1:11">
      <c r="A411" s="21" t="s">
        <v>4257</v>
      </c>
      <c r="B411" s="21" t="s">
        <v>11065</v>
      </c>
      <c r="C411" s="21" t="s">
        <v>8</v>
      </c>
      <c r="D411" s="21" t="s">
        <v>1147</v>
      </c>
      <c r="E411" s="21" t="s">
        <v>46</v>
      </c>
      <c r="F411" s="5812">
        <v>1</v>
      </c>
      <c r="G411" s="5813">
        <v>0.20694444444444443</v>
      </c>
      <c r="H411" s="21" t="s">
        <v>54</v>
      </c>
      <c r="I411" s="21" t="s">
        <v>55</v>
      </c>
      <c r="J411" s="21" t="s">
        <v>406</v>
      </c>
      <c r="K411" s="5814" t="s">
        <v>11066</v>
      </c>
    </row>
    <row r="412" spans="1:11">
      <c r="A412" s="21" t="s">
        <v>4621</v>
      </c>
      <c r="B412" s="21" t="s">
        <v>11067</v>
      </c>
      <c r="C412" s="21" t="s">
        <v>22</v>
      </c>
      <c r="D412" s="21" t="s">
        <v>1147</v>
      </c>
      <c r="E412" s="21" t="s">
        <v>46</v>
      </c>
      <c r="F412" s="5812">
        <v>1</v>
      </c>
      <c r="G412" s="5813">
        <v>0.20694444444444443</v>
      </c>
      <c r="H412" s="21" t="s">
        <v>10</v>
      </c>
      <c r="I412" s="21" t="s">
        <v>2568</v>
      </c>
      <c r="J412" s="21" t="s">
        <v>97</v>
      </c>
      <c r="K412" s="5814" t="s">
        <v>11068</v>
      </c>
    </row>
    <row r="413" spans="1:11">
      <c r="A413" s="21" t="s">
        <v>3220</v>
      </c>
      <c r="B413" s="21" t="s">
        <v>11069</v>
      </c>
      <c r="C413" s="21" t="s">
        <v>8</v>
      </c>
      <c r="D413" s="21" t="s">
        <v>1147</v>
      </c>
      <c r="E413" s="21" t="s">
        <v>46</v>
      </c>
      <c r="F413" s="5812">
        <v>1</v>
      </c>
      <c r="G413" s="5813">
        <v>0.2076388888888889</v>
      </c>
      <c r="H413" s="21" t="s">
        <v>10</v>
      </c>
      <c r="I413" s="21" t="s">
        <v>89</v>
      </c>
      <c r="J413" s="21" t="s">
        <v>48</v>
      </c>
      <c r="K413" s="5814" t="s">
        <v>11070</v>
      </c>
    </row>
    <row r="414" spans="1:11">
      <c r="A414" s="21" t="s">
        <v>2647</v>
      </c>
      <c r="B414" s="21" t="s">
        <v>11071</v>
      </c>
      <c r="C414" s="21" t="s">
        <v>8</v>
      </c>
      <c r="D414" s="21" t="s">
        <v>1147</v>
      </c>
      <c r="E414" s="21" t="s">
        <v>46</v>
      </c>
      <c r="F414" s="5812">
        <v>1</v>
      </c>
      <c r="G414" s="5813">
        <v>0.2076388888888889</v>
      </c>
      <c r="H414" s="21" t="s">
        <v>10</v>
      </c>
      <c r="I414" s="21" t="s">
        <v>47</v>
      </c>
      <c r="J414" s="21" t="s">
        <v>48</v>
      </c>
      <c r="K414" s="5814" t="s">
        <v>11072</v>
      </c>
    </row>
    <row r="415" spans="1:11">
      <c r="A415" s="21" t="s">
        <v>2905</v>
      </c>
      <c r="B415" s="21" t="s">
        <v>11073</v>
      </c>
      <c r="C415" s="21" t="s">
        <v>22</v>
      </c>
      <c r="D415" s="21" t="s">
        <v>1147</v>
      </c>
      <c r="E415" s="21" t="s">
        <v>46</v>
      </c>
      <c r="F415" s="5812">
        <v>1</v>
      </c>
      <c r="G415" s="5813">
        <v>0.20833333333333334</v>
      </c>
      <c r="H415" s="21" t="s">
        <v>10</v>
      </c>
      <c r="I415" s="21" t="s">
        <v>8588</v>
      </c>
      <c r="J415" s="21" t="s">
        <v>5834</v>
      </c>
      <c r="K415" s="5814" t="s">
        <v>11074</v>
      </c>
    </row>
    <row r="416" spans="1:11">
      <c r="A416" s="21" t="s">
        <v>3710</v>
      </c>
      <c r="B416" s="21" t="s">
        <v>11075</v>
      </c>
      <c r="C416" s="21" t="s">
        <v>22</v>
      </c>
      <c r="D416" s="21" t="s">
        <v>1147</v>
      </c>
      <c r="E416" s="21" t="s">
        <v>46</v>
      </c>
      <c r="F416" s="5812">
        <v>2</v>
      </c>
      <c r="G416" s="5813">
        <v>1.2500000000000001E-2</v>
      </c>
      <c r="H416" s="21" t="s">
        <v>10</v>
      </c>
      <c r="I416" s="21" t="s">
        <v>96</v>
      </c>
      <c r="J416" s="21" t="s">
        <v>48</v>
      </c>
      <c r="K416" s="5814" t="s">
        <v>11076</v>
      </c>
    </row>
    <row r="417" spans="1:11">
      <c r="A417" s="21" t="s">
        <v>3427</v>
      </c>
      <c r="B417" s="21" t="s">
        <v>11077</v>
      </c>
      <c r="C417" s="21" t="s">
        <v>8</v>
      </c>
      <c r="D417" s="21" t="s">
        <v>1147</v>
      </c>
      <c r="E417" s="21" t="s">
        <v>46</v>
      </c>
      <c r="F417" s="5812">
        <v>2</v>
      </c>
      <c r="G417" s="5813">
        <v>1.4583333333333334E-2</v>
      </c>
      <c r="H417" s="21" t="s">
        <v>10</v>
      </c>
      <c r="I417" s="21" t="s">
        <v>55</v>
      </c>
      <c r="J417" s="21" t="s">
        <v>48</v>
      </c>
      <c r="K417" s="5814" t="s">
        <v>11078</v>
      </c>
    </row>
    <row r="418" spans="1:11">
      <c r="A418" s="21" t="s">
        <v>2061</v>
      </c>
      <c r="B418" s="21" t="s">
        <v>11079</v>
      </c>
      <c r="C418" s="21" t="s">
        <v>22</v>
      </c>
      <c r="D418" s="21" t="s">
        <v>1147</v>
      </c>
      <c r="E418" s="21" t="s">
        <v>46</v>
      </c>
      <c r="F418" s="5812">
        <v>2</v>
      </c>
      <c r="G418" s="5813">
        <v>2.0833333333333332E-2</v>
      </c>
      <c r="H418" s="21" t="s">
        <v>10</v>
      </c>
      <c r="I418" s="21" t="s">
        <v>23</v>
      </c>
      <c r="J418" s="21" t="s">
        <v>48</v>
      </c>
      <c r="K418" s="5814" t="s">
        <v>11080</v>
      </c>
    </row>
    <row r="419" spans="1:11">
      <c r="A419" s="21" t="s">
        <v>3551</v>
      </c>
      <c r="B419" s="21" t="s">
        <v>11081</v>
      </c>
      <c r="C419" s="21" t="s">
        <v>8</v>
      </c>
      <c r="D419" s="21" t="s">
        <v>1147</v>
      </c>
      <c r="E419" s="21" t="s">
        <v>46</v>
      </c>
      <c r="F419" s="5812">
        <v>2</v>
      </c>
      <c r="G419" s="5813">
        <v>2.6388888888888889E-2</v>
      </c>
      <c r="H419" s="21" t="s">
        <v>10</v>
      </c>
      <c r="I419" s="21" t="s">
        <v>23</v>
      </c>
      <c r="J419" s="21" t="s">
        <v>3148</v>
      </c>
      <c r="K419" s="5814" t="s">
        <v>11082</v>
      </c>
    </row>
    <row r="420" spans="1:11">
      <c r="A420" s="21" t="s">
        <v>2237</v>
      </c>
      <c r="B420" s="21" t="s">
        <v>11083</v>
      </c>
      <c r="C420" s="21" t="s">
        <v>22</v>
      </c>
      <c r="D420" s="21" t="s">
        <v>1147</v>
      </c>
      <c r="E420" s="21" t="s">
        <v>46</v>
      </c>
      <c r="F420" s="5812">
        <v>2</v>
      </c>
      <c r="G420" s="5813">
        <v>4.1666666666666664E-2</v>
      </c>
      <c r="H420" s="21" t="s">
        <v>10</v>
      </c>
      <c r="I420" s="21" t="s">
        <v>55</v>
      </c>
      <c r="J420" s="21" t="s">
        <v>4589</v>
      </c>
      <c r="K420" s="5814" t="s">
        <v>11084</v>
      </c>
    </row>
    <row r="421" spans="1:11">
      <c r="A421" s="21" t="s">
        <v>2780</v>
      </c>
      <c r="B421" s="21" t="s">
        <v>11085</v>
      </c>
      <c r="C421" s="21" t="s">
        <v>22</v>
      </c>
      <c r="D421" s="21" t="s">
        <v>1147</v>
      </c>
      <c r="E421" s="21" t="s">
        <v>46</v>
      </c>
      <c r="F421" s="5812">
        <v>2</v>
      </c>
      <c r="G421" s="5813">
        <v>4.5138888888888888E-2</v>
      </c>
      <c r="H421" s="21" t="s">
        <v>10</v>
      </c>
      <c r="I421" s="21" t="s">
        <v>3382</v>
      </c>
      <c r="J421" s="21" t="s">
        <v>3168</v>
      </c>
      <c r="K421" s="5814" t="s">
        <v>11086</v>
      </c>
    </row>
    <row r="422" spans="1:11">
      <c r="A422" s="21" t="s">
        <v>2702</v>
      </c>
      <c r="B422" s="21" t="s">
        <v>11087</v>
      </c>
      <c r="C422" s="21" t="s">
        <v>22</v>
      </c>
      <c r="D422" s="21" t="s">
        <v>1147</v>
      </c>
      <c r="E422" s="21" t="s">
        <v>46</v>
      </c>
      <c r="F422" s="5812">
        <v>2</v>
      </c>
      <c r="G422" s="5813">
        <v>4.791666666666667E-2</v>
      </c>
      <c r="H422" s="21" t="s">
        <v>10</v>
      </c>
      <c r="I422" s="21" t="s">
        <v>55</v>
      </c>
      <c r="J422" s="21" t="s">
        <v>9084</v>
      </c>
      <c r="K422" s="5814" t="s">
        <v>11088</v>
      </c>
    </row>
    <row r="423" spans="1:11">
      <c r="A423" s="21" t="s">
        <v>3144</v>
      </c>
      <c r="B423" s="21" t="s">
        <v>11089</v>
      </c>
      <c r="C423" s="21" t="s">
        <v>8</v>
      </c>
      <c r="D423" s="21" t="s">
        <v>1147</v>
      </c>
      <c r="E423" s="21" t="s">
        <v>46</v>
      </c>
      <c r="F423" s="5812">
        <v>2</v>
      </c>
      <c r="G423" s="5813">
        <v>5.1388888888888887E-2</v>
      </c>
      <c r="H423" s="21" t="s">
        <v>10</v>
      </c>
      <c r="I423" s="21" t="s">
        <v>4146</v>
      </c>
      <c r="J423" s="21" t="s">
        <v>1076</v>
      </c>
      <c r="K423" s="5814" t="s">
        <v>11090</v>
      </c>
    </row>
    <row r="424" spans="1:11">
      <c r="A424" s="21" t="s">
        <v>2250</v>
      </c>
      <c r="B424" s="21" t="s">
        <v>11091</v>
      </c>
      <c r="C424" s="21" t="s">
        <v>22</v>
      </c>
      <c r="D424" s="21" t="s">
        <v>1147</v>
      </c>
      <c r="E424" s="21" t="s">
        <v>46</v>
      </c>
      <c r="F424" s="5812">
        <v>2</v>
      </c>
      <c r="G424" s="5813">
        <v>5.347222222222222E-2</v>
      </c>
      <c r="H424" s="21" t="s">
        <v>10</v>
      </c>
      <c r="I424" s="21" t="s">
        <v>96</v>
      </c>
      <c r="J424" s="21" t="s">
        <v>154</v>
      </c>
      <c r="K424" s="5814" t="s">
        <v>11092</v>
      </c>
    </row>
    <row r="425" spans="1:11">
      <c r="A425" s="21" t="s">
        <v>2184</v>
      </c>
      <c r="B425" s="21" t="s">
        <v>11093</v>
      </c>
      <c r="C425" s="21" t="s">
        <v>22</v>
      </c>
      <c r="D425" s="21" t="s">
        <v>1147</v>
      </c>
      <c r="E425" s="21" t="s">
        <v>46</v>
      </c>
      <c r="F425" s="5812">
        <v>2</v>
      </c>
      <c r="G425" s="5813">
        <v>5.4166666666666669E-2</v>
      </c>
      <c r="H425" s="21" t="s">
        <v>10</v>
      </c>
      <c r="I425" s="21" t="s">
        <v>8259</v>
      </c>
      <c r="J425" s="21" t="s">
        <v>3063</v>
      </c>
      <c r="K425" s="5814" t="s">
        <v>11094</v>
      </c>
    </row>
    <row r="426" spans="1:11">
      <c r="A426" s="21" t="s">
        <v>2197</v>
      </c>
      <c r="B426" s="21" t="s">
        <v>11095</v>
      </c>
      <c r="C426" s="21" t="s">
        <v>8</v>
      </c>
      <c r="D426" s="21" t="s">
        <v>1147</v>
      </c>
      <c r="E426" s="21" t="s">
        <v>46</v>
      </c>
      <c r="F426" s="5812">
        <v>2</v>
      </c>
      <c r="G426" s="5813">
        <v>5.5555555555555552E-2</v>
      </c>
      <c r="H426" s="21" t="s">
        <v>10</v>
      </c>
      <c r="I426" s="21" t="s">
        <v>788</v>
      </c>
      <c r="J426" s="21" t="s">
        <v>154</v>
      </c>
      <c r="K426" s="5814" t="s">
        <v>11096</v>
      </c>
    </row>
    <row r="427" spans="1:11">
      <c r="A427" s="21" t="s">
        <v>2687</v>
      </c>
      <c r="B427" s="21" t="s">
        <v>11097</v>
      </c>
      <c r="C427" s="21" t="s">
        <v>8</v>
      </c>
      <c r="D427" s="21" t="s">
        <v>1147</v>
      </c>
      <c r="E427" s="21" t="s">
        <v>46</v>
      </c>
      <c r="F427" s="5812">
        <v>2</v>
      </c>
      <c r="G427" s="5813">
        <v>5.7638888888888892E-2</v>
      </c>
      <c r="H427" s="21" t="s">
        <v>10</v>
      </c>
      <c r="I427" s="21" t="s">
        <v>226</v>
      </c>
      <c r="J427" s="21" t="s">
        <v>722</v>
      </c>
      <c r="K427" s="5814" t="s">
        <v>11098</v>
      </c>
    </row>
    <row r="428" spans="1:11">
      <c r="A428" s="21" t="s">
        <v>3170</v>
      </c>
      <c r="B428" s="21" t="s">
        <v>11099</v>
      </c>
      <c r="C428" s="21" t="s">
        <v>22</v>
      </c>
      <c r="D428" s="21" t="s">
        <v>1147</v>
      </c>
      <c r="E428" s="21" t="s">
        <v>46</v>
      </c>
      <c r="F428" s="5812">
        <v>2</v>
      </c>
      <c r="G428" s="5813">
        <v>5.8333333333333334E-2</v>
      </c>
      <c r="H428" s="21" t="s">
        <v>10</v>
      </c>
      <c r="I428" s="21" t="s">
        <v>2269</v>
      </c>
      <c r="J428" s="21" t="s">
        <v>7972</v>
      </c>
      <c r="K428" s="5814" t="s">
        <v>11100</v>
      </c>
    </row>
    <row r="429" spans="1:11">
      <c r="A429" s="21" t="s">
        <v>4338</v>
      </c>
      <c r="B429" s="21" t="s">
        <v>11101</v>
      </c>
      <c r="C429" s="21" t="s">
        <v>8</v>
      </c>
      <c r="D429" s="21" t="s">
        <v>1147</v>
      </c>
      <c r="E429" s="21" t="s">
        <v>46</v>
      </c>
      <c r="F429" s="5812">
        <v>2</v>
      </c>
      <c r="G429" s="5813">
        <v>5.9027777777777776E-2</v>
      </c>
      <c r="H429" s="21" t="s">
        <v>10</v>
      </c>
      <c r="I429" s="21" t="s">
        <v>2297</v>
      </c>
      <c r="J429" s="21" t="s">
        <v>940</v>
      </c>
      <c r="K429" s="5814" t="s">
        <v>11102</v>
      </c>
    </row>
    <row r="430" spans="1:11">
      <c r="A430" s="21" t="s">
        <v>4396</v>
      </c>
      <c r="B430" s="21" t="s">
        <v>11103</v>
      </c>
      <c r="C430" s="21" t="s">
        <v>22</v>
      </c>
      <c r="D430" s="21" t="s">
        <v>1147</v>
      </c>
      <c r="E430" s="21" t="s">
        <v>46</v>
      </c>
      <c r="F430" s="5812">
        <v>2</v>
      </c>
      <c r="G430" s="5813">
        <v>6.5277777777777782E-2</v>
      </c>
      <c r="H430" s="21" t="s">
        <v>10</v>
      </c>
      <c r="I430" s="21" t="s">
        <v>55</v>
      </c>
      <c r="J430" s="21" t="s">
        <v>48</v>
      </c>
      <c r="K430" s="5814" t="s">
        <v>11104</v>
      </c>
    </row>
    <row r="431" spans="1:11">
      <c r="A431" s="21" t="s">
        <v>4621</v>
      </c>
      <c r="B431" s="21" t="s">
        <v>11105</v>
      </c>
      <c r="C431" s="21" t="s">
        <v>22</v>
      </c>
      <c r="D431" s="21" t="s">
        <v>1147</v>
      </c>
      <c r="E431" s="21" t="s">
        <v>46</v>
      </c>
      <c r="F431" s="5812">
        <v>2</v>
      </c>
      <c r="G431" s="5813">
        <v>6.7361111111111108E-2</v>
      </c>
      <c r="H431" s="21" t="s">
        <v>10</v>
      </c>
      <c r="I431" s="21" t="s">
        <v>2568</v>
      </c>
      <c r="J431" s="21" t="s">
        <v>3148</v>
      </c>
      <c r="K431" s="5814" t="s">
        <v>11106</v>
      </c>
    </row>
    <row r="432" spans="1:11">
      <c r="A432" s="21" t="s">
        <v>2768</v>
      </c>
      <c r="B432" s="21" t="s">
        <v>11107</v>
      </c>
      <c r="C432" s="21" t="s">
        <v>22</v>
      </c>
      <c r="D432" s="21" t="s">
        <v>1147</v>
      </c>
      <c r="E432" s="21" t="s">
        <v>46</v>
      </c>
      <c r="F432" s="5812">
        <v>2</v>
      </c>
      <c r="G432" s="5813">
        <v>7.6388888888888895E-2</v>
      </c>
      <c r="H432" s="21" t="s">
        <v>10</v>
      </c>
      <c r="I432" s="21" t="s">
        <v>2297</v>
      </c>
      <c r="J432" s="21" t="s">
        <v>48</v>
      </c>
      <c r="K432" s="5814" t="s">
        <v>11108</v>
      </c>
    </row>
    <row r="433" spans="1:11">
      <c r="A433" s="21" t="s">
        <v>2229</v>
      </c>
      <c r="B433" s="21" t="s">
        <v>11109</v>
      </c>
      <c r="C433" s="21" t="s">
        <v>22</v>
      </c>
      <c r="D433" s="21" t="s">
        <v>1147</v>
      </c>
      <c r="E433" s="21" t="s">
        <v>46</v>
      </c>
      <c r="F433" s="5812">
        <v>2</v>
      </c>
      <c r="G433" s="5813">
        <v>8.4027777777777785E-2</v>
      </c>
      <c r="H433" s="21" t="s">
        <v>10</v>
      </c>
      <c r="I433" s="21" t="s">
        <v>2176</v>
      </c>
      <c r="J433" s="21" t="s">
        <v>48</v>
      </c>
      <c r="K433" s="5814" t="s">
        <v>11110</v>
      </c>
    </row>
    <row r="434" spans="1:11">
      <c r="A434" s="21" t="s">
        <v>2932</v>
      </c>
      <c r="B434" s="21" t="s">
        <v>11111</v>
      </c>
      <c r="C434" s="21" t="s">
        <v>22</v>
      </c>
      <c r="D434" s="21" t="s">
        <v>1147</v>
      </c>
      <c r="E434" s="21" t="s">
        <v>46</v>
      </c>
      <c r="F434" s="5812">
        <v>2</v>
      </c>
      <c r="G434" s="5813">
        <v>8.4722222222222227E-2</v>
      </c>
      <c r="H434" s="21" t="s">
        <v>10</v>
      </c>
      <c r="I434" s="21" t="s">
        <v>55</v>
      </c>
      <c r="J434" s="21" t="s">
        <v>3127</v>
      </c>
      <c r="K434" s="5814" t="s">
        <v>11112</v>
      </c>
    </row>
    <row r="435" spans="1:11">
      <c r="A435" s="21" t="s">
        <v>3434</v>
      </c>
      <c r="B435" s="21" t="s">
        <v>11113</v>
      </c>
      <c r="C435" s="21" t="s">
        <v>22</v>
      </c>
      <c r="D435" s="21" t="s">
        <v>1147</v>
      </c>
      <c r="E435" s="21" t="s">
        <v>46</v>
      </c>
      <c r="F435" s="5812">
        <v>2</v>
      </c>
      <c r="G435" s="5813">
        <v>9.375E-2</v>
      </c>
      <c r="H435" s="21" t="s">
        <v>10</v>
      </c>
      <c r="I435" s="21" t="s">
        <v>23</v>
      </c>
      <c r="J435" s="21" t="s">
        <v>97</v>
      </c>
      <c r="K435" s="5814" t="s">
        <v>11114</v>
      </c>
    </row>
    <row r="436" spans="1:11">
      <c r="A436" s="21" t="s">
        <v>2420</v>
      </c>
      <c r="B436" s="21" t="s">
        <v>11115</v>
      </c>
      <c r="C436" s="21" t="s">
        <v>22</v>
      </c>
      <c r="D436" s="21" t="s">
        <v>1147</v>
      </c>
      <c r="E436" s="21" t="s">
        <v>46</v>
      </c>
      <c r="F436" s="5812">
        <v>2</v>
      </c>
      <c r="G436" s="5813">
        <v>0.1</v>
      </c>
      <c r="H436" s="21" t="s">
        <v>10</v>
      </c>
      <c r="I436" s="21" t="s">
        <v>96</v>
      </c>
      <c r="J436" s="21" t="s">
        <v>48</v>
      </c>
      <c r="K436" s="5814" t="s">
        <v>11116</v>
      </c>
    </row>
    <row r="437" spans="1:11">
      <c r="A437" s="21" t="s">
        <v>3089</v>
      </c>
      <c r="B437" s="21" t="s">
        <v>11117</v>
      </c>
      <c r="C437" s="21" t="s">
        <v>8</v>
      </c>
      <c r="D437" s="21" t="s">
        <v>1147</v>
      </c>
      <c r="E437" s="21" t="s">
        <v>46</v>
      </c>
      <c r="F437" s="5812">
        <v>2</v>
      </c>
      <c r="G437" s="5813">
        <v>0.10277777777777777</v>
      </c>
      <c r="H437" s="21" t="s">
        <v>10</v>
      </c>
      <c r="I437" s="21" t="s">
        <v>187</v>
      </c>
      <c r="J437" s="21" t="s">
        <v>154</v>
      </c>
      <c r="K437" s="5814" t="s">
        <v>11118</v>
      </c>
    </row>
    <row r="438" spans="1:11">
      <c r="A438" s="21" t="s">
        <v>2776</v>
      </c>
      <c r="B438" s="21" t="s">
        <v>11119</v>
      </c>
      <c r="C438" s="21" t="s">
        <v>8</v>
      </c>
      <c r="D438" s="21" t="s">
        <v>1147</v>
      </c>
      <c r="E438" s="21" t="s">
        <v>46</v>
      </c>
      <c r="F438" s="5812">
        <v>2</v>
      </c>
      <c r="G438" s="5813">
        <v>0.10347222222222222</v>
      </c>
      <c r="H438" s="21" t="s">
        <v>10</v>
      </c>
      <c r="I438" s="21" t="s">
        <v>2260</v>
      </c>
      <c r="J438" s="21" t="s">
        <v>940</v>
      </c>
      <c r="K438" s="5814" t="s">
        <v>11120</v>
      </c>
    </row>
    <row r="439" spans="1:11">
      <c r="A439" s="21" t="s">
        <v>3208</v>
      </c>
      <c r="B439" s="21" t="s">
        <v>11121</v>
      </c>
      <c r="C439" s="21" t="s">
        <v>8</v>
      </c>
      <c r="D439" s="21" t="s">
        <v>1147</v>
      </c>
      <c r="E439" s="21" t="s">
        <v>46</v>
      </c>
      <c r="F439" s="5812">
        <v>2</v>
      </c>
      <c r="G439" s="5813">
        <v>0.10555555555555556</v>
      </c>
      <c r="H439" s="21" t="s">
        <v>10</v>
      </c>
      <c r="I439" s="21" t="s">
        <v>5994</v>
      </c>
      <c r="J439" s="21" t="s">
        <v>616</v>
      </c>
      <c r="K439" s="5814" t="s">
        <v>11122</v>
      </c>
    </row>
    <row r="440" spans="1:11">
      <c r="A440" s="21" t="s">
        <v>2737</v>
      </c>
      <c r="B440" s="21" t="s">
        <v>11123</v>
      </c>
      <c r="C440" s="21" t="s">
        <v>22</v>
      </c>
      <c r="D440" s="21" t="s">
        <v>1147</v>
      </c>
      <c r="E440" s="21" t="s">
        <v>46</v>
      </c>
      <c r="F440" s="5812">
        <v>2</v>
      </c>
      <c r="G440" s="5813">
        <v>0.10972222222222222</v>
      </c>
      <c r="H440" s="21" t="s">
        <v>10</v>
      </c>
      <c r="I440" s="21" t="s">
        <v>609</v>
      </c>
      <c r="J440" s="21" t="s">
        <v>406</v>
      </c>
      <c r="K440" s="5814" t="s">
        <v>11124</v>
      </c>
    </row>
    <row r="441" spans="1:11">
      <c r="A441" s="21" t="s">
        <v>4724</v>
      </c>
      <c r="B441" s="21" t="s">
        <v>11125</v>
      </c>
      <c r="C441" s="21" t="s">
        <v>8</v>
      </c>
      <c r="D441" s="21" t="s">
        <v>1147</v>
      </c>
      <c r="E441" s="21" t="s">
        <v>46</v>
      </c>
      <c r="F441" s="5812">
        <v>2</v>
      </c>
      <c r="G441" s="5813">
        <v>0.11041666666666666</v>
      </c>
      <c r="H441" s="21" t="s">
        <v>10</v>
      </c>
      <c r="I441" s="21" t="s">
        <v>226</v>
      </c>
      <c r="J441" s="21" t="s">
        <v>417</v>
      </c>
      <c r="K441" s="5814" t="s">
        <v>11126</v>
      </c>
    </row>
    <row r="442" spans="1:11">
      <c r="A442" s="21" t="s">
        <v>2719</v>
      </c>
      <c r="B442" s="21" t="s">
        <v>11127</v>
      </c>
      <c r="C442" s="21" t="s">
        <v>8</v>
      </c>
      <c r="D442" s="21" t="s">
        <v>1147</v>
      </c>
      <c r="E442" s="21" t="s">
        <v>46</v>
      </c>
      <c r="F442" s="5812">
        <v>2</v>
      </c>
      <c r="G442" s="5813">
        <v>0.1111111111111111</v>
      </c>
      <c r="H442" s="21" t="s">
        <v>10</v>
      </c>
      <c r="I442" s="21" t="s">
        <v>263</v>
      </c>
      <c r="J442" s="21" t="s">
        <v>3004</v>
      </c>
      <c r="K442" s="5814" t="s">
        <v>11128</v>
      </c>
    </row>
    <row r="443" spans="1:11">
      <c r="A443" s="21" t="s">
        <v>3491</v>
      </c>
      <c r="B443" s="21" t="s">
        <v>11129</v>
      </c>
      <c r="C443" s="21" t="s">
        <v>22</v>
      </c>
      <c r="D443" s="21" t="s">
        <v>1147</v>
      </c>
      <c r="E443" s="21" t="s">
        <v>46</v>
      </c>
      <c r="F443" s="5812">
        <v>2</v>
      </c>
      <c r="G443" s="5813">
        <v>0.12152777777777778</v>
      </c>
      <c r="H443" s="21" t="s">
        <v>10</v>
      </c>
      <c r="I443" s="21" t="s">
        <v>73</v>
      </c>
      <c r="J443" s="21" t="s">
        <v>3004</v>
      </c>
      <c r="K443" s="5814" t="s">
        <v>11130</v>
      </c>
    </row>
    <row r="444" spans="1:11">
      <c r="A444" s="21" t="s">
        <v>2932</v>
      </c>
      <c r="B444" s="21" t="s">
        <v>11131</v>
      </c>
      <c r="C444" s="21" t="s">
        <v>8</v>
      </c>
      <c r="D444" s="21" t="s">
        <v>1147</v>
      </c>
      <c r="E444" s="21" t="s">
        <v>46</v>
      </c>
      <c r="F444" s="5812">
        <v>2</v>
      </c>
      <c r="G444" s="5813">
        <v>0.12222222222222222</v>
      </c>
      <c r="H444" s="21" t="s">
        <v>10</v>
      </c>
      <c r="I444" s="21" t="s">
        <v>55</v>
      </c>
      <c r="J444" s="21" t="s">
        <v>1076</v>
      </c>
      <c r="K444" s="5814" t="s">
        <v>11132</v>
      </c>
    </row>
    <row r="445" spans="1:11">
      <c r="A445" s="21" t="s">
        <v>2495</v>
      </c>
      <c r="B445" s="21" t="s">
        <v>11133</v>
      </c>
      <c r="C445" s="21" t="s">
        <v>8</v>
      </c>
      <c r="D445" s="21" t="s">
        <v>1147</v>
      </c>
      <c r="E445" s="21" t="s">
        <v>46</v>
      </c>
      <c r="F445" s="5812">
        <v>2</v>
      </c>
      <c r="G445" s="5813">
        <v>0.12638888888888888</v>
      </c>
      <c r="H445" s="21" t="s">
        <v>10</v>
      </c>
      <c r="I445" s="21" t="s">
        <v>55</v>
      </c>
      <c r="J445" s="21" t="s">
        <v>48</v>
      </c>
      <c r="K445" s="5814" t="s">
        <v>11134</v>
      </c>
    </row>
    <row r="446" spans="1:11">
      <c r="A446" s="21" t="s">
        <v>3395</v>
      </c>
      <c r="B446" s="21" t="s">
        <v>11135</v>
      </c>
      <c r="C446" s="21" t="s">
        <v>22</v>
      </c>
      <c r="D446" s="21" t="s">
        <v>1147</v>
      </c>
      <c r="E446" s="21" t="s">
        <v>46</v>
      </c>
      <c r="F446" s="5812">
        <v>2</v>
      </c>
      <c r="G446" s="5813">
        <v>0.12847222222222221</v>
      </c>
      <c r="H446" s="21" t="s">
        <v>54</v>
      </c>
      <c r="I446" s="21" t="s">
        <v>47</v>
      </c>
      <c r="J446" s="21" t="s">
        <v>48</v>
      </c>
      <c r="K446" s="5814" t="s">
        <v>11136</v>
      </c>
    </row>
    <row r="447" spans="1:11">
      <c r="A447" s="21" t="s">
        <v>2886</v>
      </c>
      <c r="B447" s="21" t="s">
        <v>11137</v>
      </c>
      <c r="C447" s="21" t="s">
        <v>22</v>
      </c>
      <c r="D447" s="21" t="s">
        <v>1147</v>
      </c>
      <c r="E447" s="21" t="s">
        <v>46</v>
      </c>
      <c r="F447" s="5812">
        <v>2</v>
      </c>
      <c r="G447" s="5813">
        <v>0.12986111111111112</v>
      </c>
      <c r="H447" s="21" t="s">
        <v>10</v>
      </c>
      <c r="I447" s="21" t="s">
        <v>55</v>
      </c>
      <c r="J447" s="21" t="s">
        <v>1076</v>
      </c>
      <c r="K447" s="5814" t="s">
        <v>11138</v>
      </c>
    </row>
    <row r="448" spans="1:11">
      <c r="A448" s="21" t="s">
        <v>2675</v>
      </c>
      <c r="B448" s="21" t="s">
        <v>11139</v>
      </c>
      <c r="C448" s="21" t="s">
        <v>22</v>
      </c>
      <c r="D448" s="21" t="s">
        <v>1147</v>
      </c>
      <c r="E448" s="21" t="s">
        <v>46</v>
      </c>
      <c r="F448" s="5812">
        <v>2</v>
      </c>
      <c r="G448" s="5813">
        <v>0.13194444444444445</v>
      </c>
      <c r="H448" s="21" t="s">
        <v>10</v>
      </c>
      <c r="I448" s="21" t="s">
        <v>5712</v>
      </c>
      <c r="J448" s="21" t="s">
        <v>3226</v>
      </c>
      <c r="K448" s="5814" t="s">
        <v>11140</v>
      </c>
    </row>
    <row r="449" spans="1:11">
      <c r="A449" s="21" t="s">
        <v>2702</v>
      </c>
      <c r="B449" s="21" t="s">
        <v>11141</v>
      </c>
      <c r="C449" s="21" t="s">
        <v>8</v>
      </c>
      <c r="D449" s="21" t="s">
        <v>1147</v>
      </c>
      <c r="E449" s="21" t="s">
        <v>46</v>
      </c>
      <c r="F449" s="5812">
        <v>2</v>
      </c>
      <c r="G449" s="5813">
        <v>0.13402777777777777</v>
      </c>
      <c r="H449" s="21" t="s">
        <v>10</v>
      </c>
      <c r="I449" s="21" t="s">
        <v>96</v>
      </c>
      <c r="J449" s="21" t="s">
        <v>3226</v>
      </c>
      <c r="K449" s="5814" t="s">
        <v>11142</v>
      </c>
    </row>
    <row r="450" spans="1:11">
      <c r="A450" s="21" t="s">
        <v>115</v>
      </c>
      <c r="B450" s="21" t="s">
        <v>1166</v>
      </c>
      <c r="C450" s="21" t="s">
        <v>22</v>
      </c>
      <c r="D450" s="21" t="s">
        <v>1147</v>
      </c>
      <c r="E450" s="21" t="s">
        <v>46</v>
      </c>
      <c r="F450" s="5812">
        <v>2</v>
      </c>
      <c r="G450" s="5813">
        <v>0.13680555555555557</v>
      </c>
      <c r="H450" s="21" t="s">
        <v>10</v>
      </c>
      <c r="I450" s="21" t="s">
        <v>11</v>
      </c>
      <c r="J450" s="21" t="s">
        <v>417</v>
      </c>
      <c r="K450" s="5814" t="s">
        <v>1167</v>
      </c>
    </row>
    <row r="451" spans="1:11">
      <c r="A451" s="21" t="s">
        <v>2280</v>
      </c>
      <c r="B451" s="21" t="s">
        <v>11143</v>
      </c>
      <c r="C451" s="21" t="s">
        <v>22</v>
      </c>
      <c r="D451" s="21" t="s">
        <v>1147</v>
      </c>
      <c r="E451" s="21" t="s">
        <v>46</v>
      </c>
      <c r="F451" s="5812">
        <v>2</v>
      </c>
      <c r="G451" s="5813">
        <v>0.15069444444444444</v>
      </c>
      <c r="H451" s="21" t="s">
        <v>10</v>
      </c>
      <c r="I451" s="21" t="s">
        <v>96</v>
      </c>
      <c r="J451" s="21" t="s">
        <v>406</v>
      </c>
      <c r="K451" s="5814" t="s">
        <v>11144</v>
      </c>
    </row>
    <row r="452" spans="1:11">
      <c r="A452" s="21" t="s">
        <v>2772</v>
      </c>
      <c r="B452" s="21" t="s">
        <v>11145</v>
      </c>
      <c r="C452" s="21" t="s">
        <v>8</v>
      </c>
      <c r="D452" s="21" t="s">
        <v>1147</v>
      </c>
      <c r="E452" s="21" t="s">
        <v>46</v>
      </c>
      <c r="F452" s="5812">
        <v>2</v>
      </c>
      <c r="G452" s="5813">
        <v>0.16597222222222222</v>
      </c>
      <c r="H452" s="21" t="s">
        <v>10</v>
      </c>
      <c r="I452" s="21" t="s">
        <v>2814</v>
      </c>
      <c r="J452" s="21" t="s">
        <v>48</v>
      </c>
      <c r="K452" s="5814" t="s">
        <v>11146</v>
      </c>
    </row>
    <row r="453" spans="1:11">
      <c r="A453" s="21" t="s">
        <v>2893</v>
      </c>
      <c r="B453" s="21" t="s">
        <v>11147</v>
      </c>
      <c r="C453" s="21" t="s">
        <v>8</v>
      </c>
      <c r="D453" s="21" t="s">
        <v>1147</v>
      </c>
      <c r="E453" s="21" t="s">
        <v>46</v>
      </c>
      <c r="F453" s="5812">
        <v>2</v>
      </c>
      <c r="G453" s="5813">
        <v>0.16805555555555557</v>
      </c>
      <c r="H453" s="21" t="s">
        <v>10</v>
      </c>
      <c r="I453" s="21" t="s">
        <v>55</v>
      </c>
      <c r="J453" s="21" t="s">
        <v>127</v>
      </c>
      <c r="K453" s="5814" t="s">
        <v>11148</v>
      </c>
    </row>
    <row r="454" spans="1:11">
      <c r="A454" s="21" t="s">
        <v>177</v>
      </c>
      <c r="B454" s="21" t="s">
        <v>1255</v>
      </c>
      <c r="C454" s="21" t="s">
        <v>22</v>
      </c>
      <c r="D454" s="21" t="s">
        <v>1147</v>
      </c>
      <c r="E454" s="21" t="s">
        <v>46</v>
      </c>
      <c r="F454" s="5812">
        <v>2</v>
      </c>
      <c r="G454" s="5813">
        <v>0.16875000000000001</v>
      </c>
      <c r="H454" s="21" t="s">
        <v>10</v>
      </c>
      <c r="I454" s="21" t="s">
        <v>89</v>
      </c>
      <c r="J454" s="21" t="s">
        <v>48</v>
      </c>
      <c r="K454" s="5814" t="s">
        <v>1256</v>
      </c>
    </row>
    <row r="455" spans="1:11">
      <c r="A455" s="21" t="s">
        <v>2724</v>
      </c>
      <c r="B455" s="21" t="s">
        <v>11149</v>
      </c>
      <c r="C455" s="21" t="s">
        <v>8</v>
      </c>
      <c r="D455" s="21" t="s">
        <v>1147</v>
      </c>
      <c r="E455" s="21" t="s">
        <v>46</v>
      </c>
      <c r="F455" s="5812">
        <v>2</v>
      </c>
      <c r="G455" s="5813">
        <v>0.17499999999999999</v>
      </c>
      <c r="H455" s="21" t="s">
        <v>10</v>
      </c>
      <c r="I455" s="21" t="s">
        <v>23</v>
      </c>
      <c r="J455" s="21" t="s">
        <v>48</v>
      </c>
      <c r="K455" s="5814" t="s">
        <v>11150</v>
      </c>
    </row>
    <row r="456" spans="1:11">
      <c r="A456" s="21" t="s">
        <v>2643</v>
      </c>
      <c r="B456" s="21" t="s">
        <v>11151</v>
      </c>
      <c r="C456" s="21" t="s">
        <v>8</v>
      </c>
      <c r="D456" s="21" t="s">
        <v>1147</v>
      </c>
      <c r="E456" s="21" t="s">
        <v>46</v>
      </c>
      <c r="F456" s="5812">
        <v>2</v>
      </c>
      <c r="G456" s="5813">
        <v>0.17569444444444443</v>
      </c>
      <c r="H456" s="21" t="s">
        <v>10</v>
      </c>
      <c r="I456" s="21" t="s">
        <v>47</v>
      </c>
      <c r="J456" s="21" t="s">
        <v>258</v>
      </c>
      <c r="K456" s="5814" t="s">
        <v>11152</v>
      </c>
    </row>
    <row r="457" spans="1:11">
      <c r="A457" s="21" t="s">
        <v>3491</v>
      </c>
      <c r="B457" s="21" t="s">
        <v>11153</v>
      </c>
      <c r="C457" s="21" t="s">
        <v>22</v>
      </c>
      <c r="D457" s="21" t="s">
        <v>1147</v>
      </c>
      <c r="E457" s="21" t="s">
        <v>46</v>
      </c>
      <c r="F457" s="5812">
        <v>2</v>
      </c>
      <c r="G457" s="5813">
        <v>0.17708333333333334</v>
      </c>
      <c r="H457" s="21" t="s">
        <v>10</v>
      </c>
      <c r="I457" s="21" t="s">
        <v>73</v>
      </c>
      <c r="J457" s="21" t="s">
        <v>722</v>
      </c>
      <c r="K457" s="5814" t="s">
        <v>11154</v>
      </c>
    </row>
    <row r="458" spans="1:11">
      <c r="A458" s="21" t="s">
        <v>3012</v>
      </c>
      <c r="B458" s="21" t="s">
        <v>11155</v>
      </c>
      <c r="C458" s="21" t="s">
        <v>22</v>
      </c>
      <c r="D458" s="21" t="s">
        <v>1147</v>
      </c>
      <c r="E458" s="21" t="s">
        <v>46</v>
      </c>
      <c r="F458" s="5812">
        <v>2</v>
      </c>
      <c r="G458" s="5813">
        <v>0.17708333333333334</v>
      </c>
      <c r="H458" s="21" t="s">
        <v>10</v>
      </c>
      <c r="I458" s="21" t="s">
        <v>23</v>
      </c>
      <c r="J458" s="21" t="s">
        <v>97</v>
      </c>
      <c r="K458" s="5814" t="s">
        <v>11156</v>
      </c>
    </row>
    <row r="459" spans="1:11">
      <c r="A459" s="21" t="s">
        <v>4257</v>
      </c>
      <c r="B459" s="21" t="s">
        <v>11157</v>
      </c>
      <c r="C459" s="21" t="s">
        <v>22</v>
      </c>
      <c r="D459" s="21" t="s">
        <v>1147</v>
      </c>
      <c r="E459" s="21" t="s">
        <v>46</v>
      </c>
      <c r="F459" s="5812">
        <v>2</v>
      </c>
      <c r="G459" s="5813">
        <v>0.17847222222222223</v>
      </c>
      <c r="H459" s="21" t="s">
        <v>10</v>
      </c>
      <c r="I459" s="21" t="s">
        <v>654</v>
      </c>
      <c r="J459" s="21" t="s">
        <v>940</v>
      </c>
      <c r="K459" s="5814" t="s">
        <v>11158</v>
      </c>
    </row>
    <row r="460" spans="1:11">
      <c r="A460" s="21" t="s">
        <v>3643</v>
      </c>
      <c r="B460" s="21" t="s">
        <v>11159</v>
      </c>
      <c r="C460" s="21" t="s">
        <v>8</v>
      </c>
      <c r="D460" s="21" t="s">
        <v>1147</v>
      </c>
      <c r="E460" s="21" t="s">
        <v>46</v>
      </c>
      <c r="F460" s="5812">
        <v>2</v>
      </c>
      <c r="G460" s="5813">
        <v>0.18124999999999999</v>
      </c>
      <c r="H460" s="21" t="s">
        <v>10</v>
      </c>
      <c r="I460" s="21" t="s">
        <v>23</v>
      </c>
      <c r="J460" s="21" t="s">
        <v>97</v>
      </c>
      <c r="K460" s="5814" t="s">
        <v>11160</v>
      </c>
    </row>
    <row r="461" spans="1:11">
      <c r="A461" s="21" t="s">
        <v>231</v>
      </c>
      <c r="B461" s="21" t="s">
        <v>1202</v>
      </c>
      <c r="C461" s="21" t="s">
        <v>22</v>
      </c>
      <c r="D461" s="21" t="s">
        <v>1147</v>
      </c>
      <c r="E461" s="21" t="s">
        <v>46</v>
      </c>
      <c r="F461" s="5812">
        <v>2</v>
      </c>
      <c r="G461" s="5813">
        <v>0.18958333333333333</v>
      </c>
      <c r="H461" s="21" t="s">
        <v>10</v>
      </c>
      <c r="I461" s="21" t="s">
        <v>96</v>
      </c>
      <c r="J461" s="21" t="s">
        <v>1203</v>
      </c>
      <c r="K461" s="5814" t="s">
        <v>11161</v>
      </c>
    </row>
    <row r="462" spans="1:11">
      <c r="A462" s="21" t="s">
        <v>3409</v>
      </c>
      <c r="B462" s="21" t="s">
        <v>11162</v>
      </c>
      <c r="C462" s="21" t="s">
        <v>8</v>
      </c>
      <c r="D462" s="21" t="s">
        <v>1147</v>
      </c>
      <c r="E462" s="21" t="s">
        <v>46</v>
      </c>
      <c r="F462" s="5812">
        <v>2</v>
      </c>
      <c r="G462" s="5813">
        <v>0.19305555555555556</v>
      </c>
      <c r="H462" s="21" t="s">
        <v>10</v>
      </c>
      <c r="I462" s="21" t="s">
        <v>226</v>
      </c>
      <c r="J462" s="21" t="s">
        <v>97</v>
      </c>
      <c r="K462" s="5814" t="s">
        <v>11163</v>
      </c>
    </row>
    <row r="463" spans="1:11">
      <c r="A463" s="21" t="s">
        <v>3036</v>
      </c>
      <c r="B463" s="21" t="s">
        <v>11164</v>
      </c>
      <c r="C463" s="21" t="s">
        <v>8</v>
      </c>
      <c r="D463" s="21" t="s">
        <v>1147</v>
      </c>
      <c r="E463" s="21" t="s">
        <v>46</v>
      </c>
      <c r="F463" s="5812">
        <v>2</v>
      </c>
      <c r="G463" s="5813">
        <v>0.19791666666666666</v>
      </c>
      <c r="H463" s="21" t="s">
        <v>10</v>
      </c>
      <c r="I463" s="21" t="s">
        <v>2153</v>
      </c>
      <c r="J463" s="21" t="s">
        <v>48</v>
      </c>
      <c r="K463" s="5814" t="s">
        <v>11165</v>
      </c>
    </row>
    <row r="464" spans="1:11">
      <c r="A464" s="21" t="s">
        <v>2237</v>
      </c>
      <c r="B464" s="21" t="s">
        <v>11166</v>
      </c>
      <c r="C464" s="21" t="s">
        <v>22</v>
      </c>
      <c r="D464" s="21" t="s">
        <v>1147</v>
      </c>
      <c r="E464" s="21" t="s">
        <v>46</v>
      </c>
      <c r="F464" s="5812">
        <v>2</v>
      </c>
      <c r="G464" s="5813">
        <v>0.19791666666666666</v>
      </c>
      <c r="H464" s="21" t="s">
        <v>10</v>
      </c>
      <c r="I464" s="21" t="s">
        <v>5894</v>
      </c>
      <c r="J464" s="21" t="s">
        <v>48</v>
      </c>
      <c r="K464" s="5814" t="s">
        <v>11167</v>
      </c>
    </row>
    <row r="465" spans="1:11">
      <c r="A465" s="21" t="s">
        <v>2096</v>
      </c>
      <c r="B465" s="21" t="s">
        <v>11168</v>
      </c>
      <c r="C465" s="21" t="s">
        <v>8</v>
      </c>
      <c r="D465" s="21" t="s">
        <v>1147</v>
      </c>
      <c r="E465" s="21" t="s">
        <v>46</v>
      </c>
      <c r="F465" s="5812">
        <v>2</v>
      </c>
      <c r="G465" s="5813">
        <v>0.19930555555555557</v>
      </c>
      <c r="H465" s="21" t="s">
        <v>10</v>
      </c>
      <c r="I465" s="21" t="s">
        <v>2313</v>
      </c>
      <c r="J465" s="21" t="s">
        <v>97</v>
      </c>
      <c r="K465" s="5814" t="s">
        <v>11169</v>
      </c>
    </row>
    <row r="466" spans="1:11">
      <c r="A466" s="21" t="s">
        <v>2045</v>
      </c>
      <c r="B466" s="21" t="s">
        <v>11170</v>
      </c>
      <c r="C466" s="21" t="s">
        <v>22</v>
      </c>
      <c r="D466" s="21" t="s">
        <v>1147</v>
      </c>
      <c r="E466" s="21" t="s">
        <v>46</v>
      </c>
      <c r="F466" s="5812">
        <v>2</v>
      </c>
      <c r="G466" s="5813">
        <v>0.19930555555555557</v>
      </c>
      <c r="H466" s="21" t="s">
        <v>10</v>
      </c>
      <c r="I466" s="21" t="s">
        <v>39</v>
      </c>
      <c r="J466" s="21" t="s">
        <v>97</v>
      </c>
      <c r="K466" s="5814" t="s">
        <v>11171</v>
      </c>
    </row>
    <row r="467" spans="1:11">
      <c r="A467" s="21" t="s">
        <v>2160</v>
      </c>
      <c r="B467" s="21" t="s">
        <v>11172</v>
      </c>
      <c r="C467" s="21" t="s">
        <v>22</v>
      </c>
      <c r="D467" s="21" t="s">
        <v>1147</v>
      </c>
      <c r="E467" s="21" t="s">
        <v>46</v>
      </c>
      <c r="F467" s="5812">
        <v>2</v>
      </c>
      <c r="G467" s="5813">
        <v>0.20416666666666666</v>
      </c>
      <c r="H467" s="21" t="s">
        <v>10</v>
      </c>
      <c r="I467" s="21" t="s">
        <v>2814</v>
      </c>
      <c r="J467" s="21" t="s">
        <v>48</v>
      </c>
      <c r="K467" s="5814" t="s">
        <v>11173</v>
      </c>
    </row>
    <row r="468" spans="1:11">
      <c r="A468" s="21" t="s">
        <v>2638</v>
      </c>
      <c r="B468" s="21" t="s">
        <v>11174</v>
      </c>
      <c r="C468" s="21" t="s">
        <v>22</v>
      </c>
      <c r="D468" s="21" t="s">
        <v>1147</v>
      </c>
      <c r="E468" s="21" t="s">
        <v>46</v>
      </c>
      <c r="F468" s="5812">
        <v>2</v>
      </c>
      <c r="G468" s="5813">
        <v>0.2048611111111111</v>
      </c>
      <c r="H468" s="21" t="s">
        <v>54</v>
      </c>
      <c r="I468" s="21" t="s">
        <v>55</v>
      </c>
      <c r="J468" s="21" t="s">
        <v>48</v>
      </c>
      <c r="K468" s="5814" t="s">
        <v>11175</v>
      </c>
    </row>
    <row r="469" spans="1:11">
      <c r="A469" s="21" t="s">
        <v>2156</v>
      </c>
      <c r="B469" s="21" t="s">
        <v>11176</v>
      </c>
      <c r="C469" s="21" t="s">
        <v>8</v>
      </c>
      <c r="D469" s="21" t="s">
        <v>1147</v>
      </c>
      <c r="E469" s="21" t="s">
        <v>46</v>
      </c>
      <c r="F469" s="5812">
        <v>2</v>
      </c>
      <c r="G469" s="5813">
        <v>0.2048611111111111</v>
      </c>
      <c r="H469" s="21" t="s">
        <v>10</v>
      </c>
      <c r="I469" s="21" t="s">
        <v>11</v>
      </c>
      <c r="J469" s="21" t="s">
        <v>417</v>
      </c>
      <c r="K469" s="5814" t="s">
        <v>11177</v>
      </c>
    </row>
    <row r="470" spans="1:11">
      <c r="A470" s="21" t="s">
        <v>2534</v>
      </c>
      <c r="B470" s="21" t="s">
        <v>11178</v>
      </c>
      <c r="C470" s="21" t="s">
        <v>8</v>
      </c>
      <c r="D470" s="21" t="s">
        <v>1147</v>
      </c>
      <c r="E470" s="21" t="s">
        <v>46</v>
      </c>
      <c r="F470" s="5812">
        <v>2</v>
      </c>
      <c r="G470" s="5813">
        <v>0.20555555555555555</v>
      </c>
      <c r="H470" s="21" t="s">
        <v>10</v>
      </c>
      <c r="I470" s="21" t="s">
        <v>39</v>
      </c>
      <c r="J470" s="21" t="s">
        <v>940</v>
      </c>
      <c r="K470" s="5814" t="s">
        <v>11179</v>
      </c>
    </row>
    <row r="471" spans="1:11">
      <c r="A471" s="21" t="s">
        <v>2084</v>
      </c>
      <c r="B471" s="21" t="s">
        <v>11180</v>
      </c>
      <c r="C471" s="21" t="s">
        <v>22</v>
      </c>
      <c r="D471" s="21" t="s">
        <v>1147</v>
      </c>
      <c r="E471" s="21" t="s">
        <v>46</v>
      </c>
      <c r="F471" s="5812">
        <v>2</v>
      </c>
      <c r="G471" s="5813">
        <v>0.20624999999999999</v>
      </c>
      <c r="H471" s="21" t="s">
        <v>10</v>
      </c>
      <c r="I471" s="21" t="s">
        <v>96</v>
      </c>
      <c r="J471" s="21" t="s">
        <v>97</v>
      </c>
      <c r="K471" s="5814" t="s">
        <v>11181</v>
      </c>
    </row>
    <row r="472" spans="1:11">
      <c r="A472" s="21" t="s">
        <v>2267</v>
      </c>
      <c r="B472" s="21" t="s">
        <v>11182</v>
      </c>
      <c r="C472" s="21" t="s">
        <v>8</v>
      </c>
      <c r="D472" s="21" t="s">
        <v>1147</v>
      </c>
      <c r="E472" s="21" t="s">
        <v>46</v>
      </c>
      <c r="F472" s="5812">
        <v>3</v>
      </c>
      <c r="G472" s="5813">
        <v>1.8749999999999999E-2</v>
      </c>
      <c r="H472" s="21" t="s">
        <v>10</v>
      </c>
      <c r="I472" s="21" t="s">
        <v>2713</v>
      </c>
      <c r="J472" s="21" t="s">
        <v>774</v>
      </c>
      <c r="K472" s="5814" t="s">
        <v>11183</v>
      </c>
    </row>
    <row r="473" spans="1:11">
      <c r="A473" s="21" t="s">
        <v>2808</v>
      </c>
      <c r="B473" s="21" t="s">
        <v>11184</v>
      </c>
      <c r="C473" s="21" t="s">
        <v>8</v>
      </c>
      <c r="D473" s="21" t="s">
        <v>1147</v>
      </c>
      <c r="E473" s="21" t="s">
        <v>46</v>
      </c>
      <c r="F473" s="5812">
        <v>3</v>
      </c>
      <c r="G473" s="5813">
        <v>2.361111111111111E-2</v>
      </c>
      <c r="H473" s="21" t="s">
        <v>10</v>
      </c>
      <c r="I473" s="21" t="s">
        <v>2297</v>
      </c>
      <c r="J473" s="21" t="s">
        <v>722</v>
      </c>
      <c r="K473" s="5814" t="s">
        <v>11185</v>
      </c>
    </row>
    <row r="474" spans="1:11">
      <c r="A474" s="21" t="s">
        <v>4768</v>
      </c>
      <c r="B474" s="21" t="s">
        <v>11186</v>
      </c>
      <c r="C474" s="21" t="s">
        <v>22</v>
      </c>
      <c r="D474" s="21" t="s">
        <v>1147</v>
      </c>
      <c r="E474" s="21" t="s">
        <v>46</v>
      </c>
      <c r="F474" s="5812">
        <v>3</v>
      </c>
      <c r="G474" s="5813">
        <v>3.1944444444444442E-2</v>
      </c>
      <c r="H474" s="21" t="s">
        <v>10</v>
      </c>
      <c r="I474" s="21" t="s">
        <v>2269</v>
      </c>
      <c r="J474" s="21" t="s">
        <v>430</v>
      </c>
      <c r="K474" s="5814" t="s">
        <v>11187</v>
      </c>
    </row>
    <row r="475" spans="1:11">
      <c r="A475" s="21" t="s">
        <v>5148</v>
      </c>
      <c r="B475" s="21" t="s">
        <v>11188</v>
      </c>
      <c r="C475" s="21" t="s">
        <v>22</v>
      </c>
      <c r="D475" s="21" t="s">
        <v>1147</v>
      </c>
      <c r="E475" s="21" t="s">
        <v>46</v>
      </c>
      <c r="F475" s="5812">
        <v>3</v>
      </c>
      <c r="G475" s="5813">
        <v>4.1666666666666664E-2</v>
      </c>
      <c r="H475" s="21" t="s">
        <v>10</v>
      </c>
      <c r="I475" s="21" t="s">
        <v>23</v>
      </c>
      <c r="J475" s="21" t="s">
        <v>722</v>
      </c>
      <c r="K475" s="5814" t="s">
        <v>11189</v>
      </c>
    </row>
    <row r="476" spans="1:11">
      <c r="A476" s="21" t="s">
        <v>3105</v>
      </c>
      <c r="B476" s="21" t="s">
        <v>11190</v>
      </c>
      <c r="C476" s="21" t="s">
        <v>22</v>
      </c>
      <c r="D476" s="21" t="s">
        <v>1147</v>
      </c>
      <c r="E476" s="21" t="s">
        <v>46</v>
      </c>
      <c r="F476" s="5812">
        <v>3</v>
      </c>
      <c r="G476" s="5813">
        <v>4.3055555555555555E-2</v>
      </c>
      <c r="H476" s="21" t="s">
        <v>10</v>
      </c>
      <c r="I476" s="21" t="s">
        <v>23</v>
      </c>
      <c r="J476" s="21" t="s">
        <v>48</v>
      </c>
      <c r="K476" s="5814" t="s">
        <v>11191</v>
      </c>
    </row>
    <row r="477" spans="1:11">
      <c r="A477" s="21" t="s">
        <v>2092</v>
      </c>
      <c r="B477" s="21" t="s">
        <v>11192</v>
      </c>
      <c r="C477" s="21" t="s">
        <v>22</v>
      </c>
      <c r="D477" s="21" t="s">
        <v>1147</v>
      </c>
      <c r="E477" s="21" t="s">
        <v>46</v>
      </c>
      <c r="F477" s="5812">
        <v>3</v>
      </c>
      <c r="G477" s="5813">
        <v>4.3749999999999997E-2</v>
      </c>
      <c r="H477" s="21" t="s">
        <v>10</v>
      </c>
      <c r="I477" s="21" t="s">
        <v>23</v>
      </c>
      <c r="J477" s="21" t="s">
        <v>3094</v>
      </c>
      <c r="K477" s="5814" t="s">
        <v>11193</v>
      </c>
    </row>
    <row r="478" spans="1:11">
      <c r="A478" s="21" t="s">
        <v>5390</v>
      </c>
      <c r="B478" s="21" t="s">
        <v>11194</v>
      </c>
      <c r="C478" s="21" t="s">
        <v>8</v>
      </c>
      <c r="D478" s="21" t="s">
        <v>1147</v>
      </c>
      <c r="E478" s="21" t="s">
        <v>46</v>
      </c>
      <c r="F478" s="5812">
        <v>3</v>
      </c>
      <c r="G478" s="5813">
        <v>4.791666666666667E-2</v>
      </c>
      <c r="H478" s="21" t="s">
        <v>10</v>
      </c>
      <c r="I478" s="21" t="s">
        <v>55</v>
      </c>
      <c r="J478" s="21" t="s">
        <v>48</v>
      </c>
      <c r="K478" s="5814" t="s">
        <v>11195</v>
      </c>
    </row>
    <row r="479" spans="1:11">
      <c r="A479" s="21" t="s">
        <v>2307</v>
      </c>
      <c r="B479" s="21" t="s">
        <v>11196</v>
      </c>
      <c r="C479" s="21" t="s">
        <v>8</v>
      </c>
      <c r="D479" s="21" t="s">
        <v>1147</v>
      </c>
      <c r="E479" s="21" t="s">
        <v>46</v>
      </c>
      <c r="F479" s="5812">
        <v>3</v>
      </c>
      <c r="G479" s="5813">
        <v>5.2083333333333336E-2</v>
      </c>
      <c r="H479" s="21" t="s">
        <v>10</v>
      </c>
      <c r="I479" s="21" t="s">
        <v>226</v>
      </c>
      <c r="J479" s="21" t="s">
        <v>97</v>
      </c>
      <c r="K479" s="5814" t="s">
        <v>11197</v>
      </c>
    </row>
    <row r="480" spans="1:11">
      <c r="A480" s="21" t="s">
        <v>166</v>
      </c>
      <c r="B480" s="21" t="s">
        <v>1246</v>
      </c>
      <c r="C480" s="21" t="s">
        <v>22</v>
      </c>
      <c r="D480" s="21" t="s">
        <v>1147</v>
      </c>
      <c r="E480" s="21" t="s">
        <v>46</v>
      </c>
      <c r="F480" s="5812">
        <v>3</v>
      </c>
      <c r="G480" s="5813">
        <v>5.4166666666666669E-2</v>
      </c>
      <c r="H480" s="21" t="s">
        <v>10</v>
      </c>
      <c r="I480" s="21" t="s">
        <v>96</v>
      </c>
      <c r="J480" s="21" t="s">
        <v>97</v>
      </c>
      <c r="K480" s="5814" t="s">
        <v>1247</v>
      </c>
    </row>
    <row r="481" spans="1:11">
      <c r="A481" s="21" t="s">
        <v>3345</v>
      </c>
      <c r="B481" s="21" t="s">
        <v>11198</v>
      </c>
      <c r="C481" s="21" t="s">
        <v>8</v>
      </c>
      <c r="D481" s="21" t="s">
        <v>1147</v>
      </c>
      <c r="E481" s="21" t="s">
        <v>46</v>
      </c>
      <c r="F481" s="5812">
        <v>3</v>
      </c>
      <c r="G481" s="5813">
        <v>5.9722222222222225E-2</v>
      </c>
      <c r="H481" s="21" t="s">
        <v>10</v>
      </c>
      <c r="I481" s="21" t="s">
        <v>400</v>
      </c>
      <c r="J481" s="21" t="s">
        <v>97</v>
      </c>
      <c r="K481" s="5814" t="s">
        <v>11199</v>
      </c>
    </row>
    <row r="482" spans="1:11">
      <c r="A482" s="21" t="s">
        <v>3430</v>
      </c>
      <c r="B482" s="21" t="s">
        <v>11200</v>
      </c>
      <c r="C482" s="21" t="s">
        <v>8</v>
      </c>
      <c r="D482" s="21" t="s">
        <v>1147</v>
      </c>
      <c r="E482" s="21" t="s">
        <v>46</v>
      </c>
      <c r="F482" s="5812">
        <v>3</v>
      </c>
      <c r="G482" s="5813">
        <v>6.0416666666666667E-2</v>
      </c>
      <c r="H482" s="21" t="s">
        <v>10</v>
      </c>
      <c r="I482" s="21" t="s">
        <v>55</v>
      </c>
      <c r="J482" s="21" t="s">
        <v>518</v>
      </c>
      <c r="K482" s="5814" t="s">
        <v>11201</v>
      </c>
    </row>
    <row r="483" spans="1:11">
      <c r="A483" s="21" t="s">
        <v>5984</v>
      </c>
      <c r="B483" s="21" t="s">
        <v>11202</v>
      </c>
      <c r="C483" s="21" t="s">
        <v>22</v>
      </c>
      <c r="D483" s="21" t="s">
        <v>1147</v>
      </c>
      <c r="E483" s="21" t="s">
        <v>46</v>
      </c>
      <c r="F483" s="5812">
        <v>3</v>
      </c>
      <c r="G483" s="5813">
        <v>8.4027777777777785E-2</v>
      </c>
      <c r="H483" s="21" t="s">
        <v>10</v>
      </c>
      <c r="I483" s="21" t="s">
        <v>11</v>
      </c>
      <c r="J483" s="21" t="s">
        <v>97</v>
      </c>
      <c r="K483" s="5814" t="s">
        <v>11203</v>
      </c>
    </row>
    <row r="484" spans="1:11">
      <c r="A484" s="21" t="s">
        <v>5168</v>
      </c>
      <c r="B484" s="21" t="s">
        <v>11204</v>
      </c>
      <c r="C484" s="21" t="s">
        <v>22</v>
      </c>
      <c r="D484" s="21" t="s">
        <v>1147</v>
      </c>
      <c r="E484" s="21" t="s">
        <v>46</v>
      </c>
      <c r="F484" s="5812">
        <v>3</v>
      </c>
      <c r="G484" s="5813">
        <v>8.4722222222222227E-2</v>
      </c>
      <c r="H484" s="21" t="s">
        <v>10</v>
      </c>
      <c r="I484" s="21" t="s">
        <v>3464</v>
      </c>
      <c r="J484" s="21" t="s">
        <v>97</v>
      </c>
      <c r="K484" s="5814" t="s">
        <v>11205</v>
      </c>
    </row>
    <row r="485" spans="1:11">
      <c r="A485" s="21" t="s">
        <v>2513</v>
      </c>
      <c r="B485" s="21" t="s">
        <v>11206</v>
      </c>
      <c r="C485" s="21" t="s">
        <v>8</v>
      </c>
      <c r="D485" s="21" t="s">
        <v>1147</v>
      </c>
      <c r="E485" s="21" t="s">
        <v>46</v>
      </c>
      <c r="F485" s="5812">
        <v>3</v>
      </c>
      <c r="G485" s="5813">
        <v>8.5416666666666669E-2</v>
      </c>
      <c r="H485" s="21" t="s">
        <v>10</v>
      </c>
      <c r="I485" s="21" t="s">
        <v>39</v>
      </c>
      <c r="J485" s="21" t="s">
        <v>11207</v>
      </c>
      <c r="K485" s="5814" t="s">
        <v>11208</v>
      </c>
    </row>
    <row r="486" spans="1:11">
      <c r="A486" s="21" t="s">
        <v>3720</v>
      </c>
      <c r="B486" s="21" t="s">
        <v>11209</v>
      </c>
      <c r="C486" s="21" t="s">
        <v>8</v>
      </c>
      <c r="D486" s="21" t="s">
        <v>1147</v>
      </c>
      <c r="E486" s="21" t="s">
        <v>46</v>
      </c>
      <c r="F486" s="5812">
        <v>3</v>
      </c>
      <c r="G486" s="5813">
        <v>8.5416666666666669E-2</v>
      </c>
      <c r="H486" s="21" t="s">
        <v>10</v>
      </c>
      <c r="I486" s="21" t="s">
        <v>11</v>
      </c>
      <c r="J486" s="21" t="s">
        <v>48</v>
      </c>
      <c r="K486" s="5814" t="s">
        <v>11210</v>
      </c>
    </row>
    <row r="487" spans="1:11">
      <c r="A487" s="21" t="s">
        <v>2932</v>
      </c>
      <c r="B487" s="21" t="s">
        <v>11211</v>
      </c>
      <c r="C487" s="21" t="s">
        <v>8</v>
      </c>
      <c r="D487" s="21" t="s">
        <v>1147</v>
      </c>
      <c r="E487" s="21" t="s">
        <v>46</v>
      </c>
      <c r="F487" s="5812">
        <v>3</v>
      </c>
      <c r="G487" s="5813">
        <v>9.583333333333334E-2</v>
      </c>
      <c r="H487" s="21" t="s">
        <v>10</v>
      </c>
      <c r="I487" s="21" t="s">
        <v>39</v>
      </c>
      <c r="J487" s="21" t="s">
        <v>127</v>
      </c>
      <c r="K487" s="5814" t="s">
        <v>11212</v>
      </c>
    </row>
    <row r="488" spans="1:11">
      <c r="A488" s="21" t="s">
        <v>3427</v>
      </c>
      <c r="B488" s="21" t="s">
        <v>11213</v>
      </c>
      <c r="C488" s="21" t="s">
        <v>22</v>
      </c>
      <c r="D488" s="21" t="s">
        <v>1147</v>
      </c>
      <c r="E488" s="21" t="s">
        <v>46</v>
      </c>
      <c r="F488" s="5812">
        <v>3</v>
      </c>
      <c r="G488" s="5813">
        <v>9.583333333333334E-2</v>
      </c>
      <c r="H488" s="21" t="s">
        <v>10</v>
      </c>
      <c r="I488" s="21" t="s">
        <v>96</v>
      </c>
      <c r="J488" s="21" t="s">
        <v>97</v>
      </c>
      <c r="K488" s="5814" t="s">
        <v>11214</v>
      </c>
    </row>
    <row r="489" spans="1:11">
      <c r="A489" s="21" t="s">
        <v>3458</v>
      </c>
      <c r="B489" s="21" t="s">
        <v>11215</v>
      </c>
      <c r="C489" s="21" t="s">
        <v>8</v>
      </c>
      <c r="D489" s="21" t="s">
        <v>1147</v>
      </c>
      <c r="E489" s="21" t="s">
        <v>46</v>
      </c>
      <c r="F489" s="5812">
        <v>3</v>
      </c>
      <c r="G489" s="5813">
        <v>0.1076388888888889</v>
      </c>
      <c r="H489" s="21" t="s">
        <v>10</v>
      </c>
      <c r="I489" s="21" t="s">
        <v>2872</v>
      </c>
      <c r="J489" s="21" t="s">
        <v>97</v>
      </c>
      <c r="K489" s="5814" t="s">
        <v>11216</v>
      </c>
    </row>
    <row r="490" spans="1:11">
      <c r="A490" s="21" t="s">
        <v>5015</v>
      </c>
      <c r="B490" s="21" t="s">
        <v>11217</v>
      </c>
      <c r="C490" s="21" t="s">
        <v>22</v>
      </c>
      <c r="D490" s="21" t="s">
        <v>1147</v>
      </c>
      <c r="E490" s="21" t="s">
        <v>46</v>
      </c>
      <c r="F490" s="5812">
        <v>3</v>
      </c>
      <c r="G490" s="5813">
        <v>0.10833333333333334</v>
      </c>
      <c r="H490" s="21" t="s">
        <v>10</v>
      </c>
      <c r="I490" s="21" t="s">
        <v>2400</v>
      </c>
      <c r="J490" s="21" t="s">
        <v>4505</v>
      </c>
      <c r="K490" s="5814" t="s">
        <v>11218</v>
      </c>
    </row>
    <row r="491" spans="1:11">
      <c r="A491" s="21" t="s">
        <v>5335</v>
      </c>
      <c r="B491" s="21" t="s">
        <v>11219</v>
      </c>
      <c r="C491" s="21" t="s">
        <v>22</v>
      </c>
      <c r="D491" s="21" t="s">
        <v>1147</v>
      </c>
      <c r="E491" s="21" t="s">
        <v>46</v>
      </c>
      <c r="F491" s="5812">
        <v>3</v>
      </c>
      <c r="G491" s="5813">
        <v>0.11597222222222223</v>
      </c>
      <c r="H491" s="21" t="s">
        <v>10</v>
      </c>
      <c r="I491" s="21" t="s">
        <v>23</v>
      </c>
      <c r="J491" s="21" t="s">
        <v>127</v>
      </c>
      <c r="K491" s="5814" t="s">
        <v>11220</v>
      </c>
    </row>
    <row r="492" spans="1:11">
      <c r="A492" s="21" t="s">
        <v>2605</v>
      </c>
      <c r="B492" s="21" t="s">
        <v>11221</v>
      </c>
      <c r="C492" s="21" t="s">
        <v>22</v>
      </c>
      <c r="D492" s="21" t="s">
        <v>1147</v>
      </c>
      <c r="E492" s="21" t="s">
        <v>46</v>
      </c>
      <c r="F492" s="5812">
        <v>3</v>
      </c>
      <c r="G492" s="5813">
        <v>0.12083333333333333</v>
      </c>
      <c r="H492" s="21" t="s">
        <v>10</v>
      </c>
      <c r="I492" s="21" t="s">
        <v>226</v>
      </c>
      <c r="J492" s="21" t="s">
        <v>3004</v>
      </c>
      <c r="K492" s="5814" t="s">
        <v>11222</v>
      </c>
    </row>
    <row r="493" spans="1:11">
      <c r="A493" s="21" t="s">
        <v>2921</v>
      </c>
      <c r="B493" s="21" t="s">
        <v>11223</v>
      </c>
      <c r="C493" s="21" t="s">
        <v>8</v>
      </c>
      <c r="D493" s="21" t="s">
        <v>1147</v>
      </c>
      <c r="E493" s="21" t="s">
        <v>46</v>
      </c>
      <c r="F493" s="5812">
        <v>3</v>
      </c>
      <c r="G493" s="5813">
        <v>0.12708333333333333</v>
      </c>
      <c r="H493" s="21" t="s">
        <v>10</v>
      </c>
      <c r="I493" s="21" t="s">
        <v>226</v>
      </c>
      <c r="J493" s="21" t="s">
        <v>940</v>
      </c>
      <c r="K493" s="5814" t="s">
        <v>11224</v>
      </c>
    </row>
    <row r="494" spans="1:11">
      <c r="A494" s="21" t="s">
        <v>2341</v>
      </c>
      <c r="B494" s="21" t="s">
        <v>11225</v>
      </c>
      <c r="C494" s="21" t="s">
        <v>8</v>
      </c>
      <c r="D494" s="21" t="s">
        <v>1147</v>
      </c>
      <c r="E494" s="21" t="s">
        <v>46</v>
      </c>
      <c r="F494" s="5812">
        <v>3</v>
      </c>
      <c r="G494" s="5813">
        <v>0.1361111111111111</v>
      </c>
      <c r="H494" s="21" t="s">
        <v>10</v>
      </c>
      <c r="I494" s="21" t="s">
        <v>226</v>
      </c>
      <c r="J494" s="21" t="s">
        <v>48</v>
      </c>
      <c r="K494" s="5814" t="s">
        <v>11226</v>
      </c>
    </row>
    <row r="495" spans="1:11">
      <c r="A495" s="21" t="s">
        <v>3896</v>
      </c>
      <c r="B495" s="21" t="s">
        <v>11227</v>
      </c>
      <c r="C495" s="21" t="s">
        <v>22</v>
      </c>
      <c r="D495" s="21" t="s">
        <v>1147</v>
      </c>
      <c r="E495" s="21" t="s">
        <v>46</v>
      </c>
      <c r="F495" s="5812">
        <v>3</v>
      </c>
      <c r="G495" s="5813">
        <v>0.14305555555555555</v>
      </c>
      <c r="H495" s="21" t="s">
        <v>10</v>
      </c>
      <c r="I495" s="21" t="s">
        <v>47</v>
      </c>
      <c r="J495" s="21" t="s">
        <v>97</v>
      </c>
      <c r="K495" s="5814" t="s">
        <v>11228</v>
      </c>
    </row>
    <row r="496" spans="1:11">
      <c r="A496" s="21" t="s">
        <v>135</v>
      </c>
      <c r="B496" s="21" t="s">
        <v>1236</v>
      </c>
      <c r="C496" s="21" t="s">
        <v>22</v>
      </c>
      <c r="D496" s="21" t="s">
        <v>1147</v>
      </c>
      <c r="E496" s="21" t="s">
        <v>46</v>
      </c>
      <c r="F496" s="5812">
        <v>3</v>
      </c>
      <c r="G496" s="5813">
        <v>0.15486111111111112</v>
      </c>
      <c r="H496" s="21" t="s">
        <v>10</v>
      </c>
      <c r="I496" s="21" t="s">
        <v>226</v>
      </c>
      <c r="J496" s="21" t="s">
        <v>1117</v>
      </c>
      <c r="K496" s="5814" t="s">
        <v>1237</v>
      </c>
    </row>
    <row r="497" spans="1:11">
      <c r="A497" s="21" t="s">
        <v>2188</v>
      </c>
      <c r="B497" s="21" t="s">
        <v>11229</v>
      </c>
      <c r="C497" s="21" t="s">
        <v>8</v>
      </c>
      <c r="D497" s="21" t="s">
        <v>1147</v>
      </c>
      <c r="E497" s="21" t="s">
        <v>46</v>
      </c>
      <c r="F497" s="5812">
        <v>3</v>
      </c>
      <c r="G497" s="5813">
        <v>0.17152777777777778</v>
      </c>
      <c r="H497" s="21" t="s">
        <v>10</v>
      </c>
      <c r="I497" s="21" t="s">
        <v>2149</v>
      </c>
      <c r="J497" s="21" t="s">
        <v>3004</v>
      </c>
      <c r="K497" s="5814" t="s">
        <v>11230</v>
      </c>
    </row>
    <row r="498" spans="1:11">
      <c r="A498" s="21" t="s">
        <v>3160</v>
      </c>
      <c r="B498" s="21" t="s">
        <v>11231</v>
      </c>
      <c r="C498" s="21" t="s">
        <v>8</v>
      </c>
      <c r="D498" s="21" t="s">
        <v>1147</v>
      </c>
      <c r="E498" s="21" t="s">
        <v>46</v>
      </c>
      <c r="F498" s="5812">
        <v>3</v>
      </c>
      <c r="G498" s="5813">
        <v>0.17569444444444443</v>
      </c>
      <c r="H498" s="21" t="s">
        <v>10</v>
      </c>
      <c r="I498" s="21" t="s">
        <v>233</v>
      </c>
      <c r="J498" s="21" t="s">
        <v>48</v>
      </c>
      <c r="K498" s="5814" t="s">
        <v>11232</v>
      </c>
    </row>
    <row r="499" spans="1:11">
      <c r="A499" s="21" t="s">
        <v>4132</v>
      </c>
      <c r="B499" s="21" t="s">
        <v>11233</v>
      </c>
      <c r="C499" s="21" t="s">
        <v>22</v>
      </c>
      <c r="D499" s="21" t="s">
        <v>1147</v>
      </c>
      <c r="E499" s="21" t="s">
        <v>46</v>
      </c>
      <c r="F499" s="5812">
        <v>3</v>
      </c>
      <c r="G499" s="5813">
        <v>0.17986111111111111</v>
      </c>
      <c r="H499" s="21" t="s">
        <v>10</v>
      </c>
      <c r="I499" s="21" t="s">
        <v>788</v>
      </c>
      <c r="J499" s="21" t="s">
        <v>48</v>
      </c>
      <c r="K499" s="5814" t="s">
        <v>11234</v>
      </c>
    </row>
    <row r="500" spans="1:11">
      <c r="A500" s="21" t="s">
        <v>2075</v>
      </c>
      <c r="B500" s="21" t="s">
        <v>11235</v>
      </c>
      <c r="C500" s="21" t="s">
        <v>22</v>
      </c>
      <c r="D500" s="21" t="s">
        <v>1147</v>
      </c>
      <c r="E500" s="21" t="s">
        <v>46</v>
      </c>
      <c r="F500" s="5812">
        <v>3</v>
      </c>
      <c r="G500" s="5813">
        <v>0.17986111111111111</v>
      </c>
      <c r="H500" s="21" t="s">
        <v>10</v>
      </c>
      <c r="I500" s="21" t="s">
        <v>55</v>
      </c>
      <c r="J500" s="21" t="s">
        <v>258</v>
      </c>
      <c r="K500" s="5814" t="s">
        <v>11236</v>
      </c>
    </row>
    <row r="501" spans="1:11">
      <c r="A501" s="21" t="s">
        <v>2049</v>
      </c>
      <c r="B501" s="21" t="s">
        <v>11237</v>
      </c>
      <c r="C501" s="21" t="s">
        <v>8</v>
      </c>
      <c r="D501" s="21" t="s">
        <v>1147</v>
      </c>
      <c r="E501" s="21" t="s">
        <v>46</v>
      </c>
      <c r="F501" s="5812">
        <v>3</v>
      </c>
      <c r="G501" s="5813">
        <v>0.18194444444444444</v>
      </c>
      <c r="H501" s="21" t="s">
        <v>10</v>
      </c>
      <c r="I501" s="21" t="s">
        <v>47</v>
      </c>
      <c r="J501" s="21" t="s">
        <v>127</v>
      </c>
      <c r="K501" s="5814" t="s">
        <v>11238</v>
      </c>
    </row>
    <row r="502" spans="1:11">
      <c r="A502" s="21" t="s">
        <v>3565</v>
      </c>
      <c r="B502" s="21" t="s">
        <v>11239</v>
      </c>
      <c r="C502" s="21" t="s">
        <v>22</v>
      </c>
      <c r="D502" s="21" t="s">
        <v>1147</v>
      </c>
      <c r="E502" s="21" t="s">
        <v>46</v>
      </c>
      <c r="F502" s="5812">
        <v>3</v>
      </c>
      <c r="G502" s="5813">
        <v>0.18402777777777779</v>
      </c>
      <c r="H502" s="21" t="s">
        <v>10</v>
      </c>
      <c r="I502" s="21" t="s">
        <v>2218</v>
      </c>
      <c r="J502" s="21" t="s">
        <v>97</v>
      </c>
      <c r="K502" s="5814" t="s">
        <v>11240</v>
      </c>
    </row>
    <row r="503" spans="1:11">
      <c r="A503" s="21" t="s">
        <v>4409</v>
      </c>
      <c r="B503" s="21" t="s">
        <v>11241</v>
      </c>
      <c r="C503" s="21" t="s">
        <v>8</v>
      </c>
      <c r="D503" s="21" t="s">
        <v>1147</v>
      </c>
      <c r="E503" s="21" t="s">
        <v>46</v>
      </c>
      <c r="F503" s="5812">
        <v>3</v>
      </c>
      <c r="G503" s="5813">
        <v>0.18402777777777779</v>
      </c>
      <c r="H503" s="21" t="s">
        <v>10</v>
      </c>
      <c r="I503" s="21" t="s">
        <v>2872</v>
      </c>
      <c r="J503" s="21" t="s">
        <v>3168</v>
      </c>
      <c r="K503" s="5814" t="s">
        <v>11242</v>
      </c>
    </row>
    <row r="504" spans="1:11">
      <c r="A504" s="21" t="s">
        <v>2776</v>
      </c>
      <c r="B504" s="21" t="s">
        <v>11243</v>
      </c>
      <c r="C504" s="21" t="s">
        <v>22</v>
      </c>
      <c r="D504" s="21" t="s">
        <v>1147</v>
      </c>
      <c r="E504" s="21" t="s">
        <v>46</v>
      </c>
      <c r="F504" s="5812">
        <v>3</v>
      </c>
      <c r="G504" s="5813">
        <v>0.19236111111111112</v>
      </c>
      <c r="H504" s="21" t="s">
        <v>10</v>
      </c>
      <c r="I504" s="21" t="s">
        <v>2523</v>
      </c>
      <c r="J504" s="21" t="s">
        <v>48</v>
      </c>
      <c r="K504" s="5814" t="s">
        <v>11244</v>
      </c>
    </row>
    <row r="505" spans="1:11">
      <c r="A505" s="21" t="s">
        <v>3286</v>
      </c>
      <c r="B505" s="21" t="s">
        <v>11245</v>
      </c>
      <c r="C505" s="21" t="s">
        <v>22</v>
      </c>
      <c r="D505" s="21" t="s">
        <v>1147</v>
      </c>
      <c r="E505" s="21" t="s">
        <v>46</v>
      </c>
      <c r="F505" s="5812">
        <v>3</v>
      </c>
      <c r="G505" s="5813">
        <v>0.19444444444444445</v>
      </c>
      <c r="H505" s="21" t="s">
        <v>10</v>
      </c>
      <c r="I505" s="21" t="s">
        <v>47</v>
      </c>
      <c r="J505" s="21" t="s">
        <v>940</v>
      </c>
      <c r="K505" s="5814" t="s">
        <v>11246</v>
      </c>
    </row>
    <row r="506" spans="1:11">
      <c r="A506" s="21" t="s">
        <v>185</v>
      </c>
      <c r="B506" s="21" t="s">
        <v>1263</v>
      </c>
      <c r="C506" s="21" t="s">
        <v>8</v>
      </c>
      <c r="D506" s="21" t="s">
        <v>1147</v>
      </c>
      <c r="E506" s="21" t="s">
        <v>46</v>
      </c>
      <c r="F506" s="5812">
        <v>3</v>
      </c>
      <c r="G506" s="5813">
        <v>0.19791666666666666</v>
      </c>
      <c r="H506" s="21" t="s">
        <v>10</v>
      </c>
      <c r="I506" s="21" t="s">
        <v>187</v>
      </c>
      <c r="J506" s="21" t="s">
        <v>430</v>
      </c>
      <c r="K506" s="5814" t="s">
        <v>1264</v>
      </c>
    </row>
    <row r="507" spans="1:11">
      <c r="A507" s="21" t="s">
        <v>2579</v>
      </c>
      <c r="B507" s="21" t="s">
        <v>11247</v>
      </c>
      <c r="C507" s="21" t="s">
        <v>8</v>
      </c>
      <c r="D507" s="21" t="s">
        <v>1147</v>
      </c>
      <c r="E507" s="21" t="s">
        <v>46</v>
      </c>
      <c r="F507" s="5812">
        <v>3</v>
      </c>
      <c r="G507" s="5813">
        <v>0.20208333333333334</v>
      </c>
      <c r="H507" s="21" t="s">
        <v>10</v>
      </c>
      <c r="I507" s="21" t="s">
        <v>3534</v>
      </c>
      <c r="J507" s="21" t="s">
        <v>97</v>
      </c>
      <c r="K507" s="5814" t="s">
        <v>11248</v>
      </c>
    </row>
    <row r="508" spans="1:11">
      <c r="A508" s="21" t="s">
        <v>2651</v>
      </c>
      <c r="B508" s="21" t="s">
        <v>11249</v>
      </c>
      <c r="C508" s="21" t="s">
        <v>8</v>
      </c>
      <c r="D508" s="21" t="s">
        <v>1147</v>
      </c>
      <c r="E508" s="21" t="s">
        <v>46</v>
      </c>
      <c r="F508" s="5812">
        <v>3</v>
      </c>
      <c r="G508" s="5813">
        <v>0.20416666666666666</v>
      </c>
      <c r="H508" s="21" t="s">
        <v>10</v>
      </c>
      <c r="I508" s="21" t="s">
        <v>96</v>
      </c>
      <c r="J508" s="21" t="s">
        <v>940</v>
      </c>
      <c r="K508" s="5814" t="s">
        <v>11250</v>
      </c>
    </row>
    <row r="509" spans="1:11">
      <c r="A509" s="21" t="s">
        <v>2729</v>
      </c>
      <c r="B509" s="21" t="s">
        <v>11251</v>
      </c>
      <c r="C509" s="21" t="s">
        <v>8</v>
      </c>
      <c r="D509" s="21" t="s">
        <v>1147</v>
      </c>
      <c r="E509" s="21" t="s">
        <v>46</v>
      </c>
      <c r="F509" s="5812">
        <v>3</v>
      </c>
      <c r="G509" s="5813">
        <v>0.2076388888888889</v>
      </c>
      <c r="H509" s="21" t="s">
        <v>10</v>
      </c>
      <c r="I509" s="21" t="s">
        <v>2814</v>
      </c>
      <c r="J509" s="21" t="s">
        <v>3226</v>
      </c>
      <c r="K509" s="5814" t="s">
        <v>11252</v>
      </c>
    </row>
    <row r="510" spans="1:11">
      <c r="A510" s="21" t="s">
        <v>3364</v>
      </c>
      <c r="B510" s="21" t="s">
        <v>11253</v>
      </c>
      <c r="C510" s="21" t="s">
        <v>22</v>
      </c>
      <c r="D510" s="21" t="s">
        <v>1147</v>
      </c>
      <c r="E510" s="21" t="s">
        <v>46</v>
      </c>
      <c r="F510" s="5812">
        <v>4</v>
      </c>
      <c r="G510" s="5813">
        <v>0.10833333333333334</v>
      </c>
      <c r="H510" s="21" t="s">
        <v>54</v>
      </c>
      <c r="I510" s="21" t="s">
        <v>55</v>
      </c>
      <c r="J510" s="21" t="s">
        <v>48</v>
      </c>
      <c r="K510" s="5814" t="s">
        <v>11254</v>
      </c>
    </row>
    <row r="511" spans="1:11">
      <c r="A511" s="21" t="s">
        <v>3896</v>
      </c>
      <c r="B511" s="21" t="s">
        <v>11255</v>
      </c>
      <c r="C511" s="21" t="s">
        <v>8</v>
      </c>
      <c r="D511" s="21" t="s">
        <v>1147</v>
      </c>
      <c r="E511" s="21" t="s">
        <v>46</v>
      </c>
      <c r="F511" s="5812">
        <v>4</v>
      </c>
      <c r="G511" s="5813">
        <v>0.20833333333333334</v>
      </c>
      <c r="H511" s="21" t="s">
        <v>54</v>
      </c>
      <c r="I511" s="21" t="s">
        <v>226</v>
      </c>
      <c r="J511" s="21" t="s">
        <v>3175</v>
      </c>
      <c r="K511" s="5814" t="s">
        <v>11256</v>
      </c>
    </row>
    <row r="512" spans="1:11">
      <c r="A512" s="21" t="s">
        <v>2131</v>
      </c>
      <c r="B512" s="21" t="s">
        <v>11257</v>
      </c>
      <c r="C512" s="21" t="s">
        <v>8</v>
      </c>
      <c r="D512" s="21" t="s">
        <v>1147</v>
      </c>
      <c r="E512" s="21" t="s">
        <v>46</v>
      </c>
      <c r="F512" s="5812">
        <v>5</v>
      </c>
      <c r="G512" s="5813">
        <v>5.486111111111111E-2</v>
      </c>
      <c r="H512" s="21" t="s">
        <v>54</v>
      </c>
      <c r="I512" s="21" t="s">
        <v>226</v>
      </c>
      <c r="J512" s="21" t="s">
        <v>11258</v>
      </c>
      <c r="K512" s="5814" t="s">
        <v>11259</v>
      </c>
    </row>
    <row r="513" spans="1:11">
      <c r="A513" s="21" t="s">
        <v>2538</v>
      </c>
      <c r="B513" s="21" t="s">
        <v>11260</v>
      </c>
      <c r="C513" s="21" t="s">
        <v>179</v>
      </c>
      <c r="D513" s="21" t="s">
        <v>1147</v>
      </c>
      <c r="E513" s="21" t="s">
        <v>920</v>
      </c>
      <c r="F513" s="5812">
        <v>1</v>
      </c>
      <c r="G513" s="5813">
        <v>0.11666666666666667</v>
      </c>
      <c r="H513" s="21" t="s">
        <v>10</v>
      </c>
      <c r="I513" s="21" t="s">
        <v>47</v>
      </c>
      <c r="J513" s="21" t="s">
        <v>11261</v>
      </c>
      <c r="K513" s="5814" t="s">
        <v>11262</v>
      </c>
    </row>
    <row r="514" spans="1:11">
      <c r="A514" s="21" t="s">
        <v>2796</v>
      </c>
      <c r="B514" s="21" t="s">
        <v>11263</v>
      </c>
      <c r="C514" s="21" t="s">
        <v>179</v>
      </c>
      <c r="D514" s="21" t="s">
        <v>1147</v>
      </c>
      <c r="E514" s="21" t="s">
        <v>920</v>
      </c>
      <c r="F514" s="5812">
        <v>2</v>
      </c>
      <c r="G514" s="5813">
        <v>0.20833333333333334</v>
      </c>
      <c r="H514" s="21" t="s">
        <v>10</v>
      </c>
      <c r="I514" s="21" t="s">
        <v>73</v>
      </c>
      <c r="J514" s="21" t="s">
        <v>11264</v>
      </c>
      <c r="K514" s="5814" t="s">
        <v>11265</v>
      </c>
    </row>
    <row r="515" spans="1:11">
      <c r="A515" s="21" t="s">
        <v>2131</v>
      </c>
      <c r="B515" s="21" t="s">
        <v>11266</v>
      </c>
      <c r="C515" s="21" t="s">
        <v>179</v>
      </c>
      <c r="D515" s="21" t="s">
        <v>1147</v>
      </c>
      <c r="E515" s="21" t="s">
        <v>920</v>
      </c>
      <c r="F515" s="5812">
        <v>3</v>
      </c>
      <c r="G515" s="5813">
        <v>0.20833333333333334</v>
      </c>
      <c r="H515" s="21" t="s">
        <v>10</v>
      </c>
      <c r="I515" s="21" t="s">
        <v>96</v>
      </c>
      <c r="J515" s="21" t="s">
        <v>11267</v>
      </c>
      <c r="K515" s="5814" t="s">
        <v>11268</v>
      </c>
    </row>
    <row r="516" spans="1:11">
      <c r="A516" s="21" t="s">
        <v>3757</v>
      </c>
      <c r="B516" s="21" t="s">
        <v>11269</v>
      </c>
      <c r="C516" s="21" t="s">
        <v>179</v>
      </c>
      <c r="D516" s="21" t="s">
        <v>1147</v>
      </c>
      <c r="E516" s="21" t="s">
        <v>920</v>
      </c>
      <c r="F516" s="5812">
        <v>3</v>
      </c>
      <c r="G516" s="5813">
        <v>0.20833333333333334</v>
      </c>
      <c r="H516" s="21" t="s">
        <v>10</v>
      </c>
      <c r="I516" s="21" t="s">
        <v>187</v>
      </c>
      <c r="J516" s="21" t="s">
        <v>11270</v>
      </c>
      <c r="K516" s="5814" t="s">
        <v>11271</v>
      </c>
    </row>
    <row r="517" spans="1:11">
      <c r="A517" s="21" t="s">
        <v>4409</v>
      </c>
      <c r="B517" s="21" t="s">
        <v>11272</v>
      </c>
      <c r="C517" s="21" t="s">
        <v>8</v>
      </c>
      <c r="D517" s="21" t="s">
        <v>1147</v>
      </c>
      <c r="E517" s="21" t="s">
        <v>61</v>
      </c>
      <c r="F517" s="5812">
        <v>1</v>
      </c>
      <c r="G517" s="5813">
        <v>3.125E-2</v>
      </c>
      <c r="H517" s="21" t="s">
        <v>10</v>
      </c>
      <c r="I517" s="21" t="s">
        <v>2872</v>
      </c>
      <c r="J517" s="21" t="s">
        <v>67</v>
      </c>
      <c r="K517" s="5814" t="s">
        <v>11273</v>
      </c>
    </row>
    <row r="518" spans="1:11">
      <c r="A518" s="21" t="s">
        <v>2354</v>
      </c>
      <c r="B518" s="21" t="s">
        <v>11274</v>
      </c>
      <c r="C518" s="21" t="s">
        <v>8</v>
      </c>
      <c r="D518" s="21" t="s">
        <v>1147</v>
      </c>
      <c r="E518" s="21" t="s">
        <v>61</v>
      </c>
      <c r="F518" s="5812">
        <v>1</v>
      </c>
      <c r="G518" s="5813">
        <v>3.4027777777777775E-2</v>
      </c>
      <c r="H518" s="21" t="s">
        <v>10</v>
      </c>
      <c r="I518" s="21" t="s">
        <v>55</v>
      </c>
      <c r="J518" s="21" t="s">
        <v>110</v>
      </c>
      <c r="K518" s="5814" t="s">
        <v>11275</v>
      </c>
    </row>
    <row r="519" spans="1:11">
      <c r="A519" s="21" t="s">
        <v>4552</v>
      </c>
      <c r="B519" s="21" t="s">
        <v>11276</v>
      </c>
      <c r="C519" s="21" t="s">
        <v>22</v>
      </c>
      <c r="D519" s="21" t="s">
        <v>1147</v>
      </c>
      <c r="E519" s="21" t="s">
        <v>61</v>
      </c>
      <c r="F519" s="5812">
        <v>1</v>
      </c>
      <c r="G519" s="5813">
        <v>3.8194444444444448E-2</v>
      </c>
      <c r="H519" s="21" t="s">
        <v>10</v>
      </c>
      <c r="I519" s="21" t="s">
        <v>55</v>
      </c>
      <c r="J519" s="21" t="s">
        <v>3313</v>
      </c>
      <c r="K519" s="5814" t="s">
        <v>11277</v>
      </c>
    </row>
    <row r="520" spans="1:11">
      <c r="A520" s="21" t="s">
        <v>3364</v>
      </c>
      <c r="B520" s="21" t="s">
        <v>11278</v>
      </c>
      <c r="C520" s="21" t="s">
        <v>8</v>
      </c>
      <c r="D520" s="21" t="s">
        <v>1147</v>
      </c>
      <c r="E520" s="21" t="s">
        <v>61</v>
      </c>
      <c r="F520" s="5812">
        <v>1</v>
      </c>
      <c r="G520" s="5813">
        <v>4.3055555555555555E-2</v>
      </c>
      <c r="H520" s="21" t="s">
        <v>10</v>
      </c>
      <c r="I520" s="21" t="s">
        <v>233</v>
      </c>
      <c r="J520" s="21" t="s">
        <v>3391</v>
      </c>
      <c r="K520" s="5814" t="s">
        <v>11279</v>
      </c>
    </row>
    <row r="521" spans="1:11">
      <c r="A521" s="21" t="s">
        <v>3089</v>
      </c>
      <c r="B521" s="21" t="s">
        <v>11280</v>
      </c>
      <c r="C521" s="21" t="s">
        <v>8</v>
      </c>
      <c r="D521" s="21" t="s">
        <v>1147</v>
      </c>
      <c r="E521" s="21" t="s">
        <v>61</v>
      </c>
      <c r="F521" s="5812">
        <v>1</v>
      </c>
      <c r="G521" s="5813">
        <v>4.791666666666667E-2</v>
      </c>
      <c r="H521" s="21" t="s">
        <v>10</v>
      </c>
      <c r="I521" s="21" t="s">
        <v>2317</v>
      </c>
      <c r="J521" s="21" t="s">
        <v>67</v>
      </c>
      <c r="K521" s="5814" t="s">
        <v>11281</v>
      </c>
    </row>
    <row r="522" spans="1:11">
      <c r="A522" s="21" t="s">
        <v>5015</v>
      </c>
      <c r="B522" s="21" t="s">
        <v>11282</v>
      </c>
      <c r="C522" s="21" t="s">
        <v>8</v>
      </c>
      <c r="D522" s="21" t="s">
        <v>1147</v>
      </c>
      <c r="E522" s="21" t="s">
        <v>61</v>
      </c>
      <c r="F522" s="5812">
        <v>1</v>
      </c>
      <c r="G522" s="5813">
        <v>5.0694444444444445E-2</v>
      </c>
      <c r="H522" s="21" t="s">
        <v>10</v>
      </c>
      <c r="I522" s="21" t="s">
        <v>55</v>
      </c>
      <c r="J522" s="21" t="s">
        <v>110</v>
      </c>
      <c r="K522" s="5814" t="s">
        <v>11283</v>
      </c>
    </row>
    <row r="523" spans="1:11">
      <c r="A523" s="21" t="s">
        <v>2850</v>
      </c>
      <c r="B523" s="21" t="s">
        <v>11284</v>
      </c>
      <c r="C523" s="21" t="s">
        <v>8</v>
      </c>
      <c r="D523" s="21" t="s">
        <v>1147</v>
      </c>
      <c r="E523" s="21" t="s">
        <v>61</v>
      </c>
      <c r="F523" s="5812">
        <v>1</v>
      </c>
      <c r="G523" s="5813">
        <v>5.9722222222222225E-2</v>
      </c>
      <c r="H523" s="21" t="s">
        <v>10</v>
      </c>
      <c r="I523" s="21" t="s">
        <v>39</v>
      </c>
      <c r="J523" s="21" t="s">
        <v>974</v>
      </c>
      <c r="K523" s="5814" t="s">
        <v>11285</v>
      </c>
    </row>
    <row r="524" spans="1:11">
      <c r="A524" s="21" t="s">
        <v>3787</v>
      </c>
      <c r="B524" s="21" t="s">
        <v>11286</v>
      </c>
      <c r="C524" s="21" t="s">
        <v>8</v>
      </c>
      <c r="D524" s="21" t="s">
        <v>1147</v>
      </c>
      <c r="E524" s="21" t="s">
        <v>61</v>
      </c>
      <c r="F524" s="5812">
        <v>1</v>
      </c>
      <c r="G524" s="5813">
        <v>7.7777777777777779E-2</v>
      </c>
      <c r="H524" s="21" t="s">
        <v>54</v>
      </c>
      <c r="I524" s="21" t="s">
        <v>2297</v>
      </c>
      <c r="J524" s="21" t="s">
        <v>67</v>
      </c>
      <c r="K524" s="5814" t="s">
        <v>11287</v>
      </c>
    </row>
    <row r="525" spans="1:11">
      <c r="A525" s="21" t="s">
        <v>3559</v>
      </c>
      <c r="B525" s="21" t="s">
        <v>11288</v>
      </c>
      <c r="C525" s="21" t="s">
        <v>8</v>
      </c>
      <c r="D525" s="21" t="s">
        <v>1147</v>
      </c>
      <c r="E525" s="21" t="s">
        <v>61</v>
      </c>
      <c r="F525" s="5812">
        <v>1</v>
      </c>
      <c r="G525" s="5813">
        <v>8.4722222222222227E-2</v>
      </c>
      <c r="H525" s="21" t="s">
        <v>10</v>
      </c>
      <c r="I525" s="21" t="s">
        <v>39</v>
      </c>
      <c r="J525" s="21" t="s">
        <v>67</v>
      </c>
      <c r="K525" s="5814" t="s">
        <v>11289</v>
      </c>
    </row>
    <row r="526" spans="1:11">
      <c r="A526" s="21" t="s">
        <v>185</v>
      </c>
      <c r="B526" s="21" t="s">
        <v>1183</v>
      </c>
      <c r="C526" s="21" t="s">
        <v>22</v>
      </c>
      <c r="D526" s="21" t="s">
        <v>1147</v>
      </c>
      <c r="E526" s="21" t="s">
        <v>61</v>
      </c>
      <c r="F526" s="5812">
        <v>1</v>
      </c>
      <c r="G526" s="5813">
        <v>8.5416666666666669E-2</v>
      </c>
      <c r="H526" s="21" t="s">
        <v>10</v>
      </c>
      <c r="I526" s="21" t="s">
        <v>1184</v>
      </c>
      <c r="J526" s="21" t="s">
        <v>67</v>
      </c>
      <c r="K526" s="5814" t="s">
        <v>1185</v>
      </c>
    </row>
    <row r="527" spans="1:11">
      <c r="A527" s="21" t="s">
        <v>4257</v>
      </c>
      <c r="B527" s="21" t="s">
        <v>11290</v>
      </c>
      <c r="C527" s="21" t="s">
        <v>22</v>
      </c>
      <c r="D527" s="21" t="s">
        <v>1147</v>
      </c>
      <c r="E527" s="21" t="s">
        <v>61</v>
      </c>
      <c r="F527" s="5812">
        <v>1</v>
      </c>
      <c r="G527" s="5813">
        <v>9.166666666666666E-2</v>
      </c>
      <c r="H527" s="21" t="s">
        <v>10</v>
      </c>
      <c r="I527" s="21" t="s">
        <v>55</v>
      </c>
      <c r="J527" s="21" t="s">
        <v>110</v>
      </c>
      <c r="K527" s="5814" t="s">
        <v>11291</v>
      </c>
    </row>
    <row r="528" spans="1:11">
      <c r="A528" s="21" t="s">
        <v>3886</v>
      </c>
      <c r="B528" s="21" t="s">
        <v>11292</v>
      </c>
      <c r="C528" s="21" t="s">
        <v>8</v>
      </c>
      <c r="D528" s="21" t="s">
        <v>1147</v>
      </c>
      <c r="E528" s="21" t="s">
        <v>61</v>
      </c>
      <c r="F528" s="5812">
        <v>1</v>
      </c>
      <c r="G528" s="5813">
        <v>9.2361111111111116E-2</v>
      </c>
      <c r="H528" s="21" t="s">
        <v>10</v>
      </c>
      <c r="I528" s="21" t="s">
        <v>47</v>
      </c>
      <c r="J528" s="21" t="s">
        <v>67</v>
      </c>
      <c r="K528" s="5814" t="s">
        <v>11293</v>
      </c>
    </row>
    <row r="529" spans="1:11">
      <c r="A529" s="21" t="s">
        <v>3630</v>
      </c>
      <c r="B529" s="21" t="s">
        <v>11294</v>
      </c>
      <c r="C529" s="21" t="s">
        <v>22</v>
      </c>
      <c r="D529" s="21" t="s">
        <v>1147</v>
      </c>
      <c r="E529" s="21" t="s">
        <v>61</v>
      </c>
      <c r="F529" s="5812">
        <v>1</v>
      </c>
      <c r="G529" s="5813">
        <v>9.2361111111111116E-2</v>
      </c>
      <c r="H529" s="21" t="s">
        <v>10</v>
      </c>
      <c r="I529" s="21" t="s">
        <v>5159</v>
      </c>
      <c r="J529" s="21" t="s">
        <v>11295</v>
      </c>
      <c r="K529" s="5814" t="s">
        <v>11296</v>
      </c>
    </row>
    <row r="530" spans="1:11">
      <c r="A530" s="21" t="s">
        <v>2824</v>
      </c>
      <c r="B530" s="21" t="s">
        <v>11297</v>
      </c>
      <c r="C530" s="21" t="s">
        <v>22</v>
      </c>
      <c r="D530" s="21" t="s">
        <v>1147</v>
      </c>
      <c r="E530" s="21" t="s">
        <v>61</v>
      </c>
      <c r="F530" s="5812">
        <v>1</v>
      </c>
      <c r="G530" s="5813">
        <v>9.3055555555555558E-2</v>
      </c>
      <c r="H530" s="21" t="s">
        <v>10</v>
      </c>
      <c r="I530" s="21" t="s">
        <v>11</v>
      </c>
      <c r="J530" s="21" t="s">
        <v>67</v>
      </c>
      <c r="K530" s="5814" t="s">
        <v>11298</v>
      </c>
    </row>
    <row r="531" spans="1:11">
      <c r="A531" s="21" t="s">
        <v>3328</v>
      </c>
      <c r="B531" s="21" t="s">
        <v>11299</v>
      </c>
      <c r="C531" s="21" t="s">
        <v>22</v>
      </c>
      <c r="D531" s="21" t="s">
        <v>1147</v>
      </c>
      <c r="E531" s="21" t="s">
        <v>61</v>
      </c>
      <c r="F531" s="5812">
        <v>1</v>
      </c>
      <c r="G531" s="5813">
        <v>0.10069444444444445</v>
      </c>
      <c r="H531" s="21" t="s">
        <v>10</v>
      </c>
      <c r="I531" s="21" t="s">
        <v>226</v>
      </c>
      <c r="J531" s="21" t="s">
        <v>67</v>
      </c>
      <c r="K531" s="5814" t="s">
        <v>11300</v>
      </c>
    </row>
    <row r="532" spans="1:11">
      <c r="A532" s="21" t="s">
        <v>3565</v>
      </c>
      <c r="B532" s="21" t="s">
        <v>11301</v>
      </c>
      <c r="C532" s="21" t="s">
        <v>8</v>
      </c>
      <c r="D532" s="21" t="s">
        <v>1147</v>
      </c>
      <c r="E532" s="21" t="s">
        <v>61</v>
      </c>
      <c r="F532" s="5812">
        <v>1</v>
      </c>
      <c r="G532" s="5813">
        <v>0.10625</v>
      </c>
      <c r="H532" s="21" t="s">
        <v>54</v>
      </c>
      <c r="I532" s="21" t="s">
        <v>2247</v>
      </c>
      <c r="J532" s="21" t="s">
        <v>11302</v>
      </c>
      <c r="K532" s="5814" t="s">
        <v>11303</v>
      </c>
    </row>
    <row r="533" spans="1:11">
      <c r="A533" s="21" t="s">
        <v>2481</v>
      </c>
      <c r="B533" s="21" t="s">
        <v>11304</v>
      </c>
      <c r="C533" s="21" t="s">
        <v>22</v>
      </c>
      <c r="D533" s="21" t="s">
        <v>1147</v>
      </c>
      <c r="E533" s="21" t="s">
        <v>61</v>
      </c>
      <c r="F533" s="5812">
        <v>1</v>
      </c>
      <c r="G533" s="5813">
        <v>0.10625</v>
      </c>
      <c r="H533" s="21" t="s">
        <v>10</v>
      </c>
      <c r="I533" s="21" t="s">
        <v>23</v>
      </c>
      <c r="J533" s="21" t="s">
        <v>67</v>
      </c>
      <c r="K533" s="5814" t="s">
        <v>11305</v>
      </c>
    </row>
    <row r="534" spans="1:11">
      <c r="A534" s="21" t="s">
        <v>5387</v>
      </c>
      <c r="B534" s="21" t="s">
        <v>11306</v>
      </c>
      <c r="C534" s="21" t="s">
        <v>8</v>
      </c>
      <c r="D534" s="21" t="s">
        <v>1147</v>
      </c>
      <c r="E534" s="21" t="s">
        <v>61</v>
      </c>
      <c r="F534" s="5812">
        <v>1</v>
      </c>
      <c r="G534" s="5813">
        <v>0.1076388888888889</v>
      </c>
      <c r="H534" s="21" t="s">
        <v>10</v>
      </c>
      <c r="I534" s="21" t="s">
        <v>263</v>
      </c>
      <c r="J534" s="21" t="s">
        <v>897</v>
      </c>
      <c r="K534" s="5814" t="s">
        <v>11307</v>
      </c>
    </row>
    <row r="535" spans="1:11">
      <c r="A535" s="21" t="s">
        <v>3323</v>
      </c>
      <c r="B535" s="21" t="s">
        <v>11308</v>
      </c>
      <c r="C535" s="21" t="s">
        <v>8</v>
      </c>
      <c r="D535" s="21" t="s">
        <v>1147</v>
      </c>
      <c r="E535" s="21" t="s">
        <v>61</v>
      </c>
      <c r="F535" s="5812">
        <v>1</v>
      </c>
      <c r="G535" s="5813">
        <v>0.1076388888888889</v>
      </c>
      <c r="H535" s="21" t="s">
        <v>10</v>
      </c>
      <c r="I535" s="21" t="s">
        <v>4254</v>
      </c>
      <c r="J535" s="21" t="s">
        <v>67</v>
      </c>
      <c r="K535" s="5814" t="s">
        <v>11309</v>
      </c>
    </row>
    <row r="536" spans="1:11">
      <c r="A536" s="21" t="s">
        <v>2070</v>
      </c>
      <c r="B536" s="21" t="s">
        <v>11310</v>
      </c>
      <c r="C536" s="21" t="s">
        <v>22</v>
      </c>
      <c r="D536" s="21" t="s">
        <v>1147</v>
      </c>
      <c r="E536" s="21" t="s">
        <v>61</v>
      </c>
      <c r="F536" s="5812">
        <v>1</v>
      </c>
      <c r="G536" s="5813">
        <v>0.10972222222222222</v>
      </c>
      <c r="H536" s="21" t="s">
        <v>10</v>
      </c>
      <c r="I536" s="21" t="s">
        <v>11</v>
      </c>
      <c r="J536" s="21" t="s">
        <v>3313</v>
      </c>
      <c r="K536" s="5814" t="s">
        <v>11311</v>
      </c>
    </row>
    <row r="537" spans="1:11">
      <c r="A537" s="21" t="s">
        <v>2998</v>
      </c>
      <c r="B537" s="21" t="s">
        <v>11312</v>
      </c>
      <c r="C537" s="21" t="s">
        <v>8</v>
      </c>
      <c r="D537" s="21" t="s">
        <v>1147</v>
      </c>
      <c r="E537" s="21" t="s">
        <v>61</v>
      </c>
      <c r="F537" s="5812">
        <v>1</v>
      </c>
      <c r="G537" s="5813">
        <v>0.10972222222222222</v>
      </c>
      <c r="H537" s="21" t="s">
        <v>10</v>
      </c>
      <c r="I537" s="21" t="s">
        <v>233</v>
      </c>
      <c r="J537" s="21" t="s">
        <v>67</v>
      </c>
      <c r="K537" s="5814" t="s">
        <v>11313</v>
      </c>
    </row>
    <row r="538" spans="1:11">
      <c r="A538" s="21" t="s">
        <v>5015</v>
      </c>
      <c r="B538" s="21" t="s">
        <v>11314</v>
      </c>
      <c r="C538" s="21" t="s">
        <v>22</v>
      </c>
      <c r="D538" s="21" t="s">
        <v>1147</v>
      </c>
      <c r="E538" s="21" t="s">
        <v>61</v>
      </c>
      <c r="F538" s="5812">
        <v>1</v>
      </c>
      <c r="G538" s="5813">
        <v>0.11041666666666666</v>
      </c>
      <c r="H538" s="21" t="s">
        <v>10</v>
      </c>
      <c r="I538" s="21" t="s">
        <v>47</v>
      </c>
      <c r="J538" s="21" t="s">
        <v>782</v>
      </c>
      <c r="K538" s="5814" t="s">
        <v>11315</v>
      </c>
    </row>
    <row r="539" spans="1:11">
      <c r="A539" s="21" t="s">
        <v>3036</v>
      </c>
      <c r="B539" s="21" t="s">
        <v>11316</v>
      </c>
      <c r="C539" s="21" t="s">
        <v>22</v>
      </c>
      <c r="D539" s="21" t="s">
        <v>1147</v>
      </c>
      <c r="E539" s="21" t="s">
        <v>61</v>
      </c>
      <c r="F539" s="5812">
        <v>1</v>
      </c>
      <c r="G539" s="5813">
        <v>0.11388888888888889</v>
      </c>
      <c r="H539" s="21" t="s">
        <v>10</v>
      </c>
      <c r="I539" s="21" t="s">
        <v>2713</v>
      </c>
      <c r="J539" s="21" t="s">
        <v>5466</v>
      </c>
      <c r="K539" s="5814" t="s">
        <v>11317</v>
      </c>
    </row>
    <row r="540" spans="1:11">
      <c r="A540" s="21" t="s">
        <v>3427</v>
      </c>
      <c r="B540" s="21" t="s">
        <v>11318</v>
      </c>
      <c r="C540" s="21" t="s">
        <v>8</v>
      </c>
      <c r="D540" s="21" t="s">
        <v>1147</v>
      </c>
      <c r="E540" s="21" t="s">
        <v>61</v>
      </c>
      <c r="F540" s="5812">
        <v>1</v>
      </c>
      <c r="G540" s="5813">
        <v>0.11527777777777778</v>
      </c>
      <c r="H540" s="21" t="s">
        <v>10</v>
      </c>
      <c r="I540" s="21" t="s">
        <v>96</v>
      </c>
      <c r="J540" s="21" t="s">
        <v>11319</v>
      </c>
      <c r="K540" s="5814" t="s">
        <v>11320</v>
      </c>
    </row>
    <row r="541" spans="1:11">
      <c r="A541" s="21" t="s">
        <v>4257</v>
      </c>
      <c r="B541" s="21" t="s">
        <v>11321</v>
      </c>
      <c r="C541" s="21" t="s">
        <v>8</v>
      </c>
      <c r="D541" s="21" t="s">
        <v>1147</v>
      </c>
      <c r="E541" s="21" t="s">
        <v>61</v>
      </c>
      <c r="F541" s="5812">
        <v>1</v>
      </c>
      <c r="G541" s="5813">
        <v>0.11666666666666667</v>
      </c>
      <c r="H541" s="21" t="s">
        <v>10</v>
      </c>
      <c r="I541" s="21" t="s">
        <v>654</v>
      </c>
      <c r="J541" s="21" t="s">
        <v>67</v>
      </c>
      <c r="K541" s="5814" t="s">
        <v>11322</v>
      </c>
    </row>
    <row r="542" spans="1:11">
      <c r="A542" s="21" t="s">
        <v>2935</v>
      </c>
      <c r="B542" s="21" t="s">
        <v>11323</v>
      </c>
      <c r="C542" s="21" t="s">
        <v>22</v>
      </c>
      <c r="D542" s="21" t="s">
        <v>1147</v>
      </c>
      <c r="E542" s="21" t="s">
        <v>61</v>
      </c>
      <c r="F542" s="5812">
        <v>1</v>
      </c>
      <c r="G542" s="5813">
        <v>0.11805555555555555</v>
      </c>
      <c r="H542" s="21" t="s">
        <v>10</v>
      </c>
      <c r="I542" s="21" t="s">
        <v>226</v>
      </c>
      <c r="J542" s="21" t="s">
        <v>11324</v>
      </c>
      <c r="K542" s="5814" t="s">
        <v>11325</v>
      </c>
    </row>
    <row r="543" spans="1:11">
      <c r="A543" s="21" t="s">
        <v>2160</v>
      </c>
      <c r="B543" s="21" t="s">
        <v>11326</v>
      </c>
      <c r="C543" s="21" t="s">
        <v>22</v>
      </c>
      <c r="D543" s="21" t="s">
        <v>1147</v>
      </c>
      <c r="E543" s="21" t="s">
        <v>61</v>
      </c>
      <c r="F543" s="5812">
        <v>1</v>
      </c>
      <c r="G543" s="5813">
        <v>0.11805555555555555</v>
      </c>
      <c r="H543" s="21" t="s">
        <v>10</v>
      </c>
      <c r="I543" s="21" t="s">
        <v>47</v>
      </c>
      <c r="J543" s="21" t="s">
        <v>3326</v>
      </c>
      <c r="K543" s="5814" t="s">
        <v>11327</v>
      </c>
    </row>
    <row r="544" spans="1:11">
      <c r="A544" s="21" t="s">
        <v>4621</v>
      </c>
      <c r="B544" s="21" t="s">
        <v>11328</v>
      </c>
      <c r="C544" s="21" t="s">
        <v>22</v>
      </c>
      <c r="D544" s="21" t="s">
        <v>1147</v>
      </c>
      <c r="E544" s="21" t="s">
        <v>61</v>
      </c>
      <c r="F544" s="5812">
        <v>1</v>
      </c>
      <c r="G544" s="5813">
        <v>0.11874999999999999</v>
      </c>
      <c r="H544" s="21" t="s">
        <v>10</v>
      </c>
      <c r="I544" s="21" t="s">
        <v>2247</v>
      </c>
      <c r="J544" s="21" t="s">
        <v>67</v>
      </c>
      <c r="K544" s="5814" t="s">
        <v>11329</v>
      </c>
    </row>
    <row r="545" spans="1:11">
      <c r="A545" s="21" t="s">
        <v>4003</v>
      </c>
      <c r="B545" s="21" t="s">
        <v>11330</v>
      </c>
      <c r="C545" s="21" t="s">
        <v>22</v>
      </c>
      <c r="D545" s="21" t="s">
        <v>1147</v>
      </c>
      <c r="E545" s="21" t="s">
        <v>61</v>
      </c>
      <c r="F545" s="5812">
        <v>1</v>
      </c>
      <c r="G545" s="5813">
        <v>0.11944444444444445</v>
      </c>
      <c r="H545" s="21" t="s">
        <v>10</v>
      </c>
      <c r="I545" s="21" t="s">
        <v>47</v>
      </c>
      <c r="J545" s="21" t="s">
        <v>1327</v>
      </c>
      <c r="K545" s="5814" t="s">
        <v>11331</v>
      </c>
    </row>
    <row r="546" spans="1:11">
      <c r="A546" s="21" t="s">
        <v>2882</v>
      </c>
      <c r="B546" s="21" t="s">
        <v>11332</v>
      </c>
      <c r="C546" s="21" t="s">
        <v>8</v>
      </c>
      <c r="D546" s="21" t="s">
        <v>1147</v>
      </c>
      <c r="E546" s="21" t="s">
        <v>61</v>
      </c>
      <c r="F546" s="5812">
        <v>1</v>
      </c>
      <c r="G546" s="5813">
        <v>0.12083333333333333</v>
      </c>
      <c r="H546" s="21" t="s">
        <v>10</v>
      </c>
      <c r="I546" s="21" t="s">
        <v>55</v>
      </c>
      <c r="J546" s="21" t="s">
        <v>67</v>
      </c>
      <c r="K546" s="5814" t="s">
        <v>11333</v>
      </c>
    </row>
    <row r="547" spans="1:11">
      <c r="A547" s="21" t="s">
        <v>2057</v>
      </c>
      <c r="B547" s="21" t="s">
        <v>11334</v>
      </c>
      <c r="C547" s="21" t="s">
        <v>8</v>
      </c>
      <c r="D547" s="21" t="s">
        <v>1147</v>
      </c>
      <c r="E547" s="21" t="s">
        <v>61</v>
      </c>
      <c r="F547" s="5812">
        <v>1</v>
      </c>
      <c r="G547" s="5813">
        <v>0.12291666666666666</v>
      </c>
      <c r="H547" s="21" t="s">
        <v>10</v>
      </c>
      <c r="I547" s="21" t="s">
        <v>55</v>
      </c>
      <c r="J547" s="21" t="s">
        <v>67</v>
      </c>
      <c r="K547" s="5814" t="s">
        <v>11335</v>
      </c>
    </row>
    <row r="548" spans="1:11">
      <c r="A548" s="21" t="s">
        <v>3098</v>
      </c>
      <c r="B548" s="21" t="s">
        <v>11336</v>
      </c>
      <c r="C548" s="21" t="s">
        <v>8</v>
      </c>
      <c r="D548" s="21" t="s">
        <v>1147</v>
      </c>
      <c r="E548" s="21" t="s">
        <v>61</v>
      </c>
      <c r="F548" s="5812">
        <v>1</v>
      </c>
      <c r="G548" s="5813">
        <v>0.12291666666666666</v>
      </c>
      <c r="H548" s="21" t="s">
        <v>10</v>
      </c>
      <c r="I548" s="21" t="s">
        <v>3100</v>
      </c>
      <c r="J548" s="21" t="s">
        <v>67</v>
      </c>
      <c r="K548" s="5814" t="s">
        <v>11337</v>
      </c>
    </row>
    <row r="549" spans="1:11">
      <c r="A549" s="21" t="s">
        <v>3974</v>
      </c>
      <c r="B549" s="21" t="s">
        <v>11338</v>
      </c>
      <c r="C549" s="21" t="s">
        <v>22</v>
      </c>
      <c r="D549" s="21" t="s">
        <v>1147</v>
      </c>
      <c r="E549" s="21" t="s">
        <v>61</v>
      </c>
      <c r="F549" s="5812">
        <v>1</v>
      </c>
      <c r="G549" s="5813">
        <v>0.1361111111111111</v>
      </c>
      <c r="H549" s="21" t="s">
        <v>10</v>
      </c>
      <c r="I549" s="21" t="s">
        <v>96</v>
      </c>
      <c r="J549" s="21" t="s">
        <v>67</v>
      </c>
      <c r="K549" s="5814" t="s">
        <v>11339</v>
      </c>
    </row>
    <row r="550" spans="1:11">
      <c r="A550" s="21" t="s">
        <v>2643</v>
      </c>
      <c r="B550" s="21" t="s">
        <v>11340</v>
      </c>
      <c r="C550" s="21" t="s">
        <v>22</v>
      </c>
      <c r="D550" s="21" t="s">
        <v>1147</v>
      </c>
      <c r="E550" s="21" t="s">
        <v>61</v>
      </c>
      <c r="F550" s="5812">
        <v>1</v>
      </c>
      <c r="G550" s="5813">
        <v>0.1388888888888889</v>
      </c>
      <c r="H550" s="21" t="s">
        <v>10</v>
      </c>
      <c r="I550" s="21" t="s">
        <v>55</v>
      </c>
      <c r="J550" s="21" t="s">
        <v>11341</v>
      </c>
      <c r="K550" s="5814" t="s">
        <v>11342</v>
      </c>
    </row>
    <row r="551" spans="1:11">
      <c r="A551" s="21" t="s">
        <v>2115</v>
      </c>
      <c r="B551" s="21" t="s">
        <v>11343</v>
      </c>
      <c r="C551" s="21" t="s">
        <v>22</v>
      </c>
      <c r="D551" s="21" t="s">
        <v>1147</v>
      </c>
      <c r="E551" s="21" t="s">
        <v>61</v>
      </c>
      <c r="F551" s="5812">
        <v>1</v>
      </c>
      <c r="G551" s="5813">
        <v>0.1423611111111111</v>
      </c>
      <c r="H551" s="21" t="s">
        <v>10</v>
      </c>
      <c r="I551" s="21" t="s">
        <v>73</v>
      </c>
      <c r="J551" s="21" t="s">
        <v>782</v>
      </c>
      <c r="K551" s="5814" t="s">
        <v>11344</v>
      </c>
    </row>
    <row r="552" spans="1:11">
      <c r="A552" s="21" t="s">
        <v>4293</v>
      </c>
      <c r="B552" s="21" t="s">
        <v>11345</v>
      </c>
      <c r="C552" s="21" t="s">
        <v>22</v>
      </c>
      <c r="D552" s="21" t="s">
        <v>1147</v>
      </c>
      <c r="E552" s="21" t="s">
        <v>61</v>
      </c>
      <c r="F552" s="5812">
        <v>1</v>
      </c>
      <c r="G552" s="5813">
        <v>0.15486111111111112</v>
      </c>
      <c r="H552" s="21" t="s">
        <v>10</v>
      </c>
      <c r="I552" s="21" t="s">
        <v>2872</v>
      </c>
      <c r="J552" s="21" t="s">
        <v>6161</v>
      </c>
      <c r="K552" s="5814" t="s">
        <v>11346</v>
      </c>
    </row>
    <row r="553" spans="1:11">
      <c r="A553" s="21" t="s">
        <v>3224</v>
      </c>
      <c r="B553" s="21" t="s">
        <v>11347</v>
      </c>
      <c r="C553" s="21" t="s">
        <v>22</v>
      </c>
      <c r="D553" s="21" t="s">
        <v>1147</v>
      </c>
      <c r="E553" s="21" t="s">
        <v>61</v>
      </c>
      <c r="F553" s="5812">
        <v>1</v>
      </c>
      <c r="G553" s="5813">
        <v>0.16388888888888889</v>
      </c>
      <c r="H553" s="21" t="s">
        <v>10</v>
      </c>
      <c r="I553" s="21" t="s">
        <v>96</v>
      </c>
      <c r="J553" s="21" t="s">
        <v>782</v>
      </c>
      <c r="K553" s="5814" t="s">
        <v>11348</v>
      </c>
    </row>
    <row r="554" spans="1:11">
      <c r="A554" s="21" t="s">
        <v>3474</v>
      </c>
      <c r="B554" s="21" t="s">
        <v>11349</v>
      </c>
      <c r="C554" s="21" t="s">
        <v>8</v>
      </c>
      <c r="D554" s="21" t="s">
        <v>1147</v>
      </c>
      <c r="E554" s="21" t="s">
        <v>61</v>
      </c>
      <c r="F554" s="5812">
        <v>1</v>
      </c>
      <c r="G554" s="5813">
        <v>0.17708333333333334</v>
      </c>
      <c r="H554" s="21" t="s">
        <v>10</v>
      </c>
      <c r="I554" s="21" t="s">
        <v>39</v>
      </c>
      <c r="J554" s="21" t="s">
        <v>505</v>
      </c>
      <c r="K554" s="5814" t="s">
        <v>11350</v>
      </c>
    </row>
    <row r="555" spans="1:11">
      <c r="A555" s="21" t="s">
        <v>2354</v>
      </c>
      <c r="B555" s="21" t="s">
        <v>11351</v>
      </c>
      <c r="C555" s="21" t="s">
        <v>8</v>
      </c>
      <c r="D555" s="21" t="s">
        <v>1147</v>
      </c>
      <c r="E555" s="21" t="s">
        <v>61</v>
      </c>
      <c r="F555" s="5812">
        <v>1</v>
      </c>
      <c r="G555" s="5813">
        <v>0.17708333333333334</v>
      </c>
      <c r="H555" s="21" t="s">
        <v>10</v>
      </c>
      <c r="I555" s="21" t="s">
        <v>788</v>
      </c>
      <c r="J555" s="21" t="s">
        <v>836</v>
      </c>
      <c r="K555" s="5814" t="s">
        <v>11352</v>
      </c>
    </row>
    <row r="556" spans="1:11">
      <c r="A556" s="21" t="s">
        <v>2784</v>
      </c>
      <c r="B556" s="21" t="s">
        <v>11353</v>
      </c>
      <c r="C556" s="21" t="s">
        <v>8</v>
      </c>
      <c r="D556" s="21" t="s">
        <v>1147</v>
      </c>
      <c r="E556" s="21" t="s">
        <v>61</v>
      </c>
      <c r="F556" s="5812">
        <v>1</v>
      </c>
      <c r="G556" s="5813">
        <v>0.18124999999999999</v>
      </c>
      <c r="H556" s="21" t="s">
        <v>10</v>
      </c>
      <c r="I556" s="21" t="s">
        <v>3777</v>
      </c>
      <c r="J556" s="21" t="s">
        <v>3391</v>
      </c>
      <c r="K556" s="5814" t="s">
        <v>11354</v>
      </c>
    </row>
    <row r="557" spans="1:11">
      <c r="A557" s="21" t="s">
        <v>2800</v>
      </c>
      <c r="B557" s="21" t="s">
        <v>11355</v>
      </c>
      <c r="C557" s="21" t="s">
        <v>22</v>
      </c>
      <c r="D557" s="21" t="s">
        <v>1147</v>
      </c>
      <c r="E557" s="21" t="s">
        <v>61</v>
      </c>
      <c r="F557" s="5812">
        <v>1</v>
      </c>
      <c r="G557" s="5813">
        <v>0.1875</v>
      </c>
      <c r="H557" s="21" t="s">
        <v>10</v>
      </c>
      <c r="I557" s="21" t="s">
        <v>39</v>
      </c>
      <c r="J557" s="21" t="s">
        <v>6161</v>
      </c>
      <c r="K557" s="5814" t="s">
        <v>11356</v>
      </c>
    </row>
    <row r="558" spans="1:11">
      <c r="A558" s="21" t="s">
        <v>3761</v>
      </c>
      <c r="B558" s="21" t="s">
        <v>11357</v>
      </c>
      <c r="C558" s="21" t="s">
        <v>8</v>
      </c>
      <c r="D558" s="21" t="s">
        <v>1147</v>
      </c>
      <c r="E558" s="21" t="s">
        <v>61</v>
      </c>
      <c r="F558" s="5812">
        <v>1</v>
      </c>
      <c r="G558" s="5813">
        <v>0.18819444444444444</v>
      </c>
      <c r="H558" s="21" t="s">
        <v>10</v>
      </c>
      <c r="I558" s="21" t="s">
        <v>2260</v>
      </c>
      <c r="J558" s="21" t="s">
        <v>67</v>
      </c>
      <c r="K558" s="5814" t="s">
        <v>11358</v>
      </c>
    </row>
    <row r="559" spans="1:11">
      <c r="A559" s="21" t="s">
        <v>2450</v>
      </c>
      <c r="B559" s="21" t="s">
        <v>11359</v>
      </c>
      <c r="C559" s="21" t="s">
        <v>8</v>
      </c>
      <c r="D559" s="21" t="s">
        <v>1147</v>
      </c>
      <c r="E559" s="21" t="s">
        <v>61</v>
      </c>
      <c r="F559" s="5812">
        <v>1</v>
      </c>
      <c r="G559" s="5813">
        <v>0.19305555555555556</v>
      </c>
      <c r="H559" s="21" t="s">
        <v>10</v>
      </c>
      <c r="I559" s="21" t="s">
        <v>654</v>
      </c>
      <c r="J559" s="21" t="s">
        <v>67</v>
      </c>
      <c r="K559" s="5814" t="s">
        <v>11360</v>
      </c>
    </row>
    <row r="560" spans="1:11">
      <c r="A560" s="21" t="s">
        <v>3515</v>
      </c>
      <c r="B560" s="21" t="s">
        <v>11361</v>
      </c>
      <c r="C560" s="21" t="s">
        <v>22</v>
      </c>
      <c r="D560" s="21" t="s">
        <v>1147</v>
      </c>
      <c r="E560" s="21" t="s">
        <v>61</v>
      </c>
      <c r="F560" s="5812">
        <v>1</v>
      </c>
      <c r="G560" s="5813">
        <v>0.19444444444444445</v>
      </c>
      <c r="H560" s="21" t="s">
        <v>10</v>
      </c>
      <c r="I560" s="21" t="s">
        <v>2313</v>
      </c>
      <c r="J560" s="21" t="s">
        <v>110</v>
      </c>
      <c r="K560" s="5814" t="s">
        <v>11362</v>
      </c>
    </row>
    <row r="561" spans="1:11">
      <c r="A561" s="21" t="s">
        <v>2882</v>
      </c>
      <c r="B561" s="21" t="s">
        <v>11363</v>
      </c>
      <c r="C561" s="21" t="s">
        <v>8</v>
      </c>
      <c r="D561" s="21" t="s">
        <v>1147</v>
      </c>
      <c r="E561" s="21" t="s">
        <v>61</v>
      </c>
      <c r="F561" s="5812">
        <v>1</v>
      </c>
      <c r="G561" s="5813">
        <v>0.19722222222222222</v>
      </c>
      <c r="H561" s="21" t="s">
        <v>10</v>
      </c>
      <c r="I561" s="21" t="s">
        <v>47</v>
      </c>
      <c r="J561" s="21" t="s">
        <v>3313</v>
      </c>
      <c r="K561" s="5814" t="s">
        <v>11364</v>
      </c>
    </row>
    <row r="562" spans="1:11">
      <c r="A562" s="21" t="s">
        <v>2192</v>
      </c>
      <c r="B562" s="21" t="s">
        <v>11365</v>
      </c>
      <c r="C562" s="21" t="s">
        <v>8</v>
      </c>
      <c r="D562" s="21" t="s">
        <v>1147</v>
      </c>
      <c r="E562" s="21" t="s">
        <v>61</v>
      </c>
      <c r="F562" s="5812">
        <v>1</v>
      </c>
      <c r="G562" s="5813">
        <v>0.1986111111111111</v>
      </c>
      <c r="H562" s="21" t="s">
        <v>10</v>
      </c>
      <c r="I562" s="21" t="s">
        <v>11</v>
      </c>
      <c r="J562" s="21" t="s">
        <v>928</v>
      </c>
      <c r="K562" s="5814" t="s">
        <v>11366</v>
      </c>
    </row>
    <row r="563" spans="1:11">
      <c r="A563" s="21" t="s">
        <v>4654</v>
      </c>
      <c r="B563" s="21" t="s">
        <v>11367</v>
      </c>
      <c r="C563" s="21" t="s">
        <v>8</v>
      </c>
      <c r="D563" s="21" t="s">
        <v>1147</v>
      </c>
      <c r="E563" s="21" t="s">
        <v>61</v>
      </c>
      <c r="F563" s="5812">
        <v>1</v>
      </c>
      <c r="G563" s="5813">
        <v>0.20069444444444445</v>
      </c>
      <c r="H563" s="21" t="s">
        <v>10</v>
      </c>
      <c r="I563" s="21" t="s">
        <v>5887</v>
      </c>
      <c r="J563" s="21" t="s">
        <v>67</v>
      </c>
      <c r="K563" s="5814" t="s">
        <v>11368</v>
      </c>
    </row>
    <row r="564" spans="1:11">
      <c r="A564" s="21" t="s">
        <v>3671</v>
      </c>
      <c r="B564" s="21" t="s">
        <v>11369</v>
      </c>
      <c r="C564" s="21" t="s">
        <v>8</v>
      </c>
      <c r="D564" s="21" t="s">
        <v>1147</v>
      </c>
      <c r="E564" s="21" t="s">
        <v>61</v>
      </c>
      <c r="F564" s="5812">
        <v>1</v>
      </c>
      <c r="G564" s="5813">
        <v>0.20208333333333334</v>
      </c>
      <c r="H564" s="21" t="s">
        <v>10</v>
      </c>
      <c r="I564" s="21" t="s">
        <v>2814</v>
      </c>
      <c r="J564" s="21" t="s">
        <v>1444</v>
      </c>
      <c r="K564" s="5814" t="s">
        <v>11370</v>
      </c>
    </row>
    <row r="565" spans="1:11">
      <c r="A565" s="21" t="s">
        <v>2119</v>
      </c>
      <c r="B565" s="21" t="s">
        <v>11371</v>
      </c>
      <c r="C565" s="21" t="s">
        <v>8</v>
      </c>
      <c r="D565" s="21" t="s">
        <v>1147</v>
      </c>
      <c r="E565" s="21" t="s">
        <v>61</v>
      </c>
      <c r="F565" s="5812">
        <v>2</v>
      </c>
      <c r="G565" s="5813">
        <v>1.8055555555555554E-2</v>
      </c>
      <c r="H565" s="21" t="s">
        <v>10</v>
      </c>
      <c r="I565" s="21" t="s">
        <v>23</v>
      </c>
      <c r="J565" s="21" t="s">
        <v>67</v>
      </c>
      <c r="K565" s="5814" t="s">
        <v>11372</v>
      </c>
    </row>
    <row r="566" spans="1:11">
      <c r="A566" s="21" t="s">
        <v>3584</v>
      </c>
      <c r="B566" s="21" t="s">
        <v>11373</v>
      </c>
      <c r="C566" s="21" t="s">
        <v>8</v>
      </c>
      <c r="D566" s="21" t="s">
        <v>1147</v>
      </c>
      <c r="E566" s="21" t="s">
        <v>61</v>
      </c>
      <c r="F566" s="5812">
        <v>2</v>
      </c>
      <c r="G566" s="5813">
        <v>3.1944444444444442E-2</v>
      </c>
      <c r="H566" s="21" t="s">
        <v>10</v>
      </c>
      <c r="I566" s="21" t="s">
        <v>47</v>
      </c>
      <c r="J566" s="21" t="s">
        <v>3313</v>
      </c>
      <c r="K566" s="5814" t="s">
        <v>11374</v>
      </c>
    </row>
    <row r="567" spans="1:11">
      <c r="A567" s="21" t="s">
        <v>2824</v>
      </c>
      <c r="B567" s="21" t="s">
        <v>11375</v>
      </c>
      <c r="C567" s="21" t="s">
        <v>8</v>
      </c>
      <c r="D567" s="21" t="s">
        <v>1147</v>
      </c>
      <c r="E567" s="21" t="s">
        <v>61</v>
      </c>
      <c r="F567" s="5812">
        <v>2</v>
      </c>
      <c r="G567" s="5813">
        <v>3.4027777777777775E-2</v>
      </c>
      <c r="H567" s="21" t="s">
        <v>10</v>
      </c>
      <c r="I567" s="21" t="s">
        <v>47</v>
      </c>
      <c r="J567" s="21" t="s">
        <v>67</v>
      </c>
      <c r="K567" s="5814" t="s">
        <v>11376</v>
      </c>
    </row>
    <row r="568" spans="1:11">
      <c r="A568" s="21" t="s">
        <v>3173</v>
      </c>
      <c r="B568" s="21" t="s">
        <v>11377</v>
      </c>
      <c r="C568" s="21" t="s">
        <v>22</v>
      </c>
      <c r="D568" s="21" t="s">
        <v>1147</v>
      </c>
      <c r="E568" s="21" t="s">
        <v>61</v>
      </c>
      <c r="F568" s="5812">
        <v>2</v>
      </c>
      <c r="G568" s="5813">
        <v>3.888888888888889E-2</v>
      </c>
      <c r="H568" s="21" t="s">
        <v>10</v>
      </c>
      <c r="I568" s="21" t="s">
        <v>89</v>
      </c>
      <c r="J568" s="21" t="s">
        <v>6955</v>
      </c>
      <c r="K568" s="5814" t="s">
        <v>11378</v>
      </c>
    </row>
    <row r="569" spans="1:11">
      <c r="A569" s="21" t="s">
        <v>2947</v>
      </c>
      <c r="B569" s="21" t="s">
        <v>11379</v>
      </c>
      <c r="C569" s="21" t="s">
        <v>8</v>
      </c>
      <c r="D569" s="21" t="s">
        <v>1147</v>
      </c>
      <c r="E569" s="21" t="s">
        <v>61</v>
      </c>
      <c r="F569" s="5812">
        <v>2</v>
      </c>
      <c r="G569" s="5813">
        <v>4.583333333333333E-2</v>
      </c>
      <c r="H569" s="21" t="s">
        <v>10</v>
      </c>
      <c r="I569" s="21" t="s">
        <v>226</v>
      </c>
      <c r="J569" s="21" t="s">
        <v>3313</v>
      </c>
      <c r="K569" s="5814" t="s">
        <v>11380</v>
      </c>
    </row>
    <row r="570" spans="1:11">
      <c r="A570" s="21" t="s">
        <v>207</v>
      </c>
      <c r="B570" s="21" t="s">
        <v>1276</v>
      </c>
      <c r="C570" s="21" t="s">
        <v>22</v>
      </c>
      <c r="D570" s="21" t="s">
        <v>1147</v>
      </c>
      <c r="E570" s="21" t="s">
        <v>61</v>
      </c>
      <c r="F570" s="5812">
        <v>2</v>
      </c>
      <c r="G570" s="5813">
        <v>4.9305555555555554E-2</v>
      </c>
      <c r="H570" s="21" t="s">
        <v>10</v>
      </c>
      <c r="I570" s="21" t="s">
        <v>209</v>
      </c>
      <c r="J570" s="21" t="s">
        <v>67</v>
      </c>
      <c r="K570" s="5814" t="s">
        <v>1277</v>
      </c>
    </row>
    <row r="571" spans="1:11">
      <c r="A571" s="21" t="s">
        <v>4132</v>
      </c>
      <c r="B571" s="21" t="s">
        <v>11381</v>
      </c>
      <c r="C571" s="21" t="s">
        <v>22</v>
      </c>
      <c r="D571" s="21" t="s">
        <v>1147</v>
      </c>
      <c r="E571" s="21" t="s">
        <v>61</v>
      </c>
      <c r="F571" s="5812">
        <v>2</v>
      </c>
      <c r="G571" s="5813">
        <v>5.6944444444444443E-2</v>
      </c>
      <c r="H571" s="21" t="s">
        <v>10</v>
      </c>
      <c r="I571" s="21" t="s">
        <v>187</v>
      </c>
      <c r="J571" s="21" t="s">
        <v>3326</v>
      </c>
      <c r="K571" s="5814" t="s">
        <v>11382</v>
      </c>
    </row>
    <row r="572" spans="1:11">
      <c r="A572" s="21" t="s">
        <v>2944</v>
      </c>
      <c r="B572" s="21" t="s">
        <v>11383</v>
      </c>
      <c r="C572" s="21" t="s">
        <v>22</v>
      </c>
      <c r="D572" s="21" t="s">
        <v>1147</v>
      </c>
      <c r="E572" s="21" t="s">
        <v>61</v>
      </c>
      <c r="F572" s="5812">
        <v>2</v>
      </c>
      <c r="G572" s="5813">
        <v>6.1111111111111109E-2</v>
      </c>
      <c r="H572" s="21" t="s">
        <v>10</v>
      </c>
      <c r="I572" s="21" t="s">
        <v>73</v>
      </c>
      <c r="J572" s="21" t="s">
        <v>782</v>
      </c>
      <c r="K572" s="5814" t="s">
        <v>11384</v>
      </c>
    </row>
    <row r="573" spans="1:11">
      <c r="A573" s="21" t="s">
        <v>2045</v>
      </c>
      <c r="B573" s="21" t="s">
        <v>11385</v>
      </c>
      <c r="C573" s="21" t="s">
        <v>8</v>
      </c>
      <c r="D573" s="21" t="s">
        <v>1147</v>
      </c>
      <c r="E573" s="21" t="s">
        <v>61</v>
      </c>
      <c r="F573" s="5812">
        <v>2</v>
      </c>
      <c r="G573" s="5813">
        <v>6.3888888888888884E-2</v>
      </c>
      <c r="H573" s="21" t="s">
        <v>10</v>
      </c>
      <c r="I573" s="21" t="s">
        <v>39</v>
      </c>
      <c r="J573" s="21" t="s">
        <v>110</v>
      </c>
      <c r="K573" s="5814" t="s">
        <v>11386</v>
      </c>
    </row>
    <row r="574" spans="1:11">
      <c r="A574" s="21" t="s">
        <v>3882</v>
      </c>
      <c r="B574" s="21" t="s">
        <v>11387</v>
      </c>
      <c r="C574" s="21" t="s">
        <v>8</v>
      </c>
      <c r="D574" s="21" t="s">
        <v>1147</v>
      </c>
      <c r="E574" s="21" t="s">
        <v>61</v>
      </c>
      <c r="F574" s="5812">
        <v>2</v>
      </c>
      <c r="G574" s="5813">
        <v>6.7361111111111108E-2</v>
      </c>
      <c r="H574" s="21" t="s">
        <v>10</v>
      </c>
      <c r="I574" s="21" t="s">
        <v>654</v>
      </c>
      <c r="J574" s="21" t="s">
        <v>3350</v>
      </c>
      <c r="K574" s="5814" t="s">
        <v>11388</v>
      </c>
    </row>
    <row r="575" spans="1:11">
      <c r="A575" s="21" t="s">
        <v>2804</v>
      </c>
      <c r="B575" s="21" t="s">
        <v>11389</v>
      </c>
      <c r="C575" s="21" t="s">
        <v>22</v>
      </c>
      <c r="D575" s="21" t="s">
        <v>1147</v>
      </c>
      <c r="E575" s="21" t="s">
        <v>61</v>
      </c>
      <c r="F575" s="5812">
        <v>2</v>
      </c>
      <c r="G575" s="5813">
        <v>6.9444444444444448E-2</v>
      </c>
      <c r="H575" s="21" t="s">
        <v>10</v>
      </c>
      <c r="I575" s="21" t="s">
        <v>55</v>
      </c>
      <c r="J575" s="21" t="s">
        <v>67</v>
      </c>
      <c r="K575" s="5814" t="s">
        <v>11390</v>
      </c>
    </row>
    <row r="576" spans="1:11">
      <c r="A576" s="21" t="s">
        <v>4068</v>
      </c>
      <c r="B576" s="21" t="s">
        <v>11391</v>
      </c>
      <c r="C576" s="21" t="s">
        <v>8</v>
      </c>
      <c r="D576" s="21" t="s">
        <v>1147</v>
      </c>
      <c r="E576" s="21" t="s">
        <v>61</v>
      </c>
      <c r="F576" s="5812">
        <v>2</v>
      </c>
      <c r="G576" s="5813">
        <v>7.4305555555555555E-2</v>
      </c>
      <c r="H576" s="21" t="s">
        <v>10</v>
      </c>
      <c r="I576" s="21" t="s">
        <v>55</v>
      </c>
      <c r="J576" s="21" t="s">
        <v>4770</v>
      </c>
      <c r="K576" s="5814" t="s">
        <v>11392</v>
      </c>
    </row>
    <row r="577" spans="1:11">
      <c r="A577" s="21" t="s">
        <v>3495</v>
      </c>
      <c r="B577" s="21" t="s">
        <v>11393</v>
      </c>
      <c r="C577" s="21" t="s">
        <v>22</v>
      </c>
      <c r="D577" s="21" t="s">
        <v>1147</v>
      </c>
      <c r="E577" s="21" t="s">
        <v>61</v>
      </c>
      <c r="F577" s="5812">
        <v>2</v>
      </c>
      <c r="G577" s="5813">
        <v>8.9583333333333334E-2</v>
      </c>
      <c r="H577" s="21" t="s">
        <v>10</v>
      </c>
      <c r="I577" s="21" t="s">
        <v>3451</v>
      </c>
      <c r="J577" s="21" t="s">
        <v>3350</v>
      </c>
      <c r="K577" s="5814" t="s">
        <v>11394</v>
      </c>
    </row>
    <row r="578" spans="1:11">
      <c r="A578" s="21" t="s">
        <v>3009</v>
      </c>
      <c r="B578" s="21" t="s">
        <v>11395</v>
      </c>
      <c r="C578" s="21" t="s">
        <v>22</v>
      </c>
      <c r="D578" s="21" t="s">
        <v>1147</v>
      </c>
      <c r="E578" s="21" t="s">
        <v>61</v>
      </c>
      <c r="F578" s="5812">
        <v>2</v>
      </c>
      <c r="G578" s="5813">
        <v>8.9583333333333334E-2</v>
      </c>
      <c r="H578" s="21" t="s">
        <v>10</v>
      </c>
      <c r="I578" s="21" t="s">
        <v>39</v>
      </c>
      <c r="J578" s="21" t="s">
        <v>836</v>
      </c>
      <c r="K578" s="5814" t="s">
        <v>11396</v>
      </c>
    </row>
    <row r="579" spans="1:11">
      <c r="A579" s="21" t="s">
        <v>2061</v>
      </c>
      <c r="B579" s="21" t="s">
        <v>11397</v>
      </c>
      <c r="C579" s="21" t="s">
        <v>8</v>
      </c>
      <c r="D579" s="21" t="s">
        <v>1147</v>
      </c>
      <c r="E579" s="21" t="s">
        <v>61</v>
      </c>
      <c r="F579" s="5812">
        <v>2</v>
      </c>
      <c r="G579" s="5813">
        <v>9.0277777777777776E-2</v>
      </c>
      <c r="H579" s="21" t="s">
        <v>10</v>
      </c>
      <c r="I579" s="21" t="s">
        <v>89</v>
      </c>
      <c r="J579" s="21" t="s">
        <v>67</v>
      </c>
      <c r="K579" s="5814" t="s">
        <v>11398</v>
      </c>
    </row>
    <row r="580" spans="1:11">
      <c r="A580" s="21" t="s">
        <v>2921</v>
      </c>
      <c r="B580" s="21" t="s">
        <v>11399</v>
      </c>
      <c r="C580" s="21" t="s">
        <v>22</v>
      </c>
      <c r="D580" s="21" t="s">
        <v>1147</v>
      </c>
      <c r="E580" s="21" t="s">
        <v>61</v>
      </c>
      <c r="F580" s="5812">
        <v>2</v>
      </c>
      <c r="G580" s="5813">
        <v>0.10486111111111111</v>
      </c>
      <c r="H580" s="21" t="s">
        <v>10</v>
      </c>
      <c r="I580" s="21" t="s">
        <v>226</v>
      </c>
      <c r="J580" s="21" t="s">
        <v>67</v>
      </c>
      <c r="K580" s="5814" t="s">
        <v>11400</v>
      </c>
    </row>
    <row r="581" spans="1:11">
      <c r="A581" s="21" t="s">
        <v>5015</v>
      </c>
      <c r="B581" s="21" t="s">
        <v>11401</v>
      </c>
      <c r="C581" s="21" t="s">
        <v>8</v>
      </c>
      <c r="D581" s="21" t="s">
        <v>1147</v>
      </c>
      <c r="E581" s="21" t="s">
        <v>61</v>
      </c>
      <c r="F581" s="5812">
        <v>2</v>
      </c>
      <c r="G581" s="5813">
        <v>0.10902777777777778</v>
      </c>
      <c r="H581" s="21" t="s">
        <v>10</v>
      </c>
      <c r="I581" s="21" t="s">
        <v>2400</v>
      </c>
      <c r="J581" s="21" t="s">
        <v>67</v>
      </c>
      <c r="K581" s="5814" t="s">
        <v>11402</v>
      </c>
    </row>
    <row r="582" spans="1:11">
      <c r="A582" s="21" t="s">
        <v>2788</v>
      </c>
      <c r="B582" s="21" t="s">
        <v>10006</v>
      </c>
      <c r="C582" s="21" t="s">
        <v>8</v>
      </c>
      <c r="D582" s="21" t="s">
        <v>1147</v>
      </c>
      <c r="E582" s="21" t="s">
        <v>61</v>
      </c>
      <c r="F582" s="5812">
        <v>2</v>
      </c>
      <c r="G582" s="5813">
        <v>0.10972222222222222</v>
      </c>
      <c r="H582" s="21" t="s">
        <v>10</v>
      </c>
      <c r="I582" s="21" t="s">
        <v>2297</v>
      </c>
      <c r="J582" s="21" t="s">
        <v>67</v>
      </c>
      <c r="K582" s="5814" t="s">
        <v>11403</v>
      </c>
    </row>
    <row r="583" spans="1:11">
      <c r="A583" s="21" t="s">
        <v>2863</v>
      </c>
      <c r="B583" s="21" t="s">
        <v>11404</v>
      </c>
      <c r="C583" s="21" t="s">
        <v>8</v>
      </c>
      <c r="D583" s="21" t="s">
        <v>1147</v>
      </c>
      <c r="E583" s="21" t="s">
        <v>61</v>
      </c>
      <c r="F583" s="5812">
        <v>2</v>
      </c>
      <c r="G583" s="5813">
        <v>0.11944444444444445</v>
      </c>
      <c r="H583" s="21" t="s">
        <v>10</v>
      </c>
      <c r="I583" s="21" t="s">
        <v>55</v>
      </c>
      <c r="J583" s="21" t="s">
        <v>67</v>
      </c>
      <c r="K583" s="5814" t="s">
        <v>11405</v>
      </c>
    </row>
    <row r="584" spans="1:11">
      <c r="A584" s="21" t="s">
        <v>2846</v>
      </c>
      <c r="B584" s="21" t="s">
        <v>11406</v>
      </c>
      <c r="C584" s="21" t="s">
        <v>22</v>
      </c>
      <c r="D584" s="21" t="s">
        <v>1147</v>
      </c>
      <c r="E584" s="21" t="s">
        <v>61</v>
      </c>
      <c r="F584" s="5812">
        <v>2</v>
      </c>
      <c r="G584" s="5813">
        <v>0.12916666666666668</v>
      </c>
      <c r="H584" s="21" t="s">
        <v>10</v>
      </c>
      <c r="I584" s="21" t="s">
        <v>11</v>
      </c>
      <c r="J584" s="21" t="s">
        <v>505</v>
      </c>
      <c r="K584" s="5814" t="s">
        <v>11407</v>
      </c>
    </row>
    <row r="585" spans="1:11">
      <c r="A585" s="21" t="s">
        <v>5220</v>
      </c>
      <c r="B585" s="21" t="s">
        <v>11408</v>
      </c>
      <c r="C585" s="21" t="s">
        <v>22</v>
      </c>
      <c r="D585" s="21" t="s">
        <v>1147</v>
      </c>
      <c r="E585" s="21" t="s">
        <v>61</v>
      </c>
      <c r="F585" s="5812">
        <v>2</v>
      </c>
      <c r="G585" s="5813">
        <v>0.13541666666666666</v>
      </c>
      <c r="H585" s="21" t="s">
        <v>10</v>
      </c>
      <c r="I585" s="21" t="s">
        <v>47</v>
      </c>
      <c r="J585" s="21" t="s">
        <v>67</v>
      </c>
      <c r="K585" s="5814" t="s">
        <v>11409</v>
      </c>
    </row>
    <row r="586" spans="1:11">
      <c r="A586" s="21" t="s">
        <v>2724</v>
      </c>
      <c r="B586" s="21" t="s">
        <v>11410</v>
      </c>
      <c r="C586" s="21" t="s">
        <v>22</v>
      </c>
      <c r="D586" s="21" t="s">
        <v>1147</v>
      </c>
      <c r="E586" s="21" t="s">
        <v>61</v>
      </c>
      <c r="F586" s="5812">
        <v>2</v>
      </c>
      <c r="G586" s="5813">
        <v>0.13680555555555557</v>
      </c>
      <c r="H586" s="21" t="s">
        <v>10</v>
      </c>
      <c r="I586" s="21" t="s">
        <v>23</v>
      </c>
      <c r="J586" s="21" t="s">
        <v>3391</v>
      </c>
      <c r="K586" s="5814" t="s">
        <v>11411</v>
      </c>
    </row>
    <row r="587" spans="1:11">
      <c r="A587" s="21" t="s">
        <v>3896</v>
      </c>
      <c r="B587" s="21" t="s">
        <v>11412</v>
      </c>
      <c r="C587" s="21" t="s">
        <v>22</v>
      </c>
      <c r="D587" s="21" t="s">
        <v>1147</v>
      </c>
      <c r="E587" s="21" t="s">
        <v>61</v>
      </c>
      <c r="F587" s="5812">
        <v>2</v>
      </c>
      <c r="G587" s="5813">
        <v>0.1388888888888889</v>
      </c>
      <c r="H587" s="21" t="s">
        <v>10</v>
      </c>
      <c r="I587" s="21" t="s">
        <v>47</v>
      </c>
      <c r="J587" s="21" t="s">
        <v>67</v>
      </c>
      <c r="K587" s="5814" t="s">
        <v>11413</v>
      </c>
    </row>
    <row r="588" spans="1:11">
      <c r="A588" s="21" t="s">
        <v>3769</v>
      </c>
      <c r="B588" s="21" t="s">
        <v>11414</v>
      </c>
      <c r="C588" s="21" t="s">
        <v>22</v>
      </c>
      <c r="D588" s="21" t="s">
        <v>1147</v>
      </c>
      <c r="E588" s="21" t="s">
        <v>61</v>
      </c>
      <c r="F588" s="5812">
        <v>2</v>
      </c>
      <c r="G588" s="5813">
        <v>0.14027777777777778</v>
      </c>
      <c r="H588" s="21" t="s">
        <v>10</v>
      </c>
      <c r="I588" s="21" t="s">
        <v>3534</v>
      </c>
      <c r="J588" s="21" t="s">
        <v>67</v>
      </c>
      <c r="K588" s="5814" t="s">
        <v>11415</v>
      </c>
    </row>
    <row r="589" spans="1:11">
      <c r="A589" s="21" t="s">
        <v>2555</v>
      </c>
      <c r="B589" s="21" t="s">
        <v>11416</v>
      </c>
      <c r="C589" s="21" t="s">
        <v>22</v>
      </c>
      <c r="D589" s="21" t="s">
        <v>1147</v>
      </c>
      <c r="E589" s="21" t="s">
        <v>61</v>
      </c>
      <c r="F589" s="5812">
        <v>2</v>
      </c>
      <c r="G589" s="5813">
        <v>0.15069444444444444</v>
      </c>
      <c r="H589" s="21" t="s">
        <v>10</v>
      </c>
      <c r="I589" s="21" t="s">
        <v>55</v>
      </c>
      <c r="J589" s="21" t="s">
        <v>324</v>
      </c>
      <c r="K589" s="5814" t="s">
        <v>11417</v>
      </c>
    </row>
    <row r="590" spans="1:11">
      <c r="A590" s="21" t="s">
        <v>2250</v>
      </c>
      <c r="B590" s="21" t="s">
        <v>11418</v>
      </c>
      <c r="C590" s="21" t="s">
        <v>8</v>
      </c>
      <c r="D590" s="21" t="s">
        <v>1147</v>
      </c>
      <c r="E590" s="21" t="s">
        <v>61</v>
      </c>
      <c r="F590" s="5812">
        <v>2</v>
      </c>
      <c r="G590" s="5813">
        <v>0.16111111111111112</v>
      </c>
      <c r="H590" s="21" t="s">
        <v>10</v>
      </c>
      <c r="I590" s="21" t="s">
        <v>23</v>
      </c>
      <c r="J590" s="21" t="s">
        <v>3607</v>
      </c>
      <c r="K590" s="5814" t="s">
        <v>11419</v>
      </c>
    </row>
    <row r="591" spans="1:11">
      <c r="A591" s="21" t="s">
        <v>2812</v>
      </c>
      <c r="B591" s="21" t="s">
        <v>11420</v>
      </c>
      <c r="C591" s="21" t="s">
        <v>8</v>
      </c>
      <c r="D591" s="21" t="s">
        <v>1147</v>
      </c>
      <c r="E591" s="21" t="s">
        <v>61</v>
      </c>
      <c r="F591" s="5812">
        <v>2</v>
      </c>
      <c r="G591" s="5813">
        <v>0.16805555555555557</v>
      </c>
      <c r="H591" s="21" t="s">
        <v>10</v>
      </c>
      <c r="I591" s="21" t="s">
        <v>2713</v>
      </c>
      <c r="J591" s="21" t="s">
        <v>3425</v>
      </c>
      <c r="K591" s="5814" t="s">
        <v>11421</v>
      </c>
    </row>
    <row r="592" spans="1:11">
      <c r="A592" s="21" t="s">
        <v>2761</v>
      </c>
      <c r="B592" s="21" t="s">
        <v>11422</v>
      </c>
      <c r="C592" s="21" t="s">
        <v>8</v>
      </c>
      <c r="D592" s="21" t="s">
        <v>1147</v>
      </c>
      <c r="E592" s="21" t="s">
        <v>61</v>
      </c>
      <c r="F592" s="5812">
        <v>2</v>
      </c>
      <c r="G592" s="5813">
        <v>0.17222222222222222</v>
      </c>
      <c r="H592" s="21" t="s">
        <v>10</v>
      </c>
      <c r="I592" s="21" t="s">
        <v>788</v>
      </c>
      <c r="J592" s="21" t="s">
        <v>8353</v>
      </c>
      <c r="K592" s="5814" t="s">
        <v>11423</v>
      </c>
    </row>
    <row r="593" spans="1:11">
      <c r="A593" s="21" t="s">
        <v>2863</v>
      </c>
      <c r="B593" s="21" t="s">
        <v>11424</v>
      </c>
      <c r="C593" s="21" t="s">
        <v>8</v>
      </c>
      <c r="D593" s="21" t="s">
        <v>1147</v>
      </c>
      <c r="E593" s="21" t="s">
        <v>61</v>
      </c>
      <c r="F593" s="5812">
        <v>2</v>
      </c>
      <c r="G593" s="5813">
        <v>0.17430555555555555</v>
      </c>
      <c r="H593" s="21" t="s">
        <v>10</v>
      </c>
      <c r="I593" s="21" t="s">
        <v>2297</v>
      </c>
      <c r="J593" s="21" t="s">
        <v>110</v>
      </c>
      <c r="K593" s="5814" t="s">
        <v>11425</v>
      </c>
    </row>
    <row r="594" spans="1:11">
      <c r="A594" s="21" t="s">
        <v>4396</v>
      </c>
      <c r="B594" s="21" t="s">
        <v>11426</v>
      </c>
      <c r="C594" s="21" t="s">
        <v>22</v>
      </c>
      <c r="D594" s="21" t="s">
        <v>1147</v>
      </c>
      <c r="E594" s="21" t="s">
        <v>61</v>
      </c>
      <c r="F594" s="5812">
        <v>2</v>
      </c>
      <c r="G594" s="5813">
        <v>0.17499999999999999</v>
      </c>
      <c r="H594" s="21" t="s">
        <v>54</v>
      </c>
      <c r="I594" s="21" t="s">
        <v>55</v>
      </c>
      <c r="J594" s="21" t="s">
        <v>67</v>
      </c>
      <c r="K594" s="5814" t="s">
        <v>11427</v>
      </c>
    </row>
    <row r="595" spans="1:11">
      <c r="A595" s="21" t="s">
        <v>65</v>
      </c>
      <c r="B595" s="21" t="s">
        <v>1198</v>
      </c>
      <c r="C595" s="21" t="s">
        <v>22</v>
      </c>
      <c r="D595" s="21" t="s">
        <v>1147</v>
      </c>
      <c r="E595" s="21" t="s">
        <v>61</v>
      </c>
      <c r="F595" s="5812">
        <v>2</v>
      </c>
      <c r="G595" s="5813">
        <v>0.17499999999999999</v>
      </c>
      <c r="H595" s="21" t="s">
        <v>10</v>
      </c>
      <c r="I595" s="21" t="s">
        <v>89</v>
      </c>
      <c r="J595" s="21" t="s">
        <v>897</v>
      </c>
      <c r="K595" s="5814" t="s">
        <v>1199</v>
      </c>
    </row>
    <row r="596" spans="1:11">
      <c r="A596" s="21" t="s">
        <v>2668</v>
      </c>
      <c r="B596" s="21" t="s">
        <v>11428</v>
      </c>
      <c r="C596" s="21" t="s">
        <v>22</v>
      </c>
      <c r="D596" s="21" t="s">
        <v>1147</v>
      </c>
      <c r="E596" s="21" t="s">
        <v>61</v>
      </c>
      <c r="F596" s="5812">
        <v>2</v>
      </c>
      <c r="G596" s="5813">
        <v>0.17847222222222223</v>
      </c>
      <c r="H596" s="21" t="s">
        <v>10</v>
      </c>
      <c r="I596" s="21" t="s">
        <v>400</v>
      </c>
      <c r="J596" s="21" t="s">
        <v>67</v>
      </c>
      <c r="K596" s="5814" t="s">
        <v>11429</v>
      </c>
    </row>
    <row r="597" spans="1:11">
      <c r="A597" s="21" t="s">
        <v>3765</v>
      </c>
      <c r="B597" s="21" t="s">
        <v>11430</v>
      </c>
      <c r="C597" s="21" t="s">
        <v>8</v>
      </c>
      <c r="D597" s="21" t="s">
        <v>1147</v>
      </c>
      <c r="E597" s="21" t="s">
        <v>61</v>
      </c>
      <c r="F597" s="5812">
        <v>2</v>
      </c>
      <c r="G597" s="5813">
        <v>0.18124999999999999</v>
      </c>
      <c r="H597" s="21" t="s">
        <v>10</v>
      </c>
      <c r="I597" s="21" t="s">
        <v>8047</v>
      </c>
      <c r="J597" s="21" t="s">
        <v>67</v>
      </c>
      <c r="K597" s="5814" t="s">
        <v>11431</v>
      </c>
    </row>
    <row r="598" spans="1:11">
      <c r="A598" s="21" t="s">
        <v>3348</v>
      </c>
      <c r="B598" s="21" t="s">
        <v>11432</v>
      </c>
      <c r="C598" s="21" t="s">
        <v>8</v>
      </c>
      <c r="D598" s="21" t="s">
        <v>1147</v>
      </c>
      <c r="E598" s="21" t="s">
        <v>61</v>
      </c>
      <c r="F598" s="5812">
        <v>2</v>
      </c>
      <c r="G598" s="5813">
        <v>0.18611111111111112</v>
      </c>
      <c r="H598" s="21" t="s">
        <v>10</v>
      </c>
      <c r="I598" s="21" t="s">
        <v>226</v>
      </c>
      <c r="J598" s="21" t="s">
        <v>62</v>
      </c>
      <c r="K598" s="5814" t="s">
        <v>11433</v>
      </c>
    </row>
    <row r="599" spans="1:11">
      <c r="A599" s="21" t="s">
        <v>2307</v>
      </c>
      <c r="B599" s="21" t="s">
        <v>11434</v>
      </c>
      <c r="C599" s="21" t="s">
        <v>8</v>
      </c>
      <c r="D599" s="21" t="s">
        <v>1147</v>
      </c>
      <c r="E599" s="21" t="s">
        <v>61</v>
      </c>
      <c r="F599" s="5812">
        <v>2</v>
      </c>
      <c r="G599" s="5813">
        <v>0.18888888888888888</v>
      </c>
      <c r="H599" s="21" t="s">
        <v>10</v>
      </c>
      <c r="I599" s="21" t="s">
        <v>226</v>
      </c>
      <c r="J599" s="21" t="s">
        <v>67</v>
      </c>
      <c r="K599" s="5814" t="s">
        <v>11435</v>
      </c>
    </row>
    <row r="600" spans="1:11">
      <c r="A600" s="21" t="s">
        <v>2197</v>
      </c>
      <c r="B600" s="21" t="s">
        <v>11436</v>
      </c>
      <c r="C600" s="21" t="s">
        <v>8</v>
      </c>
      <c r="D600" s="21" t="s">
        <v>1147</v>
      </c>
      <c r="E600" s="21" t="s">
        <v>61</v>
      </c>
      <c r="F600" s="5812">
        <v>2</v>
      </c>
      <c r="G600" s="5813">
        <v>0.19583333333333333</v>
      </c>
      <c r="H600" s="21" t="s">
        <v>10</v>
      </c>
      <c r="I600" s="21" t="s">
        <v>400</v>
      </c>
      <c r="J600" s="21" t="s">
        <v>836</v>
      </c>
      <c r="K600" s="5814" t="s">
        <v>11437</v>
      </c>
    </row>
    <row r="601" spans="1:11">
      <c r="A601" s="21" t="s">
        <v>2229</v>
      </c>
      <c r="B601" s="21" t="s">
        <v>11438</v>
      </c>
      <c r="C601" s="21" t="s">
        <v>8</v>
      </c>
      <c r="D601" s="21" t="s">
        <v>1147</v>
      </c>
      <c r="E601" s="21" t="s">
        <v>61</v>
      </c>
      <c r="F601" s="5812">
        <v>2</v>
      </c>
      <c r="G601" s="5813">
        <v>0.2</v>
      </c>
      <c r="H601" s="21" t="s">
        <v>10</v>
      </c>
      <c r="I601" s="21" t="s">
        <v>2176</v>
      </c>
      <c r="J601" s="21" t="s">
        <v>67</v>
      </c>
      <c r="K601" s="5814" t="s">
        <v>11439</v>
      </c>
    </row>
    <row r="602" spans="1:11">
      <c r="A602" s="21" t="s">
        <v>44</v>
      </c>
      <c r="B602" s="21" t="s">
        <v>1267</v>
      </c>
      <c r="C602" s="21" t="s">
        <v>8</v>
      </c>
      <c r="D602" s="21" t="s">
        <v>1147</v>
      </c>
      <c r="E602" s="21" t="s">
        <v>61</v>
      </c>
      <c r="F602" s="5812">
        <v>2</v>
      </c>
      <c r="G602" s="5813">
        <v>0.20555555555555555</v>
      </c>
      <c r="H602" s="21" t="s">
        <v>10</v>
      </c>
      <c r="I602" s="21" t="s">
        <v>96</v>
      </c>
      <c r="J602" s="21" t="s">
        <v>67</v>
      </c>
      <c r="K602" s="5814" t="s">
        <v>1268</v>
      </c>
    </row>
    <row r="603" spans="1:11">
      <c r="A603" s="21" t="s">
        <v>2413</v>
      </c>
      <c r="B603" s="21" t="s">
        <v>11440</v>
      </c>
      <c r="C603" s="21" t="s">
        <v>22</v>
      </c>
      <c r="D603" s="21" t="s">
        <v>1147</v>
      </c>
      <c r="E603" s="21" t="s">
        <v>61</v>
      </c>
      <c r="F603" s="5812">
        <v>2</v>
      </c>
      <c r="G603" s="5813">
        <v>0.20694444444444443</v>
      </c>
      <c r="H603" s="21" t="s">
        <v>10</v>
      </c>
      <c r="I603" s="21" t="s">
        <v>23</v>
      </c>
      <c r="J603" s="21" t="s">
        <v>3313</v>
      </c>
      <c r="K603" s="5814" t="s">
        <v>11441</v>
      </c>
    </row>
    <row r="604" spans="1:11">
      <c r="A604" s="21" t="s">
        <v>3006</v>
      </c>
      <c r="B604" s="21" t="s">
        <v>11442</v>
      </c>
      <c r="C604" s="21" t="s">
        <v>22</v>
      </c>
      <c r="D604" s="21" t="s">
        <v>1147</v>
      </c>
      <c r="E604" s="21" t="s">
        <v>61</v>
      </c>
      <c r="F604" s="5812">
        <v>2</v>
      </c>
      <c r="G604" s="5813">
        <v>0.2076388888888889</v>
      </c>
      <c r="H604" s="21" t="s">
        <v>10</v>
      </c>
      <c r="I604" s="21" t="s">
        <v>55</v>
      </c>
      <c r="J604" s="21" t="s">
        <v>67</v>
      </c>
      <c r="K604" s="5814" t="s">
        <v>11443</v>
      </c>
    </row>
    <row r="605" spans="1:11">
      <c r="A605" s="21" t="s">
        <v>2075</v>
      </c>
      <c r="B605" s="21" t="s">
        <v>11444</v>
      </c>
      <c r="C605" s="21" t="s">
        <v>22</v>
      </c>
      <c r="D605" s="21" t="s">
        <v>1147</v>
      </c>
      <c r="E605" s="21" t="s">
        <v>61</v>
      </c>
      <c r="F605" s="5812">
        <v>3</v>
      </c>
      <c r="G605" s="5813">
        <v>1.2500000000000001E-2</v>
      </c>
      <c r="H605" s="21" t="s">
        <v>10</v>
      </c>
      <c r="I605" s="21" t="s">
        <v>654</v>
      </c>
      <c r="J605" s="21" t="s">
        <v>110</v>
      </c>
      <c r="K605" s="5814" t="s">
        <v>11445</v>
      </c>
    </row>
    <row r="606" spans="1:11">
      <c r="A606" s="21" t="s">
        <v>3458</v>
      </c>
      <c r="B606" s="21" t="s">
        <v>11446</v>
      </c>
      <c r="C606" s="21" t="s">
        <v>8</v>
      </c>
      <c r="D606" s="21" t="s">
        <v>1147</v>
      </c>
      <c r="E606" s="21" t="s">
        <v>61</v>
      </c>
      <c r="F606" s="5812">
        <v>3</v>
      </c>
      <c r="G606" s="5813">
        <v>3.7499999999999999E-2</v>
      </c>
      <c r="H606" s="21" t="s">
        <v>10</v>
      </c>
      <c r="I606" s="21" t="s">
        <v>2872</v>
      </c>
      <c r="J606" s="21" t="s">
        <v>67</v>
      </c>
      <c r="K606" s="5814" t="s">
        <v>11447</v>
      </c>
    </row>
    <row r="607" spans="1:11">
      <c r="A607" s="21" t="s">
        <v>4527</v>
      </c>
      <c r="B607" s="21" t="s">
        <v>11448</v>
      </c>
      <c r="C607" s="21" t="s">
        <v>22</v>
      </c>
      <c r="D607" s="21" t="s">
        <v>1147</v>
      </c>
      <c r="E607" s="21" t="s">
        <v>61</v>
      </c>
      <c r="F607" s="5812">
        <v>3</v>
      </c>
      <c r="G607" s="5813">
        <v>5.486111111111111E-2</v>
      </c>
      <c r="H607" s="21" t="s">
        <v>10</v>
      </c>
      <c r="I607" s="21" t="s">
        <v>5887</v>
      </c>
      <c r="J607" s="21" t="s">
        <v>1327</v>
      </c>
      <c r="K607" s="5814" t="s">
        <v>11449</v>
      </c>
    </row>
    <row r="608" spans="1:11">
      <c r="A608" s="21" t="s">
        <v>207</v>
      </c>
      <c r="B608" s="21" t="s">
        <v>1193</v>
      </c>
      <c r="C608" s="21" t="s">
        <v>8</v>
      </c>
      <c r="D608" s="21" t="s">
        <v>1147</v>
      </c>
      <c r="E608" s="21" t="s">
        <v>61</v>
      </c>
      <c r="F608" s="5812">
        <v>3</v>
      </c>
      <c r="G608" s="5813">
        <v>7.1527777777777773E-2</v>
      </c>
      <c r="H608" s="21" t="s">
        <v>10</v>
      </c>
      <c r="I608" s="21" t="s">
        <v>654</v>
      </c>
      <c r="J608" s="21" t="s">
        <v>1194</v>
      </c>
      <c r="K608" s="5814" t="s">
        <v>1195</v>
      </c>
    </row>
    <row r="609" spans="1:11">
      <c r="A609" s="21" t="s">
        <v>2323</v>
      </c>
      <c r="B609" s="21" t="s">
        <v>11450</v>
      </c>
      <c r="C609" s="21" t="s">
        <v>22</v>
      </c>
      <c r="D609" s="21" t="s">
        <v>1147</v>
      </c>
      <c r="E609" s="21" t="s">
        <v>61</v>
      </c>
      <c r="F609" s="5812">
        <v>3</v>
      </c>
      <c r="G609" s="5813">
        <v>7.6388888888888895E-2</v>
      </c>
      <c r="H609" s="21" t="s">
        <v>10</v>
      </c>
      <c r="I609" s="21" t="s">
        <v>96</v>
      </c>
      <c r="J609" s="21" t="s">
        <v>1327</v>
      </c>
      <c r="K609" s="5814" t="s">
        <v>11451</v>
      </c>
    </row>
    <row r="610" spans="1:11">
      <c r="A610" s="21" t="s">
        <v>3728</v>
      </c>
      <c r="B610" s="21" t="s">
        <v>11452</v>
      </c>
      <c r="C610" s="21" t="s">
        <v>8</v>
      </c>
      <c r="D610" s="21" t="s">
        <v>1147</v>
      </c>
      <c r="E610" s="21" t="s">
        <v>61</v>
      </c>
      <c r="F610" s="5812">
        <v>3</v>
      </c>
      <c r="G610" s="5813">
        <v>7.9861111111111105E-2</v>
      </c>
      <c r="H610" s="21" t="s">
        <v>10</v>
      </c>
      <c r="I610" s="21" t="s">
        <v>4179</v>
      </c>
      <c r="J610" s="21" t="s">
        <v>67</v>
      </c>
      <c r="K610" s="5814" t="s">
        <v>11453</v>
      </c>
    </row>
    <row r="611" spans="1:11">
      <c r="A611" s="21" t="s">
        <v>5264</v>
      </c>
      <c r="B611" s="21" t="s">
        <v>11454</v>
      </c>
      <c r="C611" s="21" t="s">
        <v>8</v>
      </c>
      <c r="D611" s="21" t="s">
        <v>1147</v>
      </c>
      <c r="E611" s="21" t="s">
        <v>61</v>
      </c>
      <c r="F611" s="5812">
        <v>3</v>
      </c>
      <c r="G611" s="5813">
        <v>9.2361111111111116E-2</v>
      </c>
      <c r="H611" s="21" t="s">
        <v>10</v>
      </c>
      <c r="I611" s="21" t="s">
        <v>96</v>
      </c>
      <c r="J611" s="21" t="s">
        <v>62</v>
      </c>
      <c r="K611" s="5814" t="s">
        <v>11455</v>
      </c>
    </row>
    <row r="612" spans="1:11">
      <c r="A612" s="21" t="s">
        <v>2858</v>
      </c>
      <c r="B612" s="21" t="s">
        <v>11456</v>
      </c>
      <c r="C612" s="21" t="s">
        <v>8</v>
      </c>
      <c r="D612" s="21" t="s">
        <v>1147</v>
      </c>
      <c r="E612" s="21" t="s">
        <v>61</v>
      </c>
      <c r="F612" s="5812">
        <v>3</v>
      </c>
      <c r="G612" s="5813">
        <v>9.5138888888888884E-2</v>
      </c>
      <c r="H612" s="21" t="s">
        <v>10</v>
      </c>
      <c r="I612" s="21" t="s">
        <v>2860</v>
      </c>
      <c r="J612" s="21" t="s">
        <v>5466</v>
      </c>
      <c r="K612" s="5814" t="s">
        <v>11457</v>
      </c>
    </row>
    <row r="613" spans="1:11">
      <c r="A613" s="21" t="s">
        <v>3395</v>
      </c>
      <c r="B613" s="21" t="s">
        <v>11458</v>
      </c>
      <c r="C613" s="21" t="s">
        <v>22</v>
      </c>
      <c r="D613" s="21" t="s">
        <v>1147</v>
      </c>
      <c r="E613" s="21" t="s">
        <v>61</v>
      </c>
      <c r="F613" s="5812">
        <v>3</v>
      </c>
      <c r="G613" s="5813">
        <v>0.10902777777777778</v>
      </c>
      <c r="H613" s="21" t="s">
        <v>10</v>
      </c>
      <c r="I613" s="21" t="s">
        <v>2523</v>
      </c>
      <c r="J613" s="21" t="s">
        <v>928</v>
      </c>
      <c r="K613" s="5814" t="s">
        <v>11459</v>
      </c>
    </row>
    <row r="614" spans="1:11">
      <c r="A614" s="21" t="s">
        <v>3286</v>
      </c>
      <c r="B614" s="21" t="s">
        <v>11460</v>
      </c>
      <c r="C614" s="21" t="s">
        <v>8</v>
      </c>
      <c r="D614" s="21" t="s">
        <v>1147</v>
      </c>
      <c r="E614" s="21" t="s">
        <v>61</v>
      </c>
      <c r="F614" s="5812">
        <v>3</v>
      </c>
      <c r="G614" s="5813">
        <v>0.12569444444444444</v>
      </c>
      <c r="H614" s="21" t="s">
        <v>10</v>
      </c>
      <c r="I614" s="21" t="s">
        <v>2872</v>
      </c>
      <c r="J614" s="21" t="s">
        <v>67</v>
      </c>
      <c r="K614" s="5814" t="s">
        <v>11461</v>
      </c>
    </row>
    <row r="615" spans="1:11">
      <c r="A615" s="21" t="s">
        <v>2123</v>
      </c>
      <c r="B615" s="21" t="s">
        <v>11462</v>
      </c>
      <c r="C615" s="21" t="s">
        <v>8</v>
      </c>
      <c r="D615" s="21" t="s">
        <v>1147</v>
      </c>
      <c r="E615" s="21" t="s">
        <v>61</v>
      </c>
      <c r="F615" s="5812">
        <v>3</v>
      </c>
      <c r="G615" s="5813">
        <v>0.14444444444444443</v>
      </c>
      <c r="H615" s="21" t="s">
        <v>10</v>
      </c>
      <c r="I615" s="21" t="s">
        <v>23</v>
      </c>
      <c r="J615" s="21" t="s">
        <v>505</v>
      </c>
      <c r="K615" s="5814" t="s">
        <v>11463</v>
      </c>
    </row>
    <row r="616" spans="1:11">
      <c r="A616" s="21" t="s">
        <v>2376</v>
      </c>
      <c r="B616" s="21" t="s">
        <v>11464</v>
      </c>
      <c r="C616" s="21" t="s">
        <v>8</v>
      </c>
      <c r="D616" s="21" t="s">
        <v>1147</v>
      </c>
      <c r="E616" s="21" t="s">
        <v>61</v>
      </c>
      <c r="F616" s="5812">
        <v>3</v>
      </c>
      <c r="G616" s="5813">
        <v>0.14791666666666667</v>
      </c>
      <c r="H616" s="21" t="s">
        <v>10</v>
      </c>
      <c r="I616" s="21" t="s">
        <v>55</v>
      </c>
      <c r="J616" s="21" t="s">
        <v>782</v>
      </c>
      <c r="K616" s="5814" t="s">
        <v>11465</v>
      </c>
    </row>
    <row r="617" spans="1:11">
      <c r="A617" s="21" t="s">
        <v>3439</v>
      </c>
      <c r="B617" s="21" t="s">
        <v>11466</v>
      </c>
      <c r="C617" s="21" t="s">
        <v>22</v>
      </c>
      <c r="D617" s="21" t="s">
        <v>1147</v>
      </c>
      <c r="E617" s="21" t="s">
        <v>61</v>
      </c>
      <c r="F617" s="5812">
        <v>3</v>
      </c>
      <c r="G617" s="5813">
        <v>0.15347222222222223</v>
      </c>
      <c r="H617" s="21" t="s">
        <v>10</v>
      </c>
      <c r="I617" s="21" t="s">
        <v>11</v>
      </c>
      <c r="J617" s="21" t="s">
        <v>6161</v>
      </c>
      <c r="K617" s="5814" t="s">
        <v>11467</v>
      </c>
    </row>
    <row r="618" spans="1:11">
      <c r="A618" s="21" t="s">
        <v>4139</v>
      </c>
      <c r="B618" s="21" t="s">
        <v>11468</v>
      </c>
      <c r="C618" s="21" t="s">
        <v>8</v>
      </c>
      <c r="D618" s="21" t="s">
        <v>1147</v>
      </c>
      <c r="E618" s="21" t="s">
        <v>61</v>
      </c>
      <c r="F618" s="5812">
        <v>3</v>
      </c>
      <c r="G618" s="5813">
        <v>0.16250000000000001</v>
      </c>
      <c r="H618" s="21" t="s">
        <v>54</v>
      </c>
      <c r="I618" s="21" t="s">
        <v>55</v>
      </c>
      <c r="J618" s="21" t="s">
        <v>67</v>
      </c>
      <c r="K618" s="5814" t="s">
        <v>11469</v>
      </c>
    </row>
    <row r="619" spans="1:11">
      <c r="A619" s="21" t="s">
        <v>2817</v>
      </c>
      <c r="B619" s="21" t="s">
        <v>11470</v>
      </c>
      <c r="C619" s="21" t="s">
        <v>8</v>
      </c>
      <c r="D619" s="21" t="s">
        <v>1147</v>
      </c>
      <c r="E619" s="21" t="s">
        <v>61</v>
      </c>
      <c r="F619" s="5812">
        <v>3</v>
      </c>
      <c r="G619" s="5813">
        <v>0.16458333333333333</v>
      </c>
      <c r="H619" s="21" t="s">
        <v>10</v>
      </c>
      <c r="I619" s="21" t="s">
        <v>233</v>
      </c>
      <c r="J619" s="21" t="s">
        <v>67</v>
      </c>
      <c r="K619" s="5814" t="s">
        <v>11471</v>
      </c>
    </row>
    <row r="620" spans="1:11">
      <c r="A620" s="21" t="s">
        <v>4396</v>
      </c>
      <c r="B620" s="21" t="s">
        <v>11472</v>
      </c>
      <c r="C620" s="21" t="s">
        <v>22</v>
      </c>
      <c r="D620" s="21" t="s">
        <v>1147</v>
      </c>
      <c r="E620" s="21" t="s">
        <v>61</v>
      </c>
      <c r="F620" s="5812">
        <v>3</v>
      </c>
      <c r="G620" s="5813">
        <v>0.17430555555555555</v>
      </c>
      <c r="H620" s="21" t="s">
        <v>10</v>
      </c>
      <c r="I620" s="21" t="s">
        <v>2297</v>
      </c>
      <c r="J620" s="21" t="s">
        <v>505</v>
      </c>
      <c r="K620" s="5814" t="s">
        <v>11473</v>
      </c>
    </row>
    <row r="621" spans="1:11">
      <c r="A621" s="21" t="s">
        <v>2049</v>
      </c>
      <c r="B621" s="21" t="s">
        <v>11474</v>
      </c>
      <c r="C621" s="21" t="s">
        <v>22</v>
      </c>
      <c r="D621" s="21" t="s">
        <v>1147</v>
      </c>
      <c r="E621" s="21" t="s">
        <v>61</v>
      </c>
      <c r="F621" s="5812">
        <v>3</v>
      </c>
      <c r="G621" s="5813">
        <v>0.17847222222222223</v>
      </c>
      <c r="H621" s="21" t="s">
        <v>10</v>
      </c>
      <c r="I621" s="21" t="s">
        <v>55</v>
      </c>
      <c r="J621" s="21" t="s">
        <v>67</v>
      </c>
      <c r="K621" s="5814" t="s">
        <v>11475</v>
      </c>
    </row>
    <row r="622" spans="1:11">
      <c r="A622" s="21" t="s">
        <v>2839</v>
      </c>
      <c r="B622" s="21" t="s">
        <v>11476</v>
      </c>
      <c r="C622" s="21" t="s">
        <v>8</v>
      </c>
      <c r="D622" s="21" t="s">
        <v>1147</v>
      </c>
      <c r="E622" s="21" t="s">
        <v>61</v>
      </c>
      <c r="F622" s="5812">
        <v>3</v>
      </c>
      <c r="G622" s="5813">
        <v>0.18819444444444444</v>
      </c>
      <c r="H622" s="21" t="s">
        <v>10</v>
      </c>
      <c r="I622" s="21" t="s">
        <v>2247</v>
      </c>
      <c r="J622" s="21" t="s">
        <v>67</v>
      </c>
      <c r="K622" s="5814" t="s">
        <v>11477</v>
      </c>
    </row>
    <row r="623" spans="1:11">
      <c r="A623" s="21" t="s">
        <v>2526</v>
      </c>
      <c r="B623" s="21" t="s">
        <v>11478</v>
      </c>
      <c r="C623" s="21" t="s">
        <v>8</v>
      </c>
      <c r="D623" s="21" t="s">
        <v>1147</v>
      </c>
      <c r="E623" s="21" t="s">
        <v>61</v>
      </c>
      <c r="F623" s="5812">
        <v>3</v>
      </c>
      <c r="G623" s="5813">
        <v>0.19375000000000001</v>
      </c>
      <c r="H623" s="21" t="s">
        <v>10</v>
      </c>
      <c r="I623" s="21" t="s">
        <v>23</v>
      </c>
      <c r="J623" s="21" t="s">
        <v>67</v>
      </c>
      <c r="K623" s="5814" t="s">
        <v>11479</v>
      </c>
    </row>
    <row r="624" spans="1:11">
      <c r="A624" s="21" t="s">
        <v>2391</v>
      </c>
      <c r="B624" s="21" t="s">
        <v>11480</v>
      </c>
      <c r="C624" s="21" t="s">
        <v>8</v>
      </c>
      <c r="D624" s="21" t="s">
        <v>1147</v>
      </c>
      <c r="E624" s="21" t="s">
        <v>61</v>
      </c>
      <c r="F624" s="5812">
        <v>4</v>
      </c>
      <c r="G624" s="5813">
        <v>0.11944444444444445</v>
      </c>
      <c r="H624" s="21" t="s">
        <v>54</v>
      </c>
      <c r="I624" s="21" t="s">
        <v>47</v>
      </c>
      <c r="J624" s="21" t="s">
        <v>3350</v>
      </c>
      <c r="K624" s="5814" t="s">
        <v>11481</v>
      </c>
    </row>
    <row r="625" spans="1:11">
      <c r="A625" s="21" t="s">
        <v>4711</v>
      </c>
      <c r="B625" s="21" t="s">
        <v>11482</v>
      </c>
      <c r="C625" s="21" t="s">
        <v>8</v>
      </c>
      <c r="D625" s="21" t="s">
        <v>1147</v>
      </c>
      <c r="E625" s="21" t="s">
        <v>61</v>
      </c>
      <c r="F625" s="5812">
        <v>4</v>
      </c>
      <c r="G625" s="5813">
        <v>0.15763888888888888</v>
      </c>
      <c r="H625" s="21" t="s">
        <v>54</v>
      </c>
      <c r="I625" s="21" t="s">
        <v>226</v>
      </c>
      <c r="J625" s="21" t="s">
        <v>836</v>
      </c>
      <c r="K625" s="5814" t="s">
        <v>11483</v>
      </c>
    </row>
    <row r="626" spans="1:11">
      <c r="A626" s="21" t="s">
        <v>4621</v>
      </c>
      <c r="B626" s="21" t="s">
        <v>11484</v>
      </c>
      <c r="C626" s="21" t="s">
        <v>8</v>
      </c>
      <c r="D626" s="21" t="s">
        <v>1147</v>
      </c>
      <c r="E626" s="21" t="s">
        <v>244</v>
      </c>
      <c r="F626" s="5812">
        <v>2</v>
      </c>
      <c r="G626" s="5813">
        <v>0.20833333333333334</v>
      </c>
      <c r="H626" s="21" t="s">
        <v>54</v>
      </c>
      <c r="I626" s="21" t="s">
        <v>2247</v>
      </c>
      <c r="J626" s="21" t="s">
        <v>11485</v>
      </c>
      <c r="K626" s="5814" t="s">
        <v>11486</v>
      </c>
    </row>
    <row r="627" spans="1:11">
      <c r="A627" s="21" t="s">
        <v>3217</v>
      </c>
      <c r="B627" s="21" t="s">
        <v>11487</v>
      </c>
      <c r="C627" s="21" t="s">
        <v>8</v>
      </c>
      <c r="D627" s="21" t="s">
        <v>1147</v>
      </c>
      <c r="E627" s="21" t="s">
        <v>244</v>
      </c>
      <c r="F627" s="5812">
        <v>2</v>
      </c>
      <c r="G627" s="5813">
        <v>0.20833333333333334</v>
      </c>
      <c r="H627" s="21" t="s">
        <v>10</v>
      </c>
      <c r="I627" s="21" t="s">
        <v>233</v>
      </c>
      <c r="J627" s="21"/>
      <c r="K627" s="5814" t="s">
        <v>11488</v>
      </c>
    </row>
    <row r="628" spans="1:11">
      <c r="A628" s="21" t="s">
        <v>2858</v>
      </c>
      <c r="B628" s="21" t="s">
        <v>11489</v>
      </c>
      <c r="C628" s="21" t="s">
        <v>8</v>
      </c>
      <c r="D628" s="21" t="s">
        <v>1147</v>
      </c>
      <c r="E628" s="21" t="s">
        <v>244</v>
      </c>
      <c r="F628" s="5812">
        <v>3</v>
      </c>
      <c r="G628" s="5813">
        <v>3.2638888888888891E-2</v>
      </c>
      <c r="H628" s="21" t="s">
        <v>10</v>
      </c>
      <c r="I628" s="21" t="s">
        <v>2860</v>
      </c>
      <c r="J628" s="21" t="s">
        <v>11490</v>
      </c>
      <c r="K628" s="5814" t="s">
        <v>11491</v>
      </c>
    </row>
    <row r="629" spans="1:11">
      <c r="A629" s="21" t="s">
        <v>4116</v>
      </c>
      <c r="B629" s="21" t="s">
        <v>11422</v>
      </c>
      <c r="C629" s="21" t="s">
        <v>8</v>
      </c>
      <c r="D629" s="21" t="s">
        <v>1147</v>
      </c>
      <c r="E629" s="21" t="s">
        <v>244</v>
      </c>
      <c r="F629" s="5812">
        <v>3</v>
      </c>
      <c r="G629" s="5813">
        <v>0.15069444444444444</v>
      </c>
      <c r="H629" s="21" t="s">
        <v>10</v>
      </c>
      <c r="I629" s="21" t="s">
        <v>96</v>
      </c>
      <c r="J629" s="21"/>
      <c r="K629" s="5814" t="s">
        <v>11492</v>
      </c>
    </row>
    <row r="630" spans="1:11">
      <c r="A630" s="21" t="s">
        <v>3720</v>
      </c>
      <c r="B630" s="21" t="s">
        <v>11493</v>
      </c>
      <c r="C630" s="21" t="s">
        <v>8</v>
      </c>
      <c r="D630" s="21" t="s">
        <v>1147</v>
      </c>
      <c r="E630" s="21" t="s">
        <v>244</v>
      </c>
      <c r="F630" s="5812">
        <v>3</v>
      </c>
      <c r="G630" s="5813">
        <v>0.20833333333333334</v>
      </c>
      <c r="H630" s="21" t="s">
        <v>54</v>
      </c>
      <c r="I630" s="21" t="s">
        <v>226</v>
      </c>
      <c r="J630" s="21" t="s">
        <v>11494</v>
      </c>
      <c r="K630" s="5814" t="s">
        <v>11495</v>
      </c>
    </row>
    <row r="631" spans="1:11">
      <c r="A631" s="21" t="s">
        <v>3757</v>
      </c>
      <c r="B631" s="21" t="s">
        <v>9706</v>
      </c>
      <c r="C631" s="21" t="s">
        <v>22</v>
      </c>
      <c r="D631" s="21" t="s">
        <v>9707</v>
      </c>
      <c r="E631" s="21" t="s">
        <v>9</v>
      </c>
      <c r="F631" s="5812">
        <v>5</v>
      </c>
      <c r="G631" s="5813">
        <v>0.20833333333333334</v>
      </c>
      <c r="H631" s="21" t="s">
        <v>54</v>
      </c>
      <c r="I631" s="21" t="s">
        <v>55</v>
      </c>
      <c r="J631" s="21" t="s">
        <v>9708</v>
      </c>
      <c r="K631" s="5814" t="s">
        <v>9709</v>
      </c>
    </row>
    <row r="632" spans="1:11">
      <c r="A632" s="21" t="s">
        <v>3671</v>
      </c>
      <c r="B632" s="21" t="s">
        <v>9807</v>
      </c>
      <c r="C632" s="21" t="s">
        <v>8</v>
      </c>
      <c r="D632" s="21" t="s">
        <v>1128</v>
      </c>
      <c r="E632" s="21" t="s">
        <v>710</v>
      </c>
      <c r="F632" s="5812">
        <v>5</v>
      </c>
      <c r="G632" s="5813">
        <v>0.20833333333333334</v>
      </c>
      <c r="H632" s="21" t="s">
        <v>54</v>
      </c>
      <c r="I632" s="21" t="s">
        <v>55</v>
      </c>
      <c r="J632" s="21" t="s">
        <v>9808</v>
      </c>
      <c r="K632" s="5814" t="s">
        <v>9809</v>
      </c>
    </row>
    <row r="633" spans="1:11">
      <c r="A633" s="21" t="s">
        <v>2233</v>
      </c>
      <c r="B633" s="21" t="s">
        <v>9810</v>
      </c>
      <c r="C633" s="21" t="s">
        <v>8</v>
      </c>
      <c r="D633" s="21" t="s">
        <v>1128</v>
      </c>
      <c r="E633" s="21" t="s">
        <v>710</v>
      </c>
      <c r="F633" s="5812">
        <v>5</v>
      </c>
      <c r="G633" s="5813">
        <v>0.20833333333333334</v>
      </c>
      <c r="H633" s="21" t="s">
        <v>54</v>
      </c>
      <c r="I633" s="21" t="s">
        <v>2297</v>
      </c>
      <c r="J633" s="21" t="s">
        <v>9811</v>
      </c>
      <c r="K633" s="5814" t="s">
        <v>9812</v>
      </c>
    </row>
    <row r="634" spans="1:11">
      <c r="A634" s="21" t="s">
        <v>3541</v>
      </c>
      <c r="B634" s="21" t="s">
        <v>9810</v>
      </c>
      <c r="C634" s="21" t="s">
        <v>709</v>
      </c>
      <c r="D634" s="21" t="s">
        <v>1128</v>
      </c>
      <c r="E634" s="21" t="s">
        <v>710</v>
      </c>
      <c r="F634" s="5812">
        <v>5</v>
      </c>
      <c r="G634" s="5813">
        <v>0.20833333333333334</v>
      </c>
      <c r="H634" s="21" t="s">
        <v>54</v>
      </c>
      <c r="I634" s="21" t="s">
        <v>226</v>
      </c>
      <c r="J634" s="21" t="s">
        <v>9813</v>
      </c>
      <c r="K634" s="5814" t="s">
        <v>9814</v>
      </c>
    </row>
    <row r="635" spans="1:11">
      <c r="A635" s="21" t="s">
        <v>2263</v>
      </c>
      <c r="B635" s="21" t="s">
        <v>9815</v>
      </c>
      <c r="C635" s="21" t="s">
        <v>8</v>
      </c>
      <c r="D635" s="21" t="s">
        <v>1128</v>
      </c>
      <c r="E635" s="21" t="s">
        <v>193</v>
      </c>
      <c r="F635" s="5812">
        <v>5</v>
      </c>
      <c r="G635" s="5813">
        <v>0.20833333333333334</v>
      </c>
      <c r="H635" s="21" t="s">
        <v>54</v>
      </c>
      <c r="I635" s="21" t="s">
        <v>2297</v>
      </c>
      <c r="J635" s="21" t="s">
        <v>9816</v>
      </c>
      <c r="K635" s="5814" t="s">
        <v>9817</v>
      </c>
    </row>
    <row r="636" spans="1:11">
      <c r="A636" s="21" t="s">
        <v>44</v>
      </c>
      <c r="B636" s="21" t="s">
        <v>1127</v>
      </c>
      <c r="C636" s="21" t="s">
        <v>8</v>
      </c>
      <c r="D636" s="21" t="s">
        <v>1128</v>
      </c>
      <c r="E636" s="21" t="s">
        <v>9</v>
      </c>
      <c r="F636" s="5812">
        <v>5</v>
      </c>
      <c r="G636" s="5813">
        <v>0.20833333333333334</v>
      </c>
      <c r="H636" s="21" t="s">
        <v>54</v>
      </c>
      <c r="I636" s="21" t="s">
        <v>55</v>
      </c>
      <c r="J636" s="21" t="s">
        <v>1129</v>
      </c>
      <c r="K636" s="5814" t="s">
        <v>1130</v>
      </c>
    </row>
    <row r="637" spans="1:11">
      <c r="A637" s="21" t="s">
        <v>3220</v>
      </c>
      <c r="B637" s="21" t="s">
        <v>9818</v>
      </c>
      <c r="C637" s="21" t="s">
        <v>8</v>
      </c>
      <c r="D637" s="21" t="s">
        <v>1128</v>
      </c>
      <c r="E637" s="21" t="s">
        <v>9</v>
      </c>
      <c r="F637" s="5812">
        <v>5</v>
      </c>
      <c r="G637" s="5813">
        <v>0.20833333333333334</v>
      </c>
      <c r="H637" s="21" t="s">
        <v>54</v>
      </c>
      <c r="I637" s="21" t="s">
        <v>226</v>
      </c>
      <c r="J637" s="21" t="s">
        <v>9819</v>
      </c>
      <c r="K637" s="5814" t="s">
        <v>9820</v>
      </c>
    </row>
    <row r="638" spans="1:11">
      <c r="A638" s="21" t="s">
        <v>3203</v>
      </c>
      <c r="B638" s="21" t="s">
        <v>9821</v>
      </c>
      <c r="C638" s="21" t="s">
        <v>8</v>
      </c>
      <c r="D638" s="21" t="s">
        <v>1128</v>
      </c>
      <c r="E638" s="21" t="s">
        <v>9</v>
      </c>
      <c r="F638" s="5812">
        <v>5</v>
      </c>
      <c r="G638" s="5813">
        <v>0.20833333333333334</v>
      </c>
      <c r="H638" s="21" t="s">
        <v>54</v>
      </c>
      <c r="I638" s="21" t="s">
        <v>47</v>
      </c>
      <c r="J638" s="21" t="s">
        <v>9822</v>
      </c>
      <c r="K638" s="5814" t="s">
        <v>9823</v>
      </c>
    </row>
    <row r="639" spans="1:11">
      <c r="A639" s="21" t="s">
        <v>2643</v>
      </c>
      <c r="B639" s="21" t="s">
        <v>9824</v>
      </c>
      <c r="C639" s="21" t="s">
        <v>22</v>
      </c>
      <c r="D639" s="21" t="s">
        <v>1128</v>
      </c>
      <c r="E639" s="21" t="s">
        <v>9</v>
      </c>
      <c r="F639" s="5812">
        <v>5</v>
      </c>
      <c r="G639" s="5813">
        <v>0.20833333333333334</v>
      </c>
      <c r="H639" s="21" t="s">
        <v>54</v>
      </c>
      <c r="I639" s="21" t="s">
        <v>47</v>
      </c>
      <c r="J639" s="21" t="s">
        <v>9825</v>
      </c>
      <c r="K639" s="5814" t="s">
        <v>9826</v>
      </c>
    </row>
    <row r="640" spans="1:11">
      <c r="A640" s="21" t="s">
        <v>3537</v>
      </c>
      <c r="B640" s="21" t="s">
        <v>9827</v>
      </c>
      <c r="C640" s="21" t="s">
        <v>8</v>
      </c>
      <c r="D640" s="21" t="s">
        <v>1128</v>
      </c>
      <c r="E640" s="21" t="s">
        <v>9</v>
      </c>
      <c r="F640" s="5812">
        <v>5</v>
      </c>
      <c r="G640" s="5813">
        <v>0.20833333333333334</v>
      </c>
      <c r="H640" s="21" t="s">
        <v>54</v>
      </c>
      <c r="I640" s="21" t="s">
        <v>55</v>
      </c>
      <c r="J640" s="21" t="s">
        <v>9828</v>
      </c>
      <c r="K640" s="5814" t="s">
        <v>9829</v>
      </c>
    </row>
    <row r="641" spans="1:55">
      <c r="A641" s="21" t="s">
        <v>2831</v>
      </c>
      <c r="B641" s="21" t="s">
        <v>9830</v>
      </c>
      <c r="C641" s="21" t="s">
        <v>22</v>
      </c>
      <c r="D641" s="21" t="s">
        <v>1128</v>
      </c>
      <c r="E641" s="21" t="s">
        <v>46</v>
      </c>
      <c r="F641" s="5812">
        <v>1</v>
      </c>
      <c r="G641" s="5813">
        <v>9.166666666666666E-2</v>
      </c>
      <c r="H641" s="21" t="s">
        <v>54</v>
      </c>
      <c r="I641" s="21" t="s">
        <v>226</v>
      </c>
      <c r="J641" s="21" t="s">
        <v>48</v>
      </c>
      <c r="K641" s="5814" t="s">
        <v>9831</v>
      </c>
    </row>
    <row r="642" spans="1:55">
      <c r="A642" s="21" t="s">
        <v>2935</v>
      </c>
      <c r="B642" s="21" t="s">
        <v>9821</v>
      </c>
      <c r="C642" s="21" t="s">
        <v>8</v>
      </c>
      <c r="D642" s="21" t="s">
        <v>1128</v>
      </c>
      <c r="E642" s="21" t="s">
        <v>46</v>
      </c>
      <c r="F642" s="5812">
        <v>2</v>
      </c>
      <c r="G642" s="5813">
        <v>4.3055555555555555E-2</v>
      </c>
      <c r="H642" s="21" t="s">
        <v>54</v>
      </c>
      <c r="I642" s="21" t="s">
        <v>55</v>
      </c>
      <c r="J642" s="21" t="s">
        <v>48</v>
      </c>
      <c r="K642" s="5814" t="s">
        <v>9832</v>
      </c>
    </row>
    <row r="643" spans="1:55">
      <c r="A643" s="21" t="s">
        <v>3505</v>
      </c>
      <c r="B643" s="21" t="s">
        <v>9833</v>
      </c>
      <c r="C643" s="21" t="s">
        <v>8</v>
      </c>
      <c r="D643" s="21" t="s">
        <v>1128</v>
      </c>
      <c r="E643" s="21" t="s">
        <v>46</v>
      </c>
      <c r="F643" s="5812">
        <v>3</v>
      </c>
      <c r="G643" s="5813">
        <v>2.361111111111111E-2</v>
      </c>
      <c r="H643" s="21" t="s">
        <v>54</v>
      </c>
      <c r="I643" s="21" t="s">
        <v>55</v>
      </c>
      <c r="J643" s="21" t="s">
        <v>127</v>
      </c>
      <c r="K643" s="5814" t="s">
        <v>9834</v>
      </c>
    </row>
    <row r="644" spans="1:55">
      <c r="A644" s="21" t="s">
        <v>2882</v>
      </c>
      <c r="B644" s="21" t="s">
        <v>9835</v>
      </c>
      <c r="C644" s="21" t="s">
        <v>8</v>
      </c>
      <c r="D644" s="21" t="s">
        <v>1128</v>
      </c>
      <c r="E644" s="21" t="s">
        <v>46</v>
      </c>
      <c r="F644" s="5812">
        <v>5</v>
      </c>
      <c r="G644" s="5813">
        <v>4.1666666666666664E-2</v>
      </c>
      <c r="H644" s="21" t="s">
        <v>54</v>
      </c>
      <c r="I644" s="21" t="s">
        <v>2297</v>
      </c>
      <c r="J644" s="21" t="s">
        <v>48</v>
      </c>
      <c r="K644" s="5814" t="s">
        <v>9836</v>
      </c>
    </row>
    <row r="645" spans="1:55">
      <c r="A645" s="21" t="s">
        <v>2395</v>
      </c>
      <c r="B645" s="21" t="s">
        <v>9837</v>
      </c>
      <c r="C645" s="21" t="s">
        <v>22</v>
      </c>
      <c r="D645" s="21" t="s">
        <v>1128</v>
      </c>
      <c r="E645" s="21" t="s">
        <v>46</v>
      </c>
      <c r="F645" s="5812">
        <v>5</v>
      </c>
      <c r="G645" s="5813">
        <v>0.16944444444444445</v>
      </c>
      <c r="H645" s="21" t="s">
        <v>54</v>
      </c>
      <c r="I645" s="21" t="s">
        <v>55</v>
      </c>
      <c r="J645" s="21" t="s">
        <v>722</v>
      </c>
      <c r="K645" s="5814" t="s">
        <v>9838</v>
      </c>
    </row>
    <row r="646" spans="1:55">
      <c r="A646" s="21" t="s">
        <v>2156</v>
      </c>
      <c r="B646" s="21" t="s">
        <v>9818</v>
      </c>
      <c r="C646" s="21" t="s">
        <v>8</v>
      </c>
      <c r="D646" s="21" t="s">
        <v>1128</v>
      </c>
      <c r="E646" s="21" t="s">
        <v>46</v>
      </c>
      <c r="F646" s="5812">
        <v>5</v>
      </c>
      <c r="G646" s="5813">
        <v>0.1736111111111111</v>
      </c>
      <c r="H646" s="21" t="s">
        <v>54</v>
      </c>
      <c r="I646" s="21" t="s">
        <v>47</v>
      </c>
      <c r="J646" s="21" t="s">
        <v>48</v>
      </c>
      <c r="K646" s="5814" t="s">
        <v>9839</v>
      </c>
    </row>
    <row r="647" spans="1:55">
      <c r="A647" s="21" t="s">
        <v>2687</v>
      </c>
      <c r="B647" s="21" t="s">
        <v>9840</v>
      </c>
      <c r="C647" s="21" t="s">
        <v>8</v>
      </c>
      <c r="D647" s="21" t="s">
        <v>1128</v>
      </c>
      <c r="E647" s="21" t="s">
        <v>61</v>
      </c>
      <c r="F647" s="5812">
        <v>2</v>
      </c>
      <c r="G647" s="5813">
        <v>0.17986111111111111</v>
      </c>
      <c r="H647" s="21" t="s">
        <v>54</v>
      </c>
      <c r="I647" s="21" t="s">
        <v>226</v>
      </c>
      <c r="J647" s="21" t="s">
        <v>3607</v>
      </c>
      <c r="K647" s="5814" t="s">
        <v>9841</v>
      </c>
    </row>
    <row r="648" spans="1:55" ht="15.75" customHeight="1">
      <c r="A648" s="5827" t="s">
        <v>2878</v>
      </c>
      <c r="B648" s="5827" t="s">
        <v>9957</v>
      </c>
      <c r="C648" s="5827" t="s">
        <v>8</v>
      </c>
      <c r="D648" s="5827" t="s">
        <v>9958</v>
      </c>
      <c r="E648" s="5827" t="s">
        <v>61</v>
      </c>
      <c r="F648" s="5828">
        <v>2</v>
      </c>
      <c r="G648" s="5829">
        <v>5.486111111111111E-2</v>
      </c>
      <c r="H648" s="5827" t="s">
        <v>2081</v>
      </c>
      <c r="I648" s="5827" t="s">
        <v>55</v>
      </c>
      <c r="J648" s="5827" t="s">
        <v>836</v>
      </c>
      <c r="K648" s="5830" t="s">
        <v>9959</v>
      </c>
      <c r="L648" s="620"/>
      <c r="M648" s="620"/>
      <c r="N648" s="620"/>
      <c r="O648" s="620"/>
      <c r="P648" s="620"/>
      <c r="Q648" s="620"/>
      <c r="R648" s="620"/>
      <c r="S648" s="620"/>
      <c r="T648" s="620"/>
      <c r="U648" s="620"/>
      <c r="V648" s="620"/>
      <c r="W648" s="620"/>
      <c r="X648" s="620"/>
      <c r="Y648" s="620"/>
      <c r="Z648" s="620"/>
      <c r="AA648" s="620"/>
      <c r="AB648" s="620"/>
      <c r="AC648" s="620"/>
      <c r="AD648" s="620"/>
      <c r="AE648" s="620"/>
      <c r="AF648" s="620"/>
      <c r="AG648" s="620"/>
      <c r="AH648" s="620"/>
      <c r="AI648" s="620"/>
      <c r="AJ648" s="620"/>
      <c r="AK648" s="620"/>
      <c r="AL648" s="620"/>
      <c r="AM648" s="620"/>
      <c r="AN648" s="620"/>
      <c r="AO648" s="620"/>
      <c r="AP648" s="620"/>
      <c r="AQ648" s="620"/>
      <c r="AR648" s="620"/>
      <c r="AS648" s="620"/>
      <c r="AT648" s="620"/>
      <c r="AU648" s="620"/>
      <c r="AV648" s="620"/>
      <c r="AW648" s="620"/>
      <c r="AX648" s="620"/>
      <c r="AY648" s="620"/>
      <c r="AZ648" s="620"/>
      <c r="BA648" s="620"/>
      <c r="BB648" s="620"/>
      <c r="BC648" s="620"/>
    </row>
    <row r="649" spans="1:55" ht="15.75" customHeight="1">
      <c r="A649" s="5827" t="s">
        <v>4313</v>
      </c>
      <c r="B649" s="5827" t="s">
        <v>9971</v>
      </c>
      <c r="C649" s="5827" t="s">
        <v>22</v>
      </c>
      <c r="D649" s="5827" t="s">
        <v>9972</v>
      </c>
      <c r="E649" s="5827" t="s">
        <v>61</v>
      </c>
      <c r="F649" s="5828">
        <v>2</v>
      </c>
      <c r="G649" s="5829">
        <v>2.9861111111111113E-2</v>
      </c>
      <c r="H649" s="5827" t="s">
        <v>2081</v>
      </c>
      <c r="I649" s="5827" t="s">
        <v>96</v>
      </c>
      <c r="J649" s="5827" t="s">
        <v>67</v>
      </c>
      <c r="K649" s="5830" t="s">
        <v>9973</v>
      </c>
      <c r="L649" s="620"/>
      <c r="M649" s="620"/>
      <c r="N649" s="620"/>
      <c r="O649" s="620"/>
      <c r="P649" s="620"/>
      <c r="Q649" s="620"/>
      <c r="R649" s="620"/>
      <c r="S649" s="620"/>
      <c r="T649" s="620"/>
      <c r="U649" s="620"/>
      <c r="V649" s="620"/>
      <c r="W649" s="620"/>
      <c r="X649" s="620"/>
      <c r="Y649" s="620"/>
      <c r="Z649" s="620"/>
      <c r="AA649" s="620"/>
      <c r="AB649" s="620"/>
      <c r="AC649" s="620"/>
      <c r="AD649" s="620"/>
      <c r="AE649" s="620"/>
      <c r="AF649" s="620"/>
      <c r="AG649" s="620"/>
      <c r="AH649" s="620"/>
      <c r="AI649" s="620"/>
      <c r="AJ649" s="620"/>
      <c r="AK649" s="620"/>
      <c r="AL649" s="620"/>
      <c r="AM649" s="620"/>
      <c r="AN649" s="620"/>
      <c r="AO649" s="620"/>
      <c r="AP649" s="620"/>
      <c r="AQ649" s="620"/>
      <c r="AR649" s="620"/>
      <c r="AS649" s="620"/>
      <c r="AT649" s="620"/>
      <c r="AU649" s="620"/>
      <c r="AV649" s="620"/>
      <c r="AW649" s="620"/>
      <c r="AX649" s="620"/>
      <c r="AY649" s="620"/>
      <c r="AZ649" s="620"/>
      <c r="BA649" s="620"/>
      <c r="BB649" s="620"/>
      <c r="BC649" s="620"/>
    </row>
    <row r="650" spans="1:55" ht="15.75" customHeight="1">
      <c r="A650" s="5827" t="s">
        <v>2854</v>
      </c>
      <c r="B650" s="5827" t="s">
        <v>9999</v>
      </c>
      <c r="C650" s="5827" t="s">
        <v>8</v>
      </c>
      <c r="D650" s="5827" t="s">
        <v>10000</v>
      </c>
      <c r="E650" s="5827" t="s">
        <v>193</v>
      </c>
      <c r="F650" s="5828">
        <v>3</v>
      </c>
      <c r="G650" s="5829">
        <v>0.20833333333333334</v>
      </c>
      <c r="H650" s="5827" t="s">
        <v>2081</v>
      </c>
      <c r="I650" s="5827" t="s">
        <v>263</v>
      </c>
      <c r="J650" s="5827" t="s">
        <v>10001</v>
      </c>
      <c r="K650" s="5830" t="s">
        <v>10002</v>
      </c>
      <c r="L650" s="620"/>
      <c r="M650" s="620"/>
      <c r="N650" s="620"/>
      <c r="O650" s="620"/>
      <c r="P650" s="620"/>
      <c r="Q650" s="620"/>
      <c r="R650" s="620"/>
      <c r="S650" s="620"/>
      <c r="T650" s="620"/>
      <c r="U650" s="620"/>
      <c r="V650" s="620"/>
      <c r="W650" s="620"/>
      <c r="X650" s="620"/>
      <c r="Y650" s="620"/>
      <c r="Z650" s="620"/>
      <c r="AA650" s="620"/>
      <c r="AB650" s="620"/>
      <c r="AC650" s="620"/>
      <c r="AD650" s="620"/>
      <c r="AE650" s="620"/>
      <c r="AF650" s="620"/>
      <c r="AG650" s="620"/>
      <c r="AH650" s="620"/>
      <c r="AI650" s="620"/>
      <c r="AJ650" s="620"/>
      <c r="AK650" s="620"/>
      <c r="AL650" s="620"/>
      <c r="AM650" s="620"/>
      <c r="AN650" s="620"/>
      <c r="AO650" s="620"/>
      <c r="AP650" s="620"/>
      <c r="AQ650" s="620"/>
      <c r="AR650" s="620"/>
      <c r="AS650" s="620"/>
      <c r="AT650" s="620"/>
      <c r="AU650" s="620"/>
      <c r="AV650" s="620"/>
      <c r="AW650" s="620"/>
      <c r="AX650" s="620"/>
      <c r="AY650" s="620"/>
      <c r="AZ650" s="620"/>
      <c r="BA650" s="620"/>
      <c r="BB650" s="620"/>
      <c r="BC650" s="620"/>
    </row>
  </sheetData>
  <hyperlinks>
    <hyperlink ref="K4" r:id="rId1" xr:uid="{00000000-0004-0000-1200-000000000000}"/>
    <hyperlink ref="K5" r:id="rId2" xr:uid="{00000000-0004-0000-1200-000001000000}"/>
    <hyperlink ref="K6" r:id="rId3" xr:uid="{00000000-0004-0000-1200-000002000000}"/>
    <hyperlink ref="K7" r:id="rId4" xr:uid="{00000000-0004-0000-1200-000003000000}"/>
    <hyperlink ref="K8" r:id="rId5" xr:uid="{00000000-0004-0000-1200-000004000000}"/>
    <hyperlink ref="K9" r:id="rId6" xr:uid="{00000000-0004-0000-1200-000005000000}"/>
    <hyperlink ref="K10" r:id="rId7" xr:uid="{00000000-0004-0000-1200-000006000000}"/>
    <hyperlink ref="K11" r:id="rId8" xr:uid="{00000000-0004-0000-1200-000007000000}"/>
    <hyperlink ref="K12" r:id="rId9" xr:uid="{00000000-0004-0000-1200-000008000000}"/>
    <hyperlink ref="K13" r:id="rId10" xr:uid="{00000000-0004-0000-1200-000009000000}"/>
    <hyperlink ref="K14" r:id="rId11" xr:uid="{00000000-0004-0000-1200-00000A000000}"/>
    <hyperlink ref="K15" r:id="rId12" xr:uid="{00000000-0004-0000-1200-00000B000000}"/>
    <hyperlink ref="K16" r:id="rId13" xr:uid="{00000000-0004-0000-1200-00000C000000}"/>
    <hyperlink ref="K17" r:id="rId14" xr:uid="{00000000-0004-0000-1200-00000D000000}"/>
    <hyperlink ref="K18" r:id="rId15" xr:uid="{00000000-0004-0000-1200-00000E000000}"/>
    <hyperlink ref="K19" r:id="rId16" xr:uid="{00000000-0004-0000-1200-00000F000000}"/>
    <hyperlink ref="K20" r:id="rId17" xr:uid="{00000000-0004-0000-1200-000010000000}"/>
    <hyperlink ref="K21" r:id="rId18" xr:uid="{00000000-0004-0000-1200-000011000000}"/>
    <hyperlink ref="K22" r:id="rId19" xr:uid="{00000000-0004-0000-1200-000012000000}"/>
    <hyperlink ref="K23" r:id="rId20" xr:uid="{00000000-0004-0000-1200-000013000000}"/>
    <hyperlink ref="K24" r:id="rId21" xr:uid="{00000000-0004-0000-1200-000014000000}"/>
    <hyperlink ref="K25" r:id="rId22" xr:uid="{00000000-0004-0000-1200-000015000000}"/>
    <hyperlink ref="K26" r:id="rId23" xr:uid="{00000000-0004-0000-1200-000016000000}"/>
    <hyperlink ref="K27" r:id="rId24" xr:uid="{00000000-0004-0000-1200-000017000000}"/>
    <hyperlink ref="K28" r:id="rId25" xr:uid="{00000000-0004-0000-1200-000018000000}"/>
    <hyperlink ref="K29" r:id="rId26" xr:uid="{00000000-0004-0000-1200-000019000000}"/>
    <hyperlink ref="K30" r:id="rId27" xr:uid="{00000000-0004-0000-1200-00001A000000}"/>
    <hyperlink ref="K31" r:id="rId28" xr:uid="{00000000-0004-0000-1200-00001B000000}"/>
    <hyperlink ref="K32" r:id="rId29" xr:uid="{00000000-0004-0000-1200-00001C000000}"/>
    <hyperlink ref="K33" r:id="rId30" xr:uid="{00000000-0004-0000-1200-00001D000000}"/>
    <hyperlink ref="K34" r:id="rId31" xr:uid="{00000000-0004-0000-1200-00001E000000}"/>
    <hyperlink ref="K35" r:id="rId32" xr:uid="{00000000-0004-0000-1200-00001F000000}"/>
    <hyperlink ref="K36" r:id="rId33" xr:uid="{00000000-0004-0000-1200-000020000000}"/>
    <hyperlink ref="K37" r:id="rId34" xr:uid="{00000000-0004-0000-1200-000021000000}"/>
    <hyperlink ref="K38" r:id="rId35" xr:uid="{00000000-0004-0000-1200-000022000000}"/>
    <hyperlink ref="K39" r:id="rId36" xr:uid="{00000000-0004-0000-1200-000023000000}"/>
    <hyperlink ref="K40" r:id="rId37" xr:uid="{00000000-0004-0000-1200-000024000000}"/>
    <hyperlink ref="K41" r:id="rId38" xr:uid="{00000000-0004-0000-1200-000025000000}"/>
    <hyperlink ref="K42" r:id="rId39" xr:uid="{00000000-0004-0000-1200-000026000000}"/>
    <hyperlink ref="K43" r:id="rId40" xr:uid="{00000000-0004-0000-1200-000027000000}"/>
    <hyperlink ref="K44" r:id="rId41" xr:uid="{00000000-0004-0000-1200-000028000000}"/>
    <hyperlink ref="K45" r:id="rId42" xr:uid="{00000000-0004-0000-1200-000029000000}"/>
    <hyperlink ref="K46" r:id="rId43" xr:uid="{00000000-0004-0000-1200-00002A000000}"/>
    <hyperlink ref="K47" r:id="rId44" xr:uid="{00000000-0004-0000-1200-00002B000000}"/>
    <hyperlink ref="K48" r:id="rId45" xr:uid="{00000000-0004-0000-1200-00002C000000}"/>
    <hyperlink ref="K49" r:id="rId46" xr:uid="{00000000-0004-0000-1200-00002D000000}"/>
    <hyperlink ref="K50" r:id="rId47" xr:uid="{00000000-0004-0000-1200-00002E000000}"/>
    <hyperlink ref="K51" r:id="rId48" xr:uid="{00000000-0004-0000-1200-00002F000000}"/>
    <hyperlink ref="K52" r:id="rId49" xr:uid="{00000000-0004-0000-1200-000030000000}"/>
    <hyperlink ref="K53" r:id="rId50" xr:uid="{00000000-0004-0000-1200-000031000000}"/>
    <hyperlink ref="K54" r:id="rId51" xr:uid="{00000000-0004-0000-1200-000032000000}"/>
    <hyperlink ref="K55" r:id="rId52" xr:uid="{00000000-0004-0000-1200-000033000000}"/>
    <hyperlink ref="K56" r:id="rId53" xr:uid="{00000000-0004-0000-1200-000034000000}"/>
    <hyperlink ref="K57" r:id="rId54" xr:uid="{00000000-0004-0000-1200-000035000000}"/>
    <hyperlink ref="K58" r:id="rId55" xr:uid="{00000000-0004-0000-1200-000036000000}"/>
    <hyperlink ref="K59" r:id="rId56" xr:uid="{00000000-0004-0000-1200-000037000000}"/>
    <hyperlink ref="K60" r:id="rId57" xr:uid="{00000000-0004-0000-1200-000038000000}"/>
    <hyperlink ref="K61" r:id="rId58" xr:uid="{00000000-0004-0000-1200-000039000000}"/>
    <hyperlink ref="K62" r:id="rId59" xr:uid="{00000000-0004-0000-1200-00003A000000}"/>
    <hyperlink ref="K63" r:id="rId60" xr:uid="{00000000-0004-0000-1200-00003B000000}"/>
    <hyperlink ref="K64" r:id="rId61" xr:uid="{00000000-0004-0000-1200-00003C000000}"/>
    <hyperlink ref="K65" r:id="rId62" xr:uid="{00000000-0004-0000-1200-00003D000000}"/>
    <hyperlink ref="K66" r:id="rId63" xr:uid="{00000000-0004-0000-1200-00003E000000}"/>
    <hyperlink ref="K67" r:id="rId64" xr:uid="{00000000-0004-0000-1200-00003F000000}"/>
    <hyperlink ref="K68" r:id="rId65" xr:uid="{00000000-0004-0000-1200-000040000000}"/>
    <hyperlink ref="K69" r:id="rId66" xr:uid="{00000000-0004-0000-1200-000041000000}"/>
    <hyperlink ref="K70" r:id="rId67" xr:uid="{00000000-0004-0000-1200-000042000000}"/>
    <hyperlink ref="K71" r:id="rId68" xr:uid="{00000000-0004-0000-1200-000043000000}"/>
    <hyperlink ref="K72" r:id="rId69" xr:uid="{00000000-0004-0000-1200-000044000000}"/>
    <hyperlink ref="K73" r:id="rId70" xr:uid="{00000000-0004-0000-1200-000045000000}"/>
    <hyperlink ref="K74" r:id="rId71" xr:uid="{00000000-0004-0000-1200-000046000000}"/>
    <hyperlink ref="K75" r:id="rId72" xr:uid="{00000000-0004-0000-1200-000047000000}"/>
    <hyperlink ref="K76" r:id="rId73" xr:uid="{00000000-0004-0000-1200-000048000000}"/>
    <hyperlink ref="K77" r:id="rId74" xr:uid="{00000000-0004-0000-1200-000049000000}"/>
    <hyperlink ref="K78" r:id="rId75" xr:uid="{00000000-0004-0000-1200-00004A000000}"/>
    <hyperlink ref="K79" r:id="rId76" xr:uid="{00000000-0004-0000-1200-00004B000000}"/>
    <hyperlink ref="K80" r:id="rId77" xr:uid="{00000000-0004-0000-1200-00004C000000}"/>
    <hyperlink ref="K81" r:id="rId78" xr:uid="{00000000-0004-0000-1200-00004D000000}"/>
    <hyperlink ref="K82" r:id="rId79" xr:uid="{00000000-0004-0000-1200-00004E000000}"/>
    <hyperlink ref="K83" r:id="rId80" xr:uid="{00000000-0004-0000-1200-00004F000000}"/>
    <hyperlink ref="K84" r:id="rId81" xr:uid="{00000000-0004-0000-1200-000050000000}"/>
    <hyperlink ref="K85" r:id="rId82" xr:uid="{00000000-0004-0000-1200-000051000000}"/>
    <hyperlink ref="K86" r:id="rId83" xr:uid="{00000000-0004-0000-1200-000052000000}"/>
    <hyperlink ref="K87" r:id="rId84" xr:uid="{00000000-0004-0000-1200-000053000000}"/>
    <hyperlink ref="K88" r:id="rId85" xr:uid="{00000000-0004-0000-1200-000054000000}"/>
    <hyperlink ref="K89" r:id="rId86" xr:uid="{00000000-0004-0000-1200-000055000000}"/>
    <hyperlink ref="K90" r:id="rId87" xr:uid="{00000000-0004-0000-1200-000056000000}"/>
    <hyperlink ref="K91" r:id="rId88" xr:uid="{00000000-0004-0000-1200-000057000000}"/>
    <hyperlink ref="K92" r:id="rId89" xr:uid="{00000000-0004-0000-1200-000058000000}"/>
    <hyperlink ref="K93" r:id="rId90" xr:uid="{00000000-0004-0000-1200-000059000000}"/>
    <hyperlink ref="K94" r:id="rId91" xr:uid="{00000000-0004-0000-1200-00005A000000}"/>
    <hyperlink ref="K95" r:id="rId92" xr:uid="{00000000-0004-0000-1200-00005B000000}"/>
    <hyperlink ref="K96" r:id="rId93" xr:uid="{00000000-0004-0000-1200-00005C000000}"/>
    <hyperlink ref="K97" r:id="rId94" xr:uid="{00000000-0004-0000-1200-00005D000000}"/>
    <hyperlink ref="K98" r:id="rId95" xr:uid="{00000000-0004-0000-1200-00005E000000}"/>
    <hyperlink ref="K99" r:id="rId96" xr:uid="{00000000-0004-0000-1200-00005F000000}"/>
    <hyperlink ref="K100" r:id="rId97" xr:uid="{00000000-0004-0000-1200-000060000000}"/>
    <hyperlink ref="K101" r:id="rId98" xr:uid="{00000000-0004-0000-1200-000061000000}"/>
    <hyperlink ref="K102" r:id="rId99" xr:uid="{00000000-0004-0000-1200-000062000000}"/>
    <hyperlink ref="K103" r:id="rId100" xr:uid="{00000000-0004-0000-1200-000063000000}"/>
    <hyperlink ref="K104" r:id="rId101" xr:uid="{00000000-0004-0000-1200-000064000000}"/>
    <hyperlink ref="K105" r:id="rId102" xr:uid="{00000000-0004-0000-1200-000065000000}"/>
    <hyperlink ref="K106" r:id="rId103" xr:uid="{00000000-0004-0000-1200-000066000000}"/>
    <hyperlink ref="K107" r:id="rId104" xr:uid="{00000000-0004-0000-1200-000067000000}"/>
    <hyperlink ref="K108" r:id="rId105" xr:uid="{00000000-0004-0000-1200-000068000000}"/>
    <hyperlink ref="K109" r:id="rId106" xr:uid="{00000000-0004-0000-1200-000069000000}"/>
    <hyperlink ref="K110" r:id="rId107" xr:uid="{00000000-0004-0000-1200-00006A000000}"/>
    <hyperlink ref="K111" r:id="rId108" xr:uid="{00000000-0004-0000-1200-00006B000000}"/>
    <hyperlink ref="K112" r:id="rId109" xr:uid="{00000000-0004-0000-1200-00006C000000}"/>
    <hyperlink ref="K113" r:id="rId110" xr:uid="{00000000-0004-0000-1200-00006D000000}"/>
    <hyperlink ref="K114" r:id="rId111" xr:uid="{00000000-0004-0000-1200-00006E000000}"/>
    <hyperlink ref="K115" r:id="rId112" xr:uid="{00000000-0004-0000-1200-00006F000000}"/>
    <hyperlink ref="K116" r:id="rId113" xr:uid="{00000000-0004-0000-1200-000070000000}"/>
    <hyperlink ref="K117" r:id="rId114" xr:uid="{00000000-0004-0000-1200-000071000000}"/>
    <hyperlink ref="K118" r:id="rId115" xr:uid="{00000000-0004-0000-1200-000072000000}"/>
    <hyperlink ref="K119" r:id="rId116" xr:uid="{00000000-0004-0000-1200-000073000000}"/>
    <hyperlink ref="K120" r:id="rId117" xr:uid="{00000000-0004-0000-1200-000074000000}"/>
    <hyperlink ref="K121" r:id="rId118" xr:uid="{00000000-0004-0000-1200-000075000000}"/>
    <hyperlink ref="K122" r:id="rId119" xr:uid="{00000000-0004-0000-1200-000076000000}"/>
    <hyperlink ref="K123" r:id="rId120" xr:uid="{00000000-0004-0000-1200-000077000000}"/>
    <hyperlink ref="K124" r:id="rId121" xr:uid="{00000000-0004-0000-1200-000078000000}"/>
    <hyperlink ref="K125" r:id="rId122" xr:uid="{00000000-0004-0000-1200-000079000000}"/>
    <hyperlink ref="K126" r:id="rId123" xr:uid="{00000000-0004-0000-1200-00007A000000}"/>
    <hyperlink ref="K127" r:id="rId124" xr:uid="{00000000-0004-0000-1200-00007B000000}"/>
    <hyperlink ref="K128" r:id="rId125" xr:uid="{00000000-0004-0000-1200-00007C000000}"/>
    <hyperlink ref="K129" r:id="rId126" xr:uid="{00000000-0004-0000-1200-00007D000000}"/>
    <hyperlink ref="K130" r:id="rId127" xr:uid="{00000000-0004-0000-1200-00007E000000}"/>
    <hyperlink ref="K131" r:id="rId128" xr:uid="{00000000-0004-0000-1200-00007F000000}"/>
    <hyperlink ref="K132" r:id="rId129" xr:uid="{00000000-0004-0000-1200-000080000000}"/>
    <hyperlink ref="K133" r:id="rId130" xr:uid="{00000000-0004-0000-1200-000081000000}"/>
    <hyperlink ref="K134" r:id="rId131" xr:uid="{00000000-0004-0000-1200-000082000000}"/>
    <hyperlink ref="K135" r:id="rId132" xr:uid="{00000000-0004-0000-1200-000083000000}"/>
    <hyperlink ref="K136" r:id="rId133" xr:uid="{00000000-0004-0000-1200-000084000000}"/>
    <hyperlink ref="K137" r:id="rId134" xr:uid="{00000000-0004-0000-1200-000085000000}"/>
    <hyperlink ref="K138" r:id="rId135" xr:uid="{00000000-0004-0000-1200-000086000000}"/>
    <hyperlink ref="K139" r:id="rId136" xr:uid="{00000000-0004-0000-1200-000087000000}"/>
    <hyperlink ref="K140" r:id="rId137" xr:uid="{00000000-0004-0000-1200-000088000000}"/>
    <hyperlink ref="K141" r:id="rId138" xr:uid="{00000000-0004-0000-1200-000089000000}"/>
    <hyperlink ref="K142" r:id="rId139" xr:uid="{00000000-0004-0000-1200-00008A000000}"/>
    <hyperlink ref="K143" r:id="rId140" xr:uid="{00000000-0004-0000-1200-00008B000000}"/>
    <hyperlink ref="K144" r:id="rId141" xr:uid="{00000000-0004-0000-1200-00008C000000}"/>
    <hyperlink ref="K145" r:id="rId142" xr:uid="{00000000-0004-0000-1200-00008D000000}"/>
    <hyperlink ref="K146" r:id="rId143" xr:uid="{00000000-0004-0000-1200-00008E000000}"/>
    <hyperlink ref="K147" r:id="rId144" xr:uid="{00000000-0004-0000-1200-00008F000000}"/>
    <hyperlink ref="K148" r:id="rId145" xr:uid="{00000000-0004-0000-1200-000090000000}"/>
    <hyperlink ref="K149" r:id="rId146" xr:uid="{00000000-0004-0000-1200-000091000000}"/>
    <hyperlink ref="K150" r:id="rId147" xr:uid="{00000000-0004-0000-1200-000092000000}"/>
    <hyperlink ref="K151" r:id="rId148" xr:uid="{00000000-0004-0000-1200-000093000000}"/>
    <hyperlink ref="K152" r:id="rId149" xr:uid="{00000000-0004-0000-1200-000094000000}"/>
    <hyperlink ref="K153" r:id="rId150" xr:uid="{00000000-0004-0000-1200-000095000000}"/>
    <hyperlink ref="K154" r:id="rId151" xr:uid="{00000000-0004-0000-1200-000096000000}"/>
    <hyperlink ref="K155" r:id="rId152" xr:uid="{00000000-0004-0000-1200-000097000000}"/>
    <hyperlink ref="K156" r:id="rId153" xr:uid="{00000000-0004-0000-1200-000098000000}"/>
    <hyperlink ref="K157" r:id="rId154" xr:uid="{00000000-0004-0000-1200-000099000000}"/>
    <hyperlink ref="K158" r:id="rId155" xr:uid="{00000000-0004-0000-1200-00009A000000}"/>
    <hyperlink ref="K159" r:id="rId156" xr:uid="{00000000-0004-0000-1200-00009B000000}"/>
    <hyperlink ref="K160" r:id="rId157" xr:uid="{00000000-0004-0000-1200-00009C000000}"/>
    <hyperlink ref="K161" r:id="rId158" xr:uid="{00000000-0004-0000-1200-00009D000000}"/>
    <hyperlink ref="K162" r:id="rId159" xr:uid="{00000000-0004-0000-1200-00009E000000}"/>
    <hyperlink ref="K163" r:id="rId160" xr:uid="{00000000-0004-0000-1200-00009F000000}"/>
    <hyperlink ref="K164" r:id="rId161" xr:uid="{00000000-0004-0000-1200-0000A0000000}"/>
    <hyperlink ref="K165" r:id="rId162" xr:uid="{00000000-0004-0000-1200-0000A1000000}"/>
    <hyperlink ref="K166" r:id="rId163" xr:uid="{00000000-0004-0000-1200-0000A2000000}"/>
    <hyperlink ref="K167" r:id="rId164" xr:uid="{00000000-0004-0000-1200-0000A3000000}"/>
    <hyperlink ref="K168" r:id="rId165" xr:uid="{00000000-0004-0000-1200-0000A4000000}"/>
    <hyperlink ref="K169" r:id="rId166" xr:uid="{00000000-0004-0000-1200-0000A5000000}"/>
    <hyperlink ref="K170" r:id="rId167" xr:uid="{00000000-0004-0000-1200-0000A6000000}"/>
    <hyperlink ref="K171" r:id="rId168" xr:uid="{00000000-0004-0000-1200-0000A7000000}"/>
    <hyperlink ref="K172" r:id="rId169" xr:uid="{00000000-0004-0000-1200-0000A8000000}"/>
    <hyperlink ref="K173" r:id="rId170" xr:uid="{00000000-0004-0000-1200-0000A9000000}"/>
    <hyperlink ref="K174" r:id="rId171" xr:uid="{00000000-0004-0000-1200-0000AA000000}"/>
    <hyperlink ref="K175" r:id="rId172" xr:uid="{00000000-0004-0000-1200-0000AB000000}"/>
    <hyperlink ref="K176" r:id="rId173" xr:uid="{00000000-0004-0000-1200-0000AC000000}"/>
    <hyperlink ref="K177" r:id="rId174" xr:uid="{00000000-0004-0000-1200-0000AD000000}"/>
    <hyperlink ref="K178" r:id="rId175" xr:uid="{00000000-0004-0000-1200-0000AE000000}"/>
    <hyperlink ref="K179" r:id="rId176" xr:uid="{00000000-0004-0000-1200-0000AF000000}"/>
    <hyperlink ref="K180" r:id="rId177" xr:uid="{00000000-0004-0000-1200-0000B0000000}"/>
    <hyperlink ref="K181" r:id="rId178" xr:uid="{00000000-0004-0000-1200-0000B1000000}"/>
    <hyperlink ref="K182" r:id="rId179" xr:uid="{00000000-0004-0000-1200-0000B2000000}"/>
    <hyperlink ref="K183" r:id="rId180" xr:uid="{00000000-0004-0000-1200-0000B3000000}"/>
    <hyperlink ref="K184" r:id="rId181" xr:uid="{00000000-0004-0000-1200-0000B4000000}"/>
    <hyperlink ref="K185" r:id="rId182" xr:uid="{00000000-0004-0000-1200-0000B5000000}"/>
    <hyperlink ref="K186" r:id="rId183" xr:uid="{00000000-0004-0000-1200-0000B6000000}"/>
    <hyperlink ref="K187" r:id="rId184" xr:uid="{00000000-0004-0000-1200-0000B7000000}"/>
    <hyperlink ref="K188" r:id="rId185" xr:uid="{00000000-0004-0000-1200-0000B8000000}"/>
    <hyperlink ref="K189" r:id="rId186" xr:uid="{00000000-0004-0000-1200-0000B9000000}"/>
    <hyperlink ref="K190" r:id="rId187" xr:uid="{00000000-0004-0000-1200-0000BA000000}"/>
    <hyperlink ref="K191" r:id="rId188" xr:uid="{00000000-0004-0000-1200-0000BB000000}"/>
    <hyperlink ref="K192" r:id="rId189" xr:uid="{00000000-0004-0000-1200-0000BC000000}"/>
    <hyperlink ref="K193" r:id="rId190" xr:uid="{00000000-0004-0000-1200-0000BD000000}"/>
    <hyperlink ref="K194" r:id="rId191" xr:uid="{00000000-0004-0000-1200-0000BE000000}"/>
    <hyperlink ref="K195" r:id="rId192" xr:uid="{00000000-0004-0000-1200-0000BF000000}"/>
    <hyperlink ref="K196" r:id="rId193" xr:uid="{00000000-0004-0000-1200-0000C0000000}"/>
    <hyperlink ref="K197" r:id="rId194" xr:uid="{00000000-0004-0000-1200-0000C1000000}"/>
    <hyperlink ref="K198" r:id="rId195" xr:uid="{00000000-0004-0000-1200-0000C2000000}"/>
    <hyperlink ref="K199" r:id="rId196" xr:uid="{00000000-0004-0000-1200-0000C3000000}"/>
    <hyperlink ref="K200" r:id="rId197" xr:uid="{00000000-0004-0000-1200-0000C4000000}"/>
    <hyperlink ref="K201" r:id="rId198" xr:uid="{00000000-0004-0000-1200-0000C5000000}"/>
    <hyperlink ref="K202" r:id="rId199" xr:uid="{00000000-0004-0000-1200-0000C6000000}"/>
    <hyperlink ref="K203" r:id="rId200" xr:uid="{00000000-0004-0000-1200-0000C7000000}"/>
    <hyperlink ref="K204" r:id="rId201" xr:uid="{00000000-0004-0000-1200-0000C8000000}"/>
    <hyperlink ref="K205" r:id="rId202" xr:uid="{00000000-0004-0000-1200-0000C9000000}"/>
    <hyperlink ref="K206" r:id="rId203" xr:uid="{00000000-0004-0000-1200-0000CA000000}"/>
    <hyperlink ref="K207" r:id="rId204" xr:uid="{00000000-0004-0000-1200-0000CB000000}"/>
    <hyperlink ref="K208" r:id="rId205" xr:uid="{00000000-0004-0000-1200-0000CC000000}"/>
    <hyperlink ref="K209" r:id="rId206" xr:uid="{00000000-0004-0000-1200-0000CD000000}"/>
    <hyperlink ref="K210" r:id="rId207" xr:uid="{00000000-0004-0000-1200-0000CE000000}"/>
    <hyperlink ref="K211" r:id="rId208" xr:uid="{00000000-0004-0000-1200-0000CF000000}"/>
    <hyperlink ref="K212" r:id="rId209" xr:uid="{00000000-0004-0000-1200-0000D0000000}"/>
    <hyperlink ref="K213" r:id="rId210" xr:uid="{00000000-0004-0000-1200-0000D1000000}"/>
    <hyperlink ref="K214" r:id="rId211" xr:uid="{00000000-0004-0000-1200-0000D2000000}"/>
    <hyperlink ref="K215" r:id="rId212" xr:uid="{00000000-0004-0000-1200-0000D3000000}"/>
    <hyperlink ref="K216" r:id="rId213" xr:uid="{00000000-0004-0000-1200-0000D4000000}"/>
    <hyperlink ref="K217" r:id="rId214" xr:uid="{00000000-0004-0000-1200-0000D5000000}"/>
    <hyperlink ref="K218" r:id="rId215" xr:uid="{00000000-0004-0000-1200-0000D6000000}"/>
    <hyperlink ref="K219" r:id="rId216" xr:uid="{00000000-0004-0000-1200-0000D7000000}"/>
    <hyperlink ref="K220" r:id="rId217" xr:uid="{00000000-0004-0000-1200-0000D8000000}"/>
    <hyperlink ref="K221" r:id="rId218" xr:uid="{00000000-0004-0000-1200-0000D9000000}"/>
    <hyperlink ref="K222" r:id="rId219" xr:uid="{00000000-0004-0000-1200-0000DA000000}"/>
    <hyperlink ref="K223" r:id="rId220" xr:uid="{00000000-0004-0000-1200-0000DB000000}"/>
    <hyperlink ref="K224" r:id="rId221" xr:uid="{00000000-0004-0000-1200-0000DC000000}"/>
    <hyperlink ref="K225" r:id="rId222" xr:uid="{00000000-0004-0000-1200-0000DD000000}"/>
    <hyperlink ref="K226" r:id="rId223" xr:uid="{00000000-0004-0000-1200-0000DE000000}"/>
    <hyperlink ref="K227" r:id="rId224" xr:uid="{00000000-0004-0000-1200-0000DF000000}"/>
    <hyperlink ref="K228" r:id="rId225" xr:uid="{00000000-0004-0000-1200-0000E0000000}"/>
    <hyperlink ref="K229" r:id="rId226" xr:uid="{00000000-0004-0000-1200-0000E1000000}"/>
    <hyperlink ref="K230" r:id="rId227" xr:uid="{00000000-0004-0000-1200-0000E2000000}"/>
    <hyperlink ref="K231" r:id="rId228" xr:uid="{00000000-0004-0000-1200-0000E3000000}"/>
    <hyperlink ref="K232" r:id="rId229" xr:uid="{00000000-0004-0000-1200-0000E4000000}"/>
    <hyperlink ref="K233" r:id="rId230" xr:uid="{00000000-0004-0000-1200-0000E5000000}"/>
    <hyperlink ref="K234" r:id="rId231" xr:uid="{00000000-0004-0000-1200-0000E6000000}"/>
    <hyperlink ref="K235" r:id="rId232" xr:uid="{00000000-0004-0000-1200-0000E7000000}"/>
    <hyperlink ref="K236" r:id="rId233" xr:uid="{00000000-0004-0000-1200-0000E8000000}"/>
    <hyperlink ref="K237" r:id="rId234" xr:uid="{00000000-0004-0000-1200-0000E9000000}"/>
    <hyperlink ref="K238" r:id="rId235" xr:uid="{00000000-0004-0000-1200-0000EA000000}"/>
    <hyperlink ref="K239" r:id="rId236" xr:uid="{00000000-0004-0000-1200-0000EB000000}"/>
    <hyperlink ref="K240" r:id="rId237" xr:uid="{00000000-0004-0000-1200-0000EC000000}"/>
    <hyperlink ref="K241" r:id="rId238" xr:uid="{00000000-0004-0000-1200-0000ED000000}"/>
    <hyperlink ref="K242" r:id="rId239" xr:uid="{00000000-0004-0000-1200-0000EE000000}"/>
    <hyperlink ref="K243" r:id="rId240" xr:uid="{00000000-0004-0000-1200-0000EF000000}"/>
    <hyperlink ref="K244" r:id="rId241" xr:uid="{00000000-0004-0000-1200-0000F0000000}"/>
    <hyperlink ref="K245" r:id="rId242" xr:uid="{00000000-0004-0000-1200-0000F1000000}"/>
    <hyperlink ref="K246" r:id="rId243" xr:uid="{00000000-0004-0000-1200-0000F2000000}"/>
    <hyperlink ref="K247" r:id="rId244" xr:uid="{00000000-0004-0000-1200-0000F3000000}"/>
    <hyperlink ref="K248" r:id="rId245" xr:uid="{00000000-0004-0000-1200-0000F4000000}"/>
    <hyperlink ref="K249" r:id="rId246" xr:uid="{00000000-0004-0000-1200-0000F5000000}"/>
    <hyperlink ref="K250" r:id="rId247" xr:uid="{00000000-0004-0000-1200-0000F6000000}"/>
    <hyperlink ref="K251" r:id="rId248" xr:uid="{00000000-0004-0000-1200-0000F7000000}"/>
    <hyperlink ref="K252" r:id="rId249" xr:uid="{00000000-0004-0000-1200-0000F8000000}"/>
    <hyperlink ref="K253" r:id="rId250" xr:uid="{00000000-0004-0000-1200-0000F9000000}"/>
    <hyperlink ref="K254" r:id="rId251" xr:uid="{00000000-0004-0000-1200-0000FA000000}"/>
    <hyperlink ref="K255" r:id="rId252" xr:uid="{00000000-0004-0000-1200-0000FB000000}"/>
    <hyperlink ref="K256" r:id="rId253" xr:uid="{00000000-0004-0000-1200-0000FC000000}"/>
    <hyperlink ref="K257" r:id="rId254" xr:uid="{00000000-0004-0000-1200-0000FD000000}"/>
    <hyperlink ref="K258" r:id="rId255" xr:uid="{00000000-0004-0000-1200-0000FE000000}"/>
    <hyperlink ref="K259" r:id="rId256" xr:uid="{00000000-0004-0000-1200-0000FF000000}"/>
    <hyperlink ref="K260" r:id="rId257" xr:uid="{00000000-0004-0000-1200-000000010000}"/>
    <hyperlink ref="K261" r:id="rId258" xr:uid="{00000000-0004-0000-1200-000001010000}"/>
    <hyperlink ref="K262" r:id="rId259" xr:uid="{00000000-0004-0000-1200-000002010000}"/>
    <hyperlink ref="K263" r:id="rId260" xr:uid="{00000000-0004-0000-1200-000003010000}"/>
    <hyperlink ref="K264" r:id="rId261" xr:uid="{00000000-0004-0000-1200-000004010000}"/>
    <hyperlink ref="K265" r:id="rId262" xr:uid="{00000000-0004-0000-1200-000005010000}"/>
    <hyperlink ref="K266" r:id="rId263" xr:uid="{00000000-0004-0000-1200-000006010000}"/>
    <hyperlink ref="K267" r:id="rId264" xr:uid="{00000000-0004-0000-1200-000007010000}"/>
    <hyperlink ref="K268" r:id="rId265" xr:uid="{00000000-0004-0000-1200-000008010000}"/>
    <hyperlink ref="K269" r:id="rId266" xr:uid="{00000000-0004-0000-1200-000009010000}"/>
    <hyperlink ref="K270" r:id="rId267" xr:uid="{00000000-0004-0000-1200-00000A010000}"/>
    <hyperlink ref="K271" r:id="rId268" xr:uid="{00000000-0004-0000-1200-00000B010000}"/>
    <hyperlink ref="K272" r:id="rId269" xr:uid="{00000000-0004-0000-1200-00000C010000}"/>
    <hyperlink ref="K273" r:id="rId270" xr:uid="{00000000-0004-0000-1200-00000D010000}"/>
    <hyperlink ref="K274" r:id="rId271" xr:uid="{00000000-0004-0000-1200-00000E010000}"/>
    <hyperlink ref="K275" r:id="rId272" xr:uid="{00000000-0004-0000-1200-00000F010000}"/>
    <hyperlink ref="K276" r:id="rId273" xr:uid="{00000000-0004-0000-1200-000010010000}"/>
    <hyperlink ref="K277" r:id="rId274" xr:uid="{00000000-0004-0000-1200-000011010000}"/>
    <hyperlink ref="K278" r:id="rId275" xr:uid="{00000000-0004-0000-1200-000012010000}"/>
    <hyperlink ref="K279" r:id="rId276" xr:uid="{00000000-0004-0000-1200-000013010000}"/>
    <hyperlink ref="K280" r:id="rId277" xr:uid="{00000000-0004-0000-1200-000014010000}"/>
    <hyperlink ref="K281" r:id="rId278" xr:uid="{00000000-0004-0000-1200-000015010000}"/>
    <hyperlink ref="K282" r:id="rId279" xr:uid="{00000000-0004-0000-1200-000016010000}"/>
    <hyperlink ref="K283" r:id="rId280" xr:uid="{00000000-0004-0000-1200-000017010000}"/>
    <hyperlink ref="K284" r:id="rId281" xr:uid="{00000000-0004-0000-1200-000018010000}"/>
    <hyperlink ref="K285" r:id="rId282" xr:uid="{00000000-0004-0000-1200-000019010000}"/>
    <hyperlink ref="K286" r:id="rId283" xr:uid="{00000000-0004-0000-1200-00001A010000}"/>
    <hyperlink ref="K287" r:id="rId284" xr:uid="{00000000-0004-0000-1200-00001B010000}"/>
    <hyperlink ref="K288" r:id="rId285" xr:uid="{00000000-0004-0000-1200-00001C010000}"/>
    <hyperlink ref="K289" r:id="rId286" xr:uid="{00000000-0004-0000-1200-00001D010000}"/>
    <hyperlink ref="K290" r:id="rId287" xr:uid="{00000000-0004-0000-1200-00001E010000}"/>
    <hyperlink ref="K291" r:id="rId288" xr:uid="{00000000-0004-0000-1200-00001F010000}"/>
    <hyperlink ref="K292" r:id="rId289" xr:uid="{00000000-0004-0000-1200-000020010000}"/>
    <hyperlink ref="K293" r:id="rId290" xr:uid="{00000000-0004-0000-1200-000021010000}"/>
    <hyperlink ref="K294" r:id="rId291" xr:uid="{00000000-0004-0000-1200-000022010000}"/>
    <hyperlink ref="K295" r:id="rId292" xr:uid="{00000000-0004-0000-1200-000023010000}"/>
    <hyperlink ref="K296" r:id="rId293" xr:uid="{00000000-0004-0000-1200-000024010000}"/>
    <hyperlink ref="K297" r:id="rId294" xr:uid="{00000000-0004-0000-1200-000025010000}"/>
    <hyperlink ref="K298" r:id="rId295" xr:uid="{00000000-0004-0000-1200-000026010000}"/>
    <hyperlink ref="K299" r:id="rId296" xr:uid="{00000000-0004-0000-1200-000027010000}"/>
    <hyperlink ref="K300" r:id="rId297" xr:uid="{00000000-0004-0000-1200-000028010000}"/>
    <hyperlink ref="K301" r:id="rId298" xr:uid="{00000000-0004-0000-1200-000029010000}"/>
    <hyperlink ref="K302" r:id="rId299" xr:uid="{00000000-0004-0000-1200-00002A010000}"/>
    <hyperlink ref="K303" r:id="rId300" xr:uid="{00000000-0004-0000-1200-00002B010000}"/>
    <hyperlink ref="K304" r:id="rId301" xr:uid="{00000000-0004-0000-1200-00002C010000}"/>
    <hyperlink ref="K305" r:id="rId302" xr:uid="{00000000-0004-0000-1200-00002D010000}"/>
    <hyperlink ref="K306" r:id="rId303" xr:uid="{00000000-0004-0000-1200-00002E010000}"/>
    <hyperlink ref="K307" r:id="rId304" xr:uid="{00000000-0004-0000-1200-00002F010000}"/>
    <hyperlink ref="K308" r:id="rId305" xr:uid="{00000000-0004-0000-1200-000030010000}"/>
    <hyperlink ref="K309" r:id="rId306" xr:uid="{00000000-0004-0000-1200-000031010000}"/>
    <hyperlink ref="K310" r:id="rId307" xr:uid="{00000000-0004-0000-1200-000032010000}"/>
    <hyperlink ref="K311" r:id="rId308" xr:uid="{00000000-0004-0000-1200-000033010000}"/>
    <hyperlink ref="K312" r:id="rId309" xr:uid="{00000000-0004-0000-1200-000034010000}"/>
    <hyperlink ref="K313" r:id="rId310" xr:uid="{00000000-0004-0000-1200-000035010000}"/>
    <hyperlink ref="K314" r:id="rId311" xr:uid="{00000000-0004-0000-1200-000036010000}"/>
    <hyperlink ref="K315" r:id="rId312" xr:uid="{00000000-0004-0000-1200-000037010000}"/>
    <hyperlink ref="K316" r:id="rId313" xr:uid="{00000000-0004-0000-1200-000038010000}"/>
    <hyperlink ref="K317" r:id="rId314" xr:uid="{00000000-0004-0000-1200-000039010000}"/>
    <hyperlink ref="K318" r:id="rId315" xr:uid="{00000000-0004-0000-1200-00003A010000}"/>
    <hyperlink ref="K319" r:id="rId316" xr:uid="{00000000-0004-0000-1200-00003B010000}"/>
    <hyperlink ref="K320" r:id="rId317" xr:uid="{00000000-0004-0000-1200-00003C010000}"/>
    <hyperlink ref="K321" r:id="rId318" xr:uid="{00000000-0004-0000-1200-00003D010000}"/>
    <hyperlink ref="K322" r:id="rId319" xr:uid="{00000000-0004-0000-1200-00003E010000}"/>
    <hyperlink ref="K323" r:id="rId320" xr:uid="{00000000-0004-0000-1200-00003F010000}"/>
    <hyperlink ref="K324" r:id="rId321" xr:uid="{00000000-0004-0000-1200-000040010000}"/>
    <hyperlink ref="K325" r:id="rId322" xr:uid="{00000000-0004-0000-1200-000041010000}"/>
    <hyperlink ref="K326" r:id="rId323" xr:uid="{00000000-0004-0000-1200-000042010000}"/>
    <hyperlink ref="K327" r:id="rId324" xr:uid="{00000000-0004-0000-1200-000043010000}"/>
    <hyperlink ref="K328" r:id="rId325" xr:uid="{00000000-0004-0000-1200-000044010000}"/>
    <hyperlink ref="K329" r:id="rId326" xr:uid="{00000000-0004-0000-1200-000045010000}"/>
    <hyperlink ref="K330" r:id="rId327" xr:uid="{00000000-0004-0000-1200-000046010000}"/>
    <hyperlink ref="K331" r:id="rId328" xr:uid="{00000000-0004-0000-1200-000047010000}"/>
    <hyperlink ref="K332" r:id="rId329" xr:uid="{00000000-0004-0000-1200-000048010000}"/>
    <hyperlink ref="K333" r:id="rId330" xr:uid="{00000000-0004-0000-1200-000049010000}"/>
    <hyperlink ref="K334" r:id="rId331" xr:uid="{00000000-0004-0000-1200-00004A010000}"/>
    <hyperlink ref="K335" r:id="rId332" xr:uid="{00000000-0004-0000-1200-00004B010000}"/>
    <hyperlink ref="K336" r:id="rId333" xr:uid="{00000000-0004-0000-1200-00004C010000}"/>
    <hyperlink ref="K337" r:id="rId334" xr:uid="{00000000-0004-0000-1200-00004D010000}"/>
    <hyperlink ref="K338" r:id="rId335" xr:uid="{00000000-0004-0000-1200-00004E010000}"/>
    <hyperlink ref="K339" r:id="rId336" xr:uid="{00000000-0004-0000-1200-00004F010000}"/>
    <hyperlink ref="K340" r:id="rId337" xr:uid="{00000000-0004-0000-1200-000050010000}"/>
    <hyperlink ref="K341" r:id="rId338" xr:uid="{00000000-0004-0000-1200-000051010000}"/>
    <hyperlink ref="K342" r:id="rId339" xr:uid="{00000000-0004-0000-1200-000052010000}"/>
    <hyperlink ref="K343" r:id="rId340" xr:uid="{00000000-0004-0000-1200-000053010000}"/>
    <hyperlink ref="K344" r:id="rId341" xr:uid="{00000000-0004-0000-1200-000054010000}"/>
    <hyperlink ref="K345" r:id="rId342" xr:uid="{00000000-0004-0000-1200-000055010000}"/>
    <hyperlink ref="K346" r:id="rId343" xr:uid="{00000000-0004-0000-1200-000056010000}"/>
    <hyperlink ref="K347" r:id="rId344" xr:uid="{00000000-0004-0000-1200-000057010000}"/>
    <hyperlink ref="K348" r:id="rId345" xr:uid="{00000000-0004-0000-1200-000058010000}"/>
    <hyperlink ref="K349" r:id="rId346" xr:uid="{00000000-0004-0000-1200-000059010000}"/>
    <hyperlink ref="K350" r:id="rId347" xr:uid="{00000000-0004-0000-1200-00005A010000}"/>
    <hyperlink ref="K351" r:id="rId348" xr:uid="{00000000-0004-0000-1200-00005B010000}"/>
    <hyperlink ref="K352" r:id="rId349" xr:uid="{00000000-0004-0000-1200-00005C010000}"/>
    <hyperlink ref="K353" r:id="rId350" xr:uid="{00000000-0004-0000-1200-00005D010000}"/>
    <hyperlink ref="K354" r:id="rId351" xr:uid="{00000000-0004-0000-1200-00005E010000}"/>
    <hyperlink ref="K355" r:id="rId352" xr:uid="{00000000-0004-0000-1200-00005F010000}"/>
    <hyperlink ref="K356" r:id="rId353" xr:uid="{00000000-0004-0000-1200-000060010000}"/>
    <hyperlink ref="K357" r:id="rId354" xr:uid="{00000000-0004-0000-1200-000061010000}"/>
    <hyperlink ref="K358" r:id="rId355" xr:uid="{00000000-0004-0000-1200-000062010000}"/>
    <hyperlink ref="K359" r:id="rId356" xr:uid="{00000000-0004-0000-1200-000063010000}"/>
    <hyperlink ref="K360" r:id="rId357" xr:uid="{00000000-0004-0000-1200-000064010000}"/>
    <hyperlink ref="K361" r:id="rId358" xr:uid="{00000000-0004-0000-1200-000065010000}"/>
    <hyperlink ref="K362" r:id="rId359" xr:uid="{00000000-0004-0000-1200-000066010000}"/>
    <hyperlink ref="K363" r:id="rId360" xr:uid="{00000000-0004-0000-1200-000067010000}"/>
    <hyperlink ref="K364" r:id="rId361" xr:uid="{00000000-0004-0000-1200-000068010000}"/>
    <hyperlink ref="K365" r:id="rId362" xr:uid="{00000000-0004-0000-1200-000069010000}"/>
    <hyperlink ref="K366" r:id="rId363" xr:uid="{00000000-0004-0000-1200-00006A010000}"/>
    <hyperlink ref="K367" r:id="rId364" xr:uid="{00000000-0004-0000-1200-00006B010000}"/>
    <hyperlink ref="K368" r:id="rId365" xr:uid="{00000000-0004-0000-1200-00006C010000}"/>
    <hyperlink ref="K369" r:id="rId366" xr:uid="{00000000-0004-0000-1200-00006D010000}"/>
    <hyperlink ref="K370" r:id="rId367" xr:uid="{00000000-0004-0000-1200-00006E010000}"/>
    <hyperlink ref="K371" r:id="rId368" xr:uid="{00000000-0004-0000-1200-00006F010000}"/>
    <hyperlink ref="K372" r:id="rId369" xr:uid="{00000000-0004-0000-1200-000070010000}"/>
    <hyperlink ref="K373" r:id="rId370" xr:uid="{00000000-0004-0000-1200-000071010000}"/>
    <hyperlink ref="K374" r:id="rId371" xr:uid="{00000000-0004-0000-1200-000072010000}"/>
    <hyperlink ref="K375" r:id="rId372" xr:uid="{00000000-0004-0000-1200-000073010000}"/>
    <hyperlink ref="K376" r:id="rId373" xr:uid="{00000000-0004-0000-1200-000074010000}"/>
    <hyperlink ref="K377" r:id="rId374" xr:uid="{00000000-0004-0000-1200-000075010000}"/>
    <hyperlink ref="K378" r:id="rId375" xr:uid="{00000000-0004-0000-1200-000076010000}"/>
    <hyperlink ref="K379" r:id="rId376" xr:uid="{00000000-0004-0000-1200-000077010000}"/>
    <hyperlink ref="K380" r:id="rId377" xr:uid="{00000000-0004-0000-1200-000078010000}"/>
    <hyperlink ref="K381" r:id="rId378" xr:uid="{00000000-0004-0000-1200-000079010000}"/>
    <hyperlink ref="K382" r:id="rId379" xr:uid="{00000000-0004-0000-1200-00007A010000}"/>
    <hyperlink ref="K383" r:id="rId380" xr:uid="{00000000-0004-0000-1200-00007B010000}"/>
    <hyperlink ref="K384" r:id="rId381" xr:uid="{00000000-0004-0000-1200-00007C010000}"/>
    <hyperlink ref="K385" r:id="rId382" xr:uid="{00000000-0004-0000-1200-00007D010000}"/>
    <hyperlink ref="K386" r:id="rId383" xr:uid="{00000000-0004-0000-1200-00007E010000}"/>
    <hyperlink ref="K387" r:id="rId384" xr:uid="{00000000-0004-0000-1200-00007F010000}"/>
    <hyperlink ref="K388" r:id="rId385" xr:uid="{00000000-0004-0000-1200-000080010000}"/>
    <hyperlink ref="K389" r:id="rId386" xr:uid="{00000000-0004-0000-1200-000081010000}"/>
    <hyperlink ref="K390" r:id="rId387" xr:uid="{00000000-0004-0000-1200-000082010000}"/>
    <hyperlink ref="K391" r:id="rId388" xr:uid="{00000000-0004-0000-1200-000083010000}"/>
    <hyperlink ref="K392" r:id="rId389" xr:uid="{00000000-0004-0000-1200-000084010000}"/>
    <hyperlink ref="K393" r:id="rId390" xr:uid="{00000000-0004-0000-1200-000085010000}"/>
    <hyperlink ref="K394" r:id="rId391" xr:uid="{00000000-0004-0000-1200-000086010000}"/>
    <hyperlink ref="K395" r:id="rId392" xr:uid="{00000000-0004-0000-1200-000087010000}"/>
    <hyperlink ref="K396" r:id="rId393" xr:uid="{00000000-0004-0000-1200-000088010000}"/>
    <hyperlink ref="K397" r:id="rId394" xr:uid="{00000000-0004-0000-1200-000089010000}"/>
    <hyperlink ref="K398" r:id="rId395" xr:uid="{00000000-0004-0000-1200-00008A010000}"/>
    <hyperlink ref="K399" r:id="rId396" xr:uid="{00000000-0004-0000-1200-00008B010000}"/>
    <hyperlink ref="K400" r:id="rId397" xr:uid="{00000000-0004-0000-1200-00008C010000}"/>
    <hyperlink ref="K401" r:id="rId398" xr:uid="{00000000-0004-0000-1200-00008D010000}"/>
    <hyperlink ref="K402" r:id="rId399" xr:uid="{00000000-0004-0000-1200-00008E010000}"/>
    <hyperlink ref="K403" r:id="rId400" xr:uid="{00000000-0004-0000-1200-00008F010000}"/>
    <hyperlink ref="K404" r:id="rId401" xr:uid="{00000000-0004-0000-1200-000090010000}"/>
    <hyperlink ref="K405" r:id="rId402" xr:uid="{00000000-0004-0000-1200-000091010000}"/>
    <hyperlink ref="K406" r:id="rId403" xr:uid="{00000000-0004-0000-1200-000092010000}"/>
    <hyperlink ref="K407" r:id="rId404" xr:uid="{00000000-0004-0000-1200-000093010000}"/>
    <hyperlink ref="K408" r:id="rId405" xr:uid="{00000000-0004-0000-1200-000094010000}"/>
    <hyperlink ref="K409" r:id="rId406" xr:uid="{00000000-0004-0000-1200-000095010000}"/>
    <hyperlink ref="K410" r:id="rId407" xr:uid="{00000000-0004-0000-1200-000096010000}"/>
    <hyperlink ref="K411" r:id="rId408" xr:uid="{00000000-0004-0000-1200-000097010000}"/>
    <hyperlink ref="K412" r:id="rId409" xr:uid="{00000000-0004-0000-1200-000098010000}"/>
    <hyperlink ref="K413" r:id="rId410" xr:uid="{00000000-0004-0000-1200-000099010000}"/>
    <hyperlink ref="K414" r:id="rId411" xr:uid="{00000000-0004-0000-1200-00009A010000}"/>
    <hyperlink ref="K415" r:id="rId412" xr:uid="{00000000-0004-0000-1200-00009B010000}"/>
    <hyperlink ref="K416" r:id="rId413" xr:uid="{00000000-0004-0000-1200-00009C010000}"/>
    <hyperlink ref="K417" r:id="rId414" xr:uid="{00000000-0004-0000-1200-00009D010000}"/>
    <hyperlink ref="K418" r:id="rId415" xr:uid="{00000000-0004-0000-1200-00009E010000}"/>
    <hyperlink ref="K419" r:id="rId416" xr:uid="{00000000-0004-0000-1200-00009F010000}"/>
    <hyperlink ref="K420" r:id="rId417" xr:uid="{00000000-0004-0000-1200-0000A0010000}"/>
    <hyperlink ref="K421" r:id="rId418" xr:uid="{00000000-0004-0000-1200-0000A1010000}"/>
    <hyperlink ref="K422" r:id="rId419" xr:uid="{00000000-0004-0000-1200-0000A2010000}"/>
    <hyperlink ref="K423" r:id="rId420" xr:uid="{00000000-0004-0000-1200-0000A3010000}"/>
    <hyperlink ref="K424" r:id="rId421" xr:uid="{00000000-0004-0000-1200-0000A4010000}"/>
    <hyperlink ref="K425" r:id="rId422" xr:uid="{00000000-0004-0000-1200-0000A5010000}"/>
    <hyperlink ref="K426" r:id="rId423" xr:uid="{00000000-0004-0000-1200-0000A6010000}"/>
    <hyperlink ref="K427" r:id="rId424" xr:uid="{00000000-0004-0000-1200-0000A7010000}"/>
    <hyperlink ref="K428" r:id="rId425" xr:uid="{00000000-0004-0000-1200-0000A8010000}"/>
    <hyperlink ref="K429" r:id="rId426" xr:uid="{00000000-0004-0000-1200-0000A9010000}"/>
    <hyperlink ref="K430" r:id="rId427" xr:uid="{00000000-0004-0000-1200-0000AA010000}"/>
    <hyperlink ref="K431" r:id="rId428" xr:uid="{00000000-0004-0000-1200-0000AB010000}"/>
    <hyperlink ref="K432" r:id="rId429" xr:uid="{00000000-0004-0000-1200-0000AC010000}"/>
    <hyperlink ref="K433" r:id="rId430" xr:uid="{00000000-0004-0000-1200-0000AD010000}"/>
    <hyperlink ref="K434" r:id="rId431" xr:uid="{00000000-0004-0000-1200-0000AE010000}"/>
    <hyperlink ref="K435" r:id="rId432" xr:uid="{00000000-0004-0000-1200-0000AF010000}"/>
    <hyperlink ref="K436" r:id="rId433" xr:uid="{00000000-0004-0000-1200-0000B0010000}"/>
    <hyperlink ref="K437" r:id="rId434" xr:uid="{00000000-0004-0000-1200-0000B1010000}"/>
    <hyperlink ref="K438" r:id="rId435" xr:uid="{00000000-0004-0000-1200-0000B2010000}"/>
    <hyperlink ref="K439" r:id="rId436" xr:uid="{00000000-0004-0000-1200-0000B3010000}"/>
    <hyperlink ref="K440" r:id="rId437" xr:uid="{00000000-0004-0000-1200-0000B4010000}"/>
    <hyperlink ref="K441" r:id="rId438" xr:uid="{00000000-0004-0000-1200-0000B5010000}"/>
    <hyperlink ref="K442" r:id="rId439" xr:uid="{00000000-0004-0000-1200-0000B6010000}"/>
    <hyperlink ref="K443" r:id="rId440" xr:uid="{00000000-0004-0000-1200-0000B7010000}"/>
    <hyperlink ref="K444" r:id="rId441" xr:uid="{00000000-0004-0000-1200-0000B8010000}"/>
    <hyperlink ref="K445" r:id="rId442" xr:uid="{00000000-0004-0000-1200-0000B9010000}"/>
    <hyperlink ref="K446" r:id="rId443" xr:uid="{00000000-0004-0000-1200-0000BA010000}"/>
    <hyperlink ref="K447" r:id="rId444" xr:uid="{00000000-0004-0000-1200-0000BB010000}"/>
    <hyperlink ref="K448" r:id="rId445" xr:uid="{00000000-0004-0000-1200-0000BC010000}"/>
    <hyperlink ref="K449" r:id="rId446" xr:uid="{00000000-0004-0000-1200-0000BD010000}"/>
    <hyperlink ref="K450" r:id="rId447" xr:uid="{00000000-0004-0000-1200-0000BE010000}"/>
    <hyperlink ref="K451" r:id="rId448" xr:uid="{00000000-0004-0000-1200-0000BF010000}"/>
    <hyperlink ref="K452" r:id="rId449" xr:uid="{00000000-0004-0000-1200-0000C0010000}"/>
    <hyperlink ref="K453" r:id="rId450" xr:uid="{00000000-0004-0000-1200-0000C1010000}"/>
    <hyperlink ref="K454" r:id="rId451" xr:uid="{00000000-0004-0000-1200-0000C2010000}"/>
    <hyperlink ref="K455" r:id="rId452" xr:uid="{00000000-0004-0000-1200-0000C3010000}"/>
    <hyperlink ref="K456" r:id="rId453" xr:uid="{00000000-0004-0000-1200-0000C4010000}"/>
    <hyperlink ref="K457" r:id="rId454" xr:uid="{00000000-0004-0000-1200-0000C5010000}"/>
    <hyperlink ref="K458" r:id="rId455" xr:uid="{00000000-0004-0000-1200-0000C6010000}"/>
    <hyperlink ref="K459" r:id="rId456" xr:uid="{00000000-0004-0000-1200-0000C7010000}"/>
    <hyperlink ref="K460" r:id="rId457" xr:uid="{00000000-0004-0000-1200-0000C8010000}"/>
    <hyperlink ref="K461" r:id="rId458" xr:uid="{00000000-0004-0000-1200-0000C9010000}"/>
    <hyperlink ref="K462" r:id="rId459" xr:uid="{00000000-0004-0000-1200-0000CA010000}"/>
    <hyperlink ref="K463" r:id="rId460" xr:uid="{00000000-0004-0000-1200-0000CB010000}"/>
    <hyperlink ref="K464" r:id="rId461" xr:uid="{00000000-0004-0000-1200-0000CC010000}"/>
    <hyperlink ref="K465" r:id="rId462" xr:uid="{00000000-0004-0000-1200-0000CD010000}"/>
    <hyperlink ref="K466" r:id="rId463" xr:uid="{00000000-0004-0000-1200-0000CE010000}"/>
    <hyperlink ref="K467" r:id="rId464" xr:uid="{00000000-0004-0000-1200-0000CF010000}"/>
    <hyperlink ref="K468" r:id="rId465" xr:uid="{00000000-0004-0000-1200-0000D0010000}"/>
    <hyperlink ref="K469" r:id="rId466" xr:uid="{00000000-0004-0000-1200-0000D1010000}"/>
    <hyperlink ref="K470" r:id="rId467" xr:uid="{00000000-0004-0000-1200-0000D2010000}"/>
    <hyperlink ref="K471" r:id="rId468" xr:uid="{00000000-0004-0000-1200-0000D3010000}"/>
    <hyperlink ref="K472" r:id="rId469" xr:uid="{00000000-0004-0000-1200-0000D4010000}"/>
    <hyperlink ref="K473" r:id="rId470" xr:uid="{00000000-0004-0000-1200-0000D5010000}"/>
    <hyperlink ref="K474" r:id="rId471" xr:uid="{00000000-0004-0000-1200-0000D6010000}"/>
    <hyperlink ref="K475" r:id="rId472" xr:uid="{00000000-0004-0000-1200-0000D7010000}"/>
    <hyperlink ref="K476" r:id="rId473" xr:uid="{00000000-0004-0000-1200-0000D8010000}"/>
    <hyperlink ref="K477" r:id="rId474" xr:uid="{00000000-0004-0000-1200-0000D9010000}"/>
    <hyperlink ref="K478" r:id="rId475" xr:uid="{00000000-0004-0000-1200-0000DA010000}"/>
    <hyperlink ref="K479" r:id="rId476" xr:uid="{00000000-0004-0000-1200-0000DB010000}"/>
    <hyperlink ref="K480" r:id="rId477" xr:uid="{00000000-0004-0000-1200-0000DC010000}"/>
    <hyperlink ref="K481" r:id="rId478" xr:uid="{00000000-0004-0000-1200-0000DD010000}"/>
    <hyperlink ref="K482" r:id="rId479" xr:uid="{00000000-0004-0000-1200-0000DE010000}"/>
    <hyperlink ref="K483" r:id="rId480" xr:uid="{00000000-0004-0000-1200-0000DF010000}"/>
    <hyperlink ref="K484" r:id="rId481" xr:uid="{00000000-0004-0000-1200-0000E0010000}"/>
    <hyperlink ref="K485" r:id="rId482" xr:uid="{00000000-0004-0000-1200-0000E1010000}"/>
    <hyperlink ref="K486" r:id="rId483" xr:uid="{00000000-0004-0000-1200-0000E2010000}"/>
    <hyperlink ref="K487" r:id="rId484" xr:uid="{00000000-0004-0000-1200-0000E3010000}"/>
    <hyperlink ref="K488" r:id="rId485" xr:uid="{00000000-0004-0000-1200-0000E4010000}"/>
    <hyperlink ref="K489" r:id="rId486" xr:uid="{00000000-0004-0000-1200-0000E5010000}"/>
    <hyperlink ref="K490" r:id="rId487" xr:uid="{00000000-0004-0000-1200-0000E6010000}"/>
    <hyperlink ref="K491" r:id="rId488" xr:uid="{00000000-0004-0000-1200-0000E7010000}"/>
    <hyperlink ref="K492" r:id="rId489" xr:uid="{00000000-0004-0000-1200-0000E8010000}"/>
    <hyperlink ref="K493" r:id="rId490" xr:uid="{00000000-0004-0000-1200-0000E9010000}"/>
    <hyperlink ref="K494" r:id="rId491" xr:uid="{00000000-0004-0000-1200-0000EA010000}"/>
    <hyperlink ref="K495" r:id="rId492" xr:uid="{00000000-0004-0000-1200-0000EB010000}"/>
    <hyperlink ref="K496" r:id="rId493" xr:uid="{00000000-0004-0000-1200-0000EC010000}"/>
    <hyperlink ref="K497" r:id="rId494" xr:uid="{00000000-0004-0000-1200-0000ED010000}"/>
    <hyperlink ref="K498" r:id="rId495" xr:uid="{00000000-0004-0000-1200-0000EE010000}"/>
    <hyperlink ref="K499" r:id="rId496" xr:uid="{00000000-0004-0000-1200-0000EF010000}"/>
    <hyperlink ref="K500" r:id="rId497" xr:uid="{00000000-0004-0000-1200-0000F0010000}"/>
    <hyperlink ref="K501" r:id="rId498" xr:uid="{00000000-0004-0000-1200-0000F1010000}"/>
    <hyperlink ref="K502" r:id="rId499" xr:uid="{00000000-0004-0000-1200-0000F2010000}"/>
    <hyperlink ref="K503" r:id="rId500" xr:uid="{00000000-0004-0000-1200-0000F3010000}"/>
    <hyperlink ref="K504" r:id="rId501" xr:uid="{00000000-0004-0000-1200-0000F4010000}"/>
    <hyperlink ref="K505" r:id="rId502" xr:uid="{00000000-0004-0000-1200-0000F5010000}"/>
    <hyperlink ref="K506" r:id="rId503" xr:uid="{00000000-0004-0000-1200-0000F6010000}"/>
    <hyperlink ref="K507" r:id="rId504" xr:uid="{00000000-0004-0000-1200-0000F7010000}"/>
    <hyperlink ref="K508" r:id="rId505" xr:uid="{00000000-0004-0000-1200-0000F8010000}"/>
    <hyperlink ref="K509" r:id="rId506" xr:uid="{00000000-0004-0000-1200-0000F9010000}"/>
    <hyperlink ref="K510" r:id="rId507" xr:uid="{00000000-0004-0000-1200-0000FA010000}"/>
    <hyperlink ref="K511" r:id="rId508" xr:uid="{00000000-0004-0000-1200-0000FB010000}"/>
    <hyperlink ref="K512" r:id="rId509" xr:uid="{00000000-0004-0000-1200-0000FC010000}"/>
    <hyperlink ref="K513" r:id="rId510" xr:uid="{00000000-0004-0000-1200-0000FD010000}"/>
    <hyperlink ref="K514" r:id="rId511" xr:uid="{00000000-0004-0000-1200-0000FE010000}"/>
    <hyperlink ref="K515" r:id="rId512" xr:uid="{00000000-0004-0000-1200-0000FF010000}"/>
    <hyperlink ref="K516" r:id="rId513" xr:uid="{00000000-0004-0000-1200-000000020000}"/>
    <hyperlink ref="K517" r:id="rId514" xr:uid="{00000000-0004-0000-1200-000001020000}"/>
    <hyperlink ref="K518" r:id="rId515" xr:uid="{00000000-0004-0000-1200-000002020000}"/>
    <hyperlink ref="K519" r:id="rId516" xr:uid="{00000000-0004-0000-1200-000003020000}"/>
    <hyperlink ref="K520" r:id="rId517" xr:uid="{00000000-0004-0000-1200-000004020000}"/>
    <hyperlink ref="K521" r:id="rId518" xr:uid="{00000000-0004-0000-1200-000005020000}"/>
    <hyperlink ref="K522" r:id="rId519" xr:uid="{00000000-0004-0000-1200-000006020000}"/>
    <hyperlink ref="K523" r:id="rId520" xr:uid="{00000000-0004-0000-1200-000007020000}"/>
    <hyperlink ref="K524" r:id="rId521" xr:uid="{00000000-0004-0000-1200-000008020000}"/>
    <hyperlink ref="K525" r:id="rId522" xr:uid="{00000000-0004-0000-1200-000009020000}"/>
    <hyperlink ref="K526" r:id="rId523" xr:uid="{00000000-0004-0000-1200-00000A020000}"/>
    <hyperlink ref="K527" r:id="rId524" xr:uid="{00000000-0004-0000-1200-00000B020000}"/>
    <hyperlink ref="K528" r:id="rId525" xr:uid="{00000000-0004-0000-1200-00000C020000}"/>
    <hyperlink ref="K529" r:id="rId526" xr:uid="{00000000-0004-0000-1200-00000D020000}"/>
    <hyperlink ref="K530" r:id="rId527" xr:uid="{00000000-0004-0000-1200-00000E020000}"/>
    <hyperlink ref="K531" r:id="rId528" xr:uid="{00000000-0004-0000-1200-00000F020000}"/>
    <hyperlink ref="K532" r:id="rId529" xr:uid="{00000000-0004-0000-1200-000010020000}"/>
    <hyperlink ref="K533" r:id="rId530" xr:uid="{00000000-0004-0000-1200-000011020000}"/>
    <hyperlink ref="K534" r:id="rId531" xr:uid="{00000000-0004-0000-1200-000012020000}"/>
    <hyperlink ref="K535" r:id="rId532" xr:uid="{00000000-0004-0000-1200-000013020000}"/>
    <hyperlink ref="K536" r:id="rId533" xr:uid="{00000000-0004-0000-1200-000014020000}"/>
    <hyperlink ref="K537" r:id="rId534" xr:uid="{00000000-0004-0000-1200-000015020000}"/>
    <hyperlink ref="K538" r:id="rId535" xr:uid="{00000000-0004-0000-1200-000016020000}"/>
    <hyperlink ref="K539" r:id="rId536" xr:uid="{00000000-0004-0000-1200-000017020000}"/>
    <hyperlink ref="K540" r:id="rId537" xr:uid="{00000000-0004-0000-1200-000018020000}"/>
    <hyperlink ref="K541" r:id="rId538" xr:uid="{00000000-0004-0000-1200-000019020000}"/>
    <hyperlink ref="K542" r:id="rId539" xr:uid="{00000000-0004-0000-1200-00001A020000}"/>
    <hyperlink ref="K543" r:id="rId540" xr:uid="{00000000-0004-0000-1200-00001B020000}"/>
    <hyperlink ref="K544" r:id="rId541" xr:uid="{00000000-0004-0000-1200-00001C020000}"/>
    <hyperlink ref="K545" r:id="rId542" xr:uid="{00000000-0004-0000-1200-00001D020000}"/>
    <hyperlink ref="K546" r:id="rId543" xr:uid="{00000000-0004-0000-1200-00001E020000}"/>
    <hyperlink ref="K547" r:id="rId544" xr:uid="{00000000-0004-0000-1200-00001F020000}"/>
    <hyperlink ref="K548" r:id="rId545" xr:uid="{00000000-0004-0000-1200-000020020000}"/>
    <hyperlink ref="K549" r:id="rId546" xr:uid="{00000000-0004-0000-1200-000021020000}"/>
    <hyperlink ref="K550" r:id="rId547" xr:uid="{00000000-0004-0000-1200-000022020000}"/>
    <hyperlink ref="K551" r:id="rId548" xr:uid="{00000000-0004-0000-1200-000023020000}"/>
    <hyperlink ref="K552" r:id="rId549" xr:uid="{00000000-0004-0000-1200-000024020000}"/>
    <hyperlink ref="K553" r:id="rId550" xr:uid="{00000000-0004-0000-1200-000025020000}"/>
    <hyperlink ref="K554" r:id="rId551" xr:uid="{00000000-0004-0000-1200-000026020000}"/>
    <hyperlink ref="K555" r:id="rId552" xr:uid="{00000000-0004-0000-1200-000027020000}"/>
    <hyperlink ref="K556" r:id="rId553" xr:uid="{00000000-0004-0000-1200-000028020000}"/>
    <hyperlink ref="K557" r:id="rId554" xr:uid="{00000000-0004-0000-1200-000029020000}"/>
    <hyperlink ref="K558" r:id="rId555" xr:uid="{00000000-0004-0000-1200-00002A020000}"/>
    <hyperlink ref="K559" r:id="rId556" xr:uid="{00000000-0004-0000-1200-00002B020000}"/>
    <hyperlink ref="K560" r:id="rId557" xr:uid="{00000000-0004-0000-1200-00002C020000}"/>
    <hyperlink ref="K561" r:id="rId558" xr:uid="{00000000-0004-0000-1200-00002D020000}"/>
    <hyperlink ref="K562" r:id="rId559" xr:uid="{00000000-0004-0000-1200-00002E020000}"/>
    <hyperlink ref="K563" r:id="rId560" xr:uid="{00000000-0004-0000-1200-00002F020000}"/>
    <hyperlink ref="K564" r:id="rId561" xr:uid="{00000000-0004-0000-1200-000030020000}"/>
    <hyperlink ref="K565" r:id="rId562" xr:uid="{00000000-0004-0000-1200-000031020000}"/>
    <hyperlink ref="K566" r:id="rId563" xr:uid="{00000000-0004-0000-1200-000032020000}"/>
    <hyperlink ref="K567" r:id="rId564" xr:uid="{00000000-0004-0000-1200-000033020000}"/>
    <hyperlink ref="K568" r:id="rId565" xr:uid="{00000000-0004-0000-1200-000034020000}"/>
    <hyperlink ref="K569" r:id="rId566" xr:uid="{00000000-0004-0000-1200-000035020000}"/>
    <hyperlink ref="K570" r:id="rId567" xr:uid="{00000000-0004-0000-1200-000036020000}"/>
    <hyperlink ref="K571" r:id="rId568" xr:uid="{00000000-0004-0000-1200-000037020000}"/>
    <hyperlink ref="K572" r:id="rId569" xr:uid="{00000000-0004-0000-1200-000038020000}"/>
    <hyperlink ref="K573" r:id="rId570" xr:uid="{00000000-0004-0000-1200-000039020000}"/>
    <hyperlink ref="K574" r:id="rId571" xr:uid="{00000000-0004-0000-1200-00003A020000}"/>
    <hyperlink ref="K575" r:id="rId572" xr:uid="{00000000-0004-0000-1200-00003B020000}"/>
    <hyperlink ref="K576" r:id="rId573" xr:uid="{00000000-0004-0000-1200-00003C020000}"/>
    <hyperlink ref="K577" r:id="rId574" xr:uid="{00000000-0004-0000-1200-00003D020000}"/>
    <hyperlink ref="K578" r:id="rId575" xr:uid="{00000000-0004-0000-1200-00003E020000}"/>
    <hyperlink ref="K579" r:id="rId576" xr:uid="{00000000-0004-0000-1200-00003F020000}"/>
    <hyperlink ref="K580" r:id="rId577" xr:uid="{00000000-0004-0000-1200-000040020000}"/>
    <hyperlink ref="K581" r:id="rId578" xr:uid="{00000000-0004-0000-1200-000041020000}"/>
    <hyperlink ref="K582" r:id="rId579" xr:uid="{00000000-0004-0000-1200-000042020000}"/>
    <hyperlink ref="K583" r:id="rId580" xr:uid="{00000000-0004-0000-1200-000043020000}"/>
    <hyperlink ref="K584" r:id="rId581" xr:uid="{00000000-0004-0000-1200-000044020000}"/>
    <hyperlink ref="K585" r:id="rId582" xr:uid="{00000000-0004-0000-1200-000045020000}"/>
    <hyperlink ref="K586" r:id="rId583" xr:uid="{00000000-0004-0000-1200-000046020000}"/>
    <hyperlink ref="K587" r:id="rId584" xr:uid="{00000000-0004-0000-1200-000047020000}"/>
    <hyperlink ref="K588" r:id="rId585" xr:uid="{00000000-0004-0000-1200-000048020000}"/>
    <hyperlink ref="K589" r:id="rId586" xr:uid="{00000000-0004-0000-1200-000049020000}"/>
    <hyperlink ref="K590" r:id="rId587" xr:uid="{00000000-0004-0000-1200-00004A020000}"/>
    <hyperlink ref="K591" r:id="rId588" xr:uid="{00000000-0004-0000-1200-00004B020000}"/>
    <hyperlink ref="K592" r:id="rId589" xr:uid="{00000000-0004-0000-1200-00004C020000}"/>
    <hyperlink ref="K593" r:id="rId590" xr:uid="{00000000-0004-0000-1200-00004D020000}"/>
    <hyperlink ref="K594" r:id="rId591" xr:uid="{00000000-0004-0000-1200-00004E020000}"/>
    <hyperlink ref="K595" r:id="rId592" xr:uid="{00000000-0004-0000-1200-00004F020000}"/>
    <hyperlink ref="K596" r:id="rId593" xr:uid="{00000000-0004-0000-1200-000050020000}"/>
    <hyperlink ref="K597" r:id="rId594" xr:uid="{00000000-0004-0000-1200-000051020000}"/>
    <hyperlink ref="K598" r:id="rId595" xr:uid="{00000000-0004-0000-1200-000052020000}"/>
    <hyperlink ref="K599" r:id="rId596" xr:uid="{00000000-0004-0000-1200-000053020000}"/>
    <hyperlink ref="K600" r:id="rId597" xr:uid="{00000000-0004-0000-1200-000054020000}"/>
    <hyperlink ref="K601" r:id="rId598" xr:uid="{00000000-0004-0000-1200-000055020000}"/>
    <hyperlink ref="K602" r:id="rId599" xr:uid="{00000000-0004-0000-1200-000056020000}"/>
    <hyperlink ref="K603" r:id="rId600" xr:uid="{00000000-0004-0000-1200-000057020000}"/>
    <hyperlink ref="K604" r:id="rId601" xr:uid="{00000000-0004-0000-1200-000058020000}"/>
    <hyperlink ref="K605" r:id="rId602" xr:uid="{00000000-0004-0000-1200-000059020000}"/>
    <hyperlink ref="K606" r:id="rId603" xr:uid="{00000000-0004-0000-1200-00005A020000}"/>
    <hyperlink ref="K607" r:id="rId604" xr:uid="{00000000-0004-0000-1200-00005B020000}"/>
    <hyperlink ref="K608" r:id="rId605" xr:uid="{00000000-0004-0000-1200-00005C020000}"/>
    <hyperlink ref="K609" r:id="rId606" xr:uid="{00000000-0004-0000-1200-00005D020000}"/>
    <hyperlink ref="K610" r:id="rId607" xr:uid="{00000000-0004-0000-1200-00005E020000}"/>
    <hyperlink ref="K611" r:id="rId608" xr:uid="{00000000-0004-0000-1200-00005F020000}"/>
    <hyperlink ref="K612" r:id="rId609" xr:uid="{00000000-0004-0000-1200-000060020000}"/>
    <hyperlink ref="K613" r:id="rId610" xr:uid="{00000000-0004-0000-1200-000061020000}"/>
    <hyperlink ref="K614" r:id="rId611" xr:uid="{00000000-0004-0000-1200-000062020000}"/>
    <hyperlink ref="K615" r:id="rId612" xr:uid="{00000000-0004-0000-1200-000063020000}"/>
    <hyperlink ref="K616" r:id="rId613" xr:uid="{00000000-0004-0000-1200-000064020000}"/>
    <hyperlink ref="K617" r:id="rId614" xr:uid="{00000000-0004-0000-1200-000065020000}"/>
    <hyperlink ref="K618" r:id="rId615" xr:uid="{00000000-0004-0000-1200-000066020000}"/>
    <hyperlink ref="K619" r:id="rId616" xr:uid="{00000000-0004-0000-1200-000067020000}"/>
    <hyperlink ref="K620" r:id="rId617" xr:uid="{00000000-0004-0000-1200-000068020000}"/>
    <hyperlink ref="K621" r:id="rId618" xr:uid="{00000000-0004-0000-1200-000069020000}"/>
    <hyperlink ref="K622" r:id="rId619" xr:uid="{00000000-0004-0000-1200-00006A020000}"/>
    <hyperlink ref="K623" r:id="rId620" xr:uid="{00000000-0004-0000-1200-00006B020000}"/>
    <hyperlink ref="K624" r:id="rId621" xr:uid="{00000000-0004-0000-1200-00006C020000}"/>
    <hyperlink ref="K625" r:id="rId622" xr:uid="{00000000-0004-0000-1200-00006D020000}"/>
    <hyperlink ref="K626" r:id="rId623" xr:uid="{00000000-0004-0000-1200-00006E020000}"/>
    <hyperlink ref="K627" r:id="rId624" xr:uid="{00000000-0004-0000-1200-00006F020000}"/>
    <hyperlink ref="K628" r:id="rId625" xr:uid="{00000000-0004-0000-1200-000070020000}"/>
    <hyperlink ref="K629" r:id="rId626" xr:uid="{00000000-0004-0000-1200-000071020000}"/>
    <hyperlink ref="K630" r:id="rId627" xr:uid="{00000000-0004-0000-1200-000072020000}"/>
    <hyperlink ref="K631" r:id="rId628" xr:uid="{00000000-0004-0000-1200-000073020000}"/>
    <hyperlink ref="K632" r:id="rId629" xr:uid="{00000000-0004-0000-1200-000074020000}"/>
    <hyperlink ref="K633" r:id="rId630" xr:uid="{00000000-0004-0000-1200-000075020000}"/>
    <hyperlink ref="K634" r:id="rId631" xr:uid="{00000000-0004-0000-1200-000076020000}"/>
    <hyperlink ref="K635" r:id="rId632" xr:uid="{00000000-0004-0000-1200-000077020000}"/>
    <hyperlink ref="K636" r:id="rId633" xr:uid="{00000000-0004-0000-1200-000078020000}"/>
    <hyperlink ref="K637" r:id="rId634" xr:uid="{00000000-0004-0000-1200-000079020000}"/>
    <hyperlink ref="K638" r:id="rId635" xr:uid="{00000000-0004-0000-1200-00007A020000}"/>
    <hyperlink ref="K639" r:id="rId636" xr:uid="{00000000-0004-0000-1200-00007B020000}"/>
    <hyperlink ref="K640" r:id="rId637" xr:uid="{00000000-0004-0000-1200-00007C020000}"/>
    <hyperlink ref="K641" r:id="rId638" xr:uid="{00000000-0004-0000-1200-00007D020000}"/>
    <hyperlink ref="K642" r:id="rId639" xr:uid="{00000000-0004-0000-1200-00007E020000}"/>
    <hyperlink ref="K643" r:id="rId640" xr:uid="{00000000-0004-0000-1200-00007F020000}"/>
    <hyperlink ref="K644" r:id="rId641" xr:uid="{00000000-0004-0000-1200-000080020000}"/>
    <hyperlink ref="K645" r:id="rId642" xr:uid="{00000000-0004-0000-1200-000081020000}"/>
    <hyperlink ref="K646" r:id="rId643" xr:uid="{00000000-0004-0000-1200-000082020000}"/>
    <hyperlink ref="K647" r:id="rId644" xr:uid="{00000000-0004-0000-1200-000083020000}"/>
    <hyperlink ref="K648" r:id="rId645" xr:uid="{00000000-0004-0000-1200-000084020000}"/>
    <hyperlink ref="K649" r:id="rId646" xr:uid="{00000000-0004-0000-1200-000085020000}"/>
    <hyperlink ref="K650" r:id="rId647" xr:uid="{00000000-0004-0000-1200-00008602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BC664"/>
  <sheetViews>
    <sheetView workbookViewId="0"/>
  </sheetViews>
  <sheetFormatPr defaultColWidth="12.5703125" defaultRowHeight="15.75" customHeight="1"/>
  <cols>
    <col min="4" max="4" width="28.85546875" customWidth="1"/>
  </cols>
  <sheetData>
    <row r="1" spans="1:55">
      <c r="A1" s="5815" t="s">
        <v>13059</v>
      </c>
      <c r="B1" s="5815" t="s">
        <v>13060</v>
      </c>
      <c r="C1" s="5815" t="s">
        <v>13063</v>
      </c>
      <c r="D1" s="5815" t="s">
        <v>13064</v>
      </c>
      <c r="E1" s="5815" t="s">
        <v>13065</v>
      </c>
      <c r="F1" s="5815" t="s">
        <v>13060</v>
      </c>
      <c r="G1" s="5815" t="s">
        <v>1523</v>
      </c>
      <c r="H1" s="5815" t="s">
        <v>46</v>
      </c>
      <c r="I1" s="5815" t="s">
        <v>1522</v>
      </c>
      <c r="J1" s="5815" t="s">
        <v>13062</v>
      </c>
      <c r="K1" s="5815"/>
      <c r="L1" s="5815"/>
      <c r="M1" s="5815"/>
      <c r="N1" s="5815"/>
      <c r="O1" s="5815"/>
      <c r="P1" s="5815"/>
      <c r="Q1" s="5815"/>
      <c r="R1" s="5815"/>
      <c r="S1" s="5815"/>
      <c r="T1" s="5816"/>
      <c r="U1" s="5815"/>
      <c r="V1" s="5815"/>
      <c r="W1" s="5815"/>
      <c r="X1" s="5815"/>
      <c r="Y1" s="5815"/>
      <c r="Z1" s="5815"/>
      <c r="AA1" s="5815"/>
      <c r="AB1" s="5815"/>
      <c r="AC1" s="5815"/>
      <c r="AD1" s="5815"/>
      <c r="AE1" s="5815"/>
      <c r="AF1" s="5815"/>
      <c r="AG1" s="5815"/>
      <c r="AH1" s="5815"/>
      <c r="AI1" s="5815"/>
      <c r="AJ1" s="5815"/>
      <c r="AK1" s="5815"/>
      <c r="AL1" s="5815"/>
      <c r="AM1" s="5815"/>
      <c r="AN1" s="5815"/>
      <c r="AO1" s="5815"/>
      <c r="AP1" s="5815"/>
      <c r="AQ1" s="5815"/>
      <c r="AR1" s="5815"/>
      <c r="AS1" s="5815"/>
      <c r="AT1" s="5815"/>
      <c r="AU1" s="5815"/>
      <c r="AV1" s="5815"/>
      <c r="AW1" s="5815"/>
      <c r="AX1" s="5815"/>
      <c r="AY1" s="5815"/>
      <c r="AZ1" s="5815"/>
      <c r="BA1" s="5815"/>
      <c r="BB1" s="5815"/>
      <c r="BC1" s="620"/>
    </row>
    <row r="2" spans="1:55">
      <c r="A2" s="5817">
        <f>COUNTA(A4:A999)</f>
        <v>661</v>
      </c>
      <c r="B2" s="5822">
        <f>COUNTIF($E$3:$E$800, "Decision*")</f>
        <v>314</v>
      </c>
      <c r="C2" s="5818">
        <f>SUM(B2/$A$2)</f>
        <v>0.4750378214826021</v>
      </c>
      <c r="D2" s="5818">
        <f t="shared" ref="D2:E2" si="0">SUM(G2/$A$2)</f>
        <v>0.18154311649016641</v>
      </c>
      <c r="E2" s="5818">
        <f t="shared" si="0"/>
        <v>0.31921331316187596</v>
      </c>
      <c r="F2" s="5822">
        <f>COUNTIF($E$3:$E$999, "Decision*")</f>
        <v>314</v>
      </c>
      <c r="G2" s="5823">
        <f>COUNTIF($E$3:$E$999, "Submission")</f>
        <v>120</v>
      </c>
      <c r="H2" s="5817">
        <f>COUNTIF($E$3:$E$1000, "KO/TKO")</f>
        <v>211</v>
      </c>
      <c r="I2" s="5823">
        <f>COUNTIF($E$3:$E$999, "Decision - Unanimous")</f>
        <v>238</v>
      </c>
      <c r="J2" s="5819">
        <f>COUNTIF($E$3:$E$999, "Decision - Split")</f>
        <v>63</v>
      </c>
      <c r="K2" s="5824"/>
      <c r="L2" s="5820"/>
      <c r="M2" s="5820"/>
      <c r="N2" s="5820"/>
      <c r="O2" s="5820"/>
      <c r="P2" s="5820"/>
      <c r="Q2" s="5820"/>
      <c r="R2" s="5820"/>
      <c r="S2" s="5820"/>
      <c r="T2" s="5821"/>
      <c r="U2" s="5820"/>
      <c r="V2" s="5820"/>
      <c r="W2" s="5820"/>
      <c r="X2" s="5820"/>
      <c r="Y2" s="5820"/>
      <c r="Z2" s="5820"/>
      <c r="AA2" s="5820"/>
      <c r="AB2" s="5820"/>
      <c r="AC2" s="5820"/>
      <c r="AD2" s="5820"/>
      <c r="AE2" s="5820"/>
      <c r="AF2" s="5820"/>
      <c r="AG2" s="5820"/>
      <c r="AH2" s="5820"/>
      <c r="AI2" s="5820"/>
      <c r="AJ2" s="5820"/>
      <c r="AK2" s="5820"/>
      <c r="AL2" s="5820"/>
      <c r="AM2" s="5820"/>
      <c r="AN2" s="5820"/>
      <c r="AO2" s="5820"/>
      <c r="AP2" s="5820"/>
      <c r="AQ2" s="5820"/>
      <c r="AR2" s="5820"/>
      <c r="AS2" s="5820"/>
      <c r="AT2" s="5820"/>
      <c r="AU2" s="5820"/>
      <c r="AV2" s="5820"/>
      <c r="AW2" s="5820"/>
      <c r="AX2" s="5820"/>
      <c r="AY2" s="5820"/>
      <c r="AZ2" s="5820"/>
      <c r="BA2" s="5820"/>
      <c r="BB2" s="5820"/>
      <c r="BC2" s="620"/>
    </row>
    <row r="3" spans="1:55">
      <c r="A3" s="21" t="s">
        <v>2034</v>
      </c>
      <c r="B3" s="21" t="s">
        <v>2035</v>
      </c>
      <c r="C3" s="21" t="s">
        <v>2036</v>
      </c>
      <c r="D3" s="21" t="s">
        <v>2037</v>
      </c>
      <c r="E3" s="21" t="s">
        <v>2038</v>
      </c>
      <c r="F3" s="21" t="s">
        <v>2039</v>
      </c>
      <c r="G3" s="21" t="s">
        <v>2040</v>
      </c>
      <c r="H3" s="21" t="s">
        <v>2041</v>
      </c>
      <c r="I3" s="21" t="s">
        <v>2042</v>
      </c>
      <c r="J3" s="21" t="s">
        <v>2043</v>
      </c>
      <c r="K3" s="21" t="s">
        <v>2044</v>
      </c>
    </row>
    <row r="4" spans="1:55">
      <c r="A4" s="21" t="s">
        <v>3039</v>
      </c>
      <c r="B4" s="21" t="s">
        <v>6966</v>
      </c>
      <c r="C4" s="21" t="s">
        <v>179</v>
      </c>
      <c r="D4" s="21" t="s">
        <v>701</v>
      </c>
      <c r="E4" s="21" t="s">
        <v>180</v>
      </c>
      <c r="F4" s="5812">
        <v>1</v>
      </c>
      <c r="G4" s="5813">
        <v>0.19097222222222221</v>
      </c>
      <c r="H4" s="21" t="s">
        <v>10</v>
      </c>
      <c r="I4" s="21" t="s">
        <v>11</v>
      </c>
      <c r="J4" s="21" t="s">
        <v>6967</v>
      </c>
      <c r="K4" s="5814" t="s">
        <v>6968</v>
      </c>
    </row>
    <row r="5" spans="1:55">
      <c r="A5" s="21" t="s">
        <v>3690</v>
      </c>
      <c r="B5" s="21" t="s">
        <v>6969</v>
      </c>
      <c r="C5" s="21" t="s">
        <v>179</v>
      </c>
      <c r="D5" s="21" t="s">
        <v>701</v>
      </c>
      <c r="E5" s="21" t="s">
        <v>180</v>
      </c>
      <c r="F5" s="5812">
        <v>2</v>
      </c>
      <c r="G5" s="5813">
        <v>9.3055555555555558E-2</v>
      </c>
      <c r="H5" s="21" t="s">
        <v>10</v>
      </c>
      <c r="I5" s="21" t="s">
        <v>23</v>
      </c>
      <c r="J5" s="21" t="s">
        <v>6970</v>
      </c>
      <c r="K5" s="5814" t="s">
        <v>6971</v>
      </c>
    </row>
    <row r="6" spans="1:55">
      <c r="A6" s="21" t="s">
        <v>4321</v>
      </c>
      <c r="B6" s="21" t="s">
        <v>6972</v>
      </c>
      <c r="C6" s="21" t="s">
        <v>179</v>
      </c>
      <c r="D6" s="21" t="s">
        <v>701</v>
      </c>
      <c r="E6" s="21" t="s">
        <v>180</v>
      </c>
      <c r="F6" s="5812">
        <v>2</v>
      </c>
      <c r="G6" s="5813">
        <v>0.16805555555555557</v>
      </c>
      <c r="H6" s="21" t="s">
        <v>10</v>
      </c>
      <c r="I6" s="21" t="s">
        <v>55</v>
      </c>
      <c r="J6" s="21" t="s">
        <v>6973</v>
      </c>
      <c r="K6" s="5814" t="s">
        <v>6974</v>
      </c>
    </row>
    <row r="7" spans="1:55">
      <c r="A7" s="21" t="s">
        <v>223</v>
      </c>
      <c r="B7" s="21" t="s">
        <v>708</v>
      </c>
      <c r="C7" s="21" t="s">
        <v>709</v>
      </c>
      <c r="D7" s="21" t="s">
        <v>701</v>
      </c>
      <c r="E7" s="21" t="s">
        <v>710</v>
      </c>
      <c r="F7" s="5812">
        <v>3</v>
      </c>
      <c r="G7" s="5813">
        <v>0.20833333333333334</v>
      </c>
      <c r="H7" s="21" t="s">
        <v>10</v>
      </c>
      <c r="I7" s="21" t="s">
        <v>11</v>
      </c>
      <c r="J7" s="21" t="s">
        <v>711</v>
      </c>
      <c r="K7" s="5814" t="s">
        <v>712</v>
      </c>
    </row>
    <row r="8" spans="1:55">
      <c r="A8" s="21" t="s">
        <v>3671</v>
      </c>
      <c r="B8" s="21" t="s">
        <v>6975</v>
      </c>
      <c r="C8" s="21" t="s">
        <v>8</v>
      </c>
      <c r="D8" s="21" t="s">
        <v>701</v>
      </c>
      <c r="E8" s="21" t="s">
        <v>710</v>
      </c>
      <c r="F8" s="5812">
        <v>3</v>
      </c>
      <c r="G8" s="5813">
        <v>0.20833333333333334</v>
      </c>
      <c r="H8" s="21" t="s">
        <v>10</v>
      </c>
      <c r="I8" s="21" t="s">
        <v>47</v>
      </c>
      <c r="J8" s="21" t="s">
        <v>6976</v>
      </c>
      <c r="K8" s="5814" t="s">
        <v>6977</v>
      </c>
    </row>
    <row r="9" spans="1:55">
      <c r="A9" s="21" t="s">
        <v>3671</v>
      </c>
      <c r="B9" s="21" t="s">
        <v>6978</v>
      </c>
      <c r="C9" s="21" t="s">
        <v>709</v>
      </c>
      <c r="D9" s="21" t="s">
        <v>701</v>
      </c>
      <c r="E9" s="21" t="s">
        <v>710</v>
      </c>
      <c r="F9" s="5812">
        <v>3</v>
      </c>
      <c r="G9" s="5813">
        <v>0.20833333333333334</v>
      </c>
      <c r="H9" s="21" t="s">
        <v>10</v>
      </c>
      <c r="I9" s="21" t="s">
        <v>2814</v>
      </c>
      <c r="J9" s="21" t="s">
        <v>6979</v>
      </c>
      <c r="K9" s="5814" t="s">
        <v>6980</v>
      </c>
    </row>
    <row r="10" spans="1:55">
      <c r="A10" s="21" t="s">
        <v>3474</v>
      </c>
      <c r="B10" s="21" t="s">
        <v>6981</v>
      </c>
      <c r="C10" s="21" t="s">
        <v>22</v>
      </c>
      <c r="D10" s="21" t="s">
        <v>701</v>
      </c>
      <c r="E10" s="21" t="s">
        <v>710</v>
      </c>
      <c r="F10" s="5812">
        <v>3</v>
      </c>
      <c r="G10" s="5813">
        <v>0.20833333333333334</v>
      </c>
      <c r="H10" s="21" t="s">
        <v>10</v>
      </c>
      <c r="I10" s="21" t="s">
        <v>39</v>
      </c>
      <c r="J10" s="21" t="s">
        <v>6982</v>
      </c>
      <c r="K10" s="5814" t="s">
        <v>6983</v>
      </c>
    </row>
    <row r="11" spans="1:55">
      <c r="A11" s="21" t="s">
        <v>2955</v>
      </c>
      <c r="B11" s="21" t="s">
        <v>6984</v>
      </c>
      <c r="C11" s="21" t="s">
        <v>8</v>
      </c>
      <c r="D11" s="21" t="s">
        <v>701</v>
      </c>
      <c r="E11" s="21" t="s">
        <v>710</v>
      </c>
      <c r="F11" s="5812">
        <v>3</v>
      </c>
      <c r="G11" s="5813">
        <v>0.20833333333333334</v>
      </c>
      <c r="H11" s="21" t="s">
        <v>10</v>
      </c>
      <c r="I11" s="21" t="s">
        <v>23</v>
      </c>
      <c r="J11" s="21" t="s">
        <v>6985</v>
      </c>
      <c r="K11" s="5814" t="s">
        <v>6986</v>
      </c>
    </row>
    <row r="12" spans="1:55">
      <c r="A12" s="21" t="s">
        <v>2467</v>
      </c>
      <c r="B12" s="21" t="s">
        <v>6987</v>
      </c>
      <c r="C12" s="21" t="s">
        <v>709</v>
      </c>
      <c r="D12" s="21" t="s">
        <v>701</v>
      </c>
      <c r="E12" s="21" t="s">
        <v>710</v>
      </c>
      <c r="F12" s="5812">
        <v>3</v>
      </c>
      <c r="G12" s="5813">
        <v>0.20833333333333334</v>
      </c>
      <c r="H12" s="21" t="s">
        <v>10</v>
      </c>
      <c r="I12" s="21" t="s">
        <v>89</v>
      </c>
      <c r="J12" s="21" t="s">
        <v>6988</v>
      </c>
      <c r="K12" s="5814" t="s">
        <v>6989</v>
      </c>
    </row>
    <row r="13" spans="1:55">
      <c r="A13" s="21" t="s">
        <v>3984</v>
      </c>
      <c r="B13" s="21" t="s">
        <v>6990</v>
      </c>
      <c r="C13" s="21" t="s">
        <v>8</v>
      </c>
      <c r="D13" s="21" t="s">
        <v>701</v>
      </c>
      <c r="E13" s="21" t="s">
        <v>710</v>
      </c>
      <c r="F13" s="5812">
        <v>3</v>
      </c>
      <c r="G13" s="5813">
        <v>0.20833333333333334</v>
      </c>
      <c r="H13" s="21" t="s">
        <v>10</v>
      </c>
      <c r="I13" s="21" t="s">
        <v>89</v>
      </c>
      <c r="J13" s="21" t="s">
        <v>6991</v>
      </c>
      <c r="K13" s="5814" t="s">
        <v>6992</v>
      </c>
    </row>
    <row r="14" spans="1:55">
      <c r="A14" s="21" t="s">
        <v>4139</v>
      </c>
      <c r="B14" s="21" t="s">
        <v>6993</v>
      </c>
      <c r="C14" s="21" t="s">
        <v>22</v>
      </c>
      <c r="D14" s="21" t="s">
        <v>701</v>
      </c>
      <c r="E14" s="21" t="s">
        <v>710</v>
      </c>
      <c r="F14" s="5812">
        <v>3</v>
      </c>
      <c r="G14" s="5813">
        <v>0.20833333333333334</v>
      </c>
      <c r="H14" s="21" t="s">
        <v>10</v>
      </c>
      <c r="I14" s="21" t="s">
        <v>2713</v>
      </c>
      <c r="J14" s="21" t="s">
        <v>6994</v>
      </c>
      <c r="K14" s="5814" t="s">
        <v>6995</v>
      </c>
    </row>
    <row r="15" spans="1:55">
      <c r="A15" s="21" t="s">
        <v>3741</v>
      </c>
      <c r="B15" s="21" t="s">
        <v>6996</v>
      </c>
      <c r="C15" s="21" t="s">
        <v>709</v>
      </c>
      <c r="D15" s="21" t="s">
        <v>701</v>
      </c>
      <c r="E15" s="21" t="s">
        <v>710</v>
      </c>
      <c r="F15" s="5812">
        <v>3</v>
      </c>
      <c r="G15" s="5813">
        <v>0.20833333333333334</v>
      </c>
      <c r="H15" s="21" t="s">
        <v>10</v>
      </c>
      <c r="I15" s="21" t="s">
        <v>226</v>
      </c>
      <c r="J15" s="21" t="s">
        <v>6997</v>
      </c>
      <c r="K15" s="5814" t="s">
        <v>6998</v>
      </c>
    </row>
    <row r="16" spans="1:55">
      <c r="A16" s="21" t="s">
        <v>3647</v>
      </c>
      <c r="B16" s="21" t="s">
        <v>6999</v>
      </c>
      <c r="C16" s="21" t="s">
        <v>8</v>
      </c>
      <c r="D16" s="21" t="s">
        <v>701</v>
      </c>
      <c r="E16" s="21" t="s">
        <v>710</v>
      </c>
      <c r="F16" s="5812">
        <v>3</v>
      </c>
      <c r="G16" s="5813">
        <v>0.20833333333333334</v>
      </c>
      <c r="H16" s="21" t="s">
        <v>10</v>
      </c>
      <c r="I16" s="21" t="s">
        <v>23</v>
      </c>
      <c r="J16" s="21" t="s">
        <v>7000</v>
      </c>
      <c r="K16" s="5814" t="s">
        <v>7001</v>
      </c>
    </row>
    <row r="17" spans="1:11">
      <c r="A17" s="21" t="s">
        <v>2221</v>
      </c>
      <c r="B17" s="21" t="s">
        <v>7002</v>
      </c>
      <c r="C17" s="21" t="s">
        <v>709</v>
      </c>
      <c r="D17" s="21" t="s">
        <v>701</v>
      </c>
      <c r="E17" s="21" t="s">
        <v>710</v>
      </c>
      <c r="F17" s="5812">
        <v>3</v>
      </c>
      <c r="G17" s="5813">
        <v>0.20833333333333334</v>
      </c>
      <c r="H17" s="21" t="s">
        <v>10</v>
      </c>
      <c r="I17" s="21" t="s">
        <v>226</v>
      </c>
      <c r="J17" s="21" t="s">
        <v>7003</v>
      </c>
      <c r="K17" s="5814" t="s">
        <v>7004</v>
      </c>
    </row>
    <row r="18" spans="1:11">
      <c r="A18" s="21" t="s">
        <v>2780</v>
      </c>
      <c r="B18" s="21" t="s">
        <v>7005</v>
      </c>
      <c r="C18" s="21" t="s">
        <v>22</v>
      </c>
      <c r="D18" s="21" t="s">
        <v>701</v>
      </c>
      <c r="E18" s="21" t="s">
        <v>710</v>
      </c>
      <c r="F18" s="5812">
        <v>3</v>
      </c>
      <c r="G18" s="5813">
        <v>0.20833333333333334</v>
      </c>
      <c r="H18" s="21" t="s">
        <v>10</v>
      </c>
      <c r="I18" s="21" t="s">
        <v>226</v>
      </c>
      <c r="J18" s="21" t="s">
        <v>7006</v>
      </c>
      <c r="K18" s="5814" t="s">
        <v>7007</v>
      </c>
    </row>
    <row r="19" spans="1:11">
      <c r="A19" s="21" t="s">
        <v>3783</v>
      </c>
      <c r="B19" s="21" t="s">
        <v>7008</v>
      </c>
      <c r="C19" s="21" t="s">
        <v>8</v>
      </c>
      <c r="D19" s="21" t="s">
        <v>701</v>
      </c>
      <c r="E19" s="21" t="s">
        <v>710</v>
      </c>
      <c r="F19" s="5812">
        <v>3</v>
      </c>
      <c r="G19" s="5813">
        <v>0.20833333333333334</v>
      </c>
      <c r="H19" s="21" t="s">
        <v>10</v>
      </c>
      <c r="I19" s="21" t="s">
        <v>194</v>
      </c>
      <c r="J19" s="21" t="s">
        <v>7009</v>
      </c>
      <c r="K19" s="5814" t="s">
        <v>7010</v>
      </c>
    </row>
    <row r="20" spans="1:11">
      <c r="A20" s="21" t="s">
        <v>94</v>
      </c>
      <c r="B20" s="21" t="s">
        <v>730</v>
      </c>
      <c r="C20" s="21" t="s">
        <v>22</v>
      </c>
      <c r="D20" s="21" t="s">
        <v>701</v>
      </c>
      <c r="E20" s="21" t="s">
        <v>193</v>
      </c>
      <c r="F20" s="5812">
        <v>3</v>
      </c>
      <c r="G20" s="5813">
        <v>0.20833333333333334</v>
      </c>
      <c r="H20" s="21" t="s">
        <v>10</v>
      </c>
      <c r="I20" s="21" t="s">
        <v>96</v>
      </c>
      <c r="J20" s="21" t="s">
        <v>731</v>
      </c>
      <c r="K20" s="5814" t="s">
        <v>732</v>
      </c>
    </row>
    <row r="21" spans="1:11">
      <c r="A21" s="21" t="s">
        <v>103</v>
      </c>
      <c r="B21" s="21" t="s">
        <v>737</v>
      </c>
      <c r="C21" s="21" t="s">
        <v>22</v>
      </c>
      <c r="D21" s="21" t="s">
        <v>701</v>
      </c>
      <c r="E21" s="21" t="s">
        <v>193</v>
      </c>
      <c r="F21" s="5812">
        <v>3</v>
      </c>
      <c r="G21" s="5813">
        <v>0.20833333333333334</v>
      </c>
      <c r="H21" s="21" t="s">
        <v>10</v>
      </c>
      <c r="I21" s="21" t="s">
        <v>39</v>
      </c>
      <c r="J21" s="21" t="s">
        <v>738</v>
      </c>
      <c r="K21" s="5814" t="s">
        <v>739</v>
      </c>
    </row>
    <row r="22" spans="1:11">
      <c r="A22" s="21" t="s">
        <v>160</v>
      </c>
      <c r="B22" s="21" t="s">
        <v>875</v>
      </c>
      <c r="C22" s="21" t="s">
        <v>22</v>
      </c>
      <c r="D22" s="21" t="s">
        <v>701</v>
      </c>
      <c r="E22" s="21" t="s">
        <v>193</v>
      </c>
      <c r="F22" s="5812">
        <v>3</v>
      </c>
      <c r="G22" s="5813">
        <v>0.20833333333333334</v>
      </c>
      <c r="H22" s="21" t="s">
        <v>10</v>
      </c>
      <c r="I22" s="21" t="s">
        <v>55</v>
      </c>
      <c r="J22" s="21" t="s">
        <v>876</v>
      </c>
      <c r="K22" s="5814" t="s">
        <v>877</v>
      </c>
    </row>
    <row r="23" spans="1:11">
      <c r="A23" s="21" t="s">
        <v>177</v>
      </c>
      <c r="B23" s="21" t="s">
        <v>885</v>
      </c>
      <c r="C23" s="21" t="s">
        <v>8</v>
      </c>
      <c r="D23" s="21" t="s">
        <v>701</v>
      </c>
      <c r="E23" s="21" t="s">
        <v>193</v>
      </c>
      <c r="F23" s="5812">
        <v>3</v>
      </c>
      <c r="G23" s="5813">
        <v>0.20833333333333334</v>
      </c>
      <c r="H23" s="21" t="s">
        <v>10</v>
      </c>
      <c r="I23" s="21" t="s">
        <v>23</v>
      </c>
      <c r="J23" s="21" t="s">
        <v>886</v>
      </c>
      <c r="K23" s="5814" t="s">
        <v>887</v>
      </c>
    </row>
    <row r="24" spans="1:11">
      <c r="A24" s="21" t="s">
        <v>231</v>
      </c>
      <c r="B24" s="21" t="s">
        <v>936</v>
      </c>
      <c r="C24" s="21" t="s">
        <v>22</v>
      </c>
      <c r="D24" s="21" t="s">
        <v>701</v>
      </c>
      <c r="E24" s="21" t="s">
        <v>193</v>
      </c>
      <c r="F24" s="5812">
        <v>3</v>
      </c>
      <c r="G24" s="5813">
        <v>0.20833333333333334</v>
      </c>
      <c r="H24" s="21" t="s">
        <v>10</v>
      </c>
      <c r="I24" s="21" t="s">
        <v>96</v>
      </c>
      <c r="J24" s="21" t="s">
        <v>937</v>
      </c>
      <c r="K24" s="5814" t="s">
        <v>7011</v>
      </c>
    </row>
    <row r="25" spans="1:11">
      <c r="A25" s="21" t="s">
        <v>3029</v>
      </c>
      <c r="B25" s="21" t="s">
        <v>7012</v>
      </c>
      <c r="C25" s="21" t="s">
        <v>22</v>
      </c>
      <c r="D25" s="21" t="s">
        <v>701</v>
      </c>
      <c r="E25" s="21" t="s">
        <v>193</v>
      </c>
      <c r="F25" s="5812">
        <v>3</v>
      </c>
      <c r="G25" s="5813">
        <v>0.20833333333333334</v>
      </c>
      <c r="H25" s="21" t="s">
        <v>10</v>
      </c>
      <c r="I25" s="21" t="s">
        <v>39</v>
      </c>
      <c r="J25" s="21" t="s">
        <v>7013</v>
      </c>
      <c r="K25" s="5814" t="s">
        <v>7014</v>
      </c>
    </row>
    <row r="26" spans="1:11">
      <c r="A26" s="21" t="s">
        <v>3671</v>
      </c>
      <c r="B26" s="21" t="s">
        <v>7015</v>
      </c>
      <c r="C26" s="21" t="s">
        <v>8</v>
      </c>
      <c r="D26" s="21" t="s">
        <v>701</v>
      </c>
      <c r="E26" s="21" t="s">
        <v>193</v>
      </c>
      <c r="F26" s="5812">
        <v>3</v>
      </c>
      <c r="G26" s="5813">
        <v>0.20833333333333334</v>
      </c>
      <c r="H26" s="21" t="s">
        <v>10</v>
      </c>
      <c r="I26" s="21" t="s">
        <v>2313</v>
      </c>
      <c r="J26" s="21" t="s">
        <v>7016</v>
      </c>
      <c r="K26" s="5814" t="s">
        <v>7017</v>
      </c>
    </row>
    <row r="27" spans="1:11">
      <c r="A27" s="21" t="s">
        <v>2049</v>
      </c>
      <c r="B27" s="21" t="s">
        <v>7018</v>
      </c>
      <c r="C27" s="21" t="s">
        <v>8</v>
      </c>
      <c r="D27" s="21" t="s">
        <v>701</v>
      </c>
      <c r="E27" s="21" t="s">
        <v>193</v>
      </c>
      <c r="F27" s="5812">
        <v>3</v>
      </c>
      <c r="G27" s="5813">
        <v>0.20833333333333334</v>
      </c>
      <c r="H27" s="21" t="s">
        <v>10</v>
      </c>
      <c r="I27" s="21" t="s">
        <v>39</v>
      </c>
      <c r="J27" s="21" t="s">
        <v>7019</v>
      </c>
      <c r="K27" s="5814" t="s">
        <v>7020</v>
      </c>
    </row>
    <row r="28" spans="1:11">
      <c r="A28" s="21" t="s">
        <v>3886</v>
      </c>
      <c r="B28" s="21" t="s">
        <v>7021</v>
      </c>
      <c r="C28" s="21" t="s">
        <v>22</v>
      </c>
      <c r="D28" s="21" t="s">
        <v>701</v>
      </c>
      <c r="E28" s="21" t="s">
        <v>193</v>
      </c>
      <c r="F28" s="5812">
        <v>3</v>
      </c>
      <c r="G28" s="5813">
        <v>0.20833333333333334</v>
      </c>
      <c r="H28" s="21" t="s">
        <v>10</v>
      </c>
      <c r="I28" s="21" t="s">
        <v>5286</v>
      </c>
      <c r="J28" s="21" t="s">
        <v>7022</v>
      </c>
      <c r="K28" s="5814" t="s">
        <v>7023</v>
      </c>
    </row>
    <row r="29" spans="1:11">
      <c r="A29" s="21" t="s">
        <v>3896</v>
      </c>
      <c r="B29" s="21" t="s">
        <v>7024</v>
      </c>
      <c r="C29" s="21" t="s">
        <v>8</v>
      </c>
      <c r="D29" s="21" t="s">
        <v>701</v>
      </c>
      <c r="E29" s="21" t="s">
        <v>193</v>
      </c>
      <c r="F29" s="5812">
        <v>3</v>
      </c>
      <c r="G29" s="5813">
        <v>0.20833333333333334</v>
      </c>
      <c r="H29" s="21" t="s">
        <v>10</v>
      </c>
      <c r="I29" s="21" t="s">
        <v>2435</v>
      </c>
      <c r="J29" s="21" t="s">
        <v>7025</v>
      </c>
      <c r="K29" s="5814" t="s">
        <v>7026</v>
      </c>
    </row>
    <row r="30" spans="1:11">
      <c r="A30" s="21" t="s">
        <v>2403</v>
      </c>
      <c r="B30" s="21" t="s">
        <v>7027</v>
      </c>
      <c r="C30" s="21" t="s">
        <v>22</v>
      </c>
      <c r="D30" s="21" t="s">
        <v>701</v>
      </c>
      <c r="E30" s="21" t="s">
        <v>193</v>
      </c>
      <c r="F30" s="5812">
        <v>3</v>
      </c>
      <c r="G30" s="5813">
        <v>0.20833333333333334</v>
      </c>
      <c r="H30" s="21" t="s">
        <v>10</v>
      </c>
      <c r="I30" s="21" t="s">
        <v>55</v>
      </c>
      <c r="J30" s="21" t="s">
        <v>7028</v>
      </c>
      <c r="K30" s="5814" t="s">
        <v>7029</v>
      </c>
    </row>
    <row r="31" spans="1:11">
      <c r="A31" s="21" t="s">
        <v>2944</v>
      </c>
      <c r="B31" s="21" t="s">
        <v>7030</v>
      </c>
      <c r="C31" s="21" t="s">
        <v>8</v>
      </c>
      <c r="D31" s="21" t="s">
        <v>701</v>
      </c>
      <c r="E31" s="21" t="s">
        <v>193</v>
      </c>
      <c r="F31" s="5812">
        <v>3</v>
      </c>
      <c r="G31" s="5813">
        <v>0.20833333333333334</v>
      </c>
      <c r="H31" s="21" t="s">
        <v>10</v>
      </c>
      <c r="I31" s="21" t="s">
        <v>55</v>
      </c>
      <c r="J31" s="21" t="s">
        <v>7031</v>
      </c>
      <c r="K31" s="5814" t="s">
        <v>7032</v>
      </c>
    </row>
    <row r="32" spans="1:11">
      <c r="A32" s="21" t="s">
        <v>2929</v>
      </c>
      <c r="B32" s="21" t="s">
        <v>7033</v>
      </c>
      <c r="C32" s="21" t="s">
        <v>8</v>
      </c>
      <c r="D32" s="21" t="s">
        <v>701</v>
      </c>
      <c r="E32" s="21" t="s">
        <v>193</v>
      </c>
      <c r="F32" s="5812">
        <v>3</v>
      </c>
      <c r="G32" s="5813">
        <v>0.20833333333333334</v>
      </c>
      <c r="H32" s="21" t="s">
        <v>10</v>
      </c>
      <c r="I32" s="21" t="s">
        <v>23</v>
      </c>
      <c r="J32" s="21" t="s">
        <v>7034</v>
      </c>
      <c r="K32" s="5814" t="s">
        <v>7035</v>
      </c>
    </row>
    <row r="33" spans="1:11">
      <c r="A33" s="21" t="s">
        <v>3551</v>
      </c>
      <c r="B33" s="21" t="s">
        <v>7036</v>
      </c>
      <c r="C33" s="21" t="s">
        <v>22</v>
      </c>
      <c r="D33" s="21" t="s">
        <v>701</v>
      </c>
      <c r="E33" s="21" t="s">
        <v>193</v>
      </c>
      <c r="F33" s="5812">
        <v>3</v>
      </c>
      <c r="G33" s="5813">
        <v>0.20833333333333334</v>
      </c>
      <c r="H33" s="21" t="s">
        <v>10</v>
      </c>
      <c r="I33" s="21" t="s">
        <v>47</v>
      </c>
      <c r="J33" s="21" t="s">
        <v>7037</v>
      </c>
      <c r="K33" s="5814" t="s">
        <v>7038</v>
      </c>
    </row>
    <row r="34" spans="1:11">
      <c r="A34" s="21" t="s">
        <v>2982</v>
      </c>
      <c r="B34" s="21" t="s">
        <v>7039</v>
      </c>
      <c r="C34" s="21" t="s">
        <v>22</v>
      </c>
      <c r="D34" s="21" t="s">
        <v>701</v>
      </c>
      <c r="E34" s="21" t="s">
        <v>193</v>
      </c>
      <c r="F34" s="5812">
        <v>3</v>
      </c>
      <c r="G34" s="5813">
        <v>0.20833333333333334</v>
      </c>
      <c r="H34" s="21" t="s">
        <v>10</v>
      </c>
      <c r="I34" s="21" t="s">
        <v>226</v>
      </c>
      <c r="J34" s="21" t="s">
        <v>7040</v>
      </c>
      <c r="K34" s="5814" t="s">
        <v>7041</v>
      </c>
    </row>
    <row r="35" spans="1:11">
      <c r="A35" s="21" t="s">
        <v>2481</v>
      </c>
      <c r="B35" s="21" t="s">
        <v>7042</v>
      </c>
      <c r="C35" s="21" t="s">
        <v>22</v>
      </c>
      <c r="D35" s="21" t="s">
        <v>701</v>
      </c>
      <c r="E35" s="21" t="s">
        <v>193</v>
      </c>
      <c r="F35" s="5812">
        <v>3</v>
      </c>
      <c r="G35" s="5813">
        <v>0.20833333333333334</v>
      </c>
      <c r="H35" s="21" t="s">
        <v>10</v>
      </c>
      <c r="I35" s="21" t="s">
        <v>11</v>
      </c>
      <c r="J35" s="21" t="s">
        <v>7043</v>
      </c>
      <c r="K35" s="5814" t="s">
        <v>7044</v>
      </c>
    </row>
    <row r="36" spans="1:11">
      <c r="A36" s="21" t="s">
        <v>3102</v>
      </c>
      <c r="B36" s="21" t="s">
        <v>7045</v>
      </c>
      <c r="C36" s="21" t="s">
        <v>8</v>
      </c>
      <c r="D36" s="21" t="s">
        <v>701</v>
      </c>
      <c r="E36" s="21" t="s">
        <v>193</v>
      </c>
      <c r="F36" s="5812">
        <v>3</v>
      </c>
      <c r="G36" s="5813">
        <v>0.20833333333333334</v>
      </c>
      <c r="H36" s="21" t="s">
        <v>10</v>
      </c>
      <c r="I36" s="21" t="s">
        <v>55</v>
      </c>
      <c r="J36" s="21" t="s">
        <v>7046</v>
      </c>
      <c r="K36" s="5814" t="s">
        <v>7047</v>
      </c>
    </row>
    <row r="37" spans="1:11">
      <c r="A37" s="21" t="s">
        <v>2119</v>
      </c>
      <c r="B37" s="21" t="s">
        <v>7048</v>
      </c>
      <c r="C37" s="21" t="s">
        <v>8</v>
      </c>
      <c r="D37" s="21" t="s">
        <v>701</v>
      </c>
      <c r="E37" s="21" t="s">
        <v>193</v>
      </c>
      <c r="F37" s="5812">
        <v>3</v>
      </c>
      <c r="G37" s="5813">
        <v>0.20833333333333334</v>
      </c>
      <c r="H37" s="21" t="s">
        <v>10</v>
      </c>
      <c r="I37" s="21" t="s">
        <v>23</v>
      </c>
      <c r="J37" s="21" t="s">
        <v>7049</v>
      </c>
      <c r="K37" s="5814" t="s">
        <v>7050</v>
      </c>
    </row>
    <row r="38" spans="1:11">
      <c r="A38" s="21" t="s">
        <v>2910</v>
      </c>
      <c r="B38" s="21" t="s">
        <v>7051</v>
      </c>
      <c r="C38" s="21" t="s">
        <v>22</v>
      </c>
      <c r="D38" s="21" t="s">
        <v>701</v>
      </c>
      <c r="E38" s="21" t="s">
        <v>193</v>
      </c>
      <c r="F38" s="5812">
        <v>3</v>
      </c>
      <c r="G38" s="5813">
        <v>0.20833333333333334</v>
      </c>
      <c r="H38" s="21" t="s">
        <v>10</v>
      </c>
      <c r="I38" s="21" t="s">
        <v>23</v>
      </c>
      <c r="J38" s="21" t="s">
        <v>7052</v>
      </c>
      <c r="K38" s="5814" t="s">
        <v>7053</v>
      </c>
    </row>
    <row r="39" spans="1:11">
      <c r="A39" s="21" t="s">
        <v>2938</v>
      </c>
      <c r="B39" s="21" t="s">
        <v>7054</v>
      </c>
      <c r="C39" s="21" t="s">
        <v>22</v>
      </c>
      <c r="D39" s="21" t="s">
        <v>701</v>
      </c>
      <c r="E39" s="21" t="s">
        <v>193</v>
      </c>
      <c r="F39" s="5812">
        <v>3</v>
      </c>
      <c r="G39" s="5813">
        <v>0.20833333333333334</v>
      </c>
      <c r="H39" s="21" t="s">
        <v>10</v>
      </c>
      <c r="I39" s="21" t="s">
        <v>2313</v>
      </c>
      <c r="J39" s="21" t="s">
        <v>7055</v>
      </c>
      <c r="K39" s="5814" t="s">
        <v>7056</v>
      </c>
    </row>
    <row r="40" spans="1:11">
      <c r="A40" s="21" t="s">
        <v>2547</v>
      </c>
      <c r="B40" s="21" t="s">
        <v>7057</v>
      </c>
      <c r="C40" s="21" t="s">
        <v>8</v>
      </c>
      <c r="D40" s="21" t="s">
        <v>701</v>
      </c>
      <c r="E40" s="21" t="s">
        <v>193</v>
      </c>
      <c r="F40" s="5812">
        <v>3</v>
      </c>
      <c r="G40" s="5813">
        <v>0.20833333333333334</v>
      </c>
      <c r="H40" s="21" t="s">
        <v>10</v>
      </c>
      <c r="I40" s="21" t="s">
        <v>39</v>
      </c>
      <c r="J40" s="21" t="s">
        <v>7058</v>
      </c>
      <c r="K40" s="5814" t="s">
        <v>7059</v>
      </c>
    </row>
    <row r="41" spans="1:11">
      <c r="A41" s="21" t="s">
        <v>4565</v>
      </c>
      <c r="B41" s="21" t="s">
        <v>7060</v>
      </c>
      <c r="C41" s="21" t="s">
        <v>8</v>
      </c>
      <c r="D41" s="21" t="s">
        <v>701</v>
      </c>
      <c r="E41" s="21" t="s">
        <v>193</v>
      </c>
      <c r="F41" s="5812">
        <v>3</v>
      </c>
      <c r="G41" s="5813">
        <v>0.20833333333333334</v>
      </c>
      <c r="H41" s="21" t="s">
        <v>10</v>
      </c>
      <c r="I41" s="21" t="s">
        <v>3534</v>
      </c>
      <c r="J41" s="21" t="s">
        <v>7061</v>
      </c>
      <c r="K41" s="5814" t="s">
        <v>7062</v>
      </c>
    </row>
    <row r="42" spans="1:11">
      <c r="A42" s="21" t="s">
        <v>3208</v>
      </c>
      <c r="B42" s="21" t="s">
        <v>7063</v>
      </c>
      <c r="C42" s="21" t="s">
        <v>8</v>
      </c>
      <c r="D42" s="21" t="s">
        <v>701</v>
      </c>
      <c r="E42" s="21" t="s">
        <v>193</v>
      </c>
      <c r="F42" s="5812">
        <v>3</v>
      </c>
      <c r="G42" s="5813">
        <v>0.20833333333333334</v>
      </c>
      <c r="H42" s="21" t="s">
        <v>10</v>
      </c>
      <c r="I42" s="21" t="s">
        <v>55</v>
      </c>
      <c r="J42" s="21" t="s">
        <v>7064</v>
      </c>
      <c r="K42" s="5814" t="s">
        <v>7065</v>
      </c>
    </row>
    <row r="43" spans="1:11">
      <c r="A43" s="21" t="s">
        <v>3728</v>
      </c>
      <c r="B43" s="21" t="s">
        <v>7066</v>
      </c>
      <c r="C43" s="21" t="s">
        <v>22</v>
      </c>
      <c r="D43" s="21" t="s">
        <v>701</v>
      </c>
      <c r="E43" s="21" t="s">
        <v>193</v>
      </c>
      <c r="F43" s="5812">
        <v>3</v>
      </c>
      <c r="G43" s="5813">
        <v>0.20833333333333334</v>
      </c>
      <c r="H43" s="21" t="s">
        <v>10</v>
      </c>
      <c r="I43" s="21" t="s">
        <v>55</v>
      </c>
      <c r="J43" s="21" t="s">
        <v>7067</v>
      </c>
      <c r="K43" s="5814" t="s">
        <v>7068</v>
      </c>
    </row>
    <row r="44" spans="1:11">
      <c r="A44" s="21" t="s">
        <v>2192</v>
      </c>
      <c r="B44" s="21" t="s">
        <v>7069</v>
      </c>
      <c r="C44" s="21" t="s">
        <v>8</v>
      </c>
      <c r="D44" s="21" t="s">
        <v>701</v>
      </c>
      <c r="E44" s="21" t="s">
        <v>193</v>
      </c>
      <c r="F44" s="5812">
        <v>3</v>
      </c>
      <c r="G44" s="5813">
        <v>0.20833333333333334</v>
      </c>
      <c r="H44" s="21" t="s">
        <v>10</v>
      </c>
      <c r="I44" s="21" t="s">
        <v>11</v>
      </c>
      <c r="J44" s="21" t="s">
        <v>7070</v>
      </c>
      <c r="K44" s="5814" t="s">
        <v>7071</v>
      </c>
    </row>
    <row r="45" spans="1:11">
      <c r="A45" s="21" t="s">
        <v>2679</v>
      </c>
      <c r="B45" s="21" t="s">
        <v>7072</v>
      </c>
      <c r="C45" s="21" t="s">
        <v>8</v>
      </c>
      <c r="D45" s="21" t="s">
        <v>701</v>
      </c>
      <c r="E45" s="21" t="s">
        <v>193</v>
      </c>
      <c r="F45" s="5812">
        <v>3</v>
      </c>
      <c r="G45" s="5813">
        <v>0.20833333333333334</v>
      </c>
      <c r="H45" s="21" t="s">
        <v>10</v>
      </c>
      <c r="I45" s="21" t="s">
        <v>2713</v>
      </c>
      <c r="J45" s="21" t="s">
        <v>7073</v>
      </c>
      <c r="K45" s="5814" t="s">
        <v>7074</v>
      </c>
    </row>
    <row r="46" spans="1:11">
      <c r="A46" s="21" t="s">
        <v>2698</v>
      </c>
      <c r="B46" s="21" t="s">
        <v>7075</v>
      </c>
      <c r="C46" s="21" t="s">
        <v>22</v>
      </c>
      <c r="D46" s="21" t="s">
        <v>701</v>
      </c>
      <c r="E46" s="21" t="s">
        <v>193</v>
      </c>
      <c r="F46" s="5812">
        <v>3</v>
      </c>
      <c r="G46" s="5813">
        <v>0.20833333333333334</v>
      </c>
      <c r="H46" s="21" t="s">
        <v>10</v>
      </c>
      <c r="I46" s="21" t="s">
        <v>2814</v>
      </c>
      <c r="J46" s="21" t="s">
        <v>7076</v>
      </c>
      <c r="K46" s="5814" t="s">
        <v>7077</v>
      </c>
    </row>
    <row r="47" spans="1:11">
      <c r="A47" s="21" t="s">
        <v>2729</v>
      </c>
      <c r="B47" s="21" t="s">
        <v>7078</v>
      </c>
      <c r="C47" s="21" t="s">
        <v>22</v>
      </c>
      <c r="D47" s="21" t="s">
        <v>701</v>
      </c>
      <c r="E47" s="21" t="s">
        <v>193</v>
      </c>
      <c r="F47" s="5812">
        <v>3</v>
      </c>
      <c r="G47" s="5813">
        <v>0.20833333333333334</v>
      </c>
      <c r="H47" s="21" t="s">
        <v>10</v>
      </c>
      <c r="I47" s="21" t="s">
        <v>2713</v>
      </c>
      <c r="J47" s="21" t="s">
        <v>7079</v>
      </c>
      <c r="K47" s="5814" t="s">
        <v>7080</v>
      </c>
    </row>
    <row r="48" spans="1:11">
      <c r="A48" s="21" t="s">
        <v>2741</v>
      </c>
      <c r="B48" s="21" t="s">
        <v>7081</v>
      </c>
      <c r="C48" s="21" t="s">
        <v>22</v>
      </c>
      <c r="D48" s="21" t="s">
        <v>701</v>
      </c>
      <c r="E48" s="21" t="s">
        <v>193</v>
      </c>
      <c r="F48" s="5812">
        <v>3</v>
      </c>
      <c r="G48" s="5813">
        <v>0.20833333333333334</v>
      </c>
      <c r="H48" s="21" t="s">
        <v>10</v>
      </c>
      <c r="I48" s="21" t="s">
        <v>3534</v>
      </c>
      <c r="J48" s="21" t="s">
        <v>7082</v>
      </c>
      <c r="K48" s="5814" t="s">
        <v>7083</v>
      </c>
    </row>
    <row r="49" spans="1:11">
      <c r="A49" s="21" t="s">
        <v>3532</v>
      </c>
      <c r="B49" s="21" t="s">
        <v>7084</v>
      </c>
      <c r="C49" s="21" t="s">
        <v>22</v>
      </c>
      <c r="D49" s="21" t="s">
        <v>701</v>
      </c>
      <c r="E49" s="21" t="s">
        <v>193</v>
      </c>
      <c r="F49" s="5812">
        <v>3</v>
      </c>
      <c r="G49" s="5813">
        <v>0.20833333333333334</v>
      </c>
      <c r="H49" s="21" t="s">
        <v>10</v>
      </c>
      <c r="I49" s="21" t="s">
        <v>3534</v>
      </c>
      <c r="J49" s="21" t="s">
        <v>7085</v>
      </c>
      <c r="K49" s="5814" t="s">
        <v>7086</v>
      </c>
    </row>
    <row r="50" spans="1:11">
      <c r="A50" s="21" t="s">
        <v>2221</v>
      </c>
      <c r="B50" s="21" t="s">
        <v>7087</v>
      </c>
      <c r="C50" s="21" t="s">
        <v>709</v>
      </c>
      <c r="D50" s="21" t="s">
        <v>701</v>
      </c>
      <c r="E50" s="21" t="s">
        <v>193</v>
      </c>
      <c r="F50" s="5812">
        <v>3</v>
      </c>
      <c r="G50" s="5813">
        <v>0.20833333333333334</v>
      </c>
      <c r="H50" s="21" t="s">
        <v>10</v>
      </c>
      <c r="I50" s="21" t="s">
        <v>55</v>
      </c>
      <c r="J50" s="21" t="s">
        <v>7088</v>
      </c>
      <c r="K50" s="5814" t="s">
        <v>7089</v>
      </c>
    </row>
    <row r="51" spans="1:11">
      <c r="A51" s="21" t="s">
        <v>5554</v>
      </c>
      <c r="B51" s="21" t="s">
        <v>7090</v>
      </c>
      <c r="C51" s="21" t="s">
        <v>22</v>
      </c>
      <c r="D51" s="21" t="s">
        <v>701</v>
      </c>
      <c r="E51" s="21" t="s">
        <v>193</v>
      </c>
      <c r="F51" s="5812">
        <v>3</v>
      </c>
      <c r="G51" s="5813">
        <v>0.20833333333333334</v>
      </c>
      <c r="H51" s="21" t="s">
        <v>10</v>
      </c>
      <c r="I51" s="21" t="s">
        <v>4254</v>
      </c>
      <c r="J51" s="21" t="s">
        <v>7091</v>
      </c>
      <c r="K51" s="5814" t="s">
        <v>7092</v>
      </c>
    </row>
    <row r="52" spans="1:11">
      <c r="A52" s="21" t="s">
        <v>4313</v>
      </c>
      <c r="B52" s="21" t="s">
        <v>7093</v>
      </c>
      <c r="C52" s="21" t="s">
        <v>22</v>
      </c>
      <c r="D52" s="21" t="s">
        <v>701</v>
      </c>
      <c r="E52" s="21" t="s">
        <v>193</v>
      </c>
      <c r="F52" s="5812">
        <v>3</v>
      </c>
      <c r="G52" s="5813">
        <v>0.20833333333333334</v>
      </c>
      <c r="H52" s="21" t="s">
        <v>10</v>
      </c>
      <c r="I52" s="21" t="s">
        <v>47</v>
      </c>
      <c r="J52" s="21" t="s">
        <v>7094</v>
      </c>
      <c r="K52" s="5814" t="s">
        <v>7095</v>
      </c>
    </row>
    <row r="53" spans="1:11">
      <c r="A53" s="21" t="s">
        <v>3651</v>
      </c>
      <c r="B53" s="21" t="s">
        <v>7096</v>
      </c>
      <c r="C53" s="21" t="s">
        <v>22</v>
      </c>
      <c r="D53" s="21" t="s">
        <v>701</v>
      </c>
      <c r="E53" s="21" t="s">
        <v>193</v>
      </c>
      <c r="F53" s="5812">
        <v>3</v>
      </c>
      <c r="G53" s="5813">
        <v>0.20833333333333334</v>
      </c>
      <c r="H53" s="21" t="s">
        <v>10</v>
      </c>
      <c r="I53" s="21" t="s">
        <v>187</v>
      </c>
      <c r="J53" s="21" t="s">
        <v>7097</v>
      </c>
      <c r="K53" s="5814" t="s">
        <v>7098</v>
      </c>
    </row>
    <row r="54" spans="1:11">
      <c r="A54" s="21" t="s">
        <v>2776</v>
      </c>
      <c r="B54" s="21" t="s">
        <v>7099</v>
      </c>
      <c r="C54" s="21" t="s">
        <v>22</v>
      </c>
      <c r="D54" s="21" t="s">
        <v>701</v>
      </c>
      <c r="E54" s="21" t="s">
        <v>193</v>
      </c>
      <c r="F54" s="5812">
        <v>3</v>
      </c>
      <c r="G54" s="5813">
        <v>0.20833333333333334</v>
      </c>
      <c r="H54" s="21" t="s">
        <v>10</v>
      </c>
      <c r="I54" s="21" t="s">
        <v>47</v>
      </c>
      <c r="J54" s="21" t="s">
        <v>7100</v>
      </c>
      <c r="K54" s="5814" t="s">
        <v>7101</v>
      </c>
    </row>
    <row r="55" spans="1:11">
      <c r="A55" s="21" t="s">
        <v>2784</v>
      </c>
      <c r="B55" s="21" t="s">
        <v>7102</v>
      </c>
      <c r="C55" s="21" t="s">
        <v>22</v>
      </c>
      <c r="D55" s="21" t="s">
        <v>701</v>
      </c>
      <c r="E55" s="21" t="s">
        <v>193</v>
      </c>
      <c r="F55" s="5812">
        <v>3</v>
      </c>
      <c r="G55" s="5813">
        <v>0.20833333333333334</v>
      </c>
      <c r="H55" s="21" t="s">
        <v>10</v>
      </c>
      <c r="I55" s="21" t="s">
        <v>2247</v>
      </c>
      <c r="J55" s="21" t="s">
        <v>7103</v>
      </c>
      <c r="K55" s="5814" t="s">
        <v>7104</v>
      </c>
    </row>
    <row r="56" spans="1:11">
      <c r="A56" s="21" t="s">
        <v>4568</v>
      </c>
      <c r="B56" s="21" t="s">
        <v>7105</v>
      </c>
      <c r="C56" s="21" t="s">
        <v>22</v>
      </c>
      <c r="D56" s="21" t="s">
        <v>701</v>
      </c>
      <c r="E56" s="21" t="s">
        <v>193</v>
      </c>
      <c r="F56" s="5812">
        <v>3</v>
      </c>
      <c r="G56" s="5813">
        <v>0.20833333333333334</v>
      </c>
      <c r="H56" s="21" t="s">
        <v>10</v>
      </c>
      <c r="I56" s="21" t="s">
        <v>11</v>
      </c>
      <c r="J56" s="21" t="s">
        <v>7106</v>
      </c>
      <c r="K56" s="5814" t="s">
        <v>7107</v>
      </c>
    </row>
    <row r="57" spans="1:11">
      <c r="A57" s="21" t="s">
        <v>2241</v>
      </c>
      <c r="B57" s="21" t="s">
        <v>7108</v>
      </c>
      <c r="C57" s="21" t="s">
        <v>8</v>
      </c>
      <c r="D57" s="21" t="s">
        <v>701</v>
      </c>
      <c r="E57" s="21" t="s">
        <v>193</v>
      </c>
      <c r="F57" s="5812">
        <v>3</v>
      </c>
      <c r="G57" s="5813">
        <v>0.20833333333333334</v>
      </c>
      <c r="H57" s="21" t="s">
        <v>10</v>
      </c>
      <c r="I57" s="21" t="s">
        <v>55</v>
      </c>
      <c r="J57" s="21" t="s">
        <v>7109</v>
      </c>
      <c r="K57" s="5814" t="s">
        <v>7110</v>
      </c>
    </row>
    <row r="58" spans="1:11">
      <c r="A58" s="21" t="s">
        <v>4345</v>
      </c>
      <c r="B58" s="21" t="s">
        <v>7111</v>
      </c>
      <c r="C58" s="21" t="s">
        <v>22</v>
      </c>
      <c r="D58" s="21" t="s">
        <v>701</v>
      </c>
      <c r="E58" s="21" t="s">
        <v>193</v>
      </c>
      <c r="F58" s="5812">
        <v>3</v>
      </c>
      <c r="G58" s="5813">
        <v>0.20833333333333334</v>
      </c>
      <c r="H58" s="21" t="s">
        <v>10</v>
      </c>
      <c r="I58" s="21" t="s">
        <v>3534</v>
      </c>
      <c r="J58" s="21" t="s">
        <v>7112</v>
      </c>
      <c r="K58" s="5814" t="s">
        <v>7113</v>
      </c>
    </row>
    <row r="59" spans="1:11">
      <c r="A59" s="21" t="s">
        <v>4345</v>
      </c>
      <c r="B59" s="21" t="s">
        <v>7114</v>
      </c>
      <c r="C59" s="21" t="s">
        <v>8</v>
      </c>
      <c r="D59" s="21" t="s">
        <v>701</v>
      </c>
      <c r="E59" s="21" t="s">
        <v>193</v>
      </c>
      <c r="F59" s="5812">
        <v>3</v>
      </c>
      <c r="G59" s="5813">
        <v>0.20833333333333334</v>
      </c>
      <c r="H59" s="21" t="s">
        <v>10</v>
      </c>
      <c r="I59" s="21" t="s">
        <v>2660</v>
      </c>
      <c r="J59" s="21" t="s">
        <v>7115</v>
      </c>
      <c r="K59" s="5814" t="s">
        <v>7116</v>
      </c>
    </row>
    <row r="60" spans="1:11">
      <c r="A60" s="21" t="s">
        <v>2812</v>
      </c>
      <c r="B60" s="21" t="s">
        <v>7117</v>
      </c>
      <c r="C60" s="21" t="s">
        <v>22</v>
      </c>
      <c r="D60" s="21" t="s">
        <v>701</v>
      </c>
      <c r="E60" s="21" t="s">
        <v>193</v>
      </c>
      <c r="F60" s="5812">
        <v>3</v>
      </c>
      <c r="G60" s="5813">
        <v>0.20833333333333334</v>
      </c>
      <c r="H60" s="21" t="s">
        <v>10</v>
      </c>
      <c r="I60" s="21" t="s">
        <v>2713</v>
      </c>
      <c r="J60" s="21" t="s">
        <v>7118</v>
      </c>
      <c r="K60" s="5814" t="s">
        <v>7119</v>
      </c>
    </row>
    <row r="61" spans="1:11">
      <c r="A61" s="21" t="s">
        <v>2245</v>
      </c>
      <c r="B61" s="21" t="s">
        <v>7120</v>
      </c>
      <c r="C61" s="21" t="s">
        <v>8</v>
      </c>
      <c r="D61" s="21" t="s">
        <v>701</v>
      </c>
      <c r="E61" s="21" t="s">
        <v>193</v>
      </c>
      <c r="F61" s="5812">
        <v>3</v>
      </c>
      <c r="G61" s="5813">
        <v>0.20833333333333334</v>
      </c>
      <c r="H61" s="21" t="s">
        <v>10</v>
      </c>
      <c r="I61" s="21" t="s">
        <v>2247</v>
      </c>
      <c r="J61" s="21" t="s">
        <v>7121</v>
      </c>
      <c r="K61" s="5814" t="s">
        <v>7122</v>
      </c>
    </row>
    <row r="62" spans="1:11">
      <c r="A62" s="21" t="s">
        <v>3286</v>
      </c>
      <c r="B62" s="21" t="s">
        <v>7123</v>
      </c>
      <c r="C62" s="21" t="s">
        <v>8</v>
      </c>
      <c r="D62" s="21" t="s">
        <v>701</v>
      </c>
      <c r="E62" s="21" t="s">
        <v>193</v>
      </c>
      <c r="F62" s="5812">
        <v>3</v>
      </c>
      <c r="G62" s="5813">
        <v>0.20833333333333334</v>
      </c>
      <c r="H62" s="21" t="s">
        <v>10</v>
      </c>
      <c r="I62" s="21" t="s">
        <v>2523</v>
      </c>
      <c r="J62" s="21" t="s">
        <v>7124</v>
      </c>
      <c r="K62" s="5814" t="s">
        <v>7125</v>
      </c>
    </row>
    <row r="63" spans="1:11">
      <c r="A63" s="21" t="s">
        <v>3787</v>
      </c>
      <c r="B63" s="21" t="s">
        <v>7126</v>
      </c>
      <c r="C63" s="21" t="s">
        <v>22</v>
      </c>
      <c r="D63" s="21" t="s">
        <v>701</v>
      </c>
      <c r="E63" s="21" t="s">
        <v>193</v>
      </c>
      <c r="F63" s="5812">
        <v>3</v>
      </c>
      <c r="G63" s="5813">
        <v>0.20833333333333334</v>
      </c>
      <c r="H63" s="21" t="s">
        <v>10</v>
      </c>
      <c r="I63" s="21" t="s">
        <v>2297</v>
      </c>
      <c r="J63" s="21" t="s">
        <v>7127</v>
      </c>
      <c r="K63" s="5814" t="s">
        <v>7128</v>
      </c>
    </row>
    <row r="64" spans="1:11">
      <c r="A64" s="21" t="s">
        <v>2250</v>
      </c>
      <c r="B64" s="21" t="s">
        <v>7129</v>
      </c>
      <c r="C64" s="21" t="s">
        <v>8</v>
      </c>
      <c r="D64" s="21" t="s">
        <v>701</v>
      </c>
      <c r="E64" s="21" t="s">
        <v>193</v>
      </c>
      <c r="F64" s="5812">
        <v>3</v>
      </c>
      <c r="G64" s="5813">
        <v>0.20833333333333334</v>
      </c>
      <c r="H64" s="21" t="s">
        <v>10</v>
      </c>
      <c r="I64" s="21" t="s">
        <v>39</v>
      </c>
      <c r="J64" s="21" t="s">
        <v>7130</v>
      </c>
      <c r="K64" s="5814" t="s">
        <v>7131</v>
      </c>
    </row>
    <row r="65" spans="1:11">
      <c r="A65" s="21" t="s">
        <v>3458</v>
      </c>
      <c r="B65" s="21" t="s">
        <v>7132</v>
      </c>
      <c r="C65" s="21" t="s">
        <v>8</v>
      </c>
      <c r="D65" s="21" t="s">
        <v>701</v>
      </c>
      <c r="E65" s="21" t="s">
        <v>193</v>
      </c>
      <c r="F65" s="5812">
        <v>3</v>
      </c>
      <c r="G65" s="5813">
        <v>0.20833333333333334</v>
      </c>
      <c r="H65" s="21" t="s">
        <v>10</v>
      </c>
      <c r="I65" s="21" t="s">
        <v>2297</v>
      </c>
      <c r="J65" s="21" t="s">
        <v>7133</v>
      </c>
      <c r="K65" s="5814" t="s">
        <v>7134</v>
      </c>
    </row>
    <row r="66" spans="1:11">
      <c r="A66" s="21" t="s">
        <v>5220</v>
      </c>
      <c r="B66" s="21" t="s">
        <v>7135</v>
      </c>
      <c r="C66" s="21" t="s">
        <v>22</v>
      </c>
      <c r="D66" s="21" t="s">
        <v>701</v>
      </c>
      <c r="E66" s="21" t="s">
        <v>193</v>
      </c>
      <c r="F66" s="5812">
        <v>3</v>
      </c>
      <c r="G66" s="5813">
        <v>0.20833333333333334</v>
      </c>
      <c r="H66" s="21" t="s">
        <v>10</v>
      </c>
      <c r="I66" s="21" t="s">
        <v>2814</v>
      </c>
      <c r="J66" s="21" t="s">
        <v>7136</v>
      </c>
      <c r="K66" s="5814" t="s">
        <v>7137</v>
      </c>
    </row>
    <row r="67" spans="1:11">
      <c r="A67" s="21" t="s">
        <v>4768</v>
      </c>
      <c r="B67" s="21" t="s">
        <v>7138</v>
      </c>
      <c r="C67" s="21" t="s">
        <v>8</v>
      </c>
      <c r="D67" s="21" t="s">
        <v>701</v>
      </c>
      <c r="E67" s="21" t="s">
        <v>193</v>
      </c>
      <c r="F67" s="5812">
        <v>3</v>
      </c>
      <c r="G67" s="5813">
        <v>0.20833333333333334</v>
      </c>
      <c r="H67" s="21" t="s">
        <v>10</v>
      </c>
      <c r="I67" s="21" t="s">
        <v>2269</v>
      </c>
      <c r="J67" s="21" t="s">
        <v>7139</v>
      </c>
      <c r="K67" s="5814" t="s">
        <v>7140</v>
      </c>
    </row>
    <row r="68" spans="1:11">
      <c r="A68" s="21" t="s">
        <v>3144</v>
      </c>
      <c r="B68" s="21" t="s">
        <v>7141</v>
      </c>
      <c r="C68" s="21" t="s">
        <v>22</v>
      </c>
      <c r="D68" s="21" t="s">
        <v>701</v>
      </c>
      <c r="E68" s="21" t="s">
        <v>193</v>
      </c>
      <c r="F68" s="5812">
        <v>3</v>
      </c>
      <c r="G68" s="5813">
        <v>0.20833333333333334</v>
      </c>
      <c r="H68" s="21" t="s">
        <v>10</v>
      </c>
      <c r="I68" s="21"/>
      <c r="J68" s="21" t="s">
        <v>7142</v>
      </c>
      <c r="K68" s="5814" t="s">
        <v>7143</v>
      </c>
    </row>
    <row r="69" spans="1:11">
      <c r="A69" s="21" t="s">
        <v>3630</v>
      </c>
      <c r="B69" s="21" t="s">
        <v>7144</v>
      </c>
      <c r="C69" s="21" t="s">
        <v>8</v>
      </c>
      <c r="D69" s="21" t="s">
        <v>701</v>
      </c>
      <c r="E69" s="21" t="s">
        <v>193</v>
      </c>
      <c r="F69" s="5812">
        <v>3</v>
      </c>
      <c r="G69" s="5813">
        <v>0.20833333333333334</v>
      </c>
      <c r="H69" s="21" t="s">
        <v>10</v>
      </c>
      <c r="I69" s="21" t="s">
        <v>4791</v>
      </c>
      <c r="J69" s="21" t="s">
        <v>7145</v>
      </c>
      <c r="K69" s="5814" t="s">
        <v>7146</v>
      </c>
    </row>
    <row r="70" spans="1:11">
      <c r="A70" s="21" t="s">
        <v>2850</v>
      </c>
      <c r="B70" s="21" t="s">
        <v>7147</v>
      </c>
      <c r="C70" s="21" t="s">
        <v>22</v>
      </c>
      <c r="D70" s="21" t="s">
        <v>701</v>
      </c>
      <c r="E70" s="21" t="s">
        <v>193</v>
      </c>
      <c r="F70" s="5812">
        <v>3</v>
      </c>
      <c r="G70" s="5813">
        <v>0.20833333333333334</v>
      </c>
      <c r="H70" s="21" t="s">
        <v>10</v>
      </c>
      <c r="I70" s="21" t="s">
        <v>47</v>
      </c>
      <c r="J70" s="21" t="s">
        <v>7148</v>
      </c>
      <c r="K70" s="5814" t="s">
        <v>7149</v>
      </c>
    </row>
    <row r="71" spans="1:11">
      <c r="A71" s="21" t="s">
        <v>4423</v>
      </c>
      <c r="B71" s="21" t="s">
        <v>7150</v>
      </c>
      <c r="C71" s="21" t="s">
        <v>8</v>
      </c>
      <c r="D71" s="21" t="s">
        <v>701</v>
      </c>
      <c r="E71" s="21" t="s">
        <v>193</v>
      </c>
      <c r="F71" s="5812">
        <v>3</v>
      </c>
      <c r="G71" s="5813">
        <v>0.20833333333333334</v>
      </c>
      <c r="H71" s="21" t="s">
        <v>10</v>
      </c>
      <c r="I71" s="21" t="s">
        <v>96</v>
      </c>
      <c r="J71" s="21" t="s">
        <v>7040</v>
      </c>
      <c r="K71" s="5814" t="s">
        <v>7151</v>
      </c>
    </row>
    <row r="72" spans="1:11">
      <c r="A72" s="21" t="s">
        <v>2267</v>
      </c>
      <c r="B72" s="21" t="s">
        <v>7152</v>
      </c>
      <c r="C72" s="21" t="s">
        <v>8</v>
      </c>
      <c r="D72" s="21" t="s">
        <v>701</v>
      </c>
      <c r="E72" s="21" t="s">
        <v>193</v>
      </c>
      <c r="F72" s="5812">
        <v>3</v>
      </c>
      <c r="G72" s="5813">
        <v>0.20833333333333334</v>
      </c>
      <c r="H72" s="21" t="s">
        <v>10</v>
      </c>
      <c r="I72" s="21" t="s">
        <v>2269</v>
      </c>
      <c r="J72" s="21" t="s">
        <v>7153</v>
      </c>
      <c r="K72" s="5814" t="s">
        <v>7154</v>
      </c>
    </row>
    <row r="73" spans="1:11">
      <c r="A73" s="21" t="s">
        <v>2854</v>
      </c>
      <c r="B73" s="21" t="s">
        <v>7155</v>
      </c>
      <c r="C73" s="21" t="s">
        <v>22</v>
      </c>
      <c r="D73" s="21" t="s">
        <v>701</v>
      </c>
      <c r="E73" s="21" t="s">
        <v>193</v>
      </c>
      <c r="F73" s="5812">
        <v>3</v>
      </c>
      <c r="G73" s="5813">
        <v>0.20833333333333334</v>
      </c>
      <c r="H73" s="21" t="s">
        <v>10</v>
      </c>
      <c r="I73" s="21" t="s">
        <v>263</v>
      </c>
      <c r="J73" s="21" t="s">
        <v>7156</v>
      </c>
      <c r="K73" s="5814" t="s">
        <v>7157</v>
      </c>
    </row>
    <row r="74" spans="1:11">
      <c r="A74" s="21" t="s">
        <v>3293</v>
      </c>
      <c r="B74" s="21" t="s">
        <v>7158</v>
      </c>
      <c r="C74" s="21" t="s">
        <v>8</v>
      </c>
      <c r="D74" s="21" t="s">
        <v>701</v>
      </c>
      <c r="E74" s="21" t="s">
        <v>193</v>
      </c>
      <c r="F74" s="5812">
        <v>3</v>
      </c>
      <c r="G74" s="5813">
        <v>0.20833333333333334</v>
      </c>
      <c r="H74" s="21" t="s">
        <v>10</v>
      </c>
      <c r="I74" s="21" t="s">
        <v>96</v>
      </c>
      <c r="J74" s="21" t="s">
        <v>7159</v>
      </c>
      <c r="K74" s="5814" t="s">
        <v>7160</v>
      </c>
    </row>
    <row r="75" spans="1:11">
      <c r="A75" s="21" t="s">
        <v>3293</v>
      </c>
      <c r="B75" s="21" t="s">
        <v>7161</v>
      </c>
      <c r="C75" s="21" t="s">
        <v>8</v>
      </c>
      <c r="D75" s="21" t="s">
        <v>701</v>
      </c>
      <c r="E75" s="21" t="s">
        <v>193</v>
      </c>
      <c r="F75" s="5812">
        <v>3</v>
      </c>
      <c r="G75" s="5813">
        <v>0.20833333333333334</v>
      </c>
      <c r="H75" s="21" t="s">
        <v>10</v>
      </c>
      <c r="I75" s="21" t="s">
        <v>23</v>
      </c>
      <c r="J75" s="21" t="s">
        <v>7162</v>
      </c>
      <c r="K75" s="5814" t="s">
        <v>7163</v>
      </c>
    </row>
    <row r="76" spans="1:11">
      <c r="A76" s="21" t="s">
        <v>2276</v>
      </c>
      <c r="B76" s="21" t="s">
        <v>7164</v>
      </c>
      <c r="C76" s="21" t="s">
        <v>22</v>
      </c>
      <c r="D76" s="21" t="s">
        <v>701</v>
      </c>
      <c r="E76" s="21" t="s">
        <v>193</v>
      </c>
      <c r="F76" s="5812">
        <v>3</v>
      </c>
      <c r="G76" s="5813">
        <v>0.20833333333333334</v>
      </c>
      <c r="H76" s="21" t="s">
        <v>10</v>
      </c>
      <c r="I76" s="21" t="s">
        <v>55</v>
      </c>
      <c r="J76" s="21" t="s">
        <v>7165</v>
      </c>
      <c r="K76" s="5814" t="s">
        <v>7166</v>
      </c>
    </row>
    <row r="77" spans="1:11">
      <c r="A77" s="21" t="s">
        <v>2870</v>
      </c>
      <c r="B77" s="21" t="s">
        <v>7167</v>
      </c>
      <c r="C77" s="21" t="s">
        <v>8</v>
      </c>
      <c r="D77" s="21" t="s">
        <v>701</v>
      </c>
      <c r="E77" s="21" t="s">
        <v>193</v>
      </c>
      <c r="F77" s="5812">
        <v>3</v>
      </c>
      <c r="G77" s="5813">
        <v>0.20833333333333334</v>
      </c>
      <c r="H77" s="21" t="s">
        <v>10</v>
      </c>
      <c r="I77" s="21" t="s">
        <v>55</v>
      </c>
      <c r="J77" s="21" t="s">
        <v>7168</v>
      </c>
      <c r="K77" s="5814" t="s">
        <v>7169</v>
      </c>
    </row>
    <row r="78" spans="1:11">
      <c r="A78" s="21" t="s">
        <v>2870</v>
      </c>
      <c r="B78" s="21" t="s">
        <v>7170</v>
      </c>
      <c r="C78" s="21" t="s">
        <v>22</v>
      </c>
      <c r="D78" s="21" t="s">
        <v>701</v>
      </c>
      <c r="E78" s="21" t="s">
        <v>193</v>
      </c>
      <c r="F78" s="5812">
        <v>3</v>
      </c>
      <c r="G78" s="5813">
        <v>0.20833333333333334</v>
      </c>
      <c r="H78" s="21" t="s">
        <v>10</v>
      </c>
      <c r="I78" s="21" t="s">
        <v>2872</v>
      </c>
      <c r="J78" s="21" t="s">
        <v>7171</v>
      </c>
      <c r="K78" s="5814" t="s">
        <v>7172</v>
      </c>
    </row>
    <row r="79" spans="1:11">
      <c r="A79" s="21" t="s">
        <v>3260</v>
      </c>
      <c r="B79" s="21" t="s">
        <v>7173</v>
      </c>
      <c r="C79" s="21" t="s">
        <v>22</v>
      </c>
      <c r="D79" s="21" t="s">
        <v>701</v>
      </c>
      <c r="E79" s="21" t="s">
        <v>193</v>
      </c>
      <c r="F79" s="5812">
        <v>3</v>
      </c>
      <c r="G79" s="5813">
        <v>0.20833333333333334</v>
      </c>
      <c r="H79" s="21" t="s">
        <v>10</v>
      </c>
      <c r="I79" s="21" t="s">
        <v>2297</v>
      </c>
      <c r="J79" s="21" t="s">
        <v>7174</v>
      </c>
      <c r="K79" s="5814" t="s">
        <v>7175</v>
      </c>
    </row>
    <row r="80" spans="1:11">
      <c r="A80" s="21" t="s">
        <v>2127</v>
      </c>
      <c r="B80" s="21" t="s">
        <v>7176</v>
      </c>
      <c r="C80" s="21" t="s">
        <v>22</v>
      </c>
      <c r="D80" s="21" t="s">
        <v>701</v>
      </c>
      <c r="E80" s="21" t="s">
        <v>193</v>
      </c>
      <c r="F80" s="5812">
        <v>5</v>
      </c>
      <c r="G80" s="5813">
        <v>0.20833333333333334</v>
      </c>
      <c r="H80" s="21" t="s">
        <v>54</v>
      </c>
      <c r="I80" s="21" t="s">
        <v>55</v>
      </c>
      <c r="J80" s="21" t="s">
        <v>7177</v>
      </c>
      <c r="K80" s="5814" t="s">
        <v>7178</v>
      </c>
    </row>
    <row r="81" spans="1:11">
      <c r="A81" s="21" t="s">
        <v>4565</v>
      </c>
      <c r="B81" s="21" t="s">
        <v>7179</v>
      </c>
      <c r="C81" s="21" t="s">
        <v>22</v>
      </c>
      <c r="D81" s="21" t="s">
        <v>701</v>
      </c>
      <c r="E81" s="21" t="s">
        <v>193</v>
      </c>
      <c r="F81" s="5812">
        <v>5</v>
      </c>
      <c r="G81" s="5813">
        <v>0.20833333333333334</v>
      </c>
      <c r="H81" s="21" t="s">
        <v>54</v>
      </c>
      <c r="I81" s="21" t="s">
        <v>47</v>
      </c>
      <c r="J81" s="21" t="s">
        <v>7180</v>
      </c>
      <c r="K81" s="5814" t="s">
        <v>7181</v>
      </c>
    </row>
    <row r="82" spans="1:11">
      <c r="A82" s="21" t="s">
        <v>87</v>
      </c>
      <c r="B82" s="21" t="s">
        <v>787</v>
      </c>
      <c r="C82" s="21" t="s">
        <v>22</v>
      </c>
      <c r="D82" s="21" t="s">
        <v>701</v>
      </c>
      <c r="E82" s="21" t="s">
        <v>9</v>
      </c>
      <c r="F82" s="5812">
        <v>3</v>
      </c>
      <c r="G82" s="5813">
        <v>0.20833333333333334</v>
      </c>
      <c r="H82" s="21" t="s">
        <v>10</v>
      </c>
      <c r="I82" s="21" t="s">
        <v>788</v>
      </c>
      <c r="J82" s="21" t="s">
        <v>789</v>
      </c>
      <c r="K82" s="5814" t="s">
        <v>790</v>
      </c>
    </row>
    <row r="83" spans="1:11">
      <c r="A83" s="21" t="s">
        <v>87</v>
      </c>
      <c r="B83" s="21" t="s">
        <v>794</v>
      </c>
      <c r="C83" s="21" t="s">
        <v>22</v>
      </c>
      <c r="D83" s="21" t="s">
        <v>701</v>
      </c>
      <c r="E83" s="21" t="s">
        <v>9</v>
      </c>
      <c r="F83" s="5812">
        <v>3</v>
      </c>
      <c r="G83" s="5813">
        <v>0.20833333333333334</v>
      </c>
      <c r="H83" s="21" t="s">
        <v>10</v>
      </c>
      <c r="I83" s="21" t="s">
        <v>47</v>
      </c>
      <c r="J83" s="21" t="s">
        <v>795</v>
      </c>
      <c r="K83" s="5814" t="s">
        <v>796</v>
      </c>
    </row>
    <row r="84" spans="1:11">
      <c r="A84" s="21" t="s">
        <v>87</v>
      </c>
      <c r="B84" s="21" t="s">
        <v>806</v>
      </c>
      <c r="C84" s="21" t="s">
        <v>8</v>
      </c>
      <c r="D84" s="21" t="s">
        <v>701</v>
      </c>
      <c r="E84" s="21" t="s">
        <v>9</v>
      </c>
      <c r="F84" s="5812">
        <v>3</v>
      </c>
      <c r="G84" s="5813">
        <v>0.20833333333333334</v>
      </c>
      <c r="H84" s="21" t="s">
        <v>10</v>
      </c>
      <c r="I84" s="21" t="s">
        <v>89</v>
      </c>
      <c r="J84" s="21" t="s">
        <v>90</v>
      </c>
      <c r="K84" s="5814" t="s">
        <v>807</v>
      </c>
    </row>
    <row r="85" spans="1:11">
      <c r="A85" s="21" t="s">
        <v>94</v>
      </c>
      <c r="B85" s="21" t="s">
        <v>810</v>
      </c>
      <c r="C85" s="21" t="s">
        <v>8</v>
      </c>
      <c r="D85" s="21" t="s">
        <v>701</v>
      </c>
      <c r="E85" s="21" t="s">
        <v>9</v>
      </c>
      <c r="F85" s="5812">
        <v>3</v>
      </c>
      <c r="G85" s="5813">
        <v>0.20833333333333334</v>
      </c>
      <c r="H85" s="21" t="s">
        <v>10</v>
      </c>
      <c r="I85" s="21" t="s">
        <v>23</v>
      </c>
      <c r="J85" s="21" t="s">
        <v>811</v>
      </c>
      <c r="K85" s="5814" t="s">
        <v>812</v>
      </c>
    </row>
    <row r="86" spans="1:11">
      <c r="A86" s="21" t="s">
        <v>103</v>
      </c>
      <c r="B86" s="21" t="s">
        <v>822</v>
      </c>
      <c r="C86" s="21" t="s">
        <v>8</v>
      </c>
      <c r="D86" s="21" t="s">
        <v>701</v>
      </c>
      <c r="E86" s="21" t="s">
        <v>9</v>
      </c>
      <c r="F86" s="5812">
        <v>3</v>
      </c>
      <c r="G86" s="5813">
        <v>0.20833333333333334</v>
      </c>
      <c r="H86" s="21" t="s">
        <v>10</v>
      </c>
      <c r="I86" s="21" t="s">
        <v>47</v>
      </c>
      <c r="J86" s="21" t="s">
        <v>823</v>
      </c>
      <c r="K86" s="5814" t="s">
        <v>824</v>
      </c>
    </row>
    <row r="87" spans="1:11">
      <c r="A87" s="21" t="s">
        <v>79</v>
      </c>
      <c r="B87" s="21" t="s">
        <v>749</v>
      </c>
      <c r="C87" s="21" t="s">
        <v>22</v>
      </c>
      <c r="D87" s="21" t="s">
        <v>701</v>
      </c>
      <c r="E87" s="21" t="s">
        <v>9</v>
      </c>
      <c r="F87" s="5812">
        <v>3</v>
      </c>
      <c r="G87" s="5813">
        <v>0.20833333333333334</v>
      </c>
      <c r="H87" s="21" t="s">
        <v>10</v>
      </c>
      <c r="I87" s="21" t="s">
        <v>11</v>
      </c>
      <c r="J87" s="21" t="s">
        <v>750</v>
      </c>
      <c r="K87" s="5814" t="s">
        <v>751</v>
      </c>
    </row>
    <row r="88" spans="1:11">
      <c r="A88" s="21" t="s">
        <v>125</v>
      </c>
      <c r="B88" s="21" t="s">
        <v>755</v>
      </c>
      <c r="C88" s="21" t="s">
        <v>22</v>
      </c>
      <c r="D88" s="21" t="s">
        <v>701</v>
      </c>
      <c r="E88" s="21" t="s">
        <v>9</v>
      </c>
      <c r="F88" s="5812">
        <v>3</v>
      </c>
      <c r="G88" s="5813">
        <v>0.20833333333333334</v>
      </c>
      <c r="H88" s="21" t="s">
        <v>10</v>
      </c>
      <c r="I88" s="21" t="s">
        <v>39</v>
      </c>
      <c r="J88" s="21" t="s">
        <v>756</v>
      </c>
      <c r="K88" s="5814" t="s">
        <v>757</v>
      </c>
    </row>
    <row r="89" spans="1:11">
      <c r="A89" s="21" t="s">
        <v>135</v>
      </c>
      <c r="B89" s="21" t="s">
        <v>853</v>
      </c>
      <c r="C89" s="21" t="s">
        <v>8</v>
      </c>
      <c r="D89" s="21" t="s">
        <v>701</v>
      </c>
      <c r="E89" s="21" t="s">
        <v>9</v>
      </c>
      <c r="F89" s="5812">
        <v>3</v>
      </c>
      <c r="G89" s="5813">
        <v>0.20833333333333334</v>
      </c>
      <c r="H89" s="21" t="s">
        <v>10</v>
      </c>
      <c r="I89" s="21" t="s">
        <v>226</v>
      </c>
      <c r="J89" s="21" t="s">
        <v>854</v>
      </c>
      <c r="K89" s="5814" t="s">
        <v>855</v>
      </c>
    </row>
    <row r="90" spans="1:11">
      <c r="A90" s="21" t="s">
        <v>160</v>
      </c>
      <c r="B90" s="21" t="s">
        <v>865</v>
      </c>
      <c r="C90" s="21" t="s">
        <v>8</v>
      </c>
      <c r="D90" s="21" t="s">
        <v>701</v>
      </c>
      <c r="E90" s="21" t="s">
        <v>9</v>
      </c>
      <c r="F90" s="5812">
        <v>3</v>
      </c>
      <c r="G90" s="5813">
        <v>0.20833333333333334</v>
      </c>
      <c r="H90" s="21" t="s">
        <v>10</v>
      </c>
      <c r="I90" s="21" t="s">
        <v>89</v>
      </c>
      <c r="J90" s="21" t="s">
        <v>866</v>
      </c>
      <c r="K90" s="5814" t="s">
        <v>867</v>
      </c>
    </row>
    <row r="91" spans="1:11">
      <c r="A91" s="21" t="s">
        <v>177</v>
      </c>
      <c r="B91" s="21" t="s">
        <v>880</v>
      </c>
      <c r="C91" s="21" t="s">
        <v>8</v>
      </c>
      <c r="D91" s="21" t="s">
        <v>701</v>
      </c>
      <c r="E91" s="21" t="s">
        <v>9</v>
      </c>
      <c r="F91" s="5812">
        <v>3</v>
      </c>
      <c r="G91" s="5813">
        <v>0.20833333333333334</v>
      </c>
      <c r="H91" s="21" t="s">
        <v>10</v>
      </c>
      <c r="I91" s="21" t="s">
        <v>23</v>
      </c>
      <c r="J91" s="21" t="s">
        <v>881</v>
      </c>
      <c r="K91" s="5814" t="s">
        <v>882</v>
      </c>
    </row>
    <row r="92" spans="1:11">
      <c r="A92" s="21" t="s">
        <v>311</v>
      </c>
      <c r="B92" s="21" t="s">
        <v>888</v>
      </c>
      <c r="C92" s="21" t="s">
        <v>8</v>
      </c>
      <c r="D92" s="21" t="s">
        <v>701</v>
      </c>
      <c r="E92" s="21" t="s">
        <v>9</v>
      </c>
      <c r="F92" s="5812">
        <v>3</v>
      </c>
      <c r="G92" s="5813">
        <v>0.20833333333333334</v>
      </c>
      <c r="H92" s="21" t="s">
        <v>10</v>
      </c>
      <c r="I92" s="21" t="s">
        <v>39</v>
      </c>
      <c r="J92" s="21" t="s">
        <v>889</v>
      </c>
      <c r="K92" s="5814" t="s">
        <v>890</v>
      </c>
    </row>
    <row r="93" spans="1:11">
      <c r="A93" s="21" t="s">
        <v>311</v>
      </c>
      <c r="B93" s="21" t="s">
        <v>893</v>
      </c>
      <c r="C93" s="21" t="s">
        <v>22</v>
      </c>
      <c r="D93" s="21" t="s">
        <v>701</v>
      </c>
      <c r="E93" s="21" t="s">
        <v>9</v>
      </c>
      <c r="F93" s="5812">
        <v>3</v>
      </c>
      <c r="G93" s="5813">
        <v>0.20833333333333334</v>
      </c>
      <c r="H93" s="21" t="s">
        <v>10</v>
      </c>
      <c r="I93" s="21" t="s">
        <v>73</v>
      </c>
      <c r="J93" s="21" t="s">
        <v>894</v>
      </c>
      <c r="K93" s="5814" t="s">
        <v>895</v>
      </c>
    </row>
    <row r="94" spans="1:11">
      <c r="A94" s="21" t="s">
        <v>44</v>
      </c>
      <c r="B94" s="21" t="s">
        <v>901</v>
      </c>
      <c r="C94" s="21" t="s">
        <v>22</v>
      </c>
      <c r="D94" s="21" t="s">
        <v>701</v>
      </c>
      <c r="E94" s="21" t="s">
        <v>9</v>
      </c>
      <c r="F94" s="5812">
        <v>3</v>
      </c>
      <c r="G94" s="5813">
        <v>0.20833333333333334</v>
      </c>
      <c r="H94" s="21" t="s">
        <v>10</v>
      </c>
      <c r="I94" s="21" t="s">
        <v>39</v>
      </c>
      <c r="J94" s="21" t="s">
        <v>902</v>
      </c>
      <c r="K94" s="5814" t="s">
        <v>903</v>
      </c>
    </row>
    <row r="95" spans="1:11">
      <c r="A95" s="21" t="s">
        <v>207</v>
      </c>
      <c r="B95" s="21" t="s">
        <v>916</v>
      </c>
      <c r="C95" s="21" t="s">
        <v>22</v>
      </c>
      <c r="D95" s="21" t="s">
        <v>701</v>
      </c>
      <c r="E95" s="21" t="s">
        <v>9</v>
      </c>
      <c r="F95" s="5812">
        <v>3</v>
      </c>
      <c r="G95" s="5813">
        <v>0.20833333333333334</v>
      </c>
      <c r="H95" s="21" t="s">
        <v>10</v>
      </c>
      <c r="I95" s="21" t="s">
        <v>39</v>
      </c>
      <c r="J95" s="21" t="s">
        <v>917</v>
      </c>
      <c r="K95" s="5814" t="s">
        <v>918</v>
      </c>
    </row>
    <row r="96" spans="1:11">
      <c r="A96" s="21" t="s">
        <v>4654</v>
      </c>
      <c r="B96" s="21" t="s">
        <v>7182</v>
      </c>
      <c r="C96" s="21" t="s">
        <v>8</v>
      </c>
      <c r="D96" s="21" t="s">
        <v>701</v>
      </c>
      <c r="E96" s="21" t="s">
        <v>9</v>
      </c>
      <c r="F96" s="5812">
        <v>3</v>
      </c>
      <c r="G96" s="5813">
        <v>0.20833333333333334</v>
      </c>
      <c r="H96" s="21" t="s">
        <v>10</v>
      </c>
      <c r="I96" s="21" t="s">
        <v>5887</v>
      </c>
      <c r="J96" s="21" t="s">
        <v>7183</v>
      </c>
      <c r="K96" s="5814" t="s">
        <v>7184</v>
      </c>
    </row>
    <row r="97" spans="1:11">
      <c r="A97" s="21" t="s">
        <v>4654</v>
      </c>
      <c r="B97" s="21" t="s">
        <v>7185</v>
      </c>
      <c r="C97" s="21" t="s">
        <v>8</v>
      </c>
      <c r="D97" s="21" t="s">
        <v>701</v>
      </c>
      <c r="E97" s="21" t="s">
        <v>9</v>
      </c>
      <c r="F97" s="5812">
        <v>3</v>
      </c>
      <c r="G97" s="5813">
        <v>0.20833333333333334</v>
      </c>
      <c r="H97" s="21" t="s">
        <v>10</v>
      </c>
      <c r="I97" s="21" t="s">
        <v>47</v>
      </c>
      <c r="J97" s="21" t="s">
        <v>7186</v>
      </c>
      <c r="K97" s="5814" t="s">
        <v>7187</v>
      </c>
    </row>
    <row r="98" spans="1:11">
      <c r="A98" s="21" t="s">
        <v>2323</v>
      </c>
      <c r="B98" s="21" t="s">
        <v>7188</v>
      </c>
      <c r="C98" s="21" t="s">
        <v>22</v>
      </c>
      <c r="D98" s="21" t="s">
        <v>701</v>
      </c>
      <c r="E98" s="21" t="s">
        <v>9</v>
      </c>
      <c r="F98" s="5812">
        <v>3</v>
      </c>
      <c r="G98" s="5813">
        <v>0.20833333333333334</v>
      </c>
      <c r="H98" s="21" t="s">
        <v>10</v>
      </c>
      <c r="I98" s="21" t="s">
        <v>96</v>
      </c>
      <c r="J98" s="21" t="s">
        <v>7189</v>
      </c>
      <c r="K98" s="5814" t="s">
        <v>7190</v>
      </c>
    </row>
    <row r="99" spans="1:11">
      <c r="A99" s="21" t="s">
        <v>2084</v>
      </c>
      <c r="B99" s="21" t="s">
        <v>7191</v>
      </c>
      <c r="C99" s="21" t="s">
        <v>22</v>
      </c>
      <c r="D99" s="21" t="s">
        <v>701</v>
      </c>
      <c r="E99" s="21" t="s">
        <v>9</v>
      </c>
      <c r="F99" s="5812">
        <v>3</v>
      </c>
      <c r="G99" s="5813">
        <v>0.20833333333333334</v>
      </c>
      <c r="H99" s="21" t="s">
        <v>10</v>
      </c>
      <c r="I99" s="21" t="s">
        <v>96</v>
      </c>
      <c r="J99" s="21" t="s">
        <v>7192</v>
      </c>
      <c r="K99" s="5814" t="s">
        <v>7193</v>
      </c>
    </row>
    <row r="100" spans="1:11">
      <c r="A100" s="21" t="s">
        <v>2084</v>
      </c>
      <c r="B100" s="21" t="s">
        <v>7194</v>
      </c>
      <c r="C100" s="21" t="s">
        <v>8</v>
      </c>
      <c r="D100" s="21" t="s">
        <v>701</v>
      </c>
      <c r="E100" s="21" t="s">
        <v>9</v>
      </c>
      <c r="F100" s="5812">
        <v>3</v>
      </c>
      <c r="G100" s="5813">
        <v>0.20833333333333334</v>
      </c>
      <c r="H100" s="21" t="s">
        <v>10</v>
      </c>
      <c r="I100" s="21" t="s">
        <v>3343</v>
      </c>
      <c r="J100" s="21" t="s">
        <v>7195</v>
      </c>
      <c r="K100" s="5814" t="s">
        <v>7196</v>
      </c>
    </row>
    <row r="101" spans="1:11">
      <c r="A101" s="21" t="s">
        <v>3855</v>
      </c>
      <c r="B101" s="21" t="s">
        <v>7197</v>
      </c>
      <c r="C101" s="21" t="s">
        <v>8</v>
      </c>
      <c r="D101" s="21" t="s">
        <v>701</v>
      </c>
      <c r="E101" s="21" t="s">
        <v>9</v>
      </c>
      <c r="F101" s="5812">
        <v>3</v>
      </c>
      <c r="G101" s="5813">
        <v>0.20833333333333334</v>
      </c>
      <c r="H101" s="21" t="s">
        <v>10</v>
      </c>
      <c r="I101" s="21" t="s">
        <v>39</v>
      </c>
      <c r="J101" s="21" t="s">
        <v>7198</v>
      </c>
      <c r="K101" s="5814" t="s">
        <v>7199</v>
      </c>
    </row>
    <row r="102" spans="1:11">
      <c r="A102" s="21" t="s">
        <v>3855</v>
      </c>
      <c r="B102" s="21" t="s">
        <v>7200</v>
      </c>
      <c r="C102" s="21" t="s">
        <v>8</v>
      </c>
      <c r="D102" s="21" t="s">
        <v>701</v>
      </c>
      <c r="E102" s="21" t="s">
        <v>9</v>
      </c>
      <c r="F102" s="5812">
        <v>3</v>
      </c>
      <c r="G102" s="5813">
        <v>0.20833333333333334</v>
      </c>
      <c r="H102" s="21" t="s">
        <v>10</v>
      </c>
      <c r="I102" s="21" t="s">
        <v>654</v>
      </c>
      <c r="J102" s="21" t="s">
        <v>7201</v>
      </c>
      <c r="K102" s="5814" t="s">
        <v>7202</v>
      </c>
    </row>
    <row r="103" spans="1:11">
      <c r="A103" s="21" t="s">
        <v>3029</v>
      </c>
      <c r="B103" s="21" t="s">
        <v>7203</v>
      </c>
      <c r="C103" s="21" t="s">
        <v>22</v>
      </c>
      <c r="D103" s="21" t="s">
        <v>701</v>
      </c>
      <c r="E103" s="21" t="s">
        <v>9</v>
      </c>
      <c r="F103" s="5812">
        <v>3</v>
      </c>
      <c r="G103" s="5813">
        <v>0.20833333333333334</v>
      </c>
      <c r="H103" s="21" t="s">
        <v>10</v>
      </c>
      <c r="I103" s="21" t="s">
        <v>23</v>
      </c>
      <c r="J103" s="21" t="s">
        <v>7204</v>
      </c>
      <c r="K103" s="5814" t="s">
        <v>7205</v>
      </c>
    </row>
    <row r="104" spans="1:11">
      <c r="A104" s="21" t="s">
        <v>4552</v>
      </c>
      <c r="B104" s="21" t="s">
        <v>7206</v>
      </c>
      <c r="C104" s="21" t="s">
        <v>22</v>
      </c>
      <c r="D104" s="21" t="s">
        <v>701</v>
      </c>
      <c r="E104" s="21" t="s">
        <v>9</v>
      </c>
      <c r="F104" s="5812">
        <v>3</v>
      </c>
      <c r="G104" s="5813">
        <v>0.20833333333333334</v>
      </c>
      <c r="H104" s="21" t="s">
        <v>10</v>
      </c>
      <c r="I104" s="21" t="s">
        <v>55</v>
      </c>
      <c r="J104" s="21" t="s">
        <v>7207</v>
      </c>
      <c r="K104" s="5814" t="s">
        <v>7208</v>
      </c>
    </row>
    <row r="105" spans="1:11">
      <c r="A105" s="21" t="s">
        <v>3664</v>
      </c>
      <c r="B105" s="21" t="s">
        <v>7209</v>
      </c>
      <c r="C105" s="21" t="s">
        <v>22</v>
      </c>
      <c r="D105" s="21" t="s">
        <v>701</v>
      </c>
      <c r="E105" s="21" t="s">
        <v>9</v>
      </c>
      <c r="F105" s="5812">
        <v>3</v>
      </c>
      <c r="G105" s="5813">
        <v>0.20833333333333334</v>
      </c>
      <c r="H105" s="21" t="s">
        <v>10</v>
      </c>
      <c r="I105" s="21" t="s">
        <v>2435</v>
      </c>
      <c r="J105" s="21" t="s">
        <v>7210</v>
      </c>
      <c r="K105" s="5814" t="s">
        <v>7211</v>
      </c>
    </row>
    <row r="106" spans="1:11">
      <c r="A106" s="21" t="s">
        <v>3491</v>
      </c>
      <c r="B106" s="21" t="s">
        <v>7212</v>
      </c>
      <c r="C106" s="21" t="s">
        <v>8</v>
      </c>
      <c r="D106" s="21" t="s">
        <v>701</v>
      </c>
      <c r="E106" s="21" t="s">
        <v>9</v>
      </c>
      <c r="F106" s="5812">
        <v>3</v>
      </c>
      <c r="G106" s="5813">
        <v>0.20833333333333334</v>
      </c>
      <c r="H106" s="21" t="s">
        <v>10</v>
      </c>
      <c r="I106" s="21" t="s">
        <v>96</v>
      </c>
      <c r="J106" s="21" t="s">
        <v>7213</v>
      </c>
      <c r="K106" s="5814" t="s">
        <v>7214</v>
      </c>
    </row>
    <row r="107" spans="1:11">
      <c r="A107" s="21" t="s">
        <v>2334</v>
      </c>
      <c r="B107" s="21" t="s">
        <v>7215</v>
      </c>
      <c r="C107" s="21" t="s">
        <v>22</v>
      </c>
      <c r="D107" s="21" t="s">
        <v>701</v>
      </c>
      <c r="E107" s="21" t="s">
        <v>9</v>
      </c>
      <c r="F107" s="5812">
        <v>3</v>
      </c>
      <c r="G107" s="5813">
        <v>0.20833333333333334</v>
      </c>
      <c r="H107" s="21" t="s">
        <v>10</v>
      </c>
      <c r="I107" s="21" t="s">
        <v>6824</v>
      </c>
      <c r="J107" s="21" t="s">
        <v>7216</v>
      </c>
      <c r="K107" s="5814" t="s">
        <v>7217</v>
      </c>
    </row>
    <row r="108" spans="1:11">
      <c r="A108" s="21" t="s">
        <v>2334</v>
      </c>
      <c r="B108" s="21" t="s">
        <v>7218</v>
      </c>
      <c r="C108" s="21" t="s">
        <v>22</v>
      </c>
      <c r="D108" s="21" t="s">
        <v>701</v>
      </c>
      <c r="E108" s="21" t="s">
        <v>9</v>
      </c>
      <c r="F108" s="5812">
        <v>3</v>
      </c>
      <c r="G108" s="5813">
        <v>0.20833333333333334</v>
      </c>
      <c r="H108" s="21" t="s">
        <v>10</v>
      </c>
      <c r="I108" s="21" t="s">
        <v>96</v>
      </c>
      <c r="J108" s="21" t="s">
        <v>7219</v>
      </c>
      <c r="K108" s="5814" t="s">
        <v>7220</v>
      </c>
    </row>
    <row r="109" spans="1:11">
      <c r="A109" s="21" t="s">
        <v>2049</v>
      </c>
      <c r="B109" s="21" t="s">
        <v>7221</v>
      </c>
      <c r="C109" s="21" t="s">
        <v>22</v>
      </c>
      <c r="D109" s="21" t="s">
        <v>701</v>
      </c>
      <c r="E109" s="21" t="s">
        <v>9</v>
      </c>
      <c r="F109" s="5812">
        <v>3</v>
      </c>
      <c r="G109" s="5813">
        <v>0.20833333333333334</v>
      </c>
      <c r="H109" s="21" t="s">
        <v>10</v>
      </c>
      <c r="I109" s="21" t="s">
        <v>39</v>
      </c>
      <c r="J109" s="21" t="s">
        <v>7222</v>
      </c>
      <c r="K109" s="5814" t="s">
        <v>7223</v>
      </c>
    </row>
    <row r="110" spans="1:11">
      <c r="A110" s="21" t="s">
        <v>3882</v>
      </c>
      <c r="B110" s="21" t="s">
        <v>7224</v>
      </c>
      <c r="C110" s="21" t="s">
        <v>22</v>
      </c>
      <c r="D110" s="21" t="s">
        <v>701</v>
      </c>
      <c r="E110" s="21" t="s">
        <v>9</v>
      </c>
      <c r="F110" s="5812">
        <v>3</v>
      </c>
      <c r="G110" s="5813">
        <v>0.20833333333333334</v>
      </c>
      <c r="H110" s="21" t="s">
        <v>10</v>
      </c>
      <c r="I110" s="21" t="s">
        <v>55</v>
      </c>
      <c r="J110" s="21" t="s">
        <v>7225</v>
      </c>
      <c r="K110" s="5814" t="s">
        <v>7226</v>
      </c>
    </row>
    <row r="111" spans="1:11">
      <c r="A111" s="21" t="s">
        <v>3886</v>
      </c>
      <c r="B111" s="21" t="s">
        <v>7227</v>
      </c>
      <c r="C111" s="21" t="s">
        <v>8</v>
      </c>
      <c r="D111" s="21" t="s">
        <v>701</v>
      </c>
      <c r="E111" s="21" t="s">
        <v>9</v>
      </c>
      <c r="F111" s="5812">
        <v>3</v>
      </c>
      <c r="G111" s="5813">
        <v>0.20833333333333334</v>
      </c>
      <c r="H111" s="21" t="s">
        <v>10</v>
      </c>
      <c r="I111" s="21" t="s">
        <v>47</v>
      </c>
      <c r="J111" s="21" t="s">
        <v>7228</v>
      </c>
      <c r="K111" s="5814" t="s">
        <v>7229</v>
      </c>
    </row>
    <row r="112" spans="1:11">
      <c r="A112" s="21" t="s">
        <v>2358</v>
      </c>
      <c r="B112" s="21" t="s">
        <v>7230</v>
      </c>
      <c r="C112" s="21" t="s">
        <v>8</v>
      </c>
      <c r="D112" s="21" t="s">
        <v>701</v>
      </c>
      <c r="E112" s="21" t="s">
        <v>9</v>
      </c>
      <c r="F112" s="5812">
        <v>3</v>
      </c>
      <c r="G112" s="5813">
        <v>0.20833333333333334</v>
      </c>
      <c r="H112" s="21" t="s">
        <v>10</v>
      </c>
      <c r="I112" s="21" t="s">
        <v>73</v>
      </c>
      <c r="J112" s="21" t="s">
        <v>2411</v>
      </c>
      <c r="K112" s="5814" t="s">
        <v>7231</v>
      </c>
    </row>
    <row r="113" spans="1:11">
      <c r="A113" s="21" t="s">
        <v>2362</v>
      </c>
      <c r="B113" s="21" t="s">
        <v>7232</v>
      </c>
      <c r="C113" s="21" t="s">
        <v>8</v>
      </c>
      <c r="D113" s="21" t="s">
        <v>701</v>
      </c>
      <c r="E113" s="21" t="s">
        <v>9</v>
      </c>
      <c r="F113" s="5812">
        <v>3</v>
      </c>
      <c r="G113" s="5813">
        <v>0.20833333333333334</v>
      </c>
      <c r="H113" s="21" t="s">
        <v>10</v>
      </c>
      <c r="I113" s="21" t="s">
        <v>39</v>
      </c>
      <c r="J113" s="21" t="s">
        <v>4165</v>
      </c>
      <c r="K113" s="5814" t="s">
        <v>7233</v>
      </c>
    </row>
    <row r="114" spans="1:11">
      <c r="A114" s="21" t="s">
        <v>2362</v>
      </c>
      <c r="B114" s="21" t="s">
        <v>7234</v>
      </c>
      <c r="C114" s="21" t="s">
        <v>8</v>
      </c>
      <c r="D114" s="21" t="s">
        <v>701</v>
      </c>
      <c r="E114" s="21" t="s">
        <v>9</v>
      </c>
      <c r="F114" s="5812">
        <v>3</v>
      </c>
      <c r="G114" s="5813">
        <v>0.20833333333333334</v>
      </c>
      <c r="H114" s="21" t="s">
        <v>10</v>
      </c>
      <c r="I114" s="21" t="s">
        <v>39</v>
      </c>
      <c r="J114" s="21" t="s">
        <v>7235</v>
      </c>
      <c r="K114" s="5814" t="s">
        <v>7236</v>
      </c>
    </row>
    <row r="115" spans="1:11">
      <c r="A115" s="21" t="s">
        <v>3230</v>
      </c>
      <c r="B115" s="21" t="s">
        <v>7237</v>
      </c>
      <c r="C115" s="21" t="s">
        <v>8</v>
      </c>
      <c r="D115" s="21" t="s">
        <v>701</v>
      </c>
      <c r="E115" s="21" t="s">
        <v>9</v>
      </c>
      <c r="F115" s="5812">
        <v>3</v>
      </c>
      <c r="G115" s="5813">
        <v>0.20833333333333334</v>
      </c>
      <c r="H115" s="21" t="s">
        <v>10</v>
      </c>
      <c r="I115" s="21" t="s">
        <v>55</v>
      </c>
      <c r="J115" s="21" t="s">
        <v>7238</v>
      </c>
      <c r="K115" s="5814" t="s">
        <v>7239</v>
      </c>
    </row>
    <row r="116" spans="1:11">
      <c r="A116" s="21" t="s">
        <v>3896</v>
      </c>
      <c r="B116" s="21" t="s">
        <v>7240</v>
      </c>
      <c r="C116" s="21" t="s">
        <v>8</v>
      </c>
      <c r="D116" s="21" t="s">
        <v>701</v>
      </c>
      <c r="E116" s="21" t="s">
        <v>9</v>
      </c>
      <c r="F116" s="5812">
        <v>3</v>
      </c>
      <c r="G116" s="5813">
        <v>0.20833333333333334</v>
      </c>
      <c r="H116" s="21" t="s">
        <v>10</v>
      </c>
      <c r="I116" s="21" t="s">
        <v>11</v>
      </c>
      <c r="J116" s="21" t="s">
        <v>7241</v>
      </c>
      <c r="K116" s="5814" t="s">
        <v>7242</v>
      </c>
    </row>
    <row r="117" spans="1:11">
      <c r="A117" s="21" t="s">
        <v>3896</v>
      </c>
      <c r="B117" s="21" t="s">
        <v>7243</v>
      </c>
      <c r="C117" s="21" t="s">
        <v>8</v>
      </c>
      <c r="D117" s="21" t="s">
        <v>701</v>
      </c>
      <c r="E117" s="21" t="s">
        <v>9</v>
      </c>
      <c r="F117" s="5812">
        <v>3</v>
      </c>
      <c r="G117" s="5813">
        <v>0.20833333333333334</v>
      </c>
      <c r="H117" s="21" t="s">
        <v>10</v>
      </c>
      <c r="I117" s="21" t="s">
        <v>609</v>
      </c>
      <c r="J117" s="21" t="s">
        <v>7244</v>
      </c>
      <c r="K117" s="5814" t="s">
        <v>7245</v>
      </c>
    </row>
    <row r="118" spans="1:11">
      <c r="A118" s="21" t="s">
        <v>2096</v>
      </c>
      <c r="B118" s="21" t="s">
        <v>7246</v>
      </c>
      <c r="C118" s="21" t="s">
        <v>8</v>
      </c>
      <c r="D118" s="21" t="s">
        <v>701</v>
      </c>
      <c r="E118" s="21" t="s">
        <v>9</v>
      </c>
      <c r="F118" s="5812">
        <v>3</v>
      </c>
      <c r="G118" s="5813">
        <v>0.20833333333333334</v>
      </c>
      <c r="H118" s="21" t="s">
        <v>10</v>
      </c>
      <c r="I118" s="21" t="s">
        <v>2544</v>
      </c>
      <c r="J118" s="21" t="s">
        <v>7247</v>
      </c>
      <c r="K118" s="5814" t="s">
        <v>7248</v>
      </c>
    </row>
    <row r="119" spans="1:11">
      <c r="A119" s="21" t="s">
        <v>2383</v>
      </c>
      <c r="B119" s="21" t="s">
        <v>7249</v>
      </c>
      <c r="C119" s="21" t="s">
        <v>8</v>
      </c>
      <c r="D119" s="21" t="s">
        <v>701</v>
      </c>
      <c r="E119" s="21" t="s">
        <v>9</v>
      </c>
      <c r="F119" s="5812">
        <v>3</v>
      </c>
      <c r="G119" s="5813">
        <v>0.20833333333333334</v>
      </c>
      <c r="H119" s="21" t="s">
        <v>10</v>
      </c>
      <c r="I119" s="21" t="s">
        <v>73</v>
      </c>
      <c r="J119" s="21" t="s">
        <v>7250</v>
      </c>
      <c r="K119" s="5814" t="s">
        <v>7251</v>
      </c>
    </row>
    <row r="120" spans="1:11">
      <c r="A120" s="21" t="s">
        <v>2387</v>
      </c>
      <c r="B120" s="21" t="s">
        <v>7252</v>
      </c>
      <c r="C120" s="21" t="s">
        <v>8</v>
      </c>
      <c r="D120" s="21" t="s">
        <v>701</v>
      </c>
      <c r="E120" s="21" t="s">
        <v>9</v>
      </c>
      <c r="F120" s="5812">
        <v>3</v>
      </c>
      <c r="G120" s="5813">
        <v>0.20833333333333334</v>
      </c>
      <c r="H120" s="21" t="s">
        <v>10</v>
      </c>
      <c r="I120" s="21" t="s">
        <v>55</v>
      </c>
      <c r="J120" s="21" t="s">
        <v>7253</v>
      </c>
      <c r="K120" s="5814" t="s">
        <v>7254</v>
      </c>
    </row>
    <row r="121" spans="1:11">
      <c r="A121" s="21" t="s">
        <v>3033</v>
      </c>
      <c r="B121" s="21" t="s">
        <v>7255</v>
      </c>
      <c r="C121" s="21" t="s">
        <v>22</v>
      </c>
      <c r="D121" s="21" t="s">
        <v>701</v>
      </c>
      <c r="E121" s="21" t="s">
        <v>9</v>
      </c>
      <c r="F121" s="5812">
        <v>3</v>
      </c>
      <c r="G121" s="5813">
        <v>0.20833333333333334</v>
      </c>
      <c r="H121" s="21" t="s">
        <v>10</v>
      </c>
      <c r="I121" s="21" t="s">
        <v>47</v>
      </c>
      <c r="J121" s="21" t="s">
        <v>7256</v>
      </c>
      <c r="K121" s="5814" t="s">
        <v>7257</v>
      </c>
    </row>
    <row r="122" spans="1:11">
      <c r="A122" s="21" t="s">
        <v>3033</v>
      </c>
      <c r="B122" s="21" t="s">
        <v>7258</v>
      </c>
      <c r="C122" s="21" t="s">
        <v>8</v>
      </c>
      <c r="D122" s="21" t="s">
        <v>701</v>
      </c>
      <c r="E122" s="21" t="s">
        <v>9</v>
      </c>
      <c r="F122" s="5812">
        <v>3</v>
      </c>
      <c r="G122" s="5813">
        <v>0.20833333333333334</v>
      </c>
      <c r="H122" s="21" t="s">
        <v>10</v>
      </c>
      <c r="I122" s="21" t="s">
        <v>2814</v>
      </c>
      <c r="J122" s="21" t="s">
        <v>7259</v>
      </c>
      <c r="K122" s="5814" t="s">
        <v>7260</v>
      </c>
    </row>
    <row r="123" spans="1:11">
      <c r="A123" s="21" t="s">
        <v>2395</v>
      </c>
      <c r="B123" s="21" t="s">
        <v>7261</v>
      </c>
      <c r="C123" s="21" t="s">
        <v>22</v>
      </c>
      <c r="D123" s="21" t="s">
        <v>701</v>
      </c>
      <c r="E123" s="21" t="s">
        <v>9</v>
      </c>
      <c r="F123" s="5812">
        <v>3</v>
      </c>
      <c r="G123" s="5813">
        <v>0.20833333333333334</v>
      </c>
      <c r="H123" s="21" t="s">
        <v>10</v>
      </c>
      <c r="I123" s="21" t="s">
        <v>55</v>
      </c>
      <c r="J123" s="21" t="s">
        <v>7262</v>
      </c>
      <c r="K123" s="5814" t="s">
        <v>7263</v>
      </c>
    </row>
    <row r="124" spans="1:11">
      <c r="A124" s="21" t="s">
        <v>5390</v>
      </c>
      <c r="B124" s="21" t="s">
        <v>7264</v>
      </c>
      <c r="C124" s="21" t="s">
        <v>8</v>
      </c>
      <c r="D124" s="21" t="s">
        <v>701</v>
      </c>
      <c r="E124" s="21" t="s">
        <v>9</v>
      </c>
      <c r="F124" s="5812">
        <v>3</v>
      </c>
      <c r="G124" s="5813">
        <v>0.20833333333333334</v>
      </c>
      <c r="H124" s="21" t="s">
        <v>10</v>
      </c>
      <c r="I124" s="21" t="s">
        <v>654</v>
      </c>
      <c r="J124" s="21" t="s">
        <v>7265</v>
      </c>
      <c r="K124" s="5814" t="s">
        <v>7266</v>
      </c>
    </row>
    <row r="125" spans="1:11">
      <c r="A125" s="21" t="s">
        <v>3909</v>
      </c>
      <c r="B125" s="21" t="s">
        <v>7267</v>
      </c>
      <c r="C125" s="21" t="s">
        <v>22</v>
      </c>
      <c r="D125" s="21" t="s">
        <v>701</v>
      </c>
      <c r="E125" s="21" t="s">
        <v>9</v>
      </c>
      <c r="F125" s="5812">
        <v>3</v>
      </c>
      <c r="G125" s="5813">
        <v>0.20833333333333334</v>
      </c>
      <c r="H125" s="21" t="s">
        <v>10</v>
      </c>
      <c r="I125" s="21" t="s">
        <v>47</v>
      </c>
      <c r="J125" s="21" t="s">
        <v>7268</v>
      </c>
      <c r="K125" s="5814" t="s">
        <v>7269</v>
      </c>
    </row>
    <row r="126" spans="1:11">
      <c r="A126" s="21" t="s">
        <v>3909</v>
      </c>
      <c r="B126" s="21" t="s">
        <v>7270</v>
      </c>
      <c r="C126" s="21" t="s">
        <v>8</v>
      </c>
      <c r="D126" s="21" t="s">
        <v>701</v>
      </c>
      <c r="E126" s="21" t="s">
        <v>9</v>
      </c>
      <c r="F126" s="5812">
        <v>3</v>
      </c>
      <c r="G126" s="5813">
        <v>0.20833333333333334</v>
      </c>
      <c r="H126" s="21" t="s">
        <v>10</v>
      </c>
      <c r="I126" s="21" t="s">
        <v>55</v>
      </c>
      <c r="J126" s="21" t="s">
        <v>7271</v>
      </c>
      <c r="K126" s="5814" t="s">
        <v>7272</v>
      </c>
    </row>
    <row r="127" spans="1:11">
      <c r="A127" s="21" t="s">
        <v>3909</v>
      </c>
      <c r="B127" s="21" t="s">
        <v>7273</v>
      </c>
      <c r="C127" s="21" t="s">
        <v>8</v>
      </c>
      <c r="D127" s="21" t="s">
        <v>701</v>
      </c>
      <c r="E127" s="21" t="s">
        <v>9</v>
      </c>
      <c r="F127" s="5812">
        <v>3</v>
      </c>
      <c r="G127" s="5813">
        <v>0.20833333333333334</v>
      </c>
      <c r="H127" s="21" t="s">
        <v>10</v>
      </c>
      <c r="I127" s="21" t="s">
        <v>55</v>
      </c>
      <c r="J127" s="21" t="s">
        <v>7274</v>
      </c>
      <c r="K127" s="5814" t="s">
        <v>7275</v>
      </c>
    </row>
    <row r="128" spans="1:11">
      <c r="A128" s="21" t="s">
        <v>2893</v>
      </c>
      <c r="B128" s="21" t="s">
        <v>7276</v>
      </c>
      <c r="C128" s="21" t="s">
        <v>8</v>
      </c>
      <c r="D128" s="21" t="s">
        <v>701</v>
      </c>
      <c r="E128" s="21" t="s">
        <v>9</v>
      </c>
      <c r="F128" s="5812">
        <v>3</v>
      </c>
      <c r="G128" s="5813">
        <v>0.20833333333333334</v>
      </c>
      <c r="H128" s="21" t="s">
        <v>10</v>
      </c>
      <c r="I128" s="21" t="s">
        <v>39</v>
      </c>
      <c r="J128" s="21" t="s">
        <v>7277</v>
      </c>
      <c r="K128" s="5814" t="s">
        <v>7278</v>
      </c>
    </row>
    <row r="129" spans="1:11">
      <c r="A129" s="21" t="s">
        <v>2433</v>
      </c>
      <c r="B129" s="21" t="s">
        <v>7279</v>
      </c>
      <c r="C129" s="21" t="s">
        <v>22</v>
      </c>
      <c r="D129" s="21" t="s">
        <v>701</v>
      </c>
      <c r="E129" s="21" t="s">
        <v>9</v>
      </c>
      <c r="F129" s="5812">
        <v>3</v>
      </c>
      <c r="G129" s="5813">
        <v>0.20833333333333334</v>
      </c>
      <c r="H129" s="21" t="s">
        <v>10</v>
      </c>
      <c r="I129" s="21" t="s">
        <v>2435</v>
      </c>
      <c r="J129" s="21" t="s">
        <v>7280</v>
      </c>
      <c r="K129" s="5814" t="s">
        <v>7281</v>
      </c>
    </row>
    <row r="130" spans="1:11">
      <c r="A130" s="21" t="s">
        <v>3130</v>
      </c>
      <c r="B130" s="21" t="s">
        <v>7282</v>
      </c>
      <c r="C130" s="21" t="s">
        <v>8</v>
      </c>
      <c r="D130" s="21" t="s">
        <v>701</v>
      </c>
      <c r="E130" s="21" t="s">
        <v>9</v>
      </c>
      <c r="F130" s="5812">
        <v>3</v>
      </c>
      <c r="G130" s="5813">
        <v>0.20833333333333334</v>
      </c>
      <c r="H130" s="21" t="s">
        <v>10</v>
      </c>
      <c r="I130" s="21" t="s">
        <v>263</v>
      </c>
      <c r="J130" s="21" t="s">
        <v>7283</v>
      </c>
      <c r="K130" s="5814" t="s">
        <v>7284</v>
      </c>
    </row>
    <row r="131" spans="1:11">
      <c r="A131" s="21" t="s">
        <v>2450</v>
      </c>
      <c r="B131" s="21" t="s">
        <v>7285</v>
      </c>
      <c r="C131" s="21" t="s">
        <v>8</v>
      </c>
      <c r="D131" s="21" t="s">
        <v>701</v>
      </c>
      <c r="E131" s="21" t="s">
        <v>9</v>
      </c>
      <c r="F131" s="5812">
        <v>3</v>
      </c>
      <c r="G131" s="5813">
        <v>0.20833333333333334</v>
      </c>
      <c r="H131" s="21" t="s">
        <v>10</v>
      </c>
      <c r="I131" s="21" t="s">
        <v>89</v>
      </c>
      <c r="J131" s="21" t="s">
        <v>7286</v>
      </c>
      <c r="K131" s="5814" t="s">
        <v>7287</v>
      </c>
    </row>
    <row r="132" spans="1:11">
      <c r="A132" s="21" t="s">
        <v>3946</v>
      </c>
      <c r="B132" s="21" t="s">
        <v>7288</v>
      </c>
      <c r="C132" s="21" t="s">
        <v>8</v>
      </c>
      <c r="D132" s="21" t="s">
        <v>701</v>
      </c>
      <c r="E132" s="21" t="s">
        <v>9</v>
      </c>
      <c r="F132" s="5812">
        <v>3</v>
      </c>
      <c r="G132" s="5813">
        <v>0.20833333333333334</v>
      </c>
      <c r="H132" s="21" t="s">
        <v>10</v>
      </c>
      <c r="I132" s="21" t="s">
        <v>39</v>
      </c>
      <c r="J132" s="21" t="s">
        <v>2346</v>
      </c>
      <c r="K132" s="5814" t="s">
        <v>7289</v>
      </c>
    </row>
    <row r="133" spans="1:11">
      <c r="A133" s="21" t="s">
        <v>2104</v>
      </c>
      <c r="B133" s="21" t="s">
        <v>7290</v>
      </c>
      <c r="C133" s="21" t="s">
        <v>8</v>
      </c>
      <c r="D133" s="21" t="s">
        <v>701</v>
      </c>
      <c r="E133" s="21" t="s">
        <v>9</v>
      </c>
      <c r="F133" s="5812">
        <v>3</v>
      </c>
      <c r="G133" s="5813">
        <v>0.20833333333333334</v>
      </c>
      <c r="H133" s="21" t="s">
        <v>10</v>
      </c>
      <c r="I133" s="21" t="s">
        <v>96</v>
      </c>
      <c r="J133" s="21" t="s">
        <v>7291</v>
      </c>
      <c r="K133" s="5814" t="s">
        <v>7292</v>
      </c>
    </row>
    <row r="134" spans="1:11">
      <c r="A134" s="21" t="s">
        <v>3220</v>
      </c>
      <c r="B134" s="21" t="s">
        <v>7293</v>
      </c>
      <c r="C134" s="21" t="s">
        <v>8</v>
      </c>
      <c r="D134" s="21" t="s">
        <v>701</v>
      </c>
      <c r="E134" s="21" t="s">
        <v>9</v>
      </c>
      <c r="F134" s="5812">
        <v>3</v>
      </c>
      <c r="G134" s="5813">
        <v>0.20833333333333334</v>
      </c>
      <c r="H134" s="21" t="s">
        <v>10</v>
      </c>
      <c r="I134" s="21" t="s">
        <v>89</v>
      </c>
      <c r="J134" s="21" t="s">
        <v>7294</v>
      </c>
      <c r="K134" s="5814" t="s">
        <v>7295</v>
      </c>
    </row>
    <row r="135" spans="1:11">
      <c r="A135" s="21" t="s">
        <v>2467</v>
      </c>
      <c r="B135" s="21" t="s">
        <v>7296</v>
      </c>
      <c r="C135" s="21" t="s">
        <v>8</v>
      </c>
      <c r="D135" s="21" t="s">
        <v>701</v>
      </c>
      <c r="E135" s="21" t="s">
        <v>9</v>
      </c>
      <c r="F135" s="5812">
        <v>3</v>
      </c>
      <c r="G135" s="5813">
        <v>0.20833333333333334</v>
      </c>
      <c r="H135" s="21" t="s">
        <v>10</v>
      </c>
      <c r="I135" s="21" t="s">
        <v>96</v>
      </c>
      <c r="J135" s="21" t="s">
        <v>7297</v>
      </c>
      <c r="K135" s="5814" t="s">
        <v>7298</v>
      </c>
    </row>
    <row r="136" spans="1:11">
      <c r="A136" s="21" t="s">
        <v>3152</v>
      </c>
      <c r="B136" s="21" t="s">
        <v>7299</v>
      </c>
      <c r="C136" s="21" t="s">
        <v>8</v>
      </c>
      <c r="D136" s="21" t="s">
        <v>701</v>
      </c>
      <c r="E136" s="21" t="s">
        <v>9</v>
      </c>
      <c r="F136" s="5812">
        <v>3</v>
      </c>
      <c r="G136" s="5813">
        <v>0.20833333333333334</v>
      </c>
      <c r="H136" s="21" t="s">
        <v>10</v>
      </c>
      <c r="I136" s="21" t="s">
        <v>96</v>
      </c>
      <c r="J136" s="21" t="s">
        <v>7300</v>
      </c>
      <c r="K136" s="5814" t="s">
        <v>7301</v>
      </c>
    </row>
    <row r="137" spans="1:11">
      <c r="A137" s="21" t="s">
        <v>2481</v>
      </c>
      <c r="B137" s="21" t="s">
        <v>7302</v>
      </c>
      <c r="C137" s="21" t="s">
        <v>8</v>
      </c>
      <c r="D137" s="21" t="s">
        <v>701</v>
      </c>
      <c r="E137" s="21" t="s">
        <v>9</v>
      </c>
      <c r="F137" s="5812">
        <v>3</v>
      </c>
      <c r="G137" s="5813">
        <v>0.20833333333333334</v>
      </c>
      <c r="H137" s="21" t="s">
        <v>10</v>
      </c>
      <c r="I137" s="21" t="s">
        <v>11</v>
      </c>
      <c r="J137" s="21" t="s">
        <v>7303</v>
      </c>
      <c r="K137" s="5814" t="s">
        <v>7304</v>
      </c>
    </row>
    <row r="138" spans="1:11">
      <c r="A138" s="21" t="s">
        <v>2115</v>
      </c>
      <c r="B138" s="21" t="s">
        <v>7305</v>
      </c>
      <c r="C138" s="21" t="s">
        <v>22</v>
      </c>
      <c r="D138" s="21" t="s">
        <v>701</v>
      </c>
      <c r="E138" s="21" t="s">
        <v>9</v>
      </c>
      <c r="F138" s="5812">
        <v>3</v>
      </c>
      <c r="G138" s="5813">
        <v>0.20833333333333334</v>
      </c>
      <c r="H138" s="21" t="s">
        <v>10</v>
      </c>
      <c r="I138" s="21" t="s">
        <v>654</v>
      </c>
      <c r="J138" s="21" t="s">
        <v>7306</v>
      </c>
      <c r="K138" s="5814" t="s">
        <v>7307</v>
      </c>
    </row>
    <row r="139" spans="1:11">
      <c r="A139" s="21" t="s">
        <v>3643</v>
      </c>
      <c r="B139" s="21" t="s">
        <v>7308</v>
      </c>
      <c r="C139" s="21" t="s">
        <v>8</v>
      </c>
      <c r="D139" s="21" t="s">
        <v>701</v>
      </c>
      <c r="E139" s="21" t="s">
        <v>9</v>
      </c>
      <c r="F139" s="5812">
        <v>3</v>
      </c>
      <c r="G139" s="5813">
        <v>0.20833333333333334</v>
      </c>
      <c r="H139" s="21" t="s">
        <v>10</v>
      </c>
      <c r="I139" s="21" t="s">
        <v>23</v>
      </c>
      <c r="J139" s="21" t="s">
        <v>7309</v>
      </c>
      <c r="K139" s="5814" t="s">
        <v>7310</v>
      </c>
    </row>
    <row r="140" spans="1:11">
      <c r="A140" s="21" t="s">
        <v>2061</v>
      </c>
      <c r="B140" s="21" t="s">
        <v>7311</v>
      </c>
      <c r="C140" s="21" t="s">
        <v>22</v>
      </c>
      <c r="D140" s="21" t="s">
        <v>701</v>
      </c>
      <c r="E140" s="21" t="s">
        <v>9</v>
      </c>
      <c r="F140" s="5812">
        <v>3</v>
      </c>
      <c r="G140" s="5813">
        <v>0.20833333333333334</v>
      </c>
      <c r="H140" s="21" t="s">
        <v>10</v>
      </c>
      <c r="I140" s="21" t="s">
        <v>23</v>
      </c>
      <c r="J140" s="21" t="s">
        <v>7312</v>
      </c>
      <c r="K140" s="5814" t="s">
        <v>7313</v>
      </c>
    </row>
    <row r="141" spans="1:11">
      <c r="A141" s="21" t="s">
        <v>3984</v>
      </c>
      <c r="B141" s="21" t="s">
        <v>7314</v>
      </c>
      <c r="C141" s="21" t="s">
        <v>22</v>
      </c>
      <c r="D141" s="21" t="s">
        <v>701</v>
      </c>
      <c r="E141" s="21" t="s">
        <v>9</v>
      </c>
      <c r="F141" s="5812">
        <v>3</v>
      </c>
      <c r="G141" s="5813">
        <v>0.20833333333333334</v>
      </c>
      <c r="H141" s="21" t="s">
        <v>10</v>
      </c>
      <c r="I141" s="21" t="s">
        <v>47</v>
      </c>
      <c r="J141" s="21" t="s">
        <v>7315</v>
      </c>
      <c r="K141" s="5814" t="s">
        <v>7316</v>
      </c>
    </row>
    <row r="142" spans="1:11">
      <c r="A142" s="21" t="s">
        <v>3690</v>
      </c>
      <c r="B142" s="21" t="s">
        <v>7317</v>
      </c>
      <c r="C142" s="21" t="s">
        <v>8</v>
      </c>
      <c r="D142" s="21" t="s">
        <v>701</v>
      </c>
      <c r="E142" s="21" t="s">
        <v>9</v>
      </c>
      <c r="F142" s="5812">
        <v>3</v>
      </c>
      <c r="G142" s="5813">
        <v>0.20833333333333334</v>
      </c>
      <c r="H142" s="21" t="s">
        <v>10</v>
      </c>
      <c r="I142" s="21" t="s">
        <v>23</v>
      </c>
      <c r="J142" s="21" t="s">
        <v>7318</v>
      </c>
      <c r="K142" s="5814" t="s">
        <v>7319</v>
      </c>
    </row>
    <row r="143" spans="1:11">
      <c r="A143" s="21" t="s">
        <v>2901</v>
      </c>
      <c r="B143" s="21" t="s">
        <v>7320</v>
      </c>
      <c r="C143" s="21" t="s">
        <v>22</v>
      </c>
      <c r="D143" s="21" t="s">
        <v>701</v>
      </c>
      <c r="E143" s="21" t="s">
        <v>9</v>
      </c>
      <c r="F143" s="5812">
        <v>3</v>
      </c>
      <c r="G143" s="5813">
        <v>0.20833333333333334</v>
      </c>
      <c r="H143" s="21" t="s">
        <v>10</v>
      </c>
      <c r="I143" s="21" t="s">
        <v>23</v>
      </c>
      <c r="J143" s="21" t="s">
        <v>7321</v>
      </c>
      <c r="K143" s="5814" t="s">
        <v>7322</v>
      </c>
    </row>
    <row r="144" spans="1:11">
      <c r="A144" s="21" t="s">
        <v>3256</v>
      </c>
      <c r="B144" s="21" t="s">
        <v>7323</v>
      </c>
      <c r="C144" s="21" t="s">
        <v>22</v>
      </c>
      <c r="D144" s="21" t="s">
        <v>701</v>
      </c>
      <c r="E144" s="21" t="s">
        <v>9</v>
      </c>
      <c r="F144" s="5812">
        <v>3</v>
      </c>
      <c r="G144" s="5813">
        <v>0.20833333333333334</v>
      </c>
      <c r="H144" s="21" t="s">
        <v>10</v>
      </c>
      <c r="I144" s="21" t="s">
        <v>89</v>
      </c>
      <c r="J144" s="21" t="s">
        <v>7324</v>
      </c>
      <c r="K144" s="5814" t="s">
        <v>7325</v>
      </c>
    </row>
    <row r="145" spans="1:11">
      <c r="A145" s="21" t="s">
        <v>2935</v>
      </c>
      <c r="B145" s="21" t="s">
        <v>7326</v>
      </c>
      <c r="C145" s="21" t="s">
        <v>8</v>
      </c>
      <c r="D145" s="21" t="s">
        <v>701</v>
      </c>
      <c r="E145" s="21" t="s">
        <v>9</v>
      </c>
      <c r="F145" s="5812">
        <v>3</v>
      </c>
      <c r="G145" s="5813">
        <v>0.20833333333333334</v>
      </c>
      <c r="H145" s="21" t="s">
        <v>10</v>
      </c>
      <c r="I145" s="21" t="s">
        <v>11</v>
      </c>
      <c r="J145" s="21" t="s">
        <v>7327</v>
      </c>
      <c r="K145" s="5814" t="s">
        <v>7328</v>
      </c>
    </row>
    <row r="146" spans="1:11">
      <c r="A146" s="21" t="s">
        <v>3102</v>
      </c>
      <c r="B146" s="21" t="s">
        <v>7329</v>
      </c>
      <c r="C146" s="21" t="s">
        <v>8</v>
      </c>
      <c r="D146" s="21" t="s">
        <v>701</v>
      </c>
      <c r="E146" s="21" t="s">
        <v>9</v>
      </c>
      <c r="F146" s="5812">
        <v>3</v>
      </c>
      <c r="G146" s="5813">
        <v>0.20833333333333334</v>
      </c>
      <c r="H146" s="21" t="s">
        <v>10</v>
      </c>
      <c r="I146" s="21" t="s">
        <v>11</v>
      </c>
      <c r="J146" s="21" t="s">
        <v>6353</v>
      </c>
      <c r="K146" s="5814" t="s">
        <v>7330</v>
      </c>
    </row>
    <row r="147" spans="1:11">
      <c r="A147" s="21" t="s">
        <v>2119</v>
      </c>
      <c r="B147" s="21" t="s">
        <v>7331</v>
      </c>
      <c r="C147" s="21" t="s">
        <v>22</v>
      </c>
      <c r="D147" s="21" t="s">
        <v>701</v>
      </c>
      <c r="E147" s="21" t="s">
        <v>9</v>
      </c>
      <c r="F147" s="5812">
        <v>3</v>
      </c>
      <c r="G147" s="5813">
        <v>0.20833333333333334</v>
      </c>
      <c r="H147" s="21" t="s">
        <v>10</v>
      </c>
      <c r="I147" s="21" t="s">
        <v>55</v>
      </c>
      <c r="J147" s="21" t="s">
        <v>7332</v>
      </c>
      <c r="K147" s="5814" t="s">
        <v>7333</v>
      </c>
    </row>
    <row r="148" spans="1:11">
      <c r="A148" s="21" t="s">
        <v>3134</v>
      </c>
      <c r="B148" s="21" t="s">
        <v>7334</v>
      </c>
      <c r="C148" s="21" t="s">
        <v>8</v>
      </c>
      <c r="D148" s="21" t="s">
        <v>701</v>
      </c>
      <c r="E148" s="21" t="s">
        <v>9</v>
      </c>
      <c r="F148" s="5812">
        <v>3</v>
      </c>
      <c r="G148" s="5813">
        <v>0.20833333333333334</v>
      </c>
      <c r="H148" s="21" t="s">
        <v>10</v>
      </c>
      <c r="I148" s="21" t="s">
        <v>23</v>
      </c>
      <c r="J148" s="21" t="s">
        <v>7335</v>
      </c>
      <c r="K148" s="5814" t="s">
        <v>7336</v>
      </c>
    </row>
    <row r="149" spans="1:11">
      <c r="A149" s="21" t="s">
        <v>2506</v>
      </c>
      <c r="B149" s="21" t="s">
        <v>7337</v>
      </c>
      <c r="C149" s="21" t="s">
        <v>22</v>
      </c>
      <c r="D149" s="21" t="s">
        <v>701</v>
      </c>
      <c r="E149" s="21" t="s">
        <v>9</v>
      </c>
      <c r="F149" s="5812">
        <v>3</v>
      </c>
      <c r="G149" s="5813">
        <v>0.20833333333333334</v>
      </c>
      <c r="H149" s="21" t="s">
        <v>10</v>
      </c>
      <c r="I149" s="21" t="s">
        <v>39</v>
      </c>
      <c r="J149" s="21" t="s">
        <v>7338</v>
      </c>
      <c r="K149" s="5814" t="s">
        <v>7339</v>
      </c>
    </row>
    <row r="150" spans="1:11">
      <c r="A150" s="21" t="s">
        <v>2910</v>
      </c>
      <c r="B150" s="21" t="s">
        <v>7340</v>
      </c>
      <c r="C150" s="21" t="s">
        <v>22</v>
      </c>
      <c r="D150" s="21" t="s">
        <v>701</v>
      </c>
      <c r="E150" s="21" t="s">
        <v>9</v>
      </c>
      <c r="F150" s="5812">
        <v>3</v>
      </c>
      <c r="G150" s="5813">
        <v>0.20833333333333334</v>
      </c>
      <c r="H150" s="21" t="s">
        <v>10</v>
      </c>
      <c r="I150" s="21" t="s">
        <v>39</v>
      </c>
      <c r="J150" s="21" t="s">
        <v>7341</v>
      </c>
      <c r="K150" s="5814" t="s">
        <v>7342</v>
      </c>
    </row>
    <row r="151" spans="1:11">
      <c r="A151" s="21" t="s">
        <v>3481</v>
      </c>
      <c r="B151" s="21" t="s">
        <v>7343</v>
      </c>
      <c r="C151" s="21" t="s">
        <v>8</v>
      </c>
      <c r="D151" s="21" t="s">
        <v>701</v>
      </c>
      <c r="E151" s="21" t="s">
        <v>9</v>
      </c>
      <c r="F151" s="5812">
        <v>3</v>
      </c>
      <c r="G151" s="5813">
        <v>0.20833333333333334</v>
      </c>
      <c r="H151" s="21" t="s">
        <v>10</v>
      </c>
      <c r="I151" s="21" t="s">
        <v>2313</v>
      </c>
      <c r="J151" s="21" t="s">
        <v>7344</v>
      </c>
      <c r="K151" s="5814" t="s">
        <v>7345</v>
      </c>
    </row>
    <row r="152" spans="1:11">
      <c r="A152" s="21" t="s">
        <v>3412</v>
      </c>
      <c r="B152" s="21" t="s">
        <v>7346</v>
      </c>
      <c r="C152" s="21" t="s">
        <v>8</v>
      </c>
      <c r="D152" s="21" t="s">
        <v>701</v>
      </c>
      <c r="E152" s="21" t="s">
        <v>9</v>
      </c>
      <c r="F152" s="5812">
        <v>3</v>
      </c>
      <c r="G152" s="5813">
        <v>0.20833333333333334</v>
      </c>
      <c r="H152" s="21" t="s">
        <v>10</v>
      </c>
      <c r="I152" s="21" t="s">
        <v>11</v>
      </c>
      <c r="J152" s="21" t="s">
        <v>7347</v>
      </c>
      <c r="K152" s="5814" t="s">
        <v>7348</v>
      </c>
    </row>
    <row r="153" spans="1:11">
      <c r="A153" s="21" t="s">
        <v>4047</v>
      </c>
      <c r="B153" s="21" t="s">
        <v>7349</v>
      </c>
      <c r="C153" s="21" t="s">
        <v>22</v>
      </c>
      <c r="D153" s="21" t="s">
        <v>701</v>
      </c>
      <c r="E153" s="21" t="s">
        <v>9</v>
      </c>
      <c r="F153" s="5812">
        <v>3</v>
      </c>
      <c r="G153" s="5813">
        <v>0.20833333333333334</v>
      </c>
      <c r="H153" s="21" t="s">
        <v>10</v>
      </c>
      <c r="I153" s="21" t="s">
        <v>39</v>
      </c>
      <c r="J153" s="21" t="s">
        <v>7350</v>
      </c>
      <c r="K153" s="5814" t="s">
        <v>7351</v>
      </c>
    </row>
    <row r="154" spans="1:11">
      <c r="A154" s="21" t="s">
        <v>3009</v>
      </c>
      <c r="B154" s="21" t="s">
        <v>7352</v>
      </c>
      <c r="C154" s="21" t="s">
        <v>22</v>
      </c>
      <c r="D154" s="21" t="s">
        <v>701</v>
      </c>
      <c r="E154" s="21" t="s">
        <v>9</v>
      </c>
      <c r="F154" s="5812">
        <v>3</v>
      </c>
      <c r="G154" s="5813">
        <v>0.20833333333333334</v>
      </c>
      <c r="H154" s="21" t="s">
        <v>10</v>
      </c>
      <c r="I154" s="21" t="s">
        <v>11</v>
      </c>
      <c r="J154" s="21" t="s">
        <v>7353</v>
      </c>
      <c r="K154" s="5814" t="s">
        <v>7354</v>
      </c>
    </row>
    <row r="155" spans="1:11">
      <c r="A155" s="21" t="s">
        <v>2938</v>
      </c>
      <c r="B155" s="21" t="s">
        <v>7355</v>
      </c>
      <c r="C155" s="21" t="s">
        <v>22</v>
      </c>
      <c r="D155" s="21" t="s">
        <v>701</v>
      </c>
      <c r="E155" s="21" t="s">
        <v>9</v>
      </c>
      <c r="F155" s="5812">
        <v>3</v>
      </c>
      <c r="G155" s="5813">
        <v>0.20833333333333334</v>
      </c>
      <c r="H155" s="21" t="s">
        <v>10</v>
      </c>
      <c r="I155" s="21" t="s">
        <v>2313</v>
      </c>
      <c r="J155" s="21" t="s">
        <v>7356</v>
      </c>
      <c r="K155" s="5814" t="s">
        <v>7357</v>
      </c>
    </row>
    <row r="156" spans="1:11">
      <c r="A156" s="21" t="s">
        <v>3703</v>
      </c>
      <c r="B156" s="21" t="s">
        <v>7358</v>
      </c>
      <c r="C156" s="21" t="s">
        <v>8</v>
      </c>
      <c r="D156" s="21" t="s">
        <v>701</v>
      </c>
      <c r="E156" s="21" t="s">
        <v>9</v>
      </c>
      <c r="F156" s="5812">
        <v>3</v>
      </c>
      <c r="G156" s="5813">
        <v>0.20833333333333334</v>
      </c>
      <c r="H156" s="21" t="s">
        <v>10</v>
      </c>
      <c r="I156" s="21" t="s">
        <v>2313</v>
      </c>
      <c r="J156" s="21" t="s">
        <v>7359</v>
      </c>
      <c r="K156" s="5814" t="s">
        <v>7360</v>
      </c>
    </row>
    <row r="157" spans="1:11">
      <c r="A157" s="21" t="s">
        <v>3613</v>
      </c>
      <c r="B157" s="21" t="s">
        <v>7361</v>
      </c>
      <c r="C157" s="21" t="s">
        <v>8</v>
      </c>
      <c r="D157" s="21" t="s">
        <v>701</v>
      </c>
      <c r="E157" s="21" t="s">
        <v>9</v>
      </c>
      <c r="F157" s="5812">
        <v>3</v>
      </c>
      <c r="G157" s="5813">
        <v>0.20833333333333334</v>
      </c>
      <c r="H157" s="21" t="s">
        <v>10</v>
      </c>
      <c r="I157" s="21" t="s">
        <v>55</v>
      </c>
      <c r="J157" s="21" t="s">
        <v>7262</v>
      </c>
      <c r="K157" s="5814" t="s">
        <v>7362</v>
      </c>
    </row>
    <row r="158" spans="1:11">
      <c r="A158" s="21" t="s">
        <v>2530</v>
      </c>
      <c r="B158" s="21" t="s">
        <v>7363</v>
      </c>
      <c r="C158" s="21" t="s">
        <v>22</v>
      </c>
      <c r="D158" s="21" t="s">
        <v>701</v>
      </c>
      <c r="E158" s="21" t="s">
        <v>9</v>
      </c>
      <c r="F158" s="5812">
        <v>3</v>
      </c>
      <c r="G158" s="5813">
        <v>0.20833333333333334</v>
      </c>
      <c r="H158" s="21" t="s">
        <v>10</v>
      </c>
      <c r="I158" s="21" t="s">
        <v>55</v>
      </c>
      <c r="J158" s="21" t="s">
        <v>7364</v>
      </c>
      <c r="K158" s="5814" t="s">
        <v>7365</v>
      </c>
    </row>
    <row r="159" spans="1:11">
      <c r="A159" s="21" t="s">
        <v>2135</v>
      </c>
      <c r="B159" s="21" t="s">
        <v>7366</v>
      </c>
      <c r="C159" s="21" t="s">
        <v>8</v>
      </c>
      <c r="D159" s="21" t="s">
        <v>701</v>
      </c>
      <c r="E159" s="21" t="s">
        <v>9</v>
      </c>
      <c r="F159" s="5812">
        <v>3</v>
      </c>
      <c r="G159" s="5813">
        <v>0.20833333333333334</v>
      </c>
      <c r="H159" s="21" t="s">
        <v>10</v>
      </c>
      <c r="I159" s="21" t="s">
        <v>23</v>
      </c>
      <c r="J159" s="21" t="s">
        <v>7367</v>
      </c>
      <c r="K159" s="5814" t="s">
        <v>7368</v>
      </c>
    </row>
    <row r="160" spans="1:11">
      <c r="A160" s="21" t="s">
        <v>2534</v>
      </c>
      <c r="B160" s="21" t="s">
        <v>7087</v>
      </c>
      <c r="C160" s="21" t="s">
        <v>22</v>
      </c>
      <c r="D160" s="21" t="s">
        <v>701</v>
      </c>
      <c r="E160" s="21" t="s">
        <v>9</v>
      </c>
      <c r="F160" s="5812">
        <v>3</v>
      </c>
      <c r="G160" s="5813">
        <v>0.20833333333333334</v>
      </c>
      <c r="H160" s="21" t="s">
        <v>10</v>
      </c>
      <c r="I160" s="21" t="s">
        <v>55</v>
      </c>
      <c r="J160" s="21" t="s">
        <v>7369</v>
      </c>
      <c r="K160" s="5814" t="s">
        <v>7370</v>
      </c>
    </row>
    <row r="161" spans="1:11">
      <c r="A161" s="21" t="s">
        <v>2542</v>
      </c>
      <c r="B161" s="21" t="s">
        <v>7371</v>
      </c>
      <c r="C161" s="21" t="s">
        <v>22</v>
      </c>
      <c r="D161" s="21" t="s">
        <v>701</v>
      </c>
      <c r="E161" s="21" t="s">
        <v>9</v>
      </c>
      <c r="F161" s="5812">
        <v>3</v>
      </c>
      <c r="G161" s="5813">
        <v>0.20833333333333334</v>
      </c>
      <c r="H161" s="21" t="s">
        <v>10</v>
      </c>
      <c r="I161" s="21" t="s">
        <v>2814</v>
      </c>
      <c r="J161" s="21" t="s">
        <v>7372</v>
      </c>
      <c r="K161" s="5814" t="s">
        <v>7373</v>
      </c>
    </row>
    <row r="162" spans="1:11">
      <c r="A162" s="21" t="s">
        <v>2542</v>
      </c>
      <c r="B162" s="21" t="s">
        <v>7374</v>
      </c>
      <c r="C162" s="21" t="s">
        <v>22</v>
      </c>
      <c r="D162" s="21" t="s">
        <v>701</v>
      </c>
      <c r="E162" s="21" t="s">
        <v>9</v>
      </c>
      <c r="F162" s="5812">
        <v>3</v>
      </c>
      <c r="G162" s="5813">
        <v>0.20833333333333334</v>
      </c>
      <c r="H162" s="21" t="s">
        <v>10</v>
      </c>
      <c r="I162" s="21" t="s">
        <v>2544</v>
      </c>
      <c r="J162" s="21" t="s">
        <v>7375</v>
      </c>
      <c r="K162" s="5814" t="s">
        <v>7376</v>
      </c>
    </row>
    <row r="163" spans="1:11">
      <c r="A163" s="21" t="s">
        <v>3203</v>
      </c>
      <c r="B163" s="21" t="s">
        <v>7377</v>
      </c>
      <c r="C163" s="21" t="s">
        <v>8</v>
      </c>
      <c r="D163" s="21" t="s">
        <v>701</v>
      </c>
      <c r="E163" s="21" t="s">
        <v>9</v>
      </c>
      <c r="F163" s="5812">
        <v>3</v>
      </c>
      <c r="G163" s="5813">
        <v>0.20833333333333334</v>
      </c>
      <c r="H163" s="21" t="s">
        <v>10</v>
      </c>
      <c r="I163" s="21" t="s">
        <v>47</v>
      </c>
      <c r="J163" s="21" t="s">
        <v>7378</v>
      </c>
      <c r="K163" s="5814" t="s">
        <v>7379</v>
      </c>
    </row>
    <row r="164" spans="1:11">
      <c r="A164" s="21" t="s">
        <v>3597</v>
      </c>
      <c r="B164" s="21" t="s">
        <v>7380</v>
      </c>
      <c r="C164" s="21" t="s">
        <v>22</v>
      </c>
      <c r="D164" s="21" t="s">
        <v>701</v>
      </c>
      <c r="E164" s="21" t="s">
        <v>9</v>
      </c>
      <c r="F164" s="5812">
        <v>3</v>
      </c>
      <c r="G164" s="5813">
        <v>0.20833333333333334</v>
      </c>
      <c r="H164" s="21" t="s">
        <v>10</v>
      </c>
      <c r="I164" s="21" t="s">
        <v>96</v>
      </c>
      <c r="J164" s="21" t="s">
        <v>7381</v>
      </c>
      <c r="K164" s="5814" t="s">
        <v>7382</v>
      </c>
    </row>
    <row r="165" spans="1:11">
      <c r="A165" s="21" t="s">
        <v>2139</v>
      </c>
      <c r="B165" s="21" t="s">
        <v>7383</v>
      </c>
      <c r="C165" s="21" t="s">
        <v>22</v>
      </c>
      <c r="D165" s="21" t="s">
        <v>701</v>
      </c>
      <c r="E165" s="21" t="s">
        <v>9</v>
      </c>
      <c r="F165" s="5812">
        <v>3</v>
      </c>
      <c r="G165" s="5813">
        <v>0.20833333333333334</v>
      </c>
      <c r="H165" s="21" t="s">
        <v>10</v>
      </c>
      <c r="I165" s="21" t="s">
        <v>226</v>
      </c>
      <c r="J165" s="21" t="s">
        <v>7384</v>
      </c>
      <c r="K165" s="5814" t="s">
        <v>7385</v>
      </c>
    </row>
    <row r="166" spans="1:11">
      <c r="A166" s="21" t="s">
        <v>2065</v>
      </c>
      <c r="B166" s="21" t="s">
        <v>7386</v>
      </c>
      <c r="C166" s="21" t="s">
        <v>8</v>
      </c>
      <c r="D166" s="21" t="s">
        <v>701</v>
      </c>
      <c r="E166" s="21" t="s">
        <v>9</v>
      </c>
      <c r="F166" s="5812">
        <v>3</v>
      </c>
      <c r="G166" s="5813">
        <v>0.20833333333333334</v>
      </c>
      <c r="H166" s="21" t="s">
        <v>10</v>
      </c>
      <c r="I166" s="21" t="s">
        <v>233</v>
      </c>
      <c r="J166" s="21" t="s">
        <v>7387</v>
      </c>
      <c r="K166" s="5814" t="s">
        <v>7388</v>
      </c>
    </row>
    <row r="167" spans="1:11">
      <c r="A167" s="21" t="s">
        <v>2979</v>
      </c>
      <c r="B167" s="21" t="s">
        <v>7389</v>
      </c>
      <c r="C167" s="21" t="s">
        <v>8</v>
      </c>
      <c r="D167" s="21" t="s">
        <v>701</v>
      </c>
      <c r="E167" s="21" t="s">
        <v>9</v>
      </c>
      <c r="F167" s="5812">
        <v>3</v>
      </c>
      <c r="G167" s="5813">
        <v>0.20833333333333334</v>
      </c>
      <c r="H167" s="21" t="s">
        <v>10</v>
      </c>
      <c r="I167" s="21" t="s">
        <v>23</v>
      </c>
      <c r="J167" s="21" t="s">
        <v>7390</v>
      </c>
      <c r="K167" s="5814" t="s">
        <v>7391</v>
      </c>
    </row>
    <row r="168" spans="1:11">
      <c r="A168" s="21" t="s">
        <v>2551</v>
      </c>
      <c r="B168" s="21" t="s">
        <v>7392</v>
      </c>
      <c r="C168" s="21" t="s">
        <v>8</v>
      </c>
      <c r="D168" s="21" t="s">
        <v>701</v>
      </c>
      <c r="E168" s="21" t="s">
        <v>9</v>
      </c>
      <c r="F168" s="5812">
        <v>3</v>
      </c>
      <c r="G168" s="5813">
        <v>0.20833333333333334</v>
      </c>
      <c r="H168" s="21" t="s">
        <v>10</v>
      </c>
      <c r="I168" s="21" t="s">
        <v>4853</v>
      </c>
      <c r="J168" s="21" t="s">
        <v>7393</v>
      </c>
      <c r="K168" s="5814" t="s">
        <v>7394</v>
      </c>
    </row>
    <row r="169" spans="1:11">
      <c r="A169" s="21" t="s">
        <v>2555</v>
      </c>
      <c r="B169" s="21" t="s">
        <v>7395</v>
      </c>
      <c r="C169" s="21" t="s">
        <v>8</v>
      </c>
      <c r="D169" s="21" t="s">
        <v>701</v>
      </c>
      <c r="E169" s="21" t="s">
        <v>9</v>
      </c>
      <c r="F169" s="5812">
        <v>3</v>
      </c>
      <c r="G169" s="5813">
        <v>0.20833333333333334</v>
      </c>
      <c r="H169" s="21" t="s">
        <v>10</v>
      </c>
      <c r="I169" s="21"/>
      <c r="J169" s="21" t="s">
        <v>7396</v>
      </c>
      <c r="K169" s="5814" t="s">
        <v>7397</v>
      </c>
    </row>
    <row r="170" spans="1:11">
      <c r="A170" s="21" t="s">
        <v>2555</v>
      </c>
      <c r="B170" s="21" t="s">
        <v>7398</v>
      </c>
      <c r="C170" s="21" t="s">
        <v>22</v>
      </c>
      <c r="D170" s="21" t="s">
        <v>701</v>
      </c>
      <c r="E170" s="21" t="s">
        <v>9</v>
      </c>
      <c r="F170" s="5812">
        <v>3</v>
      </c>
      <c r="G170" s="5813">
        <v>0.20833333333333334</v>
      </c>
      <c r="H170" s="21" t="s">
        <v>10</v>
      </c>
      <c r="I170" s="21" t="s">
        <v>5365</v>
      </c>
      <c r="J170" s="21" t="s">
        <v>7399</v>
      </c>
      <c r="K170" s="5814" t="s">
        <v>7400</v>
      </c>
    </row>
    <row r="171" spans="1:11">
      <c r="A171" s="21" t="s">
        <v>2147</v>
      </c>
      <c r="B171" s="21" t="s">
        <v>7401</v>
      </c>
      <c r="C171" s="21" t="s">
        <v>22</v>
      </c>
      <c r="D171" s="21" t="s">
        <v>701</v>
      </c>
      <c r="E171" s="21" t="s">
        <v>9</v>
      </c>
      <c r="F171" s="5812">
        <v>3</v>
      </c>
      <c r="G171" s="5813">
        <v>0.20833333333333334</v>
      </c>
      <c r="H171" s="21" t="s">
        <v>10</v>
      </c>
      <c r="I171" s="21" t="s">
        <v>2153</v>
      </c>
      <c r="J171" s="21" t="s">
        <v>7402</v>
      </c>
      <c r="K171" s="5814" t="s">
        <v>7403</v>
      </c>
    </row>
    <row r="172" spans="1:11">
      <c r="A172" s="21" t="s">
        <v>2070</v>
      </c>
      <c r="B172" s="21" t="s">
        <v>7404</v>
      </c>
      <c r="C172" s="21" t="s">
        <v>8</v>
      </c>
      <c r="D172" s="21" t="s">
        <v>701</v>
      </c>
      <c r="E172" s="21" t="s">
        <v>9</v>
      </c>
      <c r="F172" s="5812">
        <v>3</v>
      </c>
      <c r="G172" s="5813">
        <v>0.20833333333333334</v>
      </c>
      <c r="H172" s="21" t="s">
        <v>10</v>
      </c>
      <c r="I172" s="21" t="s">
        <v>2568</v>
      </c>
      <c r="J172" s="21" t="s">
        <v>7405</v>
      </c>
      <c r="K172" s="5814" t="s">
        <v>7406</v>
      </c>
    </row>
    <row r="173" spans="1:11">
      <c r="A173" s="21" t="s">
        <v>4132</v>
      </c>
      <c r="B173" s="21" t="s">
        <v>7407</v>
      </c>
      <c r="C173" s="21" t="s">
        <v>8</v>
      </c>
      <c r="D173" s="21" t="s">
        <v>701</v>
      </c>
      <c r="E173" s="21" t="s">
        <v>9</v>
      </c>
      <c r="F173" s="5812">
        <v>3</v>
      </c>
      <c r="G173" s="5813">
        <v>0.20833333333333334</v>
      </c>
      <c r="H173" s="21" t="s">
        <v>10</v>
      </c>
      <c r="I173" s="21" t="s">
        <v>2176</v>
      </c>
      <c r="J173" s="21" t="s">
        <v>7408</v>
      </c>
      <c r="K173" s="5814" t="s">
        <v>7409</v>
      </c>
    </row>
    <row r="174" spans="1:11">
      <c r="A174" s="21" t="s">
        <v>2160</v>
      </c>
      <c r="B174" s="21" t="s">
        <v>7410</v>
      </c>
      <c r="C174" s="21" t="s">
        <v>22</v>
      </c>
      <c r="D174" s="21" t="s">
        <v>701</v>
      </c>
      <c r="E174" s="21" t="s">
        <v>9</v>
      </c>
      <c r="F174" s="5812">
        <v>3</v>
      </c>
      <c r="G174" s="5813">
        <v>0.20833333333333334</v>
      </c>
      <c r="H174" s="21" t="s">
        <v>10</v>
      </c>
      <c r="I174" s="21" t="s">
        <v>2713</v>
      </c>
      <c r="J174" s="21" t="s">
        <v>7411</v>
      </c>
      <c r="K174" s="5814" t="s">
        <v>7412</v>
      </c>
    </row>
    <row r="175" spans="1:11">
      <c r="A175" s="21" t="s">
        <v>4139</v>
      </c>
      <c r="B175" s="21" t="s">
        <v>7413</v>
      </c>
      <c r="C175" s="21" t="s">
        <v>22</v>
      </c>
      <c r="D175" s="21" t="s">
        <v>701</v>
      </c>
      <c r="E175" s="21" t="s">
        <v>9</v>
      </c>
      <c r="F175" s="5812">
        <v>3</v>
      </c>
      <c r="G175" s="5813">
        <v>0.20833333333333334</v>
      </c>
      <c r="H175" s="21" t="s">
        <v>10</v>
      </c>
      <c r="I175" s="21" t="s">
        <v>2523</v>
      </c>
      <c r="J175" s="21" t="s">
        <v>7414</v>
      </c>
      <c r="K175" s="5814" t="s">
        <v>7415</v>
      </c>
    </row>
    <row r="176" spans="1:11">
      <c r="A176" s="21" t="s">
        <v>3252</v>
      </c>
      <c r="B176" s="21" t="s">
        <v>7416</v>
      </c>
      <c r="C176" s="21" t="s">
        <v>22</v>
      </c>
      <c r="D176" s="21" t="s">
        <v>701</v>
      </c>
      <c r="E176" s="21" t="s">
        <v>9</v>
      </c>
      <c r="F176" s="5812">
        <v>3</v>
      </c>
      <c r="G176" s="5813">
        <v>0.20833333333333334</v>
      </c>
      <c r="H176" s="21" t="s">
        <v>10</v>
      </c>
      <c r="I176" s="21" t="s">
        <v>3534</v>
      </c>
      <c r="J176" s="21" t="s">
        <v>7417</v>
      </c>
      <c r="K176" s="5814" t="s">
        <v>7418</v>
      </c>
    </row>
    <row r="177" spans="1:11">
      <c r="A177" s="21" t="s">
        <v>3252</v>
      </c>
      <c r="B177" s="21" t="s">
        <v>7419</v>
      </c>
      <c r="C177" s="21" t="s">
        <v>8</v>
      </c>
      <c r="D177" s="21" t="s">
        <v>701</v>
      </c>
      <c r="E177" s="21" t="s">
        <v>9</v>
      </c>
      <c r="F177" s="5812">
        <v>3</v>
      </c>
      <c r="G177" s="5813">
        <v>0.20833333333333334</v>
      </c>
      <c r="H177" s="21" t="s">
        <v>10</v>
      </c>
      <c r="I177" s="21" t="s">
        <v>47</v>
      </c>
      <c r="J177" s="21" t="s">
        <v>7420</v>
      </c>
      <c r="K177" s="5814" t="s">
        <v>7421</v>
      </c>
    </row>
    <row r="178" spans="1:11">
      <c r="A178" s="21" t="s">
        <v>3446</v>
      </c>
      <c r="B178" s="21" t="s">
        <v>7422</v>
      </c>
      <c r="C178" s="21" t="s">
        <v>8</v>
      </c>
      <c r="D178" s="21" t="s">
        <v>701</v>
      </c>
      <c r="E178" s="21" t="s">
        <v>9</v>
      </c>
      <c r="F178" s="5812">
        <v>3</v>
      </c>
      <c r="G178" s="5813">
        <v>0.20833333333333334</v>
      </c>
      <c r="H178" s="21" t="s">
        <v>10</v>
      </c>
      <c r="I178" s="21" t="s">
        <v>2260</v>
      </c>
      <c r="J178" s="21" t="s">
        <v>7423</v>
      </c>
      <c r="K178" s="5814" t="s">
        <v>7424</v>
      </c>
    </row>
    <row r="179" spans="1:11">
      <c r="A179" s="21" t="s">
        <v>2571</v>
      </c>
      <c r="B179" s="21" t="s">
        <v>7425</v>
      </c>
      <c r="C179" s="21" t="s">
        <v>8</v>
      </c>
      <c r="D179" s="21" t="s">
        <v>701</v>
      </c>
      <c r="E179" s="21" t="s">
        <v>9</v>
      </c>
      <c r="F179" s="5812">
        <v>3</v>
      </c>
      <c r="G179" s="5813">
        <v>0.20833333333333334</v>
      </c>
      <c r="H179" s="21" t="s">
        <v>10</v>
      </c>
      <c r="I179" s="21" t="s">
        <v>306</v>
      </c>
      <c r="J179" s="21" t="s">
        <v>7426</v>
      </c>
      <c r="K179" s="5814" t="s">
        <v>7427</v>
      </c>
    </row>
    <row r="180" spans="1:11">
      <c r="A180" s="21" t="s">
        <v>2165</v>
      </c>
      <c r="B180" s="21" t="s">
        <v>7428</v>
      </c>
      <c r="C180" s="21" t="s">
        <v>22</v>
      </c>
      <c r="D180" s="21" t="s">
        <v>701</v>
      </c>
      <c r="E180" s="21" t="s">
        <v>9</v>
      </c>
      <c r="F180" s="5812">
        <v>3</v>
      </c>
      <c r="G180" s="5813">
        <v>0.20833333333333334</v>
      </c>
      <c r="H180" s="21" t="s">
        <v>10</v>
      </c>
      <c r="I180" s="21" t="s">
        <v>5482</v>
      </c>
      <c r="J180" s="21" t="s">
        <v>7429</v>
      </c>
      <c r="K180" s="5814" t="s">
        <v>7430</v>
      </c>
    </row>
    <row r="181" spans="1:11">
      <c r="A181" s="21" t="s">
        <v>3728</v>
      </c>
      <c r="B181" s="21" t="s">
        <v>7431</v>
      </c>
      <c r="C181" s="21" t="s">
        <v>8</v>
      </c>
      <c r="D181" s="21" t="s">
        <v>701</v>
      </c>
      <c r="E181" s="21" t="s">
        <v>9</v>
      </c>
      <c r="F181" s="5812">
        <v>3</v>
      </c>
      <c r="G181" s="5813">
        <v>0.20833333333333334</v>
      </c>
      <c r="H181" s="21" t="s">
        <v>10</v>
      </c>
      <c r="I181" s="21" t="s">
        <v>2149</v>
      </c>
      <c r="J181" s="21" t="s">
        <v>7432</v>
      </c>
      <c r="K181" s="5814" t="s">
        <v>7433</v>
      </c>
    </row>
    <row r="182" spans="1:11">
      <c r="A182" s="21" t="s">
        <v>3728</v>
      </c>
      <c r="B182" s="21" t="s">
        <v>7434</v>
      </c>
      <c r="C182" s="21" t="s">
        <v>22</v>
      </c>
      <c r="D182" s="21" t="s">
        <v>701</v>
      </c>
      <c r="E182" s="21" t="s">
        <v>9</v>
      </c>
      <c r="F182" s="5812">
        <v>3</v>
      </c>
      <c r="G182" s="5813">
        <v>0.20833333333333334</v>
      </c>
      <c r="H182" s="21" t="s">
        <v>10</v>
      </c>
      <c r="I182" s="21" t="s">
        <v>55</v>
      </c>
      <c r="J182" s="21" t="s">
        <v>7435</v>
      </c>
      <c r="K182" s="5814" t="s">
        <v>7436</v>
      </c>
    </row>
    <row r="183" spans="1:11">
      <c r="A183" s="21" t="s">
        <v>3728</v>
      </c>
      <c r="B183" s="21" t="s">
        <v>7437</v>
      </c>
      <c r="C183" s="21" t="s">
        <v>8</v>
      </c>
      <c r="D183" s="21" t="s">
        <v>701</v>
      </c>
      <c r="E183" s="21" t="s">
        <v>9</v>
      </c>
      <c r="F183" s="5812">
        <v>3</v>
      </c>
      <c r="G183" s="5813">
        <v>0.20833333333333334</v>
      </c>
      <c r="H183" s="21" t="s">
        <v>10</v>
      </c>
      <c r="I183" s="21" t="s">
        <v>2149</v>
      </c>
      <c r="J183" s="21" t="s">
        <v>7438</v>
      </c>
      <c r="K183" s="5814" t="s">
        <v>7439</v>
      </c>
    </row>
    <row r="184" spans="1:11">
      <c r="A184" s="21" t="s">
        <v>2579</v>
      </c>
      <c r="B184" s="21" t="s">
        <v>7440</v>
      </c>
      <c r="C184" s="21" t="s">
        <v>8</v>
      </c>
      <c r="D184" s="21" t="s">
        <v>701</v>
      </c>
      <c r="E184" s="21" t="s">
        <v>9</v>
      </c>
      <c r="F184" s="5812">
        <v>3</v>
      </c>
      <c r="G184" s="5813">
        <v>0.20833333333333334</v>
      </c>
      <c r="H184" s="21" t="s">
        <v>10</v>
      </c>
      <c r="I184" s="21" t="s">
        <v>3534</v>
      </c>
      <c r="J184" s="21" t="s">
        <v>7441</v>
      </c>
      <c r="K184" s="5814" t="s">
        <v>7442</v>
      </c>
    </row>
    <row r="185" spans="1:11">
      <c r="A185" s="21" t="s">
        <v>2169</v>
      </c>
      <c r="B185" s="21" t="s">
        <v>7443</v>
      </c>
      <c r="C185" s="21" t="s">
        <v>22</v>
      </c>
      <c r="D185" s="21" t="s">
        <v>701</v>
      </c>
      <c r="E185" s="21" t="s">
        <v>9</v>
      </c>
      <c r="F185" s="5812">
        <v>3</v>
      </c>
      <c r="G185" s="5813">
        <v>0.20833333333333334</v>
      </c>
      <c r="H185" s="21" t="s">
        <v>10</v>
      </c>
      <c r="I185" s="21" t="s">
        <v>2171</v>
      </c>
      <c r="J185" s="21" t="s">
        <v>7444</v>
      </c>
      <c r="K185" s="5814" t="s">
        <v>7445</v>
      </c>
    </row>
    <row r="186" spans="1:11">
      <c r="A186" s="21" t="s">
        <v>2174</v>
      </c>
      <c r="B186" s="21" t="s">
        <v>7446</v>
      </c>
      <c r="C186" s="21" t="s">
        <v>22</v>
      </c>
      <c r="D186" s="21" t="s">
        <v>701</v>
      </c>
      <c r="E186" s="21" t="s">
        <v>9</v>
      </c>
      <c r="F186" s="5812">
        <v>3</v>
      </c>
      <c r="G186" s="5813">
        <v>0.20833333333333334</v>
      </c>
      <c r="H186" s="21" t="s">
        <v>10</v>
      </c>
      <c r="I186" s="21" t="s">
        <v>788</v>
      </c>
      <c r="J186" s="21" t="s">
        <v>7447</v>
      </c>
      <c r="K186" s="5814" t="s">
        <v>7448</v>
      </c>
    </row>
    <row r="187" spans="1:11">
      <c r="A187" s="21" t="s">
        <v>4724</v>
      </c>
      <c r="B187" s="21" t="s">
        <v>7449</v>
      </c>
      <c r="C187" s="21" t="s">
        <v>22</v>
      </c>
      <c r="D187" s="21" t="s">
        <v>701</v>
      </c>
      <c r="E187" s="21" t="s">
        <v>9</v>
      </c>
      <c r="F187" s="5812">
        <v>3</v>
      </c>
      <c r="G187" s="5813">
        <v>0.20833333333333334</v>
      </c>
      <c r="H187" s="21" t="s">
        <v>10</v>
      </c>
      <c r="I187" s="21" t="s">
        <v>47</v>
      </c>
      <c r="J187" s="21" t="s">
        <v>7450</v>
      </c>
      <c r="K187" s="5814" t="s">
        <v>7451</v>
      </c>
    </row>
    <row r="188" spans="1:11">
      <c r="A188" s="21" t="s">
        <v>2179</v>
      </c>
      <c r="B188" s="21" t="s">
        <v>7452</v>
      </c>
      <c r="C188" s="21" t="s">
        <v>8</v>
      </c>
      <c r="D188" s="21" t="s">
        <v>701</v>
      </c>
      <c r="E188" s="21" t="s">
        <v>9</v>
      </c>
      <c r="F188" s="5812">
        <v>3</v>
      </c>
      <c r="G188" s="5813">
        <v>0.20833333333333334</v>
      </c>
      <c r="H188" s="21" t="s">
        <v>10</v>
      </c>
      <c r="I188" s="21" t="s">
        <v>2181</v>
      </c>
      <c r="J188" s="21" t="s">
        <v>7453</v>
      </c>
      <c r="K188" s="5814" t="s">
        <v>7454</v>
      </c>
    </row>
    <row r="189" spans="1:11">
      <c r="A189" s="21" t="s">
        <v>2600</v>
      </c>
      <c r="B189" s="21" t="s">
        <v>7455</v>
      </c>
      <c r="C189" s="21" t="s">
        <v>22</v>
      </c>
      <c r="D189" s="21" t="s">
        <v>701</v>
      </c>
      <c r="E189" s="21" t="s">
        <v>9</v>
      </c>
      <c r="F189" s="5812">
        <v>3</v>
      </c>
      <c r="G189" s="5813">
        <v>0.20833333333333334</v>
      </c>
      <c r="H189" s="21" t="s">
        <v>10</v>
      </c>
      <c r="I189" s="21" t="s">
        <v>2602</v>
      </c>
      <c r="J189" s="21" t="s">
        <v>7456</v>
      </c>
      <c r="K189" s="5814" t="s">
        <v>7457</v>
      </c>
    </row>
    <row r="190" spans="1:11">
      <c r="A190" s="21" t="s">
        <v>2600</v>
      </c>
      <c r="B190" s="21" t="s">
        <v>7458</v>
      </c>
      <c r="C190" s="21" t="s">
        <v>8</v>
      </c>
      <c r="D190" s="21" t="s">
        <v>701</v>
      </c>
      <c r="E190" s="21" t="s">
        <v>9</v>
      </c>
      <c r="F190" s="5812">
        <v>3</v>
      </c>
      <c r="G190" s="5813">
        <v>0.20833333333333334</v>
      </c>
      <c r="H190" s="21" t="s">
        <v>10</v>
      </c>
      <c r="I190" s="21" t="s">
        <v>55</v>
      </c>
      <c r="J190" s="21" t="s">
        <v>7459</v>
      </c>
      <c r="K190" s="5814" t="s">
        <v>7460</v>
      </c>
    </row>
    <row r="191" spans="1:11">
      <c r="A191" s="21" t="s">
        <v>4170</v>
      </c>
      <c r="B191" s="21" t="s">
        <v>7461</v>
      </c>
      <c r="C191" s="21" t="s">
        <v>22</v>
      </c>
      <c r="D191" s="21" t="s">
        <v>701</v>
      </c>
      <c r="E191" s="21" t="s">
        <v>9</v>
      </c>
      <c r="F191" s="5812">
        <v>3</v>
      </c>
      <c r="G191" s="5813">
        <v>0.20833333333333334</v>
      </c>
      <c r="H191" s="21" t="s">
        <v>10</v>
      </c>
      <c r="I191" s="21" t="s">
        <v>2814</v>
      </c>
      <c r="J191" s="21" t="s">
        <v>7462</v>
      </c>
      <c r="K191" s="5814" t="s">
        <v>7463</v>
      </c>
    </row>
    <row r="192" spans="1:11">
      <c r="A192" s="21" t="s">
        <v>4711</v>
      </c>
      <c r="B192" s="21" t="s">
        <v>7464</v>
      </c>
      <c r="C192" s="21" t="s">
        <v>8</v>
      </c>
      <c r="D192" s="21" t="s">
        <v>701</v>
      </c>
      <c r="E192" s="21" t="s">
        <v>9</v>
      </c>
      <c r="F192" s="5812">
        <v>3</v>
      </c>
      <c r="G192" s="5813">
        <v>0.20833333333333334</v>
      </c>
      <c r="H192" s="21" t="s">
        <v>10</v>
      </c>
      <c r="I192" s="21" t="s">
        <v>11</v>
      </c>
      <c r="J192" s="21" t="s">
        <v>7465</v>
      </c>
      <c r="K192" s="5814" t="s">
        <v>7466</v>
      </c>
    </row>
    <row r="193" spans="1:11">
      <c r="A193" s="21" t="s">
        <v>4711</v>
      </c>
      <c r="B193" s="21" t="s">
        <v>7467</v>
      </c>
      <c r="C193" s="21" t="s">
        <v>8</v>
      </c>
      <c r="D193" s="21" t="s">
        <v>701</v>
      </c>
      <c r="E193" s="21" t="s">
        <v>9</v>
      </c>
      <c r="F193" s="5812">
        <v>3</v>
      </c>
      <c r="G193" s="5813">
        <v>0.20833333333333334</v>
      </c>
      <c r="H193" s="21" t="s">
        <v>10</v>
      </c>
      <c r="I193" s="21" t="s">
        <v>226</v>
      </c>
      <c r="J193" s="21" t="s">
        <v>7468</v>
      </c>
      <c r="K193" s="5814" t="s">
        <v>7469</v>
      </c>
    </row>
    <row r="194" spans="1:11">
      <c r="A194" s="21" t="s">
        <v>3160</v>
      </c>
      <c r="B194" s="21" t="s">
        <v>7470</v>
      </c>
      <c r="C194" s="21" t="s">
        <v>8</v>
      </c>
      <c r="D194" s="21" t="s">
        <v>701</v>
      </c>
      <c r="E194" s="21" t="s">
        <v>9</v>
      </c>
      <c r="F194" s="5812">
        <v>3</v>
      </c>
      <c r="G194" s="5813">
        <v>0.20833333333333334</v>
      </c>
      <c r="H194" s="21" t="s">
        <v>10</v>
      </c>
      <c r="I194" s="21" t="s">
        <v>47</v>
      </c>
      <c r="J194" s="21" t="s">
        <v>7471</v>
      </c>
      <c r="K194" s="5814" t="s">
        <v>7472</v>
      </c>
    </row>
    <row r="195" spans="1:11">
      <c r="A195" s="21" t="s">
        <v>3160</v>
      </c>
      <c r="B195" s="21" t="s">
        <v>7473</v>
      </c>
      <c r="C195" s="21" t="s">
        <v>22</v>
      </c>
      <c r="D195" s="21" t="s">
        <v>701</v>
      </c>
      <c r="E195" s="21" t="s">
        <v>9</v>
      </c>
      <c r="F195" s="5812">
        <v>3</v>
      </c>
      <c r="G195" s="5813">
        <v>0.20833333333333334</v>
      </c>
      <c r="H195" s="21" t="s">
        <v>10</v>
      </c>
      <c r="I195" s="21" t="s">
        <v>55</v>
      </c>
      <c r="J195" s="21" t="s">
        <v>7474</v>
      </c>
      <c r="K195" s="5814" t="s">
        <v>7475</v>
      </c>
    </row>
    <row r="196" spans="1:11">
      <c r="A196" s="21" t="s">
        <v>2184</v>
      </c>
      <c r="B196" s="21" t="s">
        <v>7476</v>
      </c>
      <c r="C196" s="21" t="s">
        <v>8</v>
      </c>
      <c r="D196" s="21" t="s">
        <v>701</v>
      </c>
      <c r="E196" s="21" t="s">
        <v>9</v>
      </c>
      <c r="F196" s="5812">
        <v>3</v>
      </c>
      <c r="G196" s="5813">
        <v>0.20833333333333334</v>
      </c>
      <c r="H196" s="21" t="s">
        <v>10</v>
      </c>
      <c r="I196" s="21" t="s">
        <v>11</v>
      </c>
      <c r="J196" s="21" t="s">
        <v>7477</v>
      </c>
      <c r="K196" s="5814" t="s">
        <v>7478</v>
      </c>
    </row>
    <row r="197" spans="1:11">
      <c r="A197" s="21" t="s">
        <v>4177</v>
      </c>
      <c r="B197" s="21" t="s">
        <v>7479</v>
      </c>
      <c r="C197" s="21" t="s">
        <v>8</v>
      </c>
      <c r="D197" s="21" t="s">
        <v>701</v>
      </c>
      <c r="E197" s="21" t="s">
        <v>9</v>
      </c>
      <c r="F197" s="5812">
        <v>3</v>
      </c>
      <c r="G197" s="5813">
        <v>0.20833333333333334</v>
      </c>
      <c r="H197" s="21" t="s">
        <v>10</v>
      </c>
      <c r="I197" s="21" t="s">
        <v>55</v>
      </c>
      <c r="J197" s="21" t="s">
        <v>7480</v>
      </c>
      <c r="K197" s="5814" t="s">
        <v>7481</v>
      </c>
    </row>
    <row r="198" spans="1:11">
      <c r="A198" s="21" t="s">
        <v>2626</v>
      </c>
      <c r="B198" s="21" t="s">
        <v>7482</v>
      </c>
      <c r="C198" s="21" t="s">
        <v>22</v>
      </c>
      <c r="D198" s="21" t="s">
        <v>701</v>
      </c>
      <c r="E198" s="21" t="s">
        <v>9</v>
      </c>
      <c r="F198" s="5812">
        <v>3</v>
      </c>
      <c r="G198" s="5813">
        <v>0.20833333333333334</v>
      </c>
      <c r="H198" s="21" t="s">
        <v>10</v>
      </c>
      <c r="I198" s="21" t="s">
        <v>47</v>
      </c>
      <c r="J198" s="21" t="s">
        <v>7483</v>
      </c>
      <c r="K198" s="5814" t="s">
        <v>7484</v>
      </c>
    </row>
    <row r="199" spans="1:11">
      <c r="A199" s="21" t="s">
        <v>2638</v>
      </c>
      <c r="B199" s="21" t="s">
        <v>7485</v>
      </c>
      <c r="C199" s="21" t="s">
        <v>8</v>
      </c>
      <c r="D199" s="21" t="s">
        <v>701</v>
      </c>
      <c r="E199" s="21" t="s">
        <v>9</v>
      </c>
      <c r="F199" s="5812">
        <v>3</v>
      </c>
      <c r="G199" s="5813">
        <v>0.20833333333333334</v>
      </c>
      <c r="H199" s="21" t="s">
        <v>10</v>
      </c>
      <c r="I199" s="21" t="s">
        <v>55</v>
      </c>
      <c r="J199" s="21" t="s">
        <v>7486</v>
      </c>
      <c r="K199" s="5814" t="s">
        <v>7487</v>
      </c>
    </row>
    <row r="200" spans="1:11">
      <c r="A200" s="21" t="s">
        <v>3395</v>
      </c>
      <c r="B200" s="21" t="s">
        <v>7488</v>
      </c>
      <c r="C200" s="21" t="s">
        <v>8</v>
      </c>
      <c r="D200" s="21" t="s">
        <v>701</v>
      </c>
      <c r="E200" s="21" t="s">
        <v>9</v>
      </c>
      <c r="F200" s="5812">
        <v>3</v>
      </c>
      <c r="G200" s="5813">
        <v>0.20833333333333334</v>
      </c>
      <c r="H200" s="21" t="s">
        <v>10</v>
      </c>
      <c r="I200" s="21" t="s">
        <v>2544</v>
      </c>
      <c r="J200" s="21" t="s">
        <v>7489</v>
      </c>
      <c r="K200" s="5814" t="s">
        <v>7490</v>
      </c>
    </row>
    <row r="201" spans="1:11">
      <c r="A201" s="21" t="s">
        <v>3323</v>
      </c>
      <c r="B201" s="21" t="s">
        <v>7491</v>
      </c>
      <c r="C201" s="21" t="s">
        <v>8</v>
      </c>
      <c r="D201" s="21" t="s">
        <v>701</v>
      </c>
      <c r="E201" s="21" t="s">
        <v>9</v>
      </c>
      <c r="F201" s="5812">
        <v>3</v>
      </c>
      <c r="G201" s="5813">
        <v>0.20833333333333334</v>
      </c>
      <c r="H201" s="21" t="s">
        <v>10</v>
      </c>
      <c r="I201" s="21" t="s">
        <v>3325</v>
      </c>
      <c r="J201" s="21" t="s">
        <v>7492</v>
      </c>
      <c r="K201" s="5814" t="s">
        <v>7493</v>
      </c>
    </row>
    <row r="202" spans="1:11">
      <c r="A202" s="21" t="s">
        <v>2647</v>
      </c>
      <c r="B202" s="21" t="s">
        <v>7494</v>
      </c>
      <c r="C202" s="21" t="s">
        <v>22</v>
      </c>
      <c r="D202" s="21" t="s">
        <v>701</v>
      </c>
      <c r="E202" s="21" t="s">
        <v>9</v>
      </c>
      <c r="F202" s="5812">
        <v>3</v>
      </c>
      <c r="G202" s="5813">
        <v>0.20833333333333334</v>
      </c>
      <c r="H202" s="21" t="s">
        <v>10</v>
      </c>
      <c r="I202" s="21" t="s">
        <v>2260</v>
      </c>
      <c r="J202" s="21" t="s">
        <v>7495</v>
      </c>
      <c r="K202" s="5814" t="s">
        <v>7496</v>
      </c>
    </row>
    <row r="203" spans="1:11">
      <c r="A203" s="21" t="s">
        <v>2647</v>
      </c>
      <c r="B203" s="21" t="s">
        <v>7497</v>
      </c>
      <c r="C203" s="21" t="s">
        <v>8</v>
      </c>
      <c r="D203" s="21" t="s">
        <v>701</v>
      </c>
      <c r="E203" s="21" t="s">
        <v>9</v>
      </c>
      <c r="F203" s="5812">
        <v>3</v>
      </c>
      <c r="G203" s="5813">
        <v>0.20833333333333334</v>
      </c>
      <c r="H203" s="21" t="s">
        <v>10</v>
      </c>
      <c r="I203" s="21" t="s">
        <v>7498</v>
      </c>
      <c r="J203" s="21" t="s">
        <v>7499</v>
      </c>
      <c r="K203" s="5814" t="s">
        <v>7500</v>
      </c>
    </row>
    <row r="204" spans="1:11">
      <c r="A204" s="21" t="s">
        <v>2651</v>
      </c>
      <c r="B204" s="21" t="s">
        <v>7501</v>
      </c>
      <c r="C204" s="21" t="s">
        <v>22</v>
      </c>
      <c r="D204" s="21" t="s">
        <v>701</v>
      </c>
      <c r="E204" s="21" t="s">
        <v>9</v>
      </c>
      <c r="F204" s="5812">
        <v>3</v>
      </c>
      <c r="G204" s="5813">
        <v>0.20833333333333334</v>
      </c>
      <c r="H204" s="21" t="s">
        <v>10</v>
      </c>
      <c r="I204" s="21" t="s">
        <v>11</v>
      </c>
      <c r="J204" s="21" t="s">
        <v>7502</v>
      </c>
      <c r="K204" s="5814" t="s">
        <v>7503</v>
      </c>
    </row>
    <row r="205" spans="1:11">
      <c r="A205" s="21" t="s">
        <v>2651</v>
      </c>
      <c r="B205" s="21" t="s">
        <v>7504</v>
      </c>
      <c r="C205" s="21" t="s">
        <v>22</v>
      </c>
      <c r="D205" s="21" t="s">
        <v>701</v>
      </c>
      <c r="E205" s="21" t="s">
        <v>9</v>
      </c>
      <c r="F205" s="5812">
        <v>3</v>
      </c>
      <c r="G205" s="5813">
        <v>0.20833333333333334</v>
      </c>
      <c r="H205" s="21" t="s">
        <v>10</v>
      </c>
      <c r="I205" s="21" t="s">
        <v>96</v>
      </c>
      <c r="J205" s="21" t="s">
        <v>7505</v>
      </c>
      <c r="K205" s="5814" t="s">
        <v>7506</v>
      </c>
    </row>
    <row r="206" spans="1:11">
      <c r="A206" s="21" t="s">
        <v>3328</v>
      </c>
      <c r="B206" s="21" t="s">
        <v>7507</v>
      </c>
      <c r="C206" s="21" t="s">
        <v>8</v>
      </c>
      <c r="D206" s="21" t="s">
        <v>701</v>
      </c>
      <c r="E206" s="21" t="s">
        <v>9</v>
      </c>
      <c r="F206" s="5812">
        <v>3</v>
      </c>
      <c r="G206" s="5813">
        <v>0.20833333333333334</v>
      </c>
      <c r="H206" s="21" t="s">
        <v>10</v>
      </c>
      <c r="I206" s="21" t="s">
        <v>2692</v>
      </c>
      <c r="J206" s="21" t="s">
        <v>7508</v>
      </c>
      <c r="K206" s="5814" t="s">
        <v>7509</v>
      </c>
    </row>
    <row r="207" spans="1:11">
      <c r="A207" s="21" t="s">
        <v>2663</v>
      </c>
      <c r="B207" s="21" t="s">
        <v>7510</v>
      </c>
      <c r="C207" s="21" t="s">
        <v>22</v>
      </c>
      <c r="D207" s="21" t="s">
        <v>701</v>
      </c>
      <c r="E207" s="21" t="s">
        <v>9</v>
      </c>
      <c r="F207" s="5812">
        <v>3</v>
      </c>
      <c r="G207" s="5813">
        <v>0.20833333333333334</v>
      </c>
      <c r="H207" s="21" t="s">
        <v>10</v>
      </c>
      <c r="I207" s="21" t="s">
        <v>11</v>
      </c>
      <c r="J207" s="21" t="s">
        <v>7511</v>
      </c>
      <c r="K207" s="5814" t="s">
        <v>7512</v>
      </c>
    </row>
    <row r="208" spans="1:11">
      <c r="A208" s="21" t="s">
        <v>2668</v>
      </c>
      <c r="B208" s="21" t="s">
        <v>7513</v>
      </c>
      <c r="C208" s="21" t="s">
        <v>22</v>
      </c>
      <c r="D208" s="21" t="s">
        <v>701</v>
      </c>
      <c r="E208" s="21" t="s">
        <v>9</v>
      </c>
      <c r="F208" s="5812">
        <v>3</v>
      </c>
      <c r="G208" s="5813">
        <v>0.20833333333333334</v>
      </c>
      <c r="H208" s="21" t="s">
        <v>10</v>
      </c>
      <c r="I208" s="21" t="s">
        <v>2872</v>
      </c>
      <c r="J208" s="21" t="s">
        <v>7514</v>
      </c>
      <c r="K208" s="5814" t="s">
        <v>7515</v>
      </c>
    </row>
    <row r="209" spans="1:11">
      <c r="A209" s="21" t="s">
        <v>4527</v>
      </c>
      <c r="B209" s="21" t="s">
        <v>7516</v>
      </c>
      <c r="C209" s="21" t="s">
        <v>22</v>
      </c>
      <c r="D209" s="21" t="s">
        <v>701</v>
      </c>
      <c r="E209" s="21" t="s">
        <v>9</v>
      </c>
      <c r="F209" s="5812">
        <v>3</v>
      </c>
      <c r="G209" s="5813">
        <v>0.20833333333333334</v>
      </c>
      <c r="H209" s="21" t="s">
        <v>10</v>
      </c>
      <c r="I209" s="21" t="s">
        <v>2269</v>
      </c>
      <c r="J209" s="21" t="s">
        <v>7517</v>
      </c>
      <c r="K209" s="5814" t="s">
        <v>7518</v>
      </c>
    </row>
    <row r="210" spans="1:11">
      <c r="A210" s="21" t="s">
        <v>4527</v>
      </c>
      <c r="B210" s="21" t="s">
        <v>7519</v>
      </c>
      <c r="C210" s="21" t="s">
        <v>22</v>
      </c>
      <c r="D210" s="21" t="s">
        <v>701</v>
      </c>
      <c r="E210" s="21" t="s">
        <v>9</v>
      </c>
      <c r="F210" s="5812">
        <v>3</v>
      </c>
      <c r="G210" s="5813">
        <v>0.20833333333333334</v>
      </c>
      <c r="H210" s="21" t="s">
        <v>10</v>
      </c>
      <c r="I210" s="21" t="s">
        <v>2860</v>
      </c>
      <c r="J210" s="21" t="s">
        <v>7520</v>
      </c>
      <c r="K210" s="5814" t="s">
        <v>7521</v>
      </c>
    </row>
    <row r="211" spans="1:11">
      <c r="A211" s="21" t="s">
        <v>3364</v>
      </c>
      <c r="B211" s="21" t="s">
        <v>7522</v>
      </c>
      <c r="C211" s="21" t="s">
        <v>22</v>
      </c>
      <c r="D211" s="21" t="s">
        <v>701</v>
      </c>
      <c r="E211" s="21" t="s">
        <v>9</v>
      </c>
      <c r="F211" s="5812">
        <v>3</v>
      </c>
      <c r="G211" s="5813">
        <v>0.20833333333333334</v>
      </c>
      <c r="H211" s="21" t="s">
        <v>10</v>
      </c>
      <c r="I211" s="21" t="s">
        <v>233</v>
      </c>
      <c r="J211" s="21" t="s">
        <v>7523</v>
      </c>
      <c r="K211" s="5814" t="s">
        <v>7524</v>
      </c>
    </row>
    <row r="212" spans="1:11">
      <c r="A212" s="21" t="s">
        <v>2192</v>
      </c>
      <c r="B212" s="21" t="s">
        <v>7525</v>
      </c>
      <c r="C212" s="21" t="s">
        <v>8</v>
      </c>
      <c r="D212" s="21" t="s">
        <v>701</v>
      </c>
      <c r="E212" s="21" t="s">
        <v>9</v>
      </c>
      <c r="F212" s="5812">
        <v>3</v>
      </c>
      <c r="G212" s="5813">
        <v>0.20833333333333334</v>
      </c>
      <c r="H212" s="21" t="s">
        <v>10</v>
      </c>
      <c r="I212" s="21" t="s">
        <v>11</v>
      </c>
      <c r="J212" s="21" t="s">
        <v>7526</v>
      </c>
      <c r="K212" s="5814" t="s">
        <v>7527</v>
      </c>
    </row>
    <row r="213" spans="1:11">
      <c r="A213" s="21" t="s">
        <v>2675</v>
      </c>
      <c r="B213" s="21" t="s">
        <v>7528</v>
      </c>
      <c r="C213" s="21" t="s">
        <v>22</v>
      </c>
      <c r="D213" s="21" t="s">
        <v>701</v>
      </c>
      <c r="E213" s="21" t="s">
        <v>9</v>
      </c>
      <c r="F213" s="5812">
        <v>3</v>
      </c>
      <c r="G213" s="5813">
        <v>0.20833333333333334</v>
      </c>
      <c r="H213" s="21" t="s">
        <v>10</v>
      </c>
      <c r="I213" s="21" t="s">
        <v>7529</v>
      </c>
      <c r="J213" s="21" t="s">
        <v>7530</v>
      </c>
      <c r="K213" s="5814" t="s">
        <v>7531</v>
      </c>
    </row>
    <row r="214" spans="1:11">
      <c r="A214" s="21" t="s">
        <v>2675</v>
      </c>
      <c r="B214" s="21" t="s">
        <v>7532</v>
      </c>
      <c r="C214" s="21" t="s">
        <v>8</v>
      </c>
      <c r="D214" s="21" t="s">
        <v>701</v>
      </c>
      <c r="E214" s="21" t="s">
        <v>9</v>
      </c>
      <c r="F214" s="5812">
        <v>3</v>
      </c>
      <c r="G214" s="5813">
        <v>0.20833333333333334</v>
      </c>
      <c r="H214" s="21" t="s">
        <v>10</v>
      </c>
      <c r="I214" s="21" t="s">
        <v>7529</v>
      </c>
      <c r="J214" s="21" t="s">
        <v>7533</v>
      </c>
      <c r="K214" s="5814" t="s">
        <v>7534</v>
      </c>
    </row>
    <row r="215" spans="1:11">
      <c r="A215" s="21" t="s">
        <v>2679</v>
      </c>
      <c r="B215" s="21" t="s">
        <v>7535</v>
      </c>
      <c r="C215" s="21" t="s">
        <v>8</v>
      </c>
      <c r="D215" s="21" t="s">
        <v>701</v>
      </c>
      <c r="E215" s="21" t="s">
        <v>9</v>
      </c>
      <c r="F215" s="5812">
        <v>3</v>
      </c>
      <c r="G215" s="5813">
        <v>0.20833333333333334</v>
      </c>
      <c r="H215" s="21" t="s">
        <v>10</v>
      </c>
      <c r="I215" s="21" t="s">
        <v>2684</v>
      </c>
      <c r="J215" s="21" t="s">
        <v>7536</v>
      </c>
      <c r="K215" s="5814" t="s">
        <v>7537</v>
      </c>
    </row>
    <row r="216" spans="1:11">
      <c r="A216" s="21" t="s">
        <v>3089</v>
      </c>
      <c r="B216" s="21" t="s">
        <v>7538</v>
      </c>
      <c r="C216" s="21" t="s">
        <v>8</v>
      </c>
      <c r="D216" s="21" t="s">
        <v>701</v>
      </c>
      <c r="E216" s="21" t="s">
        <v>9</v>
      </c>
      <c r="F216" s="5812">
        <v>3</v>
      </c>
      <c r="G216" s="5813">
        <v>0.20833333333333334</v>
      </c>
      <c r="H216" s="21" t="s">
        <v>10</v>
      </c>
      <c r="I216" s="21" t="s">
        <v>2692</v>
      </c>
      <c r="J216" s="21" t="s">
        <v>7539</v>
      </c>
      <c r="K216" s="5814" t="s">
        <v>7540</v>
      </c>
    </row>
    <row r="217" spans="1:11">
      <c r="A217" s="21" t="s">
        <v>4233</v>
      </c>
      <c r="B217" s="21" t="s">
        <v>7541</v>
      </c>
      <c r="C217" s="21" t="s">
        <v>8</v>
      </c>
      <c r="D217" s="21" t="s">
        <v>701</v>
      </c>
      <c r="E217" s="21" t="s">
        <v>9</v>
      </c>
      <c r="F217" s="5812">
        <v>3</v>
      </c>
      <c r="G217" s="5813">
        <v>0.20833333333333334</v>
      </c>
      <c r="H217" s="21" t="s">
        <v>10</v>
      </c>
      <c r="I217" s="21"/>
      <c r="J217" s="21" t="s">
        <v>7542</v>
      </c>
      <c r="K217" s="5814" t="s">
        <v>7543</v>
      </c>
    </row>
    <row r="218" spans="1:11">
      <c r="A218" s="21" t="s">
        <v>4233</v>
      </c>
      <c r="B218" s="21" t="s">
        <v>7544</v>
      </c>
      <c r="C218" s="21" t="s">
        <v>8</v>
      </c>
      <c r="D218" s="21" t="s">
        <v>701</v>
      </c>
      <c r="E218" s="21" t="s">
        <v>9</v>
      </c>
      <c r="F218" s="5812">
        <v>3</v>
      </c>
      <c r="G218" s="5813">
        <v>0.20833333333333334</v>
      </c>
      <c r="H218" s="21" t="s">
        <v>10</v>
      </c>
      <c r="I218" s="21" t="s">
        <v>2872</v>
      </c>
      <c r="J218" s="21" t="s">
        <v>7545</v>
      </c>
      <c r="K218" s="5814" t="s">
        <v>7546</v>
      </c>
    </row>
    <row r="219" spans="1:11">
      <c r="A219" s="21" t="s">
        <v>2698</v>
      </c>
      <c r="B219" s="21" t="s">
        <v>7547</v>
      </c>
      <c r="C219" s="21" t="s">
        <v>8</v>
      </c>
      <c r="D219" s="21" t="s">
        <v>701</v>
      </c>
      <c r="E219" s="21" t="s">
        <v>9</v>
      </c>
      <c r="F219" s="5812">
        <v>3</v>
      </c>
      <c r="G219" s="5813">
        <v>0.20833333333333334</v>
      </c>
      <c r="H219" s="21" t="s">
        <v>10</v>
      </c>
      <c r="I219" s="21" t="s">
        <v>4286</v>
      </c>
      <c r="J219" s="21" t="s">
        <v>7548</v>
      </c>
      <c r="K219" s="5814" t="s">
        <v>7549</v>
      </c>
    </row>
    <row r="220" spans="1:11">
      <c r="A220" s="21" t="s">
        <v>2707</v>
      </c>
      <c r="B220" s="21" t="s">
        <v>7550</v>
      </c>
      <c r="C220" s="21" t="s">
        <v>22</v>
      </c>
      <c r="D220" s="21" t="s">
        <v>701</v>
      </c>
      <c r="E220" s="21" t="s">
        <v>9</v>
      </c>
      <c r="F220" s="5812">
        <v>3</v>
      </c>
      <c r="G220" s="5813">
        <v>0.20833333333333334</v>
      </c>
      <c r="H220" s="21" t="s">
        <v>10</v>
      </c>
      <c r="I220" s="21" t="s">
        <v>39</v>
      </c>
      <c r="J220" s="21" t="s">
        <v>7551</v>
      </c>
      <c r="K220" s="5814" t="s">
        <v>7552</v>
      </c>
    </row>
    <row r="221" spans="1:11">
      <c r="A221" s="21" t="s">
        <v>2915</v>
      </c>
      <c r="B221" s="21" t="s">
        <v>7553</v>
      </c>
      <c r="C221" s="21" t="s">
        <v>22</v>
      </c>
      <c r="D221" s="21" t="s">
        <v>701</v>
      </c>
      <c r="E221" s="21" t="s">
        <v>9</v>
      </c>
      <c r="F221" s="5812">
        <v>3</v>
      </c>
      <c r="G221" s="5813">
        <v>0.20833333333333334</v>
      </c>
      <c r="H221" s="21" t="s">
        <v>10</v>
      </c>
      <c r="I221" s="21" t="s">
        <v>194</v>
      </c>
      <c r="J221" s="21" t="s">
        <v>7554</v>
      </c>
      <c r="K221" s="5814" t="s">
        <v>7555</v>
      </c>
    </row>
    <row r="222" spans="1:11">
      <c r="A222" s="21" t="s">
        <v>2915</v>
      </c>
      <c r="B222" s="21" t="s">
        <v>7556</v>
      </c>
      <c r="C222" s="21" t="s">
        <v>8</v>
      </c>
      <c r="D222" s="21" t="s">
        <v>701</v>
      </c>
      <c r="E222" s="21" t="s">
        <v>9</v>
      </c>
      <c r="F222" s="5812">
        <v>3</v>
      </c>
      <c r="G222" s="5813">
        <v>0.20833333333333334</v>
      </c>
      <c r="H222" s="21" t="s">
        <v>10</v>
      </c>
      <c r="I222" s="21" t="s">
        <v>226</v>
      </c>
      <c r="J222" s="21" t="s">
        <v>7557</v>
      </c>
      <c r="K222" s="5814" t="s">
        <v>7558</v>
      </c>
    </row>
    <row r="223" spans="1:11">
      <c r="A223" s="21" t="s">
        <v>4257</v>
      </c>
      <c r="B223" s="21" t="s">
        <v>7559</v>
      </c>
      <c r="C223" s="21" t="s">
        <v>8</v>
      </c>
      <c r="D223" s="21" t="s">
        <v>701</v>
      </c>
      <c r="E223" s="21" t="s">
        <v>9</v>
      </c>
      <c r="F223" s="5812">
        <v>3</v>
      </c>
      <c r="G223" s="5813">
        <v>0.20833333333333334</v>
      </c>
      <c r="H223" s="21" t="s">
        <v>10</v>
      </c>
      <c r="I223" s="21" t="s">
        <v>73</v>
      </c>
      <c r="J223" s="21" t="s">
        <v>7560</v>
      </c>
      <c r="K223" s="5814" t="s">
        <v>7561</v>
      </c>
    </row>
    <row r="224" spans="1:11">
      <c r="A224" s="21" t="s">
        <v>4257</v>
      </c>
      <c r="B224" s="21" t="s">
        <v>7562</v>
      </c>
      <c r="C224" s="21" t="s">
        <v>8</v>
      </c>
      <c r="D224" s="21" t="s">
        <v>701</v>
      </c>
      <c r="E224" s="21" t="s">
        <v>9</v>
      </c>
      <c r="F224" s="5812">
        <v>3</v>
      </c>
      <c r="G224" s="5813">
        <v>0.20833333333333334</v>
      </c>
      <c r="H224" s="21" t="s">
        <v>10</v>
      </c>
      <c r="I224" s="21" t="s">
        <v>73</v>
      </c>
      <c r="J224" s="21" t="s">
        <v>7563</v>
      </c>
      <c r="K224" s="5814" t="s">
        <v>7564</v>
      </c>
    </row>
    <row r="225" spans="1:11">
      <c r="A225" s="21" t="s">
        <v>2741</v>
      </c>
      <c r="B225" s="21" t="s">
        <v>7565</v>
      </c>
      <c r="C225" s="21" t="s">
        <v>8</v>
      </c>
      <c r="D225" s="21" t="s">
        <v>701</v>
      </c>
      <c r="E225" s="21" t="s">
        <v>9</v>
      </c>
      <c r="F225" s="5812">
        <v>3</v>
      </c>
      <c r="G225" s="5813">
        <v>0.20833333333333334</v>
      </c>
      <c r="H225" s="21" t="s">
        <v>10</v>
      </c>
      <c r="I225" s="21" t="s">
        <v>3534</v>
      </c>
      <c r="J225" s="21" t="s">
        <v>7566</v>
      </c>
      <c r="K225" s="5814" t="s">
        <v>7567</v>
      </c>
    </row>
    <row r="226" spans="1:11">
      <c r="A226" s="21" t="s">
        <v>2745</v>
      </c>
      <c r="B226" s="21" t="s">
        <v>7568</v>
      </c>
      <c r="C226" s="21" t="s">
        <v>8</v>
      </c>
      <c r="D226" s="21" t="s">
        <v>701</v>
      </c>
      <c r="E226" s="21" t="s">
        <v>9</v>
      </c>
      <c r="F226" s="5812">
        <v>3</v>
      </c>
      <c r="G226" s="5813">
        <v>0.20833333333333334</v>
      </c>
      <c r="H226" s="21" t="s">
        <v>10</v>
      </c>
      <c r="I226" s="21" t="s">
        <v>47</v>
      </c>
      <c r="J226" s="21" t="s">
        <v>7569</v>
      </c>
      <c r="K226" s="5814" t="s">
        <v>7570</v>
      </c>
    </row>
    <row r="227" spans="1:11">
      <c r="A227" s="21" t="s">
        <v>2745</v>
      </c>
      <c r="B227" s="21" t="s">
        <v>7571</v>
      </c>
      <c r="C227" s="21" t="s">
        <v>8</v>
      </c>
      <c r="D227" s="21" t="s">
        <v>701</v>
      </c>
      <c r="E227" s="21" t="s">
        <v>9</v>
      </c>
      <c r="F227" s="5812">
        <v>3</v>
      </c>
      <c r="G227" s="5813">
        <v>0.20833333333333334</v>
      </c>
      <c r="H227" s="21" t="s">
        <v>10</v>
      </c>
      <c r="I227" s="21" t="s">
        <v>2247</v>
      </c>
      <c r="J227" s="21" t="s">
        <v>7572</v>
      </c>
      <c r="K227" s="5814" t="s">
        <v>7573</v>
      </c>
    </row>
    <row r="228" spans="1:11">
      <c r="A228" s="21" t="s">
        <v>3765</v>
      </c>
      <c r="B228" s="21" t="s">
        <v>7574</v>
      </c>
      <c r="C228" s="21" t="s">
        <v>22</v>
      </c>
      <c r="D228" s="21" t="s">
        <v>701</v>
      </c>
      <c r="E228" s="21" t="s">
        <v>9</v>
      </c>
      <c r="F228" s="5812">
        <v>3</v>
      </c>
      <c r="G228" s="5813">
        <v>0.20833333333333334</v>
      </c>
      <c r="H228" s="21" t="s">
        <v>10</v>
      </c>
      <c r="I228" s="21" t="s">
        <v>226</v>
      </c>
      <c r="J228" s="21" t="s">
        <v>7575</v>
      </c>
      <c r="K228" s="5814" t="s">
        <v>7576</v>
      </c>
    </row>
    <row r="229" spans="1:11">
      <c r="A229" s="21" t="s">
        <v>3765</v>
      </c>
      <c r="B229" s="21" t="s">
        <v>7577</v>
      </c>
      <c r="C229" s="21" t="s">
        <v>8</v>
      </c>
      <c r="D229" s="21" t="s">
        <v>701</v>
      </c>
      <c r="E229" s="21" t="s">
        <v>9</v>
      </c>
      <c r="F229" s="5812">
        <v>3</v>
      </c>
      <c r="G229" s="5813">
        <v>0.20833333333333334</v>
      </c>
      <c r="H229" s="21" t="s">
        <v>10</v>
      </c>
      <c r="I229" s="21" t="s">
        <v>187</v>
      </c>
      <c r="J229" s="21" t="s">
        <v>7578</v>
      </c>
      <c r="K229" s="5814" t="s">
        <v>7579</v>
      </c>
    </row>
    <row r="230" spans="1:11">
      <c r="A230" s="21" t="s">
        <v>3354</v>
      </c>
      <c r="B230" s="21" t="s">
        <v>7580</v>
      </c>
      <c r="C230" s="21" t="s">
        <v>8</v>
      </c>
      <c r="D230" s="21" t="s">
        <v>701</v>
      </c>
      <c r="E230" s="21" t="s">
        <v>9</v>
      </c>
      <c r="F230" s="5812">
        <v>3</v>
      </c>
      <c r="G230" s="5813">
        <v>0.20833333333333334</v>
      </c>
      <c r="H230" s="21" t="s">
        <v>10</v>
      </c>
      <c r="I230" s="21" t="s">
        <v>2247</v>
      </c>
      <c r="J230" s="21" t="s">
        <v>7581</v>
      </c>
      <c r="K230" s="5814" t="s">
        <v>7582</v>
      </c>
    </row>
    <row r="231" spans="1:11">
      <c r="A231" s="21" t="s">
        <v>3369</v>
      </c>
      <c r="B231" s="21" t="s">
        <v>7583</v>
      </c>
      <c r="C231" s="21" t="s">
        <v>8</v>
      </c>
      <c r="D231" s="21" t="s">
        <v>701</v>
      </c>
      <c r="E231" s="21" t="s">
        <v>9</v>
      </c>
      <c r="F231" s="5812">
        <v>3</v>
      </c>
      <c r="G231" s="5813">
        <v>0.20833333333333334</v>
      </c>
      <c r="H231" s="21" t="s">
        <v>10</v>
      </c>
      <c r="I231" s="21" t="s">
        <v>2297</v>
      </c>
      <c r="J231" s="21" t="s">
        <v>7584</v>
      </c>
      <c r="K231" s="5814" t="s">
        <v>7585</v>
      </c>
    </row>
    <row r="232" spans="1:11">
      <c r="A232" s="21" t="s">
        <v>4597</v>
      </c>
      <c r="B232" s="21" t="s">
        <v>7586</v>
      </c>
      <c r="C232" s="21" t="s">
        <v>8</v>
      </c>
      <c r="D232" s="21" t="s">
        <v>701</v>
      </c>
      <c r="E232" s="21" t="s">
        <v>9</v>
      </c>
      <c r="F232" s="5812">
        <v>3</v>
      </c>
      <c r="G232" s="5813">
        <v>0.20833333333333334</v>
      </c>
      <c r="H232" s="21" t="s">
        <v>10</v>
      </c>
      <c r="I232" s="21" t="s">
        <v>226</v>
      </c>
      <c r="J232" s="21" t="s">
        <v>7587</v>
      </c>
      <c r="K232" s="5814" t="s">
        <v>7588</v>
      </c>
    </row>
    <row r="233" spans="1:11">
      <c r="A233" s="21" t="s">
        <v>2212</v>
      </c>
      <c r="B233" s="21" t="s">
        <v>7589</v>
      </c>
      <c r="C233" s="21" t="s">
        <v>8</v>
      </c>
      <c r="D233" s="21" t="s">
        <v>701</v>
      </c>
      <c r="E233" s="21" t="s">
        <v>9</v>
      </c>
      <c r="F233" s="5812">
        <v>3</v>
      </c>
      <c r="G233" s="5813">
        <v>0.20833333333333334</v>
      </c>
      <c r="H233" s="21" t="s">
        <v>10</v>
      </c>
      <c r="I233" s="21" t="s">
        <v>89</v>
      </c>
      <c r="J233" s="21" t="s">
        <v>7590</v>
      </c>
      <c r="K233" s="5814" t="s">
        <v>7591</v>
      </c>
    </row>
    <row r="234" spans="1:11">
      <c r="A234" s="21" t="s">
        <v>5168</v>
      </c>
      <c r="B234" s="21" t="s">
        <v>7592</v>
      </c>
      <c r="C234" s="21" t="s">
        <v>8</v>
      </c>
      <c r="D234" s="21" t="s">
        <v>701</v>
      </c>
      <c r="E234" s="21" t="s">
        <v>9</v>
      </c>
      <c r="F234" s="5812">
        <v>3</v>
      </c>
      <c r="G234" s="5813">
        <v>0.20833333333333334</v>
      </c>
      <c r="H234" s="21" t="s">
        <v>10</v>
      </c>
      <c r="I234" s="21" t="s">
        <v>55</v>
      </c>
      <c r="J234" s="21" t="s">
        <v>7593</v>
      </c>
      <c r="K234" s="5814" t="s">
        <v>7594</v>
      </c>
    </row>
    <row r="235" spans="1:11">
      <c r="A235" s="21" t="s">
        <v>2216</v>
      </c>
      <c r="B235" s="21" t="s">
        <v>7595</v>
      </c>
      <c r="C235" s="21" t="s">
        <v>8</v>
      </c>
      <c r="D235" s="21" t="s">
        <v>701</v>
      </c>
      <c r="E235" s="21" t="s">
        <v>9</v>
      </c>
      <c r="F235" s="5812">
        <v>3</v>
      </c>
      <c r="G235" s="5813">
        <v>0.20833333333333334</v>
      </c>
      <c r="H235" s="21" t="s">
        <v>10</v>
      </c>
      <c r="I235" s="21" t="s">
        <v>226</v>
      </c>
      <c r="J235" s="21" t="s">
        <v>7596</v>
      </c>
      <c r="K235" s="5814" t="s">
        <v>7597</v>
      </c>
    </row>
    <row r="236" spans="1:11">
      <c r="A236" s="21" t="s">
        <v>2761</v>
      </c>
      <c r="B236" s="21" t="s">
        <v>7598</v>
      </c>
      <c r="C236" s="21" t="s">
        <v>8</v>
      </c>
      <c r="D236" s="21" t="s">
        <v>701</v>
      </c>
      <c r="E236" s="21" t="s">
        <v>9</v>
      </c>
      <c r="F236" s="5812">
        <v>3</v>
      </c>
      <c r="G236" s="5813">
        <v>0.20833333333333334</v>
      </c>
      <c r="H236" s="21" t="s">
        <v>10</v>
      </c>
      <c r="I236" s="21" t="s">
        <v>233</v>
      </c>
      <c r="J236" s="21" t="s">
        <v>7599</v>
      </c>
      <c r="K236" s="5814" t="s">
        <v>7600</v>
      </c>
    </row>
    <row r="237" spans="1:11">
      <c r="A237" s="21" t="s">
        <v>2761</v>
      </c>
      <c r="B237" s="21" t="s">
        <v>7601</v>
      </c>
      <c r="C237" s="21" t="s">
        <v>22</v>
      </c>
      <c r="D237" s="21" t="s">
        <v>701</v>
      </c>
      <c r="E237" s="21" t="s">
        <v>9</v>
      </c>
      <c r="F237" s="5812">
        <v>3</v>
      </c>
      <c r="G237" s="5813">
        <v>0.20833333333333334</v>
      </c>
      <c r="H237" s="21" t="s">
        <v>10</v>
      </c>
      <c r="I237" s="21" t="s">
        <v>788</v>
      </c>
      <c r="J237" s="21" t="s">
        <v>7602</v>
      </c>
      <c r="K237" s="5814" t="s">
        <v>7603</v>
      </c>
    </row>
    <row r="238" spans="1:11">
      <c r="A238" s="21" t="s">
        <v>3213</v>
      </c>
      <c r="B238" s="21" t="s">
        <v>7604</v>
      </c>
      <c r="C238" s="21" t="s">
        <v>8</v>
      </c>
      <c r="D238" s="21" t="s">
        <v>701</v>
      </c>
      <c r="E238" s="21" t="s">
        <v>9</v>
      </c>
      <c r="F238" s="5812">
        <v>3</v>
      </c>
      <c r="G238" s="5813">
        <v>0.20833333333333334</v>
      </c>
      <c r="H238" s="21" t="s">
        <v>10</v>
      </c>
      <c r="I238" s="21" t="s">
        <v>3215</v>
      </c>
      <c r="J238" s="21" t="s">
        <v>7605</v>
      </c>
      <c r="K238" s="5814" t="s">
        <v>7606</v>
      </c>
    </row>
    <row r="239" spans="1:11">
      <c r="A239" s="21" t="s">
        <v>4863</v>
      </c>
      <c r="B239" s="21" t="s">
        <v>7607</v>
      </c>
      <c r="C239" s="21" t="s">
        <v>8</v>
      </c>
      <c r="D239" s="21" t="s">
        <v>701</v>
      </c>
      <c r="E239" s="21" t="s">
        <v>9</v>
      </c>
      <c r="F239" s="5812">
        <v>3</v>
      </c>
      <c r="G239" s="5813">
        <v>0.20833333333333334</v>
      </c>
      <c r="H239" s="21" t="s">
        <v>10</v>
      </c>
      <c r="I239" s="21" t="s">
        <v>2260</v>
      </c>
      <c r="J239" s="21" t="s">
        <v>7608</v>
      </c>
      <c r="K239" s="5814" t="s">
        <v>7609</v>
      </c>
    </row>
    <row r="240" spans="1:11">
      <c r="A240" s="21" t="s">
        <v>2768</v>
      </c>
      <c r="B240" s="21" t="s">
        <v>7610</v>
      </c>
      <c r="C240" s="21" t="s">
        <v>22</v>
      </c>
      <c r="D240" s="21" t="s">
        <v>701</v>
      </c>
      <c r="E240" s="21" t="s">
        <v>9</v>
      </c>
      <c r="F240" s="5812">
        <v>3</v>
      </c>
      <c r="G240" s="5813">
        <v>0.20833333333333334</v>
      </c>
      <c r="H240" s="21" t="s">
        <v>10</v>
      </c>
      <c r="I240" s="21" t="s">
        <v>194</v>
      </c>
      <c r="J240" s="21" t="s">
        <v>7611</v>
      </c>
      <c r="K240" s="5814" t="s">
        <v>7612</v>
      </c>
    </row>
    <row r="241" spans="1:11">
      <c r="A241" s="21" t="s">
        <v>2772</v>
      </c>
      <c r="B241" s="21" t="s">
        <v>7613</v>
      </c>
      <c r="C241" s="21" t="s">
        <v>8</v>
      </c>
      <c r="D241" s="21" t="s">
        <v>701</v>
      </c>
      <c r="E241" s="21" t="s">
        <v>9</v>
      </c>
      <c r="F241" s="5812">
        <v>3</v>
      </c>
      <c r="G241" s="5813">
        <v>0.20833333333333334</v>
      </c>
      <c r="H241" s="21" t="s">
        <v>10</v>
      </c>
      <c r="I241" s="21" t="s">
        <v>2731</v>
      </c>
      <c r="J241" s="21" t="s">
        <v>7614</v>
      </c>
      <c r="K241" s="5814" t="s">
        <v>7615</v>
      </c>
    </row>
    <row r="242" spans="1:11">
      <c r="A242" s="21" t="s">
        <v>3430</v>
      </c>
      <c r="B242" s="21" t="s">
        <v>7616</v>
      </c>
      <c r="C242" s="21" t="s">
        <v>8</v>
      </c>
      <c r="D242" s="21" t="s">
        <v>701</v>
      </c>
      <c r="E242" s="21" t="s">
        <v>9</v>
      </c>
      <c r="F242" s="5812">
        <v>3</v>
      </c>
      <c r="G242" s="5813">
        <v>0.20833333333333334</v>
      </c>
      <c r="H242" s="21" t="s">
        <v>10</v>
      </c>
      <c r="I242" s="21" t="s">
        <v>55</v>
      </c>
      <c r="J242" s="21" t="s">
        <v>7617</v>
      </c>
      <c r="K242" s="5814" t="s">
        <v>7618</v>
      </c>
    </row>
    <row r="243" spans="1:11">
      <c r="A243" s="21" t="s">
        <v>3651</v>
      </c>
      <c r="B243" s="21" t="s">
        <v>7619</v>
      </c>
      <c r="C243" s="21" t="s">
        <v>8</v>
      </c>
      <c r="D243" s="21" t="s">
        <v>701</v>
      </c>
      <c r="E243" s="21" t="s">
        <v>9</v>
      </c>
      <c r="F243" s="5812">
        <v>3</v>
      </c>
      <c r="G243" s="5813">
        <v>0.20833333333333334</v>
      </c>
      <c r="H243" s="21" t="s">
        <v>10</v>
      </c>
      <c r="I243" s="21" t="s">
        <v>11</v>
      </c>
      <c r="J243" s="21" t="s">
        <v>7620</v>
      </c>
      <c r="K243" s="5814" t="s">
        <v>7621</v>
      </c>
    </row>
    <row r="244" spans="1:11">
      <c r="A244" s="21" t="s">
        <v>3651</v>
      </c>
      <c r="B244" s="21" t="s">
        <v>7622</v>
      </c>
      <c r="C244" s="21" t="s">
        <v>8</v>
      </c>
      <c r="D244" s="21" t="s">
        <v>701</v>
      </c>
      <c r="E244" s="21" t="s">
        <v>9</v>
      </c>
      <c r="F244" s="5812">
        <v>3</v>
      </c>
      <c r="G244" s="5813">
        <v>0.20833333333333334</v>
      </c>
      <c r="H244" s="21" t="s">
        <v>10</v>
      </c>
      <c r="I244" s="21" t="s">
        <v>6561</v>
      </c>
      <c r="J244" s="21" t="s">
        <v>7623</v>
      </c>
      <c r="K244" s="5814" t="s">
        <v>7624</v>
      </c>
    </row>
    <row r="245" spans="1:11">
      <c r="A245" s="21" t="s">
        <v>2780</v>
      </c>
      <c r="B245" s="21" t="s">
        <v>7625</v>
      </c>
      <c r="C245" s="21" t="s">
        <v>8</v>
      </c>
      <c r="D245" s="21" t="s">
        <v>701</v>
      </c>
      <c r="E245" s="21" t="s">
        <v>9</v>
      </c>
      <c r="F245" s="5812">
        <v>3</v>
      </c>
      <c r="G245" s="5813">
        <v>0.20833333333333334</v>
      </c>
      <c r="H245" s="21" t="s">
        <v>10</v>
      </c>
      <c r="I245" s="21" t="s">
        <v>55</v>
      </c>
      <c r="J245" s="21" t="s">
        <v>7626</v>
      </c>
      <c r="K245" s="5814" t="s">
        <v>7627</v>
      </c>
    </row>
    <row r="246" spans="1:11">
      <c r="A246" s="21" t="s">
        <v>3584</v>
      </c>
      <c r="B246" s="21" t="s">
        <v>7628</v>
      </c>
      <c r="C246" s="21" t="s">
        <v>8</v>
      </c>
      <c r="D246" s="21" t="s">
        <v>701</v>
      </c>
      <c r="E246" s="21" t="s">
        <v>9</v>
      </c>
      <c r="F246" s="5812">
        <v>3</v>
      </c>
      <c r="G246" s="5813">
        <v>0.20833333333333334</v>
      </c>
      <c r="H246" s="21" t="s">
        <v>10</v>
      </c>
      <c r="I246" s="21" t="s">
        <v>47</v>
      </c>
      <c r="J246" s="21" t="s">
        <v>7629</v>
      </c>
      <c r="K246" s="5814" t="s">
        <v>7630</v>
      </c>
    </row>
    <row r="247" spans="1:11">
      <c r="A247" s="21" t="s">
        <v>2233</v>
      </c>
      <c r="B247" s="21" t="s">
        <v>7631</v>
      </c>
      <c r="C247" s="21" t="s">
        <v>22</v>
      </c>
      <c r="D247" s="21" t="s">
        <v>701</v>
      </c>
      <c r="E247" s="21" t="s">
        <v>9</v>
      </c>
      <c r="F247" s="5812">
        <v>3</v>
      </c>
      <c r="G247" s="5813">
        <v>0.20833333333333334</v>
      </c>
      <c r="H247" s="21" t="s">
        <v>10</v>
      </c>
      <c r="I247" s="21" t="s">
        <v>55</v>
      </c>
      <c r="J247" s="21" t="s">
        <v>7632</v>
      </c>
      <c r="K247" s="5814" t="s">
        <v>7633</v>
      </c>
    </row>
    <row r="248" spans="1:11">
      <c r="A248" s="21" t="s">
        <v>3783</v>
      </c>
      <c r="B248" s="21" t="s">
        <v>7634</v>
      </c>
      <c r="C248" s="21" t="s">
        <v>22</v>
      </c>
      <c r="D248" s="21" t="s">
        <v>701</v>
      </c>
      <c r="E248" s="21" t="s">
        <v>9</v>
      </c>
      <c r="F248" s="5812">
        <v>3</v>
      </c>
      <c r="G248" s="5813">
        <v>0.20833333333333334</v>
      </c>
      <c r="H248" s="21" t="s">
        <v>10</v>
      </c>
      <c r="I248" s="21" t="s">
        <v>187</v>
      </c>
      <c r="J248" s="21" t="s">
        <v>7635</v>
      </c>
      <c r="K248" s="5814" t="s">
        <v>7636</v>
      </c>
    </row>
    <row r="249" spans="1:11">
      <c r="A249" s="21" t="s">
        <v>2241</v>
      </c>
      <c r="B249" s="21" t="s">
        <v>7637</v>
      </c>
      <c r="C249" s="21" t="s">
        <v>22</v>
      </c>
      <c r="D249" s="21" t="s">
        <v>701</v>
      </c>
      <c r="E249" s="21" t="s">
        <v>9</v>
      </c>
      <c r="F249" s="5812">
        <v>3</v>
      </c>
      <c r="G249" s="5813">
        <v>0.20833333333333334</v>
      </c>
      <c r="H249" s="21" t="s">
        <v>10</v>
      </c>
      <c r="I249" s="21" t="s">
        <v>2297</v>
      </c>
      <c r="J249" s="21" t="s">
        <v>7638</v>
      </c>
      <c r="K249" s="5814" t="s">
        <v>7639</v>
      </c>
    </row>
    <row r="250" spans="1:11">
      <c r="A250" s="21" t="s">
        <v>2241</v>
      </c>
      <c r="B250" s="21" t="s">
        <v>7640</v>
      </c>
      <c r="C250" s="21" t="s">
        <v>8</v>
      </c>
      <c r="D250" s="21" t="s">
        <v>701</v>
      </c>
      <c r="E250" s="21" t="s">
        <v>9</v>
      </c>
      <c r="F250" s="5812">
        <v>3</v>
      </c>
      <c r="G250" s="5813">
        <v>0.20833333333333334</v>
      </c>
      <c r="H250" s="21" t="s">
        <v>10</v>
      </c>
      <c r="I250" s="21" t="s">
        <v>2726</v>
      </c>
      <c r="J250" s="21" t="s">
        <v>7641</v>
      </c>
      <c r="K250" s="5814" t="s">
        <v>7642</v>
      </c>
    </row>
    <row r="251" spans="1:11">
      <c r="A251" s="21" t="s">
        <v>2804</v>
      </c>
      <c r="B251" s="21" t="s">
        <v>7643</v>
      </c>
      <c r="C251" s="21" t="s">
        <v>8</v>
      </c>
      <c r="D251" s="21" t="s">
        <v>701</v>
      </c>
      <c r="E251" s="21" t="s">
        <v>9</v>
      </c>
      <c r="F251" s="5812">
        <v>3</v>
      </c>
      <c r="G251" s="5813">
        <v>0.20833333333333334</v>
      </c>
      <c r="H251" s="21" t="s">
        <v>10</v>
      </c>
      <c r="I251" s="21" t="s">
        <v>55</v>
      </c>
      <c r="J251" s="21" t="s">
        <v>7644</v>
      </c>
      <c r="K251" s="5814" t="s">
        <v>7645</v>
      </c>
    </row>
    <row r="252" spans="1:11">
      <c r="A252" s="21" t="s">
        <v>2808</v>
      </c>
      <c r="B252" s="21" t="s">
        <v>7646</v>
      </c>
      <c r="C252" s="21" t="s">
        <v>22</v>
      </c>
      <c r="D252" s="21" t="s">
        <v>701</v>
      </c>
      <c r="E252" s="21" t="s">
        <v>9</v>
      </c>
      <c r="F252" s="5812">
        <v>3</v>
      </c>
      <c r="G252" s="5813">
        <v>0.20833333333333334</v>
      </c>
      <c r="H252" s="21" t="s">
        <v>10</v>
      </c>
      <c r="I252" s="21" t="s">
        <v>2872</v>
      </c>
      <c r="J252" s="21" t="s">
        <v>7647</v>
      </c>
      <c r="K252" s="5814" t="s">
        <v>7648</v>
      </c>
    </row>
    <row r="253" spans="1:11">
      <c r="A253" s="21" t="s">
        <v>4338</v>
      </c>
      <c r="B253" s="21" t="s">
        <v>7649</v>
      </c>
      <c r="C253" s="21" t="s">
        <v>22</v>
      </c>
      <c r="D253" s="21" t="s">
        <v>701</v>
      </c>
      <c r="E253" s="21" t="s">
        <v>9</v>
      </c>
      <c r="F253" s="5812">
        <v>3</v>
      </c>
      <c r="G253" s="5813">
        <v>0.20833333333333334</v>
      </c>
      <c r="H253" s="21" t="s">
        <v>10</v>
      </c>
      <c r="I253" s="21" t="s">
        <v>2297</v>
      </c>
      <c r="J253" s="21" t="s">
        <v>7650</v>
      </c>
      <c r="K253" s="5814" t="s">
        <v>7651</v>
      </c>
    </row>
    <row r="254" spans="1:11">
      <c r="A254" s="21" t="s">
        <v>3044</v>
      </c>
      <c r="B254" s="21" t="s">
        <v>7652</v>
      </c>
      <c r="C254" s="21" t="s">
        <v>8</v>
      </c>
      <c r="D254" s="21" t="s">
        <v>701</v>
      </c>
      <c r="E254" s="21" t="s">
        <v>9</v>
      </c>
      <c r="F254" s="5812">
        <v>3</v>
      </c>
      <c r="G254" s="5813">
        <v>0.20833333333333334</v>
      </c>
      <c r="H254" s="21" t="s">
        <v>10</v>
      </c>
      <c r="I254" s="21" t="s">
        <v>39</v>
      </c>
      <c r="J254" s="21" t="s">
        <v>7653</v>
      </c>
      <c r="K254" s="5814" t="s">
        <v>7654</v>
      </c>
    </row>
    <row r="255" spans="1:11">
      <c r="A255" s="21" t="s">
        <v>2245</v>
      </c>
      <c r="B255" s="21" t="s">
        <v>7655</v>
      </c>
      <c r="C255" s="21" t="s">
        <v>8</v>
      </c>
      <c r="D255" s="21" t="s">
        <v>701</v>
      </c>
      <c r="E255" s="21" t="s">
        <v>9</v>
      </c>
      <c r="F255" s="5812">
        <v>3</v>
      </c>
      <c r="G255" s="5813">
        <v>0.20833333333333334</v>
      </c>
      <c r="H255" s="21" t="s">
        <v>10</v>
      </c>
      <c r="I255" s="21" t="s">
        <v>2247</v>
      </c>
      <c r="J255" s="21" t="s">
        <v>7656</v>
      </c>
      <c r="K255" s="5814" t="s">
        <v>7657</v>
      </c>
    </row>
    <row r="256" spans="1:11">
      <c r="A256" s="21" t="s">
        <v>2245</v>
      </c>
      <c r="B256" s="21" t="s">
        <v>7658</v>
      </c>
      <c r="C256" s="21" t="s">
        <v>8</v>
      </c>
      <c r="D256" s="21" t="s">
        <v>701</v>
      </c>
      <c r="E256" s="21" t="s">
        <v>9</v>
      </c>
      <c r="F256" s="5812">
        <v>3</v>
      </c>
      <c r="G256" s="5813">
        <v>0.20833333333333334</v>
      </c>
      <c r="H256" s="21" t="s">
        <v>10</v>
      </c>
      <c r="I256" s="21" t="s">
        <v>55</v>
      </c>
      <c r="J256" s="21" t="s">
        <v>7659</v>
      </c>
      <c r="K256" s="5814" t="s">
        <v>7660</v>
      </c>
    </row>
    <row r="257" spans="1:11">
      <c r="A257" s="21" t="s">
        <v>2817</v>
      </c>
      <c r="B257" s="21" t="s">
        <v>7661</v>
      </c>
      <c r="C257" s="21" t="s">
        <v>22</v>
      </c>
      <c r="D257" s="21" t="s">
        <v>701</v>
      </c>
      <c r="E257" s="21" t="s">
        <v>9</v>
      </c>
      <c r="F257" s="5812">
        <v>3</v>
      </c>
      <c r="G257" s="5813">
        <v>0.20833333333333334</v>
      </c>
      <c r="H257" s="21" t="s">
        <v>10</v>
      </c>
      <c r="I257" s="21" t="s">
        <v>233</v>
      </c>
      <c r="J257" s="21" t="s">
        <v>7662</v>
      </c>
      <c r="K257" s="5814" t="s">
        <v>7663</v>
      </c>
    </row>
    <row r="258" spans="1:11">
      <c r="A258" s="21" t="s">
        <v>2817</v>
      </c>
      <c r="B258" s="21" t="s">
        <v>7664</v>
      </c>
      <c r="C258" s="21" t="s">
        <v>8</v>
      </c>
      <c r="D258" s="21" t="s">
        <v>701</v>
      </c>
      <c r="E258" s="21" t="s">
        <v>9</v>
      </c>
      <c r="F258" s="5812">
        <v>3</v>
      </c>
      <c r="G258" s="5813">
        <v>0.20833333333333334</v>
      </c>
      <c r="H258" s="21" t="s">
        <v>10</v>
      </c>
      <c r="I258" s="21" t="s">
        <v>2247</v>
      </c>
      <c r="J258" s="21" t="s">
        <v>7665</v>
      </c>
      <c r="K258" s="5814" t="s">
        <v>7666</v>
      </c>
    </row>
    <row r="259" spans="1:11">
      <c r="A259" s="21" t="s">
        <v>2817</v>
      </c>
      <c r="B259" s="21" t="s">
        <v>7667</v>
      </c>
      <c r="C259" s="21" t="s">
        <v>22</v>
      </c>
      <c r="D259" s="21" t="s">
        <v>701</v>
      </c>
      <c r="E259" s="21" t="s">
        <v>9</v>
      </c>
      <c r="F259" s="5812">
        <v>3</v>
      </c>
      <c r="G259" s="5813">
        <v>0.20833333333333334</v>
      </c>
      <c r="H259" s="21" t="s">
        <v>10</v>
      </c>
      <c r="I259" s="21" t="s">
        <v>2747</v>
      </c>
      <c r="J259" s="21" t="s">
        <v>7668</v>
      </c>
      <c r="K259" s="5814" t="s">
        <v>7669</v>
      </c>
    </row>
    <row r="260" spans="1:11">
      <c r="A260" s="21" t="s">
        <v>2075</v>
      </c>
      <c r="B260" s="21" t="s">
        <v>7670</v>
      </c>
      <c r="C260" s="21" t="s">
        <v>8</v>
      </c>
      <c r="D260" s="21" t="s">
        <v>701</v>
      </c>
      <c r="E260" s="21" t="s">
        <v>9</v>
      </c>
      <c r="F260" s="5812">
        <v>3</v>
      </c>
      <c r="G260" s="5813">
        <v>0.20833333333333334</v>
      </c>
      <c r="H260" s="21" t="s">
        <v>10</v>
      </c>
      <c r="I260" s="21" t="s">
        <v>654</v>
      </c>
      <c r="J260" s="21" t="s">
        <v>7671</v>
      </c>
      <c r="K260" s="5814" t="s">
        <v>7672</v>
      </c>
    </row>
    <row r="261" spans="1:11">
      <c r="A261" s="21" t="s">
        <v>2075</v>
      </c>
      <c r="B261" s="21" t="s">
        <v>7673</v>
      </c>
      <c r="C261" s="21" t="s">
        <v>22</v>
      </c>
      <c r="D261" s="21" t="s">
        <v>701</v>
      </c>
      <c r="E261" s="21" t="s">
        <v>9</v>
      </c>
      <c r="F261" s="5812">
        <v>3</v>
      </c>
      <c r="G261" s="5813">
        <v>0.20833333333333334</v>
      </c>
      <c r="H261" s="21" t="s">
        <v>10</v>
      </c>
      <c r="I261" s="21" t="s">
        <v>226</v>
      </c>
      <c r="J261" s="21" t="s">
        <v>7674</v>
      </c>
      <c r="K261" s="5814" t="s">
        <v>7675</v>
      </c>
    </row>
    <row r="262" spans="1:11">
      <c r="A262" s="21" t="s">
        <v>2827</v>
      </c>
      <c r="B262" s="21" t="s">
        <v>7676</v>
      </c>
      <c r="C262" s="21" t="s">
        <v>8</v>
      </c>
      <c r="D262" s="21" t="s">
        <v>701</v>
      </c>
      <c r="E262" s="21" t="s">
        <v>9</v>
      </c>
      <c r="F262" s="5812">
        <v>3</v>
      </c>
      <c r="G262" s="5813">
        <v>0.20833333333333334</v>
      </c>
      <c r="H262" s="21" t="s">
        <v>10</v>
      </c>
      <c r="I262" s="21" t="s">
        <v>2313</v>
      </c>
      <c r="J262" s="21" t="s">
        <v>7677</v>
      </c>
      <c r="K262" s="5814" t="s">
        <v>7678</v>
      </c>
    </row>
    <row r="263" spans="1:11">
      <c r="A263" s="21" t="s">
        <v>2827</v>
      </c>
      <c r="B263" s="21" t="s">
        <v>7679</v>
      </c>
      <c r="C263" s="21" t="s">
        <v>8</v>
      </c>
      <c r="D263" s="21" t="s">
        <v>701</v>
      </c>
      <c r="E263" s="21" t="s">
        <v>9</v>
      </c>
      <c r="F263" s="5812">
        <v>3</v>
      </c>
      <c r="G263" s="5813">
        <v>0.20833333333333334</v>
      </c>
      <c r="H263" s="21" t="s">
        <v>10</v>
      </c>
      <c r="I263" s="21" t="s">
        <v>2260</v>
      </c>
      <c r="J263" s="21" t="s">
        <v>7680</v>
      </c>
      <c r="K263" s="5814" t="s">
        <v>7681</v>
      </c>
    </row>
    <row r="264" spans="1:11">
      <c r="A264" s="21" t="s">
        <v>3787</v>
      </c>
      <c r="B264" s="21" t="s">
        <v>7682</v>
      </c>
      <c r="C264" s="21" t="s">
        <v>8</v>
      </c>
      <c r="D264" s="21" t="s">
        <v>701</v>
      </c>
      <c r="E264" s="21" t="s">
        <v>9</v>
      </c>
      <c r="F264" s="5812">
        <v>3</v>
      </c>
      <c r="G264" s="5813">
        <v>0.20833333333333334</v>
      </c>
      <c r="H264" s="21" t="s">
        <v>10</v>
      </c>
      <c r="I264" s="21" t="s">
        <v>2872</v>
      </c>
      <c r="J264" s="21" t="s">
        <v>7683</v>
      </c>
      <c r="K264" s="5814" t="s">
        <v>7684</v>
      </c>
    </row>
    <row r="265" spans="1:11">
      <c r="A265" s="21" t="s">
        <v>3192</v>
      </c>
      <c r="B265" s="21" t="s">
        <v>7685</v>
      </c>
      <c r="C265" s="21" t="s">
        <v>8</v>
      </c>
      <c r="D265" s="21" t="s">
        <v>701</v>
      </c>
      <c r="E265" s="21" t="s">
        <v>9</v>
      </c>
      <c r="F265" s="5812">
        <v>3</v>
      </c>
      <c r="G265" s="5813">
        <v>0.20833333333333334</v>
      </c>
      <c r="H265" s="21" t="s">
        <v>10</v>
      </c>
      <c r="I265" s="21" t="s">
        <v>2297</v>
      </c>
      <c r="J265" s="21" t="s">
        <v>7686</v>
      </c>
      <c r="K265" s="5814" t="s">
        <v>7687</v>
      </c>
    </row>
    <row r="266" spans="1:11">
      <c r="A266" s="21" t="s">
        <v>3192</v>
      </c>
      <c r="B266" s="21" t="s">
        <v>7688</v>
      </c>
      <c r="C266" s="21" t="s">
        <v>8</v>
      </c>
      <c r="D266" s="21" t="s">
        <v>701</v>
      </c>
      <c r="E266" s="21" t="s">
        <v>9</v>
      </c>
      <c r="F266" s="5812">
        <v>3</v>
      </c>
      <c r="G266" s="5813">
        <v>0.20833333333333334</v>
      </c>
      <c r="H266" s="21" t="s">
        <v>10</v>
      </c>
      <c r="I266" s="21" t="s">
        <v>2665</v>
      </c>
      <c r="J266" s="21" t="s">
        <v>7689</v>
      </c>
      <c r="K266" s="5814" t="s">
        <v>7690</v>
      </c>
    </row>
    <row r="267" spans="1:11">
      <c r="A267" s="21" t="s">
        <v>3006</v>
      </c>
      <c r="B267" s="21" t="s">
        <v>7691</v>
      </c>
      <c r="C267" s="21" t="s">
        <v>8</v>
      </c>
      <c r="D267" s="21" t="s">
        <v>701</v>
      </c>
      <c r="E267" s="21" t="s">
        <v>9</v>
      </c>
      <c r="F267" s="5812">
        <v>3</v>
      </c>
      <c r="G267" s="5813">
        <v>0.20833333333333334</v>
      </c>
      <c r="H267" s="21" t="s">
        <v>10</v>
      </c>
      <c r="I267" s="21" t="s">
        <v>187</v>
      </c>
      <c r="J267" s="21" t="s">
        <v>7692</v>
      </c>
      <c r="K267" s="5814" t="s">
        <v>7693</v>
      </c>
    </row>
    <row r="268" spans="1:11">
      <c r="A268" s="21" t="s">
        <v>2835</v>
      </c>
      <c r="B268" s="21" t="s">
        <v>7694</v>
      </c>
      <c r="C268" s="21" t="s">
        <v>8</v>
      </c>
      <c r="D268" s="21" t="s">
        <v>701</v>
      </c>
      <c r="E268" s="21" t="s">
        <v>9</v>
      </c>
      <c r="F268" s="5812">
        <v>3</v>
      </c>
      <c r="G268" s="5813">
        <v>0.20833333333333334</v>
      </c>
      <c r="H268" s="21" t="s">
        <v>10</v>
      </c>
      <c r="I268" s="21" t="s">
        <v>47</v>
      </c>
      <c r="J268" s="21" t="s">
        <v>7695</v>
      </c>
      <c r="K268" s="5814" t="s">
        <v>7696</v>
      </c>
    </row>
    <row r="269" spans="1:11">
      <c r="A269" s="21" t="s">
        <v>4379</v>
      </c>
      <c r="B269" s="21" t="s">
        <v>7697</v>
      </c>
      <c r="C269" s="21" t="s">
        <v>22</v>
      </c>
      <c r="D269" s="21" t="s">
        <v>701</v>
      </c>
      <c r="E269" s="21" t="s">
        <v>9</v>
      </c>
      <c r="F269" s="5812">
        <v>3</v>
      </c>
      <c r="G269" s="5813">
        <v>0.20833333333333334</v>
      </c>
      <c r="H269" s="21" t="s">
        <v>10</v>
      </c>
      <c r="I269" s="21" t="s">
        <v>226</v>
      </c>
      <c r="J269" s="21" t="s">
        <v>7698</v>
      </c>
      <c r="K269" s="5814" t="s">
        <v>7699</v>
      </c>
    </row>
    <row r="270" spans="1:11">
      <c r="A270" s="21" t="s">
        <v>2254</v>
      </c>
      <c r="B270" s="21" t="s">
        <v>7700</v>
      </c>
      <c r="C270" s="21" t="s">
        <v>22</v>
      </c>
      <c r="D270" s="21" t="s">
        <v>701</v>
      </c>
      <c r="E270" s="21" t="s">
        <v>9</v>
      </c>
      <c r="F270" s="5812">
        <v>3</v>
      </c>
      <c r="G270" s="5813">
        <v>0.20833333333333334</v>
      </c>
      <c r="H270" s="21" t="s">
        <v>10</v>
      </c>
      <c r="I270" s="21" t="s">
        <v>23</v>
      </c>
      <c r="J270" s="21" t="s">
        <v>7701</v>
      </c>
      <c r="K270" s="5814" t="s">
        <v>7702</v>
      </c>
    </row>
    <row r="271" spans="1:11">
      <c r="A271" s="21" t="s">
        <v>2254</v>
      </c>
      <c r="B271" s="21" t="s">
        <v>7703</v>
      </c>
      <c r="C271" s="21" t="s">
        <v>8</v>
      </c>
      <c r="D271" s="21" t="s">
        <v>701</v>
      </c>
      <c r="E271" s="21" t="s">
        <v>9</v>
      </c>
      <c r="F271" s="5812">
        <v>3</v>
      </c>
      <c r="G271" s="5813">
        <v>0.20833333333333334</v>
      </c>
      <c r="H271" s="21" t="s">
        <v>10</v>
      </c>
      <c r="I271" s="21" t="s">
        <v>55</v>
      </c>
      <c r="J271" s="21" t="s">
        <v>7704</v>
      </c>
      <c r="K271" s="5814" t="s">
        <v>7705</v>
      </c>
    </row>
    <row r="272" spans="1:11">
      <c r="A272" s="21" t="s">
        <v>2839</v>
      </c>
      <c r="B272" s="21" t="s">
        <v>7706</v>
      </c>
      <c r="C272" s="21" t="s">
        <v>8</v>
      </c>
      <c r="D272" s="21" t="s">
        <v>701</v>
      </c>
      <c r="E272" s="21" t="s">
        <v>9</v>
      </c>
      <c r="F272" s="5812">
        <v>3</v>
      </c>
      <c r="G272" s="5813">
        <v>0.20833333333333334</v>
      </c>
      <c r="H272" s="21" t="s">
        <v>10</v>
      </c>
      <c r="I272" s="21" t="s">
        <v>226</v>
      </c>
      <c r="J272" s="21" t="s">
        <v>7707</v>
      </c>
      <c r="K272" s="5814" t="s">
        <v>7708</v>
      </c>
    </row>
    <row r="273" spans="1:11">
      <c r="A273" s="21" t="s">
        <v>5220</v>
      </c>
      <c r="B273" s="21" t="s">
        <v>7709</v>
      </c>
      <c r="C273" s="21" t="s">
        <v>8</v>
      </c>
      <c r="D273" s="21" t="s">
        <v>701</v>
      </c>
      <c r="E273" s="21" t="s">
        <v>9</v>
      </c>
      <c r="F273" s="5812">
        <v>3</v>
      </c>
      <c r="G273" s="5813">
        <v>0.20833333333333334</v>
      </c>
      <c r="H273" s="21" t="s">
        <v>10</v>
      </c>
      <c r="I273" s="21" t="s">
        <v>2713</v>
      </c>
      <c r="J273" s="21" t="s">
        <v>2743</v>
      </c>
      <c r="K273" s="5814" t="s">
        <v>7710</v>
      </c>
    </row>
    <row r="274" spans="1:11">
      <c r="A274" s="21" t="s">
        <v>4645</v>
      </c>
      <c r="B274" s="21" t="s">
        <v>7711</v>
      </c>
      <c r="C274" s="21" t="s">
        <v>22</v>
      </c>
      <c r="D274" s="21" t="s">
        <v>701</v>
      </c>
      <c r="E274" s="21" t="s">
        <v>9</v>
      </c>
      <c r="F274" s="5812">
        <v>3</v>
      </c>
      <c r="G274" s="5813">
        <v>0.20833333333333334</v>
      </c>
      <c r="H274" s="21" t="s">
        <v>10</v>
      </c>
      <c r="I274" s="21" t="s">
        <v>55</v>
      </c>
      <c r="J274" s="21" t="s">
        <v>7712</v>
      </c>
      <c r="K274" s="5814" t="s">
        <v>7713</v>
      </c>
    </row>
    <row r="275" spans="1:11">
      <c r="A275" s="21" t="s">
        <v>4645</v>
      </c>
      <c r="B275" s="21" t="s">
        <v>7714</v>
      </c>
      <c r="C275" s="21" t="s">
        <v>22</v>
      </c>
      <c r="D275" s="21" t="s">
        <v>701</v>
      </c>
      <c r="E275" s="21" t="s">
        <v>9</v>
      </c>
      <c r="F275" s="5812">
        <v>3</v>
      </c>
      <c r="G275" s="5813">
        <v>0.20833333333333334</v>
      </c>
      <c r="H275" s="21" t="s">
        <v>10</v>
      </c>
      <c r="I275" s="21" t="s">
        <v>226</v>
      </c>
      <c r="J275" s="21" t="s">
        <v>7715</v>
      </c>
      <c r="K275" s="5814" t="s">
        <v>7716</v>
      </c>
    </row>
    <row r="276" spans="1:11">
      <c r="A276" s="21" t="s">
        <v>4645</v>
      </c>
      <c r="B276" s="21" t="s">
        <v>7717</v>
      </c>
      <c r="C276" s="21" t="s">
        <v>22</v>
      </c>
      <c r="D276" s="21" t="s">
        <v>701</v>
      </c>
      <c r="E276" s="21" t="s">
        <v>9</v>
      </c>
      <c r="F276" s="5812">
        <v>3</v>
      </c>
      <c r="G276" s="5813">
        <v>0.20833333333333334</v>
      </c>
      <c r="H276" s="21" t="s">
        <v>10</v>
      </c>
      <c r="I276" s="21" t="s">
        <v>39</v>
      </c>
      <c r="J276" s="21" t="s">
        <v>7718</v>
      </c>
      <c r="K276" s="5814" t="s">
        <v>7719</v>
      </c>
    </row>
    <row r="277" spans="1:11">
      <c r="A277" s="21" t="s">
        <v>4768</v>
      </c>
      <c r="B277" s="21" t="s">
        <v>7720</v>
      </c>
      <c r="C277" s="21" t="s">
        <v>8</v>
      </c>
      <c r="D277" s="21" t="s">
        <v>701</v>
      </c>
      <c r="E277" s="21" t="s">
        <v>9</v>
      </c>
      <c r="F277" s="5812">
        <v>3</v>
      </c>
      <c r="G277" s="5813">
        <v>0.20833333333333334</v>
      </c>
      <c r="H277" s="21" t="s">
        <v>10</v>
      </c>
      <c r="I277" s="21" t="s">
        <v>2660</v>
      </c>
      <c r="J277" s="21" t="s">
        <v>7721</v>
      </c>
      <c r="K277" s="5814" t="s">
        <v>7722</v>
      </c>
    </row>
    <row r="278" spans="1:11">
      <c r="A278" s="21" t="s">
        <v>4396</v>
      </c>
      <c r="B278" s="21" t="s">
        <v>7723</v>
      </c>
      <c r="C278" s="21" t="s">
        <v>8</v>
      </c>
      <c r="D278" s="21" t="s">
        <v>701</v>
      </c>
      <c r="E278" s="21" t="s">
        <v>9</v>
      </c>
      <c r="F278" s="5812">
        <v>3</v>
      </c>
      <c r="G278" s="5813">
        <v>0.20833333333333334</v>
      </c>
      <c r="H278" s="21" t="s">
        <v>10</v>
      </c>
      <c r="I278" s="21" t="s">
        <v>23</v>
      </c>
      <c r="J278" s="21" t="s">
        <v>7724</v>
      </c>
      <c r="K278" s="5814" t="s">
        <v>7725</v>
      </c>
    </row>
    <row r="279" spans="1:11">
      <c r="A279" s="21" t="s">
        <v>2258</v>
      </c>
      <c r="B279" s="21" t="s">
        <v>7726</v>
      </c>
      <c r="C279" s="21" t="s">
        <v>22</v>
      </c>
      <c r="D279" s="21" t="s">
        <v>701</v>
      </c>
      <c r="E279" s="21" t="s">
        <v>9</v>
      </c>
      <c r="F279" s="5812">
        <v>3</v>
      </c>
      <c r="G279" s="5813">
        <v>0.20833333333333334</v>
      </c>
      <c r="H279" s="21" t="s">
        <v>10</v>
      </c>
      <c r="I279" s="21"/>
      <c r="J279" s="21" t="s">
        <v>7727</v>
      </c>
      <c r="K279" s="5814" t="s">
        <v>7728</v>
      </c>
    </row>
    <row r="280" spans="1:11">
      <c r="A280" s="21" t="s">
        <v>3565</v>
      </c>
      <c r="B280" s="21" t="s">
        <v>7729</v>
      </c>
      <c r="C280" s="21" t="s">
        <v>8</v>
      </c>
      <c r="D280" s="21" t="s">
        <v>701</v>
      </c>
      <c r="E280" s="21" t="s">
        <v>9</v>
      </c>
      <c r="F280" s="5812">
        <v>3</v>
      </c>
      <c r="G280" s="5813">
        <v>0.20833333333333334</v>
      </c>
      <c r="H280" s="21" t="s">
        <v>10</v>
      </c>
      <c r="I280" s="21" t="s">
        <v>11</v>
      </c>
      <c r="J280" s="21" t="s">
        <v>7730</v>
      </c>
      <c r="K280" s="5814" t="s">
        <v>7731</v>
      </c>
    </row>
    <row r="281" spans="1:11">
      <c r="A281" s="21" t="s">
        <v>4409</v>
      </c>
      <c r="B281" s="21" t="s">
        <v>7732</v>
      </c>
      <c r="C281" s="21" t="s">
        <v>8</v>
      </c>
      <c r="D281" s="21" t="s">
        <v>701</v>
      </c>
      <c r="E281" s="21" t="s">
        <v>9</v>
      </c>
      <c r="F281" s="5812">
        <v>3</v>
      </c>
      <c r="G281" s="5813">
        <v>0.20833333333333334</v>
      </c>
      <c r="H281" s="21" t="s">
        <v>10</v>
      </c>
      <c r="I281" s="21" t="s">
        <v>2297</v>
      </c>
      <c r="J281" s="21" t="s">
        <v>7733</v>
      </c>
      <c r="K281" s="5814" t="s">
        <v>7734</v>
      </c>
    </row>
    <row r="282" spans="1:11">
      <c r="A282" s="21" t="s">
        <v>2846</v>
      </c>
      <c r="B282" s="21" t="s">
        <v>7735</v>
      </c>
      <c r="C282" s="21" t="s">
        <v>22</v>
      </c>
      <c r="D282" s="21" t="s">
        <v>701</v>
      </c>
      <c r="E282" s="21" t="s">
        <v>9</v>
      </c>
      <c r="F282" s="5812">
        <v>3</v>
      </c>
      <c r="G282" s="5813">
        <v>0.20833333333333334</v>
      </c>
      <c r="H282" s="21" t="s">
        <v>10</v>
      </c>
      <c r="I282" s="21" t="s">
        <v>117</v>
      </c>
      <c r="J282" s="21" t="s">
        <v>7736</v>
      </c>
      <c r="K282" s="5814" t="s">
        <v>7737</v>
      </c>
    </row>
    <row r="283" spans="1:11">
      <c r="A283" s="21" t="s">
        <v>3144</v>
      </c>
      <c r="B283" s="21" t="s">
        <v>7738</v>
      </c>
      <c r="C283" s="21" t="s">
        <v>22</v>
      </c>
      <c r="D283" s="21" t="s">
        <v>701</v>
      </c>
      <c r="E283" s="21" t="s">
        <v>9</v>
      </c>
      <c r="F283" s="5812">
        <v>3</v>
      </c>
      <c r="G283" s="5813">
        <v>0.20833333333333334</v>
      </c>
      <c r="H283" s="21" t="s">
        <v>10</v>
      </c>
      <c r="I283" s="21" t="s">
        <v>55</v>
      </c>
      <c r="J283" s="21" t="s">
        <v>7739</v>
      </c>
      <c r="K283" s="5814" t="s">
        <v>7740</v>
      </c>
    </row>
    <row r="284" spans="1:11">
      <c r="A284" s="21" t="s">
        <v>2263</v>
      </c>
      <c r="B284" s="21" t="s">
        <v>7741</v>
      </c>
      <c r="C284" s="21" t="s">
        <v>22</v>
      </c>
      <c r="D284" s="21" t="s">
        <v>701</v>
      </c>
      <c r="E284" s="21" t="s">
        <v>9</v>
      </c>
      <c r="F284" s="5812">
        <v>3</v>
      </c>
      <c r="G284" s="5813">
        <v>0.20833333333333334</v>
      </c>
      <c r="H284" s="21" t="s">
        <v>10</v>
      </c>
      <c r="I284" s="21" t="s">
        <v>55</v>
      </c>
      <c r="J284" s="21" t="s">
        <v>7742</v>
      </c>
      <c r="K284" s="5814" t="s">
        <v>7743</v>
      </c>
    </row>
    <row r="285" spans="1:11">
      <c r="A285" s="21" t="s">
        <v>2263</v>
      </c>
      <c r="B285" s="21" t="s">
        <v>7744</v>
      </c>
      <c r="C285" s="21" t="s">
        <v>8</v>
      </c>
      <c r="D285" s="21" t="s">
        <v>701</v>
      </c>
      <c r="E285" s="21" t="s">
        <v>9</v>
      </c>
      <c r="F285" s="5812">
        <v>3</v>
      </c>
      <c r="G285" s="5813">
        <v>0.20833333333333334</v>
      </c>
      <c r="H285" s="21" t="s">
        <v>10</v>
      </c>
      <c r="I285" s="21" t="s">
        <v>23</v>
      </c>
      <c r="J285" s="21" t="s">
        <v>7745</v>
      </c>
      <c r="K285" s="5814" t="s">
        <v>7746</v>
      </c>
    </row>
    <row r="286" spans="1:11">
      <c r="A286" s="21" t="s">
        <v>3630</v>
      </c>
      <c r="B286" s="21" t="s">
        <v>7747</v>
      </c>
      <c r="C286" s="21" t="s">
        <v>22</v>
      </c>
      <c r="D286" s="21" t="s">
        <v>701</v>
      </c>
      <c r="E286" s="21" t="s">
        <v>9</v>
      </c>
      <c r="F286" s="5812">
        <v>3</v>
      </c>
      <c r="G286" s="5813">
        <v>0.20833333333333334</v>
      </c>
      <c r="H286" s="21" t="s">
        <v>10</v>
      </c>
      <c r="I286" s="21" t="s">
        <v>5159</v>
      </c>
      <c r="J286" s="21" t="s">
        <v>7748</v>
      </c>
      <c r="K286" s="5814" t="s">
        <v>7749</v>
      </c>
    </row>
    <row r="287" spans="1:11">
      <c r="A287" s="21" t="s">
        <v>4423</v>
      </c>
      <c r="B287" s="21" t="s">
        <v>7750</v>
      </c>
      <c r="C287" s="21" t="s">
        <v>22</v>
      </c>
      <c r="D287" s="21" t="s">
        <v>701</v>
      </c>
      <c r="E287" s="21" t="s">
        <v>9</v>
      </c>
      <c r="F287" s="5812">
        <v>3</v>
      </c>
      <c r="G287" s="5813">
        <v>0.20833333333333334</v>
      </c>
      <c r="H287" s="21" t="s">
        <v>10</v>
      </c>
      <c r="I287" s="21" t="s">
        <v>55</v>
      </c>
      <c r="J287" s="21" t="s">
        <v>7751</v>
      </c>
      <c r="K287" s="5814" t="s">
        <v>7752</v>
      </c>
    </row>
    <row r="288" spans="1:11">
      <c r="A288" s="21" t="s">
        <v>4423</v>
      </c>
      <c r="B288" s="21" t="s">
        <v>7753</v>
      </c>
      <c r="C288" s="21" t="s">
        <v>8</v>
      </c>
      <c r="D288" s="21" t="s">
        <v>701</v>
      </c>
      <c r="E288" s="21" t="s">
        <v>9</v>
      </c>
      <c r="F288" s="5812">
        <v>3</v>
      </c>
      <c r="G288" s="5813">
        <v>0.20833333333333334</v>
      </c>
      <c r="H288" s="21" t="s">
        <v>10</v>
      </c>
      <c r="I288" s="21" t="s">
        <v>96</v>
      </c>
      <c r="J288" s="21" t="s">
        <v>7754</v>
      </c>
      <c r="K288" s="5814" t="s">
        <v>7755</v>
      </c>
    </row>
    <row r="289" spans="1:11">
      <c r="A289" s="21" t="s">
        <v>2854</v>
      </c>
      <c r="B289" s="21" t="s">
        <v>7756</v>
      </c>
      <c r="C289" s="21" t="s">
        <v>22</v>
      </c>
      <c r="D289" s="21" t="s">
        <v>701</v>
      </c>
      <c r="E289" s="21" t="s">
        <v>9</v>
      </c>
      <c r="F289" s="5812">
        <v>3</v>
      </c>
      <c r="G289" s="5813">
        <v>0.20833333333333334</v>
      </c>
      <c r="H289" s="21" t="s">
        <v>10</v>
      </c>
      <c r="I289" s="21" t="s">
        <v>2297</v>
      </c>
      <c r="J289" s="21" t="s">
        <v>7757</v>
      </c>
      <c r="K289" s="5814" t="s">
        <v>7758</v>
      </c>
    </row>
    <row r="290" spans="1:11">
      <c r="A290" s="21" t="s">
        <v>2272</v>
      </c>
      <c r="B290" s="21" t="s">
        <v>7759</v>
      </c>
      <c r="C290" s="21" t="s">
        <v>22</v>
      </c>
      <c r="D290" s="21" t="s">
        <v>701</v>
      </c>
      <c r="E290" s="21" t="s">
        <v>9</v>
      </c>
      <c r="F290" s="5812">
        <v>3</v>
      </c>
      <c r="G290" s="5813">
        <v>0.20833333333333334</v>
      </c>
      <c r="H290" s="21" t="s">
        <v>10</v>
      </c>
      <c r="I290" s="21" t="s">
        <v>11</v>
      </c>
      <c r="J290" s="21" t="s">
        <v>7760</v>
      </c>
      <c r="K290" s="5814" t="s">
        <v>7761</v>
      </c>
    </row>
    <row r="291" spans="1:11">
      <c r="A291" s="21" t="s">
        <v>2272</v>
      </c>
      <c r="B291" s="21" t="s">
        <v>7762</v>
      </c>
      <c r="C291" s="21" t="s">
        <v>22</v>
      </c>
      <c r="D291" s="21" t="s">
        <v>701</v>
      </c>
      <c r="E291" s="21" t="s">
        <v>9</v>
      </c>
      <c r="F291" s="5812">
        <v>3</v>
      </c>
      <c r="G291" s="5813">
        <v>0.20833333333333334</v>
      </c>
      <c r="H291" s="21" t="s">
        <v>10</v>
      </c>
      <c r="I291" s="21" t="s">
        <v>55</v>
      </c>
      <c r="J291" s="21" t="s">
        <v>7763</v>
      </c>
      <c r="K291" s="5814" t="s">
        <v>7764</v>
      </c>
    </row>
    <row r="292" spans="1:11">
      <c r="A292" s="21" t="s">
        <v>4430</v>
      </c>
      <c r="B292" s="21" t="s">
        <v>7765</v>
      </c>
      <c r="C292" s="21" t="s">
        <v>8</v>
      </c>
      <c r="D292" s="21" t="s">
        <v>701</v>
      </c>
      <c r="E292" s="21" t="s">
        <v>9</v>
      </c>
      <c r="F292" s="5812">
        <v>3</v>
      </c>
      <c r="G292" s="5813">
        <v>0.20833333333333334</v>
      </c>
      <c r="H292" s="21" t="s">
        <v>10</v>
      </c>
      <c r="I292" s="21" t="s">
        <v>2713</v>
      </c>
      <c r="J292" s="21" t="s">
        <v>7766</v>
      </c>
      <c r="K292" s="5814" t="s">
        <v>7767</v>
      </c>
    </row>
    <row r="293" spans="1:11">
      <c r="A293" s="21" t="s">
        <v>4430</v>
      </c>
      <c r="B293" s="21" t="s">
        <v>7768</v>
      </c>
      <c r="C293" s="21" t="s">
        <v>8</v>
      </c>
      <c r="D293" s="21" t="s">
        <v>701</v>
      </c>
      <c r="E293" s="21" t="s">
        <v>9</v>
      </c>
      <c r="F293" s="5812">
        <v>3</v>
      </c>
      <c r="G293" s="5813">
        <v>0.20833333333333334</v>
      </c>
      <c r="H293" s="21" t="s">
        <v>10</v>
      </c>
      <c r="I293" s="21" t="s">
        <v>2713</v>
      </c>
      <c r="J293" s="21" t="s">
        <v>7769</v>
      </c>
      <c r="K293" s="5814" t="s">
        <v>7770</v>
      </c>
    </row>
    <row r="294" spans="1:11">
      <c r="A294" s="21" t="s">
        <v>2858</v>
      </c>
      <c r="B294" s="21" t="s">
        <v>7771</v>
      </c>
      <c r="C294" s="21" t="s">
        <v>8</v>
      </c>
      <c r="D294" s="21" t="s">
        <v>701</v>
      </c>
      <c r="E294" s="21" t="s">
        <v>9</v>
      </c>
      <c r="F294" s="5812">
        <v>3</v>
      </c>
      <c r="G294" s="5813">
        <v>0.20833333333333334</v>
      </c>
      <c r="H294" s="21" t="s">
        <v>10</v>
      </c>
      <c r="I294" s="21" t="s">
        <v>2269</v>
      </c>
      <c r="J294" s="21" t="s">
        <v>7772</v>
      </c>
      <c r="K294" s="5814" t="s">
        <v>7773</v>
      </c>
    </row>
    <row r="295" spans="1:11">
      <c r="A295" s="21" t="s">
        <v>2858</v>
      </c>
      <c r="B295" s="21" t="s">
        <v>7774</v>
      </c>
      <c r="C295" s="21" t="s">
        <v>22</v>
      </c>
      <c r="D295" s="21" t="s">
        <v>701</v>
      </c>
      <c r="E295" s="21" t="s">
        <v>9</v>
      </c>
      <c r="F295" s="5812">
        <v>3</v>
      </c>
      <c r="G295" s="5813">
        <v>0.20833333333333334</v>
      </c>
      <c r="H295" s="21" t="s">
        <v>10</v>
      </c>
      <c r="I295" s="21" t="s">
        <v>2660</v>
      </c>
      <c r="J295" s="21" t="s">
        <v>7775</v>
      </c>
      <c r="K295" s="5814" t="s">
        <v>7776</v>
      </c>
    </row>
    <row r="296" spans="1:11">
      <c r="A296" s="21" t="s">
        <v>3345</v>
      </c>
      <c r="B296" s="21" t="s">
        <v>7777</v>
      </c>
      <c r="C296" s="21" t="s">
        <v>8</v>
      </c>
      <c r="D296" s="21" t="s">
        <v>701</v>
      </c>
      <c r="E296" s="21" t="s">
        <v>9</v>
      </c>
      <c r="F296" s="5812">
        <v>3</v>
      </c>
      <c r="G296" s="5813">
        <v>0.20833333333333334</v>
      </c>
      <c r="H296" s="21" t="s">
        <v>10</v>
      </c>
      <c r="I296" s="21" t="s">
        <v>400</v>
      </c>
      <c r="J296" s="21" t="s">
        <v>7778</v>
      </c>
      <c r="K296" s="5814" t="s">
        <v>7779</v>
      </c>
    </row>
    <row r="297" spans="1:11">
      <c r="A297" s="21" t="s">
        <v>3345</v>
      </c>
      <c r="B297" s="21" t="s">
        <v>7780</v>
      </c>
      <c r="C297" s="21" t="s">
        <v>8</v>
      </c>
      <c r="D297" s="21" t="s">
        <v>701</v>
      </c>
      <c r="E297" s="21" t="s">
        <v>9</v>
      </c>
      <c r="F297" s="5812">
        <v>3</v>
      </c>
      <c r="G297" s="5813">
        <v>0.20833333333333334</v>
      </c>
      <c r="H297" s="21" t="s">
        <v>10</v>
      </c>
      <c r="I297" s="21" t="s">
        <v>4997</v>
      </c>
      <c r="J297" s="21" t="s">
        <v>7781</v>
      </c>
      <c r="K297" s="5814" t="s">
        <v>7782</v>
      </c>
    </row>
    <row r="298" spans="1:11">
      <c r="A298" s="21" t="s">
        <v>2870</v>
      </c>
      <c r="B298" s="21" t="s">
        <v>7066</v>
      </c>
      <c r="C298" s="21" t="s">
        <v>8</v>
      </c>
      <c r="D298" s="21" t="s">
        <v>701</v>
      </c>
      <c r="E298" s="21" t="s">
        <v>9</v>
      </c>
      <c r="F298" s="5812">
        <v>3</v>
      </c>
      <c r="G298" s="5813">
        <v>0.20833333333333334</v>
      </c>
      <c r="H298" s="21" t="s">
        <v>10</v>
      </c>
      <c r="I298" s="21" t="s">
        <v>2665</v>
      </c>
      <c r="J298" s="21" t="s">
        <v>7783</v>
      </c>
      <c r="K298" s="5814" t="s">
        <v>7784</v>
      </c>
    </row>
    <row r="299" spans="1:11">
      <c r="A299" s="21" t="s">
        <v>2961</v>
      </c>
      <c r="B299" s="21" t="s">
        <v>7785</v>
      </c>
      <c r="C299" s="21" t="s">
        <v>22</v>
      </c>
      <c r="D299" s="21" t="s">
        <v>701</v>
      </c>
      <c r="E299" s="21" t="s">
        <v>9</v>
      </c>
      <c r="F299" s="5812">
        <v>3</v>
      </c>
      <c r="G299" s="5813">
        <v>0.20833333333333334</v>
      </c>
      <c r="H299" s="21" t="s">
        <v>10</v>
      </c>
      <c r="I299" s="21" t="s">
        <v>47</v>
      </c>
      <c r="J299" s="21" t="s">
        <v>7786</v>
      </c>
      <c r="K299" s="5814" t="s">
        <v>7787</v>
      </c>
    </row>
    <row r="300" spans="1:11">
      <c r="A300" s="21" t="s">
        <v>2961</v>
      </c>
      <c r="B300" s="21" t="s">
        <v>7788</v>
      </c>
      <c r="C300" s="21" t="s">
        <v>8</v>
      </c>
      <c r="D300" s="21" t="s">
        <v>701</v>
      </c>
      <c r="E300" s="21" t="s">
        <v>9</v>
      </c>
      <c r="F300" s="5812">
        <v>3</v>
      </c>
      <c r="G300" s="5813">
        <v>0.20833333333333334</v>
      </c>
      <c r="H300" s="21" t="s">
        <v>10</v>
      </c>
      <c r="I300" s="21" t="s">
        <v>2713</v>
      </c>
      <c r="J300" s="21" t="s">
        <v>7789</v>
      </c>
      <c r="K300" s="5814" t="s">
        <v>7790</v>
      </c>
    </row>
    <row r="301" spans="1:11">
      <c r="A301" s="21" t="s">
        <v>2280</v>
      </c>
      <c r="B301" s="21" t="s">
        <v>7791</v>
      </c>
      <c r="C301" s="21" t="s">
        <v>22</v>
      </c>
      <c r="D301" s="21" t="s">
        <v>701</v>
      </c>
      <c r="E301" s="21" t="s">
        <v>9</v>
      </c>
      <c r="F301" s="5812">
        <v>3</v>
      </c>
      <c r="G301" s="5813">
        <v>0.20833333333333334</v>
      </c>
      <c r="H301" s="21" t="s">
        <v>10</v>
      </c>
      <c r="I301" s="21" t="s">
        <v>55</v>
      </c>
      <c r="J301" s="21" t="s">
        <v>7792</v>
      </c>
      <c r="K301" s="5814" t="s">
        <v>7793</v>
      </c>
    </row>
    <row r="302" spans="1:11">
      <c r="A302" s="21" t="s">
        <v>2882</v>
      </c>
      <c r="B302" s="21" t="s">
        <v>7794</v>
      </c>
      <c r="C302" s="21" t="s">
        <v>22</v>
      </c>
      <c r="D302" s="21" t="s">
        <v>701</v>
      </c>
      <c r="E302" s="21" t="s">
        <v>9</v>
      </c>
      <c r="F302" s="5812">
        <v>3</v>
      </c>
      <c r="G302" s="5813">
        <v>0.20833333333333334</v>
      </c>
      <c r="H302" s="21" t="s">
        <v>10</v>
      </c>
      <c r="I302" s="21" t="s">
        <v>23</v>
      </c>
      <c r="J302" s="21" t="s">
        <v>7795</v>
      </c>
      <c r="K302" s="5814" t="s">
        <v>7796</v>
      </c>
    </row>
    <row r="303" spans="1:11">
      <c r="A303" s="21" t="s">
        <v>3098</v>
      </c>
      <c r="B303" s="21" t="s">
        <v>7797</v>
      </c>
      <c r="C303" s="21" t="s">
        <v>8</v>
      </c>
      <c r="D303" s="21" t="s">
        <v>701</v>
      </c>
      <c r="E303" s="21" t="s">
        <v>9</v>
      </c>
      <c r="F303" s="5812">
        <v>3</v>
      </c>
      <c r="G303" s="5813">
        <v>0.20833333333333334</v>
      </c>
      <c r="H303" s="21" t="s">
        <v>10</v>
      </c>
      <c r="I303" s="21" t="s">
        <v>2523</v>
      </c>
      <c r="J303" s="21" t="s">
        <v>7798</v>
      </c>
      <c r="K303" s="5814" t="s">
        <v>7799</v>
      </c>
    </row>
    <row r="304" spans="1:11">
      <c r="A304" s="21" t="s">
        <v>3260</v>
      </c>
      <c r="B304" s="21" t="s">
        <v>7800</v>
      </c>
      <c r="C304" s="21" t="s">
        <v>22</v>
      </c>
      <c r="D304" s="21" t="s">
        <v>701</v>
      </c>
      <c r="E304" s="21" t="s">
        <v>9</v>
      </c>
      <c r="F304" s="5812">
        <v>3</v>
      </c>
      <c r="G304" s="5813">
        <v>0.20833333333333334</v>
      </c>
      <c r="H304" s="21" t="s">
        <v>10</v>
      </c>
      <c r="I304" s="21" t="s">
        <v>2297</v>
      </c>
      <c r="J304" s="21" t="s">
        <v>7801</v>
      </c>
      <c r="K304" s="5814" t="s">
        <v>7802</v>
      </c>
    </row>
    <row r="305" spans="1:11">
      <c r="A305" s="21" t="s">
        <v>2905</v>
      </c>
      <c r="B305" s="21" t="s">
        <v>7803</v>
      </c>
      <c r="C305" s="21" t="s">
        <v>8</v>
      </c>
      <c r="D305" s="21" t="s">
        <v>701</v>
      </c>
      <c r="E305" s="21" t="s">
        <v>9</v>
      </c>
      <c r="F305" s="5812">
        <v>3</v>
      </c>
      <c r="G305" s="5813">
        <v>0.20833333333333334</v>
      </c>
      <c r="H305" s="21" t="s">
        <v>10</v>
      </c>
      <c r="I305" s="21" t="s">
        <v>3305</v>
      </c>
      <c r="J305" s="21" t="s">
        <v>7804</v>
      </c>
      <c r="K305" s="5814" t="s">
        <v>7805</v>
      </c>
    </row>
    <row r="306" spans="1:11">
      <c r="A306" s="21" t="s">
        <v>4621</v>
      </c>
      <c r="B306" s="21" t="s">
        <v>7806</v>
      </c>
      <c r="C306" s="21" t="s">
        <v>8</v>
      </c>
      <c r="D306" s="21" t="s">
        <v>701</v>
      </c>
      <c r="E306" s="21" t="s">
        <v>9</v>
      </c>
      <c r="F306" s="5812">
        <v>3</v>
      </c>
      <c r="G306" s="5813">
        <v>0.20833333333333334</v>
      </c>
      <c r="H306" s="21" t="s">
        <v>10</v>
      </c>
      <c r="I306" s="21" t="s">
        <v>2747</v>
      </c>
      <c r="J306" s="21" t="s">
        <v>7807</v>
      </c>
      <c r="K306" s="5814" t="s">
        <v>7808</v>
      </c>
    </row>
    <row r="307" spans="1:11">
      <c r="A307" s="21" t="s">
        <v>3170</v>
      </c>
      <c r="B307" s="21" t="s">
        <v>7809</v>
      </c>
      <c r="C307" s="21" t="s">
        <v>22</v>
      </c>
      <c r="D307" s="21" t="s">
        <v>701</v>
      </c>
      <c r="E307" s="21" t="s">
        <v>9</v>
      </c>
      <c r="F307" s="5812">
        <v>3</v>
      </c>
      <c r="G307" s="5813">
        <v>0.20833333333333334</v>
      </c>
      <c r="H307" s="21" t="s">
        <v>10</v>
      </c>
      <c r="I307" s="21" t="s">
        <v>2660</v>
      </c>
      <c r="J307" s="21" t="s">
        <v>7810</v>
      </c>
      <c r="K307" s="5814" t="s">
        <v>7811</v>
      </c>
    </row>
    <row r="308" spans="1:11">
      <c r="A308" s="21" t="s">
        <v>3056</v>
      </c>
      <c r="B308" s="21" t="s">
        <v>7812</v>
      </c>
      <c r="C308" s="21" t="s">
        <v>8</v>
      </c>
      <c r="D308" s="21" t="s">
        <v>701</v>
      </c>
      <c r="E308" s="21" t="s">
        <v>9</v>
      </c>
      <c r="F308" s="5812">
        <v>3</v>
      </c>
      <c r="G308" s="5813">
        <v>0.20833333333333334</v>
      </c>
      <c r="H308" s="21" t="s">
        <v>10</v>
      </c>
      <c r="I308" s="21" t="s">
        <v>3569</v>
      </c>
      <c r="J308" s="21" t="s">
        <v>7813</v>
      </c>
      <c r="K308" s="5814" t="s">
        <v>7814</v>
      </c>
    </row>
    <row r="309" spans="1:11">
      <c r="A309" s="21" t="s">
        <v>3439</v>
      </c>
      <c r="B309" s="21" t="s">
        <v>7815</v>
      </c>
      <c r="C309" s="21" t="s">
        <v>22</v>
      </c>
      <c r="D309" s="21" t="s">
        <v>701</v>
      </c>
      <c r="E309" s="21" t="s">
        <v>9</v>
      </c>
      <c r="F309" s="5812">
        <v>3</v>
      </c>
      <c r="G309" s="5813">
        <v>0.20833333333333334</v>
      </c>
      <c r="H309" s="21" t="s">
        <v>10</v>
      </c>
      <c r="I309" s="21" t="s">
        <v>117</v>
      </c>
      <c r="J309" s="21" t="s">
        <v>7816</v>
      </c>
      <c r="K309" s="5814" t="s">
        <v>7817</v>
      </c>
    </row>
    <row r="310" spans="1:11">
      <c r="A310" s="21" t="s">
        <v>2413</v>
      </c>
      <c r="B310" s="21" t="s">
        <v>7818</v>
      </c>
      <c r="C310" s="21" t="s">
        <v>22</v>
      </c>
      <c r="D310" s="21" t="s">
        <v>701</v>
      </c>
      <c r="E310" s="21" t="s">
        <v>9</v>
      </c>
      <c r="F310" s="5812">
        <v>5</v>
      </c>
      <c r="G310" s="5813">
        <v>0.20833333333333334</v>
      </c>
      <c r="H310" s="21" t="s">
        <v>54</v>
      </c>
      <c r="I310" s="21" t="s">
        <v>96</v>
      </c>
      <c r="J310" s="21" t="s">
        <v>7819</v>
      </c>
      <c r="K310" s="5814" t="s">
        <v>7820</v>
      </c>
    </row>
    <row r="311" spans="1:11">
      <c r="A311" s="21" t="s">
        <v>3616</v>
      </c>
      <c r="B311" s="21" t="s">
        <v>7821</v>
      </c>
      <c r="C311" s="21" t="s">
        <v>8</v>
      </c>
      <c r="D311" s="21" t="s">
        <v>701</v>
      </c>
      <c r="E311" s="21" t="s">
        <v>9</v>
      </c>
      <c r="F311" s="5812">
        <v>5</v>
      </c>
      <c r="G311" s="5813">
        <v>0.20833333333333334</v>
      </c>
      <c r="H311" s="21" t="s">
        <v>54</v>
      </c>
      <c r="I311" s="21" t="s">
        <v>55</v>
      </c>
      <c r="J311" s="21" t="s">
        <v>7822</v>
      </c>
      <c r="K311" s="5814" t="s">
        <v>7823</v>
      </c>
    </row>
    <row r="312" spans="1:11">
      <c r="A312" s="21" t="s">
        <v>2616</v>
      </c>
      <c r="B312" s="21" t="s">
        <v>7824</v>
      </c>
      <c r="C312" s="21" t="s">
        <v>22</v>
      </c>
      <c r="D312" s="21" t="s">
        <v>701</v>
      </c>
      <c r="E312" s="21" t="s">
        <v>9</v>
      </c>
      <c r="F312" s="5812">
        <v>5</v>
      </c>
      <c r="G312" s="5813">
        <v>0.20833333333333334</v>
      </c>
      <c r="H312" s="21" t="s">
        <v>54</v>
      </c>
      <c r="I312" s="21" t="s">
        <v>400</v>
      </c>
      <c r="J312" s="21" t="s">
        <v>7825</v>
      </c>
      <c r="K312" s="5814" t="s">
        <v>7826</v>
      </c>
    </row>
    <row r="313" spans="1:11">
      <c r="A313" s="21" t="s">
        <v>2663</v>
      </c>
      <c r="B313" s="21" t="s">
        <v>7827</v>
      </c>
      <c r="C313" s="21" t="s">
        <v>22</v>
      </c>
      <c r="D313" s="21" t="s">
        <v>701</v>
      </c>
      <c r="E313" s="21" t="s">
        <v>9</v>
      </c>
      <c r="F313" s="5812">
        <v>5</v>
      </c>
      <c r="G313" s="5813">
        <v>0.20833333333333334</v>
      </c>
      <c r="H313" s="21" t="s">
        <v>54</v>
      </c>
      <c r="I313" s="21" t="s">
        <v>11</v>
      </c>
      <c r="J313" s="21" t="s">
        <v>7828</v>
      </c>
      <c r="K313" s="5814" t="s">
        <v>7829</v>
      </c>
    </row>
    <row r="314" spans="1:11">
      <c r="A314" s="21" t="s">
        <v>2245</v>
      </c>
      <c r="B314" s="21" t="s">
        <v>7830</v>
      </c>
      <c r="C314" s="21" t="s">
        <v>22</v>
      </c>
      <c r="D314" s="21" t="s">
        <v>701</v>
      </c>
      <c r="E314" s="21" t="s">
        <v>9</v>
      </c>
      <c r="F314" s="5812">
        <v>5</v>
      </c>
      <c r="G314" s="5813">
        <v>0.20833333333333334</v>
      </c>
      <c r="H314" s="21" t="s">
        <v>54</v>
      </c>
      <c r="I314" s="21" t="s">
        <v>55</v>
      </c>
      <c r="J314" s="21" t="s">
        <v>7831</v>
      </c>
      <c r="K314" s="5814" t="s">
        <v>7832</v>
      </c>
    </row>
    <row r="315" spans="1:11">
      <c r="A315" s="21" t="s">
        <v>2272</v>
      </c>
      <c r="B315" s="21" t="s">
        <v>7833</v>
      </c>
      <c r="C315" s="21" t="s">
        <v>22</v>
      </c>
      <c r="D315" s="21" t="s">
        <v>701</v>
      </c>
      <c r="E315" s="21" t="s">
        <v>466</v>
      </c>
      <c r="F315" s="5812">
        <v>1</v>
      </c>
      <c r="G315" s="5813">
        <v>7.2916666666666671E-2</v>
      </c>
      <c r="H315" s="21" t="s">
        <v>10</v>
      </c>
      <c r="I315" s="21" t="s">
        <v>11</v>
      </c>
      <c r="J315" s="21" t="s">
        <v>7834</v>
      </c>
      <c r="K315" s="5814" t="s">
        <v>7835</v>
      </c>
    </row>
    <row r="316" spans="1:11">
      <c r="A316" s="21" t="s">
        <v>2555</v>
      </c>
      <c r="B316" s="21" t="s">
        <v>7836</v>
      </c>
      <c r="C316" s="21" t="s">
        <v>8</v>
      </c>
      <c r="D316" s="21" t="s">
        <v>701</v>
      </c>
      <c r="E316" s="21" t="s">
        <v>466</v>
      </c>
      <c r="F316" s="5812">
        <v>1</v>
      </c>
      <c r="G316" s="5813">
        <v>0.16805555555555557</v>
      </c>
      <c r="H316" s="21" t="s">
        <v>10</v>
      </c>
      <c r="I316" s="21" t="s">
        <v>5365</v>
      </c>
      <c r="J316" s="21" t="s">
        <v>7837</v>
      </c>
      <c r="K316" s="5814" t="s">
        <v>7838</v>
      </c>
    </row>
    <row r="317" spans="1:11">
      <c r="A317" s="21" t="s">
        <v>3984</v>
      </c>
      <c r="B317" s="21" t="s">
        <v>7839</v>
      </c>
      <c r="C317" s="21" t="s">
        <v>22</v>
      </c>
      <c r="D317" s="21" t="s">
        <v>701</v>
      </c>
      <c r="E317" s="21" t="s">
        <v>46</v>
      </c>
      <c r="F317" s="5812">
        <v>1</v>
      </c>
      <c r="G317" s="5813">
        <v>4.8611111111111112E-3</v>
      </c>
      <c r="H317" s="21" t="s">
        <v>10</v>
      </c>
      <c r="I317" s="21" t="s">
        <v>96</v>
      </c>
      <c r="J317" s="21" t="s">
        <v>48</v>
      </c>
      <c r="K317" s="5814" t="s">
        <v>7840</v>
      </c>
    </row>
    <row r="318" spans="1:11">
      <c r="A318" s="21" t="s">
        <v>71</v>
      </c>
      <c r="B318" s="21" t="s">
        <v>939</v>
      </c>
      <c r="C318" s="21" t="s">
        <v>8</v>
      </c>
      <c r="D318" s="21" t="s">
        <v>701</v>
      </c>
      <c r="E318" s="21" t="s">
        <v>46</v>
      </c>
      <c r="F318" s="5812">
        <v>1</v>
      </c>
      <c r="G318" s="5813">
        <v>1.3888888888888888E-2</v>
      </c>
      <c r="H318" s="21" t="s">
        <v>10</v>
      </c>
      <c r="I318" s="21" t="s">
        <v>55</v>
      </c>
      <c r="J318" s="21" t="s">
        <v>940</v>
      </c>
      <c r="K318" s="5814" t="s">
        <v>7841</v>
      </c>
    </row>
    <row r="319" spans="1:11">
      <c r="A319" s="21" t="s">
        <v>4568</v>
      </c>
      <c r="B319" s="21" t="s">
        <v>7842</v>
      </c>
      <c r="C319" s="21" t="s">
        <v>8</v>
      </c>
      <c r="D319" s="21" t="s">
        <v>701</v>
      </c>
      <c r="E319" s="21" t="s">
        <v>46</v>
      </c>
      <c r="F319" s="5812">
        <v>1</v>
      </c>
      <c r="G319" s="5813">
        <v>1.4583333333333334E-2</v>
      </c>
      <c r="H319" s="21" t="s">
        <v>10</v>
      </c>
      <c r="I319" s="21" t="s">
        <v>226</v>
      </c>
      <c r="J319" s="21" t="s">
        <v>48</v>
      </c>
      <c r="K319" s="5814" t="s">
        <v>7843</v>
      </c>
    </row>
    <row r="320" spans="1:11">
      <c r="A320" s="21" t="s">
        <v>3119</v>
      </c>
      <c r="B320" s="21" t="s">
        <v>7844</v>
      </c>
      <c r="C320" s="21" t="s">
        <v>22</v>
      </c>
      <c r="D320" s="21" t="s">
        <v>701</v>
      </c>
      <c r="E320" s="21" t="s">
        <v>46</v>
      </c>
      <c r="F320" s="5812">
        <v>1</v>
      </c>
      <c r="G320" s="5813">
        <v>1.5277777777777777E-2</v>
      </c>
      <c r="H320" s="21" t="s">
        <v>10</v>
      </c>
      <c r="I320" s="21" t="s">
        <v>23</v>
      </c>
      <c r="J320" s="21" t="s">
        <v>774</v>
      </c>
      <c r="K320" s="5814" t="s">
        <v>7845</v>
      </c>
    </row>
    <row r="321" spans="1:11">
      <c r="A321" s="21" t="s">
        <v>2327</v>
      </c>
      <c r="B321" s="21" t="s">
        <v>7846</v>
      </c>
      <c r="C321" s="21" t="s">
        <v>8</v>
      </c>
      <c r="D321" s="21" t="s">
        <v>701</v>
      </c>
      <c r="E321" s="21" t="s">
        <v>46</v>
      </c>
      <c r="F321" s="5812">
        <v>1</v>
      </c>
      <c r="G321" s="5813">
        <v>1.5972222222222221E-2</v>
      </c>
      <c r="H321" s="21" t="s">
        <v>10</v>
      </c>
      <c r="I321" s="21" t="s">
        <v>226</v>
      </c>
      <c r="J321" s="21" t="s">
        <v>48</v>
      </c>
      <c r="K321" s="5814" t="s">
        <v>7847</v>
      </c>
    </row>
    <row r="322" spans="1:11">
      <c r="A322" s="21" t="s">
        <v>3584</v>
      </c>
      <c r="B322" s="21" t="s">
        <v>7848</v>
      </c>
      <c r="C322" s="21" t="s">
        <v>8</v>
      </c>
      <c r="D322" s="21" t="s">
        <v>701</v>
      </c>
      <c r="E322" s="21" t="s">
        <v>46</v>
      </c>
      <c r="F322" s="5812">
        <v>1</v>
      </c>
      <c r="G322" s="5813">
        <v>2.0833333333333332E-2</v>
      </c>
      <c r="H322" s="21" t="s">
        <v>10</v>
      </c>
      <c r="I322" s="21"/>
      <c r="J322" s="21" t="s">
        <v>48</v>
      </c>
      <c r="K322" s="5814" t="s">
        <v>7849</v>
      </c>
    </row>
    <row r="323" spans="1:11">
      <c r="A323" s="21" t="s">
        <v>6</v>
      </c>
      <c r="B323" s="21" t="s">
        <v>704</v>
      </c>
      <c r="C323" s="21" t="s">
        <v>22</v>
      </c>
      <c r="D323" s="21" t="s">
        <v>701</v>
      </c>
      <c r="E323" s="21" t="s">
        <v>46</v>
      </c>
      <c r="F323" s="5812">
        <v>1</v>
      </c>
      <c r="G323" s="5813">
        <v>2.2916666666666665E-2</v>
      </c>
      <c r="H323" s="21" t="s">
        <v>54</v>
      </c>
      <c r="I323" s="21" t="s">
        <v>11</v>
      </c>
      <c r="J323" s="21" t="s">
        <v>48</v>
      </c>
      <c r="K323" s="5814" t="s">
        <v>7850</v>
      </c>
    </row>
    <row r="324" spans="1:11">
      <c r="A324" s="21" t="s">
        <v>4379</v>
      </c>
      <c r="B324" s="21" t="s">
        <v>7851</v>
      </c>
      <c r="C324" s="21" t="s">
        <v>8</v>
      </c>
      <c r="D324" s="21" t="s">
        <v>701</v>
      </c>
      <c r="E324" s="21" t="s">
        <v>46</v>
      </c>
      <c r="F324" s="5812">
        <v>1</v>
      </c>
      <c r="G324" s="5813">
        <v>2.361111111111111E-2</v>
      </c>
      <c r="H324" s="21" t="s">
        <v>10</v>
      </c>
      <c r="I324" s="21" t="s">
        <v>226</v>
      </c>
      <c r="J324" s="21" t="s">
        <v>3226</v>
      </c>
      <c r="K324" s="5814" t="s">
        <v>7852</v>
      </c>
    </row>
    <row r="325" spans="1:11">
      <c r="A325" s="21" t="s">
        <v>339</v>
      </c>
      <c r="B325" s="21" t="s">
        <v>721</v>
      </c>
      <c r="C325" s="21" t="s">
        <v>22</v>
      </c>
      <c r="D325" s="21" t="s">
        <v>701</v>
      </c>
      <c r="E325" s="21" t="s">
        <v>46</v>
      </c>
      <c r="F325" s="5812">
        <v>1</v>
      </c>
      <c r="G325" s="5813">
        <v>2.5694444444444443E-2</v>
      </c>
      <c r="H325" s="21" t="s">
        <v>10</v>
      </c>
      <c r="I325" s="21" t="s">
        <v>263</v>
      </c>
      <c r="J325" s="21" t="s">
        <v>722</v>
      </c>
      <c r="K325" s="5814" t="s">
        <v>723</v>
      </c>
    </row>
    <row r="326" spans="1:11">
      <c r="A326" s="21" t="s">
        <v>2495</v>
      </c>
      <c r="B326" s="21" t="s">
        <v>7853</v>
      </c>
      <c r="C326" s="21" t="s">
        <v>22</v>
      </c>
      <c r="D326" s="21" t="s">
        <v>701</v>
      </c>
      <c r="E326" s="21" t="s">
        <v>46</v>
      </c>
      <c r="F326" s="5812">
        <v>1</v>
      </c>
      <c r="G326" s="5813">
        <v>2.5694444444444443E-2</v>
      </c>
      <c r="H326" s="21" t="s">
        <v>10</v>
      </c>
      <c r="I326" s="21" t="s">
        <v>89</v>
      </c>
      <c r="J326" s="21" t="s">
        <v>1076</v>
      </c>
      <c r="K326" s="5814" t="s">
        <v>7854</v>
      </c>
    </row>
    <row r="327" spans="1:11">
      <c r="A327" s="21" t="s">
        <v>3597</v>
      </c>
      <c r="B327" s="21" t="s">
        <v>7855</v>
      </c>
      <c r="C327" s="21" t="s">
        <v>22</v>
      </c>
      <c r="D327" s="21" t="s">
        <v>701</v>
      </c>
      <c r="E327" s="21" t="s">
        <v>46</v>
      </c>
      <c r="F327" s="5812">
        <v>1</v>
      </c>
      <c r="G327" s="5813">
        <v>2.8472222222222222E-2</v>
      </c>
      <c r="H327" s="21" t="s">
        <v>10</v>
      </c>
      <c r="I327" s="21" t="s">
        <v>55</v>
      </c>
      <c r="J327" s="21" t="s">
        <v>97</v>
      </c>
      <c r="K327" s="5814" t="s">
        <v>7856</v>
      </c>
    </row>
    <row r="328" spans="1:11">
      <c r="A328" s="21" t="s">
        <v>2205</v>
      </c>
      <c r="B328" s="21" t="s">
        <v>7857</v>
      </c>
      <c r="C328" s="21" t="s">
        <v>22</v>
      </c>
      <c r="D328" s="21" t="s">
        <v>701</v>
      </c>
      <c r="E328" s="21" t="s">
        <v>46</v>
      </c>
      <c r="F328" s="5812">
        <v>1</v>
      </c>
      <c r="G328" s="5813">
        <v>2.9166666666666667E-2</v>
      </c>
      <c r="H328" s="21" t="s">
        <v>10</v>
      </c>
      <c r="I328" s="21" t="s">
        <v>96</v>
      </c>
      <c r="J328" s="21" t="s">
        <v>48</v>
      </c>
      <c r="K328" s="5814" t="s">
        <v>7858</v>
      </c>
    </row>
    <row r="329" spans="1:11">
      <c r="A329" s="21" t="s">
        <v>3224</v>
      </c>
      <c r="B329" s="21" t="s">
        <v>7859</v>
      </c>
      <c r="C329" s="21" t="s">
        <v>8</v>
      </c>
      <c r="D329" s="21" t="s">
        <v>701</v>
      </c>
      <c r="E329" s="21" t="s">
        <v>46</v>
      </c>
      <c r="F329" s="5812">
        <v>1</v>
      </c>
      <c r="G329" s="5813">
        <v>3.1944444444444442E-2</v>
      </c>
      <c r="H329" s="21" t="s">
        <v>10</v>
      </c>
      <c r="I329" s="21" t="s">
        <v>23</v>
      </c>
      <c r="J329" s="21" t="s">
        <v>48</v>
      </c>
      <c r="K329" s="5814" t="s">
        <v>7860</v>
      </c>
    </row>
    <row r="330" spans="1:11">
      <c r="A330" s="21" t="s">
        <v>2192</v>
      </c>
      <c r="B330" s="21" t="s">
        <v>7861</v>
      </c>
      <c r="C330" s="21" t="s">
        <v>8</v>
      </c>
      <c r="D330" s="21" t="s">
        <v>701</v>
      </c>
      <c r="E330" s="21" t="s">
        <v>46</v>
      </c>
      <c r="F330" s="5812">
        <v>1</v>
      </c>
      <c r="G330" s="5813">
        <v>3.1944444444444442E-2</v>
      </c>
      <c r="H330" s="21" t="s">
        <v>10</v>
      </c>
      <c r="I330" s="21" t="s">
        <v>2194</v>
      </c>
      <c r="J330" s="21" t="s">
        <v>97</v>
      </c>
      <c r="K330" s="5814" t="s">
        <v>7862</v>
      </c>
    </row>
    <row r="331" spans="1:11">
      <c r="A331" s="21" t="s">
        <v>2655</v>
      </c>
      <c r="B331" s="21" t="s">
        <v>7863</v>
      </c>
      <c r="C331" s="21" t="s">
        <v>22</v>
      </c>
      <c r="D331" s="21" t="s">
        <v>701</v>
      </c>
      <c r="E331" s="21" t="s">
        <v>46</v>
      </c>
      <c r="F331" s="5812">
        <v>1</v>
      </c>
      <c r="G331" s="5813">
        <v>3.6805555555555557E-2</v>
      </c>
      <c r="H331" s="21" t="s">
        <v>10</v>
      </c>
      <c r="I331" s="21" t="s">
        <v>2149</v>
      </c>
      <c r="J331" s="21" t="s">
        <v>3004</v>
      </c>
      <c r="K331" s="5814" t="s">
        <v>7864</v>
      </c>
    </row>
    <row r="332" spans="1:11">
      <c r="A332" s="21" t="s">
        <v>4249</v>
      </c>
      <c r="B332" s="21" t="s">
        <v>7865</v>
      </c>
      <c r="C332" s="21" t="s">
        <v>22</v>
      </c>
      <c r="D332" s="21" t="s">
        <v>701</v>
      </c>
      <c r="E332" s="21" t="s">
        <v>46</v>
      </c>
      <c r="F332" s="5812">
        <v>1</v>
      </c>
      <c r="G332" s="5813">
        <v>3.6805555555555557E-2</v>
      </c>
      <c r="H332" s="21" t="s">
        <v>10</v>
      </c>
      <c r="I332" s="21" t="s">
        <v>194</v>
      </c>
      <c r="J332" s="21" t="s">
        <v>7866</v>
      </c>
      <c r="K332" s="5814" t="s">
        <v>7867</v>
      </c>
    </row>
    <row r="333" spans="1:11">
      <c r="A333" s="21" t="s">
        <v>3345</v>
      </c>
      <c r="B333" s="21" t="s">
        <v>7868</v>
      </c>
      <c r="C333" s="21" t="s">
        <v>22</v>
      </c>
      <c r="D333" s="21" t="s">
        <v>701</v>
      </c>
      <c r="E333" s="21" t="s">
        <v>46</v>
      </c>
      <c r="F333" s="5812">
        <v>1</v>
      </c>
      <c r="G333" s="5813">
        <v>3.7499999999999999E-2</v>
      </c>
      <c r="H333" s="21" t="s">
        <v>10</v>
      </c>
      <c r="I333" s="21" t="s">
        <v>55</v>
      </c>
      <c r="J333" s="21" t="s">
        <v>97</v>
      </c>
      <c r="K333" s="5814" t="s">
        <v>7869</v>
      </c>
    </row>
    <row r="334" spans="1:11">
      <c r="A334" s="21" t="s">
        <v>3125</v>
      </c>
      <c r="B334" s="21" t="s">
        <v>7870</v>
      </c>
      <c r="C334" s="21" t="s">
        <v>8</v>
      </c>
      <c r="D334" s="21" t="s">
        <v>701</v>
      </c>
      <c r="E334" s="21" t="s">
        <v>46</v>
      </c>
      <c r="F334" s="5812">
        <v>1</v>
      </c>
      <c r="G334" s="5813">
        <v>3.9583333333333331E-2</v>
      </c>
      <c r="H334" s="21" t="s">
        <v>10</v>
      </c>
      <c r="I334" s="21" t="s">
        <v>226</v>
      </c>
      <c r="J334" s="21" t="s">
        <v>48</v>
      </c>
      <c r="K334" s="5814" t="s">
        <v>7871</v>
      </c>
    </row>
    <row r="335" spans="1:11">
      <c r="A335" s="21" t="s">
        <v>4434</v>
      </c>
      <c r="B335" s="21" t="s">
        <v>7872</v>
      </c>
      <c r="C335" s="21" t="s">
        <v>22</v>
      </c>
      <c r="D335" s="21" t="s">
        <v>701</v>
      </c>
      <c r="E335" s="21" t="s">
        <v>46</v>
      </c>
      <c r="F335" s="5812">
        <v>1</v>
      </c>
      <c r="G335" s="5813">
        <v>3.9583333333333331E-2</v>
      </c>
      <c r="H335" s="21" t="s">
        <v>10</v>
      </c>
      <c r="I335" s="21" t="s">
        <v>55</v>
      </c>
      <c r="J335" s="21" t="s">
        <v>97</v>
      </c>
      <c r="K335" s="5814" t="s">
        <v>7873</v>
      </c>
    </row>
    <row r="336" spans="1:11">
      <c r="A336" s="21" t="s">
        <v>3354</v>
      </c>
      <c r="B336" s="21" t="s">
        <v>7874</v>
      </c>
      <c r="C336" s="21" t="s">
        <v>22</v>
      </c>
      <c r="D336" s="21" t="s">
        <v>701</v>
      </c>
      <c r="E336" s="21" t="s">
        <v>46</v>
      </c>
      <c r="F336" s="5812">
        <v>1</v>
      </c>
      <c r="G336" s="5813">
        <v>4.1666666666666664E-2</v>
      </c>
      <c r="H336" s="21" t="s">
        <v>10</v>
      </c>
      <c r="I336" s="21" t="s">
        <v>226</v>
      </c>
      <c r="J336" s="21" t="s">
        <v>48</v>
      </c>
      <c r="K336" s="5814" t="s">
        <v>7875</v>
      </c>
    </row>
    <row r="337" spans="1:11">
      <c r="A337" s="21" t="s">
        <v>37</v>
      </c>
      <c r="B337" s="21" t="s">
        <v>765</v>
      </c>
      <c r="C337" s="21" t="s">
        <v>8</v>
      </c>
      <c r="D337" s="21" t="s">
        <v>701</v>
      </c>
      <c r="E337" s="21" t="s">
        <v>46</v>
      </c>
      <c r="F337" s="5812">
        <v>1</v>
      </c>
      <c r="G337" s="5813">
        <v>4.3749999999999997E-2</v>
      </c>
      <c r="H337" s="21" t="s">
        <v>10</v>
      </c>
      <c r="I337" s="21" t="s">
        <v>226</v>
      </c>
      <c r="J337" s="21" t="s">
        <v>127</v>
      </c>
      <c r="K337" s="5814" t="s">
        <v>766</v>
      </c>
    </row>
    <row r="338" spans="1:11">
      <c r="A338" s="21" t="s">
        <v>207</v>
      </c>
      <c r="B338" s="21" t="s">
        <v>910</v>
      </c>
      <c r="C338" s="21" t="s">
        <v>22</v>
      </c>
      <c r="D338" s="21" t="s">
        <v>701</v>
      </c>
      <c r="E338" s="21" t="s">
        <v>46</v>
      </c>
      <c r="F338" s="5812">
        <v>1</v>
      </c>
      <c r="G338" s="5813">
        <v>4.4444444444444446E-2</v>
      </c>
      <c r="H338" s="21" t="s">
        <v>54</v>
      </c>
      <c r="I338" s="21" t="s">
        <v>39</v>
      </c>
      <c r="J338" s="21" t="s">
        <v>48</v>
      </c>
      <c r="K338" s="5814" t="s">
        <v>911</v>
      </c>
    </row>
    <row r="339" spans="1:11">
      <c r="A339" s="21" t="s">
        <v>2600</v>
      </c>
      <c r="B339" s="21" t="s">
        <v>7876</v>
      </c>
      <c r="C339" s="21" t="s">
        <v>8</v>
      </c>
      <c r="D339" s="21" t="s">
        <v>701</v>
      </c>
      <c r="E339" s="21" t="s">
        <v>46</v>
      </c>
      <c r="F339" s="5812">
        <v>1</v>
      </c>
      <c r="G339" s="5813">
        <v>4.6527777777777779E-2</v>
      </c>
      <c r="H339" s="21" t="s">
        <v>10</v>
      </c>
      <c r="I339" s="21" t="s">
        <v>96</v>
      </c>
      <c r="J339" s="21" t="s">
        <v>97</v>
      </c>
      <c r="K339" s="5814" t="s">
        <v>7877</v>
      </c>
    </row>
    <row r="340" spans="1:11">
      <c r="A340" s="21" t="s">
        <v>2216</v>
      </c>
      <c r="B340" s="21" t="s">
        <v>7878</v>
      </c>
      <c r="C340" s="21" t="s">
        <v>22</v>
      </c>
      <c r="D340" s="21" t="s">
        <v>701</v>
      </c>
      <c r="E340" s="21" t="s">
        <v>46</v>
      </c>
      <c r="F340" s="5812">
        <v>1</v>
      </c>
      <c r="G340" s="5813">
        <v>4.6527777777777779E-2</v>
      </c>
      <c r="H340" s="21" t="s">
        <v>10</v>
      </c>
      <c r="I340" s="21" t="s">
        <v>4853</v>
      </c>
      <c r="J340" s="21" t="s">
        <v>48</v>
      </c>
      <c r="K340" s="5814" t="s">
        <v>7879</v>
      </c>
    </row>
    <row r="341" spans="1:11">
      <c r="A341" s="21" t="s">
        <v>3311</v>
      </c>
      <c r="B341" s="21" t="s">
        <v>7880</v>
      </c>
      <c r="C341" s="21" t="s">
        <v>8</v>
      </c>
      <c r="D341" s="21" t="s">
        <v>701</v>
      </c>
      <c r="E341" s="21" t="s">
        <v>46</v>
      </c>
      <c r="F341" s="5812">
        <v>1</v>
      </c>
      <c r="G341" s="5813">
        <v>4.8611111111111112E-2</v>
      </c>
      <c r="H341" s="21" t="s">
        <v>10</v>
      </c>
      <c r="I341" s="21" t="s">
        <v>39</v>
      </c>
      <c r="J341" s="21" t="s">
        <v>48</v>
      </c>
      <c r="K341" s="5814" t="s">
        <v>7881</v>
      </c>
    </row>
    <row r="342" spans="1:11">
      <c r="A342" s="21" t="s">
        <v>2521</v>
      </c>
      <c r="B342" s="21" t="s">
        <v>7882</v>
      </c>
      <c r="C342" s="21" t="s">
        <v>8</v>
      </c>
      <c r="D342" s="21" t="s">
        <v>701</v>
      </c>
      <c r="E342" s="21" t="s">
        <v>46</v>
      </c>
      <c r="F342" s="5812">
        <v>1</v>
      </c>
      <c r="G342" s="5813">
        <v>0.05</v>
      </c>
      <c r="H342" s="21" t="s">
        <v>10</v>
      </c>
      <c r="I342" s="21" t="s">
        <v>96</v>
      </c>
      <c r="J342" s="21" t="s">
        <v>722</v>
      </c>
      <c r="K342" s="5814" t="s">
        <v>7883</v>
      </c>
    </row>
    <row r="343" spans="1:11">
      <c r="A343" s="21" t="s">
        <v>3446</v>
      </c>
      <c r="B343" s="21" t="s">
        <v>7884</v>
      </c>
      <c r="C343" s="21" t="s">
        <v>8</v>
      </c>
      <c r="D343" s="21" t="s">
        <v>701</v>
      </c>
      <c r="E343" s="21" t="s">
        <v>46</v>
      </c>
      <c r="F343" s="5812">
        <v>1</v>
      </c>
      <c r="G343" s="5813">
        <v>0.05</v>
      </c>
      <c r="H343" s="21" t="s">
        <v>10</v>
      </c>
      <c r="I343" s="21" t="s">
        <v>2713</v>
      </c>
      <c r="J343" s="21" t="s">
        <v>4586</v>
      </c>
      <c r="K343" s="5814" t="s">
        <v>7885</v>
      </c>
    </row>
    <row r="344" spans="1:11">
      <c r="A344" s="21" t="s">
        <v>3787</v>
      </c>
      <c r="B344" s="21" t="s">
        <v>7886</v>
      </c>
      <c r="C344" s="21" t="s">
        <v>22</v>
      </c>
      <c r="D344" s="21" t="s">
        <v>701</v>
      </c>
      <c r="E344" s="21" t="s">
        <v>46</v>
      </c>
      <c r="F344" s="5812">
        <v>1</v>
      </c>
      <c r="G344" s="5813">
        <v>5.0694444444444445E-2</v>
      </c>
      <c r="H344" s="21" t="s">
        <v>10</v>
      </c>
      <c r="I344" s="21" t="s">
        <v>2297</v>
      </c>
      <c r="J344" s="21" t="s">
        <v>518</v>
      </c>
      <c r="K344" s="5814" t="s">
        <v>7887</v>
      </c>
    </row>
    <row r="345" spans="1:11">
      <c r="A345" s="21" t="s">
        <v>2420</v>
      </c>
      <c r="B345" s="21" t="s">
        <v>7888</v>
      </c>
      <c r="C345" s="21" t="s">
        <v>8</v>
      </c>
      <c r="D345" s="21" t="s">
        <v>701</v>
      </c>
      <c r="E345" s="21" t="s">
        <v>46</v>
      </c>
      <c r="F345" s="5812">
        <v>1</v>
      </c>
      <c r="G345" s="5813">
        <v>5.1388888888888887E-2</v>
      </c>
      <c r="H345" s="21" t="s">
        <v>10</v>
      </c>
      <c r="I345" s="21" t="s">
        <v>47</v>
      </c>
      <c r="J345" s="21" t="s">
        <v>48</v>
      </c>
      <c r="K345" s="5814" t="s">
        <v>7889</v>
      </c>
    </row>
    <row r="346" spans="1:11">
      <c r="A346" s="21" t="s">
        <v>3671</v>
      </c>
      <c r="B346" s="21" t="s">
        <v>7890</v>
      </c>
      <c r="C346" s="21" t="s">
        <v>22</v>
      </c>
      <c r="D346" s="21" t="s">
        <v>701</v>
      </c>
      <c r="E346" s="21" t="s">
        <v>46</v>
      </c>
      <c r="F346" s="5812">
        <v>1</v>
      </c>
      <c r="G346" s="5813">
        <v>5.2083333333333336E-2</v>
      </c>
      <c r="H346" s="21" t="s">
        <v>10</v>
      </c>
      <c r="I346" s="21" t="s">
        <v>47</v>
      </c>
      <c r="J346" s="21" t="s">
        <v>430</v>
      </c>
      <c r="K346" s="5814" t="s">
        <v>7891</v>
      </c>
    </row>
    <row r="347" spans="1:11">
      <c r="A347" s="21" t="s">
        <v>2982</v>
      </c>
      <c r="B347" s="21" t="s">
        <v>7892</v>
      </c>
      <c r="C347" s="21" t="s">
        <v>8</v>
      </c>
      <c r="D347" s="21" t="s">
        <v>701</v>
      </c>
      <c r="E347" s="21" t="s">
        <v>46</v>
      </c>
      <c r="F347" s="5812">
        <v>1</v>
      </c>
      <c r="G347" s="5813">
        <v>5.5555555555555552E-2</v>
      </c>
      <c r="H347" s="21" t="s">
        <v>10</v>
      </c>
      <c r="I347" s="21" t="s">
        <v>39</v>
      </c>
      <c r="J347" s="21" t="s">
        <v>48</v>
      </c>
      <c r="K347" s="5814" t="s">
        <v>7893</v>
      </c>
    </row>
    <row r="348" spans="1:11">
      <c r="A348" s="21" t="s">
        <v>4863</v>
      </c>
      <c r="B348" s="21" t="s">
        <v>7894</v>
      </c>
      <c r="C348" s="21" t="s">
        <v>8</v>
      </c>
      <c r="D348" s="21" t="s">
        <v>701</v>
      </c>
      <c r="E348" s="21" t="s">
        <v>46</v>
      </c>
      <c r="F348" s="5812">
        <v>1</v>
      </c>
      <c r="G348" s="5813">
        <v>5.8333333333333334E-2</v>
      </c>
      <c r="H348" s="21" t="s">
        <v>10</v>
      </c>
      <c r="I348" s="21" t="s">
        <v>2713</v>
      </c>
      <c r="J348" s="21" t="s">
        <v>406</v>
      </c>
      <c r="K348" s="5814" t="s">
        <v>7895</v>
      </c>
    </row>
    <row r="349" spans="1:11">
      <c r="A349" s="21" t="s">
        <v>2995</v>
      </c>
      <c r="B349" s="21" t="s">
        <v>7896</v>
      </c>
      <c r="C349" s="21" t="s">
        <v>8</v>
      </c>
      <c r="D349" s="21" t="s">
        <v>701</v>
      </c>
      <c r="E349" s="21" t="s">
        <v>46</v>
      </c>
      <c r="F349" s="5812">
        <v>1</v>
      </c>
      <c r="G349" s="5813">
        <v>5.9027777777777776E-2</v>
      </c>
      <c r="H349" s="21" t="s">
        <v>10</v>
      </c>
      <c r="I349" s="21" t="s">
        <v>23</v>
      </c>
      <c r="J349" s="21" t="s">
        <v>97</v>
      </c>
      <c r="K349" s="5814" t="s">
        <v>7897</v>
      </c>
    </row>
    <row r="350" spans="1:11">
      <c r="A350" s="21" t="s">
        <v>4132</v>
      </c>
      <c r="B350" s="21" t="s">
        <v>7898</v>
      </c>
      <c r="C350" s="21" t="s">
        <v>8</v>
      </c>
      <c r="D350" s="21" t="s">
        <v>701</v>
      </c>
      <c r="E350" s="21" t="s">
        <v>46</v>
      </c>
      <c r="F350" s="5812">
        <v>1</v>
      </c>
      <c r="G350" s="5813">
        <v>5.9722222222222225E-2</v>
      </c>
      <c r="H350" s="21" t="s">
        <v>10</v>
      </c>
      <c r="I350" s="21" t="s">
        <v>233</v>
      </c>
      <c r="J350" s="21" t="s">
        <v>48</v>
      </c>
      <c r="K350" s="5814" t="s">
        <v>7899</v>
      </c>
    </row>
    <row r="351" spans="1:11">
      <c r="A351" s="21" t="s">
        <v>4177</v>
      </c>
      <c r="B351" s="21" t="s">
        <v>7900</v>
      </c>
      <c r="C351" s="21" t="s">
        <v>8</v>
      </c>
      <c r="D351" s="21" t="s">
        <v>701</v>
      </c>
      <c r="E351" s="21" t="s">
        <v>46</v>
      </c>
      <c r="F351" s="5812">
        <v>1</v>
      </c>
      <c r="G351" s="5813">
        <v>5.9722222222222225E-2</v>
      </c>
      <c r="H351" s="21" t="s">
        <v>10</v>
      </c>
      <c r="I351" s="21" t="s">
        <v>4179</v>
      </c>
      <c r="J351" s="21" t="s">
        <v>7901</v>
      </c>
      <c r="K351" s="5814" t="s">
        <v>7902</v>
      </c>
    </row>
    <row r="352" spans="1:11">
      <c r="A352" s="21" t="s">
        <v>2835</v>
      </c>
      <c r="B352" s="21" t="s">
        <v>7903</v>
      </c>
      <c r="C352" s="21" t="s">
        <v>22</v>
      </c>
      <c r="D352" s="21" t="s">
        <v>701</v>
      </c>
      <c r="E352" s="21" t="s">
        <v>46</v>
      </c>
      <c r="F352" s="5812">
        <v>1</v>
      </c>
      <c r="G352" s="5813">
        <v>5.9722222222222225E-2</v>
      </c>
      <c r="H352" s="21" t="s">
        <v>10</v>
      </c>
      <c r="I352" s="21" t="s">
        <v>39</v>
      </c>
      <c r="J352" s="21" t="s">
        <v>97</v>
      </c>
      <c r="K352" s="5814" t="s">
        <v>7904</v>
      </c>
    </row>
    <row r="353" spans="1:11">
      <c r="A353" s="21" t="s">
        <v>3089</v>
      </c>
      <c r="B353" s="21" t="s">
        <v>7905</v>
      </c>
      <c r="C353" s="21" t="s">
        <v>8</v>
      </c>
      <c r="D353" s="21" t="s">
        <v>701</v>
      </c>
      <c r="E353" s="21" t="s">
        <v>46</v>
      </c>
      <c r="F353" s="5812">
        <v>1</v>
      </c>
      <c r="G353" s="5813">
        <v>6.0416666666666667E-2</v>
      </c>
      <c r="H353" s="21" t="s">
        <v>54</v>
      </c>
      <c r="I353" s="21" t="s">
        <v>187</v>
      </c>
      <c r="J353" s="21" t="s">
        <v>406</v>
      </c>
      <c r="K353" s="5814" t="s">
        <v>7906</v>
      </c>
    </row>
    <row r="354" spans="1:11">
      <c r="A354" s="21" t="s">
        <v>4289</v>
      </c>
      <c r="B354" s="21" t="s">
        <v>7907</v>
      </c>
      <c r="C354" s="21" t="s">
        <v>22</v>
      </c>
      <c r="D354" s="21" t="s">
        <v>701</v>
      </c>
      <c r="E354" s="21" t="s">
        <v>46</v>
      </c>
      <c r="F354" s="5812">
        <v>1</v>
      </c>
      <c r="G354" s="5813">
        <v>6.25E-2</v>
      </c>
      <c r="H354" s="21" t="s">
        <v>10</v>
      </c>
      <c r="I354" s="21" t="s">
        <v>2269</v>
      </c>
      <c r="J354" s="21" t="s">
        <v>48</v>
      </c>
      <c r="K354" s="5814" t="s">
        <v>7908</v>
      </c>
    </row>
    <row r="355" spans="1:11">
      <c r="A355" s="21" t="s">
        <v>223</v>
      </c>
      <c r="B355" s="21" t="s">
        <v>924</v>
      </c>
      <c r="C355" s="21" t="s">
        <v>22</v>
      </c>
      <c r="D355" s="21" t="s">
        <v>701</v>
      </c>
      <c r="E355" s="21" t="s">
        <v>46</v>
      </c>
      <c r="F355" s="5812">
        <v>1</v>
      </c>
      <c r="G355" s="5813">
        <v>6.3194444444444442E-2</v>
      </c>
      <c r="H355" s="21" t="s">
        <v>10</v>
      </c>
      <c r="I355" s="21" t="s">
        <v>89</v>
      </c>
      <c r="J355" s="21" t="s">
        <v>722</v>
      </c>
      <c r="K355" s="5814" t="s">
        <v>925</v>
      </c>
    </row>
    <row r="356" spans="1:11">
      <c r="A356" s="21" t="s">
        <v>3613</v>
      </c>
      <c r="B356" s="21" t="s">
        <v>7909</v>
      </c>
      <c r="C356" s="21" t="s">
        <v>8</v>
      </c>
      <c r="D356" s="21" t="s">
        <v>701</v>
      </c>
      <c r="E356" s="21" t="s">
        <v>46</v>
      </c>
      <c r="F356" s="5812">
        <v>1</v>
      </c>
      <c r="G356" s="5813">
        <v>6.458333333333334E-2</v>
      </c>
      <c r="H356" s="21" t="s">
        <v>10</v>
      </c>
      <c r="I356" s="21" t="s">
        <v>55</v>
      </c>
      <c r="J356" s="21" t="s">
        <v>97</v>
      </c>
      <c r="K356" s="5814" t="s">
        <v>7910</v>
      </c>
    </row>
    <row r="357" spans="1:11">
      <c r="A357" s="21" t="s">
        <v>2992</v>
      </c>
      <c r="B357" s="21" t="s">
        <v>7911</v>
      </c>
      <c r="C357" s="21" t="s">
        <v>8</v>
      </c>
      <c r="D357" s="21" t="s">
        <v>701</v>
      </c>
      <c r="E357" s="21" t="s">
        <v>46</v>
      </c>
      <c r="F357" s="5812">
        <v>1</v>
      </c>
      <c r="G357" s="5813">
        <v>6.458333333333334E-2</v>
      </c>
      <c r="H357" s="21" t="s">
        <v>10</v>
      </c>
      <c r="I357" s="21" t="s">
        <v>55</v>
      </c>
      <c r="J357" s="21" t="s">
        <v>258</v>
      </c>
      <c r="K357" s="5814" t="s">
        <v>7912</v>
      </c>
    </row>
    <row r="358" spans="1:11">
      <c r="A358" s="21" t="s">
        <v>2075</v>
      </c>
      <c r="B358" s="21" t="s">
        <v>7913</v>
      </c>
      <c r="C358" s="21" t="s">
        <v>22</v>
      </c>
      <c r="D358" s="21" t="s">
        <v>701</v>
      </c>
      <c r="E358" s="21" t="s">
        <v>46</v>
      </c>
      <c r="F358" s="5812">
        <v>1</v>
      </c>
      <c r="G358" s="5813">
        <v>6.5972222222222224E-2</v>
      </c>
      <c r="H358" s="21" t="s">
        <v>54</v>
      </c>
      <c r="I358" s="21" t="s">
        <v>226</v>
      </c>
      <c r="J358" s="21" t="s">
        <v>97</v>
      </c>
      <c r="K358" s="5814" t="s">
        <v>7914</v>
      </c>
    </row>
    <row r="359" spans="1:11">
      <c r="A359" s="21" t="s">
        <v>3039</v>
      </c>
      <c r="B359" s="21" t="s">
        <v>7915</v>
      </c>
      <c r="C359" s="21" t="s">
        <v>22</v>
      </c>
      <c r="D359" s="21" t="s">
        <v>701</v>
      </c>
      <c r="E359" s="21" t="s">
        <v>46</v>
      </c>
      <c r="F359" s="5812">
        <v>1</v>
      </c>
      <c r="G359" s="5813">
        <v>6.5972222222222224E-2</v>
      </c>
      <c r="H359" s="21" t="s">
        <v>10</v>
      </c>
      <c r="I359" s="21" t="s">
        <v>654</v>
      </c>
      <c r="J359" s="21" t="s">
        <v>48</v>
      </c>
      <c r="K359" s="5814" t="s">
        <v>7916</v>
      </c>
    </row>
    <row r="360" spans="1:11">
      <c r="A360" s="21" t="s">
        <v>3787</v>
      </c>
      <c r="B360" s="21" t="s">
        <v>7917</v>
      </c>
      <c r="C360" s="21" t="s">
        <v>8</v>
      </c>
      <c r="D360" s="21" t="s">
        <v>701</v>
      </c>
      <c r="E360" s="21" t="s">
        <v>46</v>
      </c>
      <c r="F360" s="5812">
        <v>1</v>
      </c>
      <c r="G360" s="5813">
        <v>6.6666666666666666E-2</v>
      </c>
      <c r="H360" s="21" t="s">
        <v>10</v>
      </c>
      <c r="I360" s="21" t="s">
        <v>5482</v>
      </c>
      <c r="J360" s="21" t="s">
        <v>48</v>
      </c>
      <c r="K360" s="5814" t="s">
        <v>7918</v>
      </c>
    </row>
    <row r="361" spans="1:11">
      <c r="A361" s="21" t="s">
        <v>2780</v>
      </c>
      <c r="B361" s="21" t="s">
        <v>7919</v>
      </c>
      <c r="C361" s="21" t="s">
        <v>8</v>
      </c>
      <c r="D361" s="21" t="s">
        <v>701</v>
      </c>
      <c r="E361" s="21" t="s">
        <v>46</v>
      </c>
      <c r="F361" s="5812">
        <v>1</v>
      </c>
      <c r="G361" s="5813">
        <v>6.805555555555555E-2</v>
      </c>
      <c r="H361" s="21" t="s">
        <v>10</v>
      </c>
      <c r="I361" s="21" t="s">
        <v>2297</v>
      </c>
      <c r="J361" s="21" t="s">
        <v>48</v>
      </c>
      <c r="K361" s="5814" t="s">
        <v>7920</v>
      </c>
    </row>
    <row r="362" spans="1:11">
      <c r="A362" s="21" t="s">
        <v>2123</v>
      </c>
      <c r="B362" s="21" t="s">
        <v>7921</v>
      </c>
      <c r="C362" s="21" t="s">
        <v>8</v>
      </c>
      <c r="D362" s="21" t="s">
        <v>701</v>
      </c>
      <c r="E362" s="21" t="s">
        <v>46</v>
      </c>
      <c r="F362" s="5812">
        <v>1</v>
      </c>
      <c r="G362" s="5813">
        <v>6.9444444444444448E-2</v>
      </c>
      <c r="H362" s="21" t="s">
        <v>10</v>
      </c>
      <c r="I362" s="21" t="s">
        <v>39</v>
      </c>
      <c r="J362" s="21" t="s">
        <v>127</v>
      </c>
      <c r="K362" s="5814" t="s">
        <v>7922</v>
      </c>
    </row>
    <row r="363" spans="1:11">
      <c r="A363" s="21" t="s">
        <v>2808</v>
      </c>
      <c r="B363" s="21" t="s">
        <v>7923</v>
      </c>
      <c r="C363" s="21" t="s">
        <v>22</v>
      </c>
      <c r="D363" s="21" t="s">
        <v>701</v>
      </c>
      <c r="E363" s="21" t="s">
        <v>46</v>
      </c>
      <c r="F363" s="5812">
        <v>1</v>
      </c>
      <c r="G363" s="5813">
        <v>6.9444444444444448E-2</v>
      </c>
      <c r="H363" s="21" t="s">
        <v>10</v>
      </c>
      <c r="I363" s="21" t="s">
        <v>194</v>
      </c>
      <c r="J363" s="21" t="s">
        <v>3094</v>
      </c>
      <c r="K363" s="5814" t="s">
        <v>7924</v>
      </c>
    </row>
    <row r="364" spans="1:11">
      <c r="A364" s="21" t="s">
        <v>207</v>
      </c>
      <c r="B364" s="21" t="s">
        <v>773</v>
      </c>
      <c r="C364" s="21" t="s">
        <v>8</v>
      </c>
      <c r="D364" s="21" t="s">
        <v>701</v>
      </c>
      <c r="E364" s="21" t="s">
        <v>46</v>
      </c>
      <c r="F364" s="5812">
        <v>1</v>
      </c>
      <c r="G364" s="5813">
        <v>7.013888888888889E-2</v>
      </c>
      <c r="H364" s="21" t="s">
        <v>10</v>
      </c>
      <c r="I364" s="21" t="s">
        <v>39</v>
      </c>
      <c r="J364" s="21" t="s">
        <v>774</v>
      </c>
      <c r="K364" s="5814" t="s">
        <v>775</v>
      </c>
    </row>
    <row r="365" spans="1:11">
      <c r="A365" s="21" t="s">
        <v>52</v>
      </c>
      <c r="B365" s="21" t="s">
        <v>769</v>
      </c>
      <c r="C365" s="21" t="s">
        <v>8</v>
      </c>
      <c r="D365" s="21" t="s">
        <v>701</v>
      </c>
      <c r="E365" s="21" t="s">
        <v>46</v>
      </c>
      <c r="F365" s="5812">
        <v>1</v>
      </c>
      <c r="G365" s="5813">
        <v>7.2222222222222215E-2</v>
      </c>
      <c r="H365" s="21" t="s">
        <v>10</v>
      </c>
      <c r="I365" s="21" t="s">
        <v>11</v>
      </c>
      <c r="J365" s="21" t="s">
        <v>97</v>
      </c>
      <c r="K365" s="5814" t="s">
        <v>770</v>
      </c>
    </row>
    <row r="366" spans="1:11">
      <c r="A366" s="21" t="s">
        <v>2824</v>
      </c>
      <c r="B366" s="21" t="s">
        <v>7925</v>
      </c>
      <c r="C366" s="21" t="s">
        <v>8</v>
      </c>
      <c r="D366" s="21" t="s">
        <v>701</v>
      </c>
      <c r="E366" s="21" t="s">
        <v>46</v>
      </c>
      <c r="F366" s="5812">
        <v>1</v>
      </c>
      <c r="G366" s="5813">
        <v>7.2916666666666671E-2</v>
      </c>
      <c r="H366" s="21" t="s">
        <v>10</v>
      </c>
      <c r="I366" s="21" t="s">
        <v>7926</v>
      </c>
      <c r="J366" s="21" t="s">
        <v>406</v>
      </c>
      <c r="K366" s="5814" t="s">
        <v>7927</v>
      </c>
    </row>
    <row r="367" spans="1:11">
      <c r="A367" s="21" t="s">
        <v>3009</v>
      </c>
      <c r="B367" s="21" t="s">
        <v>7928</v>
      </c>
      <c r="C367" s="21" t="s">
        <v>22</v>
      </c>
      <c r="D367" s="21" t="s">
        <v>701</v>
      </c>
      <c r="E367" s="21" t="s">
        <v>46</v>
      </c>
      <c r="F367" s="5812">
        <v>1</v>
      </c>
      <c r="G367" s="5813">
        <v>7.3611111111111113E-2</v>
      </c>
      <c r="H367" s="21" t="s">
        <v>10</v>
      </c>
      <c r="I367" s="21" t="s">
        <v>39</v>
      </c>
      <c r="J367" s="21" t="s">
        <v>97</v>
      </c>
      <c r="K367" s="5814" t="s">
        <v>7929</v>
      </c>
    </row>
    <row r="368" spans="1:11">
      <c r="A368" s="21" t="s">
        <v>4434</v>
      </c>
      <c r="B368" s="21" t="s">
        <v>7930</v>
      </c>
      <c r="C368" s="21" t="s">
        <v>8</v>
      </c>
      <c r="D368" s="21" t="s">
        <v>701</v>
      </c>
      <c r="E368" s="21" t="s">
        <v>46</v>
      </c>
      <c r="F368" s="5812">
        <v>1</v>
      </c>
      <c r="G368" s="5813">
        <v>7.3611111111111113E-2</v>
      </c>
      <c r="H368" s="21" t="s">
        <v>10</v>
      </c>
      <c r="I368" s="21" t="s">
        <v>2181</v>
      </c>
      <c r="J368" s="21" t="s">
        <v>48</v>
      </c>
      <c r="K368" s="5814" t="s">
        <v>7931</v>
      </c>
    </row>
    <row r="369" spans="1:11">
      <c r="A369" s="21" t="s">
        <v>3249</v>
      </c>
      <c r="B369" s="21" t="s">
        <v>7932</v>
      </c>
      <c r="C369" s="21" t="s">
        <v>8</v>
      </c>
      <c r="D369" s="21" t="s">
        <v>701</v>
      </c>
      <c r="E369" s="21" t="s">
        <v>46</v>
      </c>
      <c r="F369" s="5812">
        <v>1</v>
      </c>
      <c r="G369" s="5813">
        <v>7.6388888888888895E-2</v>
      </c>
      <c r="H369" s="21" t="s">
        <v>10</v>
      </c>
      <c r="I369" s="21" t="s">
        <v>55</v>
      </c>
      <c r="J369" s="21" t="s">
        <v>4652</v>
      </c>
      <c r="K369" s="5814" t="s">
        <v>7933</v>
      </c>
    </row>
    <row r="370" spans="1:11">
      <c r="A370" s="21" t="s">
        <v>4233</v>
      </c>
      <c r="B370" s="21" t="s">
        <v>7934</v>
      </c>
      <c r="C370" s="21" t="s">
        <v>8</v>
      </c>
      <c r="D370" s="21" t="s">
        <v>701</v>
      </c>
      <c r="E370" s="21" t="s">
        <v>46</v>
      </c>
      <c r="F370" s="5812">
        <v>1</v>
      </c>
      <c r="G370" s="5813">
        <v>7.7777777777777779E-2</v>
      </c>
      <c r="H370" s="21" t="s">
        <v>10</v>
      </c>
      <c r="I370" s="21" t="s">
        <v>47</v>
      </c>
      <c r="J370" s="21" t="s">
        <v>4572</v>
      </c>
      <c r="K370" s="5814" t="s">
        <v>7935</v>
      </c>
    </row>
    <row r="371" spans="1:11">
      <c r="A371" s="21" t="s">
        <v>2850</v>
      </c>
      <c r="B371" s="21" t="s">
        <v>7936</v>
      </c>
      <c r="C371" s="21" t="s">
        <v>22</v>
      </c>
      <c r="D371" s="21" t="s">
        <v>701</v>
      </c>
      <c r="E371" s="21" t="s">
        <v>46</v>
      </c>
      <c r="F371" s="5812">
        <v>1</v>
      </c>
      <c r="G371" s="5813">
        <v>7.9166666666666663E-2</v>
      </c>
      <c r="H371" s="21" t="s">
        <v>10</v>
      </c>
      <c r="I371" s="21" t="s">
        <v>39</v>
      </c>
      <c r="J371" s="21" t="s">
        <v>1321</v>
      </c>
      <c r="K371" s="5814" t="s">
        <v>7937</v>
      </c>
    </row>
    <row r="372" spans="1:11">
      <c r="A372" s="21" t="s">
        <v>4257</v>
      </c>
      <c r="B372" s="21" t="s">
        <v>7938</v>
      </c>
      <c r="C372" s="21" t="s">
        <v>22</v>
      </c>
      <c r="D372" s="21" t="s">
        <v>701</v>
      </c>
      <c r="E372" s="21" t="s">
        <v>46</v>
      </c>
      <c r="F372" s="5812">
        <v>1</v>
      </c>
      <c r="G372" s="5813">
        <v>8.1944444444444445E-2</v>
      </c>
      <c r="H372" s="21" t="s">
        <v>10</v>
      </c>
      <c r="I372" s="21" t="s">
        <v>226</v>
      </c>
      <c r="J372" s="21" t="s">
        <v>406</v>
      </c>
      <c r="K372" s="5814" t="s">
        <v>7939</v>
      </c>
    </row>
    <row r="373" spans="1:11">
      <c r="A373" s="21" t="s">
        <v>2471</v>
      </c>
      <c r="B373" s="21" t="s">
        <v>7940</v>
      </c>
      <c r="C373" s="21" t="s">
        <v>8</v>
      </c>
      <c r="D373" s="21" t="s">
        <v>701</v>
      </c>
      <c r="E373" s="21" t="s">
        <v>46</v>
      </c>
      <c r="F373" s="5812">
        <v>1</v>
      </c>
      <c r="G373" s="5813">
        <v>8.9583333333333334E-2</v>
      </c>
      <c r="H373" s="21" t="s">
        <v>10</v>
      </c>
      <c r="I373" s="21" t="s">
        <v>55</v>
      </c>
      <c r="J373" s="21" t="s">
        <v>127</v>
      </c>
      <c r="K373" s="5814" t="s">
        <v>7941</v>
      </c>
    </row>
    <row r="374" spans="1:11">
      <c r="A374" s="21" t="s">
        <v>4170</v>
      </c>
      <c r="B374" s="21" t="s">
        <v>7942</v>
      </c>
      <c r="C374" s="21" t="s">
        <v>22</v>
      </c>
      <c r="D374" s="21" t="s">
        <v>701</v>
      </c>
      <c r="E374" s="21" t="s">
        <v>46</v>
      </c>
      <c r="F374" s="5812">
        <v>1</v>
      </c>
      <c r="G374" s="5813">
        <v>9.5138888888888884E-2</v>
      </c>
      <c r="H374" s="21" t="s">
        <v>10</v>
      </c>
      <c r="I374" s="21" t="s">
        <v>47</v>
      </c>
      <c r="J374" s="21" t="s">
        <v>48</v>
      </c>
      <c r="K374" s="5814" t="s">
        <v>7943</v>
      </c>
    </row>
    <row r="375" spans="1:11">
      <c r="A375" s="21" t="s">
        <v>2835</v>
      </c>
      <c r="B375" s="21" t="s">
        <v>7944</v>
      </c>
      <c r="C375" s="21" t="s">
        <v>8</v>
      </c>
      <c r="D375" s="21" t="s">
        <v>701</v>
      </c>
      <c r="E375" s="21" t="s">
        <v>46</v>
      </c>
      <c r="F375" s="5812">
        <v>1</v>
      </c>
      <c r="G375" s="5813">
        <v>9.583333333333334E-2</v>
      </c>
      <c r="H375" s="21" t="s">
        <v>10</v>
      </c>
      <c r="I375" s="21" t="s">
        <v>39</v>
      </c>
      <c r="J375" s="21" t="s">
        <v>258</v>
      </c>
      <c r="K375" s="5814" t="s">
        <v>7945</v>
      </c>
    </row>
    <row r="376" spans="1:11">
      <c r="A376" s="21" t="s">
        <v>3220</v>
      </c>
      <c r="B376" s="21" t="s">
        <v>7946</v>
      </c>
      <c r="C376" s="21" t="s">
        <v>22</v>
      </c>
      <c r="D376" s="21" t="s">
        <v>701</v>
      </c>
      <c r="E376" s="21" t="s">
        <v>46</v>
      </c>
      <c r="F376" s="5812">
        <v>1</v>
      </c>
      <c r="G376" s="5813">
        <v>0.10069444444444445</v>
      </c>
      <c r="H376" s="21" t="s">
        <v>10</v>
      </c>
      <c r="I376" s="21" t="s">
        <v>47</v>
      </c>
      <c r="J376" s="21" t="s">
        <v>417</v>
      </c>
      <c r="K376" s="5814" t="s">
        <v>7947</v>
      </c>
    </row>
    <row r="377" spans="1:11">
      <c r="A377" s="21" t="s">
        <v>3474</v>
      </c>
      <c r="B377" s="21" t="s">
        <v>7948</v>
      </c>
      <c r="C377" s="21" t="s">
        <v>8</v>
      </c>
      <c r="D377" s="21" t="s">
        <v>701</v>
      </c>
      <c r="E377" s="21" t="s">
        <v>46</v>
      </c>
      <c r="F377" s="5812">
        <v>1</v>
      </c>
      <c r="G377" s="5813">
        <v>0.10208333333333333</v>
      </c>
      <c r="H377" s="21" t="s">
        <v>10</v>
      </c>
      <c r="I377" s="21" t="s">
        <v>96</v>
      </c>
      <c r="J377" s="21" t="s">
        <v>1203</v>
      </c>
      <c r="K377" s="5814" t="s">
        <v>7949</v>
      </c>
    </row>
    <row r="378" spans="1:11">
      <c r="A378" s="21" t="s">
        <v>2831</v>
      </c>
      <c r="B378" s="21" t="s">
        <v>7950</v>
      </c>
      <c r="C378" s="21" t="s">
        <v>22</v>
      </c>
      <c r="D378" s="21" t="s">
        <v>701</v>
      </c>
      <c r="E378" s="21" t="s">
        <v>46</v>
      </c>
      <c r="F378" s="5812">
        <v>1</v>
      </c>
      <c r="G378" s="5813">
        <v>0.10208333333333333</v>
      </c>
      <c r="H378" s="21" t="s">
        <v>10</v>
      </c>
      <c r="I378" s="21" t="s">
        <v>47</v>
      </c>
      <c r="J378" s="21" t="s">
        <v>97</v>
      </c>
      <c r="K378" s="5814" t="s">
        <v>7951</v>
      </c>
    </row>
    <row r="379" spans="1:11">
      <c r="A379" s="21" t="s">
        <v>2707</v>
      </c>
      <c r="B379" s="21" t="s">
        <v>7952</v>
      </c>
      <c r="C379" s="21" t="s">
        <v>8</v>
      </c>
      <c r="D379" s="21" t="s">
        <v>701</v>
      </c>
      <c r="E379" s="21" t="s">
        <v>46</v>
      </c>
      <c r="F379" s="5812">
        <v>1</v>
      </c>
      <c r="G379" s="5813">
        <v>0.10277777777777777</v>
      </c>
      <c r="H379" s="21" t="s">
        <v>10</v>
      </c>
      <c r="I379" s="21" t="s">
        <v>39</v>
      </c>
      <c r="J379" s="21" t="s">
        <v>97</v>
      </c>
      <c r="K379" s="5814" t="s">
        <v>7953</v>
      </c>
    </row>
    <row r="380" spans="1:11">
      <c r="A380" s="21" t="s">
        <v>2630</v>
      </c>
      <c r="B380" s="21" t="s">
        <v>7954</v>
      </c>
      <c r="C380" s="21" t="s">
        <v>22</v>
      </c>
      <c r="D380" s="21" t="s">
        <v>701</v>
      </c>
      <c r="E380" s="21" t="s">
        <v>46</v>
      </c>
      <c r="F380" s="5812">
        <v>1</v>
      </c>
      <c r="G380" s="5813">
        <v>0.10416666666666667</v>
      </c>
      <c r="H380" s="21" t="s">
        <v>54</v>
      </c>
      <c r="I380" s="21" t="s">
        <v>11</v>
      </c>
      <c r="J380" s="21" t="s">
        <v>48</v>
      </c>
      <c r="K380" s="5814" t="s">
        <v>7955</v>
      </c>
    </row>
    <row r="381" spans="1:11">
      <c r="A381" s="21" t="s">
        <v>2372</v>
      </c>
      <c r="B381" s="21" t="s">
        <v>7956</v>
      </c>
      <c r="C381" s="21" t="s">
        <v>8</v>
      </c>
      <c r="D381" s="21" t="s">
        <v>701</v>
      </c>
      <c r="E381" s="21" t="s">
        <v>46</v>
      </c>
      <c r="F381" s="5812">
        <v>1</v>
      </c>
      <c r="G381" s="5813">
        <v>0.10416666666666667</v>
      </c>
      <c r="H381" s="21" t="s">
        <v>10</v>
      </c>
      <c r="I381" s="21" t="s">
        <v>226</v>
      </c>
      <c r="J381" s="21" t="s">
        <v>48</v>
      </c>
      <c r="K381" s="5814" t="s">
        <v>7957</v>
      </c>
    </row>
    <row r="382" spans="1:11">
      <c r="A382" s="21" t="s">
        <v>3481</v>
      </c>
      <c r="B382" s="21" t="s">
        <v>7958</v>
      </c>
      <c r="C382" s="21" t="s">
        <v>22</v>
      </c>
      <c r="D382" s="21" t="s">
        <v>701</v>
      </c>
      <c r="E382" s="21" t="s">
        <v>46</v>
      </c>
      <c r="F382" s="5812">
        <v>1</v>
      </c>
      <c r="G382" s="5813">
        <v>0.10416666666666667</v>
      </c>
      <c r="H382" s="21" t="s">
        <v>10</v>
      </c>
      <c r="I382" s="21" t="s">
        <v>47</v>
      </c>
      <c r="J382" s="21" t="s">
        <v>48</v>
      </c>
      <c r="K382" s="5814" t="s">
        <v>7959</v>
      </c>
    </row>
    <row r="383" spans="1:11">
      <c r="A383" s="21" t="s">
        <v>2961</v>
      </c>
      <c r="B383" s="21" t="s">
        <v>7960</v>
      </c>
      <c r="C383" s="21" t="s">
        <v>8</v>
      </c>
      <c r="D383" s="21" t="s">
        <v>701</v>
      </c>
      <c r="E383" s="21" t="s">
        <v>46</v>
      </c>
      <c r="F383" s="5812">
        <v>1</v>
      </c>
      <c r="G383" s="5813">
        <v>0.10416666666666667</v>
      </c>
      <c r="H383" s="21" t="s">
        <v>10</v>
      </c>
      <c r="I383" s="21" t="s">
        <v>47</v>
      </c>
      <c r="J383" s="21" t="s">
        <v>97</v>
      </c>
      <c r="K383" s="5814" t="s">
        <v>7961</v>
      </c>
    </row>
    <row r="384" spans="1:11">
      <c r="A384" s="21" t="s">
        <v>2179</v>
      </c>
      <c r="B384" s="21" t="s">
        <v>7962</v>
      </c>
      <c r="C384" s="21" t="s">
        <v>22</v>
      </c>
      <c r="D384" s="21" t="s">
        <v>701</v>
      </c>
      <c r="E384" s="21" t="s">
        <v>46</v>
      </c>
      <c r="F384" s="5812">
        <v>1</v>
      </c>
      <c r="G384" s="5813">
        <v>0.10625</v>
      </c>
      <c r="H384" s="21" t="s">
        <v>10</v>
      </c>
      <c r="I384" s="21" t="s">
        <v>73</v>
      </c>
      <c r="J384" s="21" t="s">
        <v>48</v>
      </c>
      <c r="K384" s="5814" t="s">
        <v>7963</v>
      </c>
    </row>
    <row r="385" spans="1:11">
      <c r="A385" s="21" t="s">
        <v>6</v>
      </c>
      <c r="B385" s="21" t="s">
        <v>700</v>
      </c>
      <c r="C385" s="21" t="s">
        <v>8</v>
      </c>
      <c r="D385" s="21" t="s">
        <v>701</v>
      </c>
      <c r="E385" s="21" t="s">
        <v>46</v>
      </c>
      <c r="F385" s="5812">
        <v>1</v>
      </c>
      <c r="G385" s="5813">
        <v>0.10833333333333334</v>
      </c>
      <c r="H385" s="21" t="s">
        <v>10</v>
      </c>
      <c r="I385" s="21" t="s">
        <v>23</v>
      </c>
      <c r="J385" s="21" t="s">
        <v>97</v>
      </c>
      <c r="K385" s="5814" t="s">
        <v>7964</v>
      </c>
    </row>
    <row r="386" spans="1:11">
      <c r="A386" s="21" t="s">
        <v>2870</v>
      </c>
      <c r="B386" s="21" t="s">
        <v>7965</v>
      </c>
      <c r="C386" s="21" t="s">
        <v>8</v>
      </c>
      <c r="D386" s="21" t="s">
        <v>701</v>
      </c>
      <c r="E386" s="21" t="s">
        <v>46</v>
      </c>
      <c r="F386" s="5812">
        <v>1</v>
      </c>
      <c r="G386" s="5813">
        <v>0.10902777777777778</v>
      </c>
      <c r="H386" s="21" t="s">
        <v>10</v>
      </c>
      <c r="I386" s="21" t="s">
        <v>55</v>
      </c>
      <c r="J386" s="21" t="s">
        <v>258</v>
      </c>
      <c r="K386" s="5814" t="s">
        <v>7966</v>
      </c>
    </row>
    <row r="387" spans="1:11">
      <c r="A387" s="21" t="s">
        <v>2905</v>
      </c>
      <c r="B387" s="21" t="s">
        <v>7967</v>
      </c>
      <c r="C387" s="21" t="s">
        <v>8</v>
      </c>
      <c r="D387" s="21" t="s">
        <v>701</v>
      </c>
      <c r="E387" s="21" t="s">
        <v>46</v>
      </c>
      <c r="F387" s="5812">
        <v>1</v>
      </c>
      <c r="G387" s="5813">
        <v>0.10972222222222222</v>
      </c>
      <c r="H387" s="21" t="s">
        <v>10</v>
      </c>
      <c r="I387" s="21" t="s">
        <v>2297</v>
      </c>
      <c r="J387" s="21" t="s">
        <v>1076</v>
      </c>
      <c r="K387" s="5814" t="s">
        <v>7968</v>
      </c>
    </row>
    <row r="388" spans="1:11">
      <c r="A388" s="21" t="s">
        <v>4321</v>
      </c>
      <c r="B388" s="21" t="s">
        <v>7969</v>
      </c>
      <c r="C388" s="21" t="s">
        <v>8</v>
      </c>
      <c r="D388" s="21" t="s">
        <v>701</v>
      </c>
      <c r="E388" s="21" t="s">
        <v>46</v>
      </c>
      <c r="F388" s="5812">
        <v>1</v>
      </c>
      <c r="G388" s="5813">
        <v>0.11041666666666666</v>
      </c>
      <c r="H388" s="21" t="s">
        <v>10</v>
      </c>
      <c r="I388" s="21" t="s">
        <v>6860</v>
      </c>
      <c r="J388" s="21" t="s">
        <v>48</v>
      </c>
      <c r="K388" s="5814" t="s">
        <v>7970</v>
      </c>
    </row>
    <row r="389" spans="1:11">
      <c r="A389" s="21" t="s">
        <v>3345</v>
      </c>
      <c r="B389" s="21" t="s">
        <v>7971</v>
      </c>
      <c r="C389" s="21" t="s">
        <v>22</v>
      </c>
      <c r="D389" s="21" t="s">
        <v>701</v>
      </c>
      <c r="E389" s="21" t="s">
        <v>46</v>
      </c>
      <c r="F389" s="5812">
        <v>1</v>
      </c>
      <c r="G389" s="5813">
        <v>0.11319444444444444</v>
      </c>
      <c r="H389" s="21" t="s">
        <v>10</v>
      </c>
      <c r="I389" s="21" t="s">
        <v>55</v>
      </c>
      <c r="J389" s="21" t="s">
        <v>7972</v>
      </c>
      <c r="K389" s="5814" t="s">
        <v>7973</v>
      </c>
    </row>
    <row r="390" spans="1:11">
      <c r="A390" s="21" t="s">
        <v>2467</v>
      </c>
      <c r="B390" s="21" t="s">
        <v>7974</v>
      </c>
      <c r="C390" s="21" t="s">
        <v>22</v>
      </c>
      <c r="D390" s="21" t="s">
        <v>701</v>
      </c>
      <c r="E390" s="21" t="s">
        <v>46</v>
      </c>
      <c r="F390" s="5812">
        <v>1</v>
      </c>
      <c r="G390" s="5813">
        <v>0.11597222222222223</v>
      </c>
      <c r="H390" s="21" t="s">
        <v>10</v>
      </c>
      <c r="I390" s="21" t="s">
        <v>23</v>
      </c>
      <c r="J390" s="21" t="s">
        <v>127</v>
      </c>
      <c r="K390" s="5814" t="s">
        <v>7975</v>
      </c>
    </row>
    <row r="391" spans="1:11">
      <c r="A391" s="21" t="s">
        <v>3720</v>
      </c>
      <c r="B391" s="21" t="s">
        <v>7976</v>
      </c>
      <c r="C391" s="21" t="s">
        <v>8</v>
      </c>
      <c r="D391" s="21" t="s">
        <v>701</v>
      </c>
      <c r="E391" s="21" t="s">
        <v>46</v>
      </c>
      <c r="F391" s="5812">
        <v>1</v>
      </c>
      <c r="G391" s="5813">
        <v>0.11597222222222223</v>
      </c>
      <c r="H391" s="21" t="s">
        <v>10</v>
      </c>
      <c r="I391" s="21" t="s">
        <v>226</v>
      </c>
      <c r="J391" s="21" t="s">
        <v>722</v>
      </c>
      <c r="K391" s="5814" t="s">
        <v>7977</v>
      </c>
    </row>
    <row r="392" spans="1:11">
      <c r="A392" s="21" t="s">
        <v>207</v>
      </c>
      <c r="B392" s="21" t="s">
        <v>912</v>
      </c>
      <c r="C392" s="21" t="s">
        <v>8</v>
      </c>
      <c r="D392" s="21" t="s">
        <v>701</v>
      </c>
      <c r="E392" s="21" t="s">
        <v>46</v>
      </c>
      <c r="F392" s="5812">
        <v>1</v>
      </c>
      <c r="G392" s="5813">
        <v>0.11736111111111111</v>
      </c>
      <c r="H392" s="21" t="s">
        <v>10</v>
      </c>
      <c r="I392" s="21" t="s">
        <v>73</v>
      </c>
      <c r="J392" s="21" t="s">
        <v>127</v>
      </c>
      <c r="K392" s="5814" t="s">
        <v>913</v>
      </c>
    </row>
    <row r="393" spans="1:11">
      <c r="A393" s="21" t="s">
        <v>2630</v>
      </c>
      <c r="B393" s="21" t="s">
        <v>7978</v>
      </c>
      <c r="C393" s="21" t="s">
        <v>22</v>
      </c>
      <c r="D393" s="21" t="s">
        <v>701</v>
      </c>
      <c r="E393" s="21" t="s">
        <v>46</v>
      </c>
      <c r="F393" s="5812">
        <v>1</v>
      </c>
      <c r="G393" s="5813">
        <v>0.11944444444444445</v>
      </c>
      <c r="H393" s="21" t="s">
        <v>10</v>
      </c>
      <c r="I393" s="21" t="s">
        <v>2632</v>
      </c>
      <c r="J393" s="21" t="s">
        <v>127</v>
      </c>
      <c r="K393" s="5814" t="s">
        <v>7979</v>
      </c>
    </row>
    <row r="394" spans="1:11">
      <c r="A394" s="21" t="s">
        <v>4383</v>
      </c>
      <c r="B394" s="21" t="s">
        <v>7980</v>
      </c>
      <c r="C394" s="21" t="s">
        <v>8</v>
      </c>
      <c r="D394" s="21" t="s">
        <v>701</v>
      </c>
      <c r="E394" s="21" t="s">
        <v>46</v>
      </c>
      <c r="F394" s="5812">
        <v>1</v>
      </c>
      <c r="G394" s="5813">
        <v>0.12013888888888889</v>
      </c>
      <c r="H394" s="21" t="s">
        <v>10</v>
      </c>
      <c r="I394" s="21" t="s">
        <v>96</v>
      </c>
      <c r="J394" s="21" t="s">
        <v>48</v>
      </c>
      <c r="K394" s="5814" t="s">
        <v>7981</v>
      </c>
    </row>
    <row r="395" spans="1:11">
      <c r="A395" s="21" t="s">
        <v>2719</v>
      </c>
      <c r="B395" s="21" t="s">
        <v>7982</v>
      </c>
      <c r="C395" s="21" t="s">
        <v>22</v>
      </c>
      <c r="D395" s="21" t="s">
        <v>701</v>
      </c>
      <c r="E395" s="21" t="s">
        <v>46</v>
      </c>
      <c r="F395" s="5812">
        <v>1</v>
      </c>
      <c r="G395" s="5813">
        <v>0.125</v>
      </c>
      <c r="H395" s="21" t="s">
        <v>10</v>
      </c>
      <c r="I395" s="21" t="s">
        <v>263</v>
      </c>
      <c r="J395" s="21" t="s">
        <v>940</v>
      </c>
      <c r="K395" s="5814" t="s">
        <v>7983</v>
      </c>
    </row>
    <row r="396" spans="1:11">
      <c r="A396" s="21" t="s">
        <v>3105</v>
      </c>
      <c r="B396" s="21" t="s">
        <v>7984</v>
      </c>
      <c r="C396" s="21" t="s">
        <v>22</v>
      </c>
      <c r="D396" s="21" t="s">
        <v>701</v>
      </c>
      <c r="E396" s="21" t="s">
        <v>46</v>
      </c>
      <c r="F396" s="5812">
        <v>1</v>
      </c>
      <c r="G396" s="5813">
        <v>0.12569444444444444</v>
      </c>
      <c r="H396" s="21" t="s">
        <v>10</v>
      </c>
      <c r="I396" s="21" t="s">
        <v>47</v>
      </c>
      <c r="J396" s="21" t="s">
        <v>997</v>
      </c>
      <c r="K396" s="5814" t="s">
        <v>7985</v>
      </c>
    </row>
    <row r="397" spans="1:11">
      <c r="A397" s="21" t="s">
        <v>3537</v>
      </c>
      <c r="B397" s="21" t="s">
        <v>7986</v>
      </c>
      <c r="C397" s="21" t="s">
        <v>22</v>
      </c>
      <c r="D397" s="21" t="s">
        <v>701</v>
      </c>
      <c r="E397" s="21" t="s">
        <v>46</v>
      </c>
      <c r="F397" s="5812">
        <v>1</v>
      </c>
      <c r="G397" s="5813">
        <v>0.12777777777777777</v>
      </c>
      <c r="H397" s="21" t="s">
        <v>10</v>
      </c>
      <c r="I397" s="21" t="s">
        <v>96</v>
      </c>
      <c r="J397" s="21" t="s">
        <v>48</v>
      </c>
      <c r="K397" s="5814" t="s">
        <v>7987</v>
      </c>
    </row>
    <row r="398" spans="1:11">
      <c r="A398" s="21" t="s">
        <v>2454</v>
      </c>
      <c r="B398" s="21" t="s">
        <v>7988</v>
      </c>
      <c r="C398" s="21" t="s">
        <v>8</v>
      </c>
      <c r="D398" s="21" t="s">
        <v>701</v>
      </c>
      <c r="E398" s="21" t="s">
        <v>46</v>
      </c>
      <c r="F398" s="5812">
        <v>1</v>
      </c>
      <c r="G398" s="5813">
        <v>0.13541666666666666</v>
      </c>
      <c r="H398" s="21" t="s">
        <v>10</v>
      </c>
      <c r="I398" s="21" t="s">
        <v>89</v>
      </c>
      <c r="J398" s="21" t="s">
        <v>258</v>
      </c>
      <c r="K398" s="5814" t="s">
        <v>7989</v>
      </c>
    </row>
    <row r="399" spans="1:11">
      <c r="A399" s="21" t="s">
        <v>2442</v>
      </c>
      <c r="B399" s="21" t="s">
        <v>7990</v>
      </c>
      <c r="C399" s="21" t="s">
        <v>8</v>
      </c>
      <c r="D399" s="21" t="s">
        <v>701</v>
      </c>
      <c r="E399" s="21" t="s">
        <v>46</v>
      </c>
      <c r="F399" s="5812">
        <v>1</v>
      </c>
      <c r="G399" s="5813">
        <v>0.13680555555555557</v>
      </c>
      <c r="H399" s="21" t="s">
        <v>10</v>
      </c>
      <c r="I399" s="21" t="s">
        <v>11</v>
      </c>
      <c r="J399" s="21" t="s">
        <v>127</v>
      </c>
      <c r="K399" s="5814" t="s">
        <v>7991</v>
      </c>
    </row>
    <row r="400" spans="1:11">
      <c r="A400" s="21" t="s">
        <v>2850</v>
      </c>
      <c r="B400" s="21" t="s">
        <v>7992</v>
      </c>
      <c r="C400" s="21" t="s">
        <v>8</v>
      </c>
      <c r="D400" s="21" t="s">
        <v>701</v>
      </c>
      <c r="E400" s="21" t="s">
        <v>46</v>
      </c>
      <c r="F400" s="5812">
        <v>1</v>
      </c>
      <c r="G400" s="5813">
        <v>0.14305555555555555</v>
      </c>
      <c r="H400" s="21" t="s">
        <v>10</v>
      </c>
      <c r="I400" s="21" t="s">
        <v>2297</v>
      </c>
      <c r="J400" s="21" t="s">
        <v>97</v>
      </c>
      <c r="K400" s="5814" t="s">
        <v>7993</v>
      </c>
    </row>
    <row r="401" spans="1:11">
      <c r="A401" s="21" t="s">
        <v>3183</v>
      </c>
      <c r="B401" s="21" t="s">
        <v>7994</v>
      </c>
      <c r="C401" s="21" t="s">
        <v>22</v>
      </c>
      <c r="D401" s="21" t="s">
        <v>701</v>
      </c>
      <c r="E401" s="21" t="s">
        <v>46</v>
      </c>
      <c r="F401" s="5812">
        <v>1</v>
      </c>
      <c r="G401" s="5813">
        <v>0.14374999999999999</v>
      </c>
      <c r="H401" s="21" t="s">
        <v>10</v>
      </c>
      <c r="I401" s="21" t="s">
        <v>55</v>
      </c>
      <c r="J401" s="21" t="s">
        <v>97</v>
      </c>
      <c r="K401" s="5814" t="s">
        <v>7995</v>
      </c>
    </row>
    <row r="402" spans="1:11">
      <c r="A402" s="21" t="s">
        <v>2053</v>
      </c>
      <c r="B402" s="21" t="s">
        <v>7996</v>
      </c>
      <c r="C402" s="21" t="s">
        <v>8</v>
      </c>
      <c r="D402" s="21" t="s">
        <v>701</v>
      </c>
      <c r="E402" s="21" t="s">
        <v>46</v>
      </c>
      <c r="F402" s="5812">
        <v>1</v>
      </c>
      <c r="G402" s="5813">
        <v>0.14791666666666667</v>
      </c>
      <c r="H402" s="21" t="s">
        <v>10</v>
      </c>
      <c r="I402" s="21" t="s">
        <v>89</v>
      </c>
      <c r="J402" s="21" t="s">
        <v>430</v>
      </c>
      <c r="K402" s="5814" t="s">
        <v>7997</v>
      </c>
    </row>
    <row r="403" spans="1:11">
      <c r="A403" s="21" t="s">
        <v>3728</v>
      </c>
      <c r="B403" s="21" t="s">
        <v>7998</v>
      </c>
      <c r="C403" s="21" t="s">
        <v>8</v>
      </c>
      <c r="D403" s="21" t="s">
        <v>701</v>
      </c>
      <c r="E403" s="21" t="s">
        <v>46</v>
      </c>
      <c r="F403" s="5812">
        <v>1</v>
      </c>
      <c r="G403" s="5813">
        <v>0.14791666666666667</v>
      </c>
      <c r="H403" s="21" t="s">
        <v>10</v>
      </c>
      <c r="I403" s="21" t="s">
        <v>2149</v>
      </c>
      <c r="J403" s="21" t="s">
        <v>48</v>
      </c>
      <c r="K403" s="5814" t="s">
        <v>7999</v>
      </c>
    </row>
    <row r="404" spans="1:11">
      <c r="A404" s="21" t="s">
        <v>79</v>
      </c>
      <c r="B404" s="21" t="s">
        <v>828</v>
      </c>
      <c r="C404" s="21" t="s">
        <v>8</v>
      </c>
      <c r="D404" s="21" t="s">
        <v>701</v>
      </c>
      <c r="E404" s="21" t="s">
        <v>46</v>
      </c>
      <c r="F404" s="5812">
        <v>1</v>
      </c>
      <c r="G404" s="5813">
        <v>0.14861111111111111</v>
      </c>
      <c r="H404" s="21" t="s">
        <v>10</v>
      </c>
      <c r="I404" s="21" t="s">
        <v>23</v>
      </c>
      <c r="J404" s="21" t="s">
        <v>722</v>
      </c>
      <c r="K404" s="5814" t="s">
        <v>829</v>
      </c>
    </row>
    <row r="405" spans="1:11">
      <c r="A405" s="21" t="s">
        <v>4317</v>
      </c>
      <c r="B405" s="21" t="s">
        <v>8000</v>
      </c>
      <c r="C405" s="21" t="s">
        <v>22</v>
      </c>
      <c r="D405" s="21" t="s">
        <v>701</v>
      </c>
      <c r="E405" s="21" t="s">
        <v>46</v>
      </c>
      <c r="F405" s="5812">
        <v>1</v>
      </c>
      <c r="G405" s="5813">
        <v>0.15069444444444444</v>
      </c>
      <c r="H405" s="21" t="s">
        <v>10</v>
      </c>
      <c r="I405" s="21" t="s">
        <v>6556</v>
      </c>
      <c r="J405" s="21" t="s">
        <v>406</v>
      </c>
      <c r="K405" s="5814" t="s">
        <v>8001</v>
      </c>
    </row>
    <row r="406" spans="1:11">
      <c r="A406" s="21" t="s">
        <v>2941</v>
      </c>
      <c r="B406" s="21" t="s">
        <v>8002</v>
      </c>
      <c r="C406" s="21" t="s">
        <v>22</v>
      </c>
      <c r="D406" s="21" t="s">
        <v>701</v>
      </c>
      <c r="E406" s="21" t="s">
        <v>46</v>
      </c>
      <c r="F406" s="5812">
        <v>1</v>
      </c>
      <c r="G406" s="5813">
        <v>0.15138888888888888</v>
      </c>
      <c r="H406" s="21" t="s">
        <v>10</v>
      </c>
      <c r="I406" s="21" t="s">
        <v>39</v>
      </c>
      <c r="J406" s="21" t="s">
        <v>97</v>
      </c>
      <c r="K406" s="5814" t="s">
        <v>8003</v>
      </c>
    </row>
    <row r="407" spans="1:11">
      <c r="A407" s="21" t="s">
        <v>2854</v>
      </c>
      <c r="B407" s="21" t="s">
        <v>8004</v>
      </c>
      <c r="C407" s="21" t="s">
        <v>22</v>
      </c>
      <c r="D407" s="21" t="s">
        <v>701</v>
      </c>
      <c r="E407" s="21" t="s">
        <v>46</v>
      </c>
      <c r="F407" s="5812">
        <v>1</v>
      </c>
      <c r="G407" s="5813">
        <v>0.15416666666666667</v>
      </c>
      <c r="H407" s="21" t="s">
        <v>10</v>
      </c>
      <c r="I407" s="21" t="s">
        <v>2247</v>
      </c>
      <c r="J407" s="21" t="s">
        <v>48</v>
      </c>
      <c r="K407" s="5814" t="s">
        <v>8005</v>
      </c>
    </row>
    <row r="408" spans="1:11">
      <c r="A408" s="21" t="s">
        <v>3049</v>
      </c>
      <c r="B408" s="21" t="s">
        <v>8006</v>
      </c>
      <c r="C408" s="21" t="s">
        <v>8</v>
      </c>
      <c r="D408" s="21" t="s">
        <v>701</v>
      </c>
      <c r="E408" s="21" t="s">
        <v>46</v>
      </c>
      <c r="F408" s="5812">
        <v>1</v>
      </c>
      <c r="G408" s="5813">
        <v>0.15555555555555556</v>
      </c>
      <c r="H408" s="21" t="s">
        <v>10</v>
      </c>
      <c r="I408" s="21"/>
      <c r="J408" s="21" t="s">
        <v>48</v>
      </c>
      <c r="K408" s="5814" t="s">
        <v>8007</v>
      </c>
    </row>
    <row r="409" spans="1:11">
      <c r="A409" s="21" t="s">
        <v>3946</v>
      </c>
      <c r="B409" s="21" t="s">
        <v>8008</v>
      </c>
      <c r="C409" s="21" t="s">
        <v>22</v>
      </c>
      <c r="D409" s="21" t="s">
        <v>701</v>
      </c>
      <c r="E409" s="21" t="s">
        <v>46</v>
      </c>
      <c r="F409" s="5812">
        <v>1</v>
      </c>
      <c r="G409" s="5813">
        <v>0.15763888888888888</v>
      </c>
      <c r="H409" s="21" t="s">
        <v>10</v>
      </c>
      <c r="I409" s="21" t="s">
        <v>55</v>
      </c>
      <c r="J409" s="21" t="s">
        <v>518</v>
      </c>
      <c r="K409" s="5814" t="s">
        <v>8009</v>
      </c>
    </row>
    <row r="410" spans="1:11">
      <c r="A410" s="21" t="s">
        <v>2387</v>
      </c>
      <c r="B410" s="21" t="s">
        <v>8010</v>
      </c>
      <c r="C410" s="21" t="s">
        <v>8</v>
      </c>
      <c r="D410" s="21" t="s">
        <v>701</v>
      </c>
      <c r="E410" s="21" t="s">
        <v>46</v>
      </c>
      <c r="F410" s="5812">
        <v>1</v>
      </c>
      <c r="G410" s="5813">
        <v>0.15902777777777777</v>
      </c>
      <c r="H410" s="21" t="s">
        <v>10</v>
      </c>
      <c r="I410" s="21" t="s">
        <v>23</v>
      </c>
      <c r="J410" s="21" t="s">
        <v>48</v>
      </c>
      <c r="K410" s="5814" t="s">
        <v>8011</v>
      </c>
    </row>
    <row r="411" spans="1:11">
      <c r="A411" s="21" t="s">
        <v>2655</v>
      </c>
      <c r="B411" s="21" t="s">
        <v>8012</v>
      </c>
      <c r="C411" s="21" t="s">
        <v>8</v>
      </c>
      <c r="D411" s="21" t="s">
        <v>701</v>
      </c>
      <c r="E411" s="21" t="s">
        <v>46</v>
      </c>
      <c r="F411" s="5812">
        <v>1</v>
      </c>
      <c r="G411" s="5813">
        <v>0.16180555555555556</v>
      </c>
      <c r="H411" s="21" t="s">
        <v>10</v>
      </c>
      <c r="I411" s="21" t="s">
        <v>55</v>
      </c>
      <c r="J411" s="21" t="s">
        <v>48</v>
      </c>
      <c r="K411" s="5814" t="s">
        <v>8013</v>
      </c>
    </row>
    <row r="412" spans="1:11">
      <c r="A412" s="21" t="s">
        <v>2772</v>
      </c>
      <c r="B412" s="21" t="s">
        <v>8014</v>
      </c>
      <c r="C412" s="21" t="s">
        <v>22</v>
      </c>
      <c r="D412" s="21" t="s">
        <v>701</v>
      </c>
      <c r="E412" s="21" t="s">
        <v>46</v>
      </c>
      <c r="F412" s="5812">
        <v>1</v>
      </c>
      <c r="G412" s="5813">
        <v>0.16458333333333333</v>
      </c>
      <c r="H412" s="21" t="s">
        <v>10</v>
      </c>
      <c r="I412" s="21" t="s">
        <v>2731</v>
      </c>
      <c r="J412" s="21" t="s">
        <v>8015</v>
      </c>
      <c r="K412" s="5814" t="s">
        <v>8016</v>
      </c>
    </row>
    <row r="413" spans="1:11">
      <c r="A413" s="21" t="s">
        <v>3855</v>
      </c>
      <c r="B413" s="21" t="s">
        <v>8017</v>
      </c>
      <c r="C413" s="21" t="s">
        <v>22</v>
      </c>
      <c r="D413" s="21" t="s">
        <v>701</v>
      </c>
      <c r="E413" s="21" t="s">
        <v>46</v>
      </c>
      <c r="F413" s="5812">
        <v>1</v>
      </c>
      <c r="G413" s="5813">
        <v>0.1701388888888889</v>
      </c>
      <c r="H413" s="21" t="s">
        <v>10</v>
      </c>
      <c r="I413" s="21" t="s">
        <v>23</v>
      </c>
      <c r="J413" s="21" t="s">
        <v>417</v>
      </c>
      <c r="K413" s="5814" t="s">
        <v>8018</v>
      </c>
    </row>
    <row r="414" spans="1:11">
      <c r="A414" s="21" t="s">
        <v>4047</v>
      </c>
      <c r="B414" s="21" t="s">
        <v>8019</v>
      </c>
      <c r="C414" s="21" t="s">
        <v>22</v>
      </c>
      <c r="D414" s="21" t="s">
        <v>701</v>
      </c>
      <c r="E414" s="21" t="s">
        <v>46</v>
      </c>
      <c r="F414" s="5812">
        <v>1</v>
      </c>
      <c r="G414" s="5813">
        <v>0.1701388888888889</v>
      </c>
      <c r="H414" s="21" t="s">
        <v>10</v>
      </c>
      <c r="I414" s="21" t="s">
        <v>23</v>
      </c>
      <c r="J414" s="21" t="s">
        <v>48</v>
      </c>
      <c r="K414" s="5814" t="s">
        <v>8020</v>
      </c>
    </row>
    <row r="415" spans="1:11">
      <c r="A415" s="21" t="s">
        <v>3119</v>
      </c>
      <c r="B415" s="21" t="s">
        <v>8021</v>
      </c>
      <c r="C415" s="21" t="s">
        <v>8</v>
      </c>
      <c r="D415" s="21" t="s">
        <v>701</v>
      </c>
      <c r="E415" s="21" t="s">
        <v>46</v>
      </c>
      <c r="F415" s="5812">
        <v>1</v>
      </c>
      <c r="G415" s="5813">
        <v>0.17083333333333334</v>
      </c>
      <c r="H415" s="21" t="s">
        <v>10</v>
      </c>
      <c r="I415" s="21"/>
      <c r="J415" s="21" t="s">
        <v>6670</v>
      </c>
      <c r="K415" s="5814" t="s">
        <v>8022</v>
      </c>
    </row>
    <row r="416" spans="1:11">
      <c r="A416" s="21" t="s">
        <v>4379</v>
      </c>
      <c r="B416" s="21" t="s">
        <v>8023</v>
      </c>
      <c r="C416" s="21" t="s">
        <v>22</v>
      </c>
      <c r="D416" s="21" t="s">
        <v>701</v>
      </c>
      <c r="E416" s="21" t="s">
        <v>46</v>
      </c>
      <c r="F416" s="5812">
        <v>1</v>
      </c>
      <c r="G416" s="5813">
        <v>0.17083333333333334</v>
      </c>
      <c r="H416" s="21" t="s">
        <v>10</v>
      </c>
      <c r="I416" s="21" t="s">
        <v>96</v>
      </c>
      <c r="J416" s="21" t="s">
        <v>258</v>
      </c>
      <c r="K416" s="5814" t="s">
        <v>8024</v>
      </c>
    </row>
    <row r="417" spans="1:11">
      <c r="A417" s="21" t="s">
        <v>3872</v>
      </c>
      <c r="B417" s="21" t="s">
        <v>8025</v>
      </c>
      <c r="C417" s="21" t="s">
        <v>22</v>
      </c>
      <c r="D417" s="21" t="s">
        <v>701</v>
      </c>
      <c r="E417" s="21" t="s">
        <v>46</v>
      </c>
      <c r="F417" s="5812">
        <v>1</v>
      </c>
      <c r="G417" s="5813">
        <v>0.17222222222222222</v>
      </c>
      <c r="H417" s="21" t="s">
        <v>10</v>
      </c>
      <c r="I417" s="21" t="s">
        <v>55</v>
      </c>
      <c r="J417" s="21" t="s">
        <v>48</v>
      </c>
      <c r="K417" s="5814" t="s">
        <v>8026</v>
      </c>
    </row>
    <row r="418" spans="1:11">
      <c r="A418" s="21" t="s">
        <v>2947</v>
      </c>
      <c r="B418" s="21" t="s">
        <v>8027</v>
      </c>
      <c r="C418" s="21" t="s">
        <v>8</v>
      </c>
      <c r="D418" s="21" t="s">
        <v>701</v>
      </c>
      <c r="E418" s="21" t="s">
        <v>46</v>
      </c>
      <c r="F418" s="5812">
        <v>1</v>
      </c>
      <c r="G418" s="5813">
        <v>0.1736111111111111</v>
      </c>
      <c r="H418" s="21" t="s">
        <v>10</v>
      </c>
      <c r="I418" s="21" t="s">
        <v>96</v>
      </c>
      <c r="J418" s="21" t="s">
        <v>127</v>
      </c>
      <c r="K418" s="5814" t="s">
        <v>8028</v>
      </c>
    </row>
    <row r="419" spans="1:11">
      <c r="A419" s="21" t="s">
        <v>2169</v>
      </c>
      <c r="B419" s="21" t="s">
        <v>8029</v>
      </c>
      <c r="C419" s="21" t="s">
        <v>22</v>
      </c>
      <c r="D419" s="21" t="s">
        <v>701</v>
      </c>
      <c r="E419" s="21" t="s">
        <v>46</v>
      </c>
      <c r="F419" s="5812">
        <v>1</v>
      </c>
      <c r="G419" s="5813">
        <v>0.17708333333333334</v>
      </c>
      <c r="H419" s="21" t="s">
        <v>10</v>
      </c>
      <c r="I419" s="21" t="s">
        <v>96</v>
      </c>
      <c r="J419" s="21" t="s">
        <v>48</v>
      </c>
      <c r="K419" s="5814" t="s">
        <v>8030</v>
      </c>
    </row>
    <row r="420" spans="1:11">
      <c r="A420" s="21" t="s">
        <v>4383</v>
      </c>
      <c r="B420" s="21" t="s">
        <v>8031</v>
      </c>
      <c r="C420" s="21" t="s">
        <v>8</v>
      </c>
      <c r="D420" s="21" t="s">
        <v>701</v>
      </c>
      <c r="E420" s="21" t="s">
        <v>46</v>
      </c>
      <c r="F420" s="5812">
        <v>1</v>
      </c>
      <c r="G420" s="5813">
        <v>0.17777777777777778</v>
      </c>
      <c r="H420" s="21" t="s">
        <v>10</v>
      </c>
      <c r="I420" s="21" t="s">
        <v>89</v>
      </c>
      <c r="J420" s="21" t="s">
        <v>406</v>
      </c>
      <c r="K420" s="5814" t="s">
        <v>8032</v>
      </c>
    </row>
    <row r="421" spans="1:11">
      <c r="A421" s="21" t="s">
        <v>2165</v>
      </c>
      <c r="B421" s="21" t="s">
        <v>8033</v>
      </c>
      <c r="C421" s="21" t="s">
        <v>22</v>
      </c>
      <c r="D421" s="21" t="s">
        <v>701</v>
      </c>
      <c r="E421" s="21" t="s">
        <v>46</v>
      </c>
      <c r="F421" s="5812">
        <v>1</v>
      </c>
      <c r="G421" s="5813">
        <v>0.17916666666666667</v>
      </c>
      <c r="H421" s="21" t="s">
        <v>54</v>
      </c>
      <c r="I421" s="21" t="s">
        <v>400</v>
      </c>
      <c r="J421" s="21" t="s">
        <v>48</v>
      </c>
      <c r="K421" s="5814" t="s">
        <v>8034</v>
      </c>
    </row>
    <row r="422" spans="1:11">
      <c r="A422" s="21" t="s">
        <v>2478</v>
      </c>
      <c r="B422" s="21" t="s">
        <v>8035</v>
      </c>
      <c r="C422" s="21" t="s">
        <v>8</v>
      </c>
      <c r="D422" s="21" t="s">
        <v>701</v>
      </c>
      <c r="E422" s="21" t="s">
        <v>46</v>
      </c>
      <c r="F422" s="5812">
        <v>1</v>
      </c>
      <c r="G422" s="5813">
        <v>0.18402777777777779</v>
      </c>
      <c r="H422" s="21" t="s">
        <v>10</v>
      </c>
      <c r="I422" s="21" t="s">
        <v>39</v>
      </c>
      <c r="J422" s="21" t="s">
        <v>97</v>
      </c>
      <c r="K422" s="5814" t="s">
        <v>8036</v>
      </c>
    </row>
    <row r="423" spans="1:11">
      <c r="A423" s="21" t="s">
        <v>4863</v>
      </c>
      <c r="B423" s="21" t="s">
        <v>8037</v>
      </c>
      <c r="C423" s="21" t="s">
        <v>8</v>
      </c>
      <c r="D423" s="21" t="s">
        <v>701</v>
      </c>
      <c r="E423" s="21" t="s">
        <v>46</v>
      </c>
      <c r="F423" s="5812">
        <v>1</v>
      </c>
      <c r="G423" s="5813">
        <v>0.18611111111111112</v>
      </c>
      <c r="H423" s="21" t="s">
        <v>10</v>
      </c>
      <c r="I423" s="21" t="s">
        <v>2260</v>
      </c>
      <c r="J423" s="21" t="s">
        <v>1076</v>
      </c>
      <c r="K423" s="5814" t="s">
        <v>8038</v>
      </c>
    </row>
    <row r="424" spans="1:11">
      <c r="A424" s="21" t="s">
        <v>4396</v>
      </c>
      <c r="B424" s="21" t="s">
        <v>8039</v>
      </c>
      <c r="C424" s="21" t="s">
        <v>8</v>
      </c>
      <c r="D424" s="21" t="s">
        <v>701</v>
      </c>
      <c r="E424" s="21" t="s">
        <v>46</v>
      </c>
      <c r="F424" s="5812">
        <v>1</v>
      </c>
      <c r="G424" s="5813">
        <v>0.18819444444444444</v>
      </c>
      <c r="H424" s="21" t="s">
        <v>10</v>
      </c>
      <c r="I424" s="21" t="s">
        <v>2872</v>
      </c>
      <c r="J424" s="21" t="s">
        <v>258</v>
      </c>
      <c r="K424" s="5814" t="s">
        <v>8040</v>
      </c>
    </row>
    <row r="425" spans="1:11">
      <c r="A425" s="21" t="s">
        <v>31</v>
      </c>
      <c r="B425" s="21" t="s">
        <v>860</v>
      </c>
      <c r="C425" s="21" t="s">
        <v>8</v>
      </c>
      <c r="D425" s="21" t="s">
        <v>701</v>
      </c>
      <c r="E425" s="21" t="s">
        <v>46</v>
      </c>
      <c r="F425" s="5812">
        <v>1</v>
      </c>
      <c r="G425" s="5813">
        <v>0.19166666666666668</v>
      </c>
      <c r="H425" s="21" t="s">
        <v>10</v>
      </c>
      <c r="I425" s="21" t="s">
        <v>11</v>
      </c>
      <c r="J425" s="21" t="s">
        <v>861</v>
      </c>
      <c r="K425" s="5814" t="s">
        <v>862</v>
      </c>
    </row>
    <row r="426" spans="1:11">
      <c r="A426" s="21" t="s">
        <v>2135</v>
      </c>
      <c r="B426" s="21" t="s">
        <v>8041</v>
      </c>
      <c r="C426" s="21" t="s">
        <v>8</v>
      </c>
      <c r="D426" s="21" t="s">
        <v>701</v>
      </c>
      <c r="E426" s="21" t="s">
        <v>46</v>
      </c>
      <c r="F426" s="5812">
        <v>1</v>
      </c>
      <c r="G426" s="5813">
        <v>0.19305555555555556</v>
      </c>
      <c r="H426" s="21" t="s">
        <v>10</v>
      </c>
      <c r="I426" s="21" t="s">
        <v>55</v>
      </c>
      <c r="J426" s="21" t="s">
        <v>3132</v>
      </c>
      <c r="K426" s="5814" t="s">
        <v>8042</v>
      </c>
    </row>
    <row r="427" spans="1:11">
      <c r="A427" s="21" t="s">
        <v>87</v>
      </c>
      <c r="B427" s="21" t="s">
        <v>800</v>
      </c>
      <c r="C427" s="21" t="s">
        <v>8</v>
      </c>
      <c r="D427" s="21" t="s">
        <v>701</v>
      </c>
      <c r="E427" s="21" t="s">
        <v>46</v>
      </c>
      <c r="F427" s="5812">
        <v>1</v>
      </c>
      <c r="G427" s="5813">
        <v>0.19583333333333333</v>
      </c>
      <c r="H427" s="21" t="s">
        <v>10</v>
      </c>
      <c r="I427" s="21" t="s">
        <v>233</v>
      </c>
      <c r="J427" s="21" t="s">
        <v>97</v>
      </c>
      <c r="K427" s="5814" t="s">
        <v>801</v>
      </c>
    </row>
    <row r="428" spans="1:11">
      <c r="A428" s="21" t="s">
        <v>223</v>
      </c>
      <c r="B428" s="21" t="s">
        <v>932</v>
      </c>
      <c r="C428" s="21" t="s">
        <v>8</v>
      </c>
      <c r="D428" s="21" t="s">
        <v>701</v>
      </c>
      <c r="E428" s="21" t="s">
        <v>46</v>
      </c>
      <c r="F428" s="5812">
        <v>1</v>
      </c>
      <c r="G428" s="5813">
        <v>0.19583333333333333</v>
      </c>
      <c r="H428" s="21" t="s">
        <v>10</v>
      </c>
      <c r="I428" s="21" t="s">
        <v>47</v>
      </c>
      <c r="J428" s="21" t="s">
        <v>406</v>
      </c>
      <c r="K428" s="5814" t="s">
        <v>933</v>
      </c>
    </row>
    <row r="429" spans="1:11">
      <c r="A429" s="21" t="s">
        <v>2792</v>
      </c>
      <c r="B429" s="21" t="s">
        <v>8043</v>
      </c>
      <c r="C429" s="21" t="s">
        <v>8</v>
      </c>
      <c r="D429" s="21" t="s">
        <v>701</v>
      </c>
      <c r="E429" s="21" t="s">
        <v>46</v>
      </c>
      <c r="F429" s="5812">
        <v>1</v>
      </c>
      <c r="G429" s="5813">
        <v>0.19722222222222222</v>
      </c>
      <c r="H429" s="21" t="s">
        <v>10</v>
      </c>
      <c r="I429" s="21" t="s">
        <v>8044</v>
      </c>
      <c r="J429" s="21" t="s">
        <v>4652</v>
      </c>
      <c r="K429" s="5814" t="s">
        <v>8045</v>
      </c>
    </row>
    <row r="430" spans="1:11">
      <c r="A430" s="21" t="s">
        <v>3765</v>
      </c>
      <c r="B430" s="21" t="s">
        <v>8046</v>
      </c>
      <c r="C430" s="21" t="s">
        <v>22</v>
      </c>
      <c r="D430" s="21" t="s">
        <v>701</v>
      </c>
      <c r="E430" s="21" t="s">
        <v>46</v>
      </c>
      <c r="F430" s="5812">
        <v>1</v>
      </c>
      <c r="G430" s="5813">
        <v>0.1986111111111111</v>
      </c>
      <c r="H430" s="21" t="s">
        <v>10</v>
      </c>
      <c r="I430" s="21" t="s">
        <v>8047</v>
      </c>
      <c r="J430" s="21" t="s">
        <v>258</v>
      </c>
      <c r="K430" s="5814" t="s">
        <v>8048</v>
      </c>
    </row>
    <row r="431" spans="1:11">
      <c r="A431" s="21" t="s">
        <v>3474</v>
      </c>
      <c r="B431" s="21" t="s">
        <v>8049</v>
      </c>
      <c r="C431" s="21" t="s">
        <v>22</v>
      </c>
      <c r="D431" s="21" t="s">
        <v>701</v>
      </c>
      <c r="E431" s="21" t="s">
        <v>46</v>
      </c>
      <c r="F431" s="5812">
        <v>1</v>
      </c>
      <c r="G431" s="5813">
        <v>0.2076388888888889</v>
      </c>
      <c r="H431" s="21" t="s">
        <v>10</v>
      </c>
      <c r="I431" s="21" t="s">
        <v>73</v>
      </c>
      <c r="J431" s="21" t="s">
        <v>48</v>
      </c>
      <c r="K431" s="5814" t="s">
        <v>8050</v>
      </c>
    </row>
    <row r="432" spans="1:11">
      <c r="A432" s="21" t="s">
        <v>2974</v>
      </c>
      <c r="B432" s="21" t="s">
        <v>8051</v>
      </c>
      <c r="C432" s="21" t="s">
        <v>8</v>
      </c>
      <c r="D432" s="21" t="s">
        <v>701</v>
      </c>
      <c r="E432" s="21" t="s">
        <v>46</v>
      </c>
      <c r="F432" s="5812">
        <v>2</v>
      </c>
      <c r="G432" s="5813">
        <v>9.7222222222222224E-3</v>
      </c>
      <c r="H432" s="21" t="s">
        <v>10</v>
      </c>
      <c r="I432" s="21" t="s">
        <v>39</v>
      </c>
      <c r="J432" s="21" t="s">
        <v>48</v>
      </c>
      <c r="K432" s="5814" t="s">
        <v>8052</v>
      </c>
    </row>
    <row r="433" spans="1:11">
      <c r="A433" s="21" t="s">
        <v>2675</v>
      </c>
      <c r="B433" s="21" t="s">
        <v>8053</v>
      </c>
      <c r="C433" s="21" t="s">
        <v>22</v>
      </c>
      <c r="D433" s="21" t="s">
        <v>701</v>
      </c>
      <c r="E433" s="21" t="s">
        <v>46</v>
      </c>
      <c r="F433" s="5812">
        <v>2</v>
      </c>
      <c r="G433" s="5813">
        <v>9.7222222222222224E-3</v>
      </c>
      <c r="H433" s="21" t="s">
        <v>10</v>
      </c>
      <c r="I433" s="21" t="s">
        <v>7529</v>
      </c>
      <c r="J433" s="21" t="s">
        <v>3127</v>
      </c>
      <c r="K433" s="5814" t="s">
        <v>8054</v>
      </c>
    </row>
    <row r="434" spans="1:11">
      <c r="A434" s="21" t="s">
        <v>3033</v>
      </c>
      <c r="B434" s="21" t="s">
        <v>8055</v>
      </c>
      <c r="C434" s="21" t="s">
        <v>8</v>
      </c>
      <c r="D434" s="21" t="s">
        <v>701</v>
      </c>
      <c r="E434" s="21" t="s">
        <v>46</v>
      </c>
      <c r="F434" s="5812">
        <v>2</v>
      </c>
      <c r="G434" s="5813">
        <v>1.1111111111111112E-2</v>
      </c>
      <c r="H434" s="21" t="s">
        <v>10</v>
      </c>
      <c r="I434" s="21" t="s">
        <v>96</v>
      </c>
      <c r="J434" s="21" t="s">
        <v>48</v>
      </c>
      <c r="K434" s="5814" t="s">
        <v>8056</v>
      </c>
    </row>
    <row r="435" spans="1:11">
      <c r="A435" s="21" t="s">
        <v>2428</v>
      </c>
      <c r="B435" s="21" t="s">
        <v>8057</v>
      </c>
      <c r="C435" s="21" t="s">
        <v>8</v>
      </c>
      <c r="D435" s="21" t="s">
        <v>701</v>
      </c>
      <c r="E435" s="21" t="s">
        <v>46</v>
      </c>
      <c r="F435" s="5812">
        <v>2</v>
      </c>
      <c r="G435" s="5813">
        <v>1.1805555555555555E-2</v>
      </c>
      <c r="H435" s="21" t="s">
        <v>10</v>
      </c>
      <c r="I435" s="21" t="s">
        <v>96</v>
      </c>
      <c r="J435" s="21" t="s">
        <v>8058</v>
      </c>
      <c r="K435" s="5814" t="s">
        <v>8059</v>
      </c>
    </row>
    <row r="436" spans="1:11">
      <c r="A436" s="21" t="s">
        <v>2929</v>
      </c>
      <c r="B436" s="21" t="s">
        <v>8060</v>
      </c>
      <c r="C436" s="21" t="s">
        <v>8</v>
      </c>
      <c r="D436" s="21" t="s">
        <v>701</v>
      </c>
      <c r="E436" s="21" t="s">
        <v>46</v>
      </c>
      <c r="F436" s="5812">
        <v>2</v>
      </c>
      <c r="G436" s="5813">
        <v>2.2916666666666665E-2</v>
      </c>
      <c r="H436" s="21" t="s">
        <v>10</v>
      </c>
      <c r="I436" s="21" t="s">
        <v>55</v>
      </c>
      <c r="J436" s="21" t="s">
        <v>97</v>
      </c>
      <c r="K436" s="5814" t="s">
        <v>8061</v>
      </c>
    </row>
    <row r="437" spans="1:11">
      <c r="A437" s="21" t="s">
        <v>5387</v>
      </c>
      <c r="B437" s="21" t="s">
        <v>8062</v>
      </c>
      <c r="C437" s="21" t="s">
        <v>22</v>
      </c>
      <c r="D437" s="21" t="s">
        <v>701</v>
      </c>
      <c r="E437" s="21" t="s">
        <v>46</v>
      </c>
      <c r="F437" s="5812">
        <v>2</v>
      </c>
      <c r="G437" s="5813">
        <v>2.5000000000000001E-2</v>
      </c>
      <c r="H437" s="21" t="s">
        <v>10</v>
      </c>
      <c r="I437" s="21" t="s">
        <v>11</v>
      </c>
      <c r="J437" s="21" t="s">
        <v>48</v>
      </c>
      <c r="K437" s="5814" t="s">
        <v>8063</v>
      </c>
    </row>
    <row r="438" spans="1:11">
      <c r="A438" s="21" t="s">
        <v>3551</v>
      </c>
      <c r="B438" s="21" t="s">
        <v>8064</v>
      </c>
      <c r="C438" s="21" t="s">
        <v>8</v>
      </c>
      <c r="D438" s="21" t="s">
        <v>701</v>
      </c>
      <c r="E438" s="21" t="s">
        <v>46</v>
      </c>
      <c r="F438" s="5812">
        <v>2</v>
      </c>
      <c r="G438" s="5813">
        <v>3.1944444444444442E-2</v>
      </c>
      <c r="H438" s="21" t="s">
        <v>10</v>
      </c>
      <c r="I438" s="21" t="s">
        <v>55</v>
      </c>
      <c r="J438" s="21" t="s">
        <v>48</v>
      </c>
      <c r="K438" s="5814" t="s">
        <v>8065</v>
      </c>
    </row>
    <row r="439" spans="1:11">
      <c r="A439" s="21" t="s">
        <v>2724</v>
      </c>
      <c r="B439" s="21" t="s">
        <v>8066</v>
      </c>
      <c r="C439" s="21" t="s">
        <v>8</v>
      </c>
      <c r="D439" s="21" t="s">
        <v>701</v>
      </c>
      <c r="E439" s="21" t="s">
        <v>46</v>
      </c>
      <c r="F439" s="5812">
        <v>2</v>
      </c>
      <c r="G439" s="5813">
        <v>4.0972222222222222E-2</v>
      </c>
      <c r="H439" s="21" t="s">
        <v>10</v>
      </c>
      <c r="I439" s="21" t="s">
        <v>3138</v>
      </c>
      <c r="J439" s="21" t="s">
        <v>406</v>
      </c>
      <c r="K439" s="5814" t="s">
        <v>8067</v>
      </c>
    </row>
    <row r="440" spans="1:11">
      <c r="A440" s="21" t="s">
        <v>5015</v>
      </c>
      <c r="B440" s="21" t="s">
        <v>8068</v>
      </c>
      <c r="C440" s="21" t="s">
        <v>22</v>
      </c>
      <c r="D440" s="21" t="s">
        <v>701</v>
      </c>
      <c r="E440" s="21" t="s">
        <v>46</v>
      </c>
      <c r="F440" s="5812">
        <v>2</v>
      </c>
      <c r="G440" s="5813">
        <v>4.1666666666666664E-2</v>
      </c>
      <c r="H440" s="21" t="s">
        <v>54</v>
      </c>
      <c r="I440" s="21" t="s">
        <v>55</v>
      </c>
      <c r="J440" s="21" t="s">
        <v>722</v>
      </c>
      <c r="K440" s="5814" t="s">
        <v>8069</v>
      </c>
    </row>
    <row r="441" spans="1:11">
      <c r="A441" s="21" t="s">
        <v>2979</v>
      </c>
      <c r="B441" s="21" t="s">
        <v>8070</v>
      </c>
      <c r="C441" s="21" t="s">
        <v>8</v>
      </c>
      <c r="D441" s="21" t="s">
        <v>701</v>
      </c>
      <c r="E441" s="21" t="s">
        <v>46</v>
      </c>
      <c r="F441" s="5812">
        <v>2</v>
      </c>
      <c r="G441" s="5813">
        <v>4.1666666666666664E-2</v>
      </c>
      <c r="H441" s="21" t="s">
        <v>10</v>
      </c>
      <c r="I441" s="21" t="s">
        <v>96</v>
      </c>
      <c r="J441" s="21" t="s">
        <v>48</v>
      </c>
      <c r="K441" s="5814" t="s">
        <v>8071</v>
      </c>
    </row>
    <row r="442" spans="1:11">
      <c r="A442" s="21" t="s">
        <v>52</v>
      </c>
      <c r="B442" s="21" t="s">
        <v>906</v>
      </c>
      <c r="C442" s="21" t="s">
        <v>8</v>
      </c>
      <c r="D442" s="21" t="s">
        <v>701</v>
      </c>
      <c r="E442" s="21" t="s">
        <v>46</v>
      </c>
      <c r="F442" s="5812">
        <v>2</v>
      </c>
      <c r="G442" s="5813">
        <v>4.2361111111111113E-2</v>
      </c>
      <c r="H442" s="21" t="s">
        <v>10</v>
      </c>
      <c r="I442" s="21" t="s">
        <v>23</v>
      </c>
      <c r="J442" s="21" t="s">
        <v>907</v>
      </c>
      <c r="K442" s="5814" t="s">
        <v>908</v>
      </c>
    </row>
    <row r="443" spans="1:11">
      <c r="A443" s="21" t="s">
        <v>2438</v>
      </c>
      <c r="B443" s="21" t="s">
        <v>8072</v>
      </c>
      <c r="C443" s="21" t="s">
        <v>22</v>
      </c>
      <c r="D443" s="21" t="s">
        <v>701</v>
      </c>
      <c r="E443" s="21" t="s">
        <v>46</v>
      </c>
      <c r="F443" s="5812">
        <v>2</v>
      </c>
      <c r="G443" s="5813">
        <v>4.6527777777777779E-2</v>
      </c>
      <c r="H443" s="21" t="s">
        <v>10</v>
      </c>
      <c r="I443" s="21" t="s">
        <v>47</v>
      </c>
      <c r="J443" s="21" t="s">
        <v>48</v>
      </c>
      <c r="K443" s="5814" t="s">
        <v>8073</v>
      </c>
    </row>
    <row r="444" spans="1:11">
      <c r="A444" s="21" t="s">
        <v>5148</v>
      </c>
      <c r="B444" s="21" t="s">
        <v>8074</v>
      </c>
      <c r="C444" s="21" t="s">
        <v>22</v>
      </c>
      <c r="D444" s="21" t="s">
        <v>701</v>
      </c>
      <c r="E444" s="21" t="s">
        <v>46</v>
      </c>
      <c r="F444" s="5812">
        <v>2</v>
      </c>
      <c r="G444" s="5813">
        <v>5.486111111111111E-2</v>
      </c>
      <c r="H444" s="21" t="s">
        <v>10</v>
      </c>
      <c r="I444" s="21" t="s">
        <v>226</v>
      </c>
      <c r="J444" s="21" t="s">
        <v>722</v>
      </c>
      <c r="K444" s="5814" t="s">
        <v>8075</v>
      </c>
    </row>
    <row r="445" spans="1:11">
      <c r="A445" s="21" t="s">
        <v>2119</v>
      </c>
      <c r="B445" s="21" t="s">
        <v>8076</v>
      </c>
      <c r="C445" s="21" t="s">
        <v>22</v>
      </c>
      <c r="D445" s="21" t="s">
        <v>701</v>
      </c>
      <c r="E445" s="21" t="s">
        <v>46</v>
      </c>
      <c r="F445" s="5812">
        <v>2</v>
      </c>
      <c r="G445" s="5813">
        <v>5.6944444444444443E-2</v>
      </c>
      <c r="H445" s="21" t="s">
        <v>10</v>
      </c>
      <c r="I445" s="21" t="s">
        <v>96</v>
      </c>
      <c r="J445" s="21" t="s">
        <v>127</v>
      </c>
      <c r="K445" s="5814" t="s">
        <v>8077</v>
      </c>
    </row>
    <row r="446" spans="1:11">
      <c r="A446" s="21" t="s">
        <v>2668</v>
      </c>
      <c r="B446" s="21" t="s">
        <v>8078</v>
      </c>
      <c r="C446" s="21" t="s">
        <v>8</v>
      </c>
      <c r="D446" s="21" t="s">
        <v>701</v>
      </c>
      <c r="E446" s="21" t="s">
        <v>46</v>
      </c>
      <c r="F446" s="5812">
        <v>2</v>
      </c>
      <c r="G446" s="5813">
        <v>5.7638888888888892E-2</v>
      </c>
      <c r="H446" s="21" t="s">
        <v>10</v>
      </c>
      <c r="I446" s="21" t="s">
        <v>8079</v>
      </c>
      <c r="J446" s="21" t="s">
        <v>430</v>
      </c>
      <c r="K446" s="5814" t="s">
        <v>8080</v>
      </c>
    </row>
    <row r="447" spans="1:11">
      <c r="A447" s="21" t="s">
        <v>3828</v>
      </c>
      <c r="B447" s="21" t="s">
        <v>8081</v>
      </c>
      <c r="C447" s="21" t="s">
        <v>8</v>
      </c>
      <c r="D447" s="21" t="s">
        <v>701</v>
      </c>
      <c r="E447" s="21" t="s">
        <v>46</v>
      </c>
      <c r="F447" s="5812">
        <v>2</v>
      </c>
      <c r="G447" s="5813">
        <v>5.9027777777777776E-2</v>
      </c>
      <c r="H447" s="21" t="s">
        <v>10</v>
      </c>
      <c r="I447" s="21" t="s">
        <v>55</v>
      </c>
      <c r="J447" s="21" t="s">
        <v>97</v>
      </c>
      <c r="K447" s="5814" t="s">
        <v>8082</v>
      </c>
    </row>
    <row r="448" spans="1:11">
      <c r="A448" s="21" t="s">
        <v>2258</v>
      </c>
      <c r="B448" s="21" t="s">
        <v>8083</v>
      </c>
      <c r="C448" s="21" t="s">
        <v>8</v>
      </c>
      <c r="D448" s="21" t="s">
        <v>701</v>
      </c>
      <c r="E448" s="21" t="s">
        <v>46</v>
      </c>
      <c r="F448" s="5812">
        <v>2</v>
      </c>
      <c r="G448" s="5813">
        <v>5.9722222222222225E-2</v>
      </c>
      <c r="H448" s="21" t="s">
        <v>10</v>
      </c>
      <c r="I448" s="21" t="s">
        <v>2260</v>
      </c>
      <c r="J448" s="21" t="s">
        <v>48</v>
      </c>
      <c r="K448" s="5814" t="s">
        <v>8084</v>
      </c>
    </row>
    <row r="449" spans="1:11">
      <c r="A449" s="21" t="s">
        <v>3098</v>
      </c>
      <c r="B449" s="21" t="s">
        <v>8085</v>
      </c>
      <c r="C449" s="21" t="s">
        <v>8</v>
      </c>
      <c r="D449" s="21" t="s">
        <v>701</v>
      </c>
      <c r="E449" s="21" t="s">
        <v>46</v>
      </c>
      <c r="F449" s="5812">
        <v>2</v>
      </c>
      <c r="G449" s="5813">
        <v>6.25E-2</v>
      </c>
      <c r="H449" s="21" t="s">
        <v>10</v>
      </c>
      <c r="I449" s="21" t="s">
        <v>2523</v>
      </c>
      <c r="J449" s="21" t="s">
        <v>722</v>
      </c>
      <c r="K449" s="5814" t="s">
        <v>8086</v>
      </c>
    </row>
    <row r="450" spans="1:11">
      <c r="A450" s="21" t="s">
        <v>3491</v>
      </c>
      <c r="B450" s="21" t="s">
        <v>8087</v>
      </c>
      <c r="C450" s="21" t="s">
        <v>8</v>
      </c>
      <c r="D450" s="21" t="s">
        <v>701</v>
      </c>
      <c r="E450" s="21" t="s">
        <v>46</v>
      </c>
      <c r="F450" s="5812">
        <v>2</v>
      </c>
      <c r="G450" s="5813">
        <v>7.6388888888888895E-2</v>
      </c>
      <c r="H450" s="21" t="s">
        <v>10</v>
      </c>
      <c r="I450" s="21" t="s">
        <v>55</v>
      </c>
      <c r="J450" s="21" t="s">
        <v>48</v>
      </c>
      <c r="K450" s="5814" t="s">
        <v>8088</v>
      </c>
    </row>
    <row r="451" spans="1:11">
      <c r="A451" s="21" t="s">
        <v>2108</v>
      </c>
      <c r="B451" s="21" t="s">
        <v>8089</v>
      </c>
      <c r="C451" s="21" t="s">
        <v>8</v>
      </c>
      <c r="D451" s="21" t="s">
        <v>701</v>
      </c>
      <c r="E451" s="21" t="s">
        <v>46</v>
      </c>
      <c r="F451" s="5812">
        <v>2</v>
      </c>
      <c r="G451" s="5813">
        <v>7.7083333333333337E-2</v>
      </c>
      <c r="H451" s="21" t="s">
        <v>10</v>
      </c>
      <c r="I451" s="21" t="s">
        <v>23</v>
      </c>
      <c r="J451" s="21" t="s">
        <v>430</v>
      </c>
      <c r="K451" s="5814" t="s">
        <v>8090</v>
      </c>
    </row>
    <row r="452" spans="1:11">
      <c r="A452" s="21" t="s">
        <v>3559</v>
      </c>
      <c r="B452" s="21" t="s">
        <v>8091</v>
      </c>
      <c r="C452" s="21" t="s">
        <v>8</v>
      </c>
      <c r="D452" s="21" t="s">
        <v>701</v>
      </c>
      <c r="E452" s="21" t="s">
        <v>46</v>
      </c>
      <c r="F452" s="5812">
        <v>2</v>
      </c>
      <c r="G452" s="5813">
        <v>8.1250000000000003E-2</v>
      </c>
      <c r="H452" s="21" t="s">
        <v>10</v>
      </c>
      <c r="I452" s="21" t="s">
        <v>23</v>
      </c>
      <c r="J452" s="21" t="s">
        <v>127</v>
      </c>
      <c r="K452" s="5814" t="s">
        <v>8092</v>
      </c>
    </row>
    <row r="453" spans="1:11">
      <c r="A453" s="21" t="s">
        <v>2446</v>
      </c>
      <c r="B453" s="21" t="s">
        <v>8093</v>
      </c>
      <c r="C453" s="21" t="s">
        <v>8</v>
      </c>
      <c r="D453" s="21" t="s">
        <v>701</v>
      </c>
      <c r="E453" s="21" t="s">
        <v>46</v>
      </c>
      <c r="F453" s="5812">
        <v>2</v>
      </c>
      <c r="G453" s="5813">
        <v>8.1944444444444445E-2</v>
      </c>
      <c r="H453" s="21" t="s">
        <v>10</v>
      </c>
      <c r="I453" s="21" t="s">
        <v>11</v>
      </c>
      <c r="J453" s="21" t="s">
        <v>48</v>
      </c>
      <c r="K453" s="5814" t="s">
        <v>8094</v>
      </c>
    </row>
    <row r="454" spans="1:11">
      <c r="A454" s="21" t="s">
        <v>2307</v>
      </c>
      <c r="B454" s="21" t="s">
        <v>8095</v>
      </c>
      <c r="C454" s="21" t="s">
        <v>22</v>
      </c>
      <c r="D454" s="21" t="s">
        <v>701</v>
      </c>
      <c r="E454" s="21" t="s">
        <v>46</v>
      </c>
      <c r="F454" s="5812">
        <v>2</v>
      </c>
      <c r="G454" s="5813">
        <v>8.5416666666666669E-2</v>
      </c>
      <c r="H454" s="21" t="s">
        <v>54</v>
      </c>
      <c r="I454" s="21" t="s">
        <v>55</v>
      </c>
      <c r="J454" s="21" t="s">
        <v>3156</v>
      </c>
      <c r="K454" s="5814" t="s">
        <v>8096</v>
      </c>
    </row>
    <row r="455" spans="1:11">
      <c r="A455" s="21" t="s">
        <v>2647</v>
      </c>
      <c r="B455" s="21" t="s">
        <v>8097</v>
      </c>
      <c r="C455" s="21" t="s">
        <v>8</v>
      </c>
      <c r="D455" s="21" t="s">
        <v>701</v>
      </c>
      <c r="E455" s="21" t="s">
        <v>46</v>
      </c>
      <c r="F455" s="5812">
        <v>2</v>
      </c>
      <c r="G455" s="5813">
        <v>8.5416666666666669E-2</v>
      </c>
      <c r="H455" s="21" t="s">
        <v>10</v>
      </c>
      <c r="I455" s="21" t="s">
        <v>2713</v>
      </c>
      <c r="J455" s="21" t="s">
        <v>258</v>
      </c>
      <c r="K455" s="5814" t="s">
        <v>8098</v>
      </c>
    </row>
    <row r="456" spans="1:11">
      <c r="A456" s="21" t="s">
        <v>4345</v>
      </c>
      <c r="B456" s="21" t="s">
        <v>8099</v>
      </c>
      <c r="C456" s="21" t="s">
        <v>22</v>
      </c>
      <c r="D456" s="21" t="s">
        <v>701</v>
      </c>
      <c r="E456" s="21" t="s">
        <v>46</v>
      </c>
      <c r="F456" s="5812">
        <v>2</v>
      </c>
      <c r="G456" s="5813">
        <v>8.7499999999999994E-2</v>
      </c>
      <c r="H456" s="21" t="s">
        <v>10</v>
      </c>
      <c r="I456" s="21" t="s">
        <v>2660</v>
      </c>
      <c r="J456" s="21" t="s">
        <v>127</v>
      </c>
      <c r="K456" s="5814" t="s">
        <v>8100</v>
      </c>
    </row>
    <row r="457" spans="1:11">
      <c r="A457" s="21" t="s">
        <v>4711</v>
      </c>
      <c r="B457" s="21" t="s">
        <v>8101</v>
      </c>
      <c r="C457" s="21" t="s">
        <v>8</v>
      </c>
      <c r="D457" s="21" t="s">
        <v>701</v>
      </c>
      <c r="E457" s="21" t="s">
        <v>46</v>
      </c>
      <c r="F457" s="5812">
        <v>2</v>
      </c>
      <c r="G457" s="5813">
        <v>9.0972222222222218E-2</v>
      </c>
      <c r="H457" s="21" t="s">
        <v>10</v>
      </c>
      <c r="I457" s="21" t="s">
        <v>194</v>
      </c>
      <c r="J457" s="21" t="s">
        <v>48</v>
      </c>
      <c r="K457" s="5814" t="s">
        <v>8102</v>
      </c>
    </row>
    <row r="458" spans="1:11">
      <c r="A458" s="21" t="s">
        <v>2354</v>
      </c>
      <c r="B458" s="21" t="s">
        <v>8103</v>
      </c>
      <c r="C458" s="21" t="s">
        <v>8</v>
      </c>
      <c r="D458" s="21" t="s">
        <v>701</v>
      </c>
      <c r="E458" s="21" t="s">
        <v>46</v>
      </c>
      <c r="F458" s="5812">
        <v>2</v>
      </c>
      <c r="G458" s="5813">
        <v>9.5138888888888884E-2</v>
      </c>
      <c r="H458" s="21" t="s">
        <v>10</v>
      </c>
      <c r="I458" s="21" t="s">
        <v>233</v>
      </c>
      <c r="J458" s="21" t="s">
        <v>154</v>
      </c>
      <c r="K458" s="5814" t="s">
        <v>8104</v>
      </c>
    </row>
    <row r="459" spans="1:11">
      <c r="A459" s="21" t="s">
        <v>4170</v>
      </c>
      <c r="B459" s="21" t="s">
        <v>8105</v>
      </c>
      <c r="C459" s="21" t="s">
        <v>8</v>
      </c>
      <c r="D459" s="21" t="s">
        <v>701</v>
      </c>
      <c r="E459" s="21" t="s">
        <v>46</v>
      </c>
      <c r="F459" s="5812">
        <v>2</v>
      </c>
      <c r="G459" s="5813">
        <v>9.8611111111111108E-2</v>
      </c>
      <c r="H459" s="21" t="s">
        <v>10</v>
      </c>
      <c r="I459" s="21" t="s">
        <v>3725</v>
      </c>
      <c r="J459" s="21" t="s">
        <v>4586</v>
      </c>
      <c r="K459" s="5814" t="s">
        <v>8106</v>
      </c>
    </row>
    <row r="460" spans="1:11">
      <c r="A460" s="21" t="s">
        <v>135</v>
      </c>
      <c r="B460" s="21" t="s">
        <v>849</v>
      </c>
      <c r="C460" s="21" t="s">
        <v>8</v>
      </c>
      <c r="D460" s="21" t="s">
        <v>701</v>
      </c>
      <c r="E460" s="21" t="s">
        <v>46</v>
      </c>
      <c r="F460" s="5812">
        <v>2</v>
      </c>
      <c r="G460" s="5813">
        <v>0.10555555555555556</v>
      </c>
      <c r="H460" s="21" t="s">
        <v>54</v>
      </c>
      <c r="I460" s="21" t="s">
        <v>89</v>
      </c>
      <c r="J460" s="21" t="s">
        <v>48</v>
      </c>
      <c r="K460" s="5814" t="s">
        <v>850</v>
      </c>
    </row>
    <row r="461" spans="1:11">
      <c r="A461" s="21" t="s">
        <v>3481</v>
      </c>
      <c r="B461" s="21" t="s">
        <v>8107</v>
      </c>
      <c r="C461" s="21" t="s">
        <v>8</v>
      </c>
      <c r="D461" s="21" t="s">
        <v>701</v>
      </c>
      <c r="E461" s="21" t="s">
        <v>46</v>
      </c>
      <c r="F461" s="5812">
        <v>2</v>
      </c>
      <c r="G461" s="5813">
        <v>0.10555555555555556</v>
      </c>
      <c r="H461" s="21" t="s">
        <v>54</v>
      </c>
      <c r="I461" s="21" t="s">
        <v>55</v>
      </c>
      <c r="J461" s="21" t="s">
        <v>97</v>
      </c>
      <c r="K461" s="5814" t="s">
        <v>8108</v>
      </c>
    </row>
    <row r="462" spans="1:11">
      <c r="A462" s="21" t="s">
        <v>3664</v>
      </c>
      <c r="B462" s="21" t="s">
        <v>8109</v>
      </c>
      <c r="C462" s="21" t="s">
        <v>8</v>
      </c>
      <c r="D462" s="21" t="s">
        <v>701</v>
      </c>
      <c r="E462" s="21" t="s">
        <v>46</v>
      </c>
      <c r="F462" s="5812">
        <v>2</v>
      </c>
      <c r="G462" s="5813">
        <v>0.10833333333333334</v>
      </c>
      <c r="H462" s="21" t="s">
        <v>10</v>
      </c>
      <c r="I462" s="21" t="s">
        <v>2435</v>
      </c>
      <c r="J462" s="21" t="s">
        <v>48</v>
      </c>
      <c r="K462" s="5814" t="s">
        <v>8110</v>
      </c>
    </row>
    <row r="463" spans="1:11">
      <c r="A463" s="21" t="s">
        <v>3491</v>
      </c>
      <c r="B463" s="21" t="s">
        <v>8111</v>
      </c>
      <c r="C463" s="21" t="s">
        <v>22</v>
      </c>
      <c r="D463" s="21" t="s">
        <v>701</v>
      </c>
      <c r="E463" s="21" t="s">
        <v>46</v>
      </c>
      <c r="F463" s="5812">
        <v>2</v>
      </c>
      <c r="G463" s="5813">
        <v>0.10902777777777778</v>
      </c>
      <c r="H463" s="21" t="s">
        <v>10</v>
      </c>
      <c r="I463" s="21" t="s">
        <v>96</v>
      </c>
      <c r="J463" s="21" t="s">
        <v>48</v>
      </c>
      <c r="K463" s="5814" t="s">
        <v>8112</v>
      </c>
    </row>
    <row r="464" spans="1:11">
      <c r="A464" s="21" t="s">
        <v>2362</v>
      </c>
      <c r="B464" s="21" t="s">
        <v>8113</v>
      </c>
      <c r="C464" s="21" t="s">
        <v>8</v>
      </c>
      <c r="D464" s="21" t="s">
        <v>701</v>
      </c>
      <c r="E464" s="21" t="s">
        <v>46</v>
      </c>
      <c r="F464" s="5812">
        <v>2</v>
      </c>
      <c r="G464" s="5813">
        <v>0.11458333333333333</v>
      </c>
      <c r="H464" s="21" t="s">
        <v>10</v>
      </c>
      <c r="I464" s="21" t="s">
        <v>11</v>
      </c>
      <c r="J464" s="21" t="s">
        <v>48</v>
      </c>
      <c r="K464" s="5814" t="s">
        <v>8114</v>
      </c>
    </row>
    <row r="465" spans="1:11">
      <c r="A465" s="21" t="s">
        <v>2982</v>
      </c>
      <c r="B465" s="21" t="s">
        <v>8115</v>
      </c>
      <c r="C465" s="21" t="s">
        <v>22</v>
      </c>
      <c r="D465" s="21" t="s">
        <v>701</v>
      </c>
      <c r="E465" s="21" t="s">
        <v>46</v>
      </c>
      <c r="F465" s="5812">
        <v>2</v>
      </c>
      <c r="G465" s="5813">
        <v>0.11874999999999999</v>
      </c>
      <c r="H465" s="21" t="s">
        <v>10</v>
      </c>
      <c r="I465" s="21" t="s">
        <v>226</v>
      </c>
      <c r="J465" s="21" t="s">
        <v>127</v>
      </c>
      <c r="K465" s="5814" t="s">
        <v>8116</v>
      </c>
    </row>
    <row r="466" spans="1:11">
      <c r="A466" s="21" t="s">
        <v>2327</v>
      </c>
      <c r="B466" s="21" t="s">
        <v>8117</v>
      </c>
      <c r="C466" s="21" t="s">
        <v>22</v>
      </c>
      <c r="D466" s="21" t="s">
        <v>701</v>
      </c>
      <c r="E466" s="21" t="s">
        <v>46</v>
      </c>
      <c r="F466" s="5812">
        <v>2</v>
      </c>
      <c r="G466" s="5813">
        <v>0.12430555555555556</v>
      </c>
      <c r="H466" s="21" t="s">
        <v>10</v>
      </c>
      <c r="I466" s="21" t="s">
        <v>55</v>
      </c>
      <c r="J466" s="21" t="s">
        <v>48</v>
      </c>
      <c r="K466" s="5814" t="s">
        <v>8118</v>
      </c>
    </row>
    <row r="467" spans="1:11">
      <c r="A467" s="21" t="s">
        <v>4565</v>
      </c>
      <c r="B467" s="21" t="s">
        <v>8119</v>
      </c>
      <c r="C467" s="21" t="s">
        <v>8</v>
      </c>
      <c r="D467" s="21" t="s">
        <v>701</v>
      </c>
      <c r="E467" s="21" t="s">
        <v>46</v>
      </c>
      <c r="F467" s="5812">
        <v>2</v>
      </c>
      <c r="G467" s="5813">
        <v>0.12569444444444444</v>
      </c>
      <c r="H467" s="21" t="s">
        <v>10</v>
      </c>
      <c r="I467" s="21" t="s">
        <v>6556</v>
      </c>
      <c r="J467" s="21" t="s">
        <v>258</v>
      </c>
      <c r="K467" s="5814" t="s">
        <v>8120</v>
      </c>
    </row>
    <row r="468" spans="1:11">
      <c r="A468" s="21" t="s">
        <v>4317</v>
      </c>
      <c r="B468" s="21" t="s">
        <v>8121</v>
      </c>
      <c r="C468" s="21" t="s">
        <v>8</v>
      </c>
      <c r="D468" s="21" t="s">
        <v>701</v>
      </c>
      <c r="E468" s="21" t="s">
        <v>46</v>
      </c>
      <c r="F468" s="5812">
        <v>2</v>
      </c>
      <c r="G468" s="5813">
        <v>0.12638888888888888</v>
      </c>
      <c r="H468" s="21" t="s">
        <v>10</v>
      </c>
      <c r="I468" s="21" t="s">
        <v>2860</v>
      </c>
      <c r="J468" s="21" t="s">
        <v>940</v>
      </c>
      <c r="K468" s="5814" t="s">
        <v>8122</v>
      </c>
    </row>
    <row r="469" spans="1:11">
      <c r="A469" s="21" t="s">
        <v>2424</v>
      </c>
      <c r="B469" s="21" t="s">
        <v>8123</v>
      </c>
      <c r="C469" s="21" t="s">
        <v>22</v>
      </c>
      <c r="D469" s="21" t="s">
        <v>701</v>
      </c>
      <c r="E469" s="21" t="s">
        <v>46</v>
      </c>
      <c r="F469" s="5812">
        <v>2</v>
      </c>
      <c r="G469" s="5813">
        <v>0.12847222222222221</v>
      </c>
      <c r="H469" s="21" t="s">
        <v>10</v>
      </c>
      <c r="I469" s="21" t="s">
        <v>23</v>
      </c>
      <c r="J469" s="21" t="s">
        <v>48</v>
      </c>
      <c r="K469" s="5814" t="s">
        <v>8124</v>
      </c>
    </row>
    <row r="470" spans="1:11">
      <c r="A470" s="21" t="s">
        <v>2383</v>
      </c>
      <c r="B470" s="21" t="s">
        <v>8125</v>
      </c>
      <c r="C470" s="21" t="s">
        <v>8</v>
      </c>
      <c r="D470" s="21" t="s">
        <v>701</v>
      </c>
      <c r="E470" s="21" t="s">
        <v>46</v>
      </c>
      <c r="F470" s="5812">
        <v>2</v>
      </c>
      <c r="G470" s="5813">
        <v>0.13055555555555556</v>
      </c>
      <c r="H470" s="21" t="s">
        <v>10</v>
      </c>
      <c r="I470" s="21" t="s">
        <v>11</v>
      </c>
      <c r="J470" s="21" t="s">
        <v>154</v>
      </c>
      <c r="K470" s="5814" t="s">
        <v>8126</v>
      </c>
    </row>
    <row r="471" spans="1:11">
      <c r="A471" s="21" t="s">
        <v>3183</v>
      </c>
      <c r="B471" s="21" t="s">
        <v>8127</v>
      </c>
      <c r="C471" s="21" t="s">
        <v>8</v>
      </c>
      <c r="D471" s="21" t="s">
        <v>701</v>
      </c>
      <c r="E471" s="21" t="s">
        <v>46</v>
      </c>
      <c r="F471" s="5812">
        <v>2</v>
      </c>
      <c r="G471" s="5813">
        <v>0.14027777777777778</v>
      </c>
      <c r="H471" s="21" t="s">
        <v>10</v>
      </c>
      <c r="I471" s="21" t="s">
        <v>55</v>
      </c>
      <c r="J471" s="21" t="s">
        <v>48</v>
      </c>
      <c r="K471" s="5814" t="s">
        <v>8128</v>
      </c>
    </row>
    <row r="472" spans="1:11">
      <c r="A472" s="21" t="s">
        <v>3116</v>
      </c>
      <c r="B472" s="21" t="s">
        <v>8129</v>
      </c>
      <c r="C472" s="21" t="s">
        <v>22</v>
      </c>
      <c r="D472" s="21" t="s">
        <v>701</v>
      </c>
      <c r="E472" s="21" t="s">
        <v>46</v>
      </c>
      <c r="F472" s="5812">
        <v>2</v>
      </c>
      <c r="G472" s="5813">
        <v>0.14305555555555555</v>
      </c>
      <c r="H472" s="21" t="s">
        <v>10</v>
      </c>
      <c r="I472" s="21" t="s">
        <v>96</v>
      </c>
      <c r="J472" s="21" t="s">
        <v>8130</v>
      </c>
      <c r="K472" s="5814" t="s">
        <v>8131</v>
      </c>
    </row>
    <row r="473" spans="1:11">
      <c r="A473" s="21" t="s">
        <v>2788</v>
      </c>
      <c r="B473" s="21" t="s">
        <v>8132</v>
      </c>
      <c r="C473" s="21" t="s">
        <v>8</v>
      </c>
      <c r="D473" s="21" t="s">
        <v>701</v>
      </c>
      <c r="E473" s="21" t="s">
        <v>46</v>
      </c>
      <c r="F473" s="5812">
        <v>2</v>
      </c>
      <c r="G473" s="5813">
        <v>0.14930555555555555</v>
      </c>
      <c r="H473" s="21" t="s">
        <v>10</v>
      </c>
      <c r="I473" s="21" t="s">
        <v>233</v>
      </c>
      <c r="J473" s="21" t="s">
        <v>154</v>
      </c>
      <c r="K473" s="5814" t="s">
        <v>8133</v>
      </c>
    </row>
    <row r="474" spans="1:11">
      <c r="A474" s="21" t="s">
        <v>3328</v>
      </c>
      <c r="B474" s="21" t="s">
        <v>8134</v>
      </c>
      <c r="C474" s="21" t="s">
        <v>22</v>
      </c>
      <c r="D474" s="21" t="s">
        <v>701</v>
      </c>
      <c r="E474" s="21" t="s">
        <v>46</v>
      </c>
      <c r="F474" s="5812">
        <v>2</v>
      </c>
      <c r="G474" s="5813">
        <v>0.15486111111111112</v>
      </c>
      <c r="H474" s="21" t="s">
        <v>10</v>
      </c>
      <c r="I474" s="21" t="s">
        <v>194</v>
      </c>
      <c r="J474" s="21" t="s">
        <v>722</v>
      </c>
      <c r="K474" s="5814" t="s">
        <v>8135</v>
      </c>
    </row>
    <row r="475" spans="1:11">
      <c r="A475" s="21" t="s">
        <v>2918</v>
      </c>
      <c r="B475" s="21" t="s">
        <v>8136</v>
      </c>
      <c r="C475" s="21" t="s">
        <v>22</v>
      </c>
      <c r="D475" s="21" t="s">
        <v>701</v>
      </c>
      <c r="E475" s="21" t="s">
        <v>46</v>
      </c>
      <c r="F475" s="5812">
        <v>2</v>
      </c>
      <c r="G475" s="5813">
        <v>0.15555555555555556</v>
      </c>
      <c r="H475" s="21" t="s">
        <v>2081</v>
      </c>
      <c r="I475" s="21" t="s">
        <v>47</v>
      </c>
      <c r="J475" s="21" t="s">
        <v>907</v>
      </c>
      <c r="K475" s="5814" t="s">
        <v>8137</v>
      </c>
    </row>
    <row r="476" spans="1:11">
      <c r="A476" s="21" t="s">
        <v>4233</v>
      </c>
      <c r="B476" s="21" t="s">
        <v>6972</v>
      </c>
      <c r="C476" s="21" t="s">
        <v>22</v>
      </c>
      <c r="D476" s="21" t="s">
        <v>701</v>
      </c>
      <c r="E476" s="21" t="s">
        <v>46</v>
      </c>
      <c r="F476" s="5812">
        <v>2</v>
      </c>
      <c r="G476" s="5813">
        <v>0.1701388888888889</v>
      </c>
      <c r="H476" s="21" t="s">
        <v>54</v>
      </c>
      <c r="I476" s="21" t="s">
        <v>47</v>
      </c>
      <c r="J476" s="21" t="s">
        <v>97</v>
      </c>
      <c r="K476" s="5814" t="s">
        <v>8138</v>
      </c>
    </row>
    <row r="477" spans="1:11">
      <c r="A477" s="21" t="s">
        <v>2372</v>
      </c>
      <c r="B477" s="21" t="s">
        <v>8139</v>
      </c>
      <c r="C477" s="21" t="s">
        <v>8</v>
      </c>
      <c r="D477" s="21" t="s">
        <v>701</v>
      </c>
      <c r="E477" s="21" t="s">
        <v>46</v>
      </c>
      <c r="F477" s="5812">
        <v>2</v>
      </c>
      <c r="G477" s="5813">
        <v>0.17083333333333334</v>
      </c>
      <c r="H477" s="21" t="s">
        <v>10</v>
      </c>
      <c r="I477" s="21" t="s">
        <v>11</v>
      </c>
      <c r="J477" s="21" t="s">
        <v>861</v>
      </c>
      <c r="K477" s="5814" t="s">
        <v>8140</v>
      </c>
    </row>
    <row r="478" spans="1:11">
      <c r="A478" s="21" t="s">
        <v>5168</v>
      </c>
      <c r="B478" s="21" t="s">
        <v>8141</v>
      </c>
      <c r="C478" s="21" t="s">
        <v>22</v>
      </c>
      <c r="D478" s="21" t="s">
        <v>701</v>
      </c>
      <c r="E478" s="21" t="s">
        <v>46</v>
      </c>
      <c r="F478" s="5812">
        <v>2</v>
      </c>
      <c r="G478" s="5813">
        <v>0.17083333333333334</v>
      </c>
      <c r="H478" s="21" t="s">
        <v>10</v>
      </c>
      <c r="I478" s="21" t="s">
        <v>226</v>
      </c>
      <c r="J478" s="21" t="s">
        <v>3063</v>
      </c>
      <c r="K478" s="5814" t="s">
        <v>8142</v>
      </c>
    </row>
    <row r="479" spans="1:11">
      <c r="A479" s="21" t="s">
        <v>2197</v>
      </c>
      <c r="B479" s="21" t="s">
        <v>8143</v>
      </c>
      <c r="C479" s="21" t="s">
        <v>8</v>
      </c>
      <c r="D479" s="21" t="s">
        <v>701</v>
      </c>
      <c r="E479" s="21" t="s">
        <v>46</v>
      </c>
      <c r="F479" s="5812">
        <v>2</v>
      </c>
      <c r="G479" s="5813">
        <v>0.1736111111111111</v>
      </c>
      <c r="H479" s="21" t="s">
        <v>10</v>
      </c>
      <c r="I479" s="21" t="s">
        <v>47</v>
      </c>
      <c r="J479" s="21" t="s">
        <v>1321</v>
      </c>
      <c r="K479" s="5814" t="s">
        <v>8144</v>
      </c>
    </row>
    <row r="480" spans="1:11">
      <c r="A480" s="21" t="s">
        <v>103</v>
      </c>
      <c r="B480" s="21" t="s">
        <v>744</v>
      </c>
      <c r="C480" s="21" t="s">
        <v>22</v>
      </c>
      <c r="D480" s="21" t="s">
        <v>701</v>
      </c>
      <c r="E480" s="21" t="s">
        <v>46</v>
      </c>
      <c r="F480" s="5812">
        <v>2</v>
      </c>
      <c r="G480" s="5813">
        <v>0.17430555555555555</v>
      </c>
      <c r="H480" s="21" t="s">
        <v>10</v>
      </c>
      <c r="I480" s="21" t="s">
        <v>55</v>
      </c>
      <c r="J480" s="21" t="s">
        <v>430</v>
      </c>
      <c r="K480" s="5814" t="s">
        <v>745</v>
      </c>
    </row>
    <row r="481" spans="1:11">
      <c r="A481" s="21" t="s">
        <v>2824</v>
      </c>
      <c r="B481" s="21" t="s">
        <v>8145</v>
      </c>
      <c r="C481" s="21" t="s">
        <v>8</v>
      </c>
      <c r="D481" s="21" t="s">
        <v>701</v>
      </c>
      <c r="E481" s="21" t="s">
        <v>46</v>
      </c>
      <c r="F481" s="5812">
        <v>2</v>
      </c>
      <c r="G481" s="5813">
        <v>0.17847222222222223</v>
      </c>
      <c r="H481" s="21" t="s">
        <v>10</v>
      </c>
      <c r="I481" s="21" t="s">
        <v>263</v>
      </c>
      <c r="J481" s="21" t="s">
        <v>258</v>
      </c>
      <c r="K481" s="5814" t="s">
        <v>8146</v>
      </c>
    </row>
    <row r="482" spans="1:11">
      <c r="A482" s="21" t="s">
        <v>2139</v>
      </c>
      <c r="B482" s="21" t="s">
        <v>8147</v>
      </c>
      <c r="C482" s="21" t="s">
        <v>22</v>
      </c>
      <c r="D482" s="21" t="s">
        <v>701</v>
      </c>
      <c r="E482" s="21" t="s">
        <v>46</v>
      </c>
      <c r="F482" s="5812">
        <v>2</v>
      </c>
      <c r="G482" s="5813">
        <v>0.18402777777777779</v>
      </c>
      <c r="H482" s="21" t="s">
        <v>10</v>
      </c>
      <c r="I482" s="21" t="s">
        <v>55</v>
      </c>
      <c r="J482" s="21" t="s">
        <v>97</v>
      </c>
      <c r="K482" s="5814" t="s">
        <v>8148</v>
      </c>
    </row>
    <row r="483" spans="1:11">
      <c r="A483" s="21" t="s">
        <v>4293</v>
      </c>
      <c r="B483" s="21" t="s">
        <v>8149</v>
      </c>
      <c r="C483" s="21" t="s">
        <v>22</v>
      </c>
      <c r="D483" s="21" t="s">
        <v>701</v>
      </c>
      <c r="E483" s="21" t="s">
        <v>46</v>
      </c>
      <c r="F483" s="5812">
        <v>2</v>
      </c>
      <c r="G483" s="5813">
        <v>0.19166666666666668</v>
      </c>
      <c r="H483" s="21" t="s">
        <v>10</v>
      </c>
      <c r="I483" s="21" t="s">
        <v>400</v>
      </c>
      <c r="J483" s="21" t="s">
        <v>406</v>
      </c>
      <c r="K483" s="5814" t="s">
        <v>8150</v>
      </c>
    </row>
    <row r="484" spans="1:11">
      <c r="A484" s="21" t="s">
        <v>3286</v>
      </c>
      <c r="B484" s="21" t="s">
        <v>8151</v>
      </c>
      <c r="C484" s="21" t="s">
        <v>22</v>
      </c>
      <c r="D484" s="21" t="s">
        <v>701</v>
      </c>
      <c r="E484" s="21" t="s">
        <v>46</v>
      </c>
      <c r="F484" s="5812">
        <v>2</v>
      </c>
      <c r="G484" s="5813">
        <v>0.19444444444444445</v>
      </c>
      <c r="H484" s="21" t="s">
        <v>10</v>
      </c>
      <c r="I484" s="21" t="s">
        <v>2713</v>
      </c>
      <c r="J484" s="21" t="s">
        <v>1076</v>
      </c>
      <c r="K484" s="5814" t="s">
        <v>8152</v>
      </c>
    </row>
    <row r="485" spans="1:11">
      <c r="A485" s="21" t="s">
        <v>2311</v>
      </c>
      <c r="B485" s="21" t="s">
        <v>8153</v>
      </c>
      <c r="C485" s="21" t="s">
        <v>8</v>
      </c>
      <c r="D485" s="21" t="s">
        <v>701</v>
      </c>
      <c r="E485" s="21" t="s">
        <v>46</v>
      </c>
      <c r="F485" s="5812">
        <v>2</v>
      </c>
      <c r="G485" s="5813">
        <v>0.19722222222222222</v>
      </c>
      <c r="H485" s="21" t="s">
        <v>10</v>
      </c>
      <c r="I485" s="21" t="s">
        <v>2313</v>
      </c>
      <c r="J485" s="21" t="s">
        <v>127</v>
      </c>
      <c r="K485" s="5814" t="s">
        <v>8154</v>
      </c>
    </row>
    <row r="486" spans="1:11">
      <c r="A486" s="21" t="s">
        <v>5264</v>
      </c>
      <c r="B486" s="21" t="s">
        <v>8155</v>
      </c>
      <c r="C486" s="21" t="s">
        <v>8</v>
      </c>
      <c r="D486" s="21" t="s">
        <v>701</v>
      </c>
      <c r="E486" s="21" t="s">
        <v>46</v>
      </c>
      <c r="F486" s="5812">
        <v>2</v>
      </c>
      <c r="G486" s="5813">
        <v>0.19722222222222222</v>
      </c>
      <c r="H486" s="21" t="s">
        <v>10</v>
      </c>
      <c r="I486" s="21" t="s">
        <v>96</v>
      </c>
      <c r="J486" s="21" t="s">
        <v>722</v>
      </c>
      <c r="K486" s="5814" t="s">
        <v>8156</v>
      </c>
    </row>
    <row r="487" spans="1:11">
      <c r="A487" s="21" t="s">
        <v>4313</v>
      </c>
      <c r="B487" s="21" t="s">
        <v>8157</v>
      </c>
      <c r="C487" s="21" t="s">
        <v>22</v>
      </c>
      <c r="D487" s="21" t="s">
        <v>701</v>
      </c>
      <c r="E487" s="21" t="s">
        <v>46</v>
      </c>
      <c r="F487" s="5812">
        <v>2</v>
      </c>
      <c r="G487" s="5813">
        <v>0.2</v>
      </c>
      <c r="H487" s="21" t="s">
        <v>54</v>
      </c>
      <c r="I487" s="21" t="s">
        <v>2297</v>
      </c>
      <c r="J487" s="21" t="s">
        <v>1203</v>
      </c>
      <c r="K487" s="5814" t="s">
        <v>8158</v>
      </c>
    </row>
    <row r="488" spans="1:11">
      <c r="A488" s="21" t="s">
        <v>4003</v>
      </c>
      <c r="B488" s="21" t="s">
        <v>8159</v>
      </c>
      <c r="C488" s="21" t="s">
        <v>22</v>
      </c>
      <c r="D488" s="21" t="s">
        <v>701</v>
      </c>
      <c r="E488" s="21" t="s">
        <v>46</v>
      </c>
      <c r="F488" s="5812">
        <v>2</v>
      </c>
      <c r="G488" s="5813">
        <v>0.20208333333333334</v>
      </c>
      <c r="H488" s="21" t="s">
        <v>10</v>
      </c>
      <c r="I488" s="21" t="s">
        <v>23</v>
      </c>
      <c r="J488" s="21" t="s">
        <v>258</v>
      </c>
      <c r="K488" s="5814" t="s">
        <v>8160</v>
      </c>
    </row>
    <row r="489" spans="1:11">
      <c r="A489" s="21" t="s">
        <v>5554</v>
      </c>
      <c r="B489" s="21" t="s">
        <v>8161</v>
      </c>
      <c r="C489" s="21" t="s">
        <v>22</v>
      </c>
      <c r="D489" s="21" t="s">
        <v>701</v>
      </c>
      <c r="E489" s="21" t="s">
        <v>46</v>
      </c>
      <c r="F489" s="5812">
        <v>2</v>
      </c>
      <c r="G489" s="5813">
        <v>0.2048611111111111</v>
      </c>
      <c r="H489" s="21" t="s">
        <v>10</v>
      </c>
      <c r="I489" s="21" t="s">
        <v>11</v>
      </c>
      <c r="J489" s="21" t="s">
        <v>48</v>
      </c>
      <c r="K489" s="5814" t="s">
        <v>8162</v>
      </c>
    </row>
    <row r="490" spans="1:11">
      <c r="A490" s="21" t="s">
        <v>4170</v>
      </c>
      <c r="B490" s="21" t="s">
        <v>8163</v>
      </c>
      <c r="C490" s="21" t="s">
        <v>22</v>
      </c>
      <c r="D490" s="21" t="s">
        <v>701</v>
      </c>
      <c r="E490" s="21" t="s">
        <v>46</v>
      </c>
      <c r="F490" s="5812">
        <v>2</v>
      </c>
      <c r="G490" s="5813">
        <v>0.20555555555555555</v>
      </c>
      <c r="H490" s="21" t="s">
        <v>10</v>
      </c>
      <c r="I490" s="21" t="s">
        <v>2713</v>
      </c>
      <c r="J490" s="21" t="s">
        <v>97</v>
      </c>
      <c r="K490" s="5814" t="s">
        <v>8164</v>
      </c>
    </row>
    <row r="491" spans="1:11">
      <c r="A491" s="21" t="s">
        <v>3328</v>
      </c>
      <c r="B491" s="21" t="s">
        <v>8165</v>
      </c>
      <c r="C491" s="21" t="s">
        <v>8</v>
      </c>
      <c r="D491" s="21" t="s">
        <v>701</v>
      </c>
      <c r="E491" s="21" t="s">
        <v>46</v>
      </c>
      <c r="F491" s="5812">
        <v>2</v>
      </c>
      <c r="G491" s="5813">
        <v>0.2076388888888889</v>
      </c>
      <c r="H491" s="21" t="s">
        <v>10</v>
      </c>
      <c r="I491" s="21" t="s">
        <v>194</v>
      </c>
      <c r="J491" s="21" t="s">
        <v>258</v>
      </c>
      <c r="K491" s="5814" t="s">
        <v>8166</v>
      </c>
    </row>
    <row r="492" spans="1:11">
      <c r="A492" s="21" t="s">
        <v>3195</v>
      </c>
      <c r="B492" s="21" t="s">
        <v>8167</v>
      </c>
      <c r="C492" s="21" t="s">
        <v>8</v>
      </c>
      <c r="D492" s="21" t="s">
        <v>701</v>
      </c>
      <c r="E492" s="21" t="s">
        <v>46</v>
      </c>
      <c r="F492" s="5812">
        <v>2</v>
      </c>
      <c r="G492" s="5813">
        <v>0.2076388888888889</v>
      </c>
      <c r="H492" s="21" t="s">
        <v>10</v>
      </c>
      <c r="I492" s="21" t="s">
        <v>194</v>
      </c>
      <c r="J492" s="21" t="s">
        <v>48</v>
      </c>
      <c r="K492" s="5814" t="s">
        <v>8168</v>
      </c>
    </row>
    <row r="493" spans="1:11">
      <c r="A493" s="21" t="s">
        <v>5148</v>
      </c>
      <c r="B493" s="21" t="s">
        <v>8169</v>
      </c>
      <c r="C493" s="21" t="s">
        <v>8</v>
      </c>
      <c r="D493" s="21" t="s">
        <v>701</v>
      </c>
      <c r="E493" s="21" t="s">
        <v>46</v>
      </c>
      <c r="F493" s="5812">
        <v>2</v>
      </c>
      <c r="G493" s="5813">
        <v>0.20833333333333334</v>
      </c>
      <c r="H493" s="21" t="s">
        <v>10</v>
      </c>
      <c r="I493" s="21" t="s">
        <v>96</v>
      </c>
      <c r="J493" s="21" t="s">
        <v>3175</v>
      </c>
      <c r="K493" s="5814" t="s">
        <v>8170</v>
      </c>
    </row>
    <row r="494" spans="1:11">
      <c r="A494" s="21" t="s">
        <v>4249</v>
      </c>
      <c r="B494" s="21" t="s">
        <v>8171</v>
      </c>
      <c r="C494" s="21" t="s">
        <v>22</v>
      </c>
      <c r="D494" s="21" t="s">
        <v>701</v>
      </c>
      <c r="E494" s="21" t="s">
        <v>46</v>
      </c>
      <c r="F494" s="5812">
        <v>2</v>
      </c>
      <c r="G494" s="5813">
        <v>0.20833333333333334</v>
      </c>
      <c r="H494" s="21" t="s">
        <v>10</v>
      </c>
      <c r="I494" s="21" t="s">
        <v>226</v>
      </c>
      <c r="J494" s="21" t="s">
        <v>3175</v>
      </c>
      <c r="K494" s="5814" t="s">
        <v>8172</v>
      </c>
    </row>
    <row r="495" spans="1:11">
      <c r="A495" s="21" t="s">
        <v>2776</v>
      </c>
      <c r="B495" s="21" t="s">
        <v>8173</v>
      </c>
      <c r="C495" s="21" t="s">
        <v>22</v>
      </c>
      <c r="D495" s="21" t="s">
        <v>701</v>
      </c>
      <c r="E495" s="21" t="s">
        <v>46</v>
      </c>
      <c r="F495" s="5812">
        <v>3</v>
      </c>
      <c r="G495" s="5813">
        <v>4.8611111111111112E-3</v>
      </c>
      <c r="H495" s="21" t="s">
        <v>10</v>
      </c>
      <c r="I495" s="21" t="s">
        <v>8174</v>
      </c>
      <c r="J495" s="21" t="s">
        <v>2953</v>
      </c>
      <c r="K495" s="5814" t="s">
        <v>8175</v>
      </c>
    </row>
    <row r="496" spans="1:11">
      <c r="A496" s="21" t="s">
        <v>20</v>
      </c>
      <c r="B496" s="21" t="s">
        <v>844</v>
      </c>
      <c r="C496" s="21" t="s">
        <v>8</v>
      </c>
      <c r="D496" s="21" t="s">
        <v>701</v>
      </c>
      <c r="E496" s="21" t="s">
        <v>46</v>
      </c>
      <c r="F496" s="5812">
        <v>3</v>
      </c>
      <c r="G496" s="5813">
        <v>1.0416666666666666E-2</v>
      </c>
      <c r="H496" s="21" t="s">
        <v>10</v>
      </c>
      <c r="I496" s="21" t="s">
        <v>39</v>
      </c>
      <c r="J496" s="21" t="s">
        <v>616</v>
      </c>
      <c r="K496" s="5814" t="s">
        <v>845</v>
      </c>
    </row>
    <row r="497" spans="1:11">
      <c r="A497" s="21" t="s">
        <v>31</v>
      </c>
      <c r="B497" s="21" t="s">
        <v>761</v>
      </c>
      <c r="C497" s="21" t="s">
        <v>22</v>
      </c>
      <c r="D497" s="21" t="s">
        <v>701</v>
      </c>
      <c r="E497" s="21" t="s">
        <v>46</v>
      </c>
      <c r="F497" s="5812">
        <v>3</v>
      </c>
      <c r="G497" s="5813">
        <v>3.4027777777777775E-2</v>
      </c>
      <c r="H497" s="21" t="s">
        <v>10</v>
      </c>
      <c r="I497" s="21" t="s">
        <v>23</v>
      </c>
      <c r="J497" s="21" t="s">
        <v>48</v>
      </c>
      <c r="K497" s="5814" t="s">
        <v>762</v>
      </c>
    </row>
    <row r="498" spans="1:11">
      <c r="A498" s="21" t="s">
        <v>4293</v>
      </c>
      <c r="B498" s="21" t="s">
        <v>8176</v>
      </c>
      <c r="C498" s="21" t="s">
        <v>8</v>
      </c>
      <c r="D498" s="21" t="s">
        <v>701</v>
      </c>
      <c r="E498" s="21" t="s">
        <v>46</v>
      </c>
      <c r="F498" s="5812">
        <v>3</v>
      </c>
      <c r="G498" s="5813">
        <v>3.4027777777777775E-2</v>
      </c>
      <c r="H498" s="21" t="s">
        <v>10</v>
      </c>
      <c r="I498" s="21" t="s">
        <v>2297</v>
      </c>
      <c r="J498" s="21" t="s">
        <v>406</v>
      </c>
      <c r="K498" s="5814" t="s">
        <v>8177</v>
      </c>
    </row>
    <row r="499" spans="1:11">
      <c r="A499" s="21" t="s">
        <v>2272</v>
      </c>
      <c r="B499" s="21" t="s">
        <v>8178</v>
      </c>
      <c r="C499" s="21" t="s">
        <v>8</v>
      </c>
      <c r="D499" s="21" t="s">
        <v>701</v>
      </c>
      <c r="E499" s="21" t="s">
        <v>46</v>
      </c>
      <c r="F499" s="5812">
        <v>3</v>
      </c>
      <c r="G499" s="5813">
        <v>3.5416666666666666E-2</v>
      </c>
      <c r="H499" s="21" t="s">
        <v>10</v>
      </c>
      <c r="I499" s="21" t="s">
        <v>2247</v>
      </c>
      <c r="J499" s="21" t="s">
        <v>48</v>
      </c>
      <c r="K499" s="5814" t="s">
        <v>8179</v>
      </c>
    </row>
    <row r="500" spans="1:11">
      <c r="A500" s="21" t="s">
        <v>2605</v>
      </c>
      <c r="B500" s="21" t="s">
        <v>8180</v>
      </c>
      <c r="C500" s="21" t="s">
        <v>22</v>
      </c>
      <c r="D500" s="21" t="s">
        <v>701</v>
      </c>
      <c r="E500" s="21" t="s">
        <v>46</v>
      </c>
      <c r="F500" s="5812">
        <v>3</v>
      </c>
      <c r="G500" s="5813">
        <v>5.1388888888888887E-2</v>
      </c>
      <c r="H500" s="21" t="s">
        <v>10</v>
      </c>
      <c r="I500" s="21" t="s">
        <v>226</v>
      </c>
      <c r="J500" s="21" t="s">
        <v>127</v>
      </c>
      <c r="K500" s="5814" t="s">
        <v>8181</v>
      </c>
    </row>
    <row r="501" spans="1:11">
      <c r="A501" s="21" t="s">
        <v>5390</v>
      </c>
      <c r="B501" s="21" t="s">
        <v>8182</v>
      </c>
      <c r="C501" s="21" t="s">
        <v>8</v>
      </c>
      <c r="D501" s="21" t="s">
        <v>701</v>
      </c>
      <c r="E501" s="21" t="s">
        <v>46</v>
      </c>
      <c r="F501" s="5812">
        <v>3</v>
      </c>
      <c r="G501" s="5813">
        <v>6.25E-2</v>
      </c>
      <c r="H501" s="21" t="s">
        <v>10</v>
      </c>
      <c r="I501" s="21" t="s">
        <v>89</v>
      </c>
      <c r="J501" s="21" t="s">
        <v>518</v>
      </c>
      <c r="K501" s="5814" t="s">
        <v>8183</v>
      </c>
    </row>
    <row r="502" spans="1:11">
      <c r="A502" s="21" t="s">
        <v>2538</v>
      </c>
      <c r="B502" s="21" t="s">
        <v>8184</v>
      </c>
      <c r="C502" s="21" t="s">
        <v>8</v>
      </c>
      <c r="D502" s="21" t="s">
        <v>701</v>
      </c>
      <c r="E502" s="21" t="s">
        <v>46</v>
      </c>
      <c r="F502" s="5812">
        <v>3</v>
      </c>
      <c r="G502" s="5813">
        <v>6.25E-2</v>
      </c>
      <c r="H502" s="21" t="s">
        <v>10</v>
      </c>
      <c r="I502" s="21" t="s">
        <v>55</v>
      </c>
      <c r="J502" s="21" t="s">
        <v>48</v>
      </c>
      <c r="K502" s="5814" t="s">
        <v>8185</v>
      </c>
    </row>
    <row r="503" spans="1:11">
      <c r="A503" s="21" t="s">
        <v>4383</v>
      </c>
      <c r="B503" s="21" t="s">
        <v>8186</v>
      </c>
      <c r="C503" s="21" t="s">
        <v>8</v>
      </c>
      <c r="D503" s="21" t="s">
        <v>701</v>
      </c>
      <c r="E503" s="21" t="s">
        <v>46</v>
      </c>
      <c r="F503" s="5812">
        <v>3</v>
      </c>
      <c r="G503" s="5813">
        <v>7.7777777777777779E-2</v>
      </c>
      <c r="H503" s="21" t="s">
        <v>10</v>
      </c>
      <c r="I503" s="21" t="s">
        <v>89</v>
      </c>
      <c r="J503" s="21" t="s">
        <v>48</v>
      </c>
      <c r="K503" s="5814" t="s">
        <v>8187</v>
      </c>
    </row>
    <row r="504" spans="1:11">
      <c r="A504" s="21" t="s">
        <v>5220</v>
      </c>
      <c r="B504" s="21" t="s">
        <v>8188</v>
      </c>
      <c r="C504" s="21" t="s">
        <v>22</v>
      </c>
      <c r="D504" s="21" t="s">
        <v>701</v>
      </c>
      <c r="E504" s="21" t="s">
        <v>46</v>
      </c>
      <c r="F504" s="5812">
        <v>3</v>
      </c>
      <c r="G504" s="5813">
        <v>8.0555555555555561E-2</v>
      </c>
      <c r="H504" s="21" t="s">
        <v>10</v>
      </c>
      <c r="I504" s="21" t="s">
        <v>2713</v>
      </c>
      <c r="J504" s="21" t="s">
        <v>48</v>
      </c>
      <c r="K504" s="5814" t="s">
        <v>8189</v>
      </c>
    </row>
    <row r="505" spans="1:11">
      <c r="A505" s="21" t="s">
        <v>2216</v>
      </c>
      <c r="B505" s="21" t="s">
        <v>8190</v>
      </c>
      <c r="C505" s="21" t="s">
        <v>8</v>
      </c>
      <c r="D505" s="21" t="s">
        <v>701</v>
      </c>
      <c r="E505" s="21" t="s">
        <v>46</v>
      </c>
      <c r="F505" s="5812">
        <v>3</v>
      </c>
      <c r="G505" s="5813">
        <v>8.8888888888888892E-2</v>
      </c>
      <c r="H505" s="21" t="s">
        <v>54</v>
      </c>
      <c r="I505" s="21" t="s">
        <v>11</v>
      </c>
      <c r="J505" s="21" t="s">
        <v>6809</v>
      </c>
      <c r="K505" s="5814" t="s">
        <v>8191</v>
      </c>
    </row>
    <row r="506" spans="1:11">
      <c r="A506" s="21" t="s">
        <v>2663</v>
      </c>
      <c r="B506" s="21" t="s">
        <v>8192</v>
      </c>
      <c r="C506" s="21" t="s">
        <v>8</v>
      </c>
      <c r="D506" s="21" t="s">
        <v>701</v>
      </c>
      <c r="E506" s="21" t="s">
        <v>46</v>
      </c>
      <c r="F506" s="5812">
        <v>3</v>
      </c>
      <c r="G506" s="5813">
        <v>9.6527777777777782E-2</v>
      </c>
      <c r="H506" s="21" t="s">
        <v>10</v>
      </c>
      <c r="I506" s="21" t="s">
        <v>4254</v>
      </c>
      <c r="J506" s="21" t="s">
        <v>4589</v>
      </c>
      <c r="K506" s="5814" t="s">
        <v>8193</v>
      </c>
    </row>
    <row r="507" spans="1:11">
      <c r="A507" s="21" t="s">
        <v>2897</v>
      </c>
      <c r="B507" s="21" t="s">
        <v>8194</v>
      </c>
      <c r="C507" s="21" t="s">
        <v>22</v>
      </c>
      <c r="D507" s="21" t="s">
        <v>701</v>
      </c>
      <c r="E507" s="21" t="s">
        <v>46</v>
      </c>
      <c r="F507" s="5812">
        <v>3</v>
      </c>
      <c r="G507" s="5813">
        <v>9.7222222222222224E-2</v>
      </c>
      <c r="H507" s="21" t="s">
        <v>10</v>
      </c>
      <c r="I507" s="21" t="s">
        <v>55</v>
      </c>
      <c r="J507" s="21" t="s">
        <v>8195</v>
      </c>
      <c r="K507" s="5814" t="s">
        <v>8196</v>
      </c>
    </row>
    <row r="508" spans="1:11">
      <c r="A508" s="21" t="s">
        <v>2663</v>
      </c>
      <c r="B508" s="21" t="s">
        <v>8197</v>
      </c>
      <c r="C508" s="21" t="s">
        <v>22</v>
      </c>
      <c r="D508" s="21" t="s">
        <v>701</v>
      </c>
      <c r="E508" s="21" t="s">
        <v>46</v>
      </c>
      <c r="F508" s="5812">
        <v>3</v>
      </c>
      <c r="G508" s="5813">
        <v>0.11041666666666666</v>
      </c>
      <c r="H508" s="21" t="s">
        <v>10</v>
      </c>
      <c r="I508" s="21" t="s">
        <v>4254</v>
      </c>
      <c r="J508" s="21" t="s">
        <v>97</v>
      </c>
      <c r="K508" s="5814" t="s">
        <v>8198</v>
      </c>
    </row>
    <row r="509" spans="1:11">
      <c r="A509" s="21" t="s">
        <v>4552</v>
      </c>
      <c r="B509" s="21" t="s">
        <v>8199</v>
      </c>
      <c r="C509" s="21" t="s">
        <v>22</v>
      </c>
      <c r="D509" s="21" t="s">
        <v>701</v>
      </c>
      <c r="E509" s="21" t="s">
        <v>46</v>
      </c>
      <c r="F509" s="5812">
        <v>3</v>
      </c>
      <c r="G509" s="5813">
        <v>0.13680555555555557</v>
      </c>
      <c r="H509" s="21" t="s">
        <v>10</v>
      </c>
      <c r="I509" s="21" t="s">
        <v>23</v>
      </c>
      <c r="J509" s="21" t="s">
        <v>48</v>
      </c>
      <c r="K509" s="5814" t="s">
        <v>8200</v>
      </c>
    </row>
    <row r="510" spans="1:11">
      <c r="A510" s="21" t="s">
        <v>3249</v>
      </c>
      <c r="B510" s="21" t="s">
        <v>8201</v>
      </c>
      <c r="C510" s="21" t="s">
        <v>8</v>
      </c>
      <c r="D510" s="21" t="s">
        <v>701</v>
      </c>
      <c r="E510" s="21" t="s">
        <v>46</v>
      </c>
      <c r="F510" s="5812">
        <v>3</v>
      </c>
      <c r="G510" s="5813">
        <v>0.1423611111111111</v>
      </c>
      <c r="H510" s="21" t="s">
        <v>10</v>
      </c>
      <c r="I510" s="21" t="s">
        <v>11</v>
      </c>
      <c r="J510" s="21" t="s">
        <v>430</v>
      </c>
      <c r="K510" s="5814" t="s">
        <v>8202</v>
      </c>
    </row>
    <row r="511" spans="1:11">
      <c r="A511" s="21" t="s">
        <v>2295</v>
      </c>
      <c r="B511" s="21" t="s">
        <v>8203</v>
      </c>
      <c r="C511" s="21" t="s">
        <v>22</v>
      </c>
      <c r="D511" s="21" t="s">
        <v>701</v>
      </c>
      <c r="E511" s="21" t="s">
        <v>46</v>
      </c>
      <c r="F511" s="5812">
        <v>3</v>
      </c>
      <c r="G511" s="5813">
        <v>0.14583333333333334</v>
      </c>
      <c r="H511" s="21" t="s">
        <v>10</v>
      </c>
      <c r="I511" s="21" t="s">
        <v>55</v>
      </c>
      <c r="J511" s="21" t="s">
        <v>4586</v>
      </c>
      <c r="K511" s="5814" t="s">
        <v>8204</v>
      </c>
    </row>
    <row r="512" spans="1:11">
      <c r="A512" s="21" t="s">
        <v>5148</v>
      </c>
      <c r="B512" s="21" t="s">
        <v>8205</v>
      </c>
      <c r="C512" s="21" t="s">
        <v>8</v>
      </c>
      <c r="D512" s="21" t="s">
        <v>701</v>
      </c>
      <c r="E512" s="21" t="s">
        <v>46</v>
      </c>
      <c r="F512" s="5812">
        <v>3</v>
      </c>
      <c r="G512" s="5813">
        <v>0.15416666666666667</v>
      </c>
      <c r="H512" s="21" t="s">
        <v>10</v>
      </c>
      <c r="I512" s="21" t="s">
        <v>96</v>
      </c>
      <c r="J512" s="21" t="s">
        <v>907</v>
      </c>
      <c r="K512" s="5814" t="s">
        <v>8206</v>
      </c>
    </row>
    <row r="513" spans="1:11">
      <c r="A513" s="21" t="s">
        <v>5168</v>
      </c>
      <c r="B513" s="21" t="s">
        <v>8207</v>
      </c>
      <c r="C513" s="21" t="s">
        <v>8</v>
      </c>
      <c r="D513" s="21" t="s">
        <v>701</v>
      </c>
      <c r="E513" s="21" t="s">
        <v>46</v>
      </c>
      <c r="F513" s="5812">
        <v>3</v>
      </c>
      <c r="G513" s="5813">
        <v>0.16597222222222222</v>
      </c>
      <c r="H513" s="21" t="s">
        <v>10</v>
      </c>
      <c r="I513" s="21" t="s">
        <v>55</v>
      </c>
      <c r="J513" s="21" t="s">
        <v>940</v>
      </c>
      <c r="K513" s="5814" t="s">
        <v>8208</v>
      </c>
    </row>
    <row r="514" spans="1:11">
      <c r="A514" s="21" t="s">
        <v>2471</v>
      </c>
      <c r="B514" s="21" t="s">
        <v>8209</v>
      </c>
      <c r="C514" s="21" t="s">
        <v>8</v>
      </c>
      <c r="D514" s="21" t="s">
        <v>701</v>
      </c>
      <c r="E514" s="21" t="s">
        <v>46</v>
      </c>
      <c r="F514" s="5812">
        <v>3</v>
      </c>
      <c r="G514" s="5813">
        <v>0.19097222222222221</v>
      </c>
      <c r="H514" s="21" t="s">
        <v>10</v>
      </c>
      <c r="I514" s="21" t="s">
        <v>23</v>
      </c>
      <c r="J514" s="21" t="s">
        <v>127</v>
      </c>
      <c r="K514" s="5814" t="s">
        <v>8210</v>
      </c>
    </row>
    <row r="515" spans="1:11">
      <c r="A515" s="21" t="s">
        <v>3208</v>
      </c>
      <c r="B515" s="21" t="s">
        <v>8211</v>
      </c>
      <c r="C515" s="21" t="s">
        <v>8</v>
      </c>
      <c r="D515" s="21" t="s">
        <v>701</v>
      </c>
      <c r="E515" s="21" t="s">
        <v>46</v>
      </c>
      <c r="F515" s="5812">
        <v>3</v>
      </c>
      <c r="G515" s="5813">
        <v>0.19791666666666666</v>
      </c>
      <c r="H515" s="21" t="s">
        <v>10</v>
      </c>
      <c r="I515" s="21" t="s">
        <v>609</v>
      </c>
      <c r="J515" s="21" t="s">
        <v>48</v>
      </c>
      <c r="K515" s="5814" t="s">
        <v>8212</v>
      </c>
    </row>
    <row r="516" spans="1:11">
      <c r="A516" s="21" t="s">
        <v>339</v>
      </c>
      <c r="B516" s="21" t="s">
        <v>716</v>
      </c>
      <c r="C516" s="21" t="s">
        <v>8</v>
      </c>
      <c r="D516" s="21" t="s">
        <v>701</v>
      </c>
      <c r="E516" s="21" t="s">
        <v>46</v>
      </c>
      <c r="F516" s="5812">
        <v>3</v>
      </c>
      <c r="G516" s="5813">
        <v>0.20208333333333334</v>
      </c>
      <c r="H516" s="21" t="s">
        <v>10</v>
      </c>
      <c r="I516" s="21" t="s">
        <v>263</v>
      </c>
      <c r="J516" s="21" t="s">
        <v>430</v>
      </c>
      <c r="K516" s="5814" t="s">
        <v>717</v>
      </c>
    </row>
    <row r="517" spans="1:11">
      <c r="A517" s="21" t="s">
        <v>2481</v>
      </c>
      <c r="B517" s="21" t="s">
        <v>8213</v>
      </c>
      <c r="C517" s="21" t="s">
        <v>22</v>
      </c>
      <c r="D517" s="21" t="s">
        <v>701</v>
      </c>
      <c r="E517" s="21" t="s">
        <v>46</v>
      </c>
      <c r="F517" s="5812">
        <v>3</v>
      </c>
      <c r="G517" s="5813">
        <v>0.2048611111111111</v>
      </c>
      <c r="H517" s="21" t="s">
        <v>10</v>
      </c>
      <c r="I517" s="21" t="s">
        <v>39</v>
      </c>
      <c r="J517" s="21" t="s">
        <v>3094</v>
      </c>
      <c r="K517" s="5814" t="s">
        <v>8214</v>
      </c>
    </row>
    <row r="518" spans="1:11">
      <c r="A518" s="21" t="s">
        <v>2969</v>
      </c>
      <c r="B518" s="21" t="s">
        <v>8215</v>
      </c>
      <c r="C518" s="21" t="s">
        <v>22</v>
      </c>
      <c r="D518" s="21" t="s">
        <v>701</v>
      </c>
      <c r="E518" s="21" t="s">
        <v>46</v>
      </c>
      <c r="F518" s="5812">
        <v>3</v>
      </c>
      <c r="G518" s="5813">
        <v>0.2076388888888889</v>
      </c>
      <c r="H518" s="21" t="s">
        <v>10</v>
      </c>
      <c r="I518" s="21" t="s">
        <v>23</v>
      </c>
      <c r="J518" s="21" t="s">
        <v>127</v>
      </c>
      <c r="K518" s="5814" t="s">
        <v>8216</v>
      </c>
    </row>
    <row r="519" spans="1:11">
      <c r="A519" s="21" t="s">
        <v>2724</v>
      </c>
      <c r="B519" s="21" t="s">
        <v>8068</v>
      </c>
      <c r="C519" s="21" t="s">
        <v>8</v>
      </c>
      <c r="D519" s="21" t="s">
        <v>701</v>
      </c>
      <c r="E519" s="21" t="s">
        <v>46</v>
      </c>
      <c r="F519" s="5812">
        <v>4</v>
      </c>
      <c r="G519" s="5813">
        <v>2.2916666666666665E-2</v>
      </c>
      <c r="H519" s="21" t="s">
        <v>54</v>
      </c>
      <c r="I519" s="21" t="s">
        <v>55</v>
      </c>
      <c r="J519" s="21" t="s">
        <v>406</v>
      </c>
      <c r="K519" s="5814" t="s">
        <v>8217</v>
      </c>
    </row>
    <row r="520" spans="1:11">
      <c r="A520" s="21" t="s">
        <v>2403</v>
      </c>
      <c r="B520" s="21" t="s">
        <v>8218</v>
      </c>
      <c r="C520" s="21" t="s">
        <v>22</v>
      </c>
      <c r="D520" s="21" t="s">
        <v>701</v>
      </c>
      <c r="E520" s="21" t="s">
        <v>46</v>
      </c>
      <c r="F520" s="5812">
        <v>5</v>
      </c>
      <c r="G520" s="5813">
        <v>1.2500000000000001E-2</v>
      </c>
      <c r="H520" s="21" t="s">
        <v>54</v>
      </c>
      <c r="I520" s="21" t="s">
        <v>39</v>
      </c>
      <c r="J520" s="21" t="s">
        <v>48</v>
      </c>
      <c r="K520" s="5814" t="s">
        <v>8219</v>
      </c>
    </row>
    <row r="521" spans="1:11">
      <c r="A521" s="21" t="s">
        <v>103</v>
      </c>
      <c r="B521" s="21" t="s">
        <v>817</v>
      </c>
      <c r="C521" s="21" t="s">
        <v>22</v>
      </c>
      <c r="D521" s="21" t="s">
        <v>701</v>
      </c>
      <c r="E521" s="21" t="s">
        <v>46</v>
      </c>
      <c r="F521" s="5812">
        <v>5</v>
      </c>
      <c r="G521" s="5813">
        <v>0.2076388888888889</v>
      </c>
      <c r="H521" s="21" t="s">
        <v>54</v>
      </c>
      <c r="I521" s="21" t="s">
        <v>47</v>
      </c>
      <c r="J521" s="21" t="s">
        <v>48</v>
      </c>
      <c r="K521" s="5814" t="s">
        <v>818</v>
      </c>
    </row>
    <row r="522" spans="1:11">
      <c r="A522" s="21" t="s">
        <v>3613</v>
      </c>
      <c r="B522" s="21" t="s">
        <v>8220</v>
      </c>
      <c r="C522" s="21" t="s">
        <v>179</v>
      </c>
      <c r="D522" s="21" t="s">
        <v>701</v>
      </c>
      <c r="E522" s="21" t="s">
        <v>920</v>
      </c>
      <c r="F522" s="5812">
        <v>1</v>
      </c>
      <c r="G522" s="5813">
        <v>2.1527777777777778E-2</v>
      </c>
      <c r="H522" s="21" t="s">
        <v>10</v>
      </c>
      <c r="I522" s="21" t="s">
        <v>23</v>
      </c>
      <c r="J522" s="21" t="s">
        <v>8221</v>
      </c>
      <c r="K522" s="5814" t="s">
        <v>8222</v>
      </c>
    </row>
    <row r="523" spans="1:11">
      <c r="A523" s="21" t="s">
        <v>65</v>
      </c>
      <c r="B523" s="21" t="s">
        <v>919</v>
      </c>
      <c r="C523" s="21" t="s">
        <v>179</v>
      </c>
      <c r="D523" s="21" t="s">
        <v>701</v>
      </c>
      <c r="E523" s="21" t="s">
        <v>920</v>
      </c>
      <c r="F523" s="5812">
        <v>3</v>
      </c>
      <c r="G523" s="5813">
        <v>0.13263888888888889</v>
      </c>
      <c r="H523" s="21" t="s">
        <v>10</v>
      </c>
      <c r="I523" s="21" t="s">
        <v>89</v>
      </c>
      <c r="J523" s="21" t="s">
        <v>921</v>
      </c>
      <c r="K523" s="5814" t="s">
        <v>922</v>
      </c>
    </row>
    <row r="524" spans="1:11">
      <c r="A524" s="21" t="s">
        <v>2258</v>
      </c>
      <c r="B524" s="21" t="s">
        <v>8223</v>
      </c>
      <c r="C524" s="21" t="s">
        <v>8</v>
      </c>
      <c r="D524" s="21" t="s">
        <v>701</v>
      </c>
      <c r="E524" s="21" t="s">
        <v>61</v>
      </c>
      <c r="F524" s="5812">
        <v>1</v>
      </c>
      <c r="G524" s="5813">
        <v>1.6666666666666666E-2</v>
      </c>
      <c r="H524" s="21" t="s">
        <v>10</v>
      </c>
      <c r="I524" s="21" t="s">
        <v>2731</v>
      </c>
      <c r="J524" s="21" t="s">
        <v>67</v>
      </c>
      <c r="K524" s="5814" t="s">
        <v>8224</v>
      </c>
    </row>
    <row r="525" spans="1:11">
      <c r="A525" s="21" t="s">
        <v>2250</v>
      </c>
      <c r="B525" s="21" t="s">
        <v>8225</v>
      </c>
      <c r="C525" s="21" t="s">
        <v>8</v>
      </c>
      <c r="D525" s="21" t="s">
        <v>701</v>
      </c>
      <c r="E525" s="21" t="s">
        <v>61</v>
      </c>
      <c r="F525" s="5812">
        <v>1</v>
      </c>
      <c r="G525" s="5813">
        <v>1.7361111111111112E-2</v>
      </c>
      <c r="H525" s="21" t="s">
        <v>10</v>
      </c>
      <c r="I525" s="21" t="s">
        <v>2297</v>
      </c>
      <c r="J525" s="21" t="s">
        <v>67</v>
      </c>
      <c r="K525" s="5814" t="s">
        <v>8226</v>
      </c>
    </row>
    <row r="526" spans="1:11">
      <c r="A526" s="21" t="s">
        <v>2065</v>
      </c>
      <c r="B526" s="21" t="s">
        <v>8227</v>
      </c>
      <c r="C526" s="21" t="s">
        <v>8</v>
      </c>
      <c r="D526" s="21" t="s">
        <v>701</v>
      </c>
      <c r="E526" s="21" t="s">
        <v>61</v>
      </c>
      <c r="F526" s="5812">
        <v>1</v>
      </c>
      <c r="G526" s="5813">
        <v>3.0555555555555555E-2</v>
      </c>
      <c r="H526" s="21" t="s">
        <v>10</v>
      </c>
      <c r="I526" s="21" t="s">
        <v>2176</v>
      </c>
      <c r="J526" s="21" t="s">
        <v>67</v>
      </c>
      <c r="K526" s="5814" t="s">
        <v>8228</v>
      </c>
    </row>
    <row r="527" spans="1:11">
      <c r="A527" s="21" t="s">
        <v>2045</v>
      </c>
      <c r="B527" s="21" t="s">
        <v>8229</v>
      </c>
      <c r="C527" s="21" t="s">
        <v>22</v>
      </c>
      <c r="D527" s="21" t="s">
        <v>701</v>
      </c>
      <c r="E527" s="21" t="s">
        <v>61</v>
      </c>
      <c r="F527" s="5812">
        <v>1</v>
      </c>
      <c r="G527" s="5813">
        <v>3.125E-2</v>
      </c>
      <c r="H527" s="21" t="s">
        <v>10</v>
      </c>
      <c r="I527" s="21" t="s">
        <v>47</v>
      </c>
      <c r="J527" s="21" t="s">
        <v>4770</v>
      </c>
      <c r="K527" s="5814" t="s">
        <v>8230</v>
      </c>
    </row>
    <row r="528" spans="1:11">
      <c r="A528" s="21" t="s">
        <v>3260</v>
      </c>
      <c r="B528" s="21" t="s">
        <v>8231</v>
      </c>
      <c r="C528" s="21" t="s">
        <v>8</v>
      </c>
      <c r="D528" s="21" t="s">
        <v>701</v>
      </c>
      <c r="E528" s="21" t="s">
        <v>61</v>
      </c>
      <c r="F528" s="5812">
        <v>1</v>
      </c>
      <c r="G528" s="5813">
        <v>3.7499999999999999E-2</v>
      </c>
      <c r="H528" s="21" t="s">
        <v>10</v>
      </c>
      <c r="I528" s="21" t="s">
        <v>55</v>
      </c>
      <c r="J528" s="21" t="s">
        <v>3313</v>
      </c>
      <c r="K528" s="5814" t="s">
        <v>8232</v>
      </c>
    </row>
    <row r="529" spans="1:11">
      <c r="A529" s="21" t="s">
        <v>5387</v>
      </c>
      <c r="B529" s="21" t="s">
        <v>8233</v>
      </c>
      <c r="C529" s="21" t="s">
        <v>8</v>
      </c>
      <c r="D529" s="21" t="s">
        <v>701</v>
      </c>
      <c r="E529" s="21" t="s">
        <v>61</v>
      </c>
      <c r="F529" s="5812">
        <v>1</v>
      </c>
      <c r="G529" s="5813">
        <v>4.027777777777778E-2</v>
      </c>
      <c r="H529" s="21" t="s">
        <v>10</v>
      </c>
      <c r="I529" s="21" t="s">
        <v>55</v>
      </c>
      <c r="J529" s="21" t="s">
        <v>110</v>
      </c>
      <c r="K529" s="5814" t="s">
        <v>8234</v>
      </c>
    </row>
    <row r="530" spans="1:11">
      <c r="A530" s="21" t="s">
        <v>2491</v>
      </c>
      <c r="B530" s="21" t="s">
        <v>8235</v>
      </c>
      <c r="C530" s="21" t="s">
        <v>22</v>
      </c>
      <c r="D530" s="21" t="s">
        <v>701</v>
      </c>
      <c r="E530" s="21" t="s">
        <v>61</v>
      </c>
      <c r="F530" s="5812">
        <v>1</v>
      </c>
      <c r="G530" s="5813">
        <v>4.5138888888888888E-2</v>
      </c>
      <c r="H530" s="21" t="s">
        <v>10</v>
      </c>
      <c r="I530" s="21" t="s">
        <v>89</v>
      </c>
      <c r="J530" s="21" t="s">
        <v>1194</v>
      </c>
      <c r="K530" s="5814" t="s">
        <v>8236</v>
      </c>
    </row>
    <row r="531" spans="1:11">
      <c r="A531" s="21" t="s">
        <v>3053</v>
      </c>
      <c r="B531" s="21" t="s">
        <v>8237</v>
      </c>
      <c r="C531" s="21" t="s">
        <v>22</v>
      </c>
      <c r="D531" s="21" t="s">
        <v>701</v>
      </c>
      <c r="E531" s="21" t="s">
        <v>61</v>
      </c>
      <c r="F531" s="5812">
        <v>1</v>
      </c>
      <c r="G531" s="5813">
        <v>0.05</v>
      </c>
      <c r="H531" s="21" t="s">
        <v>10</v>
      </c>
      <c r="I531" s="21" t="s">
        <v>47</v>
      </c>
      <c r="J531" s="21" t="s">
        <v>67</v>
      </c>
      <c r="K531" s="5814" t="s">
        <v>8238</v>
      </c>
    </row>
    <row r="532" spans="1:11">
      <c r="A532" s="21" t="s">
        <v>2663</v>
      </c>
      <c r="B532" s="21" t="s">
        <v>8239</v>
      </c>
      <c r="C532" s="21" t="s">
        <v>22</v>
      </c>
      <c r="D532" s="21" t="s">
        <v>701</v>
      </c>
      <c r="E532" s="21" t="s">
        <v>61</v>
      </c>
      <c r="F532" s="5812">
        <v>1</v>
      </c>
      <c r="G532" s="5813">
        <v>5.2083333333333336E-2</v>
      </c>
      <c r="H532" s="21" t="s">
        <v>10</v>
      </c>
      <c r="I532" s="21" t="s">
        <v>11</v>
      </c>
      <c r="J532" s="21" t="s">
        <v>67</v>
      </c>
      <c r="K532" s="5814" t="s">
        <v>8240</v>
      </c>
    </row>
    <row r="533" spans="1:11">
      <c r="A533" s="21" t="s">
        <v>2870</v>
      </c>
      <c r="B533" s="21" t="s">
        <v>8241</v>
      </c>
      <c r="C533" s="21" t="s">
        <v>22</v>
      </c>
      <c r="D533" s="21" t="s">
        <v>701</v>
      </c>
      <c r="E533" s="21" t="s">
        <v>61</v>
      </c>
      <c r="F533" s="5812">
        <v>1</v>
      </c>
      <c r="G533" s="5813">
        <v>6.0416666666666667E-2</v>
      </c>
      <c r="H533" s="21" t="s">
        <v>10</v>
      </c>
      <c r="I533" s="21" t="s">
        <v>2665</v>
      </c>
      <c r="J533" s="21" t="s">
        <v>67</v>
      </c>
      <c r="K533" s="5814" t="s">
        <v>8242</v>
      </c>
    </row>
    <row r="534" spans="1:11">
      <c r="A534" s="21" t="s">
        <v>2687</v>
      </c>
      <c r="B534" s="21" t="s">
        <v>8243</v>
      </c>
      <c r="C534" s="21" t="s">
        <v>8</v>
      </c>
      <c r="D534" s="21" t="s">
        <v>701</v>
      </c>
      <c r="E534" s="21" t="s">
        <v>61</v>
      </c>
      <c r="F534" s="5812">
        <v>1</v>
      </c>
      <c r="G534" s="5813">
        <v>6.1805555555555558E-2</v>
      </c>
      <c r="H534" s="21" t="s">
        <v>10</v>
      </c>
      <c r="I534" s="21" t="s">
        <v>187</v>
      </c>
      <c r="J534" s="21" t="s">
        <v>67</v>
      </c>
      <c r="K534" s="5814" t="s">
        <v>8244</v>
      </c>
    </row>
    <row r="535" spans="1:11">
      <c r="A535" s="21" t="s">
        <v>2788</v>
      </c>
      <c r="B535" s="21" t="s">
        <v>8245</v>
      </c>
      <c r="C535" s="21" t="s">
        <v>8</v>
      </c>
      <c r="D535" s="21" t="s">
        <v>701</v>
      </c>
      <c r="E535" s="21" t="s">
        <v>61</v>
      </c>
      <c r="F535" s="5812">
        <v>1</v>
      </c>
      <c r="G535" s="5813">
        <v>7.0833333333333331E-2</v>
      </c>
      <c r="H535" s="21" t="s">
        <v>10</v>
      </c>
      <c r="I535" s="21" t="s">
        <v>2297</v>
      </c>
      <c r="J535" s="21" t="s">
        <v>8246</v>
      </c>
      <c r="K535" s="5814" t="s">
        <v>8247</v>
      </c>
    </row>
    <row r="536" spans="1:11">
      <c r="A536" s="21" t="s">
        <v>160</v>
      </c>
      <c r="B536" s="21" t="s">
        <v>871</v>
      </c>
      <c r="C536" s="21" t="s">
        <v>8</v>
      </c>
      <c r="D536" s="21" t="s">
        <v>701</v>
      </c>
      <c r="E536" s="21" t="s">
        <v>61</v>
      </c>
      <c r="F536" s="5812">
        <v>1</v>
      </c>
      <c r="G536" s="5813">
        <v>7.3611111111111113E-2</v>
      </c>
      <c r="H536" s="21" t="s">
        <v>10</v>
      </c>
      <c r="I536" s="21" t="s">
        <v>89</v>
      </c>
      <c r="J536" s="21" t="s">
        <v>67</v>
      </c>
      <c r="K536" s="5814" t="s">
        <v>872</v>
      </c>
    </row>
    <row r="537" spans="1:11">
      <c r="A537" s="21" t="s">
        <v>3105</v>
      </c>
      <c r="B537" s="21" t="s">
        <v>8248</v>
      </c>
      <c r="C537" s="21" t="s">
        <v>22</v>
      </c>
      <c r="D537" s="21" t="s">
        <v>701</v>
      </c>
      <c r="E537" s="21" t="s">
        <v>61</v>
      </c>
      <c r="F537" s="5812">
        <v>1</v>
      </c>
      <c r="G537" s="5813">
        <v>7.4999999999999997E-2</v>
      </c>
      <c r="H537" s="21" t="s">
        <v>10</v>
      </c>
      <c r="I537" s="21" t="s">
        <v>39</v>
      </c>
      <c r="J537" s="21" t="s">
        <v>110</v>
      </c>
      <c r="K537" s="5814" t="s">
        <v>8249</v>
      </c>
    </row>
    <row r="538" spans="1:11">
      <c r="A538" s="21" t="s">
        <v>2192</v>
      </c>
      <c r="B538" s="21" t="s">
        <v>8250</v>
      </c>
      <c r="C538" s="21" t="s">
        <v>8</v>
      </c>
      <c r="D538" s="21" t="s">
        <v>701</v>
      </c>
      <c r="E538" s="21" t="s">
        <v>61</v>
      </c>
      <c r="F538" s="5812">
        <v>1</v>
      </c>
      <c r="G538" s="5813">
        <v>8.1250000000000003E-2</v>
      </c>
      <c r="H538" s="21" t="s">
        <v>10</v>
      </c>
      <c r="I538" s="21" t="s">
        <v>4861</v>
      </c>
      <c r="J538" s="21" t="s">
        <v>67</v>
      </c>
      <c r="K538" s="5814" t="s">
        <v>8251</v>
      </c>
    </row>
    <row r="539" spans="1:11">
      <c r="A539" s="21" t="s">
        <v>2225</v>
      </c>
      <c r="B539" s="21" t="s">
        <v>8252</v>
      </c>
      <c r="C539" s="21" t="s">
        <v>22</v>
      </c>
      <c r="D539" s="21" t="s">
        <v>701</v>
      </c>
      <c r="E539" s="21" t="s">
        <v>61</v>
      </c>
      <c r="F539" s="5812">
        <v>1</v>
      </c>
      <c r="G539" s="5813">
        <v>8.4027777777777785E-2</v>
      </c>
      <c r="H539" s="21" t="s">
        <v>10</v>
      </c>
      <c r="I539" s="21" t="s">
        <v>263</v>
      </c>
      <c r="J539" s="21" t="s">
        <v>6852</v>
      </c>
      <c r="K539" s="5814" t="s">
        <v>8253</v>
      </c>
    </row>
    <row r="540" spans="1:11">
      <c r="A540" s="21" t="s">
        <v>4139</v>
      </c>
      <c r="B540" s="21" t="s">
        <v>8254</v>
      </c>
      <c r="C540" s="21" t="s">
        <v>22</v>
      </c>
      <c r="D540" s="21" t="s">
        <v>701</v>
      </c>
      <c r="E540" s="21" t="s">
        <v>61</v>
      </c>
      <c r="F540" s="5812">
        <v>1</v>
      </c>
      <c r="G540" s="5813">
        <v>8.4722222222222227E-2</v>
      </c>
      <c r="H540" s="21" t="s">
        <v>10</v>
      </c>
      <c r="I540" s="21" t="s">
        <v>2523</v>
      </c>
      <c r="J540" s="21" t="s">
        <v>67</v>
      </c>
      <c r="K540" s="5814" t="s">
        <v>8255</v>
      </c>
    </row>
    <row r="541" spans="1:11">
      <c r="A541" s="21" t="s">
        <v>3559</v>
      </c>
      <c r="B541" s="21" t="s">
        <v>8256</v>
      </c>
      <c r="C541" s="21" t="s">
        <v>8</v>
      </c>
      <c r="D541" s="21" t="s">
        <v>701</v>
      </c>
      <c r="E541" s="21" t="s">
        <v>61</v>
      </c>
      <c r="F541" s="5812">
        <v>1</v>
      </c>
      <c r="G541" s="5813">
        <v>9.0972222222222218E-2</v>
      </c>
      <c r="H541" s="21" t="s">
        <v>10</v>
      </c>
      <c r="I541" s="21" t="s">
        <v>55</v>
      </c>
      <c r="J541" s="21" t="s">
        <v>67</v>
      </c>
      <c r="K541" s="5814" t="s">
        <v>8257</v>
      </c>
    </row>
    <row r="542" spans="1:11">
      <c r="A542" s="21" t="s">
        <v>2184</v>
      </c>
      <c r="B542" s="21" t="s">
        <v>8258</v>
      </c>
      <c r="C542" s="21" t="s">
        <v>8</v>
      </c>
      <c r="D542" s="21" t="s">
        <v>701</v>
      </c>
      <c r="E542" s="21" t="s">
        <v>61</v>
      </c>
      <c r="F542" s="5812">
        <v>1</v>
      </c>
      <c r="G542" s="5813">
        <v>9.166666666666666E-2</v>
      </c>
      <c r="H542" s="21" t="s">
        <v>10</v>
      </c>
      <c r="I542" s="21" t="s">
        <v>8259</v>
      </c>
      <c r="J542" s="21" t="s">
        <v>67</v>
      </c>
      <c r="K542" s="5814" t="s">
        <v>8260</v>
      </c>
    </row>
    <row r="543" spans="1:11">
      <c r="A543" s="21" t="s">
        <v>5984</v>
      </c>
      <c r="B543" s="21" t="s">
        <v>8261</v>
      </c>
      <c r="C543" s="21" t="s">
        <v>8</v>
      </c>
      <c r="D543" s="21" t="s">
        <v>701</v>
      </c>
      <c r="E543" s="21" t="s">
        <v>61</v>
      </c>
      <c r="F543" s="5812">
        <v>1</v>
      </c>
      <c r="G543" s="5813">
        <v>9.5138888888888884E-2</v>
      </c>
      <c r="H543" s="21" t="s">
        <v>10</v>
      </c>
      <c r="I543" s="21" t="s">
        <v>11</v>
      </c>
      <c r="J543" s="21" t="s">
        <v>67</v>
      </c>
      <c r="K543" s="5814" t="s">
        <v>8262</v>
      </c>
    </row>
    <row r="544" spans="1:11">
      <c r="A544" s="21" t="s">
        <v>3757</v>
      </c>
      <c r="B544" s="21" t="s">
        <v>8263</v>
      </c>
      <c r="C544" s="21" t="s">
        <v>22</v>
      </c>
      <c r="D544" s="21" t="s">
        <v>701</v>
      </c>
      <c r="E544" s="21" t="s">
        <v>61</v>
      </c>
      <c r="F544" s="5812">
        <v>1</v>
      </c>
      <c r="G544" s="5813">
        <v>9.583333333333334E-2</v>
      </c>
      <c r="H544" s="21" t="s">
        <v>10</v>
      </c>
      <c r="I544" s="21" t="s">
        <v>55</v>
      </c>
      <c r="J544" s="21" t="s">
        <v>110</v>
      </c>
      <c r="K544" s="5814" t="s">
        <v>8264</v>
      </c>
    </row>
    <row r="545" spans="1:11">
      <c r="A545" s="21" t="s">
        <v>3974</v>
      </c>
      <c r="B545" s="21" t="s">
        <v>8265</v>
      </c>
      <c r="C545" s="21" t="s">
        <v>8</v>
      </c>
      <c r="D545" s="21" t="s">
        <v>701</v>
      </c>
      <c r="E545" s="21" t="s">
        <v>61</v>
      </c>
      <c r="F545" s="5812">
        <v>1</v>
      </c>
      <c r="G545" s="5813">
        <v>0.10069444444444445</v>
      </c>
      <c r="H545" s="21" t="s">
        <v>10</v>
      </c>
      <c r="I545" s="21" t="s">
        <v>2544</v>
      </c>
      <c r="J545" s="21" t="s">
        <v>1194</v>
      </c>
      <c r="K545" s="5814" t="s">
        <v>8266</v>
      </c>
    </row>
    <row r="546" spans="1:11">
      <c r="A546" s="21" t="s">
        <v>2542</v>
      </c>
      <c r="B546" s="21" t="s">
        <v>8267</v>
      </c>
      <c r="C546" s="21" t="s">
        <v>22</v>
      </c>
      <c r="D546" s="21" t="s">
        <v>701</v>
      </c>
      <c r="E546" s="21" t="s">
        <v>61</v>
      </c>
      <c r="F546" s="5812">
        <v>1</v>
      </c>
      <c r="G546" s="5813">
        <v>0.10069444444444445</v>
      </c>
      <c r="H546" s="21" t="s">
        <v>10</v>
      </c>
      <c r="I546" s="21" t="s">
        <v>47</v>
      </c>
      <c r="J546" s="21" t="s">
        <v>376</v>
      </c>
      <c r="K546" s="5814" t="s">
        <v>8268</v>
      </c>
    </row>
    <row r="547" spans="1:11">
      <c r="A547" s="21" t="s">
        <v>4568</v>
      </c>
      <c r="B547" s="21" t="s">
        <v>8269</v>
      </c>
      <c r="C547" s="21" t="s">
        <v>22</v>
      </c>
      <c r="D547" s="21" t="s">
        <v>701</v>
      </c>
      <c r="E547" s="21" t="s">
        <v>61</v>
      </c>
      <c r="F547" s="5812">
        <v>1</v>
      </c>
      <c r="G547" s="5813">
        <v>0.10416666666666667</v>
      </c>
      <c r="H547" s="21" t="s">
        <v>10</v>
      </c>
      <c r="I547" s="21" t="s">
        <v>2297</v>
      </c>
      <c r="J547" s="21" t="s">
        <v>67</v>
      </c>
      <c r="K547" s="5814" t="s">
        <v>8270</v>
      </c>
    </row>
    <row r="548" spans="1:11">
      <c r="A548" s="21" t="s">
        <v>3173</v>
      </c>
      <c r="B548" s="21" t="s">
        <v>8271</v>
      </c>
      <c r="C548" s="21" t="s">
        <v>22</v>
      </c>
      <c r="D548" s="21" t="s">
        <v>701</v>
      </c>
      <c r="E548" s="21" t="s">
        <v>61</v>
      </c>
      <c r="F548" s="5812">
        <v>1</v>
      </c>
      <c r="G548" s="5813">
        <v>0.11527777777777778</v>
      </c>
      <c r="H548" s="21" t="s">
        <v>10</v>
      </c>
      <c r="I548" s="21" t="s">
        <v>3024</v>
      </c>
      <c r="J548" s="21" t="s">
        <v>8272</v>
      </c>
      <c r="K548" s="5814" t="s">
        <v>8273</v>
      </c>
    </row>
    <row r="549" spans="1:11">
      <c r="A549" s="21" t="s">
        <v>2280</v>
      </c>
      <c r="B549" s="21" t="s">
        <v>8274</v>
      </c>
      <c r="C549" s="21" t="s">
        <v>8</v>
      </c>
      <c r="D549" s="21" t="s">
        <v>701</v>
      </c>
      <c r="E549" s="21" t="s">
        <v>61</v>
      </c>
      <c r="F549" s="5812">
        <v>1</v>
      </c>
      <c r="G549" s="5813">
        <v>0.12222222222222222</v>
      </c>
      <c r="H549" s="21" t="s">
        <v>10</v>
      </c>
      <c r="I549" s="21" t="s">
        <v>2297</v>
      </c>
      <c r="J549" s="21" t="s">
        <v>67</v>
      </c>
      <c r="K549" s="5814" t="s">
        <v>8275</v>
      </c>
    </row>
    <row r="550" spans="1:11">
      <c r="A550" s="21" t="s">
        <v>65</v>
      </c>
      <c r="B550" s="21" t="s">
        <v>778</v>
      </c>
      <c r="C550" s="21" t="s">
        <v>8</v>
      </c>
      <c r="D550" s="21" t="s">
        <v>701</v>
      </c>
      <c r="E550" s="21" t="s">
        <v>61</v>
      </c>
      <c r="F550" s="5812">
        <v>1</v>
      </c>
      <c r="G550" s="5813">
        <v>0.12361111111111112</v>
      </c>
      <c r="H550" s="21" t="s">
        <v>10</v>
      </c>
      <c r="I550" s="21" t="s">
        <v>89</v>
      </c>
      <c r="J550" s="21" t="s">
        <v>67</v>
      </c>
      <c r="K550" s="5814" t="s">
        <v>779</v>
      </c>
    </row>
    <row r="551" spans="1:11">
      <c r="A551" s="21" t="s">
        <v>3515</v>
      </c>
      <c r="B551" s="21" t="s">
        <v>8276</v>
      </c>
      <c r="C551" s="21" t="s">
        <v>8</v>
      </c>
      <c r="D551" s="21" t="s">
        <v>701</v>
      </c>
      <c r="E551" s="21" t="s">
        <v>61</v>
      </c>
      <c r="F551" s="5812">
        <v>1</v>
      </c>
      <c r="G551" s="5813">
        <v>0.125</v>
      </c>
      <c r="H551" s="21" t="s">
        <v>10</v>
      </c>
      <c r="I551" s="21" t="s">
        <v>96</v>
      </c>
      <c r="J551" s="21" t="s">
        <v>928</v>
      </c>
      <c r="K551" s="5814" t="s">
        <v>8277</v>
      </c>
    </row>
    <row r="552" spans="1:11">
      <c r="A552" s="21" t="s">
        <v>3012</v>
      </c>
      <c r="B552" s="21" t="s">
        <v>8278</v>
      </c>
      <c r="C552" s="21" t="s">
        <v>22</v>
      </c>
      <c r="D552" s="21" t="s">
        <v>701</v>
      </c>
      <c r="E552" s="21" t="s">
        <v>61</v>
      </c>
      <c r="F552" s="5812">
        <v>1</v>
      </c>
      <c r="G552" s="5813">
        <v>0.12569444444444444</v>
      </c>
      <c r="H552" s="21" t="s">
        <v>10</v>
      </c>
      <c r="I552" s="21" t="s">
        <v>55</v>
      </c>
      <c r="J552" s="21" t="s">
        <v>8279</v>
      </c>
      <c r="K552" s="5814" t="s">
        <v>8280</v>
      </c>
    </row>
    <row r="553" spans="1:11">
      <c r="A553" s="21" t="s">
        <v>2413</v>
      </c>
      <c r="B553" s="21" t="s">
        <v>8281</v>
      </c>
      <c r="C553" s="21" t="s">
        <v>8</v>
      </c>
      <c r="D553" s="21" t="s">
        <v>701</v>
      </c>
      <c r="E553" s="21" t="s">
        <v>61</v>
      </c>
      <c r="F553" s="5812">
        <v>1</v>
      </c>
      <c r="G553" s="5813">
        <v>0.12847222222222221</v>
      </c>
      <c r="H553" s="21" t="s">
        <v>10</v>
      </c>
      <c r="I553" s="21" t="s">
        <v>55</v>
      </c>
      <c r="J553" s="21" t="s">
        <v>67</v>
      </c>
      <c r="K553" s="5814" t="s">
        <v>8282</v>
      </c>
    </row>
    <row r="554" spans="1:11">
      <c r="A554" s="21" t="s">
        <v>2961</v>
      </c>
      <c r="B554" s="21" t="s">
        <v>8283</v>
      </c>
      <c r="C554" s="21" t="s">
        <v>8</v>
      </c>
      <c r="D554" s="21" t="s">
        <v>701</v>
      </c>
      <c r="E554" s="21" t="s">
        <v>61</v>
      </c>
      <c r="F554" s="5812">
        <v>1</v>
      </c>
      <c r="G554" s="5813">
        <v>0.12847222222222221</v>
      </c>
      <c r="H554" s="21" t="s">
        <v>10</v>
      </c>
      <c r="I554" s="21" t="s">
        <v>2260</v>
      </c>
      <c r="J554" s="21" t="s">
        <v>3271</v>
      </c>
      <c r="K554" s="5814" t="s">
        <v>8284</v>
      </c>
    </row>
    <row r="555" spans="1:11">
      <c r="A555" s="21" t="s">
        <v>223</v>
      </c>
      <c r="B555" s="21" t="s">
        <v>927</v>
      </c>
      <c r="C555" s="21" t="s">
        <v>8</v>
      </c>
      <c r="D555" s="21" t="s">
        <v>701</v>
      </c>
      <c r="E555" s="21" t="s">
        <v>61</v>
      </c>
      <c r="F555" s="5812">
        <v>1</v>
      </c>
      <c r="G555" s="5813">
        <v>0.13055555555555556</v>
      </c>
      <c r="H555" s="21" t="s">
        <v>10</v>
      </c>
      <c r="I555" s="21" t="s">
        <v>89</v>
      </c>
      <c r="J555" s="21" t="s">
        <v>928</v>
      </c>
      <c r="K555" s="5814" t="s">
        <v>929</v>
      </c>
    </row>
    <row r="556" spans="1:11">
      <c r="A556" s="21" t="s">
        <v>2263</v>
      </c>
      <c r="B556" s="21" t="s">
        <v>8285</v>
      </c>
      <c r="C556" s="21" t="s">
        <v>8</v>
      </c>
      <c r="D556" s="21" t="s">
        <v>701</v>
      </c>
      <c r="E556" s="21" t="s">
        <v>61</v>
      </c>
      <c r="F556" s="5812">
        <v>1</v>
      </c>
      <c r="G556" s="5813">
        <v>0.13750000000000001</v>
      </c>
      <c r="H556" s="21" t="s">
        <v>10</v>
      </c>
      <c r="I556" s="21" t="s">
        <v>55</v>
      </c>
      <c r="J556" s="21" t="s">
        <v>3313</v>
      </c>
      <c r="K556" s="5814" t="s">
        <v>8286</v>
      </c>
    </row>
    <row r="557" spans="1:11">
      <c r="A557" s="21" t="s">
        <v>2372</v>
      </c>
      <c r="B557" s="21" t="s">
        <v>8287</v>
      </c>
      <c r="C557" s="21" t="s">
        <v>22</v>
      </c>
      <c r="D557" s="21" t="s">
        <v>701</v>
      </c>
      <c r="E557" s="21" t="s">
        <v>61</v>
      </c>
      <c r="F557" s="5812">
        <v>1</v>
      </c>
      <c r="G557" s="5813">
        <v>0.1388888888888889</v>
      </c>
      <c r="H557" s="21" t="s">
        <v>10</v>
      </c>
      <c r="I557" s="21" t="s">
        <v>226</v>
      </c>
      <c r="J557" s="21" t="s">
        <v>67</v>
      </c>
      <c r="K557" s="5814" t="s">
        <v>8288</v>
      </c>
    </row>
    <row r="558" spans="1:11">
      <c r="A558" s="21" t="s">
        <v>2428</v>
      </c>
      <c r="B558" s="21" t="s">
        <v>8289</v>
      </c>
      <c r="C558" s="21" t="s">
        <v>8</v>
      </c>
      <c r="D558" s="21" t="s">
        <v>701</v>
      </c>
      <c r="E558" s="21" t="s">
        <v>61</v>
      </c>
      <c r="F558" s="5812">
        <v>1</v>
      </c>
      <c r="G558" s="5813">
        <v>0.14027777777777778</v>
      </c>
      <c r="H558" s="21" t="s">
        <v>54</v>
      </c>
      <c r="I558" s="21" t="s">
        <v>47</v>
      </c>
      <c r="J558" s="21" t="s">
        <v>67</v>
      </c>
      <c r="K558" s="5814" t="s">
        <v>8290</v>
      </c>
    </row>
    <row r="559" spans="1:11">
      <c r="A559" s="21" t="s">
        <v>3647</v>
      </c>
      <c r="B559" s="21" t="s">
        <v>8291</v>
      </c>
      <c r="C559" s="21" t="s">
        <v>8</v>
      </c>
      <c r="D559" s="21" t="s">
        <v>701</v>
      </c>
      <c r="E559" s="21" t="s">
        <v>61</v>
      </c>
      <c r="F559" s="5812">
        <v>1</v>
      </c>
      <c r="G559" s="5813">
        <v>0.14722222222222223</v>
      </c>
      <c r="H559" s="21" t="s">
        <v>10</v>
      </c>
      <c r="I559" s="21" t="s">
        <v>55</v>
      </c>
      <c r="J559" s="21" t="s">
        <v>3313</v>
      </c>
      <c r="K559" s="5814" t="s">
        <v>8292</v>
      </c>
    </row>
    <row r="560" spans="1:11">
      <c r="A560" s="21" t="s">
        <v>2438</v>
      </c>
      <c r="B560" s="21" t="s">
        <v>8293</v>
      </c>
      <c r="C560" s="21" t="s">
        <v>8</v>
      </c>
      <c r="D560" s="21" t="s">
        <v>701</v>
      </c>
      <c r="E560" s="21" t="s">
        <v>61</v>
      </c>
      <c r="F560" s="5812">
        <v>1</v>
      </c>
      <c r="G560" s="5813">
        <v>0.15902777777777777</v>
      </c>
      <c r="H560" s="21" t="s">
        <v>10</v>
      </c>
      <c r="I560" s="21" t="s">
        <v>2313</v>
      </c>
      <c r="J560" s="21" t="s">
        <v>67</v>
      </c>
      <c r="K560" s="5814" t="s">
        <v>8294</v>
      </c>
    </row>
    <row r="561" spans="1:11">
      <c r="A561" s="21" t="s">
        <v>2291</v>
      </c>
      <c r="B561" s="21" t="s">
        <v>8295</v>
      </c>
      <c r="C561" s="21" t="s">
        <v>22</v>
      </c>
      <c r="D561" s="21" t="s">
        <v>701</v>
      </c>
      <c r="E561" s="21" t="s">
        <v>61</v>
      </c>
      <c r="F561" s="5812">
        <v>1</v>
      </c>
      <c r="G561" s="5813">
        <v>0.16041666666666668</v>
      </c>
      <c r="H561" s="21" t="s">
        <v>10</v>
      </c>
      <c r="I561" s="21" t="s">
        <v>55</v>
      </c>
      <c r="J561" s="21" t="s">
        <v>67</v>
      </c>
      <c r="K561" s="5814" t="s">
        <v>8296</v>
      </c>
    </row>
    <row r="562" spans="1:11">
      <c r="A562" s="21" t="s">
        <v>2237</v>
      </c>
      <c r="B562" s="21" t="s">
        <v>8297</v>
      </c>
      <c r="C562" s="21" t="s">
        <v>8</v>
      </c>
      <c r="D562" s="21" t="s">
        <v>701</v>
      </c>
      <c r="E562" s="21" t="s">
        <v>61</v>
      </c>
      <c r="F562" s="5812">
        <v>1</v>
      </c>
      <c r="G562" s="5813">
        <v>0.16250000000000001</v>
      </c>
      <c r="H562" s="21" t="s">
        <v>10</v>
      </c>
      <c r="I562" s="21" t="s">
        <v>2194</v>
      </c>
      <c r="J562" s="21" t="s">
        <v>782</v>
      </c>
      <c r="K562" s="5814" t="s">
        <v>8298</v>
      </c>
    </row>
    <row r="563" spans="1:11">
      <c r="A563" s="21" t="s">
        <v>3170</v>
      </c>
      <c r="B563" s="21" t="s">
        <v>8299</v>
      </c>
      <c r="C563" s="21" t="s">
        <v>22</v>
      </c>
      <c r="D563" s="21" t="s">
        <v>701</v>
      </c>
      <c r="E563" s="21" t="s">
        <v>61</v>
      </c>
      <c r="F563" s="5812">
        <v>1</v>
      </c>
      <c r="G563" s="5813">
        <v>0.16388888888888889</v>
      </c>
      <c r="H563" s="21" t="s">
        <v>10</v>
      </c>
      <c r="I563" s="21"/>
      <c r="J563" s="21" t="s">
        <v>67</v>
      </c>
      <c r="K563" s="5814" t="s">
        <v>8300</v>
      </c>
    </row>
    <row r="564" spans="1:11">
      <c r="A564" s="21" t="s">
        <v>3152</v>
      </c>
      <c r="B564" s="21" t="s">
        <v>8301</v>
      </c>
      <c r="C564" s="21" t="s">
        <v>22</v>
      </c>
      <c r="D564" s="21" t="s">
        <v>701</v>
      </c>
      <c r="E564" s="21" t="s">
        <v>61</v>
      </c>
      <c r="F564" s="5812">
        <v>1</v>
      </c>
      <c r="G564" s="5813">
        <v>0.1673611111111111</v>
      </c>
      <c r="H564" s="21" t="s">
        <v>10</v>
      </c>
      <c r="I564" s="21" t="s">
        <v>96</v>
      </c>
      <c r="J564" s="21" t="s">
        <v>67</v>
      </c>
      <c r="K564" s="5814" t="s">
        <v>8302</v>
      </c>
    </row>
    <row r="565" spans="1:11">
      <c r="A565" s="21" t="s">
        <v>3217</v>
      </c>
      <c r="B565" s="21" t="s">
        <v>8303</v>
      </c>
      <c r="C565" s="21" t="s">
        <v>8</v>
      </c>
      <c r="D565" s="21" t="s">
        <v>701</v>
      </c>
      <c r="E565" s="21" t="s">
        <v>61</v>
      </c>
      <c r="F565" s="5812">
        <v>1</v>
      </c>
      <c r="G565" s="5813">
        <v>0.17708333333333334</v>
      </c>
      <c r="H565" s="21" t="s">
        <v>10</v>
      </c>
      <c r="I565" s="21" t="s">
        <v>233</v>
      </c>
      <c r="J565" s="21" t="s">
        <v>67</v>
      </c>
      <c r="K565" s="5814" t="s">
        <v>8304</v>
      </c>
    </row>
    <row r="566" spans="1:11">
      <c r="A566" s="21" t="s">
        <v>3144</v>
      </c>
      <c r="B566" s="21" t="s">
        <v>8305</v>
      </c>
      <c r="C566" s="21" t="s">
        <v>8</v>
      </c>
      <c r="D566" s="21" t="s">
        <v>701</v>
      </c>
      <c r="E566" s="21" t="s">
        <v>61</v>
      </c>
      <c r="F566" s="5812">
        <v>1</v>
      </c>
      <c r="G566" s="5813">
        <v>0.1875</v>
      </c>
      <c r="H566" s="21" t="s">
        <v>10</v>
      </c>
      <c r="I566" s="21" t="s">
        <v>4417</v>
      </c>
      <c r="J566" s="21" t="s">
        <v>67</v>
      </c>
      <c r="K566" s="5814" t="s">
        <v>8306</v>
      </c>
    </row>
    <row r="567" spans="1:11">
      <c r="A567" s="21" t="s">
        <v>94</v>
      </c>
      <c r="B567" s="21" t="s">
        <v>726</v>
      </c>
      <c r="C567" s="21" t="s">
        <v>22</v>
      </c>
      <c r="D567" s="21" t="s">
        <v>701</v>
      </c>
      <c r="E567" s="21" t="s">
        <v>61</v>
      </c>
      <c r="F567" s="5812">
        <v>1</v>
      </c>
      <c r="G567" s="5813">
        <v>0.18958333333333333</v>
      </c>
      <c r="H567" s="21" t="s">
        <v>10</v>
      </c>
      <c r="I567" s="21" t="s">
        <v>55</v>
      </c>
      <c r="J567" s="21" t="s">
        <v>67</v>
      </c>
      <c r="K567" s="5814" t="s">
        <v>727</v>
      </c>
    </row>
    <row r="568" spans="1:11">
      <c r="A568" s="21" t="s">
        <v>3651</v>
      </c>
      <c r="B568" s="21" t="s">
        <v>8307</v>
      </c>
      <c r="C568" s="21" t="s">
        <v>22</v>
      </c>
      <c r="D568" s="21" t="s">
        <v>701</v>
      </c>
      <c r="E568" s="21" t="s">
        <v>61</v>
      </c>
      <c r="F568" s="5812">
        <v>1</v>
      </c>
      <c r="G568" s="5813">
        <v>0.19236111111111112</v>
      </c>
      <c r="H568" s="21" t="s">
        <v>54</v>
      </c>
      <c r="I568" s="21" t="s">
        <v>2247</v>
      </c>
      <c r="J568" s="21" t="s">
        <v>67</v>
      </c>
      <c r="K568" s="5814" t="s">
        <v>8308</v>
      </c>
    </row>
    <row r="569" spans="1:11">
      <c r="A569" s="21" t="s">
        <v>4233</v>
      </c>
      <c r="B569" s="21" t="s">
        <v>8309</v>
      </c>
      <c r="C569" s="21" t="s">
        <v>22</v>
      </c>
      <c r="D569" s="21" t="s">
        <v>701</v>
      </c>
      <c r="E569" s="21" t="s">
        <v>61</v>
      </c>
      <c r="F569" s="5812">
        <v>1</v>
      </c>
      <c r="G569" s="5813">
        <v>0.19652777777777777</v>
      </c>
      <c r="H569" s="21" t="s">
        <v>10</v>
      </c>
      <c r="I569" s="21" t="s">
        <v>8310</v>
      </c>
      <c r="J569" s="21" t="s">
        <v>1444</v>
      </c>
      <c r="K569" s="5814" t="s">
        <v>8311</v>
      </c>
    </row>
    <row r="570" spans="1:11">
      <c r="A570" s="21" t="s">
        <v>4552</v>
      </c>
      <c r="B570" s="21" t="s">
        <v>8312</v>
      </c>
      <c r="C570" s="21" t="s">
        <v>22</v>
      </c>
      <c r="D570" s="21" t="s">
        <v>701</v>
      </c>
      <c r="E570" s="21" t="s">
        <v>61</v>
      </c>
      <c r="F570" s="5812">
        <v>1</v>
      </c>
      <c r="G570" s="5813">
        <v>0.2</v>
      </c>
      <c r="H570" s="21" t="s">
        <v>10</v>
      </c>
      <c r="I570" s="21" t="s">
        <v>55</v>
      </c>
      <c r="J570" s="21" t="s">
        <v>67</v>
      </c>
      <c r="K570" s="5814" t="s">
        <v>8313</v>
      </c>
    </row>
    <row r="571" spans="1:11">
      <c r="A571" s="21" t="s">
        <v>3002</v>
      </c>
      <c r="B571" s="21" t="s">
        <v>8314</v>
      </c>
      <c r="C571" s="21" t="s">
        <v>8</v>
      </c>
      <c r="D571" s="21" t="s">
        <v>701</v>
      </c>
      <c r="E571" s="21" t="s">
        <v>61</v>
      </c>
      <c r="F571" s="5812">
        <v>1</v>
      </c>
      <c r="G571" s="5813">
        <v>0.2013888888888889</v>
      </c>
      <c r="H571" s="21" t="s">
        <v>10</v>
      </c>
      <c r="I571" s="21" t="s">
        <v>2872</v>
      </c>
      <c r="J571" s="21" t="s">
        <v>974</v>
      </c>
      <c r="K571" s="5814" t="s">
        <v>8315</v>
      </c>
    </row>
    <row r="572" spans="1:11">
      <c r="A572" s="21" t="s">
        <v>4671</v>
      </c>
      <c r="B572" s="21" t="s">
        <v>8316</v>
      </c>
      <c r="C572" s="21" t="s">
        <v>22</v>
      </c>
      <c r="D572" s="21" t="s">
        <v>701</v>
      </c>
      <c r="E572" s="21" t="s">
        <v>61</v>
      </c>
      <c r="F572" s="5812">
        <v>1</v>
      </c>
      <c r="G572" s="5813">
        <v>0.20347222222222222</v>
      </c>
      <c r="H572" s="21" t="s">
        <v>10</v>
      </c>
      <c r="I572" s="21" t="s">
        <v>2269</v>
      </c>
      <c r="J572" s="21" t="s">
        <v>3391</v>
      </c>
      <c r="K572" s="5814" t="s">
        <v>8317</v>
      </c>
    </row>
    <row r="573" spans="1:11">
      <c r="A573" s="21" t="s">
        <v>2655</v>
      </c>
      <c r="B573" s="21" t="s">
        <v>8318</v>
      </c>
      <c r="C573" s="21" t="s">
        <v>8</v>
      </c>
      <c r="D573" s="21" t="s">
        <v>701</v>
      </c>
      <c r="E573" s="21" t="s">
        <v>61</v>
      </c>
      <c r="F573" s="5812">
        <v>1</v>
      </c>
      <c r="G573" s="5813">
        <v>0.2048611111111111</v>
      </c>
      <c r="H573" s="21" t="s">
        <v>10</v>
      </c>
      <c r="I573" s="21" t="s">
        <v>2269</v>
      </c>
      <c r="J573" s="21" t="s">
        <v>1194</v>
      </c>
      <c r="K573" s="5814" t="s">
        <v>8319</v>
      </c>
    </row>
    <row r="574" spans="1:11">
      <c r="A574" s="21" t="s">
        <v>2250</v>
      </c>
      <c r="B574" s="21" t="s">
        <v>8320</v>
      </c>
      <c r="C574" s="21" t="s">
        <v>8</v>
      </c>
      <c r="D574" s="21" t="s">
        <v>701</v>
      </c>
      <c r="E574" s="21" t="s">
        <v>61</v>
      </c>
      <c r="F574" s="5812">
        <v>1</v>
      </c>
      <c r="G574" s="5813">
        <v>0.20624999999999999</v>
      </c>
      <c r="H574" s="21" t="s">
        <v>10</v>
      </c>
      <c r="I574" s="21" t="s">
        <v>96</v>
      </c>
      <c r="J574" s="21" t="s">
        <v>5461</v>
      </c>
      <c r="K574" s="5814" t="s">
        <v>8321</v>
      </c>
    </row>
    <row r="575" spans="1:11">
      <c r="A575" s="21" t="s">
        <v>2139</v>
      </c>
      <c r="B575" s="21" t="s">
        <v>8322</v>
      </c>
      <c r="C575" s="21" t="s">
        <v>22</v>
      </c>
      <c r="D575" s="21" t="s">
        <v>701</v>
      </c>
      <c r="E575" s="21" t="s">
        <v>61</v>
      </c>
      <c r="F575" s="5812">
        <v>2</v>
      </c>
      <c r="G575" s="5813">
        <v>1.7361111111111112E-2</v>
      </c>
      <c r="H575" s="21" t="s">
        <v>10</v>
      </c>
      <c r="I575" s="21" t="s">
        <v>11</v>
      </c>
      <c r="J575" s="21" t="s">
        <v>8323</v>
      </c>
      <c r="K575" s="5814" t="s">
        <v>8324</v>
      </c>
    </row>
    <row r="576" spans="1:11">
      <c r="A576" s="21" t="s">
        <v>3427</v>
      </c>
      <c r="B576" s="21" t="s">
        <v>8325</v>
      </c>
      <c r="C576" s="21" t="s">
        <v>8</v>
      </c>
      <c r="D576" s="21" t="s">
        <v>701</v>
      </c>
      <c r="E576" s="21" t="s">
        <v>61</v>
      </c>
      <c r="F576" s="5812">
        <v>2</v>
      </c>
      <c r="G576" s="5813">
        <v>2.8472222222222222E-2</v>
      </c>
      <c r="H576" s="21" t="s">
        <v>10</v>
      </c>
      <c r="I576" s="21" t="s">
        <v>39</v>
      </c>
      <c r="J576" s="21" t="s">
        <v>3313</v>
      </c>
      <c r="K576" s="5814" t="s">
        <v>8326</v>
      </c>
    </row>
    <row r="577" spans="1:11">
      <c r="A577" s="21" t="s">
        <v>2707</v>
      </c>
      <c r="B577" s="21" t="s">
        <v>8327</v>
      </c>
      <c r="C577" s="21" t="s">
        <v>22</v>
      </c>
      <c r="D577" s="21" t="s">
        <v>701</v>
      </c>
      <c r="E577" s="21" t="s">
        <v>61</v>
      </c>
      <c r="F577" s="5812">
        <v>2</v>
      </c>
      <c r="G577" s="5813">
        <v>3.6111111111111108E-2</v>
      </c>
      <c r="H577" s="21" t="s">
        <v>10</v>
      </c>
      <c r="I577" s="21" t="s">
        <v>55</v>
      </c>
      <c r="J577" s="21" t="s">
        <v>3326</v>
      </c>
      <c r="K577" s="5814" t="s">
        <v>8328</v>
      </c>
    </row>
    <row r="578" spans="1:11">
      <c r="A578" s="21" t="s">
        <v>2998</v>
      </c>
      <c r="B578" s="21" t="s">
        <v>8329</v>
      </c>
      <c r="C578" s="21" t="s">
        <v>8</v>
      </c>
      <c r="D578" s="21" t="s">
        <v>701</v>
      </c>
      <c r="E578" s="21" t="s">
        <v>61</v>
      </c>
      <c r="F578" s="5812">
        <v>2</v>
      </c>
      <c r="G578" s="5813">
        <v>3.8194444444444448E-2</v>
      </c>
      <c r="H578" s="21" t="s">
        <v>10</v>
      </c>
      <c r="I578" s="21" t="s">
        <v>400</v>
      </c>
      <c r="J578" s="21" t="s">
        <v>1327</v>
      </c>
      <c r="K578" s="5814" t="s">
        <v>8330</v>
      </c>
    </row>
    <row r="579" spans="1:11">
      <c r="A579" s="21" t="s">
        <v>3256</v>
      </c>
      <c r="B579" s="21" t="s">
        <v>8331</v>
      </c>
      <c r="C579" s="21" t="s">
        <v>8</v>
      </c>
      <c r="D579" s="21" t="s">
        <v>701</v>
      </c>
      <c r="E579" s="21" t="s">
        <v>61</v>
      </c>
      <c r="F579" s="5812">
        <v>2</v>
      </c>
      <c r="G579" s="5813">
        <v>4.0972222222222222E-2</v>
      </c>
      <c r="H579" s="21" t="s">
        <v>10</v>
      </c>
      <c r="I579" s="21" t="s">
        <v>209</v>
      </c>
      <c r="J579" s="21" t="s">
        <v>782</v>
      </c>
      <c r="K579" s="5814" t="s">
        <v>8332</v>
      </c>
    </row>
    <row r="580" spans="1:11">
      <c r="A580" s="21" t="s">
        <v>3855</v>
      </c>
      <c r="B580" s="21" t="s">
        <v>8333</v>
      </c>
      <c r="C580" s="21" t="s">
        <v>8</v>
      </c>
      <c r="D580" s="21" t="s">
        <v>701</v>
      </c>
      <c r="E580" s="21" t="s">
        <v>61</v>
      </c>
      <c r="F580" s="5812">
        <v>2</v>
      </c>
      <c r="G580" s="5813">
        <v>4.6527777777777779E-2</v>
      </c>
      <c r="H580" s="21" t="s">
        <v>10</v>
      </c>
      <c r="I580" s="21" t="s">
        <v>11</v>
      </c>
      <c r="J580" s="21" t="s">
        <v>67</v>
      </c>
      <c r="K580" s="5814" t="s">
        <v>8334</v>
      </c>
    </row>
    <row r="581" spans="1:11">
      <c r="A581" s="21" t="s">
        <v>2921</v>
      </c>
      <c r="B581" s="21" t="s">
        <v>8335</v>
      </c>
      <c r="C581" s="21" t="s">
        <v>22</v>
      </c>
      <c r="D581" s="21" t="s">
        <v>701</v>
      </c>
      <c r="E581" s="21" t="s">
        <v>61</v>
      </c>
      <c r="F581" s="5812">
        <v>2</v>
      </c>
      <c r="G581" s="5813">
        <v>5.5555555555555552E-2</v>
      </c>
      <c r="H581" s="21" t="s">
        <v>10</v>
      </c>
      <c r="I581" s="21" t="s">
        <v>226</v>
      </c>
      <c r="J581" s="21" t="s">
        <v>67</v>
      </c>
      <c r="K581" s="5814" t="s">
        <v>8336</v>
      </c>
    </row>
    <row r="582" spans="1:11">
      <c r="A582" s="21" t="s">
        <v>2897</v>
      </c>
      <c r="B582" s="21" t="s">
        <v>8337</v>
      </c>
      <c r="C582" s="21" t="s">
        <v>8</v>
      </c>
      <c r="D582" s="21" t="s">
        <v>701</v>
      </c>
      <c r="E582" s="21" t="s">
        <v>61</v>
      </c>
      <c r="F582" s="5812">
        <v>2</v>
      </c>
      <c r="G582" s="5813">
        <v>5.6250000000000001E-2</v>
      </c>
      <c r="H582" s="21" t="s">
        <v>10</v>
      </c>
      <c r="I582" s="21" t="s">
        <v>11</v>
      </c>
      <c r="J582" s="21" t="s">
        <v>67</v>
      </c>
      <c r="K582" s="5814" t="s">
        <v>8338</v>
      </c>
    </row>
    <row r="583" spans="1:11">
      <c r="A583" s="21" t="s">
        <v>2450</v>
      </c>
      <c r="B583" s="21" t="s">
        <v>8339</v>
      </c>
      <c r="C583" s="21" t="s">
        <v>22</v>
      </c>
      <c r="D583" s="21" t="s">
        <v>701</v>
      </c>
      <c r="E583" s="21" t="s">
        <v>61</v>
      </c>
      <c r="F583" s="5812">
        <v>2</v>
      </c>
      <c r="G583" s="5813">
        <v>5.7638888888888892E-2</v>
      </c>
      <c r="H583" s="21" t="s">
        <v>10</v>
      </c>
      <c r="I583" s="21" t="s">
        <v>89</v>
      </c>
      <c r="J583" s="21" t="s">
        <v>67</v>
      </c>
      <c r="K583" s="5814" t="s">
        <v>8340</v>
      </c>
    </row>
    <row r="584" spans="1:11">
      <c r="A584" s="21" t="s">
        <v>2955</v>
      </c>
      <c r="B584" s="21" t="s">
        <v>8341</v>
      </c>
      <c r="C584" s="21" t="s">
        <v>22</v>
      </c>
      <c r="D584" s="21" t="s">
        <v>701</v>
      </c>
      <c r="E584" s="21" t="s">
        <v>61</v>
      </c>
      <c r="F584" s="5812">
        <v>2</v>
      </c>
      <c r="G584" s="5813">
        <v>6.3888888888888884E-2</v>
      </c>
      <c r="H584" s="21" t="s">
        <v>10</v>
      </c>
      <c r="I584" s="21" t="s">
        <v>39</v>
      </c>
      <c r="J584" s="21" t="s">
        <v>67</v>
      </c>
      <c r="K584" s="5814" t="s">
        <v>8342</v>
      </c>
    </row>
    <row r="585" spans="1:11">
      <c r="A585" s="21" t="s">
        <v>20</v>
      </c>
      <c r="B585" s="21" t="s">
        <v>835</v>
      </c>
      <c r="C585" s="21" t="s">
        <v>22</v>
      </c>
      <c r="D585" s="21" t="s">
        <v>701</v>
      </c>
      <c r="E585" s="21" t="s">
        <v>61</v>
      </c>
      <c r="F585" s="5812">
        <v>2</v>
      </c>
      <c r="G585" s="5813">
        <v>7.1527777777777773E-2</v>
      </c>
      <c r="H585" s="21" t="s">
        <v>10</v>
      </c>
      <c r="I585" s="21" t="s">
        <v>89</v>
      </c>
      <c r="J585" s="21" t="s">
        <v>836</v>
      </c>
      <c r="K585" s="5814" t="s">
        <v>837</v>
      </c>
    </row>
    <row r="586" spans="1:11">
      <c r="A586" s="21" t="s">
        <v>3311</v>
      </c>
      <c r="B586" s="21" t="s">
        <v>8343</v>
      </c>
      <c r="C586" s="21" t="s">
        <v>22</v>
      </c>
      <c r="D586" s="21" t="s">
        <v>701</v>
      </c>
      <c r="E586" s="21" t="s">
        <v>61</v>
      </c>
      <c r="F586" s="5812">
        <v>2</v>
      </c>
      <c r="G586" s="5813">
        <v>7.3611111111111113E-2</v>
      </c>
      <c r="H586" s="21" t="s">
        <v>10</v>
      </c>
      <c r="I586" s="21" t="s">
        <v>55</v>
      </c>
      <c r="J586" s="21" t="s">
        <v>67</v>
      </c>
      <c r="K586" s="5814" t="s">
        <v>8344</v>
      </c>
    </row>
    <row r="587" spans="1:11">
      <c r="A587" s="21" t="s">
        <v>3116</v>
      </c>
      <c r="B587" s="21" t="s">
        <v>8345</v>
      </c>
      <c r="C587" s="21" t="s">
        <v>8</v>
      </c>
      <c r="D587" s="21" t="s">
        <v>701</v>
      </c>
      <c r="E587" s="21" t="s">
        <v>61</v>
      </c>
      <c r="F587" s="5812">
        <v>2</v>
      </c>
      <c r="G587" s="5813">
        <v>8.6805555555555552E-2</v>
      </c>
      <c r="H587" s="21" t="s">
        <v>10</v>
      </c>
      <c r="I587" s="21" t="s">
        <v>23</v>
      </c>
      <c r="J587" s="21" t="s">
        <v>8346</v>
      </c>
      <c r="K587" s="5814" t="s">
        <v>8347</v>
      </c>
    </row>
    <row r="588" spans="1:11">
      <c r="A588" s="21" t="s">
        <v>3532</v>
      </c>
      <c r="B588" s="21" t="s">
        <v>8348</v>
      </c>
      <c r="C588" s="21" t="s">
        <v>8</v>
      </c>
      <c r="D588" s="21" t="s">
        <v>701</v>
      </c>
      <c r="E588" s="21" t="s">
        <v>61</v>
      </c>
      <c r="F588" s="5812">
        <v>2</v>
      </c>
      <c r="G588" s="5813">
        <v>8.6805555555555552E-2</v>
      </c>
      <c r="H588" s="21" t="s">
        <v>10</v>
      </c>
      <c r="I588" s="21" t="s">
        <v>5887</v>
      </c>
      <c r="J588" s="21" t="s">
        <v>110</v>
      </c>
      <c r="K588" s="5814" t="s">
        <v>8349</v>
      </c>
    </row>
    <row r="589" spans="1:11">
      <c r="A589" s="21" t="s">
        <v>5554</v>
      </c>
      <c r="B589" s="21" t="s">
        <v>8350</v>
      </c>
      <c r="C589" s="21" t="s">
        <v>8</v>
      </c>
      <c r="D589" s="21" t="s">
        <v>701</v>
      </c>
      <c r="E589" s="21" t="s">
        <v>61</v>
      </c>
      <c r="F589" s="5812">
        <v>2</v>
      </c>
      <c r="G589" s="5813">
        <v>9.0972222222222218E-2</v>
      </c>
      <c r="H589" s="21" t="s">
        <v>10</v>
      </c>
      <c r="I589" s="21" t="s">
        <v>4254</v>
      </c>
      <c r="J589" s="21" t="s">
        <v>836</v>
      </c>
      <c r="K589" s="5814" t="s">
        <v>8351</v>
      </c>
    </row>
    <row r="590" spans="1:11">
      <c r="A590" s="21" t="s">
        <v>3006</v>
      </c>
      <c r="B590" s="21" t="s">
        <v>8352</v>
      </c>
      <c r="C590" s="21" t="s">
        <v>8</v>
      </c>
      <c r="D590" s="21" t="s">
        <v>701</v>
      </c>
      <c r="E590" s="21" t="s">
        <v>61</v>
      </c>
      <c r="F590" s="5812">
        <v>2</v>
      </c>
      <c r="G590" s="5813">
        <v>9.8611111111111108E-2</v>
      </c>
      <c r="H590" s="21" t="s">
        <v>10</v>
      </c>
      <c r="I590" s="21" t="s">
        <v>2297</v>
      </c>
      <c r="J590" s="21" t="s">
        <v>8353</v>
      </c>
      <c r="K590" s="5814" t="s">
        <v>8354</v>
      </c>
    </row>
    <row r="591" spans="1:11">
      <c r="A591" s="21" t="s">
        <v>5264</v>
      </c>
      <c r="B591" s="21" t="s">
        <v>8355</v>
      </c>
      <c r="C591" s="21" t="s">
        <v>8</v>
      </c>
      <c r="D591" s="21" t="s">
        <v>701</v>
      </c>
      <c r="E591" s="21" t="s">
        <v>61</v>
      </c>
      <c r="F591" s="5812">
        <v>2</v>
      </c>
      <c r="G591" s="5813">
        <v>0.10972222222222222</v>
      </c>
      <c r="H591" s="21" t="s">
        <v>10</v>
      </c>
      <c r="I591" s="21"/>
      <c r="J591" s="21" t="s">
        <v>67</v>
      </c>
      <c r="K591" s="5814" t="s">
        <v>8356</v>
      </c>
    </row>
    <row r="592" spans="1:11">
      <c r="A592" s="21" t="s">
        <v>2300</v>
      </c>
      <c r="B592" s="21" t="s">
        <v>8357</v>
      </c>
      <c r="C592" s="21" t="s">
        <v>8</v>
      </c>
      <c r="D592" s="21" t="s">
        <v>701</v>
      </c>
      <c r="E592" s="21" t="s">
        <v>61</v>
      </c>
      <c r="F592" s="5812">
        <v>2</v>
      </c>
      <c r="G592" s="5813">
        <v>0.11041666666666666</v>
      </c>
      <c r="H592" s="21" t="s">
        <v>2081</v>
      </c>
      <c r="I592" s="21" t="s">
        <v>8358</v>
      </c>
      <c r="J592" s="21" t="s">
        <v>3326</v>
      </c>
      <c r="K592" s="5814" t="s">
        <v>8359</v>
      </c>
    </row>
    <row r="593" spans="1:11">
      <c r="A593" s="21" t="s">
        <v>3909</v>
      </c>
      <c r="B593" s="21" t="s">
        <v>8360</v>
      </c>
      <c r="C593" s="21" t="s">
        <v>8</v>
      </c>
      <c r="D593" s="21" t="s">
        <v>701</v>
      </c>
      <c r="E593" s="21" t="s">
        <v>61</v>
      </c>
      <c r="F593" s="5812">
        <v>2</v>
      </c>
      <c r="G593" s="5813">
        <v>0.11527777777777778</v>
      </c>
      <c r="H593" s="21" t="s">
        <v>10</v>
      </c>
      <c r="I593" s="21" t="s">
        <v>2544</v>
      </c>
      <c r="J593" s="21" t="s">
        <v>67</v>
      </c>
      <c r="K593" s="5814" t="s">
        <v>8361</v>
      </c>
    </row>
    <row r="594" spans="1:11">
      <c r="A594" s="21" t="s">
        <v>4423</v>
      </c>
      <c r="B594" s="21" t="s">
        <v>8362</v>
      </c>
      <c r="C594" s="21" t="s">
        <v>22</v>
      </c>
      <c r="D594" s="21" t="s">
        <v>701</v>
      </c>
      <c r="E594" s="21" t="s">
        <v>61</v>
      </c>
      <c r="F594" s="5812">
        <v>2</v>
      </c>
      <c r="G594" s="5813">
        <v>0.12083333333333333</v>
      </c>
      <c r="H594" s="21" t="s">
        <v>10</v>
      </c>
      <c r="I594" s="21" t="s">
        <v>2297</v>
      </c>
      <c r="J594" s="21" t="s">
        <v>782</v>
      </c>
      <c r="K594" s="5814" t="s">
        <v>8363</v>
      </c>
    </row>
    <row r="595" spans="1:11">
      <c r="A595" s="21" t="s">
        <v>2808</v>
      </c>
      <c r="B595" s="21" t="s">
        <v>8364</v>
      </c>
      <c r="C595" s="21" t="s">
        <v>8</v>
      </c>
      <c r="D595" s="21" t="s">
        <v>701</v>
      </c>
      <c r="E595" s="21" t="s">
        <v>61</v>
      </c>
      <c r="F595" s="5812">
        <v>2</v>
      </c>
      <c r="G595" s="5813">
        <v>0.12291666666666666</v>
      </c>
      <c r="H595" s="21" t="s">
        <v>10</v>
      </c>
      <c r="I595" s="21" t="s">
        <v>226</v>
      </c>
      <c r="J595" s="21" t="s">
        <v>67</v>
      </c>
      <c r="K595" s="5814" t="s">
        <v>8365</v>
      </c>
    </row>
    <row r="596" spans="1:11">
      <c r="A596" s="21" t="s">
        <v>3427</v>
      </c>
      <c r="B596" s="21" t="s">
        <v>8366</v>
      </c>
      <c r="C596" s="21" t="s">
        <v>22</v>
      </c>
      <c r="D596" s="21" t="s">
        <v>701</v>
      </c>
      <c r="E596" s="21" t="s">
        <v>61</v>
      </c>
      <c r="F596" s="5812">
        <v>2</v>
      </c>
      <c r="G596" s="5813">
        <v>0.12291666666666666</v>
      </c>
      <c r="H596" s="21" t="s">
        <v>10</v>
      </c>
      <c r="I596" s="21" t="s">
        <v>96</v>
      </c>
      <c r="J596" s="21" t="s">
        <v>67</v>
      </c>
      <c r="K596" s="5814" t="s">
        <v>8367</v>
      </c>
    </row>
    <row r="597" spans="1:11">
      <c r="A597" s="21" t="s">
        <v>339</v>
      </c>
      <c r="B597" s="21" t="s">
        <v>781</v>
      </c>
      <c r="C597" s="21" t="s">
        <v>8</v>
      </c>
      <c r="D597" s="21" t="s">
        <v>701</v>
      </c>
      <c r="E597" s="21" t="s">
        <v>61</v>
      </c>
      <c r="F597" s="5812">
        <v>2</v>
      </c>
      <c r="G597" s="5813">
        <v>0.125</v>
      </c>
      <c r="H597" s="21" t="s">
        <v>10</v>
      </c>
      <c r="I597" s="21" t="s">
        <v>11</v>
      </c>
      <c r="J597" s="21" t="s">
        <v>782</v>
      </c>
      <c r="K597" s="5814" t="s">
        <v>783</v>
      </c>
    </row>
    <row r="598" spans="1:11">
      <c r="A598" s="21" t="s">
        <v>2254</v>
      </c>
      <c r="B598" s="21" t="s">
        <v>8368</v>
      </c>
      <c r="C598" s="21" t="s">
        <v>8</v>
      </c>
      <c r="D598" s="21" t="s">
        <v>701</v>
      </c>
      <c r="E598" s="21" t="s">
        <v>61</v>
      </c>
      <c r="F598" s="5812">
        <v>2</v>
      </c>
      <c r="G598" s="5813">
        <v>0.12638888888888888</v>
      </c>
      <c r="H598" s="21" t="s">
        <v>10</v>
      </c>
      <c r="I598" s="21" t="s">
        <v>23</v>
      </c>
      <c r="J598" s="21" t="s">
        <v>67</v>
      </c>
      <c r="K598" s="5814" t="s">
        <v>8369</v>
      </c>
    </row>
    <row r="599" spans="1:11">
      <c r="A599" s="21" t="s">
        <v>4177</v>
      </c>
      <c r="B599" s="21" t="s">
        <v>8370</v>
      </c>
      <c r="C599" s="21" t="s">
        <v>8</v>
      </c>
      <c r="D599" s="21" t="s">
        <v>701</v>
      </c>
      <c r="E599" s="21" t="s">
        <v>61</v>
      </c>
      <c r="F599" s="5812">
        <v>2</v>
      </c>
      <c r="G599" s="5813">
        <v>0.13194444444444445</v>
      </c>
      <c r="H599" s="21" t="s">
        <v>10</v>
      </c>
      <c r="I599" s="21" t="s">
        <v>47</v>
      </c>
      <c r="J599" s="21" t="s">
        <v>8371</v>
      </c>
      <c r="K599" s="5814" t="s">
        <v>8372</v>
      </c>
    </row>
    <row r="600" spans="1:11">
      <c r="A600" s="21" t="s">
        <v>2788</v>
      </c>
      <c r="B600" s="21" t="s">
        <v>8373</v>
      </c>
      <c r="C600" s="21" t="s">
        <v>22</v>
      </c>
      <c r="D600" s="21" t="s">
        <v>701</v>
      </c>
      <c r="E600" s="21" t="s">
        <v>61</v>
      </c>
      <c r="F600" s="5812">
        <v>2</v>
      </c>
      <c r="G600" s="5813">
        <v>0.13333333333333333</v>
      </c>
      <c r="H600" s="21" t="s">
        <v>10</v>
      </c>
      <c r="I600" s="21" t="s">
        <v>2247</v>
      </c>
      <c r="J600" s="21" t="s">
        <v>67</v>
      </c>
      <c r="K600" s="5814" t="s">
        <v>8374</v>
      </c>
    </row>
    <row r="601" spans="1:11">
      <c r="A601" s="21" t="s">
        <v>2197</v>
      </c>
      <c r="B601" s="21" t="s">
        <v>8375</v>
      </c>
      <c r="C601" s="21" t="s">
        <v>8</v>
      </c>
      <c r="D601" s="21" t="s">
        <v>701</v>
      </c>
      <c r="E601" s="21" t="s">
        <v>61</v>
      </c>
      <c r="F601" s="5812">
        <v>2</v>
      </c>
      <c r="G601" s="5813">
        <v>0.14027777777777778</v>
      </c>
      <c r="H601" s="21" t="s">
        <v>10</v>
      </c>
      <c r="I601" s="21" t="s">
        <v>400</v>
      </c>
      <c r="J601" s="21" t="s">
        <v>67</v>
      </c>
      <c r="K601" s="5814" t="s">
        <v>8376</v>
      </c>
    </row>
    <row r="602" spans="1:11">
      <c r="A602" s="21" t="s">
        <v>2941</v>
      </c>
      <c r="B602" s="21" t="s">
        <v>8377</v>
      </c>
      <c r="C602" s="21" t="s">
        <v>8</v>
      </c>
      <c r="D602" s="21" t="s">
        <v>701</v>
      </c>
      <c r="E602" s="21" t="s">
        <v>61</v>
      </c>
      <c r="F602" s="5812">
        <v>2</v>
      </c>
      <c r="G602" s="5813">
        <v>0.14305555555555555</v>
      </c>
      <c r="H602" s="21" t="s">
        <v>10</v>
      </c>
      <c r="I602" s="21" t="s">
        <v>96</v>
      </c>
      <c r="J602" s="21" t="s">
        <v>1327</v>
      </c>
      <c r="K602" s="5814" t="s">
        <v>8378</v>
      </c>
    </row>
    <row r="603" spans="1:11">
      <c r="A603" s="21" t="s">
        <v>3315</v>
      </c>
      <c r="B603" s="21" t="s">
        <v>8379</v>
      </c>
      <c r="C603" s="21" t="s">
        <v>8</v>
      </c>
      <c r="D603" s="21" t="s">
        <v>701</v>
      </c>
      <c r="E603" s="21" t="s">
        <v>61</v>
      </c>
      <c r="F603" s="5812">
        <v>2</v>
      </c>
      <c r="G603" s="5813">
        <v>0.14305555555555555</v>
      </c>
      <c r="H603" s="21" t="s">
        <v>10</v>
      </c>
      <c r="I603" s="21" t="s">
        <v>55</v>
      </c>
      <c r="J603" s="21" t="s">
        <v>67</v>
      </c>
      <c r="K603" s="5814" t="s">
        <v>8380</v>
      </c>
    </row>
    <row r="604" spans="1:11">
      <c r="A604" s="21" t="s">
        <v>2354</v>
      </c>
      <c r="B604" s="21" t="s">
        <v>8381</v>
      </c>
      <c r="C604" s="21" t="s">
        <v>8</v>
      </c>
      <c r="D604" s="21" t="s">
        <v>701</v>
      </c>
      <c r="E604" s="21" t="s">
        <v>61</v>
      </c>
      <c r="F604" s="5812">
        <v>2</v>
      </c>
      <c r="G604" s="5813">
        <v>0.1701388888888889</v>
      </c>
      <c r="H604" s="21" t="s">
        <v>10</v>
      </c>
      <c r="I604" s="21" t="s">
        <v>233</v>
      </c>
      <c r="J604" s="21" t="s">
        <v>67</v>
      </c>
      <c r="K604" s="5814" t="s">
        <v>8382</v>
      </c>
    </row>
    <row r="605" spans="1:11">
      <c r="A605" s="21" t="s">
        <v>2915</v>
      </c>
      <c r="B605" s="21" t="s">
        <v>8383</v>
      </c>
      <c r="C605" s="21" t="s">
        <v>8</v>
      </c>
      <c r="D605" s="21" t="s">
        <v>701</v>
      </c>
      <c r="E605" s="21" t="s">
        <v>61</v>
      </c>
      <c r="F605" s="5812">
        <v>2</v>
      </c>
      <c r="G605" s="5813">
        <v>0.17083333333333334</v>
      </c>
      <c r="H605" s="21" t="s">
        <v>10</v>
      </c>
      <c r="I605" s="21" t="s">
        <v>194</v>
      </c>
      <c r="J605" s="21" t="s">
        <v>505</v>
      </c>
      <c r="K605" s="5814" t="s">
        <v>8384</v>
      </c>
    </row>
    <row r="606" spans="1:11">
      <c r="A606" s="21" t="s">
        <v>2184</v>
      </c>
      <c r="B606" s="21" t="s">
        <v>8385</v>
      </c>
      <c r="C606" s="21" t="s">
        <v>8</v>
      </c>
      <c r="D606" s="21" t="s">
        <v>701</v>
      </c>
      <c r="E606" s="21" t="s">
        <v>61</v>
      </c>
      <c r="F606" s="5812">
        <v>2</v>
      </c>
      <c r="G606" s="5813">
        <v>0.17708333333333334</v>
      </c>
      <c r="H606" s="21" t="s">
        <v>10</v>
      </c>
      <c r="I606" s="21" t="s">
        <v>11</v>
      </c>
      <c r="J606" s="21" t="s">
        <v>67</v>
      </c>
      <c r="K606" s="5814" t="s">
        <v>8386</v>
      </c>
    </row>
    <row r="607" spans="1:11">
      <c r="A607" s="21" t="s">
        <v>2084</v>
      </c>
      <c r="B607" s="21" t="s">
        <v>8387</v>
      </c>
      <c r="C607" s="21" t="s">
        <v>22</v>
      </c>
      <c r="D607" s="21" t="s">
        <v>701</v>
      </c>
      <c r="E607" s="21" t="s">
        <v>61</v>
      </c>
      <c r="F607" s="5812">
        <v>2</v>
      </c>
      <c r="G607" s="5813">
        <v>0.18472222222222223</v>
      </c>
      <c r="H607" s="21" t="s">
        <v>10</v>
      </c>
      <c r="I607" s="21" t="s">
        <v>2544</v>
      </c>
      <c r="J607" s="21" t="s">
        <v>8388</v>
      </c>
      <c r="K607" s="5814" t="s">
        <v>8389</v>
      </c>
    </row>
    <row r="608" spans="1:11">
      <c r="A608" s="21" t="s">
        <v>2812</v>
      </c>
      <c r="B608" s="21" t="s">
        <v>8390</v>
      </c>
      <c r="C608" s="21" t="s">
        <v>8</v>
      </c>
      <c r="D608" s="21" t="s">
        <v>701</v>
      </c>
      <c r="E608" s="21" t="s">
        <v>61</v>
      </c>
      <c r="F608" s="5812">
        <v>2</v>
      </c>
      <c r="G608" s="5813">
        <v>0.18819444444444444</v>
      </c>
      <c r="H608" s="21" t="s">
        <v>10</v>
      </c>
      <c r="I608" s="21" t="s">
        <v>2814</v>
      </c>
      <c r="J608" s="21" t="s">
        <v>5466</v>
      </c>
      <c r="K608" s="5814" t="s">
        <v>8391</v>
      </c>
    </row>
    <row r="609" spans="1:11">
      <c r="A609" s="21" t="s">
        <v>2061</v>
      </c>
      <c r="B609" s="21" t="s">
        <v>8392</v>
      </c>
      <c r="C609" s="21" t="s">
        <v>8</v>
      </c>
      <c r="D609" s="21" t="s">
        <v>701</v>
      </c>
      <c r="E609" s="21" t="s">
        <v>61</v>
      </c>
      <c r="F609" s="5812">
        <v>2</v>
      </c>
      <c r="G609" s="5813">
        <v>0.19027777777777777</v>
      </c>
      <c r="H609" s="21" t="s">
        <v>10</v>
      </c>
      <c r="I609" s="21" t="s">
        <v>23</v>
      </c>
      <c r="J609" s="21" t="s">
        <v>67</v>
      </c>
      <c r="K609" s="5814" t="s">
        <v>8393</v>
      </c>
    </row>
    <row r="610" spans="1:11">
      <c r="A610" s="21" t="s">
        <v>3323</v>
      </c>
      <c r="B610" s="21" t="s">
        <v>8394</v>
      </c>
      <c r="C610" s="21" t="s">
        <v>8</v>
      </c>
      <c r="D610" s="21" t="s">
        <v>701</v>
      </c>
      <c r="E610" s="21" t="s">
        <v>61</v>
      </c>
      <c r="F610" s="5812">
        <v>2</v>
      </c>
      <c r="G610" s="5813">
        <v>0.19513888888888889</v>
      </c>
      <c r="H610" s="21" t="s">
        <v>10</v>
      </c>
      <c r="I610" s="21" t="s">
        <v>4254</v>
      </c>
      <c r="J610" s="21" t="s">
        <v>1379</v>
      </c>
      <c r="K610" s="5814" t="s">
        <v>8395</v>
      </c>
    </row>
    <row r="611" spans="1:11">
      <c r="A611" s="21" t="s">
        <v>2929</v>
      </c>
      <c r="B611" s="21" t="s">
        <v>8396</v>
      </c>
      <c r="C611" s="21" t="s">
        <v>8</v>
      </c>
      <c r="D611" s="21" t="s">
        <v>701</v>
      </c>
      <c r="E611" s="21" t="s">
        <v>61</v>
      </c>
      <c r="F611" s="5812">
        <v>2</v>
      </c>
      <c r="G611" s="5813">
        <v>0.2013888888888889</v>
      </c>
      <c r="H611" s="21" t="s">
        <v>10</v>
      </c>
      <c r="I611" s="21" t="s">
        <v>39</v>
      </c>
      <c r="J611" s="21" t="s">
        <v>67</v>
      </c>
      <c r="K611" s="5814" t="s">
        <v>8397</v>
      </c>
    </row>
    <row r="612" spans="1:11">
      <c r="A612" s="21" t="s">
        <v>3474</v>
      </c>
      <c r="B612" s="21" t="s">
        <v>8398</v>
      </c>
      <c r="C612" s="21" t="s">
        <v>8</v>
      </c>
      <c r="D612" s="21" t="s">
        <v>701</v>
      </c>
      <c r="E612" s="21" t="s">
        <v>61</v>
      </c>
      <c r="F612" s="5812">
        <v>2</v>
      </c>
      <c r="G612" s="5813">
        <v>0.2048611111111111</v>
      </c>
      <c r="H612" s="21" t="s">
        <v>10</v>
      </c>
      <c r="I612" s="21" t="s">
        <v>96</v>
      </c>
      <c r="J612" s="21" t="s">
        <v>67</v>
      </c>
      <c r="K612" s="5814" t="s">
        <v>8399</v>
      </c>
    </row>
    <row r="613" spans="1:11">
      <c r="A613" s="21" t="s">
        <v>2065</v>
      </c>
      <c r="B613" s="21" t="s">
        <v>8400</v>
      </c>
      <c r="C613" s="21" t="s">
        <v>22</v>
      </c>
      <c r="D613" s="21" t="s">
        <v>701</v>
      </c>
      <c r="E613" s="21" t="s">
        <v>61</v>
      </c>
      <c r="F613" s="5812">
        <v>3</v>
      </c>
      <c r="G613" s="5813">
        <v>1.9444444444444445E-2</v>
      </c>
      <c r="H613" s="21" t="s">
        <v>54</v>
      </c>
      <c r="I613" s="21" t="s">
        <v>89</v>
      </c>
      <c r="J613" s="21" t="s">
        <v>3432</v>
      </c>
      <c r="K613" s="5814" t="s">
        <v>8401</v>
      </c>
    </row>
    <row r="614" spans="1:11">
      <c r="A614" s="21" t="s">
        <v>3369</v>
      </c>
      <c r="B614" s="21" t="s">
        <v>8402</v>
      </c>
      <c r="C614" s="21" t="s">
        <v>8</v>
      </c>
      <c r="D614" s="21" t="s">
        <v>701</v>
      </c>
      <c r="E614" s="21" t="s">
        <v>61</v>
      </c>
      <c r="F614" s="5812">
        <v>3</v>
      </c>
      <c r="G614" s="5813">
        <v>2.9166666666666667E-2</v>
      </c>
      <c r="H614" s="21" t="s">
        <v>10</v>
      </c>
      <c r="I614" s="21" t="s">
        <v>55</v>
      </c>
      <c r="J614" s="21" t="s">
        <v>3391</v>
      </c>
      <c r="K614" s="5814" t="s">
        <v>8403</v>
      </c>
    </row>
    <row r="615" spans="1:11">
      <c r="A615" s="21" t="s">
        <v>2796</v>
      </c>
      <c r="B615" s="21" t="s">
        <v>8404</v>
      </c>
      <c r="C615" s="21" t="s">
        <v>22</v>
      </c>
      <c r="D615" s="21" t="s">
        <v>701</v>
      </c>
      <c r="E615" s="21" t="s">
        <v>61</v>
      </c>
      <c r="F615" s="5812">
        <v>3</v>
      </c>
      <c r="G615" s="5813">
        <v>3.4027777777777775E-2</v>
      </c>
      <c r="H615" s="21" t="s">
        <v>10</v>
      </c>
      <c r="I615" s="21" t="s">
        <v>73</v>
      </c>
      <c r="J615" s="21" t="s">
        <v>782</v>
      </c>
      <c r="K615" s="5814" t="s">
        <v>8405</v>
      </c>
    </row>
    <row r="616" spans="1:11">
      <c r="A616" s="21" t="s">
        <v>2212</v>
      </c>
      <c r="B616" s="21" t="s">
        <v>8406</v>
      </c>
      <c r="C616" s="21" t="s">
        <v>22</v>
      </c>
      <c r="D616" s="21" t="s">
        <v>701</v>
      </c>
      <c r="E616" s="21" t="s">
        <v>61</v>
      </c>
      <c r="F616" s="5812">
        <v>3</v>
      </c>
      <c r="G616" s="5813">
        <v>3.4722222222222224E-2</v>
      </c>
      <c r="H616" s="21" t="s">
        <v>10</v>
      </c>
      <c r="I616" s="21" t="s">
        <v>3373</v>
      </c>
      <c r="J616" s="21" t="s">
        <v>67</v>
      </c>
      <c r="K616" s="5814" t="s">
        <v>8407</v>
      </c>
    </row>
    <row r="617" spans="1:11">
      <c r="A617" s="21" t="s">
        <v>4863</v>
      </c>
      <c r="B617" s="21" t="s">
        <v>8408</v>
      </c>
      <c r="C617" s="21" t="s">
        <v>8</v>
      </c>
      <c r="D617" s="21" t="s">
        <v>701</v>
      </c>
      <c r="E617" s="21" t="s">
        <v>61</v>
      </c>
      <c r="F617" s="5812">
        <v>3</v>
      </c>
      <c r="G617" s="5813">
        <v>5.9722222222222225E-2</v>
      </c>
      <c r="H617" s="21" t="s">
        <v>10</v>
      </c>
      <c r="I617" s="21" t="s">
        <v>2523</v>
      </c>
      <c r="J617" s="21" t="s">
        <v>8246</v>
      </c>
      <c r="K617" s="5814" t="s">
        <v>8409</v>
      </c>
    </row>
    <row r="618" spans="1:11">
      <c r="A618" s="21" t="s">
        <v>3056</v>
      </c>
      <c r="B618" s="21" t="s">
        <v>8410</v>
      </c>
      <c r="C618" s="21" t="s">
        <v>8</v>
      </c>
      <c r="D618" s="21" t="s">
        <v>701</v>
      </c>
      <c r="E618" s="21" t="s">
        <v>61</v>
      </c>
      <c r="F618" s="5812">
        <v>3</v>
      </c>
      <c r="G618" s="5813">
        <v>6.5972222222222224E-2</v>
      </c>
      <c r="H618" s="21" t="s">
        <v>10</v>
      </c>
      <c r="I618" s="21" t="s">
        <v>2872</v>
      </c>
      <c r="J618" s="21" t="s">
        <v>67</v>
      </c>
      <c r="K618" s="5814" t="s">
        <v>8411</v>
      </c>
    </row>
    <row r="619" spans="1:11">
      <c r="A619" s="21" t="s">
        <v>2123</v>
      </c>
      <c r="B619" s="21" t="s">
        <v>8412</v>
      </c>
      <c r="C619" s="21" t="s">
        <v>8</v>
      </c>
      <c r="D619" s="21" t="s">
        <v>701</v>
      </c>
      <c r="E619" s="21" t="s">
        <v>61</v>
      </c>
      <c r="F619" s="5812">
        <v>3</v>
      </c>
      <c r="G619" s="5813">
        <v>6.7361111111111108E-2</v>
      </c>
      <c r="H619" s="21" t="s">
        <v>10</v>
      </c>
      <c r="I619" s="21" t="s">
        <v>23</v>
      </c>
      <c r="J619" s="21" t="s">
        <v>505</v>
      </c>
      <c r="K619" s="5814" t="s">
        <v>8413</v>
      </c>
    </row>
    <row r="620" spans="1:11">
      <c r="A620" s="21" t="s">
        <v>3559</v>
      </c>
      <c r="B620" s="21" t="s">
        <v>8414</v>
      </c>
      <c r="C620" s="21" t="s">
        <v>22</v>
      </c>
      <c r="D620" s="21" t="s">
        <v>701</v>
      </c>
      <c r="E620" s="21" t="s">
        <v>61</v>
      </c>
      <c r="F620" s="5812">
        <v>3</v>
      </c>
      <c r="G620" s="5813">
        <v>6.9444444444444448E-2</v>
      </c>
      <c r="H620" s="21" t="s">
        <v>10</v>
      </c>
      <c r="I620" s="21" t="s">
        <v>11</v>
      </c>
      <c r="J620" s="21" t="s">
        <v>3313</v>
      </c>
      <c r="K620" s="5814" t="s">
        <v>8415</v>
      </c>
    </row>
    <row r="621" spans="1:11">
      <c r="A621" s="21" t="s">
        <v>2372</v>
      </c>
      <c r="B621" s="21" t="s">
        <v>8416</v>
      </c>
      <c r="C621" s="21" t="s">
        <v>8</v>
      </c>
      <c r="D621" s="21" t="s">
        <v>701</v>
      </c>
      <c r="E621" s="21" t="s">
        <v>61</v>
      </c>
      <c r="F621" s="5812">
        <v>3</v>
      </c>
      <c r="G621" s="5813">
        <v>8.3333333333333329E-2</v>
      </c>
      <c r="H621" s="21" t="s">
        <v>10</v>
      </c>
      <c r="I621" s="21" t="s">
        <v>226</v>
      </c>
      <c r="J621" s="21" t="s">
        <v>67</v>
      </c>
      <c r="K621" s="5814" t="s">
        <v>8417</v>
      </c>
    </row>
    <row r="622" spans="1:11">
      <c r="A622" s="21" t="s">
        <v>2376</v>
      </c>
      <c r="B622" s="21" t="s">
        <v>8418</v>
      </c>
      <c r="C622" s="21" t="s">
        <v>8</v>
      </c>
      <c r="D622" s="21" t="s">
        <v>701</v>
      </c>
      <c r="E622" s="21" t="s">
        <v>61</v>
      </c>
      <c r="F622" s="5812">
        <v>3</v>
      </c>
      <c r="G622" s="5813">
        <v>8.6805555555555552E-2</v>
      </c>
      <c r="H622" s="21" t="s">
        <v>10</v>
      </c>
      <c r="I622" s="21" t="s">
        <v>55</v>
      </c>
      <c r="J622" s="21" t="s">
        <v>67</v>
      </c>
      <c r="K622" s="5814" t="s">
        <v>8419</v>
      </c>
    </row>
    <row r="623" spans="1:11">
      <c r="A623" s="21" t="s">
        <v>2711</v>
      </c>
      <c r="B623" s="21" t="s">
        <v>8420</v>
      </c>
      <c r="C623" s="21" t="s">
        <v>8</v>
      </c>
      <c r="D623" s="21" t="s">
        <v>701</v>
      </c>
      <c r="E623" s="21" t="s">
        <v>61</v>
      </c>
      <c r="F623" s="5812">
        <v>3</v>
      </c>
      <c r="G623" s="5813">
        <v>9.930555555555555E-2</v>
      </c>
      <c r="H623" s="21" t="s">
        <v>10</v>
      </c>
      <c r="I623" s="21" t="s">
        <v>233</v>
      </c>
      <c r="J623" s="21" t="s">
        <v>5385</v>
      </c>
      <c r="K623" s="5814" t="s">
        <v>8421</v>
      </c>
    </row>
    <row r="624" spans="1:11">
      <c r="A624" s="21" t="s">
        <v>3458</v>
      </c>
      <c r="B624" s="21" t="s">
        <v>8422</v>
      </c>
      <c r="C624" s="21" t="s">
        <v>8</v>
      </c>
      <c r="D624" s="21" t="s">
        <v>701</v>
      </c>
      <c r="E624" s="21" t="s">
        <v>61</v>
      </c>
      <c r="F624" s="5812">
        <v>3</v>
      </c>
      <c r="G624" s="5813">
        <v>0.10277777777777777</v>
      </c>
      <c r="H624" s="21" t="s">
        <v>10</v>
      </c>
      <c r="I624" s="21" t="s">
        <v>2872</v>
      </c>
      <c r="J624" s="21" t="s">
        <v>67</v>
      </c>
      <c r="K624" s="5814" t="s">
        <v>8423</v>
      </c>
    </row>
    <row r="625" spans="1:11">
      <c r="A625" s="21" t="s">
        <v>3541</v>
      </c>
      <c r="B625" s="21" t="s">
        <v>8424</v>
      </c>
      <c r="C625" s="21" t="s">
        <v>8</v>
      </c>
      <c r="D625" s="21" t="s">
        <v>701</v>
      </c>
      <c r="E625" s="21" t="s">
        <v>61</v>
      </c>
      <c r="F625" s="5812">
        <v>3</v>
      </c>
      <c r="G625" s="5813">
        <v>0.10486111111111111</v>
      </c>
      <c r="H625" s="21" t="s">
        <v>10</v>
      </c>
      <c r="I625" s="21" t="s">
        <v>2297</v>
      </c>
      <c r="J625" s="21" t="s">
        <v>1194</v>
      </c>
      <c r="K625" s="5814" t="s">
        <v>8425</v>
      </c>
    </row>
    <row r="626" spans="1:11">
      <c r="A626" s="21" t="s">
        <v>2276</v>
      </c>
      <c r="B626" s="21" t="s">
        <v>8426</v>
      </c>
      <c r="C626" s="21" t="s">
        <v>22</v>
      </c>
      <c r="D626" s="21" t="s">
        <v>701</v>
      </c>
      <c r="E626" s="21" t="s">
        <v>61</v>
      </c>
      <c r="F626" s="5812">
        <v>3</v>
      </c>
      <c r="G626" s="5813">
        <v>0.1111111111111111</v>
      </c>
      <c r="H626" s="21" t="s">
        <v>10</v>
      </c>
      <c r="I626" s="21" t="s">
        <v>8427</v>
      </c>
      <c r="J626" s="21" t="s">
        <v>67</v>
      </c>
      <c r="K626" s="5814" t="s">
        <v>8428</v>
      </c>
    </row>
    <row r="627" spans="1:11">
      <c r="A627" s="21" t="s">
        <v>3616</v>
      </c>
      <c r="B627" s="21" t="s">
        <v>8429</v>
      </c>
      <c r="C627" s="21" t="s">
        <v>22</v>
      </c>
      <c r="D627" s="21" t="s">
        <v>701</v>
      </c>
      <c r="E627" s="21" t="s">
        <v>61</v>
      </c>
      <c r="F627" s="5812">
        <v>3</v>
      </c>
      <c r="G627" s="5813">
        <v>0.12013888888888889</v>
      </c>
      <c r="H627" s="21" t="s">
        <v>10</v>
      </c>
      <c r="I627" s="21" t="s">
        <v>39</v>
      </c>
      <c r="J627" s="21" t="s">
        <v>324</v>
      </c>
      <c r="K627" s="5814" t="s">
        <v>8430</v>
      </c>
    </row>
    <row r="628" spans="1:11">
      <c r="A628" s="21" t="s">
        <v>2846</v>
      </c>
      <c r="B628" s="21" t="s">
        <v>8431</v>
      </c>
      <c r="C628" s="21" t="s">
        <v>8</v>
      </c>
      <c r="D628" s="21" t="s">
        <v>701</v>
      </c>
      <c r="E628" s="21" t="s">
        <v>61</v>
      </c>
      <c r="F628" s="5812">
        <v>3</v>
      </c>
      <c r="G628" s="5813">
        <v>0.12638888888888888</v>
      </c>
      <c r="H628" s="21" t="s">
        <v>10</v>
      </c>
      <c r="I628" s="21" t="s">
        <v>2721</v>
      </c>
      <c r="J628" s="21" t="s">
        <v>67</v>
      </c>
      <c r="K628" s="5814" t="s">
        <v>8432</v>
      </c>
    </row>
    <row r="629" spans="1:11">
      <c r="A629" s="21" t="s">
        <v>37</v>
      </c>
      <c r="B629" s="21" t="s">
        <v>896</v>
      </c>
      <c r="C629" s="21" t="s">
        <v>8</v>
      </c>
      <c r="D629" s="21" t="s">
        <v>701</v>
      </c>
      <c r="E629" s="21" t="s">
        <v>61</v>
      </c>
      <c r="F629" s="5812">
        <v>3</v>
      </c>
      <c r="G629" s="5813">
        <v>0.1423611111111111</v>
      </c>
      <c r="H629" s="21" t="s">
        <v>10</v>
      </c>
      <c r="I629" s="21" t="s">
        <v>226</v>
      </c>
      <c r="J629" s="21" t="s">
        <v>897</v>
      </c>
      <c r="K629" s="5814" t="s">
        <v>898</v>
      </c>
    </row>
    <row r="630" spans="1:11">
      <c r="A630" s="21" t="s">
        <v>2897</v>
      </c>
      <c r="B630" s="21" t="s">
        <v>8433</v>
      </c>
      <c r="C630" s="21" t="s">
        <v>8</v>
      </c>
      <c r="D630" s="21" t="s">
        <v>701</v>
      </c>
      <c r="E630" s="21" t="s">
        <v>61</v>
      </c>
      <c r="F630" s="5812">
        <v>3</v>
      </c>
      <c r="G630" s="5813">
        <v>0.1423611111111111</v>
      </c>
      <c r="H630" s="21" t="s">
        <v>10</v>
      </c>
      <c r="I630" s="21" t="s">
        <v>11</v>
      </c>
      <c r="J630" s="21" t="s">
        <v>5385</v>
      </c>
      <c r="K630" s="5814" t="s">
        <v>8434</v>
      </c>
    </row>
    <row r="631" spans="1:11">
      <c r="A631" s="21" t="s">
        <v>3144</v>
      </c>
      <c r="B631" s="21" t="s">
        <v>8435</v>
      </c>
      <c r="C631" s="21" t="s">
        <v>8</v>
      </c>
      <c r="D631" s="21" t="s">
        <v>701</v>
      </c>
      <c r="E631" s="21" t="s">
        <v>61</v>
      </c>
      <c r="F631" s="5812">
        <v>3</v>
      </c>
      <c r="G631" s="5813">
        <v>0.16388888888888889</v>
      </c>
      <c r="H631" s="21" t="s">
        <v>10</v>
      </c>
      <c r="I631" s="21" t="s">
        <v>4146</v>
      </c>
      <c r="J631" s="21" t="s">
        <v>67</v>
      </c>
      <c r="K631" s="5814" t="s">
        <v>8436</v>
      </c>
    </row>
    <row r="632" spans="1:11">
      <c r="A632" s="21" t="s">
        <v>2893</v>
      </c>
      <c r="B632" s="21" t="s">
        <v>8437</v>
      </c>
      <c r="C632" s="21" t="s">
        <v>22</v>
      </c>
      <c r="D632" s="21" t="s">
        <v>701</v>
      </c>
      <c r="E632" s="21" t="s">
        <v>61</v>
      </c>
      <c r="F632" s="5812">
        <v>3</v>
      </c>
      <c r="G632" s="5813">
        <v>0.17430555555555555</v>
      </c>
      <c r="H632" s="21" t="s">
        <v>10</v>
      </c>
      <c r="I632" s="21" t="s">
        <v>11</v>
      </c>
      <c r="J632" s="21" t="s">
        <v>67</v>
      </c>
      <c r="K632" s="5814" t="s">
        <v>8438</v>
      </c>
    </row>
    <row r="633" spans="1:11">
      <c r="A633" s="21" t="s">
        <v>4768</v>
      </c>
      <c r="B633" s="21" t="s">
        <v>8439</v>
      </c>
      <c r="C633" s="21" t="s">
        <v>8</v>
      </c>
      <c r="D633" s="21" t="s">
        <v>701</v>
      </c>
      <c r="E633" s="21" t="s">
        <v>61</v>
      </c>
      <c r="F633" s="5812">
        <v>3</v>
      </c>
      <c r="G633" s="5813">
        <v>0.19791666666666666</v>
      </c>
      <c r="H633" s="21" t="s">
        <v>10</v>
      </c>
      <c r="I633" s="21" t="s">
        <v>3534</v>
      </c>
      <c r="J633" s="21" t="s">
        <v>67</v>
      </c>
      <c r="K633" s="5814" t="s">
        <v>8440</v>
      </c>
    </row>
    <row r="634" spans="1:11">
      <c r="A634" s="21" t="s">
        <v>5015</v>
      </c>
      <c r="B634" s="21" t="s">
        <v>8441</v>
      </c>
      <c r="C634" s="21" t="s">
        <v>22</v>
      </c>
      <c r="D634" s="21" t="s">
        <v>701</v>
      </c>
      <c r="E634" s="21" t="s">
        <v>61</v>
      </c>
      <c r="F634" s="5812">
        <v>3</v>
      </c>
      <c r="G634" s="5813">
        <v>0.20416666666666666</v>
      </c>
      <c r="H634" s="21" t="s">
        <v>10</v>
      </c>
      <c r="I634" s="21" t="s">
        <v>226</v>
      </c>
      <c r="J634" s="21" t="s">
        <v>505</v>
      </c>
      <c r="K634" s="5814" t="s">
        <v>8442</v>
      </c>
    </row>
    <row r="635" spans="1:11">
      <c r="A635" s="21" t="s">
        <v>2905</v>
      </c>
      <c r="B635" s="21" t="s">
        <v>8443</v>
      </c>
      <c r="C635" s="21" t="s">
        <v>8</v>
      </c>
      <c r="D635" s="21" t="s">
        <v>701</v>
      </c>
      <c r="E635" s="21" t="s">
        <v>61</v>
      </c>
      <c r="F635" s="5812">
        <v>3</v>
      </c>
      <c r="G635" s="5813">
        <v>0.20694444444444443</v>
      </c>
      <c r="H635" s="21" t="s">
        <v>10</v>
      </c>
      <c r="I635" s="21" t="s">
        <v>8444</v>
      </c>
      <c r="J635" s="21" t="s">
        <v>3262</v>
      </c>
      <c r="K635" s="5814" t="s">
        <v>8445</v>
      </c>
    </row>
    <row r="636" spans="1:11">
      <c r="A636" s="21" t="s">
        <v>2491</v>
      </c>
      <c r="B636" s="21" t="s">
        <v>8446</v>
      </c>
      <c r="C636" s="21" t="s">
        <v>8</v>
      </c>
      <c r="D636" s="21" t="s">
        <v>701</v>
      </c>
      <c r="E636" s="21" t="s">
        <v>61</v>
      </c>
      <c r="F636" s="5812">
        <v>4</v>
      </c>
      <c r="G636" s="5813">
        <v>0.10972222222222222</v>
      </c>
      <c r="H636" s="21" t="s">
        <v>54</v>
      </c>
      <c r="I636" s="21" t="s">
        <v>55</v>
      </c>
      <c r="J636" s="21" t="s">
        <v>67</v>
      </c>
      <c r="K636" s="5814" t="s">
        <v>8447</v>
      </c>
    </row>
    <row r="637" spans="1:11">
      <c r="A637" s="21" t="s">
        <v>3235</v>
      </c>
      <c r="B637" s="21" t="s">
        <v>8107</v>
      </c>
      <c r="C637" s="21" t="s">
        <v>8</v>
      </c>
      <c r="D637" s="21" t="s">
        <v>701</v>
      </c>
      <c r="E637" s="21" t="s">
        <v>244</v>
      </c>
      <c r="F637" s="5812">
        <v>1</v>
      </c>
      <c r="G637" s="5813">
        <v>0.20833333333333334</v>
      </c>
      <c r="H637" s="21" t="s">
        <v>54</v>
      </c>
      <c r="I637" s="21" t="s">
        <v>55</v>
      </c>
      <c r="J637" s="21"/>
      <c r="K637" s="5814" t="s">
        <v>8448</v>
      </c>
    </row>
    <row r="638" spans="1:11">
      <c r="A638" s="21" t="s">
        <v>3098</v>
      </c>
      <c r="B638" s="21" t="s">
        <v>8449</v>
      </c>
      <c r="C638" s="21" t="s">
        <v>22</v>
      </c>
      <c r="D638" s="21" t="s">
        <v>701</v>
      </c>
      <c r="E638" s="21" t="s">
        <v>244</v>
      </c>
      <c r="F638" s="5812">
        <v>2</v>
      </c>
      <c r="G638" s="5813">
        <v>0.14166666666666666</v>
      </c>
      <c r="H638" s="21" t="s">
        <v>10</v>
      </c>
      <c r="I638" s="21" t="s">
        <v>2523</v>
      </c>
      <c r="J638" s="21" t="s">
        <v>4908</v>
      </c>
      <c r="K638" s="5814" t="s">
        <v>8450</v>
      </c>
    </row>
    <row r="639" spans="1:11">
      <c r="A639" s="21" t="s">
        <v>3597</v>
      </c>
      <c r="B639" s="21" t="s">
        <v>8451</v>
      </c>
      <c r="C639" s="21" t="s">
        <v>8</v>
      </c>
      <c r="D639" s="21" t="s">
        <v>701</v>
      </c>
      <c r="E639" s="21" t="s">
        <v>244</v>
      </c>
      <c r="F639" s="5812">
        <v>2</v>
      </c>
      <c r="G639" s="5813">
        <v>0.20833333333333334</v>
      </c>
      <c r="H639" s="21" t="s">
        <v>10</v>
      </c>
      <c r="I639" s="21" t="s">
        <v>39</v>
      </c>
      <c r="J639" s="21"/>
      <c r="K639" s="5814" t="s">
        <v>8452</v>
      </c>
    </row>
    <row r="640" spans="1:11">
      <c r="A640" s="21" t="s">
        <v>5387</v>
      </c>
      <c r="B640" s="21" t="s">
        <v>8453</v>
      </c>
      <c r="C640" s="21" t="s">
        <v>8</v>
      </c>
      <c r="D640" s="21" t="s">
        <v>701</v>
      </c>
      <c r="E640" s="21" t="s">
        <v>244</v>
      </c>
      <c r="F640" s="5812">
        <v>2</v>
      </c>
      <c r="G640" s="5813">
        <v>0.20833333333333334</v>
      </c>
      <c r="H640" s="21" t="s">
        <v>10</v>
      </c>
      <c r="I640" s="21" t="s">
        <v>3441</v>
      </c>
      <c r="J640" s="21"/>
      <c r="K640" s="5814" t="s">
        <v>8454</v>
      </c>
    </row>
    <row r="641" spans="1:11">
      <c r="A641" s="21" t="s">
        <v>2609</v>
      </c>
      <c r="B641" s="21" t="s">
        <v>8455</v>
      </c>
      <c r="C641" s="21" t="s">
        <v>8</v>
      </c>
      <c r="D641" s="21" t="s">
        <v>701</v>
      </c>
      <c r="E641" s="21" t="s">
        <v>244</v>
      </c>
      <c r="F641" s="5812">
        <v>2</v>
      </c>
      <c r="G641" s="5813">
        <v>0.20833333333333334</v>
      </c>
      <c r="H641" s="21" t="s">
        <v>10</v>
      </c>
      <c r="I641" s="21" t="s">
        <v>226</v>
      </c>
      <c r="J641" s="21"/>
      <c r="K641" s="5814" t="s">
        <v>8456</v>
      </c>
    </row>
    <row r="642" spans="1:11">
      <c r="A642" s="21" t="s">
        <v>5235</v>
      </c>
      <c r="B642" s="21" t="s">
        <v>8457</v>
      </c>
      <c r="C642" s="21" t="s">
        <v>8</v>
      </c>
      <c r="D642" s="21" t="s">
        <v>701</v>
      </c>
      <c r="E642" s="21" t="s">
        <v>244</v>
      </c>
      <c r="F642" s="5812">
        <v>2</v>
      </c>
      <c r="G642" s="5813">
        <v>0.20833333333333334</v>
      </c>
      <c r="H642" s="21" t="s">
        <v>10</v>
      </c>
      <c r="I642" s="21" t="s">
        <v>2660</v>
      </c>
      <c r="J642" s="21" t="s">
        <v>3622</v>
      </c>
      <c r="K642" s="5814" t="s">
        <v>8458</v>
      </c>
    </row>
    <row r="643" spans="1:11">
      <c r="A643" s="21" t="s">
        <v>3882</v>
      </c>
      <c r="B643" s="21" t="s">
        <v>8459</v>
      </c>
      <c r="C643" s="21" t="s">
        <v>8</v>
      </c>
      <c r="D643" s="21" t="s">
        <v>701</v>
      </c>
      <c r="E643" s="21" t="s">
        <v>244</v>
      </c>
      <c r="F643" s="5812">
        <v>3</v>
      </c>
      <c r="G643" s="5813">
        <v>2.6388888888888889E-2</v>
      </c>
      <c r="H643" s="21" t="s">
        <v>10</v>
      </c>
      <c r="I643" s="21" t="s">
        <v>39</v>
      </c>
      <c r="J643" s="21"/>
      <c r="K643" s="5814" t="s">
        <v>8460</v>
      </c>
    </row>
    <row r="644" spans="1:11">
      <c r="A644" s="21" t="s">
        <v>2817</v>
      </c>
      <c r="B644" s="21" t="s">
        <v>8461</v>
      </c>
      <c r="C644" s="21" t="s">
        <v>8</v>
      </c>
      <c r="D644" s="21" t="s">
        <v>701</v>
      </c>
      <c r="E644" s="21" t="s">
        <v>244</v>
      </c>
      <c r="F644" s="5812">
        <v>3</v>
      </c>
      <c r="G644" s="5813">
        <v>0.10069444444444445</v>
      </c>
      <c r="H644" s="21" t="s">
        <v>10</v>
      </c>
      <c r="I644" s="21" t="s">
        <v>233</v>
      </c>
      <c r="J644" s="21" t="s">
        <v>4908</v>
      </c>
      <c r="K644" s="5814" t="s">
        <v>8462</v>
      </c>
    </row>
    <row r="645" spans="1:11">
      <c r="A645" s="21" t="s">
        <v>2719</v>
      </c>
      <c r="B645" s="21" t="s">
        <v>8463</v>
      </c>
      <c r="C645" s="21" t="s">
        <v>22</v>
      </c>
      <c r="D645" s="21" t="s">
        <v>701</v>
      </c>
      <c r="E645" s="21" t="s">
        <v>244</v>
      </c>
      <c r="F645" s="5812">
        <v>5</v>
      </c>
      <c r="G645" s="5813">
        <v>9.583333333333334E-2</v>
      </c>
      <c r="H645" s="21" t="s">
        <v>54</v>
      </c>
      <c r="I645" s="21" t="s">
        <v>11</v>
      </c>
      <c r="J645" s="21"/>
      <c r="K645" s="5814" t="s">
        <v>8464</v>
      </c>
    </row>
    <row r="646" spans="1:11">
      <c r="A646" s="21" t="s">
        <v>2626</v>
      </c>
      <c r="B646" s="21" t="s">
        <v>9689</v>
      </c>
      <c r="C646" s="21" t="s">
        <v>22</v>
      </c>
      <c r="D646" s="21" t="s">
        <v>9690</v>
      </c>
      <c r="E646" s="21" t="s">
        <v>9</v>
      </c>
      <c r="F646" s="5812">
        <v>5</v>
      </c>
      <c r="G646" s="5813">
        <v>0.20833333333333334</v>
      </c>
      <c r="H646" s="21" t="s">
        <v>54</v>
      </c>
      <c r="I646" s="21" t="s">
        <v>2692</v>
      </c>
      <c r="J646" s="21" t="s">
        <v>9691</v>
      </c>
      <c r="K646" s="5814" t="s">
        <v>9692</v>
      </c>
    </row>
    <row r="647" spans="1:11">
      <c r="A647" s="21" t="s">
        <v>4116</v>
      </c>
      <c r="B647" s="21" t="s">
        <v>9693</v>
      </c>
      <c r="C647" s="21" t="s">
        <v>22</v>
      </c>
      <c r="D647" s="21" t="s">
        <v>9690</v>
      </c>
      <c r="E647" s="21" t="s">
        <v>46</v>
      </c>
      <c r="F647" s="5812">
        <v>5</v>
      </c>
      <c r="G647" s="5813">
        <v>0.15208333333333332</v>
      </c>
      <c r="H647" s="21" t="s">
        <v>54</v>
      </c>
      <c r="I647" s="21" t="s">
        <v>55</v>
      </c>
      <c r="J647" s="21" t="s">
        <v>48</v>
      </c>
      <c r="K647" s="5814" t="s">
        <v>9694</v>
      </c>
    </row>
    <row r="648" spans="1:11">
      <c r="A648" s="21" t="s">
        <v>2221</v>
      </c>
      <c r="B648" s="21" t="s">
        <v>9695</v>
      </c>
      <c r="C648" s="21" t="s">
        <v>8</v>
      </c>
      <c r="D648" s="21" t="s">
        <v>9690</v>
      </c>
      <c r="E648" s="21" t="s">
        <v>61</v>
      </c>
      <c r="F648" s="5812">
        <v>3</v>
      </c>
      <c r="G648" s="5813">
        <v>0.16805555555555557</v>
      </c>
      <c r="H648" s="21" t="s">
        <v>54</v>
      </c>
      <c r="I648" s="21" t="s">
        <v>55</v>
      </c>
      <c r="J648" s="21" t="s">
        <v>3326</v>
      </c>
      <c r="K648" s="5814" t="s">
        <v>9696</v>
      </c>
    </row>
    <row r="649" spans="1:11">
      <c r="A649" s="21" t="s">
        <v>3886</v>
      </c>
      <c r="B649" s="21" t="s">
        <v>9748</v>
      </c>
      <c r="C649" s="21" t="s">
        <v>8</v>
      </c>
      <c r="D649" s="21" t="s">
        <v>9749</v>
      </c>
      <c r="E649" s="21" t="s">
        <v>9</v>
      </c>
      <c r="F649" s="5812">
        <v>5</v>
      </c>
      <c r="G649" s="5813">
        <v>0.20833333333333334</v>
      </c>
      <c r="H649" s="21" t="s">
        <v>54</v>
      </c>
      <c r="I649" s="21" t="s">
        <v>47</v>
      </c>
      <c r="J649" s="21" t="s">
        <v>9750</v>
      </c>
      <c r="K649" s="5814" t="s">
        <v>9751</v>
      </c>
    </row>
    <row r="650" spans="1:11">
      <c r="A650" s="21" t="s">
        <v>4249</v>
      </c>
      <c r="B650" s="21" t="s">
        <v>9752</v>
      </c>
      <c r="C650" s="21" t="s">
        <v>8</v>
      </c>
      <c r="D650" s="21" t="s">
        <v>9749</v>
      </c>
      <c r="E650" s="21" t="s">
        <v>9</v>
      </c>
      <c r="F650" s="5812">
        <v>5</v>
      </c>
      <c r="G650" s="5813">
        <v>0.20833333333333334</v>
      </c>
      <c r="H650" s="21" t="s">
        <v>54</v>
      </c>
      <c r="I650" s="21" t="s">
        <v>226</v>
      </c>
      <c r="J650" s="21" t="s">
        <v>9753</v>
      </c>
      <c r="K650" s="5814" t="s">
        <v>9754</v>
      </c>
    </row>
    <row r="651" spans="1:11">
      <c r="A651" s="21" t="s">
        <v>3630</v>
      </c>
      <c r="B651" s="21" t="s">
        <v>9755</v>
      </c>
      <c r="C651" s="21" t="s">
        <v>8</v>
      </c>
      <c r="D651" s="21" t="s">
        <v>9749</v>
      </c>
      <c r="E651" s="21" t="s">
        <v>46</v>
      </c>
      <c r="F651" s="5812">
        <v>1</v>
      </c>
      <c r="G651" s="5813">
        <v>4.583333333333333E-2</v>
      </c>
      <c r="H651" s="21" t="s">
        <v>54</v>
      </c>
      <c r="I651" s="21" t="s">
        <v>55</v>
      </c>
      <c r="J651" s="21" t="s">
        <v>127</v>
      </c>
      <c r="K651" s="5814" t="s">
        <v>9756</v>
      </c>
    </row>
    <row r="652" spans="1:11">
      <c r="A652" s="21" t="s">
        <v>2250</v>
      </c>
      <c r="B652" s="21" t="s">
        <v>9757</v>
      </c>
      <c r="C652" s="21" t="s">
        <v>22</v>
      </c>
      <c r="D652" s="21" t="s">
        <v>9749</v>
      </c>
      <c r="E652" s="21" t="s">
        <v>46</v>
      </c>
      <c r="F652" s="5812">
        <v>1</v>
      </c>
      <c r="G652" s="5813">
        <v>0.15902777777777777</v>
      </c>
      <c r="H652" s="21" t="s">
        <v>54</v>
      </c>
      <c r="I652" s="21" t="s">
        <v>55</v>
      </c>
      <c r="J652" s="21" t="s">
        <v>1076</v>
      </c>
      <c r="K652" s="5814" t="s">
        <v>9758</v>
      </c>
    </row>
    <row r="653" spans="1:11">
      <c r="A653" s="21" t="s">
        <v>3256</v>
      </c>
      <c r="B653" s="21" t="s">
        <v>9759</v>
      </c>
      <c r="C653" s="21" t="s">
        <v>8</v>
      </c>
      <c r="D653" s="21" t="s">
        <v>9749</v>
      </c>
      <c r="E653" s="21" t="s">
        <v>46</v>
      </c>
      <c r="F653" s="5812">
        <v>2</v>
      </c>
      <c r="G653" s="5813">
        <v>1.3194444444444444E-2</v>
      </c>
      <c r="H653" s="21" t="s">
        <v>54</v>
      </c>
      <c r="I653" s="21" t="s">
        <v>226</v>
      </c>
      <c r="J653" s="21" t="s">
        <v>48</v>
      </c>
      <c r="K653" s="5814" t="s">
        <v>9760</v>
      </c>
    </row>
    <row r="654" spans="1:11">
      <c r="A654" s="21" t="s">
        <v>3541</v>
      </c>
      <c r="B654" s="21" t="s">
        <v>9761</v>
      </c>
      <c r="C654" s="21" t="s">
        <v>22</v>
      </c>
      <c r="D654" s="21" t="s">
        <v>9749</v>
      </c>
      <c r="E654" s="21" t="s">
        <v>46</v>
      </c>
      <c r="F654" s="5812">
        <v>2</v>
      </c>
      <c r="G654" s="5813">
        <v>0.12777777777777777</v>
      </c>
      <c r="H654" s="21" t="s">
        <v>54</v>
      </c>
      <c r="I654" s="21" t="s">
        <v>2297</v>
      </c>
      <c r="J654" s="21" t="s">
        <v>97</v>
      </c>
      <c r="K654" s="5814" t="s">
        <v>9762</v>
      </c>
    </row>
    <row r="655" spans="1:11">
      <c r="A655" s="21" t="s">
        <v>3515</v>
      </c>
      <c r="B655" s="21" t="s">
        <v>9763</v>
      </c>
      <c r="C655" s="21" t="s">
        <v>8</v>
      </c>
      <c r="D655" s="21" t="s">
        <v>9749</v>
      </c>
      <c r="E655" s="21" t="s">
        <v>61</v>
      </c>
      <c r="F655" s="5812">
        <v>2</v>
      </c>
      <c r="G655" s="5813">
        <v>6.5277777777777782E-2</v>
      </c>
      <c r="H655" s="21" t="s">
        <v>54</v>
      </c>
      <c r="I655" s="21" t="s">
        <v>96</v>
      </c>
      <c r="J655" s="21" t="s">
        <v>3326</v>
      </c>
      <c r="K655" s="5814" t="s">
        <v>9764</v>
      </c>
    </row>
    <row r="656" spans="1:11">
      <c r="A656" s="21" t="s">
        <v>2096</v>
      </c>
      <c r="B656" s="21" t="s">
        <v>9765</v>
      </c>
      <c r="C656" s="21" t="s">
        <v>22</v>
      </c>
      <c r="D656" s="21" t="s">
        <v>9749</v>
      </c>
      <c r="E656" s="21" t="s">
        <v>61</v>
      </c>
      <c r="F656" s="5812">
        <v>2</v>
      </c>
      <c r="G656" s="5813">
        <v>0.1361111111111111</v>
      </c>
      <c r="H656" s="21" t="s">
        <v>54</v>
      </c>
      <c r="I656" s="21" t="s">
        <v>96</v>
      </c>
      <c r="J656" s="21" t="s">
        <v>62</v>
      </c>
      <c r="K656" s="5814" t="s">
        <v>9766</v>
      </c>
    </row>
    <row r="657" spans="1:55">
      <c r="A657" s="21" t="s">
        <v>2461</v>
      </c>
      <c r="B657" s="21" t="s">
        <v>9767</v>
      </c>
      <c r="C657" s="21" t="s">
        <v>8</v>
      </c>
      <c r="D657" s="21" t="s">
        <v>9749</v>
      </c>
      <c r="E657" s="21" t="s">
        <v>61</v>
      </c>
      <c r="F657" s="5812">
        <v>3</v>
      </c>
      <c r="G657" s="5813">
        <v>4.3055555555555555E-2</v>
      </c>
      <c r="H657" s="21" t="s">
        <v>54</v>
      </c>
      <c r="I657" s="21" t="s">
        <v>55</v>
      </c>
      <c r="J657" s="21" t="s">
        <v>67</v>
      </c>
      <c r="K657" s="5814" t="s">
        <v>9768</v>
      </c>
    </row>
    <row r="658" spans="1:55">
      <c r="A658" s="21" t="s">
        <v>3728</v>
      </c>
      <c r="B658" s="21" t="s">
        <v>9769</v>
      </c>
      <c r="C658" s="21" t="s">
        <v>8</v>
      </c>
      <c r="D658" s="21" t="s">
        <v>9749</v>
      </c>
      <c r="E658" s="21" t="s">
        <v>61</v>
      </c>
      <c r="F658" s="5812">
        <v>3</v>
      </c>
      <c r="G658" s="5813">
        <v>8.7499999999999994E-2</v>
      </c>
      <c r="H658" s="21" t="s">
        <v>54</v>
      </c>
      <c r="I658" s="21" t="s">
        <v>47</v>
      </c>
      <c r="J658" s="21" t="s">
        <v>67</v>
      </c>
      <c r="K658" s="5814" t="s">
        <v>9770</v>
      </c>
    </row>
    <row r="659" spans="1:55">
      <c r="A659" s="21" t="s">
        <v>5148</v>
      </c>
      <c r="B659" s="21" t="s">
        <v>9771</v>
      </c>
      <c r="C659" s="21" t="s">
        <v>8</v>
      </c>
      <c r="D659" s="21" t="s">
        <v>9749</v>
      </c>
      <c r="E659" s="21" t="s">
        <v>61</v>
      </c>
      <c r="F659" s="5812">
        <v>4</v>
      </c>
      <c r="G659" s="5813">
        <v>0.12708333333333333</v>
      </c>
      <c r="H659" s="21" t="s">
        <v>54</v>
      </c>
      <c r="I659" s="21" t="s">
        <v>55</v>
      </c>
      <c r="J659" s="21" t="s">
        <v>897</v>
      </c>
      <c r="K659" s="5814" t="s">
        <v>9772</v>
      </c>
    </row>
    <row r="660" spans="1:55" ht="15.75" customHeight="1">
      <c r="A660" s="5827" t="s">
        <v>4423</v>
      </c>
      <c r="B660" s="5827" t="s">
        <v>9960</v>
      </c>
      <c r="C660" s="5827" t="s">
        <v>22</v>
      </c>
      <c r="D660" s="5827" t="s">
        <v>9961</v>
      </c>
      <c r="E660" s="5827" t="s">
        <v>9</v>
      </c>
      <c r="F660" s="5828">
        <v>3</v>
      </c>
      <c r="G660" s="5829">
        <v>0.20833333333333334</v>
      </c>
      <c r="H660" s="5827" t="s">
        <v>2081</v>
      </c>
      <c r="I660" s="5827" t="s">
        <v>55</v>
      </c>
      <c r="J660" s="5827" t="s">
        <v>9962</v>
      </c>
      <c r="K660" s="5830" t="s">
        <v>9963</v>
      </c>
      <c r="L660" s="620"/>
      <c r="M660" s="620"/>
      <c r="N660" s="620"/>
      <c r="O660" s="620"/>
      <c r="P660" s="620"/>
      <c r="Q660" s="620"/>
      <c r="R660" s="620"/>
      <c r="S660" s="620"/>
      <c r="T660" s="620"/>
      <c r="U660" s="620"/>
      <c r="V660" s="620"/>
      <c r="W660" s="620"/>
      <c r="X660" s="620"/>
      <c r="Y660" s="620"/>
      <c r="Z660" s="620"/>
      <c r="AA660" s="620"/>
      <c r="AB660" s="620"/>
      <c r="AC660" s="620"/>
      <c r="AD660" s="620"/>
      <c r="AE660" s="620"/>
      <c r="AF660" s="620"/>
      <c r="AG660" s="620"/>
      <c r="AH660" s="620"/>
      <c r="AI660" s="620"/>
      <c r="AJ660" s="620"/>
      <c r="AK660" s="620"/>
      <c r="AL660" s="620"/>
      <c r="AM660" s="620"/>
      <c r="AN660" s="620"/>
      <c r="AO660" s="620"/>
      <c r="AP660" s="620"/>
      <c r="AQ660" s="620"/>
      <c r="AR660" s="620"/>
      <c r="AS660" s="620"/>
      <c r="AT660" s="620"/>
      <c r="AU660" s="620"/>
      <c r="AV660" s="620"/>
      <c r="AW660" s="620"/>
      <c r="AX660" s="620"/>
      <c r="AY660" s="620"/>
      <c r="AZ660" s="620"/>
      <c r="BA660" s="620"/>
      <c r="BB660" s="620"/>
      <c r="BC660" s="620"/>
    </row>
    <row r="661" spans="1:55" ht="15.75" customHeight="1">
      <c r="A661" s="5827" t="s">
        <v>3647</v>
      </c>
      <c r="B661" s="5827" t="s">
        <v>9978</v>
      </c>
      <c r="C661" s="5827" t="s">
        <v>8</v>
      </c>
      <c r="D661" s="5827" t="s">
        <v>9979</v>
      </c>
      <c r="E661" s="5827" t="s">
        <v>193</v>
      </c>
      <c r="F661" s="5828">
        <v>3</v>
      </c>
      <c r="G661" s="5829">
        <v>0.20833333333333334</v>
      </c>
      <c r="H661" s="5827" t="s">
        <v>2081</v>
      </c>
      <c r="I661" s="5827" t="s">
        <v>47</v>
      </c>
      <c r="J661" s="5827" t="s">
        <v>9980</v>
      </c>
      <c r="K661" s="5830" t="s">
        <v>9981</v>
      </c>
      <c r="L661" s="620"/>
      <c r="M661" s="620"/>
      <c r="N661" s="620"/>
      <c r="O661" s="620"/>
      <c r="P661" s="620"/>
      <c r="Q661" s="620"/>
      <c r="R661" s="620"/>
      <c r="S661" s="620"/>
      <c r="T661" s="620"/>
      <c r="U661" s="620"/>
      <c r="V661" s="620"/>
      <c r="W661" s="620"/>
      <c r="X661" s="620"/>
      <c r="Y661" s="620"/>
      <c r="Z661" s="620"/>
      <c r="AA661" s="620"/>
      <c r="AB661" s="620"/>
      <c r="AC661" s="620"/>
      <c r="AD661" s="620"/>
      <c r="AE661" s="620"/>
      <c r="AF661" s="620"/>
      <c r="AG661" s="620"/>
      <c r="AH661" s="620"/>
      <c r="AI661" s="620"/>
      <c r="AJ661" s="620"/>
      <c r="AK661" s="620"/>
      <c r="AL661" s="620"/>
      <c r="AM661" s="620"/>
      <c r="AN661" s="620"/>
      <c r="AO661" s="620"/>
      <c r="AP661" s="620"/>
      <c r="AQ661" s="620"/>
      <c r="AR661" s="620"/>
      <c r="AS661" s="620"/>
      <c r="AT661" s="620"/>
      <c r="AU661" s="620"/>
      <c r="AV661" s="620"/>
      <c r="AW661" s="620"/>
      <c r="AX661" s="620"/>
      <c r="AY661" s="620"/>
      <c r="AZ661" s="620"/>
      <c r="BA661" s="620"/>
      <c r="BB661" s="620"/>
      <c r="BC661" s="620"/>
    </row>
    <row r="662" spans="1:55" ht="15.75" customHeight="1">
      <c r="A662" s="5827" t="s">
        <v>2863</v>
      </c>
      <c r="B662" s="5827" t="s">
        <v>9992</v>
      </c>
      <c r="C662" s="5827" t="s">
        <v>8</v>
      </c>
      <c r="D662" s="5827" t="s">
        <v>9993</v>
      </c>
      <c r="E662" s="5827" t="s">
        <v>61</v>
      </c>
      <c r="F662" s="5828">
        <v>3</v>
      </c>
      <c r="G662" s="5829">
        <v>0.1986111111111111</v>
      </c>
      <c r="H662" s="5827" t="s">
        <v>2081</v>
      </c>
      <c r="I662" s="5827" t="s">
        <v>55</v>
      </c>
      <c r="J662" s="5827" t="s">
        <v>67</v>
      </c>
      <c r="K662" s="5830" t="s">
        <v>9994</v>
      </c>
      <c r="L662" s="620"/>
      <c r="M662" s="620"/>
      <c r="N662" s="620"/>
      <c r="O662" s="620"/>
      <c r="P662" s="620"/>
      <c r="Q662" s="620"/>
      <c r="R662" s="620"/>
      <c r="S662" s="620"/>
      <c r="T662" s="620"/>
      <c r="U662" s="620"/>
      <c r="V662" s="620"/>
      <c r="W662" s="620"/>
      <c r="X662" s="620"/>
      <c r="Y662" s="620"/>
      <c r="Z662" s="620"/>
      <c r="AA662" s="620"/>
      <c r="AB662" s="620"/>
      <c r="AC662" s="620"/>
      <c r="AD662" s="620"/>
      <c r="AE662" s="620"/>
      <c r="AF662" s="620"/>
      <c r="AG662" s="620"/>
      <c r="AH662" s="620"/>
      <c r="AI662" s="620"/>
      <c r="AJ662" s="620"/>
      <c r="AK662" s="620"/>
      <c r="AL662" s="620"/>
      <c r="AM662" s="620"/>
      <c r="AN662" s="620"/>
      <c r="AO662" s="620"/>
      <c r="AP662" s="620"/>
      <c r="AQ662" s="620"/>
      <c r="AR662" s="620"/>
      <c r="AS662" s="620"/>
      <c r="AT662" s="620"/>
      <c r="AU662" s="620"/>
      <c r="AV662" s="620"/>
      <c r="AW662" s="620"/>
      <c r="AX662" s="620"/>
      <c r="AY662" s="620"/>
      <c r="AZ662" s="620"/>
      <c r="BA662" s="620"/>
      <c r="BB662" s="620"/>
      <c r="BC662" s="620"/>
    </row>
    <row r="663" spans="1:55" ht="15.75" customHeight="1">
      <c r="A663" s="5827" t="s">
        <v>2854</v>
      </c>
      <c r="B663" s="5827" t="s">
        <v>9995</v>
      </c>
      <c r="C663" s="5827" t="s">
        <v>22</v>
      </c>
      <c r="D663" s="5827" t="s">
        <v>9996</v>
      </c>
      <c r="E663" s="5827" t="s">
        <v>9</v>
      </c>
      <c r="F663" s="5828">
        <v>3</v>
      </c>
      <c r="G663" s="5829">
        <v>0.20833333333333334</v>
      </c>
      <c r="H663" s="5827" t="s">
        <v>2081</v>
      </c>
      <c r="I663" s="5827" t="s">
        <v>2247</v>
      </c>
      <c r="J663" s="5827" t="s">
        <v>9997</v>
      </c>
      <c r="K663" s="5830" t="s">
        <v>9998</v>
      </c>
      <c r="L663" s="620"/>
      <c r="M663" s="620"/>
      <c r="N663" s="620"/>
      <c r="O663" s="620"/>
      <c r="P663" s="620"/>
      <c r="Q663" s="620"/>
      <c r="R663" s="620"/>
      <c r="S663" s="620"/>
      <c r="T663" s="620"/>
      <c r="U663" s="620"/>
      <c r="V663" s="620"/>
      <c r="W663" s="620"/>
      <c r="X663" s="620"/>
      <c r="Y663" s="620"/>
      <c r="Z663" s="620"/>
      <c r="AA663" s="620"/>
      <c r="AB663" s="620"/>
      <c r="AC663" s="620"/>
      <c r="AD663" s="620"/>
      <c r="AE663" s="620"/>
      <c r="AF663" s="620"/>
      <c r="AG663" s="620"/>
      <c r="AH663" s="620"/>
      <c r="AI663" s="620"/>
      <c r="AJ663" s="620"/>
      <c r="AK663" s="620"/>
      <c r="AL663" s="620"/>
      <c r="AM663" s="620"/>
      <c r="AN663" s="620"/>
      <c r="AO663" s="620"/>
      <c r="AP663" s="620"/>
      <c r="AQ663" s="620"/>
      <c r="AR663" s="620"/>
      <c r="AS663" s="620"/>
      <c r="AT663" s="620"/>
      <c r="AU663" s="620"/>
      <c r="AV663" s="620"/>
      <c r="AW663" s="620"/>
      <c r="AX663" s="620"/>
      <c r="AY663" s="620"/>
      <c r="AZ663" s="620"/>
      <c r="BA663" s="620"/>
      <c r="BB663" s="620"/>
      <c r="BC663" s="620"/>
    </row>
    <row r="664" spans="1:55" ht="15.75" customHeight="1">
      <c r="A664" s="5827" t="s">
        <v>2245</v>
      </c>
      <c r="B664" s="5827" t="s">
        <v>10003</v>
      </c>
      <c r="C664" s="5827" t="s">
        <v>8</v>
      </c>
      <c r="D664" s="5827" t="s">
        <v>10004</v>
      </c>
      <c r="E664" s="5827" t="s">
        <v>46</v>
      </c>
      <c r="F664" s="5828">
        <v>2</v>
      </c>
      <c r="G664" s="5829">
        <v>7.9861111111111105E-2</v>
      </c>
      <c r="H664" s="5827" t="s">
        <v>2081</v>
      </c>
      <c r="I664" s="5827" t="s">
        <v>11</v>
      </c>
      <c r="J664" s="5827" t="s">
        <v>4734</v>
      </c>
      <c r="K664" s="5830" t="s">
        <v>10005</v>
      </c>
      <c r="L664" s="620"/>
      <c r="M664" s="620"/>
      <c r="N664" s="620"/>
      <c r="O664" s="620"/>
      <c r="P664" s="620"/>
      <c r="Q664" s="620"/>
      <c r="R664" s="620"/>
      <c r="S664" s="620"/>
      <c r="T664" s="620"/>
      <c r="U664" s="620"/>
      <c r="V664" s="620"/>
      <c r="W664" s="620"/>
      <c r="X664" s="620"/>
      <c r="Y664" s="620"/>
      <c r="Z664" s="620"/>
      <c r="AA664" s="620"/>
      <c r="AB664" s="620"/>
      <c r="AC664" s="620"/>
      <c r="AD664" s="620"/>
      <c r="AE664" s="620"/>
      <c r="AF664" s="620"/>
      <c r="AG664" s="620"/>
      <c r="AH664" s="620"/>
      <c r="AI664" s="620"/>
      <c r="AJ664" s="620"/>
      <c r="AK664" s="620"/>
      <c r="AL664" s="620"/>
      <c r="AM664" s="620"/>
      <c r="AN664" s="620"/>
      <c r="AO664" s="620"/>
      <c r="AP664" s="620"/>
      <c r="AQ664" s="620"/>
      <c r="AR664" s="620"/>
      <c r="AS664" s="620"/>
      <c r="AT664" s="620"/>
      <c r="AU664" s="620"/>
      <c r="AV664" s="620"/>
      <c r="AW664" s="620"/>
      <c r="AX664" s="620"/>
      <c r="AY664" s="620"/>
      <c r="AZ664" s="620"/>
      <c r="BA664" s="620"/>
      <c r="BB664" s="620"/>
      <c r="BC664" s="620"/>
    </row>
  </sheetData>
  <hyperlinks>
    <hyperlink ref="K4" r:id="rId1" xr:uid="{00000000-0004-0000-1300-000000000000}"/>
    <hyperlink ref="K5" r:id="rId2" xr:uid="{00000000-0004-0000-1300-000001000000}"/>
    <hyperlink ref="K6" r:id="rId3" xr:uid="{00000000-0004-0000-1300-000002000000}"/>
    <hyperlink ref="K7" r:id="rId4" xr:uid="{00000000-0004-0000-1300-000003000000}"/>
    <hyperlink ref="K8" r:id="rId5" xr:uid="{00000000-0004-0000-1300-000004000000}"/>
    <hyperlink ref="K9" r:id="rId6" xr:uid="{00000000-0004-0000-1300-000005000000}"/>
    <hyperlink ref="K10" r:id="rId7" xr:uid="{00000000-0004-0000-1300-000006000000}"/>
    <hyperlink ref="K11" r:id="rId8" xr:uid="{00000000-0004-0000-1300-000007000000}"/>
    <hyperlink ref="K12" r:id="rId9" xr:uid="{00000000-0004-0000-1300-000008000000}"/>
    <hyperlink ref="K13" r:id="rId10" xr:uid="{00000000-0004-0000-1300-000009000000}"/>
    <hyperlink ref="K14" r:id="rId11" xr:uid="{00000000-0004-0000-1300-00000A000000}"/>
    <hyperlink ref="K15" r:id="rId12" xr:uid="{00000000-0004-0000-1300-00000B000000}"/>
    <hyperlink ref="K16" r:id="rId13" xr:uid="{00000000-0004-0000-1300-00000C000000}"/>
    <hyperlink ref="K17" r:id="rId14" xr:uid="{00000000-0004-0000-1300-00000D000000}"/>
    <hyperlink ref="K18" r:id="rId15" xr:uid="{00000000-0004-0000-1300-00000E000000}"/>
    <hyperlink ref="K19" r:id="rId16" xr:uid="{00000000-0004-0000-1300-00000F000000}"/>
    <hyperlink ref="K20" r:id="rId17" xr:uid="{00000000-0004-0000-1300-000010000000}"/>
    <hyperlink ref="K21" r:id="rId18" xr:uid="{00000000-0004-0000-1300-000011000000}"/>
    <hyperlink ref="K22" r:id="rId19" xr:uid="{00000000-0004-0000-1300-000012000000}"/>
    <hyperlink ref="K23" r:id="rId20" xr:uid="{00000000-0004-0000-1300-000013000000}"/>
    <hyperlink ref="K24" r:id="rId21" xr:uid="{00000000-0004-0000-1300-000014000000}"/>
    <hyperlink ref="K25" r:id="rId22" xr:uid="{00000000-0004-0000-1300-000015000000}"/>
    <hyperlink ref="K26" r:id="rId23" xr:uid="{00000000-0004-0000-1300-000016000000}"/>
    <hyperlink ref="K27" r:id="rId24" xr:uid="{00000000-0004-0000-1300-000017000000}"/>
    <hyperlink ref="K28" r:id="rId25" xr:uid="{00000000-0004-0000-1300-000018000000}"/>
    <hyperlink ref="K29" r:id="rId26" xr:uid="{00000000-0004-0000-1300-000019000000}"/>
    <hyperlink ref="K30" r:id="rId27" xr:uid="{00000000-0004-0000-1300-00001A000000}"/>
    <hyperlink ref="K31" r:id="rId28" xr:uid="{00000000-0004-0000-1300-00001B000000}"/>
    <hyperlink ref="K32" r:id="rId29" xr:uid="{00000000-0004-0000-1300-00001C000000}"/>
    <hyperlink ref="K33" r:id="rId30" xr:uid="{00000000-0004-0000-1300-00001D000000}"/>
    <hyperlink ref="K34" r:id="rId31" xr:uid="{00000000-0004-0000-1300-00001E000000}"/>
    <hyperlink ref="K35" r:id="rId32" xr:uid="{00000000-0004-0000-1300-00001F000000}"/>
    <hyperlink ref="K36" r:id="rId33" xr:uid="{00000000-0004-0000-1300-000020000000}"/>
    <hyperlink ref="K37" r:id="rId34" xr:uid="{00000000-0004-0000-1300-000021000000}"/>
    <hyperlink ref="K38" r:id="rId35" xr:uid="{00000000-0004-0000-1300-000022000000}"/>
    <hyperlink ref="K39" r:id="rId36" xr:uid="{00000000-0004-0000-1300-000023000000}"/>
    <hyperlink ref="K40" r:id="rId37" xr:uid="{00000000-0004-0000-1300-000024000000}"/>
    <hyperlink ref="K41" r:id="rId38" xr:uid="{00000000-0004-0000-1300-000025000000}"/>
    <hyperlink ref="K42" r:id="rId39" xr:uid="{00000000-0004-0000-1300-000026000000}"/>
    <hyperlink ref="K43" r:id="rId40" xr:uid="{00000000-0004-0000-1300-000027000000}"/>
    <hyperlink ref="K44" r:id="rId41" xr:uid="{00000000-0004-0000-1300-000028000000}"/>
    <hyperlink ref="K45" r:id="rId42" xr:uid="{00000000-0004-0000-1300-000029000000}"/>
    <hyperlink ref="K46" r:id="rId43" xr:uid="{00000000-0004-0000-1300-00002A000000}"/>
    <hyperlink ref="K47" r:id="rId44" xr:uid="{00000000-0004-0000-1300-00002B000000}"/>
    <hyperlink ref="K48" r:id="rId45" xr:uid="{00000000-0004-0000-1300-00002C000000}"/>
    <hyperlink ref="K49" r:id="rId46" xr:uid="{00000000-0004-0000-1300-00002D000000}"/>
    <hyperlink ref="K50" r:id="rId47" xr:uid="{00000000-0004-0000-1300-00002E000000}"/>
    <hyperlink ref="K51" r:id="rId48" xr:uid="{00000000-0004-0000-1300-00002F000000}"/>
    <hyperlink ref="K52" r:id="rId49" xr:uid="{00000000-0004-0000-1300-000030000000}"/>
    <hyperlink ref="K53" r:id="rId50" xr:uid="{00000000-0004-0000-1300-000031000000}"/>
    <hyperlink ref="K54" r:id="rId51" xr:uid="{00000000-0004-0000-1300-000032000000}"/>
    <hyperlink ref="K55" r:id="rId52" xr:uid="{00000000-0004-0000-1300-000033000000}"/>
    <hyperlink ref="K56" r:id="rId53" xr:uid="{00000000-0004-0000-1300-000034000000}"/>
    <hyperlink ref="K57" r:id="rId54" xr:uid="{00000000-0004-0000-1300-000035000000}"/>
    <hyperlink ref="K58" r:id="rId55" xr:uid="{00000000-0004-0000-1300-000036000000}"/>
    <hyperlink ref="K59" r:id="rId56" xr:uid="{00000000-0004-0000-1300-000037000000}"/>
    <hyperlink ref="K60" r:id="rId57" xr:uid="{00000000-0004-0000-1300-000038000000}"/>
    <hyperlink ref="K61" r:id="rId58" xr:uid="{00000000-0004-0000-1300-000039000000}"/>
    <hyperlink ref="K62" r:id="rId59" xr:uid="{00000000-0004-0000-1300-00003A000000}"/>
    <hyperlink ref="K63" r:id="rId60" xr:uid="{00000000-0004-0000-1300-00003B000000}"/>
    <hyperlink ref="K64" r:id="rId61" xr:uid="{00000000-0004-0000-1300-00003C000000}"/>
    <hyperlink ref="K65" r:id="rId62" xr:uid="{00000000-0004-0000-1300-00003D000000}"/>
    <hyperlink ref="K66" r:id="rId63" xr:uid="{00000000-0004-0000-1300-00003E000000}"/>
    <hyperlink ref="K67" r:id="rId64" xr:uid="{00000000-0004-0000-1300-00003F000000}"/>
    <hyperlink ref="K68" r:id="rId65" xr:uid="{00000000-0004-0000-1300-000040000000}"/>
    <hyperlink ref="K69" r:id="rId66" xr:uid="{00000000-0004-0000-1300-000041000000}"/>
    <hyperlink ref="K70" r:id="rId67" xr:uid="{00000000-0004-0000-1300-000042000000}"/>
    <hyperlink ref="K71" r:id="rId68" xr:uid="{00000000-0004-0000-1300-000043000000}"/>
    <hyperlink ref="K72" r:id="rId69" xr:uid="{00000000-0004-0000-1300-000044000000}"/>
    <hyperlink ref="K73" r:id="rId70" xr:uid="{00000000-0004-0000-1300-000045000000}"/>
    <hyperlink ref="K74" r:id="rId71" xr:uid="{00000000-0004-0000-1300-000046000000}"/>
    <hyperlink ref="K75" r:id="rId72" xr:uid="{00000000-0004-0000-1300-000047000000}"/>
    <hyperlink ref="K76" r:id="rId73" xr:uid="{00000000-0004-0000-1300-000048000000}"/>
    <hyperlink ref="K77" r:id="rId74" xr:uid="{00000000-0004-0000-1300-000049000000}"/>
    <hyperlink ref="K78" r:id="rId75" xr:uid="{00000000-0004-0000-1300-00004A000000}"/>
    <hyperlink ref="K79" r:id="rId76" xr:uid="{00000000-0004-0000-1300-00004B000000}"/>
    <hyperlink ref="K80" r:id="rId77" xr:uid="{00000000-0004-0000-1300-00004C000000}"/>
    <hyperlink ref="K81" r:id="rId78" xr:uid="{00000000-0004-0000-1300-00004D000000}"/>
    <hyperlink ref="K82" r:id="rId79" xr:uid="{00000000-0004-0000-1300-00004E000000}"/>
    <hyperlink ref="K83" r:id="rId80" xr:uid="{00000000-0004-0000-1300-00004F000000}"/>
    <hyperlink ref="K84" r:id="rId81" xr:uid="{00000000-0004-0000-1300-000050000000}"/>
    <hyperlink ref="K85" r:id="rId82" xr:uid="{00000000-0004-0000-1300-000051000000}"/>
    <hyperlink ref="K86" r:id="rId83" xr:uid="{00000000-0004-0000-1300-000052000000}"/>
    <hyperlink ref="K87" r:id="rId84" xr:uid="{00000000-0004-0000-1300-000053000000}"/>
    <hyperlink ref="K88" r:id="rId85" xr:uid="{00000000-0004-0000-1300-000054000000}"/>
    <hyperlink ref="K89" r:id="rId86" xr:uid="{00000000-0004-0000-1300-000055000000}"/>
    <hyperlink ref="K90" r:id="rId87" xr:uid="{00000000-0004-0000-1300-000056000000}"/>
    <hyperlink ref="K91" r:id="rId88" xr:uid="{00000000-0004-0000-1300-000057000000}"/>
    <hyperlink ref="K92" r:id="rId89" xr:uid="{00000000-0004-0000-1300-000058000000}"/>
    <hyperlink ref="K93" r:id="rId90" xr:uid="{00000000-0004-0000-1300-000059000000}"/>
    <hyperlink ref="K94" r:id="rId91" xr:uid="{00000000-0004-0000-1300-00005A000000}"/>
    <hyperlink ref="K95" r:id="rId92" xr:uid="{00000000-0004-0000-1300-00005B000000}"/>
    <hyperlink ref="K96" r:id="rId93" xr:uid="{00000000-0004-0000-1300-00005C000000}"/>
    <hyperlink ref="K97" r:id="rId94" xr:uid="{00000000-0004-0000-1300-00005D000000}"/>
    <hyperlink ref="K98" r:id="rId95" xr:uid="{00000000-0004-0000-1300-00005E000000}"/>
    <hyperlink ref="K99" r:id="rId96" xr:uid="{00000000-0004-0000-1300-00005F000000}"/>
    <hyperlink ref="K100" r:id="rId97" xr:uid="{00000000-0004-0000-1300-000060000000}"/>
    <hyperlink ref="K101" r:id="rId98" xr:uid="{00000000-0004-0000-1300-000061000000}"/>
    <hyperlink ref="K102" r:id="rId99" xr:uid="{00000000-0004-0000-1300-000062000000}"/>
    <hyperlink ref="K103" r:id="rId100" xr:uid="{00000000-0004-0000-1300-000063000000}"/>
    <hyperlink ref="K104" r:id="rId101" xr:uid="{00000000-0004-0000-1300-000064000000}"/>
    <hyperlink ref="K105" r:id="rId102" xr:uid="{00000000-0004-0000-1300-000065000000}"/>
    <hyperlink ref="K106" r:id="rId103" xr:uid="{00000000-0004-0000-1300-000066000000}"/>
    <hyperlink ref="K107" r:id="rId104" xr:uid="{00000000-0004-0000-1300-000067000000}"/>
    <hyperlink ref="K108" r:id="rId105" xr:uid="{00000000-0004-0000-1300-000068000000}"/>
    <hyperlink ref="K109" r:id="rId106" xr:uid="{00000000-0004-0000-1300-000069000000}"/>
    <hyperlink ref="K110" r:id="rId107" xr:uid="{00000000-0004-0000-1300-00006A000000}"/>
    <hyperlink ref="K111" r:id="rId108" xr:uid="{00000000-0004-0000-1300-00006B000000}"/>
    <hyperlink ref="K112" r:id="rId109" xr:uid="{00000000-0004-0000-1300-00006C000000}"/>
    <hyperlink ref="K113" r:id="rId110" xr:uid="{00000000-0004-0000-1300-00006D000000}"/>
    <hyperlink ref="K114" r:id="rId111" xr:uid="{00000000-0004-0000-1300-00006E000000}"/>
    <hyperlink ref="K115" r:id="rId112" xr:uid="{00000000-0004-0000-1300-00006F000000}"/>
    <hyperlink ref="K116" r:id="rId113" xr:uid="{00000000-0004-0000-1300-000070000000}"/>
    <hyperlink ref="K117" r:id="rId114" xr:uid="{00000000-0004-0000-1300-000071000000}"/>
    <hyperlink ref="K118" r:id="rId115" xr:uid="{00000000-0004-0000-1300-000072000000}"/>
    <hyperlink ref="K119" r:id="rId116" xr:uid="{00000000-0004-0000-1300-000073000000}"/>
    <hyperlink ref="K120" r:id="rId117" xr:uid="{00000000-0004-0000-1300-000074000000}"/>
    <hyperlink ref="K121" r:id="rId118" xr:uid="{00000000-0004-0000-1300-000075000000}"/>
    <hyperlink ref="K122" r:id="rId119" xr:uid="{00000000-0004-0000-1300-000076000000}"/>
    <hyperlink ref="K123" r:id="rId120" xr:uid="{00000000-0004-0000-1300-000077000000}"/>
    <hyperlink ref="K124" r:id="rId121" xr:uid="{00000000-0004-0000-1300-000078000000}"/>
    <hyperlink ref="K125" r:id="rId122" xr:uid="{00000000-0004-0000-1300-000079000000}"/>
    <hyperlink ref="K126" r:id="rId123" xr:uid="{00000000-0004-0000-1300-00007A000000}"/>
    <hyperlink ref="K127" r:id="rId124" xr:uid="{00000000-0004-0000-1300-00007B000000}"/>
    <hyperlink ref="K128" r:id="rId125" xr:uid="{00000000-0004-0000-1300-00007C000000}"/>
    <hyperlink ref="K129" r:id="rId126" xr:uid="{00000000-0004-0000-1300-00007D000000}"/>
    <hyperlink ref="K130" r:id="rId127" xr:uid="{00000000-0004-0000-1300-00007E000000}"/>
    <hyperlink ref="K131" r:id="rId128" xr:uid="{00000000-0004-0000-1300-00007F000000}"/>
    <hyperlink ref="K132" r:id="rId129" xr:uid="{00000000-0004-0000-1300-000080000000}"/>
    <hyperlink ref="K133" r:id="rId130" xr:uid="{00000000-0004-0000-1300-000081000000}"/>
    <hyperlink ref="K134" r:id="rId131" xr:uid="{00000000-0004-0000-1300-000082000000}"/>
    <hyperlink ref="K135" r:id="rId132" xr:uid="{00000000-0004-0000-1300-000083000000}"/>
    <hyperlink ref="K136" r:id="rId133" xr:uid="{00000000-0004-0000-1300-000084000000}"/>
    <hyperlink ref="K137" r:id="rId134" xr:uid="{00000000-0004-0000-1300-000085000000}"/>
    <hyperlink ref="K138" r:id="rId135" xr:uid="{00000000-0004-0000-1300-000086000000}"/>
    <hyperlink ref="K139" r:id="rId136" xr:uid="{00000000-0004-0000-1300-000087000000}"/>
    <hyperlink ref="K140" r:id="rId137" xr:uid="{00000000-0004-0000-1300-000088000000}"/>
    <hyperlink ref="K141" r:id="rId138" xr:uid="{00000000-0004-0000-1300-000089000000}"/>
    <hyperlink ref="K142" r:id="rId139" xr:uid="{00000000-0004-0000-1300-00008A000000}"/>
    <hyperlink ref="K143" r:id="rId140" xr:uid="{00000000-0004-0000-1300-00008B000000}"/>
    <hyperlink ref="K144" r:id="rId141" xr:uid="{00000000-0004-0000-1300-00008C000000}"/>
    <hyperlink ref="K145" r:id="rId142" xr:uid="{00000000-0004-0000-1300-00008D000000}"/>
    <hyperlink ref="K146" r:id="rId143" xr:uid="{00000000-0004-0000-1300-00008E000000}"/>
    <hyperlink ref="K147" r:id="rId144" xr:uid="{00000000-0004-0000-1300-00008F000000}"/>
    <hyperlink ref="K148" r:id="rId145" xr:uid="{00000000-0004-0000-1300-000090000000}"/>
    <hyperlink ref="K149" r:id="rId146" xr:uid="{00000000-0004-0000-1300-000091000000}"/>
    <hyperlink ref="K150" r:id="rId147" xr:uid="{00000000-0004-0000-1300-000092000000}"/>
    <hyperlink ref="K151" r:id="rId148" xr:uid="{00000000-0004-0000-1300-000093000000}"/>
    <hyperlink ref="K152" r:id="rId149" xr:uid="{00000000-0004-0000-1300-000094000000}"/>
    <hyperlink ref="K153" r:id="rId150" xr:uid="{00000000-0004-0000-1300-000095000000}"/>
    <hyperlink ref="K154" r:id="rId151" xr:uid="{00000000-0004-0000-1300-000096000000}"/>
    <hyperlink ref="K155" r:id="rId152" xr:uid="{00000000-0004-0000-1300-000097000000}"/>
    <hyperlink ref="K156" r:id="rId153" xr:uid="{00000000-0004-0000-1300-000098000000}"/>
    <hyperlink ref="K157" r:id="rId154" xr:uid="{00000000-0004-0000-1300-000099000000}"/>
    <hyperlink ref="K158" r:id="rId155" xr:uid="{00000000-0004-0000-1300-00009A000000}"/>
    <hyperlink ref="K159" r:id="rId156" xr:uid="{00000000-0004-0000-1300-00009B000000}"/>
    <hyperlink ref="K160" r:id="rId157" xr:uid="{00000000-0004-0000-1300-00009C000000}"/>
    <hyperlink ref="K161" r:id="rId158" xr:uid="{00000000-0004-0000-1300-00009D000000}"/>
    <hyperlink ref="K162" r:id="rId159" xr:uid="{00000000-0004-0000-1300-00009E000000}"/>
    <hyperlink ref="K163" r:id="rId160" xr:uid="{00000000-0004-0000-1300-00009F000000}"/>
    <hyperlink ref="K164" r:id="rId161" xr:uid="{00000000-0004-0000-1300-0000A0000000}"/>
    <hyperlink ref="K165" r:id="rId162" xr:uid="{00000000-0004-0000-1300-0000A1000000}"/>
    <hyperlink ref="K166" r:id="rId163" xr:uid="{00000000-0004-0000-1300-0000A2000000}"/>
    <hyperlink ref="K167" r:id="rId164" xr:uid="{00000000-0004-0000-1300-0000A3000000}"/>
    <hyperlink ref="K168" r:id="rId165" xr:uid="{00000000-0004-0000-1300-0000A4000000}"/>
    <hyperlink ref="K169" r:id="rId166" xr:uid="{00000000-0004-0000-1300-0000A5000000}"/>
    <hyperlink ref="K170" r:id="rId167" xr:uid="{00000000-0004-0000-1300-0000A6000000}"/>
    <hyperlink ref="K171" r:id="rId168" xr:uid="{00000000-0004-0000-1300-0000A7000000}"/>
    <hyperlink ref="K172" r:id="rId169" xr:uid="{00000000-0004-0000-1300-0000A8000000}"/>
    <hyperlink ref="K173" r:id="rId170" xr:uid="{00000000-0004-0000-1300-0000A9000000}"/>
    <hyperlink ref="K174" r:id="rId171" xr:uid="{00000000-0004-0000-1300-0000AA000000}"/>
    <hyperlink ref="K175" r:id="rId172" xr:uid="{00000000-0004-0000-1300-0000AB000000}"/>
    <hyperlink ref="K176" r:id="rId173" xr:uid="{00000000-0004-0000-1300-0000AC000000}"/>
    <hyperlink ref="K177" r:id="rId174" xr:uid="{00000000-0004-0000-1300-0000AD000000}"/>
    <hyperlink ref="K178" r:id="rId175" xr:uid="{00000000-0004-0000-1300-0000AE000000}"/>
    <hyperlink ref="K179" r:id="rId176" xr:uid="{00000000-0004-0000-1300-0000AF000000}"/>
    <hyperlink ref="K180" r:id="rId177" xr:uid="{00000000-0004-0000-1300-0000B0000000}"/>
    <hyperlink ref="K181" r:id="rId178" xr:uid="{00000000-0004-0000-1300-0000B1000000}"/>
    <hyperlink ref="K182" r:id="rId179" xr:uid="{00000000-0004-0000-1300-0000B2000000}"/>
    <hyperlink ref="K183" r:id="rId180" xr:uid="{00000000-0004-0000-1300-0000B3000000}"/>
    <hyperlink ref="K184" r:id="rId181" xr:uid="{00000000-0004-0000-1300-0000B4000000}"/>
    <hyperlink ref="K185" r:id="rId182" xr:uid="{00000000-0004-0000-1300-0000B5000000}"/>
    <hyperlink ref="K186" r:id="rId183" xr:uid="{00000000-0004-0000-1300-0000B6000000}"/>
    <hyperlink ref="K187" r:id="rId184" xr:uid="{00000000-0004-0000-1300-0000B7000000}"/>
    <hyperlink ref="K188" r:id="rId185" xr:uid="{00000000-0004-0000-1300-0000B8000000}"/>
    <hyperlink ref="K189" r:id="rId186" xr:uid="{00000000-0004-0000-1300-0000B9000000}"/>
    <hyperlink ref="K190" r:id="rId187" xr:uid="{00000000-0004-0000-1300-0000BA000000}"/>
    <hyperlink ref="K191" r:id="rId188" xr:uid="{00000000-0004-0000-1300-0000BB000000}"/>
    <hyperlink ref="K192" r:id="rId189" xr:uid="{00000000-0004-0000-1300-0000BC000000}"/>
    <hyperlink ref="K193" r:id="rId190" xr:uid="{00000000-0004-0000-1300-0000BD000000}"/>
    <hyperlink ref="K194" r:id="rId191" xr:uid="{00000000-0004-0000-1300-0000BE000000}"/>
    <hyperlink ref="K195" r:id="rId192" xr:uid="{00000000-0004-0000-1300-0000BF000000}"/>
    <hyperlink ref="K196" r:id="rId193" xr:uid="{00000000-0004-0000-1300-0000C0000000}"/>
    <hyperlink ref="K197" r:id="rId194" xr:uid="{00000000-0004-0000-1300-0000C1000000}"/>
    <hyperlink ref="K198" r:id="rId195" xr:uid="{00000000-0004-0000-1300-0000C2000000}"/>
    <hyperlink ref="K199" r:id="rId196" xr:uid="{00000000-0004-0000-1300-0000C3000000}"/>
    <hyperlink ref="K200" r:id="rId197" xr:uid="{00000000-0004-0000-1300-0000C4000000}"/>
    <hyperlink ref="K201" r:id="rId198" xr:uid="{00000000-0004-0000-1300-0000C5000000}"/>
    <hyperlink ref="K202" r:id="rId199" xr:uid="{00000000-0004-0000-1300-0000C6000000}"/>
    <hyperlink ref="K203" r:id="rId200" xr:uid="{00000000-0004-0000-1300-0000C7000000}"/>
    <hyperlink ref="K204" r:id="rId201" xr:uid="{00000000-0004-0000-1300-0000C8000000}"/>
    <hyperlink ref="K205" r:id="rId202" xr:uid="{00000000-0004-0000-1300-0000C9000000}"/>
    <hyperlink ref="K206" r:id="rId203" xr:uid="{00000000-0004-0000-1300-0000CA000000}"/>
    <hyperlink ref="K207" r:id="rId204" xr:uid="{00000000-0004-0000-1300-0000CB000000}"/>
    <hyperlink ref="K208" r:id="rId205" xr:uid="{00000000-0004-0000-1300-0000CC000000}"/>
    <hyperlink ref="K209" r:id="rId206" xr:uid="{00000000-0004-0000-1300-0000CD000000}"/>
    <hyperlink ref="K210" r:id="rId207" xr:uid="{00000000-0004-0000-1300-0000CE000000}"/>
    <hyperlink ref="K211" r:id="rId208" xr:uid="{00000000-0004-0000-1300-0000CF000000}"/>
    <hyperlink ref="K212" r:id="rId209" xr:uid="{00000000-0004-0000-1300-0000D0000000}"/>
    <hyperlink ref="K213" r:id="rId210" xr:uid="{00000000-0004-0000-1300-0000D1000000}"/>
    <hyperlink ref="K214" r:id="rId211" xr:uid="{00000000-0004-0000-1300-0000D2000000}"/>
    <hyperlink ref="K215" r:id="rId212" xr:uid="{00000000-0004-0000-1300-0000D3000000}"/>
    <hyperlink ref="K216" r:id="rId213" xr:uid="{00000000-0004-0000-1300-0000D4000000}"/>
    <hyperlink ref="K217" r:id="rId214" xr:uid="{00000000-0004-0000-1300-0000D5000000}"/>
    <hyperlink ref="K218" r:id="rId215" xr:uid="{00000000-0004-0000-1300-0000D6000000}"/>
    <hyperlink ref="K219" r:id="rId216" xr:uid="{00000000-0004-0000-1300-0000D7000000}"/>
    <hyperlink ref="K220" r:id="rId217" xr:uid="{00000000-0004-0000-1300-0000D8000000}"/>
    <hyperlink ref="K221" r:id="rId218" xr:uid="{00000000-0004-0000-1300-0000D9000000}"/>
    <hyperlink ref="K222" r:id="rId219" xr:uid="{00000000-0004-0000-1300-0000DA000000}"/>
    <hyperlink ref="K223" r:id="rId220" xr:uid="{00000000-0004-0000-1300-0000DB000000}"/>
    <hyperlink ref="K224" r:id="rId221" xr:uid="{00000000-0004-0000-1300-0000DC000000}"/>
    <hyperlink ref="K225" r:id="rId222" xr:uid="{00000000-0004-0000-1300-0000DD000000}"/>
    <hyperlink ref="K226" r:id="rId223" xr:uid="{00000000-0004-0000-1300-0000DE000000}"/>
    <hyperlink ref="K227" r:id="rId224" xr:uid="{00000000-0004-0000-1300-0000DF000000}"/>
    <hyperlink ref="K228" r:id="rId225" xr:uid="{00000000-0004-0000-1300-0000E0000000}"/>
    <hyperlink ref="K229" r:id="rId226" xr:uid="{00000000-0004-0000-1300-0000E1000000}"/>
    <hyperlink ref="K230" r:id="rId227" xr:uid="{00000000-0004-0000-1300-0000E2000000}"/>
    <hyperlink ref="K231" r:id="rId228" xr:uid="{00000000-0004-0000-1300-0000E3000000}"/>
    <hyperlink ref="K232" r:id="rId229" xr:uid="{00000000-0004-0000-1300-0000E4000000}"/>
    <hyperlink ref="K233" r:id="rId230" xr:uid="{00000000-0004-0000-1300-0000E5000000}"/>
    <hyperlink ref="K234" r:id="rId231" xr:uid="{00000000-0004-0000-1300-0000E6000000}"/>
    <hyperlink ref="K235" r:id="rId232" xr:uid="{00000000-0004-0000-1300-0000E7000000}"/>
    <hyperlink ref="K236" r:id="rId233" xr:uid="{00000000-0004-0000-1300-0000E8000000}"/>
    <hyperlink ref="K237" r:id="rId234" xr:uid="{00000000-0004-0000-1300-0000E9000000}"/>
    <hyperlink ref="K238" r:id="rId235" xr:uid="{00000000-0004-0000-1300-0000EA000000}"/>
    <hyperlink ref="K239" r:id="rId236" xr:uid="{00000000-0004-0000-1300-0000EB000000}"/>
    <hyperlink ref="K240" r:id="rId237" xr:uid="{00000000-0004-0000-1300-0000EC000000}"/>
    <hyperlink ref="K241" r:id="rId238" xr:uid="{00000000-0004-0000-1300-0000ED000000}"/>
    <hyperlink ref="K242" r:id="rId239" xr:uid="{00000000-0004-0000-1300-0000EE000000}"/>
    <hyperlink ref="K243" r:id="rId240" xr:uid="{00000000-0004-0000-1300-0000EF000000}"/>
    <hyperlink ref="K244" r:id="rId241" xr:uid="{00000000-0004-0000-1300-0000F0000000}"/>
    <hyperlink ref="K245" r:id="rId242" xr:uid="{00000000-0004-0000-1300-0000F1000000}"/>
    <hyperlink ref="K246" r:id="rId243" xr:uid="{00000000-0004-0000-1300-0000F2000000}"/>
    <hyperlink ref="K247" r:id="rId244" xr:uid="{00000000-0004-0000-1300-0000F3000000}"/>
    <hyperlink ref="K248" r:id="rId245" xr:uid="{00000000-0004-0000-1300-0000F4000000}"/>
    <hyperlink ref="K249" r:id="rId246" xr:uid="{00000000-0004-0000-1300-0000F5000000}"/>
    <hyperlink ref="K250" r:id="rId247" xr:uid="{00000000-0004-0000-1300-0000F6000000}"/>
    <hyperlink ref="K251" r:id="rId248" xr:uid="{00000000-0004-0000-1300-0000F7000000}"/>
    <hyperlink ref="K252" r:id="rId249" xr:uid="{00000000-0004-0000-1300-0000F8000000}"/>
    <hyperlink ref="K253" r:id="rId250" xr:uid="{00000000-0004-0000-1300-0000F9000000}"/>
    <hyperlink ref="K254" r:id="rId251" xr:uid="{00000000-0004-0000-1300-0000FA000000}"/>
    <hyperlink ref="K255" r:id="rId252" xr:uid="{00000000-0004-0000-1300-0000FB000000}"/>
    <hyperlink ref="K256" r:id="rId253" xr:uid="{00000000-0004-0000-1300-0000FC000000}"/>
    <hyperlink ref="K257" r:id="rId254" xr:uid="{00000000-0004-0000-1300-0000FD000000}"/>
    <hyperlink ref="K258" r:id="rId255" xr:uid="{00000000-0004-0000-1300-0000FE000000}"/>
    <hyperlink ref="K259" r:id="rId256" xr:uid="{00000000-0004-0000-1300-0000FF000000}"/>
    <hyperlink ref="K260" r:id="rId257" xr:uid="{00000000-0004-0000-1300-000000010000}"/>
    <hyperlink ref="K261" r:id="rId258" xr:uid="{00000000-0004-0000-1300-000001010000}"/>
    <hyperlink ref="K262" r:id="rId259" xr:uid="{00000000-0004-0000-1300-000002010000}"/>
    <hyperlink ref="K263" r:id="rId260" xr:uid="{00000000-0004-0000-1300-000003010000}"/>
    <hyperlink ref="K264" r:id="rId261" xr:uid="{00000000-0004-0000-1300-000004010000}"/>
    <hyperlink ref="K265" r:id="rId262" xr:uid="{00000000-0004-0000-1300-000005010000}"/>
    <hyperlink ref="K266" r:id="rId263" xr:uid="{00000000-0004-0000-1300-000006010000}"/>
    <hyperlink ref="K267" r:id="rId264" xr:uid="{00000000-0004-0000-1300-000007010000}"/>
    <hyperlink ref="K268" r:id="rId265" xr:uid="{00000000-0004-0000-1300-000008010000}"/>
    <hyperlink ref="K269" r:id="rId266" xr:uid="{00000000-0004-0000-1300-000009010000}"/>
    <hyperlink ref="K270" r:id="rId267" xr:uid="{00000000-0004-0000-1300-00000A010000}"/>
    <hyperlink ref="K271" r:id="rId268" xr:uid="{00000000-0004-0000-1300-00000B010000}"/>
    <hyperlink ref="K272" r:id="rId269" xr:uid="{00000000-0004-0000-1300-00000C010000}"/>
    <hyperlink ref="K273" r:id="rId270" xr:uid="{00000000-0004-0000-1300-00000D010000}"/>
    <hyperlink ref="K274" r:id="rId271" xr:uid="{00000000-0004-0000-1300-00000E010000}"/>
    <hyperlink ref="K275" r:id="rId272" xr:uid="{00000000-0004-0000-1300-00000F010000}"/>
    <hyperlink ref="K276" r:id="rId273" xr:uid="{00000000-0004-0000-1300-000010010000}"/>
    <hyperlink ref="K277" r:id="rId274" xr:uid="{00000000-0004-0000-1300-000011010000}"/>
    <hyperlink ref="K278" r:id="rId275" xr:uid="{00000000-0004-0000-1300-000012010000}"/>
    <hyperlink ref="K279" r:id="rId276" xr:uid="{00000000-0004-0000-1300-000013010000}"/>
    <hyperlink ref="K280" r:id="rId277" xr:uid="{00000000-0004-0000-1300-000014010000}"/>
    <hyperlink ref="K281" r:id="rId278" xr:uid="{00000000-0004-0000-1300-000015010000}"/>
    <hyperlink ref="K282" r:id="rId279" xr:uid="{00000000-0004-0000-1300-000016010000}"/>
    <hyperlink ref="K283" r:id="rId280" xr:uid="{00000000-0004-0000-1300-000017010000}"/>
    <hyperlink ref="K284" r:id="rId281" xr:uid="{00000000-0004-0000-1300-000018010000}"/>
    <hyperlink ref="K285" r:id="rId282" xr:uid="{00000000-0004-0000-1300-000019010000}"/>
    <hyperlink ref="K286" r:id="rId283" xr:uid="{00000000-0004-0000-1300-00001A010000}"/>
    <hyperlink ref="K287" r:id="rId284" xr:uid="{00000000-0004-0000-1300-00001B010000}"/>
    <hyperlink ref="K288" r:id="rId285" xr:uid="{00000000-0004-0000-1300-00001C010000}"/>
    <hyperlink ref="K289" r:id="rId286" xr:uid="{00000000-0004-0000-1300-00001D010000}"/>
    <hyperlink ref="K290" r:id="rId287" xr:uid="{00000000-0004-0000-1300-00001E010000}"/>
    <hyperlink ref="K291" r:id="rId288" xr:uid="{00000000-0004-0000-1300-00001F010000}"/>
    <hyperlink ref="K292" r:id="rId289" xr:uid="{00000000-0004-0000-1300-000020010000}"/>
    <hyperlink ref="K293" r:id="rId290" xr:uid="{00000000-0004-0000-1300-000021010000}"/>
    <hyperlink ref="K294" r:id="rId291" xr:uid="{00000000-0004-0000-1300-000022010000}"/>
    <hyperlink ref="K295" r:id="rId292" xr:uid="{00000000-0004-0000-1300-000023010000}"/>
    <hyperlink ref="K296" r:id="rId293" xr:uid="{00000000-0004-0000-1300-000024010000}"/>
    <hyperlink ref="K297" r:id="rId294" xr:uid="{00000000-0004-0000-1300-000025010000}"/>
    <hyperlink ref="K298" r:id="rId295" xr:uid="{00000000-0004-0000-1300-000026010000}"/>
    <hyperlink ref="K299" r:id="rId296" xr:uid="{00000000-0004-0000-1300-000027010000}"/>
    <hyperlink ref="K300" r:id="rId297" xr:uid="{00000000-0004-0000-1300-000028010000}"/>
    <hyperlink ref="K301" r:id="rId298" xr:uid="{00000000-0004-0000-1300-000029010000}"/>
    <hyperlink ref="K302" r:id="rId299" xr:uid="{00000000-0004-0000-1300-00002A010000}"/>
    <hyperlink ref="K303" r:id="rId300" xr:uid="{00000000-0004-0000-1300-00002B010000}"/>
    <hyperlink ref="K304" r:id="rId301" xr:uid="{00000000-0004-0000-1300-00002C010000}"/>
    <hyperlink ref="K305" r:id="rId302" xr:uid="{00000000-0004-0000-1300-00002D010000}"/>
    <hyperlink ref="K306" r:id="rId303" xr:uid="{00000000-0004-0000-1300-00002E010000}"/>
    <hyperlink ref="K307" r:id="rId304" xr:uid="{00000000-0004-0000-1300-00002F010000}"/>
    <hyperlink ref="K308" r:id="rId305" xr:uid="{00000000-0004-0000-1300-000030010000}"/>
    <hyperlink ref="K309" r:id="rId306" xr:uid="{00000000-0004-0000-1300-000031010000}"/>
    <hyperlink ref="K310" r:id="rId307" xr:uid="{00000000-0004-0000-1300-000032010000}"/>
    <hyperlink ref="K311" r:id="rId308" xr:uid="{00000000-0004-0000-1300-000033010000}"/>
    <hyperlink ref="K312" r:id="rId309" xr:uid="{00000000-0004-0000-1300-000034010000}"/>
    <hyperlink ref="K313" r:id="rId310" xr:uid="{00000000-0004-0000-1300-000035010000}"/>
    <hyperlink ref="K314" r:id="rId311" xr:uid="{00000000-0004-0000-1300-000036010000}"/>
    <hyperlink ref="K315" r:id="rId312" xr:uid="{00000000-0004-0000-1300-000037010000}"/>
    <hyperlink ref="K316" r:id="rId313" xr:uid="{00000000-0004-0000-1300-000038010000}"/>
    <hyperlink ref="K317" r:id="rId314" xr:uid="{00000000-0004-0000-1300-000039010000}"/>
    <hyperlink ref="K318" r:id="rId315" xr:uid="{00000000-0004-0000-1300-00003A010000}"/>
    <hyperlink ref="K319" r:id="rId316" xr:uid="{00000000-0004-0000-1300-00003B010000}"/>
    <hyperlink ref="K320" r:id="rId317" xr:uid="{00000000-0004-0000-1300-00003C010000}"/>
    <hyperlink ref="K321" r:id="rId318" xr:uid="{00000000-0004-0000-1300-00003D010000}"/>
    <hyperlink ref="K322" r:id="rId319" xr:uid="{00000000-0004-0000-1300-00003E010000}"/>
    <hyperlink ref="K323" r:id="rId320" xr:uid="{00000000-0004-0000-1300-00003F010000}"/>
    <hyperlink ref="K324" r:id="rId321" xr:uid="{00000000-0004-0000-1300-000040010000}"/>
    <hyperlink ref="K325" r:id="rId322" xr:uid="{00000000-0004-0000-1300-000041010000}"/>
    <hyperlink ref="K326" r:id="rId323" xr:uid="{00000000-0004-0000-1300-000042010000}"/>
    <hyperlink ref="K327" r:id="rId324" xr:uid="{00000000-0004-0000-1300-000043010000}"/>
    <hyperlink ref="K328" r:id="rId325" xr:uid="{00000000-0004-0000-1300-000044010000}"/>
    <hyperlink ref="K329" r:id="rId326" xr:uid="{00000000-0004-0000-1300-000045010000}"/>
    <hyperlink ref="K330" r:id="rId327" xr:uid="{00000000-0004-0000-1300-000046010000}"/>
    <hyperlink ref="K331" r:id="rId328" xr:uid="{00000000-0004-0000-1300-000047010000}"/>
    <hyperlink ref="K332" r:id="rId329" xr:uid="{00000000-0004-0000-1300-000048010000}"/>
    <hyperlink ref="K333" r:id="rId330" xr:uid="{00000000-0004-0000-1300-000049010000}"/>
    <hyperlink ref="K334" r:id="rId331" xr:uid="{00000000-0004-0000-1300-00004A010000}"/>
    <hyperlink ref="K335" r:id="rId332" xr:uid="{00000000-0004-0000-1300-00004B010000}"/>
    <hyperlink ref="K336" r:id="rId333" xr:uid="{00000000-0004-0000-1300-00004C010000}"/>
    <hyperlink ref="K337" r:id="rId334" xr:uid="{00000000-0004-0000-1300-00004D010000}"/>
    <hyperlink ref="K338" r:id="rId335" xr:uid="{00000000-0004-0000-1300-00004E010000}"/>
    <hyperlink ref="K339" r:id="rId336" xr:uid="{00000000-0004-0000-1300-00004F010000}"/>
    <hyperlink ref="K340" r:id="rId337" xr:uid="{00000000-0004-0000-1300-000050010000}"/>
    <hyperlink ref="K341" r:id="rId338" xr:uid="{00000000-0004-0000-1300-000051010000}"/>
    <hyperlink ref="K342" r:id="rId339" xr:uid="{00000000-0004-0000-1300-000052010000}"/>
    <hyperlink ref="K343" r:id="rId340" xr:uid="{00000000-0004-0000-1300-000053010000}"/>
    <hyperlink ref="K344" r:id="rId341" xr:uid="{00000000-0004-0000-1300-000054010000}"/>
    <hyperlink ref="K345" r:id="rId342" xr:uid="{00000000-0004-0000-1300-000055010000}"/>
    <hyperlink ref="K346" r:id="rId343" xr:uid="{00000000-0004-0000-1300-000056010000}"/>
    <hyperlink ref="K347" r:id="rId344" xr:uid="{00000000-0004-0000-1300-000057010000}"/>
    <hyperlink ref="K348" r:id="rId345" xr:uid="{00000000-0004-0000-1300-000058010000}"/>
    <hyperlink ref="K349" r:id="rId346" xr:uid="{00000000-0004-0000-1300-000059010000}"/>
    <hyperlink ref="K350" r:id="rId347" xr:uid="{00000000-0004-0000-1300-00005A010000}"/>
    <hyperlink ref="K351" r:id="rId348" xr:uid="{00000000-0004-0000-1300-00005B010000}"/>
    <hyperlink ref="K352" r:id="rId349" xr:uid="{00000000-0004-0000-1300-00005C010000}"/>
    <hyperlink ref="K353" r:id="rId350" xr:uid="{00000000-0004-0000-1300-00005D010000}"/>
    <hyperlink ref="K354" r:id="rId351" xr:uid="{00000000-0004-0000-1300-00005E010000}"/>
    <hyperlink ref="K355" r:id="rId352" xr:uid="{00000000-0004-0000-1300-00005F010000}"/>
    <hyperlink ref="K356" r:id="rId353" xr:uid="{00000000-0004-0000-1300-000060010000}"/>
    <hyperlink ref="K357" r:id="rId354" xr:uid="{00000000-0004-0000-1300-000061010000}"/>
    <hyperlink ref="K358" r:id="rId355" xr:uid="{00000000-0004-0000-1300-000062010000}"/>
    <hyperlink ref="K359" r:id="rId356" xr:uid="{00000000-0004-0000-1300-000063010000}"/>
    <hyperlink ref="K360" r:id="rId357" xr:uid="{00000000-0004-0000-1300-000064010000}"/>
    <hyperlink ref="K361" r:id="rId358" xr:uid="{00000000-0004-0000-1300-000065010000}"/>
    <hyperlink ref="K362" r:id="rId359" xr:uid="{00000000-0004-0000-1300-000066010000}"/>
    <hyperlink ref="K363" r:id="rId360" xr:uid="{00000000-0004-0000-1300-000067010000}"/>
    <hyperlink ref="K364" r:id="rId361" xr:uid="{00000000-0004-0000-1300-000068010000}"/>
    <hyperlink ref="K365" r:id="rId362" xr:uid="{00000000-0004-0000-1300-000069010000}"/>
    <hyperlink ref="K366" r:id="rId363" xr:uid="{00000000-0004-0000-1300-00006A010000}"/>
    <hyperlink ref="K367" r:id="rId364" xr:uid="{00000000-0004-0000-1300-00006B010000}"/>
    <hyperlink ref="K368" r:id="rId365" xr:uid="{00000000-0004-0000-1300-00006C010000}"/>
    <hyperlink ref="K369" r:id="rId366" xr:uid="{00000000-0004-0000-1300-00006D010000}"/>
    <hyperlink ref="K370" r:id="rId367" xr:uid="{00000000-0004-0000-1300-00006E010000}"/>
    <hyperlink ref="K371" r:id="rId368" xr:uid="{00000000-0004-0000-1300-00006F010000}"/>
    <hyperlink ref="K372" r:id="rId369" xr:uid="{00000000-0004-0000-1300-000070010000}"/>
    <hyperlink ref="K373" r:id="rId370" xr:uid="{00000000-0004-0000-1300-000071010000}"/>
    <hyperlink ref="K374" r:id="rId371" xr:uid="{00000000-0004-0000-1300-000072010000}"/>
    <hyperlink ref="K375" r:id="rId372" xr:uid="{00000000-0004-0000-1300-000073010000}"/>
    <hyperlink ref="K376" r:id="rId373" xr:uid="{00000000-0004-0000-1300-000074010000}"/>
    <hyperlink ref="K377" r:id="rId374" xr:uid="{00000000-0004-0000-1300-000075010000}"/>
    <hyperlink ref="K378" r:id="rId375" xr:uid="{00000000-0004-0000-1300-000076010000}"/>
    <hyperlink ref="K379" r:id="rId376" xr:uid="{00000000-0004-0000-1300-000077010000}"/>
    <hyperlink ref="K380" r:id="rId377" xr:uid="{00000000-0004-0000-1300-000078010000}"/>
    <hyperlink ref="K381" r:id="rId378" xr:uid="{00000000-0004-0000-1300-000079010000}"/>
    <hyperlink ref="K382" r:id="rId379" xr:uid="{00000000-0004-0000-1300-00007A010000}"/>
    <hyperlink ref="K383" r:id="rId380" xr:uid="{00000000-0004-0000-1300-00007B010000}"/>
    <hyperlink ref="K384" r:id="rId381" xr:uid="{00000000-0004-0000-1300-00007C010000}"/>
    <hyperlink ref="K385" r:id="rId382" xr:uid="{00000000-0004-0000-1300-00007D010000}"/>
    <hyperlink ref="K386" r:id="rId383" xr:uid="{00000000-0004-0000-1300-00007E010000}"/>
    <hyperlink ref="K387" r:id="rId384" xr:uid="{00000000-0004-0000-1300-00007F010000}"/>
    <hyperlink ref="K388" r:id="rId385" xr:uid="{00000000-0004-0000-1300-000080010000}"/>
    <hyperlink ref="K389" r:id="rId386" xr:uid="{00000000-0004-0000-1300-000081010000}"/>
    <hyperlink ref="K390" r:id="rId387" xr:uid="{00000000-0004-0000-1300-000082010000}"/>
    <hyperlink ref="K391" r:id="rId388" xr:uid="{00000000-0004-0000-1300-000083010000}"/>
    <hyperlink ref="K392" r:id="rId389" xr:uid="{00000000-0004-0000-1300-000084010000}"/>
    <hyperlink ref="K393" r:id="rId390" xr:uid="{00000000-0004-0000-1300-000085010000}"/>
    <hyperlink ref="K394" r:id="rId391" xr:uid="{00000000-0004-0000-1300-000086010000}"/>
    <hyperlink ref="K395" r:id="rId392" xr:uid="{00000000-0004-0000-1300-000087010000}"/>
    <hyperlink ref="K396" r:id="rId393" xr:uid="{00000000-0004-0000-1300-000088010000}"/>
    <hyperlink ref="K397" r:id="rId394" xr:uid="{00000000-0004-0000-1300-000089010000}"/>
    <hyperlink ref="K398" r:id="rId395" xr:uid="{00000000-0004-0000-1300-00008A010000}"/>
    <hyperlink ref="K399" r:id="rId396" xr:uid="{00000000-0004-0000-1300-00008B010000}"/>
    <hyperlink ref="K400" r:id="rId397" xr:uid="{00000000-0004-0000-1300-00008C010000}"/>
    <hyperlink ref="K401" r:id="rId398" xr:uid="{00000000-0004-0000-1300-00008D010000}"/>
    <hyperlink ref="K402" r:id="rId399" xr:uid="{00000000-0004-0000-1300-00008E010000}"/>
    <hyperlink ref="K403" r:id="rId400" xr:uid="{00000000-0004-0000-1300-00008F010000}"/>
    <hyperlink ref="K404" r:id="rId401" xr:uid="{00000000-0004-0000-1300-000090010000}"/>
    <hyperlink ref="K405" r:id="rId402" xr:uid="{00000000-0004-0000-1300-000091010000}"/>
    <hyperlink ref="K406" r:id="rId403" xr:uid="{00000000-0004-0000-1300-000092010000}"/>
    <hyperlink ref="K407" r:id="rId404" xr:uid="{00000000-0004-0000-1300-000093010000}"/>
    <hyperlink ref="K408" r:id="rId405" xr:uid="{00000000-0004-0000-1300-000094010000}"/>
    <hyperlink ref="K409" r:id="rId406" xr:uid="{00000000-0004-0000-1300-000095010000}"/>
    <hyperlink ref="K410" r:id="rId407" xr:uid="{00000000-0004-0000-1300-000096010000}"/>
    <hyperlink ref="K411" r:id="rId408" xr:uid="{00000000-0004-0000-1300-000097010000}"/>
    <hyperlink ref="K412" r:id="rId409" xr:uid="{00000000-0004-0000-1300-000098010000}"/>
    <hyperlink ref="K413" r:id="rId410" xr:uid="{00000000-0004-0000-1300-000099010000}"/>
    <hyperlink ref="K414" r:id="rId411" xr:uid="{00000000-0004-0000-1300-00009A010000}"/>
    <hyperlink ref="K415" r:id="rId412" xr:uid="{00000000-0004-0000-1300-00009B010000}"/>
    <hyperlink ref="K416" r:id="rId413" xr:uid="{00000000-0004-0000-1300-00009C010000}"/>
    <hyperlink ref="K417" r:id="rId414" xr:uid="{00000000-0004-0000-1300-00009D010000}"/>
    <hyperlink ref="K418" r:id="rId415" xr:uid="{00000000-0004-0000-1300-00009E010000}"/>
    <hyperlink ref="K419" r:id="rId416" xr:uid="{00000000-0004-0000-1300-00009F010000}"/>
    <hyperlink ref="K420" r:id="rId417" xr:uid="{00000000-0004-0000-1300-0000A0010000}"/>
    <hyperlink ref="K421" r:id="rId418" xr:uid="{00000000-0004-0000-1300-0000A1010000}"/>
    <hyperlink ref="K422" r:id="rId419" xr:uid="{00000000-0004-0000-1300-0000A2010000}"/>
    <hyperlink ref="K423" r:id="rId420" xr:uid="{00000000-0004-0000-1300-0000A3010000}"/>
    <hyperlink ref="K424" r:id="rId421" xr:uid="{00000000-0004-0000-1300-0000A4010000}"/>
    <hyperlink ref="K425" r:id="rId422" xr:uid="{00000000-0004-0000-1300-0000A5010000}"/>
    <hyperlink ref="K426" r:id="rId423" xr:uid="{00000000-0004-0000-1300-0000A6010000}"/>
    <hyperlink ref="K427" r:id="rId424" xr:uid="{00000000-0004-0000-1300-0000A7010000}"/>
    <hyperlink ref="K428" r:id="rId425" xr:uid="{00000000-0004-0000-1300-0000A8010000}"/>
    <hyperlink ref="K429" r:id="rId426" xr:uid="{00000000-0004-0000-1300-0000A9010000}"/>
    <hyperlink ref="K430" r:id="rId427" xr:uid="{00000000-0004-0000-1300-0000AA010000}"/>
    <hyperlink ref="K431" r:id="rId428" xr:uid="{00000000-0004-0000-1300-0000AB010000}"/>
    <hyperlink ref="K432" r:id="rId429" xr:uid="{00000000-0004-0000-1300-0000AC010000}"/>
    <hyperlink ref="K433" r:id="rId430" xr:uid="{00000000-0004-0000-1300-0000AD010000}"/>
    <hyperlink ref="K434" r:id="rId431" xr:uid="{00000000-0004-0000-1300-0000AE010000}"/>
    <hyperlink ref="K435" r:id="rId432" xr:uid="{00000000-0004-0000-1300-0000AF010000}"/>
    <hyperlink ref="K436" r:id="rId433" xr:uid="{00000000-0004-0000-1300-0000B0010000}"/>
    <hyperlink ref="K437" r:id="rId434" xr:uid="{00000000-0004-0000-1300-0000B1010000}"/>
    <hyperlink ref="K438" r:id="rId435" xr:uid="{00000000-0004-0000-1300-0000B2010000}"/>
    <hyperlink ref="K439" r:id="rId436" xr:uid="{00000000-0004-0000-1300-0000B3010000}"/>
    <hyperlink ref="K440" r:id="rId437" xr:uid="{00000000-0004-0000-1300-0000B4010000}"/>
    <hyperlink ref="K441" r:id="rId438" xr:uid="{00000000-0004-0000-1300-0000B5010000}"/>
    <hyperlink ref="K442" r:id="rId439" xr:uid="{00000000-0004-0000-1300-0000B6010000}"/>
    <hyperlink ref="K443" r:id="rId440" xr:uid="{00000000-0004-0000-1300-0000B7010000}"/>
    <hyperlink ref="K444" r:id="rId441" xr:uid="{00000000-0004-0000-1300-0000B8010000}"/>
    <hyperlink ref="K445" r:id="rId442" xr:uid="{00000000-0004-0000-1300-0000B9010000}"/>
    <hyperlink ref="K446" r:id="rId443" xr:uid="{00000000-0004-0000-1300-0000BA010000}"/>
    <hyperlink ref="K447" r:id="rId444" xr:uid="{00000000-0004-0000-1300-0000BB010000}"/>
    <hyperlink ref="K448" r:id="rId445" xr:uid="{00000000-0004-0000-1300-0000BC010000}"/>
    <hyperlink ref="K449" r:id="rId446" xr:uid="{00000000-0004-0000-1300-0000BD010000}"/>
    <hyperlink ref="K450" r:id="rId447" xr:uid="{00000000-0004-0000-1300-0000BE010000}"/>
    <hyperlink ref="K451" r:id="rId448" xr:uid="{00000000-0004-0000-1300-0000BF010000}"/>
    <hyperlink ref="K452" r:id="rId449" xr:uid="{00000000-0004-0000-1300-0000C0010000}"/>
    <hyperlink ref="K453" r:id="rId450" xr:uid="{00000000-0004-0000-1300-0000C1010000}"/>
    <hyperlink ref="K454" r:id="rId451" xr:uid="{00000000-0004-0000-1300-0000C2010000}"/>
    <hyperlink ref="K455" r:id="rId452" xr:uid="{00000000-0004-0000-1300-0000C3010000}"/>
    <hyperlink ref="K456" r:id="rId453" xr:uid="{00000000-0004-0000-1300-0000C4010000}"/>
    <hyperlink ref="K457" r:id="rId454" xr:uid="{00000000-0004-0000-1300-0000C5010000}"/>
    <hyperlink ref="K458" r:id="rId455" xr:uid="{00000000-0004-0000-1300-0000C6010000}"/>
    <hyperlink ref="K459" r:id="rId456" xr:uid="{00000000-0004-0000-1300-0000C7010000}"/>
    <hyperlink ref="K460" r:id="rId457" xr:uid="{00000000-0004-0000-1300-0000C8010000}"/>
    <hyperlink ref="K461" r:id="rId458" xr:uid="{00000000-0004-0000-1300-0000C9010000}"/>
    <hyperlink ref="K462" r:id="rId459" xr:uid="{00000000-0004-0000-1300-0000CA010000}"/>
    <hyperlink ref="K463" r:id="rId460" xr:uid="{00000000-0004-0000-1300-0000CB010000}"/>
    <hyperlink ref="K464" r:id="rId461" xr:uid="{00000000-0004-0000-1300-0000CC010000}"/>
    <hyperlink ref="K465" r:id="rId462" xr:uid="{00000000-0004-0000-1300-0000CD010000}"/>
    <hyperlink ref="K466" r:id="rId463" xr:uid="{00000000-0004-0000-1300-0000CE010000}"/>
    <hyperlink ref="K467" r:id="rId464" xr:uid="{00000000-0004-0000-1300-0000CF010000}"/>
    <hyperlink ref="K468" r:id="rId465" xr:uid="{00000000-0004-0000-1300-0000D0010000}"/>
    <hyperlink ref="K469" r:id="rId466" xr:uid="{00000000-0004-0000-1300-0000D1010000}"/>
    <hyperlink ref="K470" r:id="rId467" xr:uid="{00000000-0004-0000-1300-0000D2010000}"/>
    <hyperlink ref="K471" r:id="rId468" xr:uid="{00000000-0004-0000-1300-0000D3010000}"/>
    <hyperlink ref="K472" r:id="rId469" xr:uid="{00000000-0004-0000-1300-0000D4010000}"/>
    <hyperlink ref="K473" r:id="rId470" xr:uid="{00000000-0004-0000-1300-0000D5010000}"/>
    <hyperlink ref="K474" r:id="rId471" xr:uid="{00000000-0004-0000-1300-0000D6010000}"/>
    <hyperlink ref="K475" r:id="rId472" xr:uid="{00000000-0004-0000-1300-0000D7010000}"/>
    <hyperlink ref="K476" r:id="rId473" xr:uid="{00000000-0004-0000-1300-0000D8010000}"/>
    <hyperlink ref="K477" r:id="rId474" xr:uid="{00000000-0004-0000-1300-0000D9010000}"/>
    <hyperlink ref="K478" r:id="rId475" xr:uid="{00000000-0004-0000-1300-0000DA010000}"/>
    <hyperlink ref="K479" r:id="rId476" xr:uid="{00000000-0004-0000-1300-0000DB010000}"/>
    <hyperlink ref="K480" r:id="rId477" xr:uid="{00000000-0004-0000-1300-0000DC010000}"/>
    <hyperlink ref="K481" r:id="rId478" xr:uid="{00000000-0004-0000-1300-0000DD010000}"/>
    <hyperlink ref="K482" r:id="rId479" xr:uid="{00000000-0004-0000-1300-0000DE010000}"/>
    <hyperlink ref="K483" r:id="rId480" xr:uid="{00000000-0004-0000-1300-0000DF010000}"/>
    <hyperlink ref="K484" r:id="rId481" xr:uid="{00000000-0004-0000-1300-0000E0010000}"/>
    <hyperlink ref="K485" r:id="rId482" xr:uid="{00000000-0004-0000-1300-0000E1010000}"/>
    <hyperlink ref="K486" r:id="rId483" xr:uid="{00000000-0004-0000-1300-0000E2010000}"/>
    <hyperlink ref="K487" r:id="rId484" xr:uid="{00000000-0004-0000-1300-0000E3010000}"/>
    <hyperlink ref="K488" r:id="rId485" xr:uid="{00000000-0004-0000-1300-0000E4010000}"/>
    <hyperlink ref="K489" r:id="rId486" xr:uid="{00000000-0004-0000-1300-0000E5010000}"/>
    <hyperlink ref="K490" r:id="rId487" xr:uid="{00000000-0004-0000-1300-0000E6010000}"/>
    <hyperlink ref="K491" r:id="rId488" xr:uid="{00000000-0004-0000-1300-0000E7010000}"/>
    <hyperlink ref="K492" r:id="rId489" xr:uid="{00000000-0004-0000-1300-0000E8010000}"/>
    <hyperlink ref="K493" r:id="rId490" xr:uid="{00000000-0004-0000-1300-0000E9010000}"/>
    <hyperlink ref="K494" r:id="rId491" xr:uid="{00000000-0004-0000-1300-0000EA010000}"/>
    <hyperlink ref="K495" r:id="rId492" xr:uid="{00000000-0004-0000-1300-0000EB010000}"/>
    <hyperlink ref="K496" r:id="rId493" xr:uid="{00000000-0004-0000-1300-0000EC010000}"/>
    <hyperlink ref="K497" r:id="rId494" xr:uid="{00000000-0004-0000-1300-0000ED010000}"/>
    <hyperlink ref="K498" r:id="rId495" xr:uid="{00000000-0004-0000-1300-0000EE010000}"/>
    <hyperlink ref="K499" r:id="rId496" xr:uid="{00000000-0004-0000-1300-0000EF010000}"/>
    <hyperlink ref="K500" r:id="rId497" xr:uid="{00000000-0004-0000-1300-0000F0010000}"/>
    <hyperlink ref="K501" r:id="rId498" xr:uid="{00000000-0004-0000-1300-0000F1010000}"/>
    <hyperlink ref="K502" r:id="rId499" xr:uid="{00000000-0004-0000-1300-0000F2010000}"/>
    <hyperlink ref="K503" r:id="rId500" xr:uid="{00000000-0004-0000-1300-0000F3010000}"/>
    <hyperlink ref="K504" r:id="rId501" xr:uid="{00000000-0004-0000-1300-0000F4010000}"/>
    <hyperlink ref="K505" r:id="rId502" xr:uid="{00000000-0004-0000-1300-0000F5010000}"/>
    <hyperlink ref="K506" r:id="rId503" xr:uid="{00000000-0004-0000-1300-0000F6010000}"/>
    <hyperlink ref="K507" r:id="rId504" xr:uid="{00000000-0004-0000-1300-0000F7010000}"/>
    <hyperlink ref="K508" r:id="rId505" xr:uid="{00000000-0004-0000-1300-0000F8010000}"/>
    <hyperlink ref="K509" r:id="rId506" xr:uid="{00000000-0004-0000-1300-0000F9010000}"/>
    <hyperlink ref="K510" r:id="rId507" xr:uid="{00000000-0004-0000-1300-0000FA010000}"/>
    <hyperlink ref="K511" r:id="rId508" xr:uid="{00000000-0004-0000-1300-0000FB010000}"/>
    <hyperlink ref="K512" r:id="rId509" xr:uid="{00000000-0004-0000-1300-0000FC010000}"/>
    <hyperlink ref="K513" r:id="rId510" xr:uid="{00000000-0004-0000-1300-0000FD010000}"/>
    <hyperlink ref="K514" r:id="rId511" xr:uid="{00000000-0004-0000-1300-0000FE010000}"/>
    <hyperlink ref="K515" r:id="rId512" xr:uid="{00000000-0004-0000-1300-0000FF010000}"/>
    <hyperlink ref="K516" r:id="rId513" xr:uid="{00000000-0004-0000-1300-000000020000}"/>
    <hyperlink ref="K517" r:id="rId514" xr:uid="{00000000-0004-0000-1300-000001020000}"/>
    <hyperlink ref="K518" r:id="rId515" xr:uid="{00000000-0004-0000-1300-000002020000}"/>
    <hyperlink ref="K519" r:id="rId516" xr:uid="{00000000-0004-0000-1300-000003020000}"/>
    <hyperlink ref="K520" r:id="rId517" xr:uid="{00000000-0004-0000-1300-000004020000}"/>
    <hyperlink ref="K521" r:id="rId518" xr:uid="{00000000-0004-0000-1300-000005020000}"/>
    <hyperlink ref="K522" r:id="rId519" xr:uid="{00000000-0004-0000-1300-000006020000}"/>
    <hyperlink ref="K523" r:id="rId520" xr:uid="{00000000-0004-0000-1300-000007020000}"/>
    <hyperlink ref="K524" r:id="rId521" xr:uid="{00000000-0004-0000-1300-000008020000}"/>
    <hyperlink ref="K525" r:id="rId522" xr:uid="{00000000-0004-0000-1300-000009020000}"/>
    <hyperlink ref="K526" r:id="rId523" xr:uid="{00000000-0004-0000-1300-00000A020000}"/>
    <hyperlink ref="K527" r:id="rId524" xr:uid="{00000000-0004-0000-1300-00000B020000}"/>
    <hyperlink ref="K528" r:id="rId525" xr:uid="{00000000-0004-0000-1300-00000C020000}"/>
    <hyperlink ref="K529" r:id="rId526" xr:uid="{00000000-0004-0000-1300-00000D020000}"/>
    <hyperlink ref="K530" r:id="rId527" xr:uid="{00000000-0004-0000-1300-00000E020000}"/>
    <hyperlink ref="K531" r:id="rId528" xr:uid="{00000000-0004-0000-1300-00000F020000}"/>
    <hyperlink ref="K532" r:id="rId529" xr:uid="{00000000-0004-0000-1300-000010020000}"/>
    <hyperlink ref="K533" r:id="rId530" xr:uid="{00000000-0004-0000-1300-000011020000}"/>
    <hyperlink ref="K534" r:id="rId531" xr:uid="{00000000-0004-0000-1300-000012020000}"/>
    <hyperlink ref="K535" r:id="rId532" xr:uid="{00000000-0004-0000-1300-000013020000}"/>
    <hyperlink ref="K536" r:id="rId533" xr:uid="{00000000-0004-0000-1300-000014020000}"/>
    <hyperlink ref="K537" r:id="rId534" xr:uid="{00000000-0004-0000-1300-000015020000}"/>
    <hyperlink ref="K538" r:id="rId535" xr:uid="{00000000-0004-0000-1300-000016020000}"/>
    <hyperlink ref="K539" r:id="rId536" xr:uid="{00000000-0004-0000-1300-000017020000}"/>
    <hyperlink ref="K540" r:id="rId537" xr:uid="{00000000-0004-0000-1300-000018020000}"/>
    <hyperlink ref="K541" r:id="rId538" xr:uid="{00000000-0004-0000-1300-000019020000}"/>
    <hyperlink ref="K542" r:id="rId539" xr:uid="{00000000-0004-0000-1300-00001A020000}"/>
    <hyperlink ref="K543" r:id="rId540" xr:uid="{00000000-0004-0000-1300-00001B020000}"/>
    <hyperlink ref="K544" r:id="rId541" xr:uid="{00000000-0004-0000-1300-00001C020000}"/>
    <hyperlink ref="K545" r:id="rId542" xr:uid="{00000000-0004-0000-1300-00001D020000}"/>
    <hyperlink ref="K546" r:id="rId543" xr:uid="{00000000-0004-0000-1300-00001E020000}"/>
    <hyperlink ref="K547" r:id="rId544" xr:uid="{00000000-0004-0000-1300-00001F020000}"/>
    <hyperlink ref="K548" r:id="rId545" xr:uid="{00000000-0004-0000-1300-000020020000}"/>
    <hyperlink ref="K549" r:id="rId546" xr:uid="{00000000-0004-0000-1300-000021020000}"/>
    <hyperlink ref="K550" r:id="rId547" xr:uid="{00000000-0004-0000-1300-000022020000}"/>
    <hyperlink ref="K551" r:id="rId548" xr:uid="{00000000-0004-0000-1300-000023020000}"/>
    <hyperlink ref="K552" r:id="rId549" xr:uid="{00000000-0004-0000-1300-000024020000}"/>
    <hyperlink ref="K553" r:id="rId550" xr:uid="{00000000-0004-0000-1300-000025020000}"/>
    <hyperlink ref="K554" r:id="rId551" xr:uid="{00000000-0004-0000-1300-000026020000}"/>
    <hyperlink ref="K555" r:id="rId552" xr:uid="{00000000-0004-0000-1300-000027020000}"/>
    <hyperlink ref="K556" r:id="rId553" xr:uid="{00000000-0004-0000-1300-000028020000}"/>
    <hyperlink ref="K557" r:id="rId554" xr:uid="{00000000-0004-0000-1300-000029020000}"/>
    <hyperlink ref="K558" r:id="rId555" xr:uid="{00000000-0004-0000-1300-00002A020000}"/>
    <hyperlink ref="K559" r:id="rId556" xr:uid="{00000000-0004-0000-1300-00002B020000}"/>
    <hyperlink ref="K560" r:id="rId557" xr:uid="{00000000-0004-0000-1300-00002C020000}"/>
    <hyperlink ref="K561" r:id="rId558" xr:uid="{00000000-0004-0000-1300-00002D020000}"/>
    <hyperlink ref="K562" r:id="rId559" xr:uid="{00000000-0004-0000-1300-00002E020000}"/>
    <hyperlink ref="K563" r:id="rId560" xr:uid="{00000000-0004-0000-1300-00002F020000}"/>
    <hyperlink ref="K564" r:id="rId561" xr:uid="{00000000-0004-0000-1300-000030020000}"/>
    <hyperlink ref="K565" r:id="rId562" xr:uid="{00000000-0004-0000-1300-000031020000}"/>
    <hyperlink ref="K566" r:id="rId563" xr:uid="{00000000-0004-0000-1300-000032020000}"/>
    <hyperlink ref="K567" r:id="rId564" xr:uid="{00000000-0004-0000-1300-000033020000}"/>
    <hyperlink ref="K568" r:id="rId565" xr:uid="{00000000-0004-0000-1300-000034020000}"/>
    <hyperlink ref="K569" r:id="rId566" xr:uid="{00000000-0004-0000-1300-000035020000}"/>
    <hyperlink ref="K570" r:id="rId567" xr:uid="{00000000-0004-0000-1300-000036020000}"/>
    <hyperlink ref="K571" r:id="rId568" xr:uid="{00000000-0004-0000-1300-000037020000}"/>
    <hyperlink ref="K572" r:id="rId569" xr:uid="{00000000-0004-0000-1300-000038020000}"/>
    <hyperlink ref="K573" r:id="rId570" xr:uid="{00000000-0004-0000-1300-000039020000}"/>
    <hyperlink ref="K574" r:id="rId571" xr:uid="{00000000-0004-0000-1300-00003A020000}"/>
    <hyperlink ref="K575" r:id="rId572" xr:uid="{00000000-0004-0000-1300-00003B020000}"/>
    <hyperlink ref="K576" r:id="rId573" xr:uid="{00000000-0004-0000-1300-00003C020000}"/>
    <hyperlink ref="K577" r:id="rId574" xr:uid="{00000000-0004-0000-1300-00003D020000}"/>
    <hyperlink ref="K578" r:id="rId575" xr:uid="{00000000-0004-0000-1300-00003E020000}"/>
    <hyperlink ref="K579" r:id="rId576" xr:uid="{00000000-0004-0000-1300-00003F020000}"/>
    <hyperlink ref="K580" r:id="rId577" xr:uid="{00000000-0004-0000-1300-000040020000}"/>
    <hyperlink ref="K581" r:id="rId578" xr:uid="{00000000-0004-0000-1300-000041020000}"/>
    <hyperlink ref="K582" r:id="rId579" xr:uid="{00000000-0004-0000-1300-000042020000}"/>
    <hyperlink ref="K583" r:id="rId580" xr:uid="{00000000-0004-0000-1300-000043020000}"/>
    <hyperlink ref="K584" r:id="rId581" xr:uid="{00000000-0004-0000-1300-000044020000}"/>
    <hyperlink ref="K585" r:id="rId582" xr:uid="{00000000-0004-0000-1300-000045020000}"/>
    <hyperlink ref="K586" r:id="rId583" xr:uid="{00000000-0004-0000-1300-000046020000}"/>
    <hyperlink ref="K587" r:id="rId584" xr:uid="{00000000-0004-0000-1300-000047020000}"/>
    <hyperlink ref="K588" r:id="rId585" xr:uid="{00000000-0004-0000-1300-000048020000}"/>
    <hyperlink ref="K589" r:id="rId586" xr:uid="{00000000-0004-0000-1300-000049020000}"/>
    <hyperlink ref="K590" r:id="rId587" xr:uid="{00000000-0004-0000-1300-00004A020000}"/>
    <hyperlink ref="K591" r:id="rId588" xr:uid="{00000000-0004-0000-1300-00004B020000}"/>
    <hyperlink ref="K592" r:id="rId589" xr:uid="{00000000-0004-0000-1300-00004C020000}"/>
    <hyperlink ref="K593" r:id="rId590" xr:uid="{00000000-0004-0000-1300-00004D020000}"/>
    <hyperlink ref="K594" r:id="rId591" xr:uid="{00000000-0004-0000-1300-00004E020000}"/>
    <hyperlink ref="K595" r:id="rId592" xr:uid="{00000000-0004-0000-1300-00004F020000}"/>
    <hyperlink ref="K596" r:id="rId593" xr:uid="{00000000-0004-0000-1300-000050020000}"/>
    <hyperlink ref="K597" r:id="rId594" xr:uid="{00000000-0004-0000-1300-000051020000}"/>
    <hyperlink ref="K598" r:id="rId595" xr:uid="{00000000-0004-0000-1300-000052020000}"/>
    <hyperlink ref="K599" r:id="rId596" xr:uid="{00000000-0004-0000-1300-000053020000}"/>
    <hyperlink ref="K600" r:id="rId597" xr:uid="{00000000-0004-0000-1300-000054020000}"/>
    <hyperlink ref="K601" r:id="rId598" xr:uid="{00000000-0004-0000-1300-000055020000}"/>
    <hyperlink ref="K602" r:id="rId599" xr:uid="{00000000-0004-0000-1300-000056020000}"/>
    <hyperlink ref="K603" r:id="rId600" xr:uid="{00000000-0004-0000-1300-000057020000}"/>
    <hyperlink ref="K604" r:id="rId601" xr:uid="{00000000-0004-0000-1300-000058020000}"/>
    <hyperlink ref="K605" r:id="rId602" xr:uid="{00000000-0004-0000-1300-000059020000}"/>
    <hyperlink ref="K606" r:id="rId603" xr:uid="{00000000-0004-0000-1300-00005A020000}"/>
    <hyperlink ref="K607" r:id="rId604" xr:uid="{00000000-0004-0000-1300-00005B020000}"/>
    <hyperlink ref="K608" r:id="rId605" xr:uid="{00000000-0004-0000-1300-00005C020000}"/>
    <hyperlink ref="K609" r:id="rId606" xr:uid="{00000000-0004-0000-1300-00005D020000}"/>
    <hyperlink ref="K610" r:id="rId607" xr:uid="{00000000-0004-0000-1300-00005E020000}"/>
    <hyperlink ref="K611" r:id="rId608" xr:uid="{00000000-0004-0000-1300-00005F020000}"/>
    <hyperlink ref="K612" r:id="rId609" xr:uid="{00000000-0004-0000-1300-000060020000}"/>
    <hyperlink ref="K613" r:id="rId610" xr:uid="{00000000-0004-0000-1300-000061020000}"/>
    <hyperlink ref="K614" r:id="rId611" xr:uid="{00000000-0004-0000-1300-000062020000}"/>
    <hyperlink ref="K615" r:id="rId612" xr:uid="{00000000-0004-0000-1300-000063020000}"/>
    <hyperlink ref="K616" r:id="rId613" xr:uid="{00000000-0004-0000-1300-000064020000}"/>
    <hyperlink ref="K617" r:id="rId614" xr:uid="{00000000-0004-0000-1300-000065020000}"/>
    <hyperlink ref="K618" r:id="rId615" xr:uid="{00000000-0004-0000-1300-000066020000}"/>
    <hyperlink ref="K619" r:id="rId616" xr:uid="{00000000-0004-0000-1300-000067020000}"/>
    <hyperlink ref="K620" r:id="rId617" xr:uid="{00000000-0004-0000-1300-000068020000}"/>
    <hyperlink ref="K621" r:id="rId618" xr:uid="{00000000-0004-0000-1300-000069020000}"/>
    <hyperlink ref="K622" r:id="rId619" xr:uid="{00000000-0004-0000-1300-00006A020000}"/>
    <hyperlink ref="K623" r:id="rId620" xr:uid="{00000000-0004-0000-1300-00006B020000}"/>
    <hyperlink ref="K624" r:id="rId621" xr:uid="{00000000-0004-0000-1300-00006C020000}"/>
    <hyperlink ref="K625" r:id="rId622" xr:uid="{00000000-0004-0000-1300-00006D020000}"/>
    <hyperlink ref="K626" r:id="rId623" xr:uid="{00000000-0004-0000-1300-00006E020000}"/>
    <hyperlink ref="K627" r:id="rId624" xr:uid="{00000000-0004-0000-1300-00006F020000}"/>
    <hyperlink ref="K628" r:id="rId625" xr:uid="{00000000-0004-0000-1300-000070020000}"/>
    <hyperlink ref="K629" r:id="rId626" xr:uid="{00000000-0004-0000-1300-000071020000}"/>
    <hyperlink ref="K630" r:id="rId627" xr:uid="{00000000-0004-0000-1300-000072020000}"/>
    <hyperlink ref="K631" r:id="rId628" xr:uid="{00000000-0004-0000-1300-000073020000}"/>
    <hyperlink ref="K632" r:id="rId629" xr:uid="{00000000-0004-0000-1300-000074020000}"/>
    <hyperlink ref="K633" r:id="rId630" xr:uid="{00000000-0004-0000-1300-000075020000}"/>
    <hyperlink ref="K634" r:id="rId631" xr:uid="{00000000-0004-0000-1300-000076020000}"/>
    <hyperlink ref="K635" r:id="rId632" xr:uid="{00000000-0004-0000-1300-000077020000}"/>
    <hyperlink ref="K636" r:id="rId633" xr:uid="{00000000-0004-0000-1300-000078020000}"/>
    <hyperlink ref="K637" r:id="rId634" xr:uid="{00000000-0004-0000-1300-000079020000}"/>
    <hyperlink ref="K638" r:id="rId635" xr:uid="{00000000-0004-0000-1300-00007A020000}"/>
    <hyperlink ref="K639" r:id="rId636" xr:uid="{00000000-0004-0000-1300-00007B020000}"/>
    <hyperlink ref="K640" r:id="rId637" xr:uid="{00000000-0004-0000-1300-00007C020000}"/>
    <hyperlink ref="K641" r:id="rId638" xr:uid="{00000000-0004-0000-1300-00007D020000}"/>
    <hyperlink ref="K642" r:id="rId639" xr:uid="{00000000-0004-0000-1300-00007E020000}"/>
    <hyperlink ref="K643" r:id="rId640" xr:uid="{00000000-0004-0000-1300-00007F020000}"/>
    <hyperlink ref="K644" r:id="rId641" xr:uid="{00000000-0004-0000-1300-000080020000}"/>
    <hyperlink ref="K645" r:id="rId642" xr:uid="{00000000-0004-0000-1300-000081020000}"/>
    <hyperlink ref="K646" r:id="rId643" xr:uid="{00000000-0004-0000-1300-000082020000}"/>
    <hyperlink ref="K647" r:id="rId644" xr:uid="{00000000-0004-0000-1300-000083020000}"/>
    <hyperlink ref="K648" r:id="rId645" xr:uid="{00000000-0004-0000-1300-000084020000}"/>
    <hyperlink ref="K649" r:id="rId646" xr:uid="{00000000-0004-0000-1300-000085020000}"/>
    <hyperlink ref="K650" r:id="rId647" xr:uid="{00000000-0004-0000-1300-000086020000}"/>
    <hyperlink ref="K651" r:id="rId648" xr:uid="{00000000-0004-0000-1300-000087020000}"/>
    <hyperlink ref="K652" r:id="rId649" xr:uid="{00000000-0004-0000-1300-000088020000}"/>
    <hyperlink ref="K653" r:id="rId650" xr:uid="{00000000-0004-0000-1300-000089020000}"/>
    <hyperlink ref="K654" r:id="rId651" xr:uid="{00000000-0004-0000-1300-00008A020000}"/>
    <hyperlink ref="K655" r:id="rId652" xr:uid="{00000000-0004-0000-1300-00008B020000}"/>
    <hyperlink ref="K656" r:id="rId653" xr:uid="{00000000-0004-0000-1300-00008C020000}"/>
    <hyperlink ref="K657" r:id="rId654" xr:uid="{00000000-0004-0000-1300-00008D020000}"/>
    <hyperlink ref="K658" r:id="rId655" xr:uid="{00000000-0004-0000-1300-00008E020000}"/>
    <hyperlink ref="K659" r:id="rId656" xr:uid="{00000000-0004-0000-1300-00008F020000}"/>
    <hyperlink ref="K660" r:id="rId657" xr:uid="{00000000-0004-0000-1300-000090020000}"/>
    <hyperlink ref="K661" r:id="rId658" xr:uid="{00000000-0004-0000-1300-000091020000}"/>
    <hyperlink ref="K662" r:id="rId659" xr:uid="{00000000-0004-0000-1300-000092020000}"/>
    <hyperlink ref="K663" r:id="rId660" xr:uid="{00000000-0004-0000-1300-000093020000}"/>
    <hyperlink ref="K664" r:id="rId661" xr:uid="{00000000-0004-0000-1300-00009402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BC513"/>
  <sheetViews>
    <sheetView workbookViewId="0"/>
  </sheetViews>
  <sheetFormatPr defaultColWidth="12.5703125" defaultRowHeight="15.75" customHeight="1"/>
  <cols>
    <col min="4" max="4" width="20.42578125" customWidth="1"/>
  </cols>
  <sheetData>
    <row r="1" spans="1:55">
      <c r="A1" s="5815" t="s">
        <v>13059</v>
      </c>
      <c r="B1" s="5815" t="s">
        <v>13060</v>
      </c>
      <c r="C1" s="5815" t="s">
        <v>13063</v>
      </c>
      <c r="D1" s="5815" t="s">
        <v>13064</v>
      </c>
      <c r="E1" s="5815" t="s">
        <v>13065</v>
      </c>
      <c r="F1" s="5815" t="s">
        <v>13060</v>
      </c>
      <c r="G1" s="5815" t="s">
        <v>1523</v>
      </c>
      <c r="H1" s="5815" t="s">
        <v>46</v>
      </c>
      <c r="I1" s="5815" t="s">
        <v>1522</v>
      </c>
      <c r="J1" s="5815" t="s">
        <v>13062</v>
      </c>
      <c r="K1" s="5815"/>
      <c r="L1" s="5815"/>
      <c r="M1" s="5815"/>
      <c r="N1" s="5815"/>
      <c r="O1" s="5815"/>
      <c r="P1" s="5815"/>
      <c r="Q1" s="5815"/>
      <c r="R1" s="5815"/>
      <c r="S1" s="5815"/>
      <c r="T1" s="5816"/>
      <c r="U1" s="5815"/>
      <c r="V1" s="5815"/>
      <c r="W1" s="5815"/>
      <c r="X1" s="5815"/>
      <c r="Y1" s="5815"/>
      <c r="Z1" s="5815"/>
      <c r="AA1" s="5815"/>
      <c r="AB1" s="5815"/>
      <c r="AC1" s="5815"/>
      <c r="AD1" s="5815"/>
      <c r="AE1" s="5815"/>
      <c r="AF1" s="5815"/>
      <c r="AG1" s="5815"/>
      <c r="AH1" s="5815"/>
      <c r="AI1" s="5815"/>
      <c r="AJ1" s="5815"/>
      <c r="AK1" s="5815"/>
      <c r="AL1" s="5815"/>
      <c r="AM1" s="5815"/>
      <c r="AN1" s="5815"/>
      <c r="AO1" s="5815"/>
      <c r="AP1" s="5815"/>
      <c r="AQ1" s="5815"/>
      <c r="AR1" s="5815"/>
      <c r="AS1" s="5815"/>
      <c r="AT1" s="5815"/>
      <c r="AU1" s="5815"/>
      <c r="AV1" s="5815"/>
      <c r="AW1" s="5815"/>
      <c r="AX1" s="5815"/>
      <c r="AY1" s="5815"/>
      <c r="AZ1" s="5815"/>
      <c r="BA1" s="5815"/>
      <c r="BB1" s="5815"/>
      <c r="BC1" s="620"/>
    </row>
    <row r="2" spans="1:55">
      <c r="A2" s="5817">
        <f>COUNTA(A4:A999)</f>
        <v>510</v>
      </c>
      <c r="B2" s="5822">
        <f>COUNTIF($E$3:$E$800, "Decision*")</f>
        <v>280</v>
      </c>
      <c r="C2" s="5818">
        <f>SUM(B2/$A$2)</f>
        <v>0.5490196078431373</v>
      </c>
      <c r="D2" s="5818">
        <f t="shared" ref="D2:E2" si="0">SUM(G2/$A$2)</f>
        <v>0.15686274509803921</v>
      </c>
      <c r="E2" s="5818">
        <f t="shared" si="0"/>
        <v>0.27450980392156865</v>
      </c>
      <c r="F2" s="5822">
        <f>COUNTIF($E$3:$E$999, "Decision*")</f>
        <v>280</v>
      </c>
      <c r="G2" s="5823">
        <f>COUNTIF($E$3:$E$999, "Submission")</f>
        <v>80</v>
      </c>
      <c r="H2" s="5817">
        <f>COUNTIF($E$3:$E$1000, "KO/TKO")</f>
        <v>140</v>
      </c>
      <c r="I2" s="5823">
        <f>COUNTIF($E$3:$E$999, "Decision - Unanimous")</f>
        <v>215</v>
      </c>
      <c r="J2" s="5819">
        <f>COUNTIF($E$3:$E$999, "Decision - Split")</f>
        <v>57</v>
      </c>
      <c r="K2" s="5824"/>
      <c r="L2" s="5820"/>
      <c r="M2" s="5820"/>
      <c r="N2" s="5820"/>
      <c r="O2" s="5820"/>
      <c r="P2" s="5820"/>
      <c r="Q2" s="5820"/>
      <c r="R2" s="5820"/>
      <c r="S2" s="5820"/>
      <c r="T2" s="5821"/>
      <c r="U2" s="5820"/>
      <c r="V2" s="5820"/>
      <c r="W2" s="5820"/>
      <c r="X2" s="5820"/>
      <c r="Y2" s="5820"/>
      <c r="Z2" s="5820"/>
      <c r="AA2" s="5820"/>
      <c r="AB2" s="5820"/>
      <c r="AC2" s="5820"/>
      <c r="AD2" s="5820"/>
      <c r="AE2" s="5820"/>
      <c r="AF2" s="5820"/>
      <c r="AG2" s="5820"/>
      <c r="AH2" s="5820"/>
      <c r="AI2" s="5820"/>
      <c r="AJ2" s="5820"/>
      <c r="AK2" s="5820"/>
      <c r="AL2" s="5820"/>
      <c r="AM2" s="5820"/>
      <c r="AN2" s="5820"/>
      <c r="AO2" s="5820"/>
      <c r="AP2" s="5820"/>
      <c r="AQ2" s="5820"/>
      <c r="AR2" s="5820"/>
      <c r="AS2" s="5820"/>
      <c r="AT2" s="5820"/>
      <c r="AU2" s="5820"/>
      <c r="AV2" s="5820"/>
      <c r="AW2" s="5820"/>
      <c r="AX2" s="5820"/>
      <c r="AY2" s="5820"/>
      <c r="AZ2" s="5820"/>
      <c r="BA2" s="5820"/>
      <c r="BB2" s="5820"/>
      <c r="BC2" s="620"/>
    </row>
    <row r="3" spans="1:55">
      <c r="A3" s="21" t="s">
        <v>2034</v>
      </c>
      <c r="B3" s="21" t="s">
        <v>2035</v>
      </c>
      <c r="C3" s="21" t="s">
        <v>2036</v>
      </c>
      <c r="D3" s="21" t="s">
        <v>2037</v>
      </c>
      <c r="E3" s="21" t="s">
        <v>2038</v>
      </c>
      <c r="F3" s="21" t="s">
        <v>2039</v>
      </c>
      <c r="G3" s="21" t="s">
        <v>2040</v>
      </c>
      <c r="H3" s="21" t="s">
        <v>2041</v>
      </c>
      <c r="I3" s="21" t="s">
        <v>2042</v>
      </c>
      <c r="J3" s="21" t="s">
        <v>2043</v>
      </c>
      <c r="K3" s="21" t="s">
        <v>2044</v>
      </c>
    </row>
    <row r="4" spans="1:55">
      <c r="A4" s="21" t="s">
        <v>2571</v>
      </c>
      <c r="B4" s="21" t="s">
        <v>3624</v>
      </c>
      <c r="C4" s="21" t="s">
        <v>179</v>
      </c>
      <c r="D4" s="21" t="s">
        <v>237</v>
      </c>
      <c r="E4" s="21" t="s">
        <v>180</v>
      </c>
      <c r="F4" s="5812">
        <v>1</v>
      </c>
      <c r="G4" s="5813">
        <v>1.0416666666666666E-2</v>
      </c>
      <c r="H4" s="21" t="s">
        <v>54</v>
      </c>
      <c r="I4" s="21" t="s">
        <v>55</v>
      </c>
      <c r="J4" s="21" t="s">
        <v>3625</v>
      </c>
      <c r="K4" s="5814" t="s">
        <v>3626</v>
      </c>
    </row>
    <row r="5" spans="1:55">
      <c r="A5" s="21" t="s">
        <v>2061</v>
      </c>
      <c r="B5" s="21" t="s">
        <v>3627</v>
      </c>
      <c r="C5" s="21" t="s">
        <v>179</v>
      </c>
      <c r="D5" s="21" t="s">
        <v>237</v>
      </c>
      <c r="E5" s="21" t="s">
        <v>180</v>
      </c>
      <c r="F5" s="5812">
        <v>2</v>
      </c>
      <c r="G5" s="5813">
        <v>3.1944444444444442E-2</v>
      </c>
      <c r="H5" s="21" t="s">
        <v>10</v>
      </c>
      <c r="I5" s="21" t="s">
        <v>55</v>
      </c>
      <c r="J5" s="21" t="s">
        <v>3628</v>
      </c>
      <c r="K5" s="5814" t="s">
        <v>3629</v>
      </c>
    </row>
    <row r="6" spans="1:55">
      <c r="A6" s="21" t="s">
        <v>3630</v>
      </c>
      <c r="B6" s="21" t="s">
        <v>3631</v>
      </c>
      <c r="C6" s="21" t="s">
        <v>179</v>
      </c>
      <c r="D6" s="21" t="s">
        <v>237</v>
      </c>
      <c r="E6" s="21" t="s">
        <v>180</v>
      </c>
      <c r="F6" s="5812">
        <v>2</v>
      </c>
      <c r="G6" s="5813">
        <v>6.5277777777777782E-2</v>
      </c>
      <c r="H6" s="21" t="s">
        <v>10</v>
      </c>
      <c r="I6" s="21" t="s">
        <v>55</v>
      </c>
      <c r="J6" s="21" t="s">
        <v>3632</v>
      </c>
      <c r="K6" s="5814" t="s">
        <v>3633</v>
      </c>
    </row>
    <row r="7" spans="1:55">
      <c r="A7" s="21" t="s">
        <v>2918</v>
      </c>
      <c r="B7" s="21" t="s">
        <v>3634</v>
      </c>
      <c r="C7" s="21" t="s">
        <v>709</v>
      </c>
      <c r="D7" s="21" t="s">
        <v>237</v>
      </c>
      <c r="E7" s="21" t="s">
        <v>710</v>
      </c>
      <c r="F7" s="5812">
        <v>3</v>
      </c>
      <c r="G7" s="5813">
        <v>0.20833333333333334</v>
      </c>
      <c r="H7" s="21" t="s">
        <v>10</v>
      </c>
      <c r="I7" s="21" t="s">
        <v>23</v>
      </c>
      <c r="J7" s="21" t="s">
        <v>3635</v>
      </c>
      <c r="K7" s="5814" t="s">
        <v>3636</v>
      </c>
    </row>
    <row r="8" spans="1:55">
      <c r="A8" s="21" t="s">
        <v>2053</v>
      </c>
      <c r="B8" s="21" t="s">
        <v>3637</v>
      </c>
      <c r="C8" s="21" t="s">
        <v>8</v>
      </c>
      <c r="D8" s="21" t="s">
        <v>237</v>
      </c>
      <c r="E8" s="21" t="s">
        <v>710</v>
      </c>
      <c r="F8" s="5812">
        <v>3</v>
      </c>
      <c r="G8" s="5813">
        <v>0.20833333333333334</v>
      </c>
      <c r="H8" s="21" t="s">
        <v>10</v>
      </c>
      <c r="I8" s="21" t="s">
        <v>89</v>
      </c>
      <c r="J8" s="21" t="s">
        <v>3638</v>
      </c>
      <c r="K8" s="5814" t="s">
        <v>3639</v>
      </c>
    </row>
    <row r="9" spans="1:55">
      <c r="A9" s="21" t="s">
        <v>3409</v>
      </c>
      <c r="B9" s="21" t="s">
        <v>3640</v>
      </c>
      <c r="C9" s="21" t="s">
        <v>8</v>
      </c>
      <c r="D9" s="21" t="s">
        <v>237</v>
      </c>
      <c r="E9" s="21" t="s">
        <v>710</v>
      </c>
      <c r="F9" s="5812">
        <v>3</v>
      </c>
      <c r="G9" s="5813">
        <v>0.20833333333333334</v>
      </c>
      <c r="H9" s="21" t="s">
        <v>10</v>
      </c>
      <c r="I9" s="21" t="s">
        <v>11</v>
      </c>
      <c r="J9" s="21" t="s">
        <v>3641</v>
      </c>
      <c r="K9" s="5814" t="s">
        <v>3642</v>
      </c>
    </row>
    <row r="10" spans="1:55">
      <c r="A10" s="21" t="s">
        <v>3643</v>
      </c>
      <c r="B10" s="21" t="s">
        <v>3644</v>
      </c>
      <c r="C10" s="21" t="s">
        <v>709</v>
      </c>
      <c r="D10" s="21" t="s">
        <v>237</v>
      </c>
      <c r="E10" s="21" t="s">
        <v>710</v>
      </c>
      <c r="F10" s="5812">
        <v>3</v>
      </c>
      <c r="G10" s="5813">
        <v>0.20833333333333334</v>
      </c>
      <c r="H10" s="21" t="s">
        <v>10</v>
      </c>
      <c r="I10" s="21" t="s">
        <v>55</v>
      </c>
      <c r="J10" s="21" t="s">
        <v>3645</v>
      </c>
      <c r="K10" s="5814" t="s">
        <v>3646</v>
      </c>
    </row>
    <row r="11" spans="1:55">
      <c r="A11" s="21" t="s">
        <v>3647</v>
      </c>
      <c r="B11" s="21" t="s">
        <v>3648</v>
      </c>
      <c r="C11" s="21" t="s">
        <v>22</v>
      </c>
      <c r="D11" s="21" t="s">
        <v>237</v>
      </c>
      <c r="E11" s="21" t="s">
        <v>710</v>
      </c>
      <c r="F11" s="5812">
        <v>3</v>
      </c>
      <c r="G11" s="5813">
        <v>0.20833333333333334</v>
      </c>
      <c r="H11" s="21" t="s">
        <v>10</v>
      </c>
      <c r="I11" s="21" t="s">
        <v>47</v>
      </c>
      <c r="J11" s="21" t="s">
        <v>3649</v>
      </c>
      <c r="K11" s="5814" t="s">
        <v>3650</v>
      </c>
    </row>
    <row r="12" spans="1:55">
      <c r="A12" s="21" t="s">
        <v>3651</v>
      </c>
      <c r="B12" s="21" t="s">
        <v>3652</v>
      </c>
      <c r="C12" s="21" t="s">
        <v>22</v>
      </c>
      <c r="D12" s="21" t="s">
        <v>237</v>
      </c>
      <c r="E12" s="21" t="s">
        <v>710</v>
      </c>
      <c r="F12" s="5812">
        <v>3</v>
      </c>
      <c r="G12" s="5813">
        <v>0.20833333333333334</v>
      </c>
      <c r="H12" s="21" t="s">
        <v>10</v>
      </c>
      <c r="I12" s="21" t="s">
        <v>187</v>
      </c>
      <c r="J12" s="21" t="s">
        <v>3653</v>
      </c>
      <c r="K12" s="5814" t="s">
        <v>3654</v>
      </c>
    </row>
    <row r="13" spans="1:55">
      <c r="A13" s="21" t="s">
        <v>2846</v>
      </c>
      <c r="B13" s="21" t="s">
        <v>3655</v>
      </c>
      <c r="C13" s="21" t="s">
        <v>709</v>
      </c>
      <c r="D13" s="21" t="s">
        <v>237</v>
      </c>
      <c r="E13" s="21" t="s">
        <v>710</v>
      </c>
      <c r="F13" s="5812">
        <v>3</v>
      </c>
      <c r="G13" s="5813">
        <v>0.20833333333333334</v>
      </c>
      <c r="H13" s="21" t="s">
        <v>10</v>
      </c>
      <c r="I13" s="21" t="s">
        <v>3441</v>
      </c>
      <c r="J13" s="21" t="s">
        <v>3656</v>
      </c>
      <c r="K13" s="5814" t="s">
        <v>3657</v>
      </c>
    </row>
    <row r="14" spans="1:55">
      <c r="A14" s="21" t="s">
        <v>3098</v>
      </c>
      <c r="B14" s="21" t="s">
        <v>3658</v>
      </c>
      <c r="C14" s="21" t="s">
        <v>22</v>
      </c>
      <c r="D14" s="21" t="s">
        <v>237</v>
      </c>
      <c r="E14" s="21" t="s">
        <v>710</v>
      </c>
      <c r="F14" s="5812">
        <v>3</v>
      </c>
      <c r="G14" s="5813">
        <v>0.20833333333333334</v>
      </c>
      <c r="H14" s="21" t="s">
        <v>10</v>
      </c>
      <c r="I14" s="21" t="s">
        <v>47</v>
      </c>
      <c r="J14" s="21" t="s">
        <v>3659</v>
      </c>
      <c r="K14" s="5814" t="s">
        <v>3660</v>
      </c>
    </row>
    <row r="15" spans="1:55">
      <c r="A15" s="21" t="s">
        <v>2918</v>
      </c>
      <c r="B15" s="21" t="s">
        <v>3661</v>
      </c>
      <c r="C15" s="21" t="s">
        <v>8</v>
      </c>
      <c r="D15" s="21" t="s">
        <v>237</v>
      </c>
      <c r="E15" s="21" t="s">
        <v>193</v>
      </c>
      <c r="F15" s="5812">
        <v>3</v>
      </c>
      <c r="G15" s="5813">
        <v>0.20833333333333334</v>
      </c>
      <c r="H15" s="21" t="s">
        <v>2081</v>
      </c>
      <c r="I15" s="21" t="s">
        <v>39</v>
      </c>
      <c r="J15" s="21" t="s">
        <v>3662</v>
      </c>
      <c r="K15" s="5814" t="s">
        <v>3663</v>
      </c>
    </row>
    <row r="16" spans="1:55">
      <c r="A16" s="21" t="s">
        <v>79</v>
      </c>
      <c r="B16" s="21" t="s">
        <v>352</v>
      </c>
      <c r="C16" s="21" t="s">
        <v>22</v>
      </c>
      <c r="D16" s="21" t="s">
        <v>237</v>
      </c>
      <c r="E16" s="21" t="s">
        <v>193</v>
      </c>
      <c r="F16" s="5812">
        <v>3</v>
      </c>
      <c r="G16" s="5813">
        <v>0.20833333333333334</v>
      </c>
      <c r="H16" s="21" t="s">
        <v>10</v>
      </c>
      <c r="I16" s="21" t="s">
        <v>96</v>
      </c>
      <c r="J16" s="21" t="s">
        <v>353</v>
      </c>
      <c r="K16" s="5814" t="s">
        <v>354</v>
      </c>
    </row>
    <row r="17" spans="1:11">
      <c r="A17" s="21" t="s">
        <v>79</v>
      </c>
      <c r="B17" s="21" t="s">
        <v>358</v>
      </c>
      <c r="C17" s="21" t="s">
        <v>22</v>
      </c>
      <c r="D17" s="21" t="s">
        <v>237</v>
      </c>
      <c r="E17" s="21" t="s">
        <v>193</v>
      </c>
      <c r="F17" s="5812">
        <v>3</v>
      </c>
      <c r="G17" s="5813">
        <v>0.20833333333333334</v>
      </c>
      <c r="H17" s="21" t="s">
        <v>10</v>
      </c>
      <c r="I17" s="21" t="s">
        <v>11</v>
      </c>
      <c r="J17" s="21" t="s">
        <v>359</v>
      </c>
      <c r="K17" s="5814" t="s">
        <v>360</v>
      </c>
    </row>
    <row r="18" spans="1:11">
      <c r="A18" s="21" t="s">
        <v>20</v>
      </c>
      <c r="B18" s="21" t="s">
        <v>292</v>
      </c>
      <c r="C18" s="21" t="s">
        <v>8</v>
      </c>
      <c r="D18" s="21" t="s">
        <v>237</v>
      </c>
      <c r="E18" s="21" t="s">
        <v>193</v>
      </c>
      <c r="F18" s="5812">
        <v>3</v>
      </c>
      <c r="G18" s="5813">
        <v>0.20833333333333334</v>
      </c>
      <c r="H18" s="21" t="s">
        <v>10</v>
      </c>
      <c r="I18" s="21" t="s">
        <v>23</v>
      </c>
      <c r="J18" s="21" t="s">
        <v>293</v>
      </c>
      <c r="K18" s="5814" t="s">
        <v>294</v>
      </c>
    </row>
    <row r="19" spans="1:11">
      <c r="A19" s="21" t="s">
        <v>20</v>
      </c>
      <c r="B19" s="21" t="s">
        <v>383</v>
      </c>
      <c r="C19" s="21" t="s">
        <v>22</v>
      </c>
      <c r="D19" s="21" t="s">
        <v>237</v>
      </c>
      <c r="E19" s="21" t="s">
        <v>193</v>
      </c>
      <c r="F19" s="5812">
        <v>3</v>
      </c>
      <c r="G19" s="5813">
        <v>0.20833333333333334</v>
      </c>
      <c r="H19" s="21" t="s">
        <v>10</v>
      </c>
      <c r="I19" s="21" t="s">
        <v>39</v>
      </c>
      <c r="J19" s="21" t="s">
        <v>384</v>
      </c>
      <c r="K19" s="5814" t="s">
        <v>385</v>
      </c>
    </row>
    <row r="20" spans="1:11">
      <c r="A20" s="21" t="s">
        <v>185</v>
      </c>
      <c r="B20" s="21" t="s">
        <v>399</v>
      </c>
      <c r="C20" s="21" t="s">
        <v>22</v>
      </c>
      <c r="D20" s="21" t="s">
        <v>237</v>
      </c>
      <c r="E20" s="21" t="s">
        <v>193</v>
      </c>
      <c r="F20" s="5812">
        <v>3</v>
      </c>
      <c r="G20" s="5813">
        <v>0.20833333333333334</v>
      </c>
      <c r="H20" s="21" t="s">
        <v>10</v>
      </c>
      <c r="I20" s="21" t="s">
        <v>400</v>
      </c>
      <c r="J20" s="21" t="s">
        <v>401</v>
      </c>
      <c r="K20" s="5814" t="s">
        <v>402</v>
      </c>
    </row>
    <row r="21" spans="1:11">
      <c r="A21" s="21" t="s">
        <v>3664</v>
      </c>
      <c r="B21" s="21" t="s">
        <v>3665</v>
      </c>
      <c r="C21" s="21" t="s">
        <v>22</v>
      </c>
      <c r="D21" s="21" t="s">
        <v>237</v>
      </c>
      <c r="E21" s="21" t="s">
        <v>193</v>
      </c>
      <c r="F21" s="5812">
        <v>3</v>
      </c>
      <c r="G21" s="5813">
        <v>0.20833333333333334</v>
      </c>
      <c r="H21" s="21" t="s">
        <v>10</v>
      </c>
      <c r="I21" s="21" t="s">
        <v>609</v>
      </c>
      <c r="J21" s="21" t="s">
        <v>3666</v>
      </c>
      <c r="K21" s="5814" t="s">
        <v>3667</v>
      </c>
    </row>
    <row r="22" spans="1:11">
      <c r="A22" s="21" t="s">
        <v>3039</v>
      </c>
      <c r="B22" s="21" t="s">
        <v>3668</v>
      </c>
      <c r="C22" s="21" t="s">
        <v>22</v>
      </c>
      <c r="D22" s="21" t="s">
        <v>237</v>
      </c>
      <c r="E22" s="21" t="s">
        <v>193</v>
      </c>
      <c r="F22" s="5812">
        <v>3</v>
      </c>
      <c r="G22" s="5813">
        <v>0.20833333333333334</v>
      </c>
      <c r="H22" s="21" t="s">
        <v>10</v>
      </c>
      <c r="I22" s="21" t="s">
        <v>11</v>
      </c>
      <c r="J22" s="21" t="s">
        <v>3669</v>
      </c>
      <c r="K22" s="5814" t="s">
        <v>3670</v>
      </c>
    </row>
    <row r="23" spans="1:11">
      <c r="A23" s="21" t="s">
        <v>3671</v>
      </c>
      <c r="B23" s="21" t="s">
        <v>3672</v>
      </c>
      <c r="C23" s="21" t="s">
        <v>8</v>
      </c>
      <c r="D23" s="21" t="s">
        <v>237</v>
      </c>
      <c r="E23" s="21" t="s">
        <v>193</v>
      </c>
      <c r="F23" s="5812">
        <v>3</v>
      </c>
      <c r="G23" s="5813">
        <v>0.20833333333333334</v>
      </c>
      <c r="H23" s="21" t="s">
        <v>10</v>
      </c>
      <c r="I23" s="21" t="s">
        <v>2814</v>
      </c>
      <c r="J23" s="21" t="s">
        <v>3673</v>
      </c>
      <c r="K23" s="5814" t="s">
        <v>3674</v>
      </c>
    </row>
    <row r="24" spans="1:11">
      <c r="A24" s="21" t="s">
        <v>2387</v>
      </c>
      <c r="B24" s="21" t="s">
        <v>3675</v>
      </c>
      <c r="C24" s="21" t="s">
        <v>8</v>
      </c>
      <c r="D24" s="21" t="s">
        <v>237</v>
      </c>
      <c r="E24" s="21" t="s">
        <v>193</v>
      </c>
      <c r="F24" s="5812">
        <v>3</v>
      </c>
      <c r="G24" s="5813">
        <v>0.20833333333333334</v>
      </c>
      <c r="H24" s="21" t="s">
        <v>10</v>
      </c>
      <c r="I24" s="21" t="s">
        <v>11</v>
      </c>
      <c r="J24" s="21" t="s">
        <v>3676</v>
      </c>
      <c r="K24" s="5814" t="s">
        <v>3677</v>
      </c>
    </row>
    <row r="25" spans="1:11">
      <c r="A25" s="21" t="s">
        <v>2395</v>
      </c>
      <c r="B25" s="21" t="s">
        <v>3678</v>
      </c>
      <c r="C25" s="21" t="s">
        <v>709</v>
      </c>
      <c r="D25" s="21" t="s">
        <v>237</v>
      </c>
      <c r="E25" s="21" t="s">
        <v>193</v>
      </c>
      <c r="F25" s="5812">
        <v>3</v>
      </c>
      <c r="G25" s="5813">
        <v>0.20833333333333334</v>
      </c>
      <c r="H25" s="21" t="s">
        <v>10</v>
      </c>
      <c r="I25" s="21" t="s">
        <v>89</v>
      </c>
      <c r="J25" s="21" t="s">
        <v>3679</v>
      </c>
      <c r="K25" s="5814" t="s">
        <v>3680</v>
      </c>
    </row>
    <row r="26" spans="1:11">
      <c r="A26" s="21" t="s">
        <v>2420</v>
      </c>
      <c r="B26" s="21" t="s">
        <v>3681</v>
      </c>
      <c r="C26" s="21" t="s">
        <v>22</v>
      </c>
      <c r="D26" s="21" t="s">
        <v>237</v>
      </c>
      <c r="E26" s="21" t="s">
        <v>193</v>
      </c>
      <c r="F26" s="5812">
        <v>3</v>
      </c>
      <c r="G26" s="5813">
        <v>0.20833333333333334</v>
      </c>
      <c r="H26" s="21" t="s">
        <v>10</v>
      </c>
      <c r="I26" s="21" t="s">
        <v>2269</v>
      </c>
      <c r="J26" s="21" t="s">
        <v>3682</v>
      </c>
      <c r="K26" s="5814" t="s">
        <v>3683</v>
      </c>
    </row>
    <row r="27" spans="1:11">
      <c r="A27" s="21" t="s">
        <v>3434</v>
      </c>
      <c r="B27" s="21" t="s">
        <v>3684</v>
      </c>
      <c r="C27" s="21" t="s">
        <v>8</v>
      </c>
      <c r="D27" s="21" t="s">
        <v>237</v>
      </c>
      <c r="E27" s="21" t="s">
        <v>193</v>
      </c>
      <c r="F27" s="5812">
        <v>3</v>
      </c>
      <c r="G27" s="5813">
        <v>0.20833333333333334</v>
      </c>
      <c r="H27" s="21" t="s">
        <v>10</v>
      </c>
      <c r="I27" s="21" t="s">
        <v>39</v>
      </c>
      <c r="J27" s="21" t="s">
        <v>3685</v>
      </c>
      <c r="K27" s="5814" t="s">
        <v>3686</v>
      </c>
    </row>
    <row r="28" spans="1:11">
      <c r="A28" s="21" t="s">
        <v>2061</v>
      </c>
      <c r="B28" s="21" t="s">
        <v>3687</v>
      </c>
      <c r="C28" s="21" t="s">
        <v>8</v>
      </c>
      <c r="D28" s="21" t="s">
        <v>237</v>
      </c>
      <c r="E28" s="21" t="s">
        <v>193</v>
      </c>
      <c r="F28" s="5812">
        <v>3</v>
      </c>
      <c r="G28" s="5813">
        <v>0.20833333333333334</v>
      </c>
      <c r="H28" s="21" t="s">
        <v>10</v>
      </c>
      <c r="I28" s="21" t="s">
        <v>89</v>
      </c>
      <c r="J28" s="21" t="s">
        <v>3688</v>
      </c>
      <c r="K28" s="5814" t="s">
        <v>3689</v>
      </c>
    </row>
    <row r="29" spans="1:11">
      <c r="A29" s="21" t="s">
        <v>3690</v>
      </c>
      <c r="B29" s="21" t="s">
        <v>3691</v>
      </c>
      <c r="C29" s="21" t="s">
        <v>8</v>
      </c>
      <c r="D29" s="21" t="s">
        <v>237</v>
      </c>
      <c r="E29" s="21" t="s">
        <v>193</v>
      </c>
      <c r="F29" s="5812">
        <v>3</v>
      </c>
      <c r="G29" s="5813">
        <v>0.20833333333333334</v>
      </c>
      <c r="H29" s="21" t="s">
        <v>10</v>
      </c>
      <c r="I29" s="21" t="s">
        <v>11</v>
      </c>
      <c r="J29" s="21" t="s">
        <v>3692</v>
      </c>
      <c r="K29" s="5814" t="s">
        <v>3693</v>
      </c>
    </row>
    <row r="30" spans="1:11">
      <c r="A30" s="21" t="s">
        <v>3256</v>
      </c>
      <c r="B30" s="21" t="s">
        <v>3694</v>
      </c>
      <c r="C30" s="21" t="s">
        <v>8</v>
      </c>
      <c r="D30" s="21" t="s">
        <v>237</v>
      </c>
      <c r="E30" s="21" t="s">
        <v>193</v>
      </c>
      <c r="F30" s="5812">
        <v>3</v>
      </c>
      <c r="G30" s="5813">
        <v>0.20833333333333334</v>
      </c>
      <c r="H30" s="21" t="s">
        <v>10</v>
      </c>
      <c r="I30" s="21" t="s">
        <v>226</v>
      </c>
      <c r="J30" s="21" t="s">
        <v>3695</v>
      </c>
      <c r="K30" s="5814" t="s">
        <v>3696</v>
      </c>
    </row>
    <row r="31" spans="1:11">
      <c r="A31" s="21" t="s">
        <v>2499</v>
      </c>
      <c r="B31" s="21" t="s">
        <v>3697</v>
      </c>
      <c r="C31" s="21" t="s">
        <v>22</v>
      </c>
      <c r="D31" s="21" t="s">
        <v>237</v>
      </c>
      <c r="E31" s="21" t="s">
        <v>193</v>
      </c>
      <c r="F31" s="5812">
        <v>3</v>
      </c>
      <c r="G31" s="5813">
        <v>0.20833333333333334</v>
      </c>
      <c r="H31" s="21" t="s">
        <v>10</v>
      </c>
      <c r="I31" s="21" t="s">
        <v>96</v>
      </c>
      <c r="J31" s="21" t="s">
        <v>3698</v>
      </c>
      <c r="K31" s="5814" t="s">
        <v>3699</v>
      </c>
    </row>
    <row r="32" spans="1:11">
      <c r="A32" s="21" t="s">
        <v>2521</v>
      </c>
      <c r="B32" s="21" t="s">
        <v>3700</v>
      </c>
      <c r="C32" s="21" t="s">
        <v>709</v>
      </c>
      <c r="D32" s="21" t="s">
        <v>237</v>
      </c>
      <c r="E32" s="21" t="s">
        <v>193</v>
      </c>
      <c r="F32" s="5812">
        <v>3</v>
      </c>
      <c r="G32" s="5813">
        <v>0.20833333333333334</v>
      </c>
      <c r="H32" s="21" t="s">
        <v>10</v>
      </c>
      <c r="I32" s="21" t="s">
        <v>96</v>
      </c>
      <c r="J32" s="21" t="s">
        <v>3701</v>
      </c>
      <c r="K32" s="5814" t="s">
        <v>3702</v>
      </c>
    </row>
    <row r="33" spans="1:11">
      <c r="A33" s="21" t="s">
        <v>3703</v>
      </c>
      <c r="B33" s="21" t="s">
        <v>3704</v>
      </c>
      <c r="C33" s="21" t="s">
        <v>8</v>
      </c>
      <c r="D33" s="21" t="s">
        <v>237</v>
      </c>
      <c r="E33" s="21" t="s">
        <v>193</v>
      </c>
      <c r="F33" s="5812">
        <v>3</v>
      </c>
      <c r="G33" s="5813">
        <v>0.20833333333333334</v>
      </c>
      <c r="H33" s="21" t="s">
        <v>10</v>
      </c>
      <c r="I33" s="21" t="s">
        <v>2523</v>
      </c>
      <c r="J33" s="21" t="s">
        <v>3705</v>
      </c>
      <c r="K33" s="5814" t="s">
        <v>3706</v>
      </c>
    </row>
    <row r="34" spans="1:11">
      <c r="A34" s="21" t="s">
        <v>2547</v>
      </c>
      <c r="B34" s="21" t="s">
        <v>3707</v>
      </c>
      <c r="C34" s="21" t="s">
        <v>8</v>
      </c>
      <c r="D34" s="21" t="s">
        <v>237</v>
      </c>
      <c r="E34" s="21" t="s">
        <v>193</v>
      </c>
      <c r="F34" s="5812">
        <v>3</v>
      </c>
      <c r="G34" s="5813">
        <v>0.20833333333333334</v>
      </c>
      <c r="H34" s="21" t="s">
        <v>10</v>
      </c>
      <c r="I34" s="21" t="s">
        <v>23</v>
      </c>
      <c r="J34" s="21" t="s">
        <v>3708</v>
      </c>
      <c r="K34" s="5814" t="s">
        <v>3709</v>
      </c>
    </row>
    <row r="35" spans="1:11">
      <c r="A35" s="21" t="s">
        <v>3710</v>
      </c>
      <c r="B35" s="21" t="s">
        <v>3711</v>
      </c>
      <c r="C35" s="21" t="s">
        <v>8</v>
      </c>
      <c r="D35" s="21" t="s">
        <v>237</v>
      </c>
      <c r="E35" s="21" t="s">
        <v>193</v>
      </c>
      <c r="F35" s="5812">
        <v>3</v>
      </c>
      <c r="G35" s="5813">
        <v>0.20833333333333334</v>
      </c>
      <c r="H35" s="21" t="s">
        <v>10</v>
      </c>
      <c r="I35" s="21" t="s">
        <v>96</v>
      </c>
      <c r="J35" s="21" t="s">
        <v>3712</v>
      </c>
      <c r="K35" s="5814" t="s">
        <v>3713</v>
      </c>
    </row>
    <row r="36" spans="1:11">
      <c r="A36" s="21" t="s">
        <v>2979</v>
      </c>
      <c r="B36" s="21" t="s">
        <v>3714</v>
      </c>
      <c r="C36" s="21" t="s">
        <v>8</v>
      </c>
      <c r="D36" s="21" t="s">
        <v>237</v>
      </c>
      <c r="E36" s="21" t="s">
        <v>193</v>
      </c>
      <c r="F36" s="5812">
        <v>3</v>
      </c>
      <c r="G36" s="5813">
        <v>0.20833333333333334</v>
      </c>
      <c r="H36" s="21" t="s">
        <v>10</v>
      </c>
      <c r="I36" s="21" t="s">
        <v>39</v>
      </c>
      <c r="J36" s="21" t="s">
        <v>3715</v>
      </c>
      <c r="K36" s="5814" t="s">
        <v>3716</v>
      </c>
    </row>
    <row r="37" spans="1:11">
      <c r="A37" s="21" t="s">
        <v>2143</v>
      </c>
      <c r="B37" s="21" t="s">
        <v>3717</v>
      </c>
      <c r="C37" s="21" t="s">
        <v>22</v>
      </c>
      <c r="D37" s="21" t="s">
        <v>237</v>
      </c>
      <c r="E37" s="21" t="s">
        <v>193</v>
      </c>
      <c r="F37" s="5812">
        <v>3</v>
      </c>
      <c r="G37" s="5813">
        <v>0.20833333333333334</v>
      </c>
      <c r="H37" s="21" t="s">
        <v>10</v>
      </c>
      <c r="I37" s="21" t="s">
        <v>73</v>
      </c>
      <c r="J37" s="21" t="s">
        <v>3718</v>
      </c>
      <c r="K37" s="5814" t="s">
        <v>3719</v>
      </c>
    </row>
    <row r="38" spans="1:11">
      <c r="A38" s="21" t="s">
        <v>3720</v>
      </c>
      <c r="B38" s="21" t="s">
        <v>3721</v>
      </c>
      <c r="C38" s="21" t="s">
        <v>22</v>
      </c>
      <c r="D38" s="21" t="s">
        <v>237</v>
      </c>
      <c r="E38" s="21" t="s">
        <v>193</v>
      </c>
      <c r="F38" s="5812">
        <v>3</v>
      </c>
      <c r="G38" s="5813">
        <v>0.20833333333333334</v>
      </c>
      <c r="H38" s="21" t="s">
        <v>10</v>
      </c>
      <c r="I38" s="21" t="s">
        <v>194</v>
      </c>
      <c r="J38" s="21" t="s">
        <v>3722</v>
      </c>
      <c r="K38" s="5814" t="s">
        <v>3723</v>
      </c>
    </row>
    <row r="39" spans="1:11">
      <c r="A39" s="21" t="s">
        <v>3446</v>
      </c>
      <c r="B39" s="21" t="s">
        <v>3724</v>
      </c>
      <c r="C39" s="21" t="s">
        <v>22</v>
      </c>
      <c r="D39" s="21" t="s">
        <v>237</v>
      </c>
      <c r="E39" s="21" t="s">
        <v>193</v>
      </c>
      <c r="F39" s="5812">
        <v>3</v>
      </c>
      <c r="G39" s="5813">
        <v>0.20833333333333334</v>
      </c>
      <c r="H39" s="21" t="s">
        <v>10</v>
      </c>
      <c r="I39" s="21" t="s">
        <v>3725</v>
      </c>
      <c r="J39" s="21" t="s">
        <v>3726</v>
      </c>
      <c r="K39" s="5814" t="s">
        <v>3727</v>
      </c>
    </row>
    <row r="40" spans="1:11">
      <c r="A40" s="21" t="s">
        <v>3728</v>
      </c>
      <c r="B40" s="21" t="s">
        <v>3729</v>
      </c>
      <c r="C40" s="21" t="s">
        <v>709</v>
      </c>
      <c r="D40" s="21" t="s">
        <v>237</v>
      </c>
      <c r="E40" s="21" t="s">
        <v>193</v>
      </c>
      <c r="F40" s="5812">
        <v>3</v>
      </c>
      <c r="G40" s="5813">
        <v>0.20833333333333334</v>
      </c>
      <c r="H40" s="21" t="s">
        <v>10</v>
      </c>
      <c r="I40" s="21" t="s">
        <v>55</v>
      </c>
      <c r="J40" s="21" t="s">
        <v>3730</v>
      </c>
      <c r="K40" s="5814" t="s">
        <v>3731</v>
      </c>
    </row>
    <row r="41" spans="1:11">
      <c r="A41" s="21" t="s">
        <v>2174</v>
      </c>
      <c r="B41" s="21" t="s">
        <v>3732</v>
      </c>
      <c r="C41" s="21" t="s">
        <v>8</v>
      </c>
      <c r="D41" s="21" t="s">
        <v>237</v>
      </c>
      <c r="E41" s="21" t="s">
        <v>193</v>
      </c>
      <c r="F41" s="5812">
        <v>3</v>
      </c>
      <c r="G41" s="5813">
        <v>0.20833333333333334</v>
      </c>
      <c r="H41" s="21" t="s">
        <v>10</v>
      </c>
      <c r="I41" s="21" t="s">
        <v>788</v>
      </c>
      <c r="J41" s="21" t="s">
        <v>3733</v>
      </c>
      <c r="K41" s="5814" t="s">
        <v>3734</v>
      </c>
    </row>
    <row r="42" spans="1:11">
      <c r="A42" s="21" t="s">
        <v>2616</v>
      </c>
      <c r="B42" s="21" t="s">
        <v>3735</v>
      </c>
      <c r="C42" s="21" t="s">
        <v>22</v>
      </c>
      <c r="D42" s="21" t="s">
        <v>237</v>
      </c>
      <c r="E42" s="21" t="s">
        <v>193</v>
      </c>
      <c r="F42" s="5812">
        <v>3</v>
      </c>
      <c r="G42" s="5813">
        <v>0.20833333333333334</v>
      </c>
      <c r="H42" s="21" t="s">
        <v>10</v>
      </c>
      <c r="I42" s="21" t="s">
        <v>2872</v>
      </c>
      <c r="J42" s="21" t="s">
        <v>3736</v>
      </c>
      <c r="K42" s="5814" t="s">
        <v>3737</v>
      </c>
    </row>
    <row r="43" spans="1:11">
      <c r="A43" s="21" t="s">
        <v>2668</v>
      </c>
      <c r="B43" s="21" t="s">
        <v>3738</v>
      </c>
      <c r="C43" s="21" t="s">
        <v>8</v>
      </c>
      <c r="D43" s="21" t="s">
        <v>237</v>
      </c>
      <c r="E43" s="21" t="s">
        <v>193</v>
      </c>
      <c r="F43" s="5812">
        <v>3</v>
      </c>
      <c r="G43" s="5813">
        <v>0.20833333333333334</v>
      </c>
      <c r="H43" s="21" t="s">
        <v>10</v>
      </c>
      <c r="I43" s="21" t="s">
        <v>2872</v>
      </c>
      <c r="J43" s="21" t="s">
        <v>3739</v>
      </c>
      <c r="K43" s="5814" t="s">
        <v>3740</v>
      </c>
    </row>
    <row r="44" spans="1:11">
      <c r="A44" s="21" t="s">
        <v>3741</v>
      </c>
      <c r="B44" s="21" t="s">
        <v>3742</v>
      </c>
      <c r="C44" s="21" t="s">
        <v>22</v>
      </c>
      <c r="D44" s="21" t="s">
        <v>237</v>
      </c>
      <c r="E44" s="21" t="s">
        <v>193</v>
      </c>
      <c r="F44" s="5812">
        <v>3</v>
      </c>
      <c r="G44" s="5813">
        <v>0.20833333333333334</v>
      </c>
      <c r="H44" s="21" t="s">
        <v>10</v>
      </c>
      <c r="I44" s="21" t="s">
        <v>2872</v>
      </c>
      <c r="J44" s="21" t="s">
        <v>3743</v>
      </c>
      <c r="K44" s="5814" t="s">
        <v>3744</v>
      </c>
    </row>
    <row r="45" spans="1:11">
      <c r="A45" s="21" t="s">
        <v>3089</v>
      </c>
      <c r="B45" s="21" t="s">
        <v>3745</v>
      </c>
      <c r="C45" s="21" t="s">
        <v>8</v>
      </c>
      <c r="D45" s="21" t="s">
        <v>237</v>
      </c>
      <c r="E45" s="21" t="s">
        <v>193</v>
      </c>
      <c r="F45" s="5812">
        <v>3</v>
      </c>
      <c r="G45" s="5813">
        <v>0.20833333333333334</v>
      </c>
      <c r="H45" s="21" t="s">
        <v>10</v>
      </c>
      <c r="I45" s="21" t="s">
        <v>2692</v>
      </c>
      <c r="J45" s="21" t="s">
        <v>3746</v>
      </c>
      <c r="K45" s="5814" t="s">
        <v>3747</v>
      </c>
    </row>
    <row r="46" spans="1:11">
      <c r="A46" s="21" t="s">
        <v>2702</v>
      </c>
      <c r="B46" s="21" t="s">
        <v>3748</v>
      </c>
      <c r="C46" s="21" t="s">
        <v>22</v>
      </c>
      <c r="D46" s="21" t="s">
        <v>237</v>
      </c>
      <c r="E46" s="21" t="s">
        <v>193</v>
      </c>
      <c r="F46" s="5812">
        <v>3</v>
      </c>
      <c r="G46" s="5813">
        <v>0.20833333333333334</v>
      </c>
      <c r="H46" s="21" t="s">
        <v>10</v>
      </c>
      <c r="I46" s="21" t="s">
        <v>2704</v>
      </c>
      <c r="J46" s="21" t="s">
        <v>3749</v>
      </c>
      <c r="K46" s="5814" t="s">
        <v>3750</v>
      </c>
    </row>
    <row r="47" spans="1:11">
      <c r="A47" s="21" t="s">
        <v>3647</v>
      </c>
      <c r="B47" s="21" t="s">
        <v>3751</v>
      </c>
      <c r="C47" s="21" t="s">
        <v>8</v>
      </c>
      <c r="D47" s="21" t="s">
        <v>237</v>
      </c>
      <c r="E47" s="21" t="s">
        <v>193</v>
      </c>
      <c r="F47" s="5812">
        <v>3</v>
      </c>
      <c r="G47" s="5813">
        <v>0.20833333333333334</v>
      </c>
      <c r="H47" s="21" t="s">
        <v>10</v>
      </c>
      <c r="I47" s="21" t="s">
        <v>39</v>
      </c>
      <c r="J47" s="21" t="s">
        <v>3752</v>
      </c>
      <c r="K47" s="5814" t="s">
        <v>3753</v>
      </c>
    </row>
    <row r="48" spans="1:11">
      <c r="A48" s="21" t="s">
        <v>3647</v>
      </c>
      <c r="B48" s="21" t="s">
        <v>3754</v>
      </c>
      <c r="C48" s="21" t="s">
        <v>22</v>
      </c>
      <c r="D48" s="21" t="s">
        <v>237</v>
      </c>
      <c r="E48" s="21" t="s">
        <v>193</v>
      </c>
      <c r="F48" s="5812">
        <v>3</v>
      </c>
      <c r="G48" s="5813">
        <v>0.20833333333333334</v>
      </c>
      <c r="H48" s="21" t="s">
        <v>10</v>
      </c>
      <c r="I48" s="21" t="s">
        <v>39</v>
      </c>
      <c r="J48" s="21" t="s">
        <v>3755</v>
      </c>
      <c r="K48" s="5814" t="s">
        <v>3756</v>
      </c>
    </row>
    <row r="49" spans="1:11">
      <c r="A49" s="21" t="s">
        <v>3757</v>
      </c>
      <c r="B49" s="21" t="s">
        <v>3758</v>
      </c>
      <c r="C49" s="21" t="s">
        <v>22</v>
      </c>
      <c r="D49" s="21" t="s">
        <v>237</v>
      </c>
      <c r="E49" s="21" t="s">
        <v>193</v>
      </c>
      <c r="F49" s="5812">
        <v>3</v>
      </c>
      <c r="G49" s="5813">
        <v>0.20833333333333334</v>
      </c>
      <c r="H49" s="21" t="s">
        <v>10</v>
      </c>
      <c r="I49" s="21" t="s">
        <v>55</v>
      </c>
      <c r="J49" s="21" t="s">
        <v>3759</v>
      </c>
      <c r="K49" s="5814" t="s">
        <v>3760</v>
      </c>
    </row>
    <row r="50" spans="1:11">
      <c r="A50" s="21" t="s">
        <v>3761</v>
      </c>
      <c r="B50" s="21" t="s">
        <v>3762</v>
      </c>
      <c r="C50" s="21" t="s">
        <v>22</v>
      </c>
      <c r="D50" s="21" t="s">
        <v>237</v>
      </c>
      <c r="E50" s="21" t="s">
        <v>193</v>
      </c>
      <c r="F50" s="5812">
        <v>3</v>
      </c>
      <c r="G50" s="5813">
        <v>0.20833333333333334</v>
      </c>
      <c r="H50" s="21" t="s">
        <v>10</v>
      </c>
      <c r="I50" s="21" t="s">
        <v>47</v>
      </c>
      <c r="J50" s="21" t="s">
        <v>3763</v>
      </c>
      <c r="K50" s="5814" t="s">
        <v>3764</v>
      </c>
    </row>
    <row r="51" spans="1:11">
      <c r="A51" s="21" t="s">
        <v>3765</v>
      </c>
      <c r="B51" s="21" t="s">
        <v>3766</v>
      </c>
      <c r="C51" s="21" t="s">
        <v>22</v>
      </c>
      <c r="D51" s="21" t="s">
        <v>237</v>
      </c>
      <c r="E51" s="21" t="s">
        <v>193</v>
      </c>
      <c r="F51" s="5812">
        <v>3</v>
      </c>
      <c r="G51" s="5813">
        <v>0.20833333333333334</v>
      </c>
      <c r="H51" s="21" t="s">
        <v>10</v>
      </c>
      <c r="I51" s="21" t="s">
        <v>187</v>
      </c>
      <c r="J51" s="21" t="s">
        <v>3767</v>
      </c>
      <c r="K51" s="5814" t="s">
        <v>3768</v>
      </c>
    </row>
    <row r="52" spans="1:11">
      <c r="A52" s="21" t="s">
        <v>3769</v>
      </c>
      <c r="B52" s="21" t="s">
        <v>3770</v>
      </c>
      <c r="C52" s="21" t="s">
        <v>8</v>
      </c>
      <c r="D52" s="21" t="s">
        <v>237</v>
      </c>
      <c r="E52" s="21" t="s">
        <v>193</v>
      </c>
      <c r="F52" s="5812">
        <v>3</v>
      </c>
      <c r="G52" s="5813">
        <v>0.20833333333333334</v>
      </c>
      <c r="H52" s="21" t="s">
        <v>10</v>
      </c>
      <c r="I52" s="21" t="s">
        <v>2269</v>
      </c>
      <c r="J52" s="21" t="s">
        <v>3771</v>
      </c>
      <c r="K52" s="5814" t="s">
        <v>3772</v>
      </c>
    </row>
    <row r="53" spans="1:11">
      <c r="A53" s="21" t="s">
        <v>2768</v>
      </c>
      <c r="B53" s="21" t="s">
        <v>3773</v>
      </c>
      <c r="C53" s="21" t="s">
        <v>22</v>
      </c>
      <c r="D53" s="21" t="s">
        <v>237</v>
      </c>
      <c r="E53" s="21" t="s">
        <v>193</v>
      </c>
      <c r="F53" s="5812">
        <v>3</v>
      </c>
      <c r="G53" s="5813">
        <v>0.20833333333333334</v>
      </c>
      <c r="H53" s="21" t="s">
        <v>10</v>
      </c>
      <c r="I53" s="21" t="s">
        <v>226</v>
      </c>
      <c r="J53" s="21" t="s">
        <v>3774</v>
      </c>
      <c r="K53" s="5814" t="s">
        <v>3775</v>
      </c>
    </row>
    <row r="54" spans="1:11">
      <c r="A54" s="21" t="s">
        <v>2784</v>
      </c>
      <c r="B54" s="21" t="s">
        <v>3776</v>
      </c>
      <c r="C54" s="21" t="s">
        <v>22</v>
      </c>
      <c r="D54" s="21" t="s">
        <v>237</v>
      </c>
      <c r="E54" s="21" t="s">
        <v>193</v>
      </c>
      <c r="F54" s="5812">
        <v>3</v>
      </c>
      <c r="G54" s="5813">
        <v>0.20833333333333334</v>
      </c>
      <c r="H54" s="21" t="s">
        <v>10</v>
      </c>
      <c r="I54" s="21" t="s">
        <v>3777</v>
      </c>
      <c r="J54" s="21" t="s">
        <v>3778</v>
      </c>
      <c r="K54" s="5814" t="s">
        <v>3779</v>
      </c>
    </row>
    <row r="55" spans="1:11">
      <c r="A55" s="21" t="s">
        <v>3584</v>
      </c>
      <c r="B55" s="21" t="s">
        <v>3780</v>
      </c>
      <c r="C55" s="21" t="s">
        <v>8</v>
      </c>
      <c r="D55" s="21" t="s">
        <v>237</v>
      </c>
      <c r="E55" s="21" t="s">
        <v>193</v>
      </c>
      <c r="F55" s="5812">
        <v>3</v>
      </c>
      <c r="G55" s="5813">
        <v>0.20833333333333334</v>
      </c>
      <c r="H55" s="21" t="s">
        <v>10</v>
      </c>
      <c r="I55" s="21" t="s">
        <v>2260</v>
      </c>
      <c r="J55" s="21" t="s">
        <v>3781</v>
      </c>
      <c r="K55" s="5814" t="s">
        <v>3782</v>
      </c>
    </row>
    <row r="56" spans="1:11">
      <c r="A56" s="21" t="s">
        <v>3783</v>
      </c>
      <c r="B56" s="21" t="s">
        <v>3784</v>
      </c>
      <c r="C56" s="21" t="s">
        <v>8</v>
      </c>
      <c r="D56" s="21" t="s">
        <v>237</v>
      </c>
      <c r="E56" s="21" t="s">
        <v>193</v>
      </c>
      <c r="F56" s="5812">
        <v>3</v>
      </c>
      <c r="G56" s="5813">
        <v>0.20833333333333334</v>
      </c>
      <c r="H56" s="21" t="s">
        <v>10</v>
      </c>
      <c r="I56" s="21" t="s">
        <v>2872</v>
      </c>
      <c r="J56" s="21" t="s">
        <v>3785</v>
      </c>
      <c r="K56" s="5814" t="s">
        <v>3786</v>
      </c>
    </row>
    <row r="57" spans="1:11">
      <c r="A57" s="21" t="s">
        <v>3787</v>
      </c>
      <c r="B57" s="21" t="s">
        <v>3788</v>
      </c>
      <c r="C57" s="21" t="s">
        <v>22</v>
      </c>
      <c r="D57" s="21" t="s">
        <v>237</v>
      </c>
      <c r="E57" s="21" t="s">
        <v>193</v>
      </c>
      <c r="F57" s="5812">
        <v>3</v>
      </c>
      <c r="G57" s="5813">
        <v>0.20833333333333334</v>
      </c>
      <c r="H57" s="21" t="s">
        <v>10</v>
      </c>
      <c r="I57" s="21" t="s">
        <v>226</v>
      </c>
      <c r="J57" s="21" t="s">
        <v>3789</v>
      </c>
      <c r="K57" s="5814" t="s">
        <v>3790</v>
      </c>
    </row>
    <row r="58" spans="1:11">
      <c r="A58" s="21" t="s">
        <v>3192</v>
      </c>
      <c r="B58" s="21" t="s">
        <v>3791</v>
      </c>
      <c r="C58" s="21" t="s">
        <v>22</v>
      </c>
      <c r="D58" s="21" t="s">
        <v>237</v>
      </c>
      <c r="E58" s="21" t="s">
        <v>193</v>
      </c>
      <c r="F58" s="5812">
        <v>3</v>
      </c>
      <c r="G58" s="5813">
        <v>0.20833333333333334</v>
      </c>
      <c r="H58" s="21" t="s">
        <v>10</v>
      </c>
      <c r="I58" s="21" t="s">
        <v>2297</v>
      </c>
      <c r="J58" s="21" t="s">
        <v>3792</v>
      </c>
      <c r="K58" s="5814" t="s">
        <v>3793</v>
      </c>
    </row>
    <row r="59" spans="1:11">
      <c r="A59" s="21" t="s">
        <v>2839</v>
      </c>
      <c r="B59" s="21" t="s">
        <v>3794</v>
      </c>
      <c r="C59" s="21" t="s">
        <v>8</v>
      </c>
      <c r="D59" s="21" t="s">
        <v>237</v>
      </c>
      <c r="E59" s="21" t="s">
        <v>193</v>
      </c>
      <c r="F59" s="5812">
        <v>3</v>
      </c>
      <c r="G59" s="5813">
        <v>0.20833333333333334</v>
      </c>
      <c r="H59" s="21" t="s">
        <v>10</v>
      </c>
      <c r="I59" s="21" t="s">
        <v>2176</v>
      </c>
      <c r="J59" s="21" t="s">
        <v>3795</v>
      </c>
      <c r="K59" s="5814" t="s">
        <v>3796</v>
      </c>
    </row>
    <row r="60" spans="1:11">
      <c r="A60" s="21" t="s">
        <v>3049</v>
      </c>
      <c r="B60" s="21" t="s">
        <v>3797</v>
      </c>
      <c r="C60" s="21" t="s">
        <v>22</v>
      </c>
      <c r="D60" s="21" t="s">
        <v>237</v>
      </c>
      <c r="E60" s="21" t="s">
        <v>193</v>
      </c>
      <c r="F60" s="5812">
        <v>3</v>
      </c>
      <c r="G60" s="5813">
        <v>0.20833333333333334</v>
      </c>
      <c r="H60" s="21" t="s">
        <v>10</v>
      </c>
      <c r="I60" s="21" t="s">
        <v>2713</v>
      </c>
      <c r="J60" s="21" t="s">
        <v>3798</v>
      </c>
      <c r="K60" s="5814" t="s">
        <v>3799</v>
      </c>
    </row>
    <row r="61" spans="1:11">
      <c r="A61" s="21" t="s">
        <v>3427</v>
      </c>
      <c r="B61" s="21" t="s">
        <v>3800</v>
      </c>
      <c r="C61" s="21" t="s">
        <v>8</v>
      </c>
      <c r="D61" s="21" t="s">
        <v>237</v>
      </c>
      <c r="E61" s="21" t="s">
        <v>193</v>
      </c>
      <c r="F61" s="5812">
        <v>3</v>
      </c>
      <c r="G61" s="5813">
        <v>0.20833333333333334</v>
      </c>
      <c r="H61" s="21" t="s">
        <v>10</v>
      </c>
      <c r="I61" s="21" t="s">
        <v>39</v>
      </c>
      <c r="J61" s="21" t="s">
        <v>3801</v>
      </c>
      <c r="K61" s="5814" t="s">
        <v>3802</v>
      </c>
    </row>
    <row r="62" spans="1:11">
      <c r="A62" s="21" t="s">
        <v>2267</v>
      </c>
      <c r="B62" s="21" t="s">
        <v>3803</v>
      </c>
      <c r="C62" s="21" t="s">
        <v>22</v>
      </c>
      <c r="D62" s="21" t="s">
        <v>237</v>
      </c>
      <c r="E62" s="21" t="s">
        <v>193</v>
      </c>
      <c r="F62" s="5812">
        <v>3</v>
      </c>
      <c r="G62" s="5813">
        <v>0.20833333333333334</v>
      </c>
      <c r="H62" s="21" t="s">
        <v>10</v>
      </c>
      <c r="I62" s="21" t="s">
        <v>2713</v>
      </c>
      <c r="J62" s="21" t="s">
        <v>3804</v>
      </c>
      <c r="K62" s="5814" t="s">
        <v>3805</v>
      </c>
    </row>
    <row r="63" spans="1:11">
      <c r="A63" s="21" t="s">
        <v>2858</v>
      </c>
      <c r="B63" s="21" t="s">
        <v>3806</v>
      </c>
      <c r="C63" s="21" t="s">
        <v>709</v>
      </c>
      <c r="D63" s="21" t="s">
        <v>237</v>
      </c>
      <c r="E63" s="21" t="s">
        <v>193</v>
      </c>
      <c r="F63" s="5812">
        <v>3</v>
      </c>
      <c r="G63" s="5813">
        <v>0.20833333333333334</v>
      </c>
      <c r="H63" s="21" t="s">
        <v>10</v>
      </c>
      <c r="I63" s="21" t="s">
        <v>2660</v>
      </c>
      <c r="J63" s="21" t="s">
        <v>3807</v>
      </c>
      <c r="K63" s="5814" t="s">
        <v>3808</v>
      </c>
    </row>
    <row r="64" spans="1:11">
      <c r="A64" s="21" t="s">
        <v>3293</v>
      </c>
      <c r="B64" s="21" t="s">
        <v>3809</v>
      </c>
      <c r="C64" s="21" t="s">
        <v>22</v>
      </c>
      <c r="D64" s="21" t="s">
        <v>237</v>
      </c>
      <c r="E64" s="21" t="s">
        <v>193</v>
      </c>
      <c r="F64" s="5812">
        <v>3</v>
      </c>
      <c r="G64" s="5813">
        <v>0.20833333333333334</v>
      </c>
      <c r="H64" s="21" t="s">
        <v>10</v>
      </c>
      <c r="I64" s="21" t="s">
        <v>2297</v>
      </c>
      <c r="J64" s="21" t="s">
        <v>3810</v>
      </c>
      <c r="K64" s="5814" t="s">
        <v>3811</v>
      </c>
    </row>
    <row r="65" spans="1:11">
      <c r="A65" s="21" t="s">
        <v>2886</v>
      </c>
      <c r="B65" s="21" t="s">
        <v>3812</v>
      </c>
      <c r="C65" s="21" t="s">
        <v>8</v>
      </c>
      <c r="D65" s="21" t="s">
        <v>237</v>
      </c>
      <c r="E65" s="21" t="s">
        <v>193</v>
      </c>
      <c r="F65" s="5812">
        <v>3</v>
      </c>
      <c r="G65" s="5813">
        <v>0.20833333333333334</v>
      </c>
      <c r="H65" s="21" t="s">
        <v>10</v>
      </c>
      <c r="I65" s="21" t="s">
        <v>2297</v>
      </c>
      <c r="J65" s="21" t="s">
        <v>3813</v>
      </c>
      <c r="K65" s="5814" t="s">
        <v>3814</v>
      </c>
    </row>
    <row r="66" spans="1:11">
      <c r="A66" s="21" t="s">
        <v>3260</v>
      </c>
      <c r="B66" s="21" t="s">
        <v>3815</v>
      </c>
      <c r="C66" s="21" t="s">
        <v>8</v>
      </c>
      <c r="D66" s="21" t="s">
        <v>237</v>
      </c>
      <c r="E66" s="21" t="s">
        <v>193</v>
      </c>
      <c r="F66" s="5812">
        <v>3</v>
      </c>
      <c r="G66" s="5813">
        <v>0.20833333333333334</v>
      </c>
      <c r="H66" s="21" t="s">
        <v>10</v>
      </c>
      <c r="I66" s="21" t="s">
        <v>2247</v>
      </c>
      <c r="J66" s="21" t="s">
        <v>3816</v>
      </c>
      <c r="K66" s="5814" t="s">
        <v>3817</v>
      </c>
    </row>
    <row r="67" spans="1:11">
      <c r="A67" s="21" t="s">
        <v>3170</v>
      </c>
      <c r="B67" s="21" t="s">
        <v>3818</v>
      </c>
      <c r="C67" s="21" t="s">
        <v>8</v>
      </c>
      <c r="D67" s="21" t="s">
        <v>237</v>
      </c>
      <c r="E67" s="21" t="s">
        <v>193</v>
      </c>
      <c r="F67" s="5812">
        <v>3</v>
      </c>
      <c r="G67" s="5813">
        <v>0.20833333333333334</v>
      </c>
      <c r="H67" s="21" t="s">
        <v>10</v>
      </c>
      <c r="I67" s="21" t="s">
        <v>2660</v>
      </c>
      <c r="J67" s="21" t="s">
        <v>3819</v>
      </c>
      <c r="K67" s="5814" t="s">
        <v>3820</v>
      </c>
    </row>
    <row r="68" spans="1:11">
      <c r="A68" s="21" t="s">
        <v>3170</v>
      </c>
      <c r="B68" s="21" t="s">
        <v>3821</v>
      </c>
      <c r="C68" s="21" t="s">
        <v>22</v>
      </c>
      <c r="D68" s="21" t="s">
        <v>237</v>
      </c>
      <c r="E68" s="21" t="s">
        <v>193</v>
      </c>
      <c r="F68" s="5812">
        <v>3</v>
      </c>
      <c r="G68" s="5813">
        <v>0.20833333333333334</v>
      </c>
      <c r="H68" s="21" t="s">
        <v>10</v>
      </c>
      <c r="I68" s="21" t="s">
        <v>3822</v>
      </c>
      <c r="J68" s="21" t="s">
        <v>3823</v>
      </c>
      <c r="K68" s="5814" t="s">
        <v>3824</v>
      </c>
    </row>
    <row r="69" spans="1:11">
      <c r="A69" s="21" t="s">
        <v>2944</v>
      </c>
      <c r="B69" s="21" t="s">
        <v>3825</v>
      </c>
      <c r="C69" s="21" t="s">
        <v>22</v>
      </c>
      <c r="D69" s="21" t="s">
        <v>237</v>
      </c>
      <c r="E69" s="21" t="s">
        <v>193</v>
      </c>
      <c r="F69" s="5812">
        <v>5</v>
      </c>
      <c r="G69" s="5813">
        <v>0.20833333333333334</v>
      </c>
      <c r="H69" s="21" t="s">
        <v>54</v>
      </c>
      <c r="I69" s="21" t="s">
        <v>55</v>
      </c>
      <c r="J69" s="21" t="s">
        <v>3826</v>
      </c>
      <c r="K69" s="5814" t="s">
        <v>3827</v>
      </c>
    </row>
    <row r="70" spans="1:11">
      <c r="A70" s="21" t="s">
        <v>3828</v>
      </c>
      <c r="B70" s="21" t="s">
        <v>3829</v>
      </c>
      <c r="C70" s="21" t="s">
        <v>8</v>
      </c>
      <c r="D70" s="21" t="s">
        <v>237</v>
      </c>
      <c r="E70" s="21" t="s">
        <v>193</v>
      </c>
      <c r="F70" s="5812">
        <v>5</v>
      </c>
      <c r="G70" s="5813">
        <v>0.20833333333333334</v>
      </c>
      <c r="H70" s="21" t="s">
        <v>54</v>
      </c>
      <c r="I70" s="21" t="s">
        <v>55</v>
      </c>
      <c r="J70" s="21" t="s">
        <v>3830</v>
      </c>
      <c r="K70" s="5814" t="s">
        <v>3831</v>
      </c>
    </row>
    <row r="71" spans="1:11">
      <c r="A71" s="21" t="s">
        <v>339</v>
      </c>
      <c r="B71" s="21" t="s">
        <v>340</v>
      </c>
      <c r="C71" s="21" t="s">
        <v>22</v>
      </c>
      <c r="D71" s="21" t="s">
        <v>237</v>
      </c>
      <c r="E71" s="21" t="s">
        <v>9</v>
      </c>
      <c r="F71" s="5812">
        <v>3</v>
      </c>
      <c r="G71" s="5813">
        <v>0.20833333333333334</v>
      </c>
      <c r="H71" s="21" t="s">
        <v>10</v>
      </c>
      <c r="I71" s="21" t="s">
        <v>96</v>
      </c>
      <c r="J71" s="21" t="s">
        <v>341</v>
      </c>
      <c r="K71" s="5814" t="s">
        <v>342</v>
      </c>
    </row>
    <row r="72" spans="1:11">
      <c r="A72" s="21" t="s">
        <v>94</v>
      </c>
      <c r="B72" s="21" t="s">
        <v>250</v>
      </c>
      <c r="C72" s="21" t="s">
        <v>22</v>
      </c>
      <c r="D72" s="21" t="s">
        <v>237</v>
      </c>
      <c r="E72" s="21" t="s">
        <v>9</v>
      </c>
      <c r="F72" s="5812">
        <v>3</v>
      </c>
      <c r="G72" s="5813">
        <v>0.20833333333333334</v>
      </c>
      <c r="H72" s="21" t="s">
        <v>10</v>
      </c>
      <c r="I72" s="21" t="s">
        <v>23</v>
      </c>
      <c r="J72" s="21" t="s">
        <v>251</v>
      </c>
      <c r="K72" s="5814" t="s">
        <v>252</v>
      </c>
    </row>
    <row r="73" spans="1:11">
      <c r="A73" s="21" t="s">
        <v>103</v>
      </c>
      <c r="B73" s="21" t="s">
        <v>347</v>
      </c>
      <c r="C73" s="21" t="s">
        <v>22</v>
      </c>
      <c r="D73" s="21" t="s">
        <v>237</v>
      </c>
      <c r="E73" s="21" t="s">
        <v>9</v>
      </c>
      <c r="F73" s="5812">
        <v>3</v>
      </c>
      <c r="G73" s="5813">
        <v>0.20833333333333334</v>
      </c>
      <c r="H73" s="21" t="s">
        <v>10</v>
      </c>
      <c r="I73" s="21" t="s">
        <v>96</v>
      </c>
      <c r="J73" s="21" t="s">
        <v>348</v>
      </c>
      <c r="K73" s="5814" t="s">
        <v>349</v>
      </c>
    </row>
    <row r="74" spans="1:11">
      <c r="A74" s="21" t="s">
        <v>125</v>
      </c>
      <c r="B74" s="21" t="s">
        <v>286</v>
      </c>
      <c r="C74" s="21" t="s">
        <v>8</v>
      </c>
      <c r="D74" s="21" t="s">
        <v>237</v>
      </c>
      <c r="E74" s="21" t="s">
        <v>9</v>
      </c>
      <c r="F74" s="5812">
        <v>3</v>
      </c>
      <c r="G74" s="5813">
        <v>0.20833333333333334</v>
      </c>
      <c r="H74" s="21" t="s">
        <v>10</v>
      </c>
      <c r="I74" s="21" t="s">
        <v>39</v>
      </c>
      <c r="J74" s="21" t="s">
        <v>287</v>
      </c>
      <c r="K74" s="5814" t="s">
        <v>288</v>
      </c>
    </row>
    <row r="75" spans="1:11">
      <c r="A75" s="21" t="s">
        <v>311</v>
      </c>
      <c r="B75" s="21" t="s">
        <v>312</v>
      </c>
      <c r="C75" s="21" t="s">
        <v>8</v>
      </c>
      <c r="D75" s="21" t="s">
        <v>237</v>
      </c>
      <c r="E75" s="21" t="s">
        <v>9</v>
      </c>
      <c r="F75" s="5812">
        <v>3</v>
      </c>
      <c r="G75" s="5813">
        <v>0.20833333333333334</v>
      </c>
      <c r="H75" s="21" t="s">
        <v>10</v>
      </c>
      <c r="I75" s="21" t="s">
        <v>39</v>
      </c>
      <c r="J75" s="21" t="s">
        <v>313</v>
      </c>
      <c r="K75" s="5814" t="s">
        <v>314</v>
      </c>
    </row>
    <row r="76" spans="1:11">
      <c r="A76" s="21" t="s">
        <v>185</v>
      </c>
      <c r="B76" s="21" t="s">
        <v>395</v>
      </c>
      <c r="C76" s="21" t="s">
        <v>22</v>
      </c>
      <c r="D76" s="21" t="s">
        <v>237</v>
      </c>
      <c r="E76" s="21" t="s">
        <v>9</v>
      </c>
      <c r="F76" s="5812">
        <v>3</v>
      </c>
      <c r="G76" s="5813">
        <v>0.20833333333333334</v>
      </c>
      <c r="H76" s="21" t="s">
        <v>10</v>
      </c>
      <c r="I76" s="21" t="s">
        <v>47</v>
      </c>
      <c r="J76" s="21" t="s">
        <v>396</v>
      </c>
      <c r="K76" s="5814" t="s">
        <v>397</v>
      </c>
    </row>
    <row r="77" spans="1:11">
      <c r="A77" s="21" t="s">
        <v>6</v>
      </c>
      <c r="B77" s="21" t="s">
        <v>236</v>
      </c>
      <c r="C77" s="21" t="s">
        <v>22</v>
      </c>
      <c r="D77" s="21" t="s">
        <v>237</v>
      </c>
      <c r="E77" s="21" t="s">
        <v>9</v>
      </c>
      <c r="F77" s="5812">
        <v>3</v>
      </c>
      <c r="G77" s="5813">
        <v>0.20833333333333334</v>
      </c>
      <c r="H77" s="21" t="s">
        <v>10</v>
      </c>
      <c r="I77" s="21" t="s">
        <v>11</v>
      </c>
      <c r="J77" s="21" t="s">
        <v>238</v>
      </c>
      <c r="K77" s="5814" t="s">
        <v>3832</v>
      </c>
    </row>
    <row r="78" spans="1:11">
      <c r="A78" s="21" t="s">
        <v>2307</v>
      </c>
      <c r="B78" s="21" t="s">
        <v>3833</v>
      </c>
      <c r="C78" s="21" t="s">
        <v>8</v>
      </c>
      <c r="D78" s="21" t="s">
        <v>237</v>
      </c>
      <c r="E78" s="21" t="s">
        <v>9</v>
      </c>
      <c r="F78" s="5812">
        <v>3</v>
      </c>
      <c r="G78" s="5813">
        <v>0.20833333333333334</v>
      </c>
      <c r="H78" s="21" t="s">
        <v>10</v>
      </c>
      <c r="I78" s="21" t="s">
        <v>39</v>
      </c>
      <c r="J78" s="21" t="s">
        <v>3834</v>
      </c>
      <c r="K78" s="5814" t="s">
        <v>3835</v>
      </c>
    </row>
    <row r="79" spans="1:11">
      <c r="A79" s="21" t="s">
        <v>2941</v>
      </c>
      <c r="B79" s="21" t="s">
        <v>3836</v>
      </c>
      <c r="C79" s="21" t="s">
        <v>22</v>
      </c>
      <c r="D79" s="21" t="s">
        <v>237</v>
      </c>
      <c r="E79" s="21" t="s">
        <v>9</v>
      </c>
      <c r="F79" s="5812">
        <v>3</v>
      </c>
      <c r="G79" s="5813">
        <v>0.20833333333333334</v>
      </c>
      <c r="H79" s="21" t="s">
        <v>10</v>
      </c>
      <c r="I79" s="21" t="s">
        <v>23</v>
      </c>
      <c r="J79" s="21" t="s">
        <v>3837</v>
      </c>
      <c r="K79" s="5814" t="s">
        <v>3838</v>
      </c>
    </row>
    <row r="80" spans="1:11">
      <c r="A80" s="21" t="s">
        <v>2995</v>
      </c>
      <c r="B80" s="21" t="s">
        <v>3839</v>
      </c>
      <c r="C80" s="21" t="s">
        <v>8</v>
      </c>
      <c r="D80" s="21" t="s">
        <v>237</v>
      </c>
      <c r="E80" s="21" t="s">
        <v>9</v>
      </c>
      <c r="F80" s="5812">
        <v>3</v>
      </c>
      <c r="G80" s="5813">
        <v>0.20833333333333334</v>
      </c>
      <c r="H80" s="21" t="s">
        <v>10</v>
      </c>
      <c r="I80" s="21" t="s">
        <v>96</v>
      </c>
      <c r="J80" s="21" t="s">
        <v>3840</v>
      </c>
      <c r="K80" s="5814" t="s">
        <v>3841</v>
      </c>
    </row>
    <row r="81" spans="1:11">
      <c r="A81" s="21" t="s">
        <v>2323</v>
      </c>
      <c r="B81" s="21" t="s">
        <v>3842</v>
      </c>
      <c r="C81" s="21" t="s">
        <v>8</v>
      </c>
      <c r="D81" s="21" t="s">
        <v>237</v>
      </c>
      <c r="E81" s="21" t="s">
        <v>9</v>
      </c>
      <c r="F81" s="5812">
        <v>3</v>
      </c>
      <c r="G81" s="5813">
        <v>0.20833333333333334</v>
      </c>
      <c r="H81" s="21" t="s">
        <v>10</v>
      </c>
      <c r="I81" s="21" t="s">
        <v>187</v>
      </c>
      <c r="J81" s="21" t="s">
        <v>3843</v>
      </c>
      <c r="K81" s="5814" t="s">
        <v>3844</v>
      </c>
    </row>
    <row r="82" spans="1:11">
      <c r="A82" s="21" t="s">
        <v>2323</v>
      </c>
      <c r="B82" s="21" t="s">
        <v>3845</v>
      </c>
      <c r="C82" s="21" t="s">
        <v>8</v>
      </c>
      <c r="D82" s="21" t="s">
        <v>237</v>
      </c>
      <c r="E82" s="21" t="s">
        <v>9</v>
      </c>
      <c r="F82" s="5812">
        <v>3</v>
      </c>
      <c r="G82" s="5813">
        <v>0.20833333333333334</v>
      </c>
      <c r="H82" s="21" t="s">
        <v>10</v>
      </c>
      <c r="I82" s="21" t="s">
        <v>3846</v>
      </c>
      <c r="J82" s="21" t="s">
        <v>3847</v>
      </c>
      <c r="K82" s="5814" t="s">
        <v>3848</v>
      </c>
    </row>
    <row r="83" spans="1:11">
      <c r="A83" s="21" t="s">
        <v>2084</v>
      </c>
      <c r="B83" s="21" t="s">
        <v>3849</v>
      </c>
      <c r="C83" s="21" t="s">
        <v>8</v>
      </c>
      <c r="D83" s="21" t="s">
        <v>237</v>
      </c>
      <c r="E83" s="21" t="s">
        <v>9</v>
      </c>
      <c r="F83" s="5812">
        <v>3</v>
      </c>
      <c r="G83" s="5813">
        <v>0.20833333333333334</v>
      </c>
      <c r="H83" s="21" t="s">
        <v>10</v>
      </c>
      <c r="I83" s="21" t="s">
        <v>47</v>
      </c>
      <c r="J83" s="21" t="s">
        <v>3850</v>
      </c>
      <c r="K83" s="5814" t="s">
        <v>3851</v>
      </c>
    </row>
    <row r="84" spans="1:11">
      <c r="A84" s="21" t="s">
        <v>2084</v>
      </c>
      <c r="B84" s="21" t="s">
        <v>3852</v>
      </c>
      <c r="C84" s="21" t="s">
        <v>8</v>
      </c>
      <c r="D84" s="21" t="s">
        <v>237</v>
      </c>
      <c r="E84" s="21" t="s">
        <v>9</v>
      </c>
      <c r="F84" s="5812">
        <v>3</v>
      </c>
      <c r="G84" s="5813">
        <v>0.20833333333333334</v>
      </c>
      <c r="H84" s="21" t="s">
        <v>10</v>
      </c>
      <c r="I84" s="21" t="s">
        <v>3343</v>
      </c>
      <c r="J84" s="21" t="s">
        <v>3853</v>
      </c>
      <c r="K84" s="5814" t="s">
        <v>3854</v>
      </c>
    </row>
    <row r="85" spans="1:11">
      <c r="A85" s="21" t="s">
        <v>3855</v>
      </c>
      <c r="B85" s="21" t="s">
        <v>3856</v>
      </c>
      <c r="C85" s="21" t="s">
        <v>22</v>
      </c>
      <c r="D85" s="21" t="s">
        <v>237</v>
      </c>
      <c r="E85" s="21" t="s">
        <v>9</v>
      </c>
      <c r="F85" s="5812">
        <v>3</v>
      </c>
      <c r="G85" s="5813">
        <v>0.20833333333333334</v>
      </c>
      <c r="H85" s="21" t="s">
        <v>10</v>
      </c>
      <c r="I85" s="21" t="s">
        <v>654</v>
      </c>
      <c r="J85" s="21" t="s">
        <v>3857</v>
      </c>
      <c r="K85" s="5814" t="s">
        <v>3858</v>
      </c>
    </row>
    <row r="86" spans="1:11">
      <c r="A86" s="21" t="s">
        <v>3855</v>
      </c>
      <c r="B86" s="21" t="s">
        <v>3859</v>
      </c>
      <c r="C86" s="21" t="s">
        <v>22</v>
      </c>
      <c r="D86" s="21" t="s">
        <v>237</v>
      </c>
      <c r="E86" s="21" t="s">
        <v>9</v>
      </c>
      <c r="F86" s="5812">
        <v>3</v>
      </c>
      <c r="G86" s="5813">
        <v>0.20833333333333334</v>
      </c>
      <c r="H86" s="21" t="s">
        <v>10</v>
      </c>
      <c r="I86" s="21" t="s">
        <v>11</v>
      </c>
      <c r="J86" s="21" t="s">
        <v>3860</v>
      </c>
      <c r="K86" s="5814" t="s">
        <v>3861</v>
      </c>
    </row>
    <row r="87" spans="1:11">
      <c r="A87" s="21" t="s">
        <v>2947</v>
      </c>
      <c r="B87" s="21" t="s">
        <v>3862</v>
      </c>
      <c r="C87" s="21" t="s">
        <v>8</v>
      </c>
      <c r="D87" s="21" t="s">
        <v>237</v>
      </c>
      <c r="E87" s="21" t="s">
        <v>9</v>
      </c>
      <c r="F87" s="5812">
        <v>3</v>
      </c>
      <c r="G87" s="5813">
        <v>0.20833333333333334</v>
      </c>
      <c r="H87" s="21" t="s">
        <v>10</v>
      </c>
      <c r="I87" s="21" t="s">
        <v>96</v>
      </c>
      <c r="J87" s="21" t="s">
        <v>3863</v>
      </c>
      <c r="K87" s="5814" t="s">
        <v>3864</v>
      </c>
    </row>
    <row r="88" spans="1:11">
      <c r="A88" s="21" t="s">
        <v>2947</v>
      </c>
      <c r="B88" s="21" t="s">
        <v>3865</v>
      </c>
      <c r="C88" s="21" t="s">
        <v>8</v>
      </c>
      <c r="D88" s="21" t="s">
        <v>237</v>
      </c>
      <c r="E88" s="21" t="s">
        <v>9</v>
      </c>
      <c r="F88" s="5812">
        <v>3</v>
      </c>
      <c r="G88" s="5813">
        <v>0.20833333333333334</v>
      </c>
      <c r="H88" s="21" t="s">
        <v>10</v>
      </c>
      <c r="I88" s="21" t="s">
        <v>3866</v>
      </c>
      <c r="J88" s="21" t="s">
        <v>3867</v>
      </c>
      <c r="K88" s="5814" t="s">
        <v>3868</v>
      </c>
    </row>
    <row r="89" spans="1:11">
      <c r="A89" s="21" t="s">
        <v>2327</v>
      </c>
      <c r="B89" s="21" t="s">
        <v>3869</v>
      </c>
      <c r="C89" s="21" t="s">
        <v>8</v>
      </c>
      <c r="D89" s="21" t="s">
        <v>237</v>
      </c>
      <c r="E89" s="21" t="s">
        <v>9</v>
      </c>
      <c r="F89" s="5812">
        <v>3</v>
      </c>
      <c r="G89" s="5813">
        <v>0.20833333333333334</v>
      </c>
      <c r="H89" s="21" t="s">
        <v>10</v>
      </c>
      <c r="I89" s="21" t="s">
        <v>39</v>
      </c>
      <c r="J89" s="21" t="s">
        <v>3870</v>
      </c>
      <c r="K89" s="5814" t="s">
        <v>3871</v>
      </c>
    </row>
    <row r="90" spans="1:11">
      <c r="A90" s="21" t="s">
        <v>3872</v>
      </c>
      <c r="B90" s="21" t="s">
        <v>3873</v>
      </c>
      <c r="C90" s="21" t="s">
        <v>8</v>
      </c>
      <c r="D90" s="21" t="s">
        <v>237</v>
      </c>
      <c r="E90" s="21" t="s">
        <v>9</v>
      </c>
      <c r="F90" s="5812">
        <v>3</v>
      </c>
      <c r="G90" s="5813">
        <v>0.20833333333333334</v>
      </c>
      <c r="H90" s="21" t="s">
        <v>10</v>
      </c>
      <c r="I90" s="21" t="s">
        <v>11</v>
      </c>
      <c r="J90" s="21" t="s">
        <v>3874</v>
      </c>
      <c r="K90" s="5814" t="s">
        <v>3875</v>
      </c>
    </row>
    <row r="91" spans="1:11">
      <c r="A91" s="21" t="s">
        <v>3872</v>
      </c>
      <c r="B91" s="21" t="s">
        <v>3876</v>
      </c>
      <c r="C91" s="21" t="s">
        <v>22</v>
      </c>
      <c r="D91" s="21" t="s">
        <v>237</v>
      </c>
      <c r="E91" s="21" t="s">
        <v>9</v>
      </c>
      <c r="F91" s="5812">
        <v>3</v>
      </c>
      <c r="G91" s="5813">
        <v>0.20833333333333334</v>
      </c>
      <c r="H91" s="21" t="s">
        <v>10</v>
      </c>
      <c r="I91" s="21" t="s">
        <v>263</v>
      </c>
      <c r="J91" s="21" t="s">
        <v>3877</v>
      </c>
      <c r="K91" s="5814" t="s">
        <v>3878</v>
      </c>
    </row>
    <row r="92" spans="1:11">
      <c r="A92" s="21" t="s">
        <v>2284</v>
      </c>
      <c r="B92" s="21" t="s">
        <v>3879</v>
      </c>
      <c r="C92" s="21" t="s">
        <v>22</v>
      </c>
      <c r="D92" s="21" t="s">
        <v>237</v>
      </c>
      <c r="E92" s="21" t="s">
        <v>9</v>
      </c>
      <c r="F92" s="5812">
        <v>3</v>
      </c>
      <c r="G92" s="5813">
        <v>0.20833333333333334</v>
      </c>
      <c r="H92" s="21" t="s">
        <v>10</v>
      </c>
      <c r="I92" s="21" t="s">
        <v>654</v>
      </c>
      <c r="J92" s="21" t="s">
        <v>3880</v>
      </c>
      <c r="K92" s="5814" t="s">
        <v>3881</v>
      </c>
    </row>
    <row r="93" spans="1:11">
      <c r="A93" s="21" t="s">
        <v>3882</v>
      </c>
      <c r="B93" s="21" t="s">
        <v>3883</v>
      </c>
      <c r="C93" s="21" t="s">
        <v>8</v>
      </c>
      <c r="D93" s="21" t="s">
        <v>237</v>
      </c>
      <c r="E93" s="21" t="s">
        <v>9</v>
      </c>
      <c r="F93" s="5812">
        <v>3</v>
      </c>
      <c r="G93" s="5813">
        <v>0.20833333333333334</v>
      </c>
      <c r="H93" s="21" t="s">
        <v>10</v>
      </c>
      <c r="I93" s="21" t="s">
        <v>23</v>
      </c>
      <c r="J93" s="21" t="s">
        <v>3884</v>
      </c>
      <c r="K93" s="5814" t="s">
        <v>3885</v>
      </c>
    </row>
    <row r="94" spans="1:11">
      <c r="A94" s="21" t="s">
        <v>3886</v>
      </c>
      <c r="B94" s="21" t="s">
        <v>3887</v>
      </c>
      <c r="C94" s="21" t="s">
        <v>8</v>
      </c>
      <c r="D94" s="21" t="s">
        <v>237</v>
      </c>
      <c r="E94" s="21" t="s">
        <v>9</v>
      </c>
      <c r="F94" s="5812">
        <v>3</v>
      </c>
      <c r="G94" s="5813">
        <v>0.20833333333333334</v>
      </c>
      <c r="H94" s="21" t="s">
        <v>10</v>
      </c>
      <c r="I94" s="21" t="s">
        <v>96</v>
      </c>
      <c r="J94" s="21" t="s">
        <v>3888</v>
      </c>
      <c r="K94" s="5814" t="s">
        <v>3889</v>
      </c>
    </row>
    <row r="95" spans="1:11">
      <c r="A95" s="21" t="s">
        <v>3886</v>
      </c>
      <c r="B95" s="21" t="s">
        <v>3890</v>
      </c>
      <c r="C95" s="21" t="s">
        <v>22</v>
      </c>
      <c r="D95" s="21" t="s">
        <v>237</v>
      </c>
      <c r="E95" s="21" t="s">
        <v>9</v>
      </c>
      <c r="F95" s="5812">
        <v>3</v>
      </c>
      <c r="G95" s="5813">
        <v>0.20833333333333334</v>
      </c>
      <c r="H95" s="21" t="s">
        <v>10</v>
      </c>
      <c r="I95" s="21" t="s">
        <v>2149</v>
      </c>
      <c r="J95" s="21" t="s">
        <v>3891</v>
      </c>
      <c r="K95" s="5814" t="s">
        <v>3892</v>
      </c>
    </row>
    <row r="96" spans="1:11">
      <c r="A96" s="21" t="s">
        <v>2358</v>
      </c>
      <c r="B96" s="21" t="s">
        <v>3893</v>
      </c>
      <c r="C96" s="21" t="s">
        <v>8</v>
      </c>
      <c r="D96" s="21" t="s">
        <v>237</v>
      </c>
      <c r="E96" s="21" t="s">
        <v>9</v>
      </c>
      <c r="F96" s="5812">
        <v>3</v>
      </c>
      <c r="G96" s="5813">
        <v>0.20833333333333334</v>
      </c>
      <c r="H96" s="21" t="s">
        <v>10</v>
      </c>
      <c r="I96" s="21" t="s">
        <v>39</v>
      </c>
      <c r="J96" s="21" t="s">
        <v>3894</v>
      </c>
      <c r="K96" s="5814" t="s">
        <v>3895</v>
      </c>
    </row>
    <row r="97" spans="1:11">
      <c r="A97" s="21" t="s">
        <v>3896</v>
      </c>
      <c r="B97" s="21" t="s">
        <v>3897</v>
      </c>
      <c r="C97" s="21" t="s">
        <v>22</v>
      </c>
      <c r="D97" s="21" t="s">
        <v>237</v>
      </c>
      <c r="E97" s="21" t="s">
        <v>9</v>
      </c>
      <c r="F97" s="5812">
        <v>3</v>
      </c>
      <c r="G97" s="5813">
        <v>0.20833333333333334</v>
      </c>
      <c r="H97" s="21" t="s">
        <v>10</v>
      </c>
      <c r="I97" s="21" t="s">
        <v>226</v>
      </c>
      <c r="J97" s="21" t="s">
        <v>3898</v>
      </c>
      <c r="K97" s="5814" t="s">
        <v>3899</v>
      </c>
    </row>
    <row r="98" spans="1:11">
      <c r="A98" s="21" t="s">
        <v>2391</v>
      </c>
      <c r="B98" s="21" t="s">
        <v>3900</v>
      </c>
      <c r="C98" s="21" t="s">
        <v>22</v>
      </c>
      <c r="D98" s="21" t="s">
        <v>237</v>
      </c>
      <c r="E98" s="21" t="s">
        <v>9</v>
      </c>
      <c r="F98" s="5812">
        <v>3</v>
      </c>
      <c r="G98" s="5813">
        <v>0.20833333333333334</v>
      </c>
      <c r="H98" s="21" t="s">
        <v>10</v>
      </c>
      <c r="I98" s="21" t="s">
        <v>55</v>
      </c>
      <c r="J98" s="21" t="s">
        <v>3901</v>
      </c>
      <c r="K98" s="5814" t="s">
        <v>3902</v>
      </c>
    </row>
    <row r="99" spans="1:11">
      <c r="A99" s="21" t="s">
        <v>3033</v>
      </c>
      <c r="B99" s="21" t="s">
        <v>3903</v>
      </c>
      <c r="C99" s="21" t="s">
        <v>8</v>
      </c>
      <c r="D99" s="21" t="s">
        <v>237</v>
      </c>
      <c r="E99" s="21" t="s">
        <v>9</v>
      </c>
      <c r="F99" s="5812">
        <v>3</v>
      </c>
      <c r="G99" s="5813">
        <v>0.20833333333333334</v>
      </c>
      <c r="H99" s="21" t="s">
        <v>10</v>
      </c>
      <c r="I99" s="21" t="s">
        <v>96</v>
      </c>
      <c r="J99" s="21" t="s">
        <v>3904</v>
      </c>
      <c r="K99" s="5814" t="s">
        <v>3905</v>
      </c>
    </row>
    <row r="100" spans="1:11">
      <c r="A100" s="21" t="s">
        <v>3033</v>
      </c>
      <c r="B100" s="21" t="s">
        <v>3906</v>
      </c>
      <c r="C100" s="21" t="s">
        <v>22</v>
      </c>
      <c r="D100" s="21" t="s">
        <v>237</v>
      </c>
      <c r="E100" s="21" t="s">
        <v>9</v>
      </c>
      <c r="F100" s="5812">
        <v>3</v>
      </c>
      <c r="G100" s="5813">
        <v>0.20833333333333334</v>
      </c>
      <c r="H100" s="21" t="s">
        <v>10</v>
      </c>
      <c r="I100" s="21" t="s">
        <v>2814</v>
      </c>
      <c r="J100" s="21" t="s">
        <v>3907</v>
      </c>
      <c r="K100" s="5814" t="s">
        <v>3908</v>
      </c>
    </row>
    <row r="101" spans="1:11">
      <c r="A101" s="21" t="s">
        <v>3909</v>
      </c>
      <c r="B101" s="21" t="s">
        <v>3910</v>
      </c>
      <c r="C101" s="21" t="s">
        <v>8</v>
      </c>
      <c r="D101" s="21" t="s">
        <v>237</v>
      </c>
      <c r="E101" s="21" t="s">
        <v>9</v>
      </c>
      <c r="F101" s="5812">
        <v>3</v>
      </c>
      <c r="G101" s="5813">
        <v>0.20833333333333334</v>
      </c>
      <c r="H101" s="21" t="s">
        <v>10</v>
      </c>
      <c r="I101" s="21" t="s">
        <v>2313</v>
      </c>
      <c r="J101" s="21" t="s">
        <v>3911</v>
      </c>
      <c r="K101" s="5814" t="s">
        <v>3912</v>
      </c>
    </row>
    <row r="102" spans="1:11">
      <c r="A102" s="21" t="s">
        <v>2413</v>
      </c>
      <c r="B102" s="21" t="s">
        <v>3913</v>
      </c>
      <c r="C102" s="21" t="s">
        <v>8</v>
      </c>
      <c r="D102" s="21" t="s">
        <v>237</v>
      </c>
      <c r="E102" s="21" t="s">
        <v>9</v>
      </c>
      <c r="F102" s="5812">
        <v>3</v>
      </c>
      <c r="G102" s="5813">
        <v>0.20833333333333334</v>
      </c>
      <c r="H102" s="21" t="s">
        <v>10</v>
      </c>
      <c r="I102" s="21" t="s">
        <v>23</v>
      </c>
      <c r="J102" s="21" t="s">
        <v>3914</v>
      </c>
      <c r="K102" s="5814" t="s">
        <v>3915</v>
      </c>
    </row>
    <row r="103" spans="1:11">
      <c r="A103" s="21" t="s">
        <v>2955</v>
      </c>
      <c r="B103" s="21" t="s">
        <v>3916</v>
      </c>
      <c r="C103" s="21" t="s">
        <v>22</v>
      </c>
      <c r="D103" s="21" t="s">
        <v>237</v>
      </c>
      <c r="E103" s="21" t="s">
        <v>9</v>
      </c>
      <c r="F103" s="5812">
        <v>3</v>
      </c>
      <c r="G103" s="5813">
        <v>0.20833333333333334</v>
      </c>
      <c r="H103" s="21" t="s">
        <v>10</v>
      </c>
      <c r="I103" s="21" t="s">
        <v>11</v>
      </c>
      <c r="J103" s="21" t="s">
        <v>3917</v>
      </c>
      <c r="K103" s="5814" t="s">
        <v>3918</v>
      </c>
    </row>
    <row r="104" spans="1:11">
      <c r="A104" s="21" t="s">
        <v>2955</v>
      </c>
      <c r="B104" s="21" t="s">
        <v>3919</v>
      </c>
      <c r="C104" s="21" t="s">
        <v>8</v>
      </c>
      <c r="D104" s="21" t="s">
        <v>237</v>
      </c>
      <c r="E104" s="21" t="s">
        <v>9</v>
      </c>
      <c r="F104" s="5812">
        <v>3</v>
      </c>
      <c r="G104" s="5813">
        <v>0.20833333333333334</v>
      </c>
      <c r="H104" s="21" t="s">
        <v>10</v>
      </c>
      <c r="I104" s="21" t="s">
        <v>11</v>
      </c>
      <c r="J104" s="21" t="s">
        <v>3920</v>
      </c>
      <c r="K104" s="5814" t="s">
        <v>3921</v>
      </c>
    </row>
    <row r="105" spans="1:11">
      <c r="A105" s="21" t="s">
        <v>2893</v>
      </c>
      <c r="B105" s="21" t="s">
        <v>3922</v>
      </c>
      <c r="C105" s="21" t="s">
        <v>8</v>
      </c>
      <c r="D105" s="21" t="s">
        <v>237</v>
      </c>
      <c r="E105" s="21" t="s">
        <v>9</v>
      </c>
      <c r="F105" s="5812">
        <v>3</v>
      </c>
      <c r="G105" s="5813">
        <v>0.20833333333333334</v>
      </c>
      <c r="H105" s="21" t="s">
        <v>10</v>
      </c>
      <c r="I105" s="21" t="s">
        <v>96</v>
      </c>
      <c r="J105" s="21" t="s">
        <v>3923</v>
      </c>
      <c r="K105" s="5814" t="s">
        <v>3924</v>
      </c>
    </row>
    <row r="106" spans="1:11">
      <c r="A106" s="21" t="s">
        <v>2929</v>
      </c>
      <c r="B106" s="21" t="s">
        <v>3925</v>
      </c>
      <c r="C106" s="21" t="s">
        <v>8</v>
      </c>
      <c r="D106" s="21" t="s">
        <v>237</v>
      </c>
      <c r="E106" s="21" t="s">
        <v>9</v>
      </c>
      <c r="F106" s="5812">
        <v>3</v>
      </c>
      <c r="G106" s="5813">
        <v>0.20833333333333334</v>
      </c>
      <c r="H106" s="21" t="s">
        <v>10</v>
      </c>
      <c r="I106" s="21" t="s">
        <v>55</v>
      </c>
      <c r="J106" s="21" t="s">
        <v>3926</v>
      </c>
      <c r="K106" s="5814" t="s">
        <v>3927</v>
      </c>
    </row>
    <row r="107" spans="1:11">
      <c r="A107" s="21" t="s">
        <v>3130</v>
      </c>
      <c r="B107" s="21" t="s">
        <v>3928</v>
      </c>
      <c r="C107" s="21" t="s">
        <v>8</v>
      </c>
      <c r="D107" s="21" t="s">
        <v>237</v>
      </c>
      <c r="E107" s="21" t="s">
        <v>9</v>
      </c>
      <c r="F107" s="5812">
        <v>3</v>
      </c>
      <c r="G107" s="5813">
        <v>0.20833333333333334</v>
      </c>
      <c r="H107" s="21" t="s">
        <v>10</v>
      </c>
      <c r="I107" s="21" t="s">
        <v>11</v>
      </c>
      <c r="J107" s="21" t="s">
        <v>3929</v>
      </c>
      <c r="K107" s="5814" t="s">
        <v>3930</v>
      </c>
    </row>
    <row r="108" spans="1:11">
      <c r="A108" s="21" t="s">
        <v>2442</v>
      </c>
      <c r="B108" s="21" t="s">
        <v>3931</v>
      </c>
      <c r="C108" s="21" t="s">
        <v>8</v>
      </c>
      <c r="D108" s="21" t="s">
        <v>237</v>
      </c>
      <c r="E108" s="21" t="s">
        <v>9</v>
      </c>
      <c r="F108" s="5812">
        <v>3</v>
      </c>
      <c r="G108" s="5813">
        <v>0.20833333333333334</v>
      </c>
      <c r="H108" s="21" t="s">
        <v>10</v>
      </c>
      <c r="I108" s="21" t="s">
        <v>23</v>
      </c>
      <c r="J108" s="21" t="s">
        <v>3932</v>
      </c>
      <c r="K108" s="5814" t="s">
        <v>3933</v>
      </c>
    </row>
    <row r="109" spans="1:11">
      <c r="A109" s="21" t="s">
        <v>3551</v>
      </c>
      <c r="B109" s="21" t="s">
        <v>3934</v>
      </c>
      <c r="C109" s="21" t="s">
        <v>22</v>
      </c>
      <c r="D109" s="21" t="s">
        <v>237</v>
      </c>
      <c r="E109" s="21" t="s">
        <v>9</v>
      </c>
      <c r="F109" s="5812">
        <v>3</v>
      </c>
      <c r="G109" s="5813">
        <v>0.20833333333333334</v>
      </c>
      <c r="H109" s="21" t="s">
        <v>10</v>
      </c>
      <c r="I109" s="21" t="s">
        <v>39</v>
      </c>
      <c r="J109" s="21" t="s">
        <v>3935</v>
      </c>
      <c r="K109" s="5814" t="s">
        <v>3936</v>
      </c>
    </row>
    <row r="110" spans="1:11">
      <c r="A110" s="21" t="s">
        <v>3559</v>
      </c>
      <c r="B110" s="21" t="s">
        <v>3937</v>
      </c>
      <c r="C110" s="21" t="s">
        <v>22</v>
      </c>
      <c r="D110" s="21" t="s">
        <v>237</v>
      </c>
      <c r="E110" s="21" t="s">
        <v>9</v>
      </c>
      <c r="F110" s="5812">
        <v>3</v>
      </c>
      <c r="G110" s="5813">
        <v>0.20833333333333334</v>
      </c>
      <c r="H110" s="21" t="s">
        <v>10</v>
      </c>
      <c r="I110" s="21" t="s">
        <v>96</v>
      </c>
      <c r="J110" s="21" t="s">
        <v>3938</v>
      </c>
      <c r="K110" s="5814" t="s">
        <v>3939</v>
      </c>
    </row>
    <row r="111" spans="1:11">
      <c r="A111" s="21" t="s">
        <v>2446</v>
      </c>
      <c r="B111" s="21" t="s">
        <v>3940</v>
      </c>
      <c r="C111" s="21" t="s">
        <v>8</v>
      </c>
      <c r="D111" s="21" t="s">
        <v>237</v>
      </c>
      <c r="E111" s="21" t="s">
        <v>9</v>
      </c>
      <c r="F111" s="5812">
        <v>3</v>
      </c>
      <c r="G111" s="5813">
        <v>0.20833333333333334</v>
      </c>
      <c r="H111" s="21" t="s">
        <v>10</v>
      </c>
      <c r="I111" s="21" t="s">
        <v>96</v>
      </c>
      <c r="J111" s="21" t="s">
        <v>3941</v>
      </c>
      <c r="K111" s="5814" t="s">
        <v>3942</v>
      </c>
    </row>
    <row r="112" spans="1:11">
      <c r="A112" s="21" t="s">
        <v>3434</v>
      </c>
      <c r="B112" s="21" t="s">
        <v>3943</v>
      </c>
      <c r="C112" s="21" t="s">
        <v>8</v>
      </c>
      <c r="D112" s="21" t="s">
        <v>237</v>
      </c>
      <c r="E112" s="21" t="s">
        <v>9</v>
      </c>
      <c r="F112" s="5812">
        <v>3</v>
      </c>
      <c r="G112" s="5813">
        <v>0.20833333333333334</v>
      </c>
      <c r="H112" s="21" t="s">
        <v>10</v>
      </c>
      <c r="I112" s="21" t="s">
        <v>23</v>
      </c>
      <c r="J112" s="21" t="s">
        <v>3944</v>
      </c>
      <c r="K112" s="5814" t="s">
        <v>3945</v>
      </c>
    </row>
    <row r="113" spans="1:11">
      <c r="A113" s="21" t="s">
        <v>3946</v>
      </c>
      <c r="B113" s="21" t="s">
        <v>3947</v>
      </c>
      <c r="C113" s="21" t="s">
        <v>8</v>
      </c>
      <c r="D113" s="21" t="s">
        <v>237</v>
      </c>
      <c r="E113" s="21" t="s">
        <v>9</v>
      </c>
      <c r="F113" s="5812">
        <v>3</v>
      </c>
      <c r="G113" s="5813">
        <v>0.20833333333333334</v>
      </c>
      <c r="H113" s="21" t="s">
        <v>10</v>
      </c>
      <c r="I113" s="21" t="s">
        <v>11</v>
      </c>
      <c r="J113" s="21" t="s">
        <v>3948</v>
      </c>
      <c r="K113" s="5814" t="s">
        <v>3949</v>
      </c>
    </row>
    <row r="114" spans="1:11">
      <c r="A114" s="21" t="s">
        <v>3946</v>
      </c>
      <c r="B114" s="21" t="s">
        <v>3950</v>
      </c>
      <c r="C114" s="21" t="s">
        <v>8</v>
      </c>
      <c r="D114" s="21" t="s">
        <v>237</v>
      </c>
      <c r="E114" s="21" t="s">
        <v>9</v>
      </c>
      <c r="F114" s="5812">
        <v>3</v>
      </c>
      <c r="G114" s="5813">
        <v>0.20833333333333334</v>
      </c>
      <c r="H114" s="21" t="s">
        <v>10</v>
      </c>
      <c r="I114" s="21" t="s">
        <v>11</v>
      </c>
      <c r="J114" s="21" t="s">
        <v>3951</v>
      </c>
      <c r="K114" s="5814" t="s">
        <v>3952</v>
      </c>
    </row>
    <row r="115" spans="1:11">
      <c r="A115" s="21" t="s">
        <v>3116</v>
      </c>
      <c r="B115" s="21" t="s">
        <v>3953</v>
      </c>
      <c r="C115" s="21" t="s">
        <v>8</v>
      </c>
      <c r="D115" s="21" t="s">
        <v>237</v>
      </c>
      <c r="E115" s="21" t="s">
        <v>9</v>
      </c>
      <c r="F115" s="5812">
        <v>3</v>
      </c>
      <c r="G115" s="5813">
        <v>0.20833333333333334</v>
      </c>
      <c r="H115" s="21" t="s">
        <v>10</v>
      </c>
      <c r="I115" s="21" t="s">
        <v>39</v>
      </c>
      <c r="J115" s="21" t="s">
        <v>3954</v>
      </c>
      <c r="K115" s="5814" t="s">
        <v>3955</v>
      </c>
    </row>
    <row r="116" spans="1:11">
      <c r="A116" s="21" t="s">
        <v>2461</v>
      </c>
      <c r="B116" s="21" t="s">
        <v>3956</v>
      </c>
      <c r="C116" s="21" t="s">
        <v>8</v>
      </c>
      <c r="D116" s="21" t="s">
        <v>237</v>
      </c>
      <c r="E116" s="21" t="s">
        <v>9</v>
      </c>
      <c r="F116" s="5812">
        <v>3</v>
      </c>
      <c r="G116" s="5813">
        <v>0.20833333333333334</v>
      </c>
      <c r="H116" s="21" t="s">
        <v>10</v>
      </c>
      <c r="I116" s="21" t="s">
        <v>23</v>
      </c>
      <c r="J116" s="21" t="s">
        <v>3957</v>
      </c>
      <c r="K116" s="5814" t="s">
        <v>3958</v>
      </c>
    </row>
    <row r="117" spans="1:11">
      <c r="A117" s="21" t="s">
        <v>2461</v>
      </c>
      <c r="B117" s="21" t="s">
        <v>3959</v>
      </c>
      <c r="C117" s="21" t="s">
        <v>8</v>
      </c>
      <c r="D117" s="21" t="s">
        <v>237</v>
      </c>
      <c r="E117" s="21" t="s">
        <v>9</v>
      </c>
      <c r="F117" s="5812">
        <v>3</v>
      </c>
      <c r="G117" s="5813">
        <v>0.20833333333333334</v>
      </c>
      <c r="H117" s="21" t="s">
        <v>10</v>
      </c>
      <c r="I117" s="21" t="s">
        <v>96</v>
      </c>
      <c r="J117" s="21" t="s">
        <v>3960</v>
      </c>
      <c r="K117" s="5814" t="s">
        <v>3961</v>
      </c>
    </row>
    <row r="118" spans="1:11">
      <c r="A118" s="21" t="s">
        <v>2104</v>
      </c>
      <c r="B118" s="21" t="s">
        <v>3962</v>
      </c>
      <c r="C118" s="21" t="s">
        <v>8</v>
      </c>
      <c r="D118" s="21" t="s">
        <v>237</v>
      </c>
      <c r="E118" s="21" t="s">
        <v>9</v>
      </c>
      <c r="F118" s="5812">
        <v>3</v>
      </c>
      <c r="G118" s="5813">
        <v>0.20833333333333334</v>
      </c>
      <c r="H118" s="21" t="s">
        <v>10</v>
      </c>
      <c r="I118" s="21" t="s">
        <v>39</v>
      </c>
      <c r="J118" s="21" t="s">
        <v>3963</v>
      </c>
      <c r="K118" s="5814" t="s">
        <v>3964</v>
      </c>
    </row>
    <row r="119" spans="1:11">
      <c r="A119" s="21" t="s">
        <v>2104</v>
      </c>
      <c r="B119" s="21" t="s">
        <v>3965</v>
      </c>
      <c r="C119" s="21" t="s">
        <v>8</v>
      </c>
      <c r="D119" s="21" t="s">
        <v>237</v>
      </c>
      <c r="E119" s="21" t="s">
        <v>9</v>
      </c>
      <c r="F119" s="5812">
        <v>3</v>
      </c>
      <c r="G119" s="5813">
        <v>0.20833333333333334</v>
      </c>
      <c r="H119" s="21" t="s">
        <v>10</v>
      </c>
      <c r="I119" s="21" t="s">
        <v>55</v>
      </c>
      <c r="J119" s="21" t="s">
        <v>3966</v>
      </c>
      <c r="K119" s="5814" t="s">
        <v>3967</v>
      </c>
    </row>
    <row r="120" spans="1:11">
      <c r="A120" s="21" t="s">
        <v>3220</v>
      </c>
      <c r="B120" s="21" t="s">
        <v>3968</v>
      </c>
      <c r="C120" s="21" t="s">
        <v>8</v>
      </c>
      <c r="D120" s="21" t="s">
        <v>237</v>
      </c>
      <c r="E120" s="21" t="s">
        <v>9</v>
      </c>
      <c r="F120" s="5812">
        <v>3</v>
      </c>
      <c r="G120" s="5813">
        <v>0.20833333333333334</v>
      </c>
      <c r="H120" s="21" t="s">
        <v>10</v>
      </c>
      <c r="I120" s="21" t="s">
        <v>11</v>
      </c>
      <c r="J120" s="21" t="s">
        <v>3969</v>
      </c>
      <c r="K120" s="5814" t="s">
        <v>3970</v>
      </c>
    </row>
    <row r="121" spans="1:11">
      <c r="A121" s="21" t="s">
        <v>3220</v>
      </c>
      <c r="B121" s="21" t="s">
        <v>3971</v>
      </c>
      <c r="C121" s="21" t="s">
        <v>8</v>
      </c>
      <c r="D121" s="21" t="s">
        <v>237</v>
      </c>
      <c r="E121" s="21" t="s">
        <v>9</v>
      </c>
      <c r="F121" s="5812">
        <v>3</v>
      </c>
      <c r="G121" s="5813">
        <v>0.20833333333333334</v>
      </c>
      <c r="H121" s="21" t="s">
        <v>10</v>
      </c>
      <c r="I121" s="21" t="s">
        <v>194</v>
      </c>
      <c r="J121" s="21" t="s">
        <v>3972</v>
      </c>
      <c r="K121" s="5814" t="s">
        <v>3973</v>
      </c>
    </row>
    <row r="122" spans="1:11">
      <c r="A122" s="21" t="s">
        <v>3974</v>
      </c>
      <c r="B122" s="21" t="s">
        <v>3975</v>
      </c>
      <c r="C122" s="21" t="s">
        <v>22</v>
      </c>
      <c r="D122" s="21" t="s">
        <v>237</v>
      </c>
      <c r="E122" s="21" t="s">
        <v>9</v>
      </c>
      <c r="F122" s="5812">
        <v>3</v>
      </c>
      <c r="G122" s="5813">
        <v>0.20833333333333334</v>
      </c>
      <c r="H122" s="21" t="s">
        <v>10</v>
      </c>
      <c r="I122" s="21" t="s">
        <v>47</v>
      </c>
      <c r="J122" s="21" t="s">
        <v>3976</v>
      </c>
      <c r="K122" s="5814" t="s">
        <v>3977</v>
      </c>
    </row>
    <row r="123" spans="1:11">
      <c r="A123" s="21" t="s">
        <v>2108</v>
      </c>
      <c r="B123" s="21" t="s">
        <v>3978</v>
      </c>
      <c r="C123" s="21" t="s">
        <v>22</v>
      </c>
      <c r="D123" s="21" t="s">
        <v>237</v>
      </c>
      <c r="E123" s="21" t="s">
        <v>9</v>
      </c>
      <c r="F123" s="5812">
        <v>3</v>
      </c>
      <c r="G123" s="5813">
        <v>0.20833333333333334</v>
      </c>
      <c r="H123" s="21" t="s">
        <v>10</v>
      </c>
      <c r="I123" s="21" t="s">
        <v>23</v>
      </c>
      <c r="J123" s="21" t="s">
        <v>3979</v>
      </c>
      <c r="K123" s="5814" t="s">
        <v>3980</v>
      </c>
    </row>
    <row r="124" spans="1:11">
      <c r="A124" s="21" t="s">
        <v>2481</v>
      </c>
      <c r="B124" s="21" t="s">
        <v>3981</v>
      </c>
      <c r="C124" s="21" t="s">
        <v>8</v>
      </c>
      <c r="D124" s="21" t="s">
        <v>237</v>
      </c>
      <c r="E124" s="21" t="s">
        <v>9</v>
      </c>
      <c r="F124" s="5812">
        <v>3</v>
      </c>
      <c r="G124" s="5813">
        <v>0.20833333333333334</v>
      </c>
      <c r="H124" s="21" t="s">
        <v>10</v>
      </c>
      <c r="I124" s="21" t="s">
        <v>55</v>
      </c>
      <c r="J124" s="21" t="s">
        <v>3982</v>
      </c>
      <c r="K124" s="5814" t="s">
        <v>3983</v>
      </c>
    </row>
    <row r="125" spans="1:11">
      <c r="A125" s="21" t="s">
        <v>3984</v>
      </c>
      <c r="B125" s="21" t="s">
        <v>3985</v>
      </c>
      <c r="C125" s="21" t="s">
        <v>8</v>
      </c>
      <c r="D125" s="21" t="s">
        <v>237</v>
      </c>
      <c r="E125" s="21" t="s">
        <v>9</v>
      </c>
      <c r="F125" s="5812">
        <v>3</v>
      </c>
      <c r="G125" s="5813">
        <v>0.20833333333333334</v>
      </c>
      <c r="H125" s="21" t="s">
        <v>10</v>
      </c>
      <c r="I125" s="21" t="s">
        <v>89</v>
      </c>
      <c r="J125" s="21" t="s">
        <v>3986</v>
      </c>
      <c r="K125" s="5814" t="s">
        <v>3987</v>
      </c>
    </row>
    <row r="126" spans="1:11">
      <c r="A126" s="21" t="s">
        <v>3984</v>
      </c>
      <c r="B126" s="21" t="s">
        <v>3988</v>
      </c>
      <c r="C126" s="21" t="s">
        <v>22</v>
      </c>
      <c r="D126" s="21" t="s">
        <v>237</v>
      </c>
      <c r="E126" s="21" t="s">
        <v>9</v>
      </c>
      <c r="F126" s="5812">
        <v>3</v>
      </c>
      <c r="G126" s="5813">
        <v>0.20833333333333334</v>
      </c>
      <c r="H126" s="21" t="s">
        <v>10</v>
      </c>
      <c r="I126" s="21" t="s">
        <v>55</v>
      </c>
      <c r="J126" s="21" t="s">
        <v>3989</v>
      </c>
      <c r="K126" s="5814" t="s">
        <v>3990</v>
      </c>
    </row>
    <row r="127" spans="1:11">
      <c r="A127" s="21" t="s">
        <v>3690</v>
      </c>
      <c r="B127" s="21" t="s">
        <v>3991</v>
      </c>
      <c r="C127" s="21" t="s">
        <v>22</v>
      </c>
      <c r="D127" s="21" t="s">
        <v>237</v>
      </c>
      <c r="E127" s="21" t="s">
        <v>9</v>
      </c>
      <c r="F127" s="5812">
        <v>3</v>
      </c>
      <c r="G127" s="5813">
        <v>0.20833333333333334</v>
      </c>
      <c r="H127" s="21" t="s">
        <v>10</v>
      </c>
      <c r="I127" s="21" t="s">
        <v>11</v>
      </c>
      <c r="J127" s="21" t="s">
        <v>3992</v>
      </c>
      <c r="K127" s="5814" t="s">
        <v>3993</v>
      </c>
    </row>
    <row r="128" spans="1:11">
      <c r="A128" s="21" t="s">
        <v>2901</v>
      </c>
      <c r="B128" s="21" t="s">
        <v>3994</v>
      </c>
      <c r="C128" s="21" t="s">
        <v>8</v>
      </c>
      <c r="D128" s="21" t="s">
        <v>237</v>
      </c>
      <c r="E128" s="21" t="s">
        <v>9</v>
      </c>
      <c r="F128" s="5812">
        <v>3</v>
      </c>
      <c r="G128" s="5813">
        <v>0.20833333333333334</v>
      </c>
      <c r="H128" s="21" t="s">
        <v>10</v>
      </c>
      <c r="I128" s="21" t="s">
        <v>39</v>
      </c>
      <c r="J128" s="21" t="s">
        <v>3995</v>
      </c>
      <c r="K128" s="5814" t="s">
        <v>3996</v>
      </c>
    </row>
    <row r="129" spans="1:11">
      <c r="A129" s="21" t="s">
        <v>2901</v>
      </c>
      <c r="B129" s="21" t="s">
        <v>3997</v>
      </c>
      <c r="C129" s="21" t="s">
        <v>8</v>
      </c>
      <c r="D129" s="21" t="s">
        <v>237</v>
      </c>
      <c r="E129" s="21" t="s">
        <v>9</v>
      </c>
      <c r="F129" s="5812">
        <v>3</v>
      </c>
      <c r="G129" s="5813">
        <v>0.20833333333333334</v>
      </c>
      <c r="H129" s="21" t="s">
        <v>10</v>
      </c>
      <c r="I129" s="21" t="s">
        <v>55</v>
      </c>
      <c r="J129" s="21" t="s">
        <v>3998</v>
      </c>
      <c r="K129" s="5814" t="s">
        <v>3999</v>
      </c>
    </row>
    <row r="130" spans="1:11">
      <c r="A130" s="21" t="s">
        <v>3256</v>
      </c>
      <c r="B130" s="21" t="s">
        <v>4000</v>
      </c>
      <c r="C130" s="21" t="s">
        <v>22</v>
      </c>
      <c r="D130" s="21" t="s">
        <v>237</v>
      </c>
      <c r="E130" s="21" t="s">
        <v>9</v>
      </c>
      <c r="F130" s="5812">
        <v>3</v>
      </c>
      <c r="G130" s="5813">
        <v>0.20833333333333334</v>
      </c>
      <c r="H130" s="21" t="s">
        <v>10</v>
      </c>
      <c r="I130" s="21" t="s">
        <v>654</v>
      </c>
      <c r="J130" s="21" t="s">
        <v>4001</v>
      </c>
      <c r="K130" s="5814" t="s">
        <v>4002</v>
      </c>
    </row>
    <row r="131" spans="1:11">
      <c r="A131" s="21" t="s">
        <v>4003</v>
      </c>
      <c r="B131" s="21" t="s">
        <v>4004</v>
      </c>
      <c r="C131" s="21" t="s">
        <v>22</v>
      </c>
      <c r="D131" s="21" t="s">
        <v>237</v>
      </c>
      <c r="E131" s="21" t="s">
        <v>9</v>
      </c>
      <c r="F131" s="5812">
        <v>3</v>
      </c>
      <c r="G131" s="5813">
        <v>0.20833333333333334</v>
      </c>
      <c r="H131" s="21" t="s">
        <v>10</v>
      </c>
      <c r="I131" s="21" t="s">
        <v>55</v>
      </c>
      <c r="J131" s="21" t="s">
        <v>4005</v>
      </c>
      <c r="K131" s="5814" t="s">
        <v>4006</v>
      </c>
    </row>
    <row r="132" spans="1:11">
      <c r="A132" s="21" t="s">
        <v>2499</v>
      </c>
      <c r="B132" s="21" t="s">
        <v>4007</v>
      </c>
      <c r="C132" s="21" t="s">
        <v>22</v>
      </c>
      <c r="D132" s="21" t="s">
        <v>237</v>
      </c>
      <c r="E132" s="21" t="s">
        <v>9</v>
      </c>
      <c r="F132" s="5812">
        <v>3</v>
      </c>
      <c r="G132" s="5813">
        <v>0.20833333333333334</v>
      </c>
      <c r="H132" s="21" t="s">
        <v>10</v>
      </c>
      <c r="I132" s="21" t="s">
        <v>23</v>
      </c>
      <c r="J132" s="21" t="s">
        <v>2346</v>
      </c>
      <c r="K132" s="5814" t="s">
        <v>4008</v>
      </c>
    </row>
    <row r="133" spans="1:11">
      <c r="A133" s="21" t="s">
        <v>2935</v>
      </c>
      <c r="B133" s="21" t="s">
        <v>4009</v>
      </c>
      <c r="C133" s="21" t="s">
        <v>8</v>
      </c>
      <c r="D133" s="21" t="s">
        <v>237</v>
      </c>
      <c r="E133" s="21" t="s">
        <v>9</v>
      </c>
      <c r="F133" s="5812">
        <v>3</v>
      </c>
      <c r="G133" s="5813">
        <v>0.20833333333333334</v>
      </c>
      <c r="H133" s="21" t="s">
        <v>10</v>
      </c>
      <c r="I133" s="21" t="s">
        <v>4010</v>
      </c>
      <c r="J133" s="21" t="s">
        <v>4011</v>
      </c>
      <c r="K133" s="5814" t="s">
        <v>4012</v>
      </c>
    </row>
    <row r="134" spans="1:11">
      <c r="A134" s="21" t="s">
        <v>2119</v>
      </c>
      <c r="B134" s="21" t="s">
        <v>4013</v>
      </c>
      <c r="C134" s="21" t="s">
        <v>8</v>
      </c>
      <c r="D134" s="21" t="s">
        <v>237</v>
      </c>
      <c r="E134" s="21" t="s">
        <v>9</v>
      </c>
      <c r="F134" s="5812">
        <v>3</v>
      </c>
      <c r="G134" s="5813">
        <v>0.20833333333333334</v>
      </c>
      <c r="H134" s="21" t="s">
        <v>10</v>
      </c>
      <c r="I134" s="21" t="s">
        <v>96</v>
      </c>
      <c r="J134" s="21" t="s">
        <v>4014</v>
      </c>
      <c r="K134" s="5814" t="s">
        <v>4015</v>
      </c>
    </row>
    <row r="135" spans="1:11">
      <c r="A135" s="21" t="s">
        <v>2119</v>
      </c>
      <c r="B135" s="21" t="s">
        <v>4016</v>
      </c>
      <c r="C135" s="21" t="s">
        <v>8</v>
      </c>
      <c r="D135" s="21" t="s">
        <v>237</v>
      </c>
      <c r="E135" s="21" t="s">
        <v>9</v>
      </c>
      <c r="F135" s="5812">
        <v>3</v>
      </c>
      <c r="G135" s="5813">
        <v>0.20833333333333334</v>
      </c>
      <c r="H135" s="21" t="s">
        <v>10</v>
      </c>
      <c r="I135" s="21" t="s">
        <v>96</v>
      </c>
      <c r="J135" s="21" t="s">
        <v>4017</v>
      </c>
      <c r="K135" s="5814" t="s">
        <v>4018</v>
      </c>
    </row>
    <row r="136" spans="1:11">
      <c r="A136" s="21" t="s">
        <v>3224</v>
      </c>
      <c r="B136" s="21" t="s">
        <v>4019</v>
      </c>
      <c r="C136" s="21" t="s">
        <v>22</v>
      </c>
      <c r="D136" s="21" t="s">
        <v>237</v>
      </c>
      <c r="E136" s="21" t="s">
        <v>9</v>
      </c>
      <c r="F136" s="5812">
        <v>3</v>
      </c>
      <c r="G136" s="5813">
        <v>0.20833333333333334</v>
      </c>
      <c r="H136" s="21" t="s">
        <v>10</v>
      </c>
      <c r="I136" s="21" t="s">
        <v>23</v>
      </c>
      <c r="J136" s="21" t="s">
        <v>4020</v>
      </c>
      <c r="K136" s="5814" t="s">
        <v>4021</v>
      </c>
    </row>
    <row r="137" spans="1:11">
      <c r="A137" s="21" t="s">
        <v>2506</v>
      </c>
      <c r="B137" s="21" t="s">
        <v>4022</v>
      </c>
      <c r="C137" s="21" t="s">
        <v>8</v>
      </c>
      <c r="D137" s="21" t="s">
        <v>237</v>
      </c>
      <c r="E137" s="21" t="s">
        <v>9</v>
      </c>
      <c r="F137" s="5812">
        <v>3</v>
      </c>
      <c r="G137" s="5813">
        <v>0.20833333333333334</v>
      </c>
      <c r="H137" s="21" t="s">
        <v>10</v>
      </c>
      <c r="I137" s="21" t="s">
        <v>23</v>
      </c>
      <c r="J137" s="21" t="s">
        <v>4023</v>
      </c>
      <c r="K137" s="5814" t="s">
        <v>4024</v>
      </c>
    </row>
    <row r="138" spans="1:11">
      <c r="A138" s="21" t="s">
        <v>3026</v>
      </c>
      <c r="B138" s="21" t="s">
        <v>4025</v>
      </c>
      <c r="C138" s="21" t="s">
        <v>22</v>
      </c>
      <c r="D138" s="21" t="s">
        <v>237</v>
      </c>
      <c r="E138" s="21" t="s">
        <v>9</v>
      </c>
      <c r="F138" s="5812">
        <v>3</v>
      </c>
      <c r="G138" s="5813">
        <v>0.20833333333333334</v>
      </c>
      <c r="H138" s="21" t="s">
        <v>10</v>
      </c>
      <c r="I138" s="21" t="s">
        <v>39</v>
      </c>
      <c r="J138" s="21" t="s">
        <v>4026</v>
      </c>
      <c r="K138" s="5814" t="s">
        <v>4027</v>
      </c>
    </row>
    <row r="139" spans="1:11">
      <c r="A139" s="21" t="s">
        <v>3026</v>
      </c>
      <c r="B139" s="21" t="s">
        <v>4028</v>
      </c>
      <c r="C139" s="21" t="s">
        <v>8</v>
      </c>
      <c r="D139" s="21" t="s">
        <v>237</v>
      </c>
      <c r="E139" s="21" t="s">
        <v>9</v>
      </c>
      <c r="F139" s="5812">
        <v>3</v>
      </c>
      <c r="G139" s="5813">
        <v>0.20833333333333334</v>
      </c>
      <c r="H139" s="21" t="s">
        <v>10</v>
      </c>
      <c r="I139" s="21" t="s">
        <v>55</v>
      </c>
      <c r="J139" s="21" t="s">
        <v>4029</v>
      </c>
      <c r="K139" s="5814" t="s">
        <v>4030</v>
      </c>
    </row>
    <row r="140" spans="1:11">
      <c r="A140" s="21" t="s">
        <v>3505</v>
      </c>
      <c r="B140" s="21" t="s">
        <v>4031</v>
      </c>
      <c r="C140" s="21" t="s">
        <v>8</v>
      </c>
      <c r="D140" s="21" t="s">
        <v>237</v>
      </c>
      <c r="E140" s="21" t="s">
        <v>9</v>
      </c>
      <c r="F140" s="5812">
        <v>3</v>
      </c>
      <c r="G140" s="5813">
        <v>0.20833333333333334</v>
      </c>
      <c r="H140" s="21" t="s">
        <v>10</v>
      </c>
      <c r="I140" s="21" t="s">
        <v>11</v>
      </c>
      <c r="J140" s="21" t="s">
        <v>4032</v>
      </c>
      <c r="K140" s="5814" t="s">
        <v>4033</v>
      </c>
    </row>
    <row r="141" spans="1:11">
      <c r="A141" s="21" t="s">
        <v>2910</v>
      </c>
      <c r="B141" s="21" t="s">
        <v>4034</v>
      </c>
      <c r="C141" s="21" t="s">
        <v>8</v>
      </c>
      <c r="D141" s="21" t="s">
        <v>237</v>
      </c>
      <c r="E141" s="21" t="s">
        <v>9</v>
      </c>
      <c r="F141" s="5812">
        <v>3</v>
      </c>
      <c r="G141" s="5813">
        <v>0.20833333333333334</v>
      </c>
      <c r="H141" s="21" t="s">
        <v>10</v>
      </c>
      <c r="I141" s="21" t="s">
        <v>23</v>
      </c>
      <c r="J141" s="21" t="s">
        <v>4035</v>
      </c>
      <c r="K141" s="5814" t="s">
        <v>4036</v>
      </c>
    </row>
    <row r="142" spans="1:11">
      <c r="A142" s="21" t="s">
        <v>2910</v>
      </c>
      <c r="B142" s="21" t="s">
        <v>4037</v>
      </c>
      <c r="C142" s="21" t="s">
        <v>8</v>
      </c>
      <c r="D142" s="21" t="s">
        <v>237</v>
      </c>
      <c r="E142" s="21" t="s">
        <v>9</v>
      </c>
      <c r="F142" s="5812">
        <v>3</v>
      </c>
      <c r="G142" s="5813">
        <v>0.20833333333333334</v>
      </c>
      <c r="H142" s="21" t="s">
        <v>10</v>
      </c>
      <c r="I142" s="21" t="s">
        <v>39</v>
      </c>
      <c r="J142" s="21" t="s">
        <v>4038</v>
      </c>
      <c r="K142" s="5814" t="s">
        <v>4039</v>
      </c>
    </row>
    <row r="143" spans="1:11">
      <c r="A143" s="21" t="s">
        <v>3412</v>
      </c>
      <c r="B143" s="21" t="s">
        <v>4040</v>
      </c>
      <c r="C143" s="21" t="s">
        <v>8</v>
      </c>
      <c r="D143" s="21" t="s">
        <v>237</v>
      </c>
      <c r="E143" s="21" t="s">
        <v>9</v>
      </c>
      <c r="F143" s="5812">
        <v>3</v>
      </c>
      <c r="G143" s="5813">
        <v>0.20833333333333334</v>
      </c>
      <c r="H143" s="21" t="s">
        <v>10</v>
      </c>
      <c r="I143" s="21" t="s">
        <v>47</v>
      </c>
      <c r="J143" s="21" t="s">
        <v>4041</v>
      </c>
      <c r="K143" s="5814" t="s">
        <v>4042</v>
      </c>
    </row>
    <row r="144" spans="1:11">
      <c r="A144" s="21" t="s">
        <v>4043</v>
      </c>
      <c r="B144" s="21" t="s">
        <v>4044</v>
      </c>
      <c r="C144" s="21" t="s">
        <v>22</v>
      </c>
      <c r="D144" s="21" t="s">
        <v>237</v>
      </c>
      <c r="E144" s="21" t="s">
        <v>9</v>
      </c>
      <c r="F144" s="5812">
        <v>3</v>
      </c>
      <c r="G144" s="5813">
        <v>0.20833333333333334</v>
      </c>
      <c r="H144" s="21" t="s">
        <v>10</v>
      </c>
      <c r="I144" s="21" t="s">
        <v>47</v>
      </c>
      <c r="J144" s="21" t="s">
        <v>4045</v>
      </c>
      <c r="K144" s="5814" t="s">
        <v>4046</v>
      </c>
    </row>
    <row r="145" spans="1:11">
      <c r="A145" s="21" t="s">
        <v>4047</v>
      </c>
      <c r="B145" s="21" t="s">
        <v>4048</v>
      </c>
      <c r="C145" s="21" t="s">
        <v>8</v>
      </c>
      <c r="D145" s="21" t="s">
        <v>237</v>
      </c>
      <c r="E145" s="21" t="s">
        <v>9</v>
      </c>
      <c r="F145" s="5812">
        <v>3</v>
      </c>
      <c r="G145" s="5813">
        <v>0.20833333333333334</v>
      </c>
      <c r="H145" s="21" t="s">
        <v>10</v>
      </c>
      <c r="I145" s="21" t="s">
        <v>400</v>
      </c>
      <c r="J145" s="21" t="s">
        <v>2515</v>
      </c>
      <c r="K145" s="5814" t="s">
        <v>4049</v>
      </c>
    </row>
    <row r="146" spans="1:11">
      <c r="A146" s="21" t="s">
        <v>3348</v>
      </c>
      <c r="B146" s="21" t="s">
        <v>4050</v>
      </c>
      <c r="C146" s="21" t="s">
        <v>22</v>
      </c>
      <c r="D146" s="21" t="s">
        <v>237</v>
      </c>
      <c r="E146" s="21" t="s">
        <v>9</v>
      </c>
      <c r="F146" s="5812">
        <v>3</v>
      </c>
      <c r="G146" s="5813">
        <v>0.20833333333333334</v>
      </c>
      <c r="H146" s="21" t="s">
        <v>10</v>
      </c>
      <c r="I146" s="21" t="s">
        <v>55</v>
      </c>
      <c r="J146" s="21" t="s">
        <v>4051</v>
      </c>
      <c r="K146" s="5814" t="s">
        <v>4052</v>
      </c>
    </row>
    <row r="147" spans="1:11">
      <c r="A147" s="21" t="s">
        <v>3009</v>
      </c>
      <c r="B147" s="21" t="s">
        <v>4053</v>
      </c>
      <c r="C147" s="21" t="s">
        <v>8</v>
      </c>
      <c r="D147" s="21" t="s">
        <v>237</v>
      </c>
      <c r="E147" s="21" t="s">
        <v>9</v>
      </c>
      <c r="F147" s="5812">
        <v>3</v>
      </c>
      <c r="G147" s="5813">
        <v>0.20833333333333334</v>
      </c>
      <c r="H147" s="21" t="s">
        <v>10</v>
      </c>
      <c r="I147" s="21" t="s">
        <v>11</v>
      </c>
      <c r="J147" s="21" t="s">
        <v>4054</v>
      </c>
      <c r="K147" s="5814" t="s">
        <v>4055</v>
      </c>
    </row>
    <row r="148" spans="1:11">
      <c r="A148" s="21" t="s">
        <v>2938</v>
      </c>
      <c r="B148" s="21" t="s">
        <v>4056</v>
      </c>
      <c r="C148" s="21" t="s">
        <v>22</v>
      </c>
      <c r="D148" s="21" t="s">
        <v>237</v>
      </c>
      <c r="E148" s="21" t="s">
        <v>9</v>
      </c>
      <c r="F148" s="5812">
        <v>3</v>
      </c>
      <c r="G148" s="5813">
        <v>0.20833333333333334</v>
      </c>
      <c r="H148" s="21" t="s">
        <v>10</v>
      </c>
      <c r="I148" s="21" t="s">
        <v>3517</v>
      </c>
      <c r="J148" s="21" t="s">
        <v>4057</v>
      </c>
      <c r="K148" s="5814" t="s">
        <v>4058</v>
      </c>
    </row>
    <row r="149" spans="1:11">
      <c r="A149" s="21" t="s">
        <v>2517</v>
      </c>
      <c r="B149" s="21" t="s">
        <v>4059</v>
      </c>
      <c r="C149" s="21" t="s">
        <v>8</v>
      </c>
      <c r="D149" s="21" t="s">
        <v>237</v>
      </c>
      <c r="E149" s="21" t="s">
        <v>9</v>
      </c>
      <c r="F149" s="5812">
        <v>3</v>
      </c>
      <c r="G149" s="5813">
        <v>0.20833333333333334</v>
      </c>
      <c r="H149" s="21" t="s">
        <v>10</v>
      </c>
      <c r="I149" s="21" t="s">
        <v>2523</v>
      </c>
      <c r="J149" s="21" t="s">
        <v>4060</v>
      </c>
      <c r="K149" s="5814" t="s">
        <v>4061</v>
      </c>
    </row>
    <row r="150" spans="1:11">
      <c r="A150" s="21" t="s">
        <v>2517</v>
      </c>
      <c r="B150" s="21" t="s">
        <v>4062</v>
      </c>
      <c r="C150" s="21" t="s">
        <v>22</v>
      </c>
      <c r="D150" s="21" t="s">
        <v>237</v>
      </c>
      <c r="E150" s="21" t="s">
        <v>9</v>
      </c>
      <c r="F150" s="5812">
        <v>3</v>
      </c>
      <c r="G150" s="5813">
        <v>0.20833333333333334</v>
      </c>
      <c r="H150" s="21" t="s">
        <v>10</v>
      </c>
      <c r="I150" s="21" t="s">
        <v>2523</v>
      </c>
      <c r="J150" s="21" t="s">
        <v>4063</v>
      </c>
      <c r="K150" s="5814" t="s">
        <v>4064</v>
      </c>
    </row>
    <row r="151" spans="1:11">
      <c r="A151" s="21" t="s">
        <v>2517</v>
      </c>
      <c r="B151" s="21" t="s">
        <v>4065</v>
      </c>
      <c r="C151" s="21" t="s">
        <v>8</v>
      </c>
      <c r="D151" s="21" t="s">
        <v>237</v>
      </c>
      <c r="E151" s="21" t="s">
        <v>9</v>
      </c>
      <c r="F151" s="5812">
        <v>3</v>
      </c>
      <c r="G151" s="5813">
        <v>0.20833333333333334</v>
      </c>
      <c r="H151" s="21" t="s">
        <v>10</v>
      </c>
      <c r="I151" s="21" t="s">
        <v>47</v>
      </c>
      <c r="J151" s="21" t="s">
        <v>4066</v>
      </c>
      <c r="K151" s="5814" t="s">
        <v>4067</v>
      </c>
    </row>
    <row r="152" spans="1:11">
      <c r="A152" s="21" t="s">
        <v>4068</v>
      </c>
      <c r="B152" s="21" t="s">
        <v>4069</v>
      </c>
      <c r="C152" s="21" t="s">
        <v>8</v>
      </c>
      <c r="D152" s="21" t="s">
        <v>237</v>
      </c>
      <c r="E152" s="21" t="s">
        <v>9</v>
      </c>
      <c r="F152" s="5812">
        <v>3</v>
      </c>
      <c r="G152" s="5813">
        <v>0.20833333333333334</v>
      </c>
      <c r="H152" s="21" t="s">
        <v>10</v>
      </c>
      <c r="I152" s="21" t="s">
        <v>39</v>
      </c>
      <c r="J152" s="21" t="s">
        <v>4070</v>
      </c>
      <c r="K152" s="5814" t="s">
        <v>4071</v>
      </c>
    </row>
    <row r="153" spans="1:11">
      <c r="A153" s="21" t="s">
        <v>2530</v>
      </c>
      <c r="B153" s="21" t="s">
        <v>4072</v>
      </c>
      <c r="C153" s="21" t="s">
        <v>22</v>
      </c>
      <c r="D153" s="21" t="s">
        <v>237</v>
      </c>
      <c r="E153" s="21" t="s">
        <v>9</v>
      </c>
      <c r="F153" s="5812">
        <v>3</v>
      </c>
      <c r="G153" s="5813">
        <v>0.20833333333333334</v>
      </c>
      <c r="H153" s="21" t="s">
        <v>10</v>
      </c>
      <c r="I153" s="21" t="s">
        <v>226</v>
      </c>
      <c r="J153" s="21" t="s">
        <v>1497</v>
      </c>
      <c r="K153" s="5814" t="s">
        <v>4073</v>
      </c>
    </row>
    <row r="154" spans="1:11">
      <c r="A154" s="21" t="s">
        <v>2530</v>
      </c>
      <c r="B154" s="21" t="s">
        <v>4074</v>
      </c>
      <c r="C154" s="21" t="s">
        <v>8</v>
      </c>
      <c r="D154" s="21" t="s">
        <v>237</v>
      </c>
      <c r="E154" s="21" t="s">
        <v>9</v>
      </c>
      <c r="F154" s="5812">
        <v>3</v>
      </c>
      <c r="G154" s="5813">
        <v>0.20833333333333334</v>
      </c>
      <c r="H154" s="21" t="s">
        <v>10</v>
      </c>
      <c r="I154" s="21" t="s">
        <v>23</v>
      </c>
      <c r="J154" s="21" t="s">
        <v>4075</v>
      </c>
      <c r="K154" s="5814" t="s">
        <v>4076</v>
      </c>
    </row>
    <row r="155" spans="1:11">
      <c r="A155" s="21" t="s">
        <v>2135</v>
      </c>
      <c r="B155" s="21" t="s">
        <v>4077</v>
      </c>
      <c r="C155" s="21" t="s">
        <v>8</v>
      </c>
      <c r="D155" s="21" t="s">
        <v>237</v>
      </c>
      <c r="E155" s="21" t="s">
        <v>9</v>
      </c>
      <c r="F155" s="5812">
        <v>3</v>
      </c>
      <c r="G155" s="5813">
        <v>0.20833333333333334</v>
      </c>
      <c r="H155" s="21" t="s">
        <v>10</v>
      </c>
      <c r="I155" s="21" t="s">
        <v>39</v>
      </c>
      <c r="J155" s="21" t="s">
        <v>4078</v>
      </c>
      <c r="K155" s="5814" t="s">
        <v>4079</v>
      </c>
    </row>
    <row r="156" spans="1:11">
      <c r="A156" s="21" t="s">
        <v>2534</v>
      </c>
      <c r="B156" s="21" t="s">
        <v>4080</v>
      </c>
      <c r="C156" s="21" t="s">
        <v>22</v>
      </c>
      <c r="D156" s="21" t="s">
        <v>237</v>
      </c>
      <c r="E156" s="21" t="s">
        <v>9</v>
      </c>
      <c r="F156" s="5812">
        <v>3</v>
      </c>
      <c r="G156" s="5813">
        <v>0.20833333333333334</v>
      </c>
      <c r="H156" s="21" t="s">
        <v>10</v>
      </c>
      <c r="I156" s="21" t="s">
        <v>39</v>
      </c>
      <c r="J156" s="21" t="s">
        <v>4081</v>
      </c>
      <c r="K156" s="5814" t="s">
        <v>4082</v>
      </c>
    </row>
    <row r="157" spans="1:11">
      <c r="A157" s="21" t="s">
        <v>2534</v>
      </c>
      <c r="B157" s="21" t="s">
        <v>4083</v>
      </c>
      <c r="C157" s="21" t="s">
        <v>8</v>
      </c>
      <c r="D157" s="21" t="s">
        <v>237</v>
      </c>
      <c r="E157" s="21" t="s">
        <v>9</v>
      </c>
      <c r="F157" s="5812">
        <v>3</v>
      </c>
      <c r="G157" s="5813">
        <v>0.20833333333333334</v>
      </c>
      <c r="H157" s="21" t="s">
        <v>10</v>
      </c>
      <c r="I157" s="21" t="s">
        <v>96</v>
      </c>
      <c r="J157" s="21" t="s">
        <v>4084</v>
      </c>
      <c r="K157" s="5814" t="s">
        <v>4085</v>
      </c>
    </row>
    <row r="158" spans="1:11">
      <c r="A158" s="21" t="s">
        <v>2538</v>
      </c>
      <c r="B158" s="21" t="s">
        <v>4086</v>
      </c>
      <c r="C158" s="21" t="s">
        <v>8</v>
      </c>
      <c r="D158" s="21" t="s">
        <v>237</v>
      </c>
      <c r="E158" s="21" t="s">
        <v>9</v>
      </c>
      <c r="F158" s="5812">
        <v>3</v>
      </c>
      <c r="G158" s="5813">
        <v>0.20833333333333334</v>
      </c>
      <c r="H158" s="21" t="s">
        <v>10</v>
      </c>
      <c r="I158" s="21" t="s">
        <v>47</v>
      </c>
      <c r="J158" s="21" t="s">
        <v>4087</v>
      </c>
      <c r="K158" s="5814" t="s">
        <v>4088</v>
      </c>
    </row>
    <row r="159" spans="1:11">
      <c r="A159" s="21" t="s">
        <v>3387</v>
      </c>
      <c r="B159" s="21" t="s">
        <v>4089</v>
      </c>
      <c r="C159" s="21" t="s">
        <v>8</v>
      </c>
      <c r="D159" s="21" t="s">
        <v>237</v>
      </c>
      <c r="E159" s="21" t="s">
        <v>9</v>
      </c>
      <c r="F159" s="5812">
        <v>3</v>
      </c>
      <c r="G159" s="5813">
        <v>0.20833333333333334</v>
      </c>
      <c r="H159" s="21" t="s">
        <v>10</v>
      </c>
      <c r="I159" s="21" t="s">
        <v>2544</v>
      </c>
      <c r="J159" s="21" t="s">
        <v>4090</v>
      </c>
      <c r="K159" s="5814" t="s">
        <v>4091</v>
      </c>
    </row>
    <row r="160" spans="1:11">
      <c r="A160" s="21" t="s">
        <v>3387</v>
      </c>
      <c r="B160" s="21" t="s">
        <v>4092</v>
      </c>
      <c r="C160" s="21" t="s">
        <v>8</v>
      </c>
      <c r="D160" s="21" t="s">
        <v>237</v>
      </c>
      <c r="E160" s="21" t="s">
        <v>9</v>
      </c>
      <c r="F160" s="5812">
        <v>3</v>
      </c>
      <c r="G160" s="5813">
        <v>0.20833333333333334</v>
      </c>
      <c r="H160" s="21" t="s">
        <v>10</v>
      </c>
      <c r="I160" s="21" t="s">
        <v>47</v>
      </c>
      <c r="J160" s="21" t="s">
        <v>4093</v>
      </c>
      <c r="K160" s="5814" t="s">
        <v>4094</v>
      </c>
    </row>
    <row r="161" spans="1:11">
      <c r="A161" s="21" t="s">
        <v>3616</v>
      </c>
      <c r="B161" s="21" t="s">
        <v>4095</v>
      </c>
      <c r="C161" s="21" t="s">
        <v>22</v>
      </c>
      <c r="D161" s="21" t="s">
        <v>237</v>
      </c>
      <c r="E161" s="21" t="s">
        <v>9</v>
      </c>
      <c r="F161" s="5812">
        <v>3</v>
      </c>
      <c r="G161" s="5813">
        <v>0.20833333333333334</v>
      </c>
      <c r="H161" s="21" t="s">
        <v>10</v>
      </c>
      <c r="I161" s="21" t="s">
        <v>55</v>
      </c>
      <c r="J161" s="21" t="s">
        <v>4096</v>
      </c>
      <c r="K161" s="5814" t="s">
        <v>4097</v>
      </c>
    </row>
    <row r="162" spans="1:11">
      <c r="A162" s="21" t="s">
        <v>3597</v>
      </c>
      <c r="B162" s="21" t="s">
        <v>4098</v>
      </c>
      <c r="C162" s="21" t="s">
        <v>8</v>
      </c>
      <c r="D162" s="21" t="s">
        <v>237</v>
      </c>
      <c r="E162" s="21" t="s">
        <v>9</v>
      </c>
      <c r="F162" s="5812">
        <v>3</v>
      </c>
      <c r="G162" s="5813">
        <v>0.20833333333333334</v>
      </c>
      <c r="H162" s="21" t="s">
        <v>10</v>
      </c>
      <c r="I162" s="21" t="s">
        <v>96</v>
      </c>
      <c r="J162" s="21" t="s">
        <v>4099</v>
      </c>
      <c r="K162" s="5814" t="s">
        <v>4100</v>
      </c>
    </row>
    <row r="163" spans="1:11">
      <c r="A163" s="21" t="s">
        <v>2966</v>
      </c>
      <c r="B163" s="21" t="s">
        <v>4101</v>
      </c>
      <c r="C163" s="21" t="s">
        <v>8</v>
      </c>
      <c r="D163" s="21" t="s">
        <v>237</v>
      </c>
      <c r="E163" s="21" t="s">
        <v>9</v>
      </c>
      <c r="F163" s="5812">
        <v>3</v>
      </c>
      <c r="G163" s="5813">
        <v>0.20833333333333334</v>
      </c>
      <c r="H163" s="21" t="s">
        <v>10</v>
      </c>
      <c r="I163" s="21" t="s">
        <v>11</v>
      </c>
      <c r="J163" s="21" t="s">
        <v>4102</v>
      </c>
      <c r="K163" s="5814" t="s">
        <v>4103</v>
      </c>
    </row>
    <row r="164" spans="1:11">
      <c r="A164" s="21" t="s">
        <v>2966</v>
      </c>
      <c r="B164" s="21" t="s">
        <v>4104</v>
      </c>
      <c r="C164" s="21" t="s">
        <v>8</v>
      </c>
      <c r="D164" s="21" t="s">
        <v>237</v>
      </c>
      <c r="E164" s="21" t="s">
        <v>9</v>
      </c>
      <c r="F164" s="5812">
        <v>3</v>
      </c>
      <c r="G164" s="5813">
        <v>0.20833333333333334</v>
      </c>
      <c r="H164" s="21" t="s">
        <v>10</v>
      </c>
      <c r="I164" s="21" t="s">
        <v>39</v>
      </c>
      <c r="J164" s="21" t="s">
        <v>4105</v>
      </c>
      <c r="K164" s="5814" t="s">
        <v>4106</v>
      </c>
    </row>
    <row r="165" spans="1:11">
      <c r="A165" s="21" t="s">
        <v>3710</v>
      </c>
      <c r="B165" s="21" t="s">
        <v>4107</v>
      </c>
      <c r="C165" s="21" t="s">
        <v>8</v>
      </c>
      <c r="D165" s="21" t="s">
        <v>237</v>
      </c>
      <c r="E165" s="21" t="s">
        <v>9</v>
      </c>
      <c r="F165" s="5812">
        <v>3</v>
      </c>
      <c r="G165" s="5813">
        <v>0.20833333333333334</v>
      </c>
      <c r="H165" s="21" t="s">
        <v>10</v>
      </c>
      <c r="I165" s="21" t="s">
        <v>226</v>
      </c>
      <c r="J165" s="21" t="s">
        <v>4108</v>
      </c>
      <c r="K165" s="5814" t="s">
        <v>4109</v>
      </c>
    </row>
    <row r="166" spans="1:11">
      <c r="A166" s="21" t="s">
        <v>3710</v>
      </c>
      <c r="B166" s="21" t="s">
        <v>4110</v>
      </c>
      <c r="C166" s="21" t="s">
        <v>8</v>
      </c>
      <c r="D166" s="21" t="s">
        <v>237</v>
      </c>
      <c r="E166" s="21" t="s">
        <v>9</v>
      </c>
      <c r="F166" s="5812">
        <v>3</v>
      </c>
      <c r="G166" s="5813">
        <v>0.20833333333333334</v>
      </c>
      <c r="H166" s="21" t="s">
        <v>10</v>
      </c>
      <c r="I166" s="21" t="s">
        <v>11</v>
      </c>
      <c r="J166" s="21" t="s">
        <v>4111</v>
      </c>
      <c r="K166" s="5814" t="s">
        <v>4112</v>
      </c>
    </row>
    <row r="167" spans="1:11">
      <c r="A167" s="21" t="s">
        <v>3710</v>
      </c>
      <c r="B167" s="21" t="s">
        <v>4113</v>
      </c>
      <c r="C167" s="21" t="s">
        <v>22</v>
      </c>
      <c r="D167" s="21" t="s">
        <v>237</v>
      </c>
      <c r="E167" s="21" t="s">
        <v>9</v>
      </c>
      <c r="F167" s="5812">
        <v>3</v>
      </c>
      <c r="G167" s="5813">
        <v>0.20833333333333334</v>
      </c>
      <c r="H167" s="21" t="s">
        <v>10</v>
      </c>
      <c r="I167" s="21" t="s">
        <v>55</v>
      </c>
      <c r="J167" s="21" t="s">
        <v>4114</v>
      </c>
      <c r="K167" s="5814" t="s">
        <v>4115</v>
      </c>
    </row>
    <row r="168" spans="1:11">
      <c r="A168" s="21" t="s">
        <v>4116</v>
      </c>
      <c r="B168" s="21" t="s">
        <v>4117</v>
      </c>
      <c r="C168" s="21" t="s">
        <v>8</v>
      </c>
      <c r="D168" s="21" t="s">
        <v>237</v>
      </c>
      <c r="E168" s="21" t="s">
        <v>9</v>
      </c>
      <c r="F168" s="5812">
        <v>3</v>
      </c>
      <c r="G168" s="5813">
        <v>0.20833333333333334</v>
      </c>
      <c r="H168" s="21" t="s">
        <v>10</v>
      </c>
      <c r="I168" s="21" t="s">
        <v>11</v>
      </c>
      <c r="J168" s="21" t="s">
        <v>4118</v>
      </c>
      <c r="K168" s="5814" t="s">
        <v>4119</v>
      </c>
    </row>
    <row r="169" spans="1:11">
      <c r="A169" s="21" t="s">
        <v>2143</v>
      </c>
      <c r="B169" s="21" t="s">
        <v>4120</v>
      </c>
      <c r="C169" s="21" t="s">
        <v>22</v>
      </c>
      <c r="D169" s="21" t="s">
        <v>237</v>
      </c>
      <c r="E169" s="21" t="s">
        <v>9</v>
      </c>
      <c r="F169" s="5812">
        <v>3</v>
      </c>
      <c r="G169" s="5813">
        <v>0.20833333333333334</v>
      </c>
      <c r="H169" s="21" t="s">
        <v>10</v>
      </c>
      <c r="I169" s="21" t="s">
        <v>209</v>
      </c>
      <c r="J169" s="21" t="s">
        <v>4121</v>
      </c>
      <c r="K169" s="5814" t="s">
        <v>4122</v>
      </c>
    </row>
    <row r="170" spans="1:11">
      <c r="A170" s="21" t="s">
        <v>2560</v>
      </c>
      <c r="B170" s="21" t="s">
        <v>4123</v>
      </c>
      <c r="C170" s="21" t="s">
        <v>8</v>
      </c>
      <c r="D170" s="21" t="s">
        <v>237</v>
      </c>
      <c r="E170" s="21" t="s">
        <v>9</v>
      </c>
      <c r="F170" s="5812">
        <v>3</v>
      </c>
      <c r="G170" s="5813">
        <v>0.20833333333333334</v>
      </c>
      <c r="H170" s="21" t="s">
        <v>10</v>
      </c>
      <c r="I170" s="21" t="s">
        <v>3451</v>
      </c>
      <c r="J170" s="21" t="s">
        <v>4124</v>
      </c>
      <c r="K170" s="5814" t="s">
        <v>4125</v>
      </c>
    </row>
    <row r="171" spans="1:11">
      <c r="A171" s="21" t="s">
        <v>3311</v>
      </c>
      <c r="B171" s="21" t="s">
        <v>4126</v>
      </c>
      <c r="C171" s="21" t="s">
        <v>22</v>
      </c>
      <c r="D171" s="21" t="s">
        <v>237</v>
      </c>
      <c r="E171" s="21" t="s">
        <v>9</v>
      </c>
      <c r="F171" s="5812">
        <v>3</v>
      </c>
      <c r="G171" s="5813">
        <v>0.20833333333333334</v>
      </c>
      <c r="H171" s="21" t="s">
        <v>10</v>
      </c>
      <c r="I171" s="21" t="s">
        <v>23</v>
      </c>
      <c r="J171" s="21" t="s">
        <v>4127</v>
      </c>
      <c r="K171" s="5814" t="s">
        <v>4128</v>
      </c>
    </row>
    <row r="172" spans="1:11">
      <c r="A172" s="21" t="s">
        <v>2147</v>
      </c>
      <c r="B172" s="21" t="s">
        <v>4129</v>
      </c>
      <c r="C172" s="21" t="s">
        <v>8</v>
      </c>
      <c r="D172" s="21" t="s">
        <v>237</v>
      </c>
      <c r="E172" s="21" t="s">
        <v>9</v>
      </c>
      <c r="F172" s="5812">
        <v>3</v>
      </c>
      <c r="G172" s="5813">
        <v>0.20833333333333334</v>
      </c>
      <c r="H172" s="21" t="s">
        <v>10</v>
      </c>
      <c r="I172" s="21" t="s">
        <v>2660</v>
      </c>
      <c r="J172" s="21" t="s">
        <v>4130</v>
      </c>
      <c r="K172" s="5814" t="s">
        <v>4131</v>
      </c>
    </row>
    <row r="173" spans="1:11">
      <c r="A173" s="21" t="s">
        <v>4132</v>
      </c>
      <c r="B173" s="21" t="s">
        <v>4133</v>
      </c>
      <c r="C173" s="21" t="s">
        <v>8</v>
      </c>
      <c r="D173" s="21" t="s">
        <v>237</v>
      </c>
      <c r="E173" s="21" t="s">
        <v>9</v>
      </c>
      <c r="F173" s="5812">
        <v>3</v>
      </c>
      <c r="G173" s="5813">
        <v>0.20833333333333334</v>
      </c>
      <c r="H173" s="21" t="s">
        <v>10</v>
      </c>
      <c r="I173" s="21" t="s">
        <v>233</v>
      </c>
      <c r="J173" s="21" t="s">
        <v>4134</v>
      </c>
      <c r="K173" s="5814" t="s">
        <v>4135</v>
      </c>
    </row>
    <row r="174" spans="1:11">
      <c r="A174" s="21" t="s">
        <v>2160</v>
      </c>
      <c r="B174" s="21" t="s">
        <v>4136</v>
      </c>
      <c r="C174" s="21" t="s">
        <v>8</v>
      </c>
      <c r="D174" s="21" t="s">
        <v>237</v>
      </c>
      <c r="E174" s="21" t="s">
        <v>9</v>
      </c>
      <c r="F174" s="5812">
        <v>3</v>
      </c>
      <c r="G174" s="5813">
        <v>0.20833333333333334</v>
      </c>
      <c r="H174" s="21" t="s">
        <v>10</v>
      </c>
      <c r="I174" s="21" t="s">
        <v>47</v>
      </c>
      <c r="J174" s="21" t="s">
        <v>4137</v>
      </c>
      <c r="K174" s="5814" t="s">
        <v>4138</v>
      </c>
    </row>
    <row r="175" spans="1:11">
      <c r="A175" s="21" t="s">
        <v>4139</v>
      </c>
      <c r="B175" s="21" t="s">
        <v>4140</v>
      </c>
      <c r="C175" s="21" t="s">
        <v>22</v>
      </c>
      <c r="D175" s="21" t="s">
        <v>237</v>
      </c>
      <c r="E175" s="21" t="s">
        <v>9</v>
      </c>
      <c r="F175" s="5812">
        <v>3</v>
      </c>
      <c r="G175" s="5813">
        <v>0.20833333333333334</v>
      </c>
      <c r="H175" s="21" t="s">
        <v>10</v>
      </c>
      <c r="I175" s="21" t="s">
        <v>2713</v>
      </c>
      <c r="J175" s="21" t="s">
        <v>4141</v>
      </c>
      <c r="K175" s="5814" t="s">
        <v>4142</v>
      </c>
    </row>
    <row r="176" spans="1:11">
      <c r="A176" s="21" t="s">
        <v>2992</v>
      </c>
      <c r="B176" s="21" t="s">
        <v>3624</v>
      </c>
      <c r="C176" s="21" t="s">
        <v>8</v>
      </c>
      <c r="D176" s="21" t="s">
        <v>237</v>
      </c>
      <c r="E176" s="21" t="s">
        <v>9</v>
      </c>
      <c r="F176" s="5812">
        <v>3</v>
      </c>
      <c r="G176" s="5813">
        <v>0.20833333333333334</v>
      </c>
      <c r="H176" s="21" t="s">
        <v>10</v>
      </c>
      <c r="I176" s="21" t="s">
        <v>187</v>
      </c>
      <c r="J176" s="21" t="s">
        <v>4143</v>
      </c>
      <c r="K176" s="5814" t="s">
        <v>4144</v>
      </c>
    </row>
    <row r="177" spans="1:11">
      <c r="A177" s="21" t="s">
        <v>2992</v>
      </c>
      <c r="B177" s="21" t="s">
        <v>4145</v>
      </c>
      <c r="C177" s="21" t="s">
        <v>22</v>
      </c>
      <c r="D177" s="21" t="s">
        <v>237</v>
      </c>
      <c r="E177" s="21" t="s">
        <v>9</v>
      </c>
      <c r="F177" s="5812">
        <v>3</v>
      </c>
      <c r="G177" s="5813">
        <v>0.20833333333333334</v>
      </c>
      <c r="H177" s="21" t="s">
        <v>10</v>
      </c>
      <c r="I177" s="21" t="s">
        <v>4146</v>
      </c>
      <c r="J177" s="21" t="s">
        <v>4147</v>
      </c>
      <c r="K177" s="5814" t="s">
        <v>4148</v>
      </c>
    </row>
    <row r="178" spans="1:11">
      <c r="A178" s="21" t="s">
        <v>3208</v>
      </c>
      <c r="B178" s="21" t="s">
        <v>4149</v>
      </c>
      <c r="C178" s="21" t="s">
        <v>8</v>
      </c>
      <c r="D178" s="21" t="s">
        <v>237</v>
      </c>
      <c r="E178" s="21" t="s">
        <v>9</v>
      </c>
      <c r="F178" s="5812">
        <v>3</v>
      </c>
      <c r="G178" s="5813">
        <v>0.20833333333333334</v>
      </c>
      <c r="H178" s="21" t="s">
        <v>10</v>
      </c>
      <c r="I178" s="21" t="s">
        <v>187</v>
      </c>
      <c r="J178" s="21" t="s">
        <v>4150</v>
      </c>
      <c r="K178" s="5814" t="s">
        <v>4151</v>
      </c>
    </row>
    <row r="179" spans="1:11">
      <c r="A179" s="21" t="s">
        <v>2165</v>
      </c>
      <c r="B179" s="21" t="s">
        <v>4152</v>
      </c>
      <c r="C179" s="21" t="s">
        <v>8</v>
      </c>
      <c r="D179" s="21" t="s">
        <v>237</v>
      </c>
      <c r="E179" s="21" t="s">
        <v>9</v>
      </c>
      <c r="F179" s="5812">
        <v>3</v>
      </c>
      <c r="G179" s="5813">
        <v>0.20833333333333334</v>
      </c>
      <c r="H179" s="21" t="s">
        <v>10</v>
      </c>
      <c r="I179" s="21" t="s">
        <v>2872</v>
      </c>
      <c r="J179" s="21" t="s">
        <v>4153</v>
      </c>
      <c r="K179" s="5814" t="s">
        <v>4154</v>
      </c>
    </row>
    <row r="180" spans="1:11">
      <c r="A180" s="21" t="s">
        <v>2174</v>
      </c>
      <c r="B180" s="21" t="s">
        <v>4155</v>
      </c>
      <c r="C180" s="21" t="s">
        <v>8</v>
      </c>
      <c r="D180" s="21" t="s">
        <v>237</v>
      </c>
      <c r="E180" s="21" t="s">
        <v>9</v>
      </c>
      <c r="F180" s="5812">
        <v>3</v>
      </c>
      <c r="G180" s="5813">
        <v>0.20833333333333334</v>
      </c>
      <c r="H180" s="21" t="s">
        <v>10</v>
      </c>
      <c r="I180" s="21" t="s">
        <v>233</v>
      </c>
      <c r="J180" s="21" t="s">
        <v>4156</v>
      </c>
      <c r="K180" s="5814" t="s">
        <v>4157</v>
      </c>
    </row>
    <row r="181" spans="1:11">
      <c r="A181" s="21" t="s">
        <v>2179</v>
      </c>
      <c r="B181" s="21" t="s">
        <v>4158</v>
      </c>
      <c r="C181" s="21" t="s">
        <v>8</v>
      </c>
      <c r="D181" s="21" t="s">
        <v>237</v>
      </c>
      <c r="E181" s="21" t="s">
        <v>9</v>
      </c>
      <c r="F181" s="5812">
        <v>3</v>
      </c>
      <c r="G181" s="5813">
        <v>0.20833333333333334</v>
      </c>
      <c r="H181" s="21" t="s">
        <v>10</v>
      </c>
      <c r="I181" s="21" t="s">
        <v>226</v>
      </c>
      <c r="J181" s="21" t="s">
        <v>4159</v>
      </c>
      <c r="K181" s="5814" t="s">
        <v>4160</v>
      </c>
    </row>
    <row r="182" spans="1:11">
      <c r="A182" s="21" t="s">
        <v>2595</v>
      </c>
      <c r="B182" s="21" t="s">
        <v>4161</v>
      </c>
      <c r="C182" s="21" t="s">
        <v>22</v>
      </c>
      <c r="D182" s="21" t="s">
        <v>237</v>
      </c>
      <c r="E182" s="21" t="s">
        <v>9</v>
      </c>
      <c r="F182" s="5812">
        <v>3</v>
      </c>
      <c r="G182" s="5813">
        <v>0.20833333333333334</v>
      </c>
      <c r="H182" s="21" t="s">
        <v>10</v>
      </c>
      <c r="I182" s="21" t="s">
        <v>2692</v>
      </c>
      <c r="J182" s="21" t="s">
        <v>4162</v>
      </c>
      <c r="K182" s="5814" t="s">
        <v>4163</v>
      </c>
    </row>
    <row r="183" spans="1:11">
      <c r="A183" s="21" t="s">
        <v>2985</v>
      </c>
      <c r="B183" s="21" t="s">
        <v>4164</v>
      </c>
      <c r="C183" s="21" t="s">
        <v>22</v>
      </c>
      <c r="D183" s="21" t="s">
        <v>237</v>
      </c>
      <c r="E183" s="21" t="s">
        <v>9</v>
      </c>
      <c r="F183" s="5812">
        <v>3</v>
      </c>
      <c r="G183" s="5813">
        <v>0.20833333333333334</v>
      </c>
      <c r="H183" s="21" t="s">
        <v>10</v>
      </c>
      <c r="I183" s="21" t="s">
        <v>47</v>
      </c>
      <c r="J183" s="21" t="s">
        <v>4165</v>
      </c>
      <c r="K183" s="5814" t="s">
        <v>4166</v>
      </c>
    </row>
    <row r="184" spans="1:11">
      <c r="A184" s="21" t="s">
        <v>2605</v>
      </c>
      <c r="B184" s="21" t="s">
        <v>4167</v>
      </c>
      <c r="C184" s="21" t="s">
        <v>8</v>
      </c>
      <c r="D184" s="21" t="s">
        <v>237</v>
      </c>
      <c r="E184" s="21" t="s">
        <v>9</v>
      </c>
      <c r="F184" s="5812">
        <v>3</v>
      </c>
      <c r="G184" s="5813">
        <v>0.20833333333333334</v>
      </c>
      <c r="H184" s="21" t="s">
        <v>10</v>
      </c>
      <c r="I184" s="21" t="s">
        <v>2959</v>
      </c>
      <c r="J184" s="21" t="s">
        <v>4168</v>
      </c>
      <c r="K184" s="5814" t="s">
        <v>4169</v>
      </c>
    </row>
    <row r="185" spans="1:11">
      <c r="A185" s="21" t="s">
        <v>4170</v>
      </c>
      <c r="B185" s="21" t="s">
        <v>4171</v>
      </c>
      <c r="C185" s="21" t="s">
        <v>8</v>
      </c>
      <c r="D185" s="21" t="s">
        <v>237</v>
      </c>
      <c r="E185" s="21" t="s">
        <v>9</v>
      </c>
      <c r="F185" s="5812">
        <v>3</v>
      </c>
      <c r="G185" s="5813">
        <v>0.20833333333333334</v>
      </c>
      <c r="H185" s="21" t="s">
        <v>10</v>
      </c>
      <c r="I185" s="21" t="s">
        <v>3725</v>
      </c>
      <c r="J185" s="21" t="s">
        <v>4172</v>
      </c>
      <c r="K185" s="5814" t="s">
        <v>4173</v>
      </c>
    </row>
    <row r="186" spans="1:11">
      <c r="A186" s="21" t="s">
        <v>3160</v>
      </c>
      <c r="B186" s="21" t="s">
        <v>4174</v>
      </c>
      <c r="C186" s="21" t="s">
        <v>22</v>
      </c>
      <c r="D186" s="21" t="s">
        <v>237</v>
      </c>
      <c r="E186" s="21" t="s">
        <v>9</v>
      </c>
      <c r="F186" s="5812">
        <v>3</v>
      </c>
      <c r="G186" s="5813">
        <v>0.20833333333333334</v>
      </c>
      <c r="H186" s="21" t="s">
        <v>10</v>
      </c>
      <c r="I186" s="21" t="s">
        <v>47</v>
      </c>
      <c r="J186" s="21" t="s">
        <v>4175</v>
      </c>
      <c r="K186" s="5814" t="s">
        <v>4176</v>
      </c>
    </row>
    <row r="187" spans="1:11">
      <c r="A187" s="21" t="s">
        <v>4177</v>
      </c>
      <c r="B187" s="21" t="s">
        <v>4178</v>
      </c>
      <c r="C187" s="21" t="s">
        <v>8</v>
      </c>
      <c r="D187" s="21" t="s">
        <v>237</v>
      </c>
      <c r="E187" s="21" t="s">
        <v>9</v>
      </c>
      <c r="F187" s="5812">
        <v>3</v>
      </c>
      <c r="G187" s="5813">
        <v>0.20833333333333334</v>
      </c>
      <c r="H187" s="21" t="s">
        <v>10</v>
      </c>
      <c r="I187" s="21" t="s">
        <v>4179</v>
      </c>
      <c r="J187" s="21" t="s">
        <v>4180</v>
      </c>
      <c r="K187" s="5814" t="s">
        <v>4181</v>
      </c>
    </row>
    <row r="188" spans="1:11">
      <c r="A188" s="21" t="s">
        <v>2630</v>
      </c>
      <c r="B188" s="21" t="s">
        <v>4182</v>
      </c>
      <c r="C188" s="21" t="s">
        <v>8</v>
      </c>
      <c r="D188" s="21" t="s">
        <v>237</v>
      </c>
      <c r="E188" s="21" t="s">
        <v>9</v>
      </c>
      <c r="F188" s="5812">
        <v>3</v>
      </c>
      <c r="G188" s="5813">
        <v>0.20833333333333334</v>
      </c>
      <c r="H188" s="21" t="s">
        <v>10</v>
      </c>
      <c r="I188" s="21" t="s">
        <v>226</v>
      </c>
      <c r="J188" s="21" t="s">
        <v>4183</v>
      </c>
      <c r="K188" s="5814" t="s">
        <v>4184</v>
      </c>
    </row>
    <row r="189" spans="1:11">
      <c r="A189" s="21" t="s">
        <v>2630</v>
      </c>
      <c r="B189" s="21" t="s">
        <v>4185</v>
      </c>
      <c r="C189" s="21" t="s">
        <v>22</v>
      </c>
      <c r="D189" s="21" t="s">
        <v>237</v>
      </c>
      <c r="E189" s="21" t="s">
        <v>9</v>
      </c>
      <c r="F189" s="5812">
        <v>3</v>
      </c>
      <c r="G189" s="5813">
        <v>0.20833333333333334</v>
      </c>
      <c r="H189" s="21" t="s">
        <v>10</v>
      </c>
      <c r="I189" s="21" t="s">
        <v>2218</v>
      </c>
      <c r="J189" s="21" t="s">
        <v>4186</v>
      </c>
      <c r="K189" s="5814" t="s">
        <v>4187</v>
      </c>
    </row>
    <row r="190" spans="1:11">
      <c r="A190" s="21" t="s">
        <v>2638</v>
      </c>
      <c r="B190" s="21" t="s">
        <v>4188</v>
      </c>
      <c r="C190" s="21" t="s">
        <v>8</v>
      </c>
      <c r="D190" s="21" t="s">
        <v>237</v>
      </c>
      <c r="E190" s="21" t="s">
        <v>9</v>
      </c>
      <c r="F190" s="5812">
        <v>3</v>
      </c>
      <c r="G190" s="5813">
        <v>0.20833333333333334</v>
      </c>
      <c r="H190" s="21" t="s">
        <v>10</v>
      </c>
      <c r="I190" s="21" t="s">
        <v>55</v>
      </c>
      <c r="J190" s="21" t="s">
        <v>4189</v>
      </c>
      <c r="K190" s="5814" t="s">
        <v>4190</v>
      </c>
    </row>
    <row r="191" spans="1:11">
      <c r="A191" s="21" t="s">
        <v>2638</v>
      </c>
      <c r="B191" s="21" t="s">
        <v>4191</v>
      </c>
      <c r="C191" s="21" t="s">
        <v>8</v>
      </c>
      <c r="D191" s="21" t="s">
        <v>237</v>
      </c>
      <c r="E191" s="21" t="s">
        <v>9</v>
      </c>
      <c r="F191" s="5812">
        <v>3</v>
      </c>
      <c r="G191" s="5813">
        <v>0.20833333333333334</v>
      </c>
      <c r="H191" s="21" t="s">
        <v>10</v>
      </c>
      <c r="I191" s="21" t="s">
        <v>2640</v>
      </c>
      <c r="J191" s="21" t="s">
        <v>4192</v>
      </c>
      <c r="K191" s="5814" t="s">
        <v>4193</v>
      </c>
    </row>
    <row r="192" spans="1:11">
      <c r="A192" s="21" t="s">
        <v>3395</v>
      </c>
      <c r="B192" s="21" t="s">
        <v>4194</v>
      </c>
      <c r="C192" s="21" t="s">
        <v>8</v>
      </c>
      <c r="D192" s="21" t="s">
        <v>237</v>
      </c>
      <c r="E192" s="21" t="s">
        <v>9</v>
      </c>
      <c r="F192" s="5812">
        <v>3</v>
      </c>
      <c r="G192" s="5813">
        <v>0.20833333333333334</v>
      </c>
      <c r="H192" s="21" t="s">
        <v>10</v>
      </c>
      <c r="I192" s="21" t="s">
        <v>2713</v>
      </c>
      <c r="J192" s="21" t="s">
        <v>4195</v>
      </c>
      <c r="K192" s="5814" t="s">
        <v>4196</v>
      </c>
    </row>
    <row r="193" spans="1:11">
      <c r="A193" s="21" t="s">
        <v>3323</v>
      </c>
      <c r="B193" s="21" t="s">
        <v>4197</v>
      </c>
      <c r="C193" s="21" t="s">
        <v>8</v>
      </c>
      <c r="D193" s="21" t="s">
        <v>237</v>
      </c>
      <c r="E193" s="21" t="s">
        <v>9</v>
      </c>
      <c r="F193" s="5812">
        <v>3</v>
      </c>
      <c r="G193" s="5813">
        <v>0.20833333333333334</v>
      </c>
      <c r="H193" s="21" t="s">
        <v>10</v>
      </c>
      <c r="I193" s="21" t="s">
        <v>55</v>
      </c>
      <c r="J193" s="21" t="s">
        <v>4198</v>
      </c>
      <c r="K193" s="5814" t="s">
        <v>4199</v>
      </c>
    </row>
    <row r="194" spans="1:11">
      <c r="A194" s="21" t="s">
        <v>2643</v>
      </c>
      <c r="B194" s="21" t="s">
        <v>4200</v>
      </c>
      <c r="C194" s="21" t="s">
        <v>22</v>
      </c>
      <c r="D194" s="21" t="s">
        <v>237</v>
      </c>
      <c r="E194" s="21" t="s">
        <v>9</v>
      </c>
      <c r="F194" s="5812">
        <v>3</v>
      </c>
      <c r="G194" s="5813">
        <v>0.20833333333333334</v>
      </c>
      <c r="H194" s="21" t="s">
        <v>10</v>
      </c>
      <c r="I194" s="21" t="s">
        <v>39</v>
      </c>
      <c r="J194" s="21" t="s">
        <v>4075</v>
      </c>
      <c r="K194" s="5814" t="s">
        <v>4201</v>
      </c>
    </row>
    <row r="195" spans="1:11">
      <c r="A195" s="21" t="s">
        <v>2651</v>
      </c>
      <c r="B195" s="21" t="s">
        <v>4202</v>
      </c>
      <c r="C195" s="21" t="s">
        <v>8</v>
      </c>
      <c r="D195" s="21" t="s">
        <v>237</v>
      </c>
      <c r="E195" s="21" t="s">
        <v>9</v>
      </c>
      <c r="F195" s="5812">
        <v>3</v>
      </c>
      <c r="G195" s="5813">
        <v>0.20833333333333334</v>
      </c>
      <c r="H195" s="21" t="s">
        <v>10</v>
      </c>
      <c r="I195" s="21" t="s">
        <v>11</v>
      </c>
      <c r="J195" s="21" t="s">
        <v>4203</v>
      </c>
      <c r="K195" s="5814" t="s">
        <v>4204</v>
      </c>
    </row>
    <row r="196" spans="1:11">
      <c r="A196" s="21" t="s">
        <v>2655</v>
      </c>
      <c r="B196" s="21" t="s">
        <v>4205</v>
      </c>
      <c r="C196" s="21" t="s">
        <v>8</v>
      </c>
      <c r="D196" s="21" t="s">
        <v>237</v>
      </c>
      <c r="E196" s="21" t="s">
        <v>9</v>
      </c>
      <c r="F196" s="5812">
        <v>3</v>
      </c>
      <c r="G196" s="5813">
        <v>0.20833333333333334</v>
      </c>
      <c r="H196" s="21" t="s">
        <v>10</v>
      </c>
      <c r="I196" s="21" t="s">
        <v>2660</v>
      </c>
      <c r="J196" s="21" t="s">
        <v>4206</v>
      </c>
      <c r="K196" s="5814" t="s">
        <v>4207</v>
      </c>
    </row>
    <row r="197" spans="1:11">
      <c r="A197" s="21" t="s">
        <v>2998</v>
      </c>
      <c r="B197" s="21" t="s">
        <v>4208</v>
      </c>
      <c r="C197" s="21" t="s">
        <v>8</v>
      </c>
      <c r="D197" s="21" t="s">
        <v>237</v>
      </c>
      <c r="E197" s="21" t="s">
        <v>9</v>
      </c>
      <c r="F197" s="5812">
        <v>3</v>
      </c>
      <c r="G197" s="5813">
        <v>0.20833333333333334</v>
      </c>
      <c r="H197" s="21" t="s">
        <v>10</v>
      </c>
      <c r="I197" s="21" t="s">
        <v>233</v>
      </c>
      <c r="J197" s="21" t="s">
        <v>4209</v>
      </c>
      <c r="K197" s="5814" t="s">
        <v>4210</v>
      </c>
    </row>
    <row r="198" spans="1:11">
      <c r="A198" s="21" t="s">
        <v>2663</v>
      </c>
      <c r="B198" s="21" t="s">
        <v>4211</v>
      </c>
      <c r="C198" s="21" t="s">
        <v>8</v>
      </c>
      <c r="D198" s="21" t="s">
        <v>237</v>
      </c>
      <c r="E198" s="21" t="s">
        <v>9</v>
      </c>
      <c r="F198" s="5812">
        <v>3</v>
      </c>
      <c r="G198" s="5813">
        <v>0.20833333333333334</v>
      </c>
      <c r="H198" s="21" t="s">
        <v>10</v>
      </c>
      <c r="I198" s="21" t="s">
        <v>4212</v>
      </c>
      <c r="J198" s="21" t="s">
        <v>4213</v>
      </c>
      <c r="K198" s="5814" t="s">
        <v>4214</v>
      </c>
    </row>
    <row r="199" spans="1:11">
      <c r="A199" s="21" t="s">
        <v>3002</v>
      </c>
      <c r="B199" s="21" t="s">
        <v>4215</v>
      </c>
      <c r="C199" s="21" t="s">
        <v>22</v>
      </c>
      <c r="D199" s="21" t="s">
        <v>237</v>
      </c>
      <c r="E199" s="21" t="s">
        <v>9</v>
      </c>
      <c r="F199" s="5812">
        <v>3</v>
      </c>
      <c r="G199" s="5813">
        <v>0.20833333333333334</v>
      </c>
      <c r="H199" s="21" t="s">
        <v>10</v>
      </c>
      <c r="I199" s="21" t="s">
        <v>23</v>
      </c>
      <c r="J199" s="21" t="s">
        <v>4216</v>
      </c>
      <c r="K199" s="5814" t="s">
        <v>4217</v>
      </c>
    </row>
    <row r="200" spans="1:11">
      <c r="A200" s="21" t="s">
        <v>3364</v>
      </c>
      <c r="B200" s="21" t="s">
        <v>4218</v>
      </c>
      <c r="C200" s="21" t="s">
        <v>22</v>
      </c>
      <c r="D200" s="21" t="s">
        <v>237</v>
      </c>
      <c r="E200" s="21" t="s">
        <v>9</v>
      </c>
      <c r="F200" s="5812">
        <v>3</v>
      </c>
      <c r="G200" s="5813">
        <v>0.20833333333333334</v>
      </c>
      <c r="H200" s="21" t="s">
        <v>10</v>
      </c>
      <c r="I200" s="21" t="s">
        <v>11</v>
      </c>
      <c r="J200" s="21" t="s">
        <v>4219</v>
      </c>
      <c r="K200" s="5814" t="s">
        <v>4220</v>
      </c>
    </row>
    <row r="201" spans="1:11">
      <c r="A201" s="21" t="s">
        <v>3364</v>
      </c>
      <c r="B201" s="21" t="s">
        <v>4221</v>
      </c>
      <c r="C201" s="21" t="s">
        <v>8</v>
      </c>
      <c r="D201" s="21" t="s">
        <v>237</v>
      </c>
      <c r="E201" s="21" t="s">
        <v>9</v>
      </c>
      <c r="F201" s="5812">
        <v>3</v>
      </c>
      <c r="G201" s="5813">
        <v>0.20833333333333334</v>
      </c>
      <c r="H201" s="21" t="s">
        <v>10</v>
      </c>
      <c r="I201" s="21" t="s">
        <v>2176</v>
      </c>
      <c r="J201" s="21" t="s">
        <v>4222</v>
      </c>
      <c r="K201" s="5814" t="s">
        <v>4223</v>
      </c>
    </row>
    <row r="202" spans="1:11">
      <c r="A202" s="21" t="s">
        <v>3741</v>
      </c>
      <c r="B202" s="21" t="s">
        <v>4224</v>
      </c>
      <c r="C202" s="21" t="s">
        <v>22</v>
      </c>
      <c r="D202" s="21" t="s">
        <v>237</v>
      </c>
      <c r="E202" s="21" t="s">
        <v>9</v>
      </c>
      <c r="F202" s="5812">
        <v>3</v>
      </c>
      <c r="G202" s="5813">
        <v>0.20833333333333334</v>
      </c>
      <c r="H202" s="21" t="s">
        <v>10</v>
      </c>
      <c r="I202" s="21" t="s">
        <v>226</v>
      </c>
      <c r="J202" s="21" t="s">
        <v>4225</v>
      </c>
      <c r="K202" s="5814" t="s">
        <v>4226</v>
      </c>
    </row>
    <row r="203" spans="1:11">
      <c r="A203" s="21" t="s">
        <v>2675</v>
      </c>
      <c r="B203" s="21" t="s">
        <v>4227</v>
      </c>
      <c r="C203" s="21" t="s">
        <v>8</v>
      </c>
      <c r="D203" s="21" t="s">
        <v>237</v>
      </c>
      <c r="E203" s="21" t="s">
        <v>9</v>
      </c>
      <c r="F203" s="5812">
        <v>3</v>
      </c>
      <c r="G203" s="5813">
        <v>0.20833333333333334</v>
      </c>
      <c r="H203" s="21" t="s">
        <v>10</v>
      </c>
      <c r="I203" s="21" t="s">
        <v>400</v>
      </c>
      <c r="J203" s="21" t="s">
        <v>4228</v>
      </c>
      <c r="K203" s="5814" t="s">
        <v>4229</v>
      </c>
    </row>
    <row r="204" spans="1:11">
      <c r="A204" s="21" t="s">
        <v>2201</v>
      </c>
      <c r="B204" s="21" t="s">
        <v>4230</v>
      </c>
      <c r="C204" s="21" t="s">
        <v>22</v>
      </c>
      <c r="D204" s="21" t="s">
        <v>237</v>
      </c>
      <c r="E204" s="21" t="s">
        <v>9</v>
      </c>
      <c r="F204" s="5812">
        <v>3</v>
      </c>
      <c r="G204" s="5813">
        <v>0.20833333333333334</v>
      </c>
      <c r="H204" s="21" t="s">
        <v>10</v>
      </c>
      <c r="I204" s="21" t="s">
        <v>2692</v>
      </c>
      <c r="J204" s="21" t="s">
        <v>4231</v>
      </c>
      <c r="K204" s="5814" t="s">
        <v>4232</v>
      </c>
    </row>
    <row r="205" spans="1:11">
      <c r="A205" s="21" t="s">
        <v>4233</v>
      </c>
      <c r="B205" s="21" t="s">
        <v>4234</v>
      </c>
      <c r="C205" s="21" t="s">
        <v>8</v>
      </c>
      <c r="D205" s="21" t="s">
        <v>237</v>
      </c>
      <c r="E205" s="21" t="s">
        <v>9</v>
      </c>
      <c r="F205" s="5812">
        <v>3</v>
      </c>
      <c r="G205" s="5813">
        <v>0.20833333333333334</v>
      </c>
      <c r="H205" s="21" t="s">
        <v>10</v>
      </c>
      <c r="I205" s="21" t="s">
        <v>2872</v>
      </c>
      <c r="J205" s="21" t="s">
        <v>4235</v>
      </c>
      <c r="K205" s="5814" t="s">
        <v>4236</v>
      </c>
    </row>
    <row r="206" spans="1:11">
      <c r="A206" s="21" t="s">
        <v>2698</v>
      </c>
      <c r="B206" s="21" t="s">
        <v>4237</v>
      </c>
      <c r="C206" s="21" t="s">
        <v>22</v>
      </c>
      <c r="D206" s="21" t="s">
        <v>237</v>
      </c>
      <c r="E206" s="21" t="s">
        <v>9</v>
      </c>
      <c r="F206" s="5812">
        <v>3</v>
      </c>
      <c r="G206" s="5813">
        <v>0.20833333333333334</v>
      </c>
      <c r="H206" s="21" t="s">
        <v>10</v>
      </c>
      <c r="I206" s="21" t="s">
        <v>47</v>
      </c>
      <c r="J206" s="21" t="s">
        <v>4238</v>
      </c>
      <c r="K206" s="5814" t="s">
        <v>4239</v>
      </c>
    </row>
    <row r="207" spans="1:11">
      <c r="A207" s="21" t="s">
        <v>2702</v>
      </c>
      <c r="B207" s="21" t="s">
        <v>4240</v>
      </c>
      <c r="C207" s="21" t="s">
        <v>22</v>
      </c>
      <c r="D207" s="21" t="s">
        <v>237</v>
      </c>
      <c r="E207" s="21" t="s">
        <v>9</v>
      </c>
      <c r="F207" s="5812">
        <v>3</v>
      </c>
      <c r="G207" s="5813">
        <v>0.20833333333333334</v>
      </c>
      <c r="H207" s="21" t="s">
        <v>10</v>
      </c>
      <c r="I207" s="21" t="s">
        <v>96</v>
      </c>
      <c r="J207" s="21" t="s">
        <v>4241</v>
      </c>
      <c r="K207" s="5814" t="s">
        <v>4242</v>
      </c>
    </row>
    <row r="208" spans="1:11">
      <c r="A208" s="21" t="s">
        <v>2711</v>
      </c>
      <c r="B208" s="21" t="s">
        <v>4243</v>
      </c>
      <c r="C208" s="21" t="s">
        <v>8</v>
      </c>
      <c r="D208" s="21" t="s">
        <v>237</v>
      </c>
      <c r="E208" s="21" t="s">
        <v>9</v>
      </c>
      <c r="F208" s="5812">
        <v>3</v>
      </c>
      <c r="G208" s="5813">
        <v>0.20833333333333334</v>
      </c>
      <c r="H208" s="21" t="s">
        <v>10</v>
      </c>
      <c r="I208" s="21" t="s">
        <v>2713</v>
      </c>
      <c r="J208" s="21" t="s">
        <v>4244</v>
      </c>
      <c r="K208" s="5814" t="s">
        <v>4245</v>
      </c>
    </row>
    <row r="209" spans="1:11">
      <c r="A209" s="21" t="s">
        <v>2719</v>
      </c>
      <c r="B209" s="21" t="s">
        <v>4246</v>
      </c>
      <c r="C209" s="21" t="s">
        <v>8</v>
      </c>
      <c r="D209" s="21" t="s">
        <v>237</v>
      </c>
      <c r="E209" s="21" t="s">
        <v>9</v>
      </c>
      <c r="F209" s="5812">
        <v>3</v>
      </c>
      <c r="G209" s="5813">
        <v>0.20833333333333334</v>
      </c>
      <c r="H209" s="21" t="s">
        <v>10</v>
      </c>
      <c r="I209" s="21" t="s">
        <v>47</v>
      </c>
      <c r="J209" s="21" t="s">
        <v>4247</v>
      </c>
      <c r="K209" s="5814" t="s">
        <v>4248</v>
      </c>
    </row>
    <row r="210" spans="1:11">
      <c r="A210" s="21" t="s">
        <v>4249</v>
      </c>
      <c r="B210" s="21" t="s">
        <v>4250</v>
      </c>
      <c r="C210" s="21" t="s">
        <v>8</v>
      </c>
      <c r="D210" s="21" t="s">
        <v>237</v>
      </c>
      <c r="E210" s="21" t="s">
        <v>9</v>
      </c>
      <c r="F210" s="5812">
        <v>3</v>
      </c>
      <c r="G210" s="5813">
        <v>0.20833333333333334</v>
      </c>
      <c r="H210" s="21" t="s">
        <v>10</v>
      </c>
      <c r="I210" s="21" t="s">
        <v>194</v>
      </c>
      <c r="J210" s="21" t="s">
        <v>4251</v>
      </c>
      <c r="K210" s="5814" t="s">
        <v>4252</v>
      </c>
    </row>
    <row r="211" spans="1:11">
      <c r="A211" s="21" t="s">
        <v>4249</v>
      </c>
      <c r="B211" s="21" t="s">
        <v>4253</v>
      </c>
      <c r="C211" s="21" t="s">
        <v>8</v>
      </c>
      <c r="D211" s="21" t="s">
        <v>237</v>
      </c>
      <c r="E211" s="21" t="s">
        <v>9</v>
      </c>
      <c r="F211" s="5812">
        <v>3</v>
      </c>
      <c r="G211" s="5813">
        <v>0.20833333333333334</v>
      </c>
      <c r="H211" s="21" t="s">
        <v>10</v>
      </c>
      <c r="I211" s="21" t="s">
        <v>4254</v>
      </c>
      <c r="J211" s="21" t="s">
        <v>4255</v>
      </c>
      <c r="K211" s="5814" t="s">
        <v>4256</v>
      </c>
    </row>
    <row r="212" spans="1:11">
      <c r="A212" s="21" t="s">
        <v>4257</v>
      </c>
      <c r="B212" s="21" t="s">
        <v>4258</v>
      </c>
      <c r="C212" s="21" t="s">
        <v>22</v>
      </c>
      <c r="D212" s="21" t="s">
        <v>237</v>
      </c>
      <c r="E212" s="21" t="s">
        <v>9</v>
      </c>
      <c r="F212" s="5812">
        <v>3</v>
      </c>
      <c r="G212" s="5813">
        <v>0.20833333333333334</v>
      </c>
      <c r="H212" s="21" t="s">
        <v>10</v>
      </c>
      <c r="I212" s="21" t="s">
        <v>226</v>
      </c>
      <c r="J212" s="21" t="s">
        <v>4259</v>
      </c>
      <c r="K212" s="5814" t="s">
        <v>4260</v>
      </c>
    </row>
    <row r="213" spans="1:11">
      <c r="A213" s="21" t="s">
        <v>3125</v>
      </c>
      <c r="B213" s="21" t="s">
        <v>4261</v>
      </c>
      <c r="C213" s="21" t="s">
        <v>8</v>
      </c>
      <c r="D213" s="21" t="s">
        <v>237</v>
      </c>
      <c r="E213" s="21" t="s">
        <v>9</v>
      </c>
      <c r="F213" s="5812">
        <v>3</v>
      </c>
      <c r="G213" s="5813">
        <v>0.20833333333333334</v>
      </c>
      <c r="H213" s="21" t="s">
        <v>10</v>
      </c>
      <c r="I213" s="21" t="s">
        <v>187</v>
      </c>
      <c r="J213" s="21" t="s">
        <v>4262</v>
      </c>
      <c r="K213" s="5814" t="s">
        <v>4263</v>
      </c>
    </row>
    <row r="214" spans="1:11">
      <c r="A214" s="21" t="s">
        <v>3125</v>
      </c>
      <c r="B214" s="21" t="s">
        <v>4264</v>
      </c>
      <c r="C214" s="21" t="s">
        <v>22</v>
      </c>
      <c r="D214" s="21" t="s">
        <v>237</v>
      </c>
      <c r="E214" s="21" t="s">
        <v>9</v>
      </c>
      <c r="F214" s="5812">
        <v>3</v>
      </c>
      <c r="G214" s="5813">
        <v>0.20833333333333334</v>
      </c>
      <c r="H214" s="21" t="s">
        <v>10</v>
      </c>
      <c r="I214" s="21" t="s">
        <v>187</v>
      </c>
      <c r="J214" s="21" t="s">
        <v>4265</v>
      </c>
      <c r="K214" s="5814" t="s">
        <v>4266</v>
      </c>
    </row>
    <row r="215" spans="1:11">
      <c r="A215" s="21" t="s">
        <v>3125</v>
      </c>
      <c r="B215" s="21" t="s">
        <v>4267</v>
      </c>
      <c r="C215" s="21" t="s">
        <v>22</v>
      </c>
      <c r="D215" s="21" t="s">
        <v>237</v>
      </c>
      <c r="E215" s="21" t="s">
        <v>9</v>
      </c>
      <c r="F215" s="5812">
        <v>3</v>
      </c>
      <c r="G215" s="5813">
        <v>0.20833333333333334</v>
      </c>
      <c r="H215" s="21" t="s">
        <v>10</v>
      </c>
      <c r="I215" s="21" t="s">
        <v>4146</v>
      </c>
      <c r="J215" s="21" t="s">
        <v>4268</v>
      </c>
      <c r="K215" s="5814" t="s">
        <v>4269</v>
      </c>
    </row>
    <row r="216" spans="1:11">
      <c r="A216" s="21" t="s">
        <v>3354</v>
      </c>
      <c r="B216" s="21" t="s">
        <v>4270</v>
      </c>
      <c r="C216" s="21" t="s">
        <v>8</v>
      </c>
      <c r="D216" s="21" t="s">
        <v>237</v>
      </c>
      <c r="E216" s="21" t="s">
        <v>9</v>
      </c>
      <c r="F216" s="5812">
        <v>3</v>
      </c>
      <c r="G216" s="5813">
        <v>0.20833333333333334</v>
      </c>
      <c r="H216" s="21" t="s">
        <v>10</v>
      </c>
      <c r="I216" s="21" t="s">
        <v>3356</v>
      </c>
      <c r="J216" s="21" t="s">
        <v>4271</v>
      </c>
      <c r="K216" s="5814" t="s">
        <v>4272</v>
      </c>
    </row>
    <row r="217" spans="1:11">
      <c r="A217" s="21" t="s">
        <v>3369</v>
      </c>
      <c r="B217" s="21" t="s">
        <v>4273</v>
      </c>
      <c r="C217" s="21" t="s">
        <v>8</v>
      </c>
      <c r="D217" s="21" t="s">
        <v>237</v>
      </c>
      <c r="E217" s="21" t="s">
        <v>9</v>
      </c>
      <c r="F217" s="5812">
        <v>3</v>
      </c>
      <c r="G217" s="5813">
        <v>0.20833333333333334</v>
      </c>
      <c r="H217" s="21" t="s">
        <v>10</v>
      </c>
      <c r="I217" s="21" t="s">
        <v>2297</v>
      </c>
      <c r="J217" s="21" t="s">
        <v>4274</v>
      </c>
      <c r="K217" s="5814" t="s">
        <v>4275</v>
      </c>
    </row>
    <row r="218" spans="1:11">
      <c r="A218" s="21" t="s">
        <v>2212</v>
      </c>
      <c r="B218" s="21" t="s">
        <v>4276</v>
      </c>
      <c r="C218" s="21" t="s">
        <v>22</v>
      </c>
      <c r="D218" s="21" t="s">
        <v>237</v>
      </c>
      <c r="E218" s="21" t="s">
        <v>9</v>
      </c>
      <c r="F218" s="5812">
        <v>3</v>
      </c>
      <c r="G218" s="5813">
        <v>0.20833333333333334</v>
      </c>
      <c r="H218" s="21" t="s">
        <v>10</v>
      </c>
      <c r="I218" s="21" t="s">
        <v>39</v>
      </c>
      <c r="J218" s="21" t="s">
        <v>4277</v>
      </c>
      <c r="K218" s="5814" t="s">
        <v>4278</v>
      </c>
    </row>
    <row r="219" spans="1:11">
      <c r="A219" s="21" t="s">
        <v>3769</v>
      </c>
      <c r="B219" s="21" t="s">
        <v>4279</v>
      </c>
      <c r="C219" s="21" t="s">
        <v>22</v>
      </c>
      <c r="D219" s="21" t="s">
        <v>237</v>
      </c>
      <c r="E219" s="21" t="s">
        <v>9</v>
      </c>
      <c r="F219" s="5812">
        <v>3</v>
      </c>
      <c r="G219" s="5813">
        <v>0.20833333333333334</v>
      </c>
      <c r="H219" s="21" t="s">
        <v>10</v>
      </c>
      <c r="I219" s="21" t="s">
        <v>55</v>
      </c>
      <c r="J219" s="21" t="s">
        <v>4280</v>
      </c>
      <c r="K219" s="5814" t="s">
        <v>4281</v>
      </c>
    </row>
    <row r="220" spans="1:11">
      <c r="A220" s="21" t="s">
        <v>3213</v>
      </c>
      <c r="B220" s="21" t="s">
        <v>4282</v>
      </c>
      <c r="C220" s="21" t="s">
        <v>22</v>
      </c>
      <c r="D220" s="21" t="s">
        <v>237</v>
      </c>
      <c r="E220" s="21" t="s">
        <v>9</v>
      </c>
      <c r="F220" s="5812">
        <v>3</v>
      </c>
      <c r="G220" s="5813">
        <v>0.20833333333333334</v>
      </c>
      <c r="H220" s="21" t="s">
        <v>10</v>
      </c>
      <c r="I220" s="21" t="s">
        <v>47</v>
      </c>
      <c r="J220" s="21" t="s">
        <v>4283</v>
      </c>
      <c r="K220" s="5814" t="s">
        <v>4284</v>
      </c>
    </row>
    <row r="221" spans="1:11">
      <c r="A221" s="21" t="s">
        <v>3213</v>
      </c>
      <c r="B221" s="21" t="s">
        <v>4285</v>
      </c>
      <c r="C221" s="21" t="s">
        <v>22</v>
      </c>
      <c r="D221" s="21" t="s">
        <v>237</v>
      </c>
      <c r="E221" s="21" t="s">
        <v>9</v>
      </c>
      <c r="F221" s="5812">
        <v>3</v>
      </c>
      <c r="G221" s="5813">
        <v>0.20833333333333334</v>
      </c>
      <c r="H221" s="21" t="s">
        <v>10</v>
      </c>
      <c r="I221" s="21" t="s">
        <v>4286</v>
      </c>
      <c r="J221" s="21" t="s">
        <v>4287</v>
      </c>
      <c r="K221" s="5814" t="s">
        <v>4288</v>
      </c>
    </row>
    <row r="222" spans="1:11">
      <c r="A222" s="21" t="s">
        <v>4289</v>
      </c>
      <c r="B222" s="21" t="s">
        <v>4290</v>
      </c>
      <c r="C222" s="21" t="s">
        <v>8</v>
      </c>
      <c r="D222" s="21" t="s">
        <v>237</v>
      </c>
      <c r="E222" s="21" t="s">
        <v>9</v>
      </c>
      <c r="F222" s="5812">
        <v>3</v>
      </c>
      <c r="G222" s="5813">
        <v>0.20833333333333334</v>
      </c>
      <c r="H222" s="21" t="s">
        <v>10</v>
      </c>
      <c r="I222" s="21" t="s">
        <v>3534</v>
      </c>
      <c r="J222" s="21" t="s">
        <v>4291</v>
      </c>
      <c r="K222" s="5814" t="s">
        <v>4292</v>
      </c>
    </row>
    <row r="223" spans="1:11">
      <c r="A223" s="21" t="s">
        <v>4293</v>
      </c>
      <c r="B223" s="21" t="s">
        <v>4294</v>
      </c>
      <c r="C223" s="21" t="s">
        <v>8</v>
      </c>
      <c r="D223" s="21" t="s">
        <v>237</v>
      </c>
      <c r="E223" s="21" t="s">
        <v>9</v>
      </c>
      <c r="F223" s="5812">
        <v>3</v>
      </c>
      <c r="G223" s="5813">
        <v>0.20833333333333334</v>
      </c>
      <c r="H223" s="21" t="s">
        <v>10</v>
      </c>
      <c r="I223" s="21" t="s">
        <v>400</v>
      </c>
      <c r="J223" s="21" t="s">
        <v>4295</v>
      </c>
      <c r="K223" s="5814" t="s">
        <v>4296</v>
      </c>
    </row>
    <row r="224" spans="1:11">
      <c r="A224" s="21" t="s">
        <v>4293</v>
      </c>
      <c r="B224" s="21" t="s">
        <v>4297</v>
      </c>
      <c r="C224" s="21" t="s">
        <v>22</v>
      </c>
      <c r="D224" s="21" t="s">
        <v>237</v>
      </c>
      <c r="E224" s="21" t="s">
        <v>9</v>
      </c>
      <c r="F224" s="5812">
        <v>3</v>
      </c>
      <c r="G224" s="5813">
        <v>0.20833333333333334</v>
      </c>
      <c r="H224" s="21" t="s">
        <v>10</v>
      </c>
      <c r="I224" s="21" t="s">
        <v>4298</v>
      </c>
      <c r="J224" s="21" t="s">
        <v>4299</v>
      </c>
      <c r="K224" s="5814" t="s">
        <v>4300</v>
      </c>
    </row>
    <row r="225" spans="1:11">
      <c r="A225" s="21" t="s">
        <v>3537</v>
      </c>
      <c r="B225" s="21" t="s">
        <v>4301</v>
      </c>
      <c r="C225" s="21" t="s">
        <v>22</v>
      </c>
      <c r="D225" s="21" t="s">
        <v>237</v>
      </c>
      <c r="E225" s="21" t="s">
        <v>9</v>
      </c>
      <c r="F225" s="5812">
        <v>3</v>
      </c>
      <c r="G225" s="5813">
        <v>0.20833333333333334</v>
      </c>
      <c r="H225" s="21" t="s">
        <v>10</v>
      </c>
      <c r="I225" s="21" t="s">
        <v>2297</v>
      </c>
      <c r="J225" s="21" t="s">
        <v>4302</v>
      </c>
      <c r="K225" s="5814" t="s">
        <v>4303</v>
      </c>
    </row>
    <row r="226" spans="1:11">
      <c r="A226" s="21" t="s">
        <v>2768</v>
      </c>
      <c r="B226" s="21" t="s">
        <v>4304</v>
      </c>
      <c r="C226" s="21" t="s">
        <v>22</v>
      </c>
      <c r="D226" s="21" t="s">
        <v>237</v>
      </c>
      <c r="E226" s="21" t="s">
        <v>9</v>
      </c>
      <c r="F226" s="5812">
        <v>3</v>
      </c>
      <c r="G226" s="5813">
        <v>0.20833333333333334</v>
      </c>
      <c r="H226" s="21" t="s">
        <v>10</v>
      </c>
      <c r="I226" s="21" t="s">
        <v>194</v>
      </c>
      <c r="J226" s="21" t="s">
        <v>4305</v>
      </c>
      <c r="K226" s="5814" t="s">
        <v>4306</v>
      </c>
    </row>
    <row r="227" spans="1:11">
      <c r="A227" s="21" t="s">
        <v>2768</v>
      </c>
      <c r="B227" s="21" t="s">
        <v>4307</v>
      </c>
      <c r="C227" s="21" t="s">
        <v>8</v>
      </c>
      <c r="D227" s="21" t="s">
        <v>237</v>
      </c>
      <c r="E227" s="21" t="s">
        <v>9</v>
      </c>
      <c r="F227" s="5812">
        <v>3</v>
      </c>
      <c r="G227" s="5813">
        <v>0.20833333333333334</v>
      </c>
      <c r="H227" s="21" t="s">
        <v>10</v>
      </c>
      <c r="I227" s="21" t="s">
        <v>11</v>
      </c>
      <c r="J227" s="21" t="s">
        <v>4308</v>
      </c>
      <c r="K227" s="5814" t="s">
        <v>4309</v>
      </c>
    </row>
    <row r="228" spans="1:11">
      <c r="A228" s="21" t="s">
        <v>3430</v>
      </c>
      <c r="B228" s="21" t="s">
        <v>4310</v>
      </c>
      <c r="C228" s="21" t="s">
        <v>8</v>
      </c>
      <c r="D228" s="21" t="s">
        <v>237</v>
      </c>
      <c r="E228" s="21" t="s">
        <v>9</v>
      </c>
      <c r="F228" s="5812">
        <v>3</v>
      </c>
      <c r="G228" s="5813">
        <v>0.20833333333333334</v>
      </c>
      <c r="H228" s="21" t="s">
        <v>10</v>
      </c>
      <c r="I228" s="21" t="s">
        <v>47</v>
      </c>
      <c r="J228" s="21" t="s">
        <v>4311</v>
      </c>
      <c r="K228" s="5814" t="s">
        <v>4312</v>
      </c>
    </row>
    <row r="229" spans="1:11">
      <c r="A229" s="21" t="s">
        <v>4313</v>
      </c>
      <c r="B229" s="21" t="s">
        <v>4314</v>
      </c>
      <c r="C229" s="21" t="s">
        <v>8</v>
      </c>
      <c r="D229" s="21" t="s">
        <v>237</v>
      </c>
      <c r="E229" s="21" t="s">
        <v>9</v>
      </c>
      <c r="F229" s="5812">
        <v>3</v>
      </c>
      <c r="G229" s="5813">
        <v>0.20833333333333334</v>
      </c>
      <c r="H229" s="21" t="s">
        <v>10</v>
      </c>
      <c r="I229" s="21" t="s">
        <v>96</v>
      </c>
      <c r="J229" s="21" t="s">
        <v>4315</v>
      </c>
      <c r="K229" s="5814" t="s">
        <v>4316</v>
      </c>
    </row>
    <row r="230" spans="1:11">
      <c r="A230" s="21" t="s">
        <v>4317</v>
      </c>
      <c r="B230" s="21" t="s">
        <v>4318</v>
      </c>
      <c r="C230" s="21" t="s">
        <v>8</v>
      </c>
      <c r="D230" s="21" t="s">
        <v>237</v>
      </c>
      <c r="E230" s="21" t="s">
        <v>9</v>
      </c>
      <c r="F230" s="5812">
        <v>3</v>
      </c>
      <c r="G230" s="5813">
        <v>0.20833333333333334</v>
      </c>
      <c r="H230" s="21" t="s">
        <v>10</v>
      </c>
      <c r="I230" s="21" t="s">
        <v>3534</v>
      </c>
      <c r="J230" s="21" t="s">
        <v>4319</v>
      </c>
      <c r="K230" s="5814" t="s">
        <v>4320</v>
      </c>
    </row>
    <row r="231" spans="1:11">
      <c r="A231" s="21" t="s">
        <v>4321</v>
      </c>
      <c r="B231" s="21" t="s">
        <v>4322</v>
      </c>
      <c r="C231" s="21" t="s">
        <v>22</v>
      </c>
      <c r="D231" s="21" t="s">
        <v>237</v>
      </c>
      <c r="E231" s="21" t="s">
        <v>9</v>
      </c>
      <c r="F231" s="5812">
        <v>3</v>
      </c>
      <c r="G231" s="5813">
        <v>0.20833333333333334</v>
      </c>
      <c r="H231" s="21" t="s">
        <v>10</v>
      </c>
      <c r="I231" s="21" t="s">
        <v>73</v>
      </c>
      <c r="J231" s="21" t="s">
        <v>4323</v>
      </c>
      <c r="K231" s="5814" t="s">
        <v>4324</v>
      </c>
    </row>
    <row r="232" spans="1:11">
      <c r="A232" s="21" t="s">
        <v>2788</v>
      </c>
      <c r="B232" s="21" t="s">
        <v>4325</v>
      </c>
      <c r="C232" s="21" t="s">
        <v>22</v>
      </c>
      <c r="D232" s="21" t="s">
        <v>237</v>
      </c>
      <c r="E232" s="21" t="s">
        <v>9</v>
      </c>
      <c r="F232" s="5812">
        <v>3</v>
      </c>
      <c r="G232" s="5813">
        <v>0.20833333333333334</v>
      </c>
      <c r="H232" s="21" t="s">
        <v>10</v>
      </c>
      <c r="I232" s="21" t="s">
        <v>2747</v>
      </c>
      <c r="J232" s="21" t="s">
        <v>4326</v>
      </c>
      <c r="K232" s="5814" t="s">
        <v>4327</v>
      </c>
    </row>
    <row r="233" spans="1:11">
      <c r="A233" s="21" t="s">
        <v>2792</v>
      </c>
      <c r="B233" s="21" t="s">
        <v>4328</v>
      </c>
      <c r="C233" s="21" t="s">
        <v>22</v>
      </c>
      <c r="D233" s="21" t="s">
        <v>237</v>
      </c>
      <c r="E233" s="21" t="s">
        <v>9</v>
      </c>
      <c r="F233" s="5812">
        <v>3</v>
      </c>
      <c r="G233" s="5813">
        <v>0.20833333333333334</v>
      </c>
      <c r="H233" s="21" t="s">
        <v>10</v>
      </c>
      <c r="I233" s="21" t="s">
        <v>4329</v>
      </c>
      <c r="J233" s="21" t="s">
        <v>4330</v>
      </c>
      <c r="K233" s="5814" t="s">
        <v>4331</v>
      </c>
    </row>
    <row r="234" spans="1:11">
      <c r="A234" s="21" t="s">
        <v>2804</v>
      </c>
      <c r="B234" s="21" t="s">
        <v>4332</v>
      </c>
      <c r="C234" s="21" t="s">
        <v>22</v>
      </c>
      <c r="D234" s="21" t="s">
        <v>237</v>
      </c>
      <c r="E234" s="21" t="s">
        <v>9</v>
      </c>
      <c r="F234" s="5812">
        <v>3</v>
      </c>
      <c r="G234" s="5813">
        <v>0.20833333333333334</v>
      </c>
      <c r="H234" s="21" t="s">
        <v>10</v>
      </c>
      <c r="I234" s="21" t="s">
        <v>3024</v>
      </c>
      <c r="J234" s="21" t="s">
        <v>4333</v>
      </c>
      <c r="K234" s="5814" t="s">
        <v>4334</v>
      </c>
    </row>
    <row r="235" spans="1:11">
      <c r="A235" s="21" t="s">
        <v>2808</v>
      </c>
      <c r="B235" s="21" t="s">
        <v>4335</v>
      </c>
      <c r="C235" s="21" t="s">
        <v>8</v>
      </c>
      <c r="D235" s="21" t="s">
        <v>237</v>
      </c>
      <c r="E235" s="21" t="s">
        <v>9</v>
      </c>
      <c r="F235" s="5812">
        <v>3</v>
      </c>
      <c r="G235" s="5813">
        <v>0.20833333333333334</v>
      </c>
      <c r="H235" s="21" t="s">
        <v>10</v>
      </c>
      <c r="I235" s="21" t="s">
        <v>226</v>
      </c>
      <c r="J235" s="21" t="s">
        <v>4336</v>
      </c>
      <c r="K235" s="5814" t="s">
        <v>4337</v>
      </c>
    </row>
    <row r="236" spans="1:11">
      <c r="A236" s="21" t="s">
        <v>4338</v>
      </c>
      <c r="B236" s="21" t="s">
        <v>4339</v>
      </c>
      <c r="C236" s="21" t="s">
        <v>22</v>
      </c>
      <c r="D236" s="21" t="s">
        <v>237</v>
      </c>
      <c r="E236" s="21" t="s">
        <v>9</v>
      </c>
      <c r="F236" s="5812">
        <v>3</v>
      </c>
      <c r="G236" s="5813">
        <v>0.20833333333333334</v>
      </c>
      <c r="H236" s="21" t="s">
        <v>10</v>
      </c>
      <c r="I236" s="21" t="s">
        <v>226</v>
      </c>
      <c r="J236" s="21" t="s">
        <v>4340</v>
      </c>
      <c r="K236" s="5814" t="s">
        <v>4341</v>
      </c>
    </row>
    <row r="237" spans="1:11">
      <c r="A237" s="21" t="s">
        <v>3044</v>
      </c>
      <c r="B237" s="21" t="s">
        <v>4342</v>
      </c>
      <c r="C237" s="21" t="s">
        <v>22</v>
      </c>
      <c r="D237" s="21" t="s">
        <v>237</v>
      </c>
      <c r="E237" s="21" t="s">
        <v>9</v>
      </c>
      <c r="F237" s="5812">
        <v>3</v>
      </c>
      <c r="G237" s="5813">
        <v>0.20833333333333334</v>
      </c>
      <c r="H237" s="21" t="s">
        <v>10</v>
      </c>
      <c r="I237" s="21" t="s">
        <v>23</v>
      </c>
      <c r="J237" s="21" t="s">
        <v>4343</v>
      </c>
      <c r="K237" s="5814" t="s">
        <v>4344</v>
      </c>
    </row>
    <row r="238" spans="1:11">
      <c r="A238" s="21" t="s">
        <v>4345</v>
      </c>
      <c r="B238" s="21" t="s">
        <v>4346</v>
      </c>
      <c r="C238" s="21" t="s">
        <v>22</v>
      </c>
      <c r="D238" s="21" t="s">
        <v>237</v>
      </c>
      <c r="E238" s="21" t="s">
        <v>9</v>
      </c>
      <c r="F238" s="5812">
        <v>3</v>
      </c>
      <c r="G238" s="5813">
        <v>0.20833333333333334</v>
      </c>
      <c r="H238" s="21" t="s">
        <v>10</v>
      </c>
      <c r="I238" s="21" t="s">
        <v>3534</v>
      </c>
      <c r="J238" s="21" t="s">
        <v>4347</v>
      </c>
      <c r="K238" s="5814" t="s">
        <v>4348</v>
      </c>
    </row>
    <row r="239" spans="1:11">
      <c r="A239" s="21" t="s">
        <v>4345</v>
      </c>
      <c r="B239" s="21" t="s">
        <v>4349</v>
      </c>
      <c r="C239" s="21" t="s">
        <v>8</v>
      </c>
      <c r="D239" s="21" t="s">
        <v>237</v>
      </c>
      <c r="E239" s="21" t="s">
        <v>9</v>
      </c>
      <c r="F239" s="5812">
        <v>3</v>
      </c>
      <c r="G239" s="5813">
        <v>0.20833333333333334</v>
      </c>
      <c r="H239" s="21" t="s">
        <v>10</v>
      </c>
      <c r="I239" s="21" t="s">
        <v>2269</v>
      </c>
      <c r="J239" s="21" t="s">
        <v>4350</v>
      </c>
      <c r="K239" s="5814" t="s">
        <v>4351</v>
      </c>
    </row>
    <row r="240" spans="1:11">
      <c r="A240" s="21" t="s">
        <v>2812</v>
      </c>
      <c r="B240" s="21" t="s">
        <v>4352</v>
      </c>
      <c r="C240" s="21" t="s">
        <v>8</v>
      </c>
      <c r="D240" s="21" t="s">
        <v>237</v>
      </c>
      <c r="E240" s="21" t="s">
        <v>9</v>
      </c>
      <c r="F240" s="5812">
        <v>3</v>
      </c>
      <c r="G240" s="5813">
        <v>0.20833333333333334</v>
      </c>
      <c r="H240" s="21" t="s">
        <v>10</v>
      </c>
      <c r="I240" s="21" t="s">
        <v>2814</v>
      </c>
      <c r="J240" s="21" t="s">
        <v>4353</v>
      </c>
      <c r="K240" s="5814" t="s">
        <v>4354</v>
      </c>
    </row>
    <row r="241" spans="1:11">
      <c r="A241" s="21" t="s">
        <v>3541</v>
      </c>
      <c r="B241" s="21" t="s">
        <v>4355</v>
      </c>
      <c r="C241" s="21" t="s">
        <v>8</v>
      </c>
      <c r="D241" s="21" t="s">
        <v>237</v>
      </c>
      <c r="E241" s="21" t="s">
        <v>9</v>
      </c>
      <c r="F241" s="5812">
        <v>3</v>
      </c>
      <c r="G241" s="5813">
        <v>0.20833333333333334</v>
      </c>
      <c r="H241" s="21" t="s">
        <v>10</v>
      </c>
      <c r="I241" s="21" t="s">
        <v>11</v>
      </c>
      <c r="J241" s="21" t="s">
        <v>4356</v>
      </c>
      <c r="K241" s="5814" t="s">
        <v>4357</v>
      </c>
    </row>
    <row r="242" spans="1:11">
      <c r="A242" s="21" t="s">
        <v>2245</v>
      </c>
      <c r="B242" s="21" t="s">
        <v>4358</v>
      </c>
      <c r="C242" s="21" t="s">
        <v>8</v>
      </c>
      <c r="D242" s="21" t="s">
        <v>237</v>
      </c>
      <c r="E242" s="21" t="s">
        <v>9</v>
      </c>
      <c r="F242" s="5812">
        <v>3</v>
      </c>
      <c r="G242" s="5813">
        <v>0.20833333333333334</v>
      </c>
      <c r="H242" s="21" t="s">
        <v>10</v>
      </c>
      <c r="I242" s="21" t="s">
        <v>3593</v>
      </c>
      <c r="J242" s="21" t="s">
        <v>4359</v>
      </c>
      <c r="K242" s="5814" t="s">
        <v>4360</v>
      </c>
    </row>
    <row r="243" spans="1:11">
      <c r="A243" s="21" t="s">
        <v>2295</v>
      </c>
      <c r="B243" s="21" t="s">
        <v>4361</v>
      </c>
      <c r="C243" s="21" t="s">
        <v>22</v>
      </c>
      <c r="D243" s="21" t="s">
        <v>237</v>
      </c>
      <c r="E243" s="21" t="s">
        <v>9</v>
      </c>
      <c r="F243" s="5812">
        <v>3</v>
      </c>
      <c r="G243" s="5813">
        <v>0.20833333333333334</v>
      </c>
      <c r="H243" s="21" t="s">
        <v>10</v>
      </c>
      <c r="I243" s="21" t="s">
        <v>226</v>
      </c>
      <c r="J243" s="21" t="s">
        <v>4362</v>
      </c>
      <c r="K243" s="5814" t="s">
        <v>4363</v>
      </c>
    </row>
    <row r="244" spans="1:11">
      <c r="A244" s="21" t="s">
        <v>2817</v>
      </c>
      <c r="B244" s="21" t="s">
        <v>4364</v>
      </c>
      <c r="C244" s="21" t="s">
        <v>8</v>
      </c>
      <c r="D244" s="21" t="s">
        <v>237</v>
      </c>
      <c r="E244" s="21" t="s">
        <v>9</v>
      </c>
      <c r="F244" s="5812">
        <v>3</v>
      </c>
      <c r="G244" s="5813">
        <v>0.20833333333333334</v>
      </c>
      <c r="H244" s="21" t="s">
        <v>10</v>
      </c>
      <c r="I244" s="21" t="s">
        <v>2297</v>
      </c>
      <c r="J244" s="21" t="s">
        <v>4365</v>
      </c>
      <c r="K244" s="5814" t="s">
        <v>4366</v>
      </c>
    </row>
    <row r="245" spans="1:11">
      <c r="A245" s="21" t="s">
        <v>2932</v>
      </c>
      <c r="B245" s="21" t="s">
        <v>4367</v>
      </c>
      <c r="C245" s="21" t="s">
        <v>8</v>
      </c>
      <c r="D245" s="21" t="s">
        <v>237</v>
      </c>
      <c r="E245" s="21" t="s">
        <v>9</v>
      </c>
      <c r="F245" s="5812">
        <v>3</v>
      </c>
      <c r="G245" s="5813">
        <v>0.20833333333333334</v>
      </c>
      <c r="H245" s="21" t="s">
        <v>10</v>
      </c>
      <c r="I245" s="21" t="s">
        <v>39</v>
      </c>
      <c r="J245" s="21" t="s">
        <v>4368</v>
      </c>
      <c r="K245" s="5814" t="s">
        <v>4369</v>
      </c>
    </row>
    <row r="246" spans="1:11">
      <c r="A246" s="21" t="s">
        <v>3828</v>
      </c>
      <c r="B246" s="21" t="s">
        <v>4370</v>
      </c>
      <c r="C246" s="21" t="s">
        <v>8</v>
      </c>
      <c r="D246" s="21" t="s">
        <v>237</v>
      </c>
      <c r="E246" s="21" t="s">
        <v>9</v>
      </c>
      <c r="F246" s="5812">
        <v>3</v>
      </c>
      <c r="G246" s="5813">
        <v>0.20833333333333334</v>
      </c>
      <c r="H246" s="21" t="s">
        <v>10</v>
      </c>
      <c r="I246" s="21" t="s">
        <v>2297</v>
      </c>
      <c r="J246" s="21" t="s">
        <v>4371</v>
      </c>
      <c r="K246" s="5814" t="s">
        <v>4372</v>
      </c>
    </row>
    <row r="247" spans="1:11">
      <c r="A247" s="21" t="s">
        <v>3828</v>
      </c>
      <c r="B247" s="21" t="s">
        <v>4373</v>
      </c>
      <c r="C247" s="21" t="s">
        <v>8</v>
      </c>
      <c r="D247" s="21" t="s">
        <v>237</v>
      </c>
      <c r="E247" s="21" t="s">
        <v>9</v>
      </c>
      <c r="F247" s="5812">
        <v>3</v>
      </c>
      <c r="G247" s="5813">
        <v>0.20833333333333334</v>
      </c>
      <c r="H247" s="21" t="s">
        <v>10</v>
      </c>
      <c r="I247" s="21" t="s">
        <v>2297</v>
      </c>
      <c r="J247" s="21" t="s">
        <v>4374</v>
      </c>
      <c r="K247" s="5814" t="s">
        <v>4375</v>
      </c>
    </row>
    <row r="248" spans="1:11">
      <c r="A248" s="21" t="s">
        <v>3192</v>
      </c>
      <c r="B248" s="21" t="s">
        <v>4376</v>
      </c>
      <c r="C248" s="21" t="s">
        <v>8</v>
      </c>
      <c r="D248" s="21" t="s">
        <v>237</v>
      </c>
      <c r="E248" s="21" t="s">
        <v>9</v>
      </c>
      <c r="F248" s="5812">
        <v>3</v>
      </c>
      <c r="G248" s="5813">
        <v>0.20833333333333334</v>
      </c>
      <c r="H248" s="21" t="s">
        <v>10</v>
      </c>
      <c r="I248" s="21" t="s">
        <v>55</v>
      </c>
      <c r="J248" s="21" t="s">
        <v>4377</v>
      </c>
      <c r="K248" s="5814" t="s">
        <v>4378</v>
      </c>
    </row>
    <row r="249" spans="1:11">
      <c r="A249" s="21" t="s">
        <v>4379</v>
      </c>
      <c r="B249" s="21" t="s">
        <v>4380</v>
      </c>
      <c r="C249" s="21" t="s">
        <v>8</v>
      </c>
      <c r="D249" s="21" t="s">
        <v>237</v>
      </c>
      <c r="E249" s="21" t="s">
        <v>9</v>
      </c>
      <c r="F249" s="5812">
        <v>3</v>
      </c>
      <c r="G249" s="5813">
        <v>0.20833333333333334</v>
      </c>
      <c r="H249" s="21" t="s">
        <v>10</v>
      </c>
      <c r="I249" s="21" t="s">
        <v>96</v>
      </c>
      <c r="J249" s="21" t="s">
        <v>4381</v>
      </c>
      <c r="K249" s="5814" t="s">
        <v>4382</v>
      </c>
    </row>
    <row r="250" spans="1:11">
      <c r="A250" s="21" t="s">
        <v>4383</v>
      </c>
      <c r="B250" s="21" t="s">
        <v>4384</v>
      </c>
      <c r="C250" s="21" t="s">
        <v>8</v>
      </c>
      <c r="D250" s="21" t="s">
        <v>237</v>
      </c>
      <c r="E250" s="21" t="s">
        <v>9</v>
      </c>
      <c r="F250" s="5812">
        <v>3</v>
      </c>
      <c r="G250" s="5813">
        <v>0.20833333333333334</v>
      </c>
      <c r="H250" s="21" t="s">
        <v>10</v>
      </c>
      <c r="I250" s="21" t="s">
        <v>2297</v>
      </c>
      <c r="J250" s="21" t="s">
        <v>4385</v>
      </c>
      <c r="K250" s="5814" t="s">
        <v>4386</v>
      </c>
    </row>
    <row r="251" spans="1:11">
      <c r="A251" s="21" t="s">
        <v>4383</v>
      </c>
      <c r="B251" s="21" t="s">
        <v>4387</v>
      </c>
      <c r="C251" s="21" t="s">
        <v>22</v>
      </c>
      <c r="D251" s="21" t="s">
        <v>237</v>
      </c>
      <c r="E251" s="21" t="s">
        <v>9</v>
      </c>
      <c r="F251" s="5812">
        <v>3</v>
      </c>
      <c r="G251" s="5813">
        <v>0.20833333333333334</v>
      </c>
      <c r="H251" s="21" t="s">
        <v>10</v>
      </c>
      <c r="I251" s="21" t="s">
        <v>2297</v>
      </c>
      <c r="J251" s="21" t="s">
        <v>4388</v>
      </c>
      <c r="K251" s="5814" t="s">
        <v>4389</v>
      </c>
    </row>
    <row r="252" spans="1:11">
      <c r="A252" s="21" t="s">
        <v>2254</v>
      </c>
      <c r="B252" s="21" t="s">
        <v>4390</v>
      </c>
      <c r="C252" s="21" t="s">
        <v>22</v>
      </c>
      <c r="D252" s="21" t="s">
        <v>237</v>
      </c>
      <c r="E252" s="21" t="s">
        <v>9</v>
      </c>
      <c r="F252" s="5812">
        <v>3</v>
      </c>
      <c r="G252" s="5813">
        <v>0.20833333333333334</v>
      </c>
      <c r="H252" s="21" t="s">
        <v>10</v>
      </c>
      <c r="I252" s="21" t="s">
        <v>55</v>
      </c>
      <c r="J252" s="21" t="s">
        <v>4391</v>
      </c>
      <c r="K252" s="5814" t="s">
        <v>4392</v>
      </c>
    </row>
    <row r="253" spans="1:11">
      <c r="A253" s="21" t="s">
        <v>2921</v>
      </c>
      <c r="B253" s="21" t="s">
        <v>4393</v>
      </c>
      <c r="C253" s="21" t="s">
        <v>8</v>
      </c>
      <c r="D253" s="21" t="s">
        <v>237</v>
      </c>
      <c r="E253" s="21" t="s">
        <v>9</v>
      </c>
      <c r="F253" s="5812">
        <v>3</v>
      </c>
      <c r="G253" s="5813">
        <v>0.20833333333333334</v>
      </c>
      <c r="H253" s="21" t="s">
        <v>10</v>
      </c>
      <c r="I253" s="21" t="s">
        <v>55</v>
      </c>
      <c r="J253" s="21" t="s">
        <v>4394</v>
      </c>
      <c r="K253" s="5814" t="s">
        <v>4395</v>
      </c>
    </row>
    <row r="254" spans="1:11">
      <c r="A254" s="21" t="s">
        <v>4396</v>
      </c>
      <c r="B254" s="21" t="s">
        <v>4397</v>
      </c>
      <c r="C254" s="21" t="s">
        <v>8</v>
      </c>
      <c r="D254" s="21" t="s">
        <v>237</v>
      </c>
      <c r="E254" s="21" t="s">
        <v>9</v>
      </c>
      <c r="F254" s="5812">
        <v>3</v>
      </c>
      <c r="G254" s="5813">
        <v>0.20833333333333334</v>
      </c>
      <c r="H254" s="21" t="s">
        <v>10</v>
      </c>
      <c r="I254" s="21" t="s">
        <v>2872</v>
      </c>
      <c r="J254" s="21" t="s">
        <v>4398</v>
      </c>
      <c r="K254" s="5814" t="s">
        <v>4399</v>
      </c>
    </row>
    <row r="255" spans="1:11">
      <c r="A255" s="21" t="s">
        <v>2258</v>
      </c>
      <c r="B255" s="21" t="s">
        <v>4400</v>
      </c>
      <c r="C255" s="21" t="s">
        <v>22</v>
      </c>
      <c r="D255" s="21" t="s">
        <v>237</v>
      </c>
      <c r="E255" s="21" t="s">
        <v>9</v>
      </c>
      <c r="F255" s="5812">
        <v>3</v>
      </c>
      <c r="G255" s="5813">
        <v>0.20833333333333334</v>
      </c>
      <c r="H255" s="21" t="s">
        <v>10</v>
      </c>
      <c r="I255" s="21" t="s">
        <v>2731</v>
      </c>
      <c r="J255" s="21" t="s">
        <v>4401</v>
      </c>
      <c r="K255" s="5814" t="s">
        <v>4402</v>
      </c>
    </row>
    <row r="256" spans="1:11">
      <c r="A256" s="21" t="s">
        <v>2258</v>
      </c>
      <c r="B256" s="21" t="s">
        <v>4403</v>
      </c>
      <c r="C256" s="21" t="s">
        <v>8</v>
      </c>
      <c r="D256" s="21" t="s">
        <v>237</v>
      </c>
      <c r="E256" s="21" t="s">
        <v>9</v>
      </c>
      <c r="F256" s="5812">
        <v>3</v>
      </c>
      <c r="G256" s="5813">
        <v>0.20833333333333334</v>
      </c>
      <c r="H256" s="21" t="s">
        <v>10</v>
      </c>
      <c r="I256" s="21" t="s">
        <v>2731</v>
      </c>
      <c r="J256" s="21" t="s">
        <v>4404</v>
      </c>
      <c r="K256" s="5814" t="s">
        <v>4405</v>
      </c>
    </row>
    <row r="257" spans="1:11">
      <c r="A257" s="21" t="s">
        <v>3565</v>
      </c>
      <c r="B257" s="21" t="s">
        <v>4406</v>
      </c>
      <c r="C257" s="21" t="s">
        <v>8</v>
      </c>
      <c r="D257" s="21" t="s">
        <v>237</v>
      </c>
      <c r="E257" s="21" t="s">
        <v>9</v>
      </c>
      <c r="F257" s="5812">
        <v>3</v>
      </c>
      <c r="G257" s="5813">
        <v>0.20833333333333334</v>
      </c>
      <c r="H257" s="21" t="s">
        <v>10</v>
      </c>
      <c r="I257" s="21" t="s">
        <v>11</v>
      </c>
      <c r="J257" s="21" t="s">
        <v>4407</v>
      </c>
      <c r="K257" s="5814" t="s">
        <v>4408</v>
      </c>
    </row>
    <row r="258" spans="1:11">
      <c r="A258" s="21" t="s">
        <v>4409</v>
      </c>
      <c r="B258" s="21" t="s">
        <v>4410</v>
      </c>
      <c r="C258" s="21" t="s">
        <v>22</v>
      </c>
      <c r="D258" s="21" t="s">
        <v>237</v>
      </c>
      <c r="E258" s="21" t="s">
        <v>9</v>
      </c>
      <c r="F258" s="5812">
        <v>3</v>
      </c>
      <c r="G258" s="5813">
        <v>0.20833333333333334</v>
      </c>
      <c r="H258" s="21" t="s">
        <v>10</v>
      </c>
      <c r="I258" s="21" t="s">
        <v>39</v>
      </c>
      <c r="J258" s="21" t="s">
        <v>4411</v>
      </c>
      <c r="K258" s="5814" t="s">
        <v>4412</v>
      </c>
    </row>
    <row r="259" spans="1:11">
      <c r="A259" s="21" t="s">
        <v>2846</v>
      </c>
      <c r="B259" s="21" t="s">
        <v>4413</v>
      </c>
      <c r="C259" s="21" t="s">
        <v>8</v>
      </c>
      <c r="D259" s="21" t="s">
        <v>237</v>
      </c>
      <c r="E259" s="21" t="s">
        <v>9</v>
      </c>
      <c r="F259" s="5812">
        <v>3</v>
      </c>
      <c r="G259" s="5813">
        <v>0.20833333333333334</v>
      </c>
      <c r="H259" s="21" t="s">
        <v>10</v>
      </c>
      <c r="I259" s="21" t="s">
        <v>263</v>
      </c>
      <c r="J259" s="21" t="s">
        <v>4414</v>
      </c>
      <c r="K259" s="5814" t="s">
        <v>4415</v>
      </c>
    </row>
    <row r="260" spans="1:11">
      <c r="A260" s="21" t="s">
        <v>3144</v>
      </c>
      <c r="B260" s="21" t="s">
        <v>4416</v>
      </c>
      <c r="C260" s="21" t="s">
        <v>8</v>
      </c>
      <c r="D260" s="21" t="s">
        <v>237</v>
      </c>
      <c r="E260" s="21" t="s">
        <v>9</v>
      </c>
      <c r="F260" s="5812">
        <v>3</v>
      </c>
      <c r="G260" s="5813">
        <v>0.20833333333333334</v>
      </c>
      <c r="H260" s="21" t="s">
        <v>10</v>
      </c>
      <c r="I260" s="21" t="s">
        <v>4417</v>
      </c>
      <c r="J260" s="21" t="s">
        <v>4418</v>
      </c>
      <c r="K260" s="5814" t="s">
        <v>4419</v>
      </c>
    </row>
    <row r="261" spans="1:11">
      <c r="A261" s="21" t="s">
        <v>2850</v>
      </c>
      <c r="B261" s="21" t="s">
        <v>4420</v>
      </c>
      <c r="C261" s="21" t="s">
        <v>8</v>
      </c>
      <c r="D261" s="21" t="s">
        <v>237</v>
      </c>
      <c r="E261" s="21" t="s">
        <v>9</v>
      </c>
      <c r="F261" s="5812">
        <v>3</v>
      </c>
      <c r="G261" s="5813">
        <v>0.20833333333333334</v>
      </c>
      <c r="H261" s="21" t="s">
        <v>10</v>
      </c>
      <c r="I261" s="21"/>
      <c r="J261" s="21" t="s">
        <v>4421</v>
      </c>
      <c r="K261" s="5814" t="s">
        <v>4422</v>
      </c>
    </row>
    <row r="262" spans="1:11">
      <c r="A262" s="21" t="s">
        <v>4423</v>
      </c>
      <c r="B262" s="21" t="s">
        <v>4424</v>
      </c>
      <c r="C262" s="21" t="s">
        <v>8</v>
      </c>
      <c r="D262" s="21" t="s">
        <v>237</v>
      </c>
      <c r="E262" s="21" t="s">
        <v>9</v>
      </c>
      <c r="F262" s="5812">
        <v>3</v>
      </c>
      <c r="G262" s="5813">
        <v>0.20833333333333334</v>
      </c>
      <c r="H262" s="21" t="s">
        <v>10</v>
      </c>
      <c r="I262" s="21" t="s">
        <v>2297</v>
      </c>
      <c r="J262" s="21" t="s">
        <v>4425</v>
      </c>
      <c r="K262" s="5814" t="s">
        <v>4426</v>
      </c>
    </row>
    <row r="263" spans="1:11">
      <c r="A263" s="21" t="s">
        <v>2854</v>
      </c>
      <c r="B263" s="21" t="s">
        <v>4427</v>
      </c>
      <c r="C263" s="21" t="s">
        <v>8</v>
      </c>
      <c r="D263" s="21" t="s">
        <v>237</v>
      </c>
      <c r="E263" s="21" t="s">
        <v>9</v>
      </c>
      <c r="F263" s="5812">
        <v>3</v>
      </c>
      <c r="G263" s="5813">
        <v>0.20833333333333334</v>
      </c>
      <c r="H263" s="21" t="s">
        <v>10</v>
      </c>
      <c r="I263" s="21" t="s">
        <v>226</v>
      </c>
      <c r="J263" s="21" t="s">
        <v>4428</v>
      </c>
      <c r="K263" s="5814" t="s">
        <v>4429</v>
      </c>
    </row>
    <row r="264" spans="1:11">
      <c r="A264" s="21" t="s">
        <v>4430</v>
      </c>
      <c r="B264" s="21" t="s">
        <v>4431</v>
      </c>
      <c r="C264" s="21" t="s">
        <v>8</v>
      </c>
      <c r="D264" s="21" t="s">
        <v>237</v>
      </c>
      <c r="E264" s="21" t="s">
        <v>9</v>
      </c>
      <c r="F264" s="5812">
        <v>3</v>
      </c>
      <c r="G264" s="5813">
        <v>0.20833333333333334</v>
      </c>
      <c r="H264" s="21" t="s">
        <v>10</v>
      </c>
      <c r="I264" s="21" t="s">
        <v>47</v>
      </c>
      <c r="J264" s="21" t="s">
        <v>4432</v>
      </c>
      <c r="K264" s="5814" t="s">
        <v>4433</v>
      </c>
    </row>
    <row r="265" spans="1:11">
      <c r="A265" s="21" t="s">
        <v>4434</v>
      </c>
      <c r="B265" s="21" t="s">
        <v>4435</v>
      </c>
      <c r="C265" s="21" t="s">
        <v>8</v>
      </c>
      <c r="D265" s="21" t="s">
        <v>237</v>
      </c>
      <c r="E265" s="21" t="s">
        <v>9</v>
      </c>
      <c r="F265" s="5812">
        <v>3</v>
      </c>
      <c r="G265" s="5813">
        <v>0.20833333333333334</v>
      </c>
      <c r="H265" s="21" t="s">
        <v>10</v>
      </c>
      <c r="I265" s="21" t="s">
        <v>73</v>
      </c>
      <c r="J265" s="21" t="s">
        <v>4436</v>
      </c>
      <c r="K265" s="5814" t="s">
        <v>4437</v>
      </c>
    </row>
    <row r="266" spans="1:11">
      <c r="A266" s="21" t="s">
        <v>2280</v>
      </c>
      <c r="B266" s="21" t="s">
        <v>4438</v>
      </c>
      <c r="C266" s="21" t="s">
        <v>8</v>
      </c>
      <c r="D266" s="21" t="s">
        <v>237</v>
      </c>
      <c r="E266" s="21" t="s">
        <v>9</v>
      </c>
      <c r="F266" s="5812">
        <v>3</v>
      </c>
      <c r="G266" s="5813">
        <v>0.20833333333333334</v>
      </c>
      <c r="H266" s="21" t="s">
        <v>10</v>
      </c>
      <c r="I266" s="21" t="s">
        <v>96</v>
      </c>
      <c r="J266" s="21" t="s">
        <v>4439</v>
      </c>
      <c r="K266" s="5814" t="s">
        <v>4440</v>
      </c>
    </row>
    <row r="267" spans="1:11">
      <c r="A267" s="21" t="s">
        <v>3098</v>
      </c>
      <c r="B267" s="21" t="s">
        <v>4441</v>
      </c>
      <c r="C267" s="21" t="s">
        <v>22</v>
      </c>
      <c r="D267" s="21" t="s">
        <v>237</v>
      </c>
      <c r="E267" s="21" t="s">
        <v>9</v>
      </c>
      <c r="F267" s="5812">
        <v>3</v>
      </c>
      <c r="G267" s="5813">
        <v>0.20833333333333334</v>
      </c>
      <c r="H267" s="21" t="s">
        <v>10</v>
      </c>
      <c r="I267" s="21" t="s">
        <v>2713</v>
      </c>
      <c r="J267" s="21" t="s">
        <v>4442</v>
      </c>
      <c r="K267" s="5814" t="s">
        <v>4443</v>
      </c>
    </row>
    <row r="268" spans="1:11">
      <c r="A268" s="21" t="s">
        <v>3260</v>
      </c>
      <c r="B268" s="21" t="s">
        <v>4444</v>
      </c>
      <c r="C268" s="21" t="s">
        <v>8</v>
      </c>
      <c r="D268" s="21" t="s">
        <v>237</v>
      </c>
      <c r="E268" s="21" t="s">
        <v>9</v>
      </c>
      <c r="F268" s="5812">
        <v>3</v>
      </c>
      <c r="G268" s="5813">
        <v>0.20833333333333334</v>
      </c>
      <c r="H268" s="21" t="s">
        <v>10</v>
      </c>
      <c r="I268" s="21" t="s">
        <v>2247</v>
      </c>
      <c r="J268" s="21" t="s">
        <v>4445</v>
      </c>
      <c r="K268" s="5814" t="s">
        <v>4446</v>
      </c>
    </row>
    <row r="269" spans="1:11">
      <c r="A269" s="21" t="s">
        <v>71</v>
      </c>
      <c r="B269" s="21" t="s">
        <v>334</v>
      </c>
      <c r="C269" s="21" t="s">
        <v>22</v>
      </c>
      <c r="D269" s="21" t="s">
        <v>237</v>
      </c>
      <c r="E269" s="21" t="s">
        <v>9</v>
      </c>
      <c r="F269" s="5812">
        <v>5</v>
      </c>
      <c r="G269" s="5813">
        <v>0.20833333333333334</v>
      </c>
      <c r="H269" s="21" t="s">
        <v>54</v>
      </c>
      <c r="I269" s="21" t="s">
        <v>55</v>
      </c>
      <c r="J269" s="21" t="s">
        <v>335</v>
      </c>
      <c r="K269" s="5814" t="s">
        <v>4447</v>
      </c>
    </row>
    <row r="270" spans="1:11">
      <c r="A270" s="21" t="s">
        <v>3664</v>
      </c>
      <c r="B270" s="21" t="s">
        <v>4448</v>
      </c>
      <c r="C270" s="21" t="s">
        <v>22</v>
      </c>
      <c r="D270" s="21" t="s">
        <v>237</v>
      </c>
      <c r="E270" s="21" t="s">
        <v>9</v>
      </c>
      <c r="F270" s="5812">
        <v>5</v>
      </c>
      <c r="G270" s="5813">
        <v>0.20833333333333334</v>
      </c>
      <c r="H270" s="21" t="s">
        <v>54</v>
      </c>
      <c r="I270" s="21" t="s">
        <v>47</v>
      </c>
      <c r="J270" s="21" t="s">
        <v>4449</v>
      </c>
      <c r="K270" s="5814" t="s">
        <v>4450</v>
      </c>
    </row>
    <row r="271" spans="1:11">
      <c r="A271" s="21" t="s">
        <v>2334</v>
      </c>
      <c r="B271" s="21" t="s">
        <v>4451</v>
      </c>
      <c r="C271" s="21" t="s">
        <v>8</v>
      </c>
      <c r="D271" s="21" t="s">
        <v>237</v>
      </c>
      <c r="E271" s="21" t="s">
        <v>9</v>
      </c>
      <c r="F271" s="5812">
        <v>5</v>
      </c>
      <c r="G271" s="5813">
        <v>0.20833333333333334</v>
      </c>
      <c r="H271" s="21" t="s">
        <v>54</v>
      </c>
      <c r="I271" s="21" t="s">
        <v>96</v>
      </c>
      <c r="J271" s="21" t="s">
        <v>4452</v>
      </c>
      <c r="K271" s="5814" t="s">
        <v>4453</v>
      </c>
    </row>
    <row r="272" spans="1:11">
      <c r="A272" s="21" t="s">
        <v>3946</v>
      </c>
      <c r="B272" s="21" t="s">
        <v>4454</v>
      </c>
      <c r="C272" s="21" t="s">
        <v>8</v>
      </c>
      <c r="D272" s="21" t="s">
        <v>237</v>
      </c>
      <c r="E272" s="21" t="s">
        <v>9</v>
      </c>
      <c r="F272" s="5812">
        <v>5</v>
      </c>
      <c r="G272" s="5813">
        <v>0.20833333333333334</v>
      </c>
      <c r="H272" s="21" t="s">
        <v>54</v>
      </c>
      <c r="I272" s="21" t="s">
        <v>11</v>
      </c>
      <c r="J272" s="21" t="s">
        <v>4455</v>
      </c>
      <c r="K272" s="5814" t="s">
        <v>4456</v>
      </c>
    </row>
    <row r="273" spans="1:11">
      <c r="A273" s="21" t="s">
        <v>3105</v>
      </c>
      <c r="B273" s="21" t="s">
        <v>4457</v>
      </c>
      <c r="C273" s="21" t="s">
        <v>8</v>
      </c>
      <c r="D273" s="21" t="s">
        <v>237</v>
      </c>
      <c r="E273" s="21" t="s">
        <v>9</v>
      </c>
      <c r="F273" s="5812">
        <v>5</v>
      </c>
      <c r="G273" s="5813">
        <v>0.20833333333333334</v>
      </c>
      <c r="H273" s="21" t="s">
        <v>54</v>
      </c>
      <c r="I273" s="21" t="s">
        <v>47</v>
      </c>
      <c r="J273" s="21" t="s">
        <v>4458</v>
      </c>
      <c r="K273" s="5814" t="s">
        <v>4459</v>
      </c>
    </row>
    <row r="274" spans="1:11">
      <c r="A274" s="21" t="s">
        <v>2495</v>
      </c>
      <c r="B274" s="21" t="s">
        <v>4460</v>
      </c>
      <c r="C274" s="21" t="s">
        <v>8</v>
      </c>
      <c r="D274" s="21" t="s">
        <v>237</v>
      </c>
      <c r="E274" s="21" t="s">
        <v>9</v>
      </c>
      <c r="F274" s="5812">
        <v>5</v>
      </c>
      <c r="G274" s="5813">
        <v>0.20833333333333334</v>
      </c>
      <c r="H274" s="21" t="s">
        <v>54</v>
      </c>
      <c r="I274" s="21" t="s">
        <v>55</v>
      </c>
      <c r="J274" s="21" t="s">
        <v>4461</v>
      </c>
      <c r="K274" s="5814" t="s">
        <v>4462</v>
      </c>
    </row>
    <row r="275" spans="1:11">
      <c r="A275" s="21" t="s">
        <v>4043</v>
      </c>
      <c r="B275" s="21" t="s">
        <v>4463</v>
      </c>
      <c r="C275" s="21" t="s">
        <v>8</v>
      </c>
      <c r="D275" s="21" t="s">
        <v>237</v>
      </c>
      <c r="E275" s="21" t="s">
        <v>9</v>
      </c>
      <c r="F275" s="5812">
        <v>5</v>
      </c>
      <c r="G275" s="5813">
        <v>0.20833333333333334</v>
      </c>
      <c r="H275" s="21" t="s">
        <v>54</v>
      </c>
      <c r="I275" s="21" t="s">
        <v>55</v>
      </c>
      <c r="J275" s="21" t="s">
        <v>4464</v>
      </c>
      <c r="K275" s="5814" t="s">
        <v>4465</v>
      </c>
    </row>
    <row r="276" spans="1:11">
      <c r="A276" s="21" t="s">
        <v>2938</v>
      </c>
      <c r="B276" s="21" t="s">
        <v>4466</v>
      </c>
      <c r="C276" s="21" t="s">
        <v>8</v>
      </c>
      <c r="D276" s="21" t="s">
        <v>237</v>
      </c>
      <c r="E276" s="21" t="s">
        <v>9</v>
      </c>
      <c r="F276" s="5812">
        <v>5</v>
      </c>
      <c r="G276" s="5813">
        <v>0.20833333333333334</v>
      </c>
      <c r="H276" s="21" t="s">
        <v>54</v>
      </c>
      <c r="I276" s="21" t="s">
        <v>2313</v>
      </c>
      <c r="J276" s="21" t="s">
        <v>4467</v>
      </c>
      <c r="K276" s="5814" t="s">
        <v>4468</v>
      </c>
    </row>
    <row r="277" spans="1:11">
      <c r="A277" s="21" t="s">
        <v>3387</v>
      </c>
      <c r="B277" s="21" t="s">
        <v>4469</v>
      </c>
      <c r="C277" s="21" t="s">
        <v>8</v>
      </c>
      <c r="D277" s="21" t="s">
        <v>237</v>
      </c>
      <c r="E277" s="21" t="s">
        <v>9</v>
      </c>
      <c r="F277" s="5812">
        <v>5</v>
      </c>
      <c r="G277" s="5813">
        <v>0.20833333333333334</v>
      </c>
      <c r="H277" s="21" t="s">
        <v>54</v>
      </c>
      <c r="I277" s="21" t="s">
        <v>55</v>
      </c>
      <c r="J277" s="21" t="s">
        <v>4470</v>
      </c>
      <c r="K277" s="5814" t="s">
        <v>4471</v>
      </c>
    </row>
    <row r="278" spans="1:11">
      <c r="A278" s="21" t="s">
        <v>2780</v>
      </c>
      <c r="B278" s="21" t="s">
        <v>4472</v>
      </c>
      <c r="C278" s="21" t="s">
        <v>8</v>
      </c>
      <c r="D278" s="21" t="s">
        <v>237</v>
      </c>
      <c r="E278" s="21" t="s">
        <v>9</v>
      </c>
      <c r="F278" s="5812">
        <v>5</v>
      </c>
      <c r="G278" s="5813">
        <v>0.20833333333333334</v>
      </c>
      <c r="H278" s="21" t="s">
        <v>54</v>
      </c>
      <c r="I278" s="21" t="s">
        <v>55</v>
      </c>
      <c r="J278" s="21" t="s">
        <v>4473</v>
      </c>
      <c r="K278" s="5814" t="s">
        <v>4474</v>
      </c>
    </row>
    <row r="279" spans="1:11">
      <c r="A279" s="21" t="s">
        <v>3170</v>
      </c>
      <c r="B279" s="21" t="s">
        <v>4475</v>
      </c>
      <c r="C279" s="21" t="s">
        <v>8</v>
      </c>
      <c r="D279" s="21" t="s">
        <v>237</v>
      </c>
      <c r="E279" s="21" t="s">
        <v>9</v>
      </c>
      <c r="F279" s="5812">
        <v>5</v>
      </c>
      <c r="G279" s="5813">
        <v>0.20833333333333334</v>
      </c>
      <c r="H279" s="21" t="s">
        <v>54</v>
      </c>
      <c r="I279" s="21" t="s">
        <v>2269</v>
      </c>
      <c r="J279" s="21" t="s">
        <v>4476</v>
      </c>
      <c r="K279" s="5814" t="s">
        <v>4477</v>
      </c>
    </row>
    <row r="280" spans="1:11">
      <c r="A280" s="21" t="s">
        <v>2878</v>
      </c>
      <c r="B280" s="21" t="s">
        <v>4478</v>
      </c>
      <c r="C280" s="21" t="s">
        <v>8</v>
      </c>
      <c r="D280" s="21" t="s">
        <v>237</v>
      </c>
      <c r="E280" s="21" t="s">
        <v>46</v>
      </c>
      <c r="F280" s="5812">
        <v>1</v>
      </c>
      <c r="G280" s="5813">
        <v>1.1111111111111112E-2</v>
      </c>
      <c r="H280" s="21" t="s">
        <v>10</v>
      </c>
      <c r="I280" s="21" t="s">
        <v>2872</v>
      </c>
      <c r="J280" s="21" t="s">
        <v>48</v>
      </c>
      <c r="K280" s="5814" t="s">
        <v>4479</v>
      </c>
    </row>
    <row r="281" spans="1:11">
      <c r="A281" s="21" t="s">
        <v>3134</v>
      </c>
      <c r="B281" s="21" t="s">
        <v>4480</v>
      </c>
      <c r="C281" s="21" t="s">
        <v>8</v>
      </c>
      <c r="D281" s="21" t="s">
        <v>237</v>
      </c>
      <c r="E281" s="21" t="s">
        <v>46</v>
      </c>
      <c r="F281" s="5812">
        <v>1</v>
      </c>
      <c r="G281" s="5813">
        <v>1.5277777777777777E-2</v>
      </c>
      <c r="H281" s="21" t="s">
        <v>10</v>
      </c>
      <c r="I281" s="21" t="s">
        <v>89</v>
      </c>
      <c r="J281" s="21" t="s">
        <v>48</v>
      </c>
      <c r="K281" s="5814" t="s">
        <v>4481</v>
      </c>
    </row>
    <row r="282" spans="1:11">
      <c r="A282" s="21" t="s">
        <v>2910</v>
      </c>
      <c r="B282" s="21" t="s">
        <v>4482</v>
      </c>
      <c r="C282" s="21" t="s">
        <v>8</v>
      </c>
      <c r="D282" s="21" t="s">
        <v>237</v>
      </c>
      <c r="E282" s="21" t="s">
        <v>46</v>
      </c>
      <c r="F282" s="5812">
        <v>1</v>
      </c>
      <c r="G282" s="5813">
        <v>1.8055555555555554E-2</v>
      </c>
      <c r="H282" s="21" t="s">
        <v>10</v>
      </c>
      <c r="I282" s="21" t="s">
        <v>23</v>
      </c>
      <c r="J282" s="21" t="s">
        <v>48</v>
      </c>
      <c r="K282" s="5814" t="s">
        <v>4483</v>
      </c>
    </row>
    <row r="283" spans="1:11">
      <c r="A283" s="21" t="s">
        <v>2225</v>
      </c>
      <c r="B283" s="21" t="s">
        <v>4484</v>
      </c>
      <c r="C283" s="21" t="s">
        <v>22</v>
      </c>
      <c r="D283" s="21" t="s">
        <v>237</v>
      </c>
      <c r="E283" s="21" t="s">
        <v>46</v>
      </c>
      <c r="F283" s="5812">
        <v>1</v>
      </c>
      <c r="G283" s="5813">
        <v>1.8055555555555554E-2</v>
      </c>
      <c r="H283" s="21" t="s">
        <v>10</v>
      </c>
      <c r="I283" s="21" t="s">
        <v>400</v>
      </c>
      <c r="J283" s="21" t="s">
        <v>722</v>
      </c>
      <c r="K283" s="5814" t="s">
        <v>4485</v>
      </c>
    </row>
    <row r="284" spans="1:11">
      <c r="A284" s="21" t="s">
        <v>2858</v>
      </c>
      <c r="B284" s="21" t="s">
        <v>4486</v>
      </c>
      <c r="C284" s="21" t="s">
        <v>22</v>
      </c>
      <c r="D284" s="21" t="s">
        <v>237</v>
      </c>
      <c r="E284" s="21" t="s">
        <v>46</v>
      </c>
      <c r="F284" s="5812">
        <v>1</v>
      </c>
      <c r="G284" s="5813">
        <v>1.9444444444444445E-2</v>
      </c>
      <c r="H284" s="21" t="s">
        <v>10</v>
      </c>
      <c r="I284" s="21" t="s">
        <v>2269</v>
      </c>
      <c r="J284" s="21" t="s">
        <v>406</v>
      </c>
      <c r="K284" s="5814" t="s">
        <v>4487</v>
      </c>
    </row>
    <row r="285" spans="1:11">
      <c r="A285" s="21" t="s">
        <v>2711</v>
      </c>
      <c r="B285" s="21" t="s">
        <v>4488</v>
      </c>
      <c r="C285" s="21" t="s">
        <v>8</v>
      </c>
      <c r="D285" s="21" t="s">
        <v>237</v>
      </c>
      <c r="E285" s="21" t="s">
        <v>46</v>
      </c>
      <c r="F285" s="5812">
        <v>1</v>
      </c>
      <c r="G285" s="5813">
        <v>2.7083333333333334E-2</v>
      </c>
      <c r="H285" s="21" t="s">
        <v>10</v>
      </c>
      <c r="I285" s="21" t="s">
        <v>233</v>
      </c>
      <c r="J285" s="21" t="s">
        <v>774</v>
      </c>
      <c r="K285" s="5814" t="s">
        <v>4489</v>
      </c>
    </row>
    <row r="286" spans="1:11">
      <c r="A286" s="21" t="s">
        <v>2893</v>
      </c>
      <c r="B286" s="21" t="s">
        <v>4490</v>
      </c>
      <c r="C286" s="21" t="s">
        <v>22</v>
      </c>
      <c r="D286" s="21" t="s">
        <v>237</v>
      </c>
      <c r="E286" s="21" t="s">
        <v>46</v>
      </c>
      <c r="F286" s="5812">
        <v>1</v>
      </c>
      <c r="G286" s="5813">
        <v>2.8472222222222222E-2</v>
      </c>
      <c r="H286" s="21" t="s">
        <v>10</v>
      </c>
      <c r="I286" s="21" t="s">
        <v>55</v>
      </c>
      <c r="J286" s="21" t="s">
        <v>48</v>
      </c>
      <c r="K286" s="5814" t="s">
        <v>4491</v>
      </c>
    </row>
    <row r="287" spans="1:11">
      <c r="A287" s="21" t="s">
        <v>160</v>
      </c>
      <c r="B287" s="21" t="s">
        <v>305</v>
      </c>
      <c r="C287" s="21" t="s">
        <v>22</v>
      </c>
      <c r="D287" s="21" t="s">
        <v>237</v>
      </c>
      <c r="E287" s="21" t="s">
        <v>46</v>
      </c>
      <c r="F287" s="5812">
        <v>1</v>
      </c>
      <c r="G287" s="5813">
        <v>3.0555555555555555E-2</v>
      </c>
      <c r="H287" s="21" t="s">
        <v>10</v>
      </c>
      <c r="I287" s="21" t="s">
        <v>306</v>
      </c>
      <c r="J287" s="21" t="s">
        <v>307</v>
      </c>
      <c r="K287" s="5814" t="s">
        <v>308</v>
      </c>
    </row>
    <row r="288" spans="1:11">
      <c r="A288" s="21" t="s">
        <v>223</v>
      </c>
      <c r="B288" s="21" t="s">
        <v>408</v>
      </c>
      <c r="C288" s="21" t="s">
        <v>22</v>
      </c>
      <c r="D288" s="21" t="s">
        <v>237</v>
      </c>
      <c r="E288" s="21" t="s">
        <v>46</v>
      </c>
      <c r="F288" s="5812">
        <v>1</v>
      </c>
      <c r="G288" s="5813">
        <v>3.4027777777777775E-2</v>
      </c>
      <c r="H288" s="21" t="s">
        <v>10</v>
      </c>
      <c r="I288" s="21" t="s">
        <v>11</v>
      </c>
      <c r="J288" s="21" t="s">
        <v>48</v>
      </c>
      <c r="K288" s="5814" t="s">
        <v>409</v>
      </c>
    </row>
    <row r="289" spans="1:11">
      <c r="A289" s="21" t="s">
        <v>3757</v>
      </c>
      <c r="B289" s="21" t="s">
        <v>4492</v>
      </c>
      <c r="C289" s="21" t="s">
        <v>22</v>
      </c>
      <c r="D289" s="21" t="s">
        <v>237</v>
      </c>
      <c r="E289" s="21" t="s">
        <v>46</v>
      </c>
      <c r="F289" s="5812">
        <v>1</v>
      </c>
      <c r="G289" s="5813">
        <v>3.4722222222222224E-2</v>
      </c>
      <c r="H289" s="21" t="s">
        <v>10</v>
      </c>
      <c r="I289" s="21" t="s">
        <v>187</v>
      </c>
      <c r="J289" s="21" t="s">
        <v>258</v>
      </c>
      <c r="K289" s="5814" t="s">
        <v>4493</v>
      </c>
    </row>
    <row r="290" spans="1:11">
      <c r="A290" s="21" t="s">
        <v>3026</v>
      </c>
      <c r="B290" s="21" t="s">
        <v>4494</v>
      </c>
      <c r="C290" s="21" t="s">
        <v>22</v>
      </c>
      <c r="D290" s="21" t="s">
        <v>237</v>
      </c>
      <c r="E290" s="21" t="s">
        <v>46</v>
      </c>
      <c r="F290" s="5812">
        <v>1</v>
      </c>
      <c r="G290" s="5813">
        <v>3.888888888888889E-2</v>
      </c>
      <c r="H290" s="21" t="s">
        <v>10</v>
      </c>
      <c r="I290" s="21" t="s">
        <v>39</v>
      </c>
      <c r="J290" s="21" t="s">
        <v>154</v>
      </c>
      <c r="K290" s="5814" t="s">
        <v>4495</v>
      </c>
    </row>
    <row r="291" spans="1:11">
      <c r="A291" s="21" t="s">
        <v>2605</v>
      </c>
      <c r="B291" s="21" t="s">
        <v>4496</v>
      </c>
      <c r="C291" s="21" t="s">
        <v>22</v>
      </c>
      <c r="D291" s="21" t="s">
        <v>237</v>
      </c>
      <c r="E291" s="21" t="s">
        <v>46</v>
      </c>
      <c r="F291" s="5812">
        <v>1</v>
      </c>
      <c r="G291" s="5813">
        <v>4.027777777777778E-2</v>
      </c>
      <c r="H291" s="21" t="s">
        <v>54</v>
      </c>
      <c r="I291" s="21" t="s">
        <v>2692</v>
      </c>
      <c r="J291" s="21" t="s">
        <v>48</v>
      </c>
      <c r="K291" s="5814" t="s">
        <v>4497</v>
      </c>
    </row>
    <row r="292" spans="1:11">
      <c r="A292" s="21" t="s">
        <v>2499</v>
      </c>
      <c r="B292" s="21" t="s">
        <v>4498</v>
      </c>
      <c r="C292" s="21" t="s">
        <v>8</v>
      </c>
      <c r="D292" s="21" t="s">
        <v>237</v>
      </c>
      <c r="E292" s="21" t="s">
        <v>46</v>
      </c>
      <c r="F292" s="5812">
        <v>1</v>
      </c>
      <c r="G292" s="5813">
        <v>4.3749999999999997E-2</v>
      </c>
      <c r="H292" s="21" t="s">
        <v>10</v>
      </c>
      <c r="I292" s="21" t="s">
        <v>96</v>
      </c>
      <c r="J292" s="21" t="s">
        <v>3004</v>
      </c>
      <c r="K292" s="5814" t="s">
        <v>4499</v>
      </c>
    </row>
    <row r="293" spans="1:11">
      <c r="A293" s="21" t="s">
        <v>2376</v>
      </c>
      <c r="B293" s="21" t="s">
        <v>4500</v>
      </c>
      <c r="C293" s="21" t="s">
        <v>22</v>
      </c>
      <c r="D293" s="21" t="s">
        <v>237</v>
      </c>
      <c r="E293" s="21" t="s">
        <v>46</v>
      </c>
      <c r="F293" s="5812">
        <v>1</v>
      </c>
      <c r="G293" s="5813">
        <v>4.6527777777777779E-2</v>
      </c>
      <c r="H293" s="21" t="s">
        <v>10</v>
      </c>
      <c r="I293" s="21" t="s">
        <v>39</v>
      </c>
      <c r="J293" s="21" t="s">
        <v>3148</v>
      </c>
      <c r="K293" s="5814" t="s">
        <v>4501</v>
      </c>
    </row>
    <row r="294" spans="1:11">
      <c r="A294" s="21" t="s">
        <v>2387</v>
      </c>
      <c r="B294" s="21" t="s">
        <v>4502</v>
      </c>
      <c r="C294" s="21" t="s">
        <v>8</v>
      </c>
      <c r="D294" s="21" t="s">
        <v>237</v>
      </c>
      <c r="E294" s="21" t="s">
        <v>46</v>
      </c>
      <c r="F294" s="5812">
        <v>1</v>
      </c>
      <c r="G294" s="5813">
        <v>4.791666666666667E-2</v>
      </c>
      <c r="H294" s="21" t="s">
        <v>10</v>
      </c>
      <c r="I294" s="21" t="s">
        <v>11</v>
      </c>
      <c r="J294" s="21" t="s">
        <v>258</v>
      </c>
      <c r="K294" s="5814" t="s">
        <v>4503</v>
      </c>
    </row>
    <row r="295" spans="1:11">
      <c r="A295" s="21" t="s">
        <v>2944</v>
      </c>
      <c r="B295" s="21" t="s">
        <v>4504</v>
      </c>
      <c r="C295" s="21" t="s">
        <v>8</v>
      </c>
      <c r="D295" s="21" t="s">
        <v>237</v>
      </c>
      <c r="E295" s="21" t="s">
        <v>46</v>
      </c>
      <c r="F295" s="5812">
        <v>1</v>
      </c>
      <c r="G295" s="5813">
        <v>0.05</v>
      </c>
      <c r="H295" s="21" t="s">
        <v>10</v>
      </c>
      <c r="I295" s="21" t="s">
        <v>89</v>
      </c>
      <c r="J295" s="21" t="s">
        <v>4505</v>
      </c>
      <c r="K295" s="5814" t="s">
        <v>4506</v>
      </c>
    </row>
    <row r="296" spans="1:11">
      <c r="A296" s="21" t="s">
        <v>3703</v>
      </c>
      <c r="B296" s="21" t="s">
        <v>4507</v>
      </c>
      <c r="C296" s="21" t="s">
        <v>22</v>
      </c>
      <c r="D296" s="21" t="s">
        <v>237</v>
      </c>
      <c r="E296" s="21" t="s">
        <v>46</v>
      </c>
      <c r="F296" s="5812">
        <v>1</v>
      </c>
      <c r="G296" s="5813">
        <v>5.2777777777777778E-2</v>
      </c>
      <c r="H296" s="21" t="s">
        <v>10</v>
      </c>
      <c r="I296" s="21" t="s">
        <v>2523</v>
      </c>
      <c r="J296" s="21" t="s">
        <v>722</v>
      </c>
      <c r="K296" s="5814" t="s">
        <v>4508</v>
      </c>
    </row>
    <row r="297" spans="1:11">
      <c r="A297" s="21" t="s">
        <v>2551</v>
      </c>
      <c r="B297" s="21" t="s">
        <v>4509</v>
      </c>
      <c r="C297" s="21" t="s">
        <v>22</v>
      </c>
      <c r="D297" s="21" t="s">
        <v>237</v>
      </c>
      <c r="E297" s="21" t="s">
        <v>46</v>
      </c>
      <c r="F297" s="5812">
        <v>1</v>
      </c>
      <c r="G297" s="5813">
        <v>5.9027777777777776E-2</v>
      </c>
      <c r="H297" s="21" t="s">
        <v>10</v>
      </c>
      <c r="I297" s="21" t="s">
        <v>4510</v>
      </c>
      <c r="J297" s="21" t="s">
        <v>430</v>
      </c>
      <c r="K297" s="5814" t="s">
        <v>4511</v>
      </c>
    </row>
    <row r="298" spans="1:11">
      <c r="A298" s="21" t="s">
        <v>103</v>
      </c>
      <c r="B298" s="21" t="s">
        <v>257</v>
      </c>
      <c r="C298" s="21" t="s">
        <v>22</v>
      </c>
      <c r="D298" s="21" t="s">
        <v>237</v>
      </c>
      <c r="E298" s="21" t="s">
        <v>46</v>
      </c>
      <c r="F298" s="5812">
        <v>1</v>
      </c>
      <c r="G298" s="5813">
        <v>6.1805555555555558E-2</v>
      </c>
      <c r="H298" s="21" t="s">
        <v>10</v>
      </c>
      <c r="I298" s="21" t="s">
        <v>39</v>
      </c>
      <c r="J298" s="21" t="s">
        <v>258</v>
      </c>
      <c r="K298" s="5814" t="s">
        <v>259</v>
      </c>
    </row>
    <row r="299" spans="1:11">
      <c r="A299" s="21" t="s">
        <v>223</v>
      </c>
      <c r="B299" s="21" t="s">
        <v>331</v>
      </c>
      <c r="C299" s="21" t="s">
        <v>8</v>
      </c>
      <c r="D299" s="21" t="s">
        <v>237</v>
      </c>
      <c r="E299" s="21" t="s">
        <v>46</v>
      </c>
      <c r="F299" s="5812">
        <v>1</v>
      </c>
      <c r="G299" s="5813">
        <v>6.25E-2</v>
      </c>
      <c r="H299" s="21" t="s">
        <v>10</v>
      </c>
      <c r="I299" s="21" t="s">
        <v>11</v>
      </c>
      <c r="J299" s="21" t="s">
        <v>97</v>
      </c>
      <c r="K299" s="5814" t="s">
        <v>332</v>
      </c>
    </row>
    <row r="300" spans="1:11">
      <c r="A300" s="21" t="s">
        <v>65</v>
      </c>
      <c r="B300" s="21" t="s">
        <v>328</v>
      </c>
      <c r="C300" s="21" t="s">
        <v>8</v>
      </c>
      <c r="D300" s="21" t="s">
        <v>237</v>
      </c>
      <c r="E300" s="21" t="s">
        <v>46</v>
      </c>
      <c r="F300" s="5812">
        <v>1</v>
      </c>
      <c r="G300" s="5813">
        <v>6.3194444444444442E-2</v>
      </c>
      <c r="H300" s="21" t="s">
        <v>10</v>
      </c>
      <c r="I300" s="21" t="s">
        <v>55</v>
      </c>
      <c r="J300" s="21" t="s">
        <v>48</v>
      </c>
      <c r="K300" s="5814" t="s">
        <v>329</v>
      </c>
    </row>
    <row r="301" spans="1:11">
      <c r="A301" s="21" t="s">
        <v>3338</v>
      </c>
      <c r="B301" s="21" t="s">
        <v>4512</v>
      </c>
      <c r="C301" s="21" t="s">
        <v>22</v>
      </c>
      <c r="D301" s="21" t="s">
        <v>237</v>
      </c>
      <c r="E301" s="21" t="s">
        <v>46</v>
      </c>
      <c r="F301" s="5812">
        <v>1</v>
      </c>
      <c r="G301" s="5813">
        <v>6.3888888888888884E-2</v>
      </c>
      <c r="H301" s="21" t="s">
        <v>10</v>
      </c>
      <c r="I301" s="21" t="s">
        <v>55</v>
      </c>
      <c r="J301" s="21" t="s">
        <v>97</v>
      </c>
      <c r="K301" s="5814" t="s">
        <v>4513</v>
      </c>
    </row>
    <row r="302" spans="1:11">
      <c r="A302" s="21" t="s">
        <v>2267</v>
      </c>
      <c r="B302" s="21" t="s">
        <v>4514</v>
      </c>
      <c r="C302" s="21" t="s">
        <v>8</v>
      </c>
      <c r="D302" s="21" t="s">
        <v>237</v>
      </c>
      <c r="E302" s="21" t="s">
        <v>46</v>
      </c>
      <c r="F302" s="5812">
        <v>1</v>
      </c>
      <c r="G302" s="5813">
        <v>6.458333333333334E-2</v>
      </c>
      <c r="H302" s="21" t="s">
        <v>10</v>
      </c>
      <c r="I302" s="21" t="s">
        <v>2660</v>
      </c>
      <c r="J302" s="21" t="s">
        <v>406</v>
      </c>
      <c r="K302" s="5814" t="s">
        <v>4515</v>
      </c>
    </row>
    <row r="303" spans="1:11">
      <c r="A303" s="21" t="s">
        <v>2571</v>
      </c>
      <c r="B303" s="21" t="s">
        <v>4516</v>
      </c>
      <c r="C303" s="21" t="s">
        <v>22</v>
      </c>
      <c r="D303" s="21" t="s">
        <v>237</v>
      </c>
      <c r="E303" s="21" t="s">
        <v>46</v>
      </c>
      <c r="F303" s="5812">
        <v>1</v>
      </c>
      <c r="G303" s="5813">
        <v>6.6666666666666666E-2</v>
      </c>
      <c r="H303" s="21" t="s">
        <v>10</v>
      </c>
      <c r="I303" s="21" t="s">
        <v>96</v>
      </c>
      <c r="J303" s="21" t="s">
        <v>48</v>
      </c>
      <c r="K303" s="5814" t="s">
        <v>4517</v>
      </c>
    </row>
    <row r="304" spans="1:11">
      <c r="A304" s="21" t="s">
        <v>2495</v>
      </c>
      <c r="B304" s="21" t="s">
        <v>4518</v>
      </c>
      <c r="C304" s="21" t="s">
        <v>22</v>
      </c>
      <c r="D304" s="21" t="s">
        <v>237</v>
      </c>
      <c r="E304" s="21" t="s">
        <v>46</v>
      </c>
      <c r="F304" s="5812">
        <v>1</v>
      </c>
      <c r="G304" s="5813">
        <v>6.7361111111111108E-2</v>
      </c>
      <c r="H304" s="21" t="s">
        <v>10</v>
      </c>
      <c r="I304" s="21" t="s">
        <v>39</v>
      </c>
      <c r="J304" s="21" t="s">
        <v>48</v>
      </c>
      <c r="K304" s="5814" t="s">
        <v>4519</v>
      </c>
    </row>
    <row r="305" spans="1:11">
      <c r="A305" s="21" t="s">
        <v>3345</v>
      </c>
      <c r="B305" s="21" t="s">
        <v>4520</v>
      </c>
      <c r="C305" s="21" t="s">
        <v>8</v>
      </c>
      <c r="D305" s="21" t="s">
        <v>237</v>
      </c>
      <c r="E305" s="21" t="s">
        <v>46</v>
      </c>
      <c r="F305" s="5812">
        <v>1</v>
      </c>
      <c r="G305" s="5813">
        <v>6.8750000000000006E-2</v>
      </c>
      <c r="H305" s="21" t="s">
        <v>54</v>
      </c>
      <c r="I305" s="21" t="s">
        <v>55</v>
      </c>
      <c r="J305" s="21" t="s">
        <v>4521</v>
      </c>
      <c r="K305" s="5814" t="s">
        <v>4522</v>
      </c>
    </row>
    <row r="306" spans="1:11">
      <c r="A306" s="21" t="s">
        <v>3243</v>
      </c>
      <c r="B306" s="21" t="s">
        <v>4523</v>
      </c>
      <c r="C306" s="21" t="s">
        <v>22</v>
      </c>
      <c r="D306" s="21" t="s">
        <v>237</v>
      </c>
      <c r="E306" s="21" t="s">
        <v>46</v>
      </c>
      <c r="F306" s="5812">
        <v>1</v>
      </c>
      <c r="G306" s="5813">
        <v>7.013888888888889E-2</v>
      </c>
      <c r="H306" s="21" t="s">
        <v>10</v>
      </c>
      <c r="I306" s="21" t="s">
        <v>23</v>
      </c>
      <c r="J306" s="21" t="s">
        <v>97</v>
      </c>
      <c r="K306" s="5814" t="s">
        <v>4524</v>
      </c>
    </row>
    <row r="307" spans="1:11">
      <c r="A307" s="21" t="s">
        <v>44</v>
      </c>
      <c r="B307" s="21" t="s">
        <v>317</v>
      </c>
      <c r="C307" s="21" t="s">
        <v>8</v>
      </c>
      <c r="D307" s="21" t="s">
        <v>237</v>
      </c>
      <c r="E307" s="21" t="s">
        <v>46</v>
      </c>
      <c r="F307" s="5812">
        <v>1</v>
      </c>
      <c r="G307" s="5813">
        <v>8.1250000000000003E-2</v>
      </c>
      <c r="H307" s="21" t="s">
        <v>10</v>
      </c>
      <c r="I307" s="21" t="s">
        <v>55</v>
      </c>
      <c r="J307" s="21" t="s">
        <v>48</v>
      </c>
      <c r="K307" s="5814" t="s">
        <v>318</v>
      </c>
    </row>
    <row r="308" spans="1:11">
      <c r="A308" s="21" t="s">
        <v>3116</v>
      </c>
      <c r="B308" s="21" t="s">
        <v>4525</v>
      </c>
      <c r="C308" s="21" t="s">
        <v>8</v>
      </c>
      <c r="D308" s="21" t="s">
        <v>237</v>
      </c>
      <c r="E308" s="21" t="s">
        <v>46</v>
      </c>
      <c r="F308" s="5812">
        <v>1</v>
      </c>
      <c r="G308" s="5813">
        <v>9.166666666666666E-2</v>
      </c>
      <c r="H308" s="21" t="s">
        <v>10</v>
      </c>
      <c r="I308" s="21" t="s">
        <v>55</v>
      </c>
      <c r="J308" s="21" t="s">
        <v>97</v>
      </c>
      <c r="K308" s="5814" t="s">
        <v>4526</v>
      </c>
    </row>
    <row r="309" spans="1:11">
      <c r="A309" s="21" t="s">
        <v>4527</v>
      </c>
      <c r="B309" s="21" t="s">
        <v>4528</v>
      </c>
      <c r="C309" s="21" t="s">
        <v>22</v>
      </c>
      <c r="D309" s="21" t="s">
        <v>237</v>
      </c>
      <c r="E309" s="21" t="s">
        <v>46</v>
      </c>
      <c r="F309" s="5812">
        <v>1</v>
      </c>
      <c r="G309" s="5813">
        <v>9.3055555555555558E-2</v>
      </c>
      <c r="H309" s="21" t="s">
        <v>10</v>
      </c>
      <c r="I309" s="21" t="s">
        <v>2660</v>
      </c>
      <c r="J309" s="21" t="s">
        <v>97</v>
      </c>
      <c r="K309" s="5814" t="s">
        <v>4529</v>
      </c>
    </row>
    <row r="310" spans="1:11">
      <c r="A310" s="21" t="s">
        <v>4423</v>
      </c>
      <c r="B310" s="21" t="s">
        <v>4530</v>
      </c>
      <c r="C310" s="21" t="s">
        <v>8</v>
      </c>
      <c r="D310" s="21" t="s">
        <v>237</v>
      </c>
      <c r="E310" s="21" t="s">
        <v>46</v>
      </c>
      <c r="F310" s="5812">
        <v>1</v>
      </c>
      <c r="G310" s="5813">
        <v>0.10277777777777777</v>
      </c>
      <c r="H310" s="21" t="s">
        <v>54</v>
      </c>
      <c r="I310" s="21" t="s">
        <v>2297</v>
      </c>
      <c r="J310" s="21" t="s">
        <v>406</v>
      </c>
      <c r="K310" s="5814" t="s">
        <v>4531</v>
      </c>
    </row>
    <row r="311" spans="1:11">
      <c r="A311" s="21" t="s">
        <v>2796</v>
      </c>
      <c r="B311" s="21" t="s">
        <v>4532</v>
      </c>
      <c r="C311" s="21" t="s">
        <v>22</v>
      </c>
      <c r="D311" s="21" t="s">
        <v>237</v>
      </c>
      <c r="E311" s="21" t="s">
        <v>46</v>
      </c>
      <c r="F311" s="5812">
        <v>1</v>
      </c>
      <c r="G311" s="5813">
        <v>0.10347222222222222</v>
      </c>
      <c r="H311" s="21" t="s">
        <v>54</v>
      </c>
      <c r="I311" s="21" t="s">
        <v>55</v>
      </c>
      <c r="J311" s="21" t="s">
        <v>48</v>
      </c>
      <c r="K311" s="5814" t="s">
        <v>4533</v>
      </c>
    </row>
    <row r="312" spans="1:11">
      <c r="A312" s="21" t="s">
        <v>3828</v>
      </c>
      <c r="B312" s="21" t="s">
        <v>4534</v>
      </c>
      <c r="C312" s="21" t="s">
        <v>8</v>
      </c>
      <c r="D312" s="21" t="s">
        <v>237</v>
      </c>
      <c r="E312" s="21" t="s">
        <v>46</v>
      </c>
      <c r="F312" s="5812">
        <v>1</v>
      </c>
      <c r="G312" s="5813">
        <v>0.10555555555555556</v>
      </c>
      <c r="H312" s="21" t="s">
        <v>10</v>
      </c>
      <c r="I312" s="21" t="s">
        <v>4535</v>
      </c>
      <c r="J312" s="21" t="s">
        <v>97</v>
      </c>
      <c r="K312" s="5814" t="s">
        <v>4536</v>
      </c>
    </row>
    <row r="313" spans="1:11">
      <c r="A313" s="21" t="s">
        <v>2438</v>
      </c>
      <c r="B313" s="21" t="s">
        <v>4537</v>
      </c>
      <c r="C313" s="21" t="s">
        <v>8</v>
      </c>
      <c r="D313" s="21" t="s">
        <v>237</v>
      </c>
      <c r="E313" s="21" t="s">
        <v>46</v>
      </c>
      <c r="F313" s="5812">
        <v>1</v>
      </c>
      <c r="G313" s="5813">
        <v>0.10625</v>
      </c>
      <c r="H313" s="21" t="s">
        <v>10</v>
      </c>
      <c r="I313" s="21" t="s">
        <v>2544</v>
      </c>
      <c r="J313" s="21" t="s">
        <v>97</v>
      </c>
      <c r="K313" s="5814" t="s">
        <v>4538</v>
      </c>
    </row>
    <row r="314" spans="1:11">
      <c r="A314" s="21" t="s">
        <v>2334</v>
      </c>
      <c r="B314" s="21" t="s">
        <v>4539</v>
      </c>
      <c r="C314" s="21" t="s">
        <v>8</v>
      </c>
      <c r="D314" s="21" t="s">
        <v>237</v>
      </c>
      <c r="E314" s="21" t="s">
        <v>46</v>
      </c>
      <c r="F314" s="5812">
        <v>1</v>
      </c>
      <c r="G314" s="5813">
        <v>0.10902777777777778</v>
      </c>
      <c r="H314" s="21" t="s">
        <v>10</v>
      </c>
      <c r="I314" s="21" t="s">
        <v>11</v>
      </c>
      <c r="J314" s="21" t="s">
        <v>2953</v>
      </c>
      <c r="K314" s="5814" t="s">
        <v>4540</v>
      </c>
    </row>
    <row r="315" spans="1:11">
      <c r="A315" s="21" t="s">
        <v>3119</v>
      </c>
      <c r="B315" s="21" t="s">
        <v>4541</v>
      </c>
      <c r="C315" s="21" t="s">
        <v>8</v>
      </c>
      <c r="D315" s="21" t="s">
        <v>237</v>
      </c>
      <c r="E315" s="21" t="s">
        <v>46</v>
      </c>
      <c r="F315" s="5812">
        <v>1</v>
      </c>
      <c r="G315" s="5813">
        <v>0.10972222222222222</v>
      </c>
      <c r="H315" s="21" t="s">
        <v>10</v>
      </c>
      <c r="I315" s="21" t="s">
        <v>39</v>
      </c>
      <c r="J315" s="21" t="s">
        <v>48</v>
      </c>
      <c r="K315" s="5814" t="s">
        <v>4542</v>
      </c>
    </row>
    <row r="316" spans="1:11">
      <c r="A316" s="21" t="s">
        <v>4379</v>
      </c>
      <c r="B316" s="21" t="s">
        <v>4543</v>
      </c>
      <c r="C316" s="21" t="s">
        <v>8</v>
      </c>
      <c r="D316" s="21" t="s">
        <v>237</v>
      </c>
      <c r="E316" s="21" t="s">
        <v>46</v>
      </c>
      <c r="F316" s="5812">
        <v>1</v>
      </c>
      <c r="G316" s="5813">
        <v>0.1125</v>
      </c>
      <c r="H316" s="21" t="s">
        <v>10</v>
      </c>
      <c r="I316" s="21" t="s">
        <v>55</v>
      </c>
      <c r="J316" s="21" t="s">
        <v>48</v>
      </c>
      <c r="K316" s="5814" t="s">
        <v>4544</v>
      </c>
    </row>
    <row r="317" spans="1:11">
      <c r="A317" s="21" t="s">
        <v>177</v>
      </c>
      <c r="B317" s="21" t="s">
        <v>387</v>
      </c>
      <c r="C317" s="21" t="s">
        <v>8</v>
      </c>
      <c r="D317" s="21" t="s">
        <v>237</v>
      </c>
      <c r="E317" s="21" t="s">
        <v>46</v>
      </c>
      <c r="F317" s="5812">
        <v>1</v>
      </c>
      <c r="G317" s="5813">
        <v>0.11319444444444444</v>
      </c>
      <c r="H317" s="21" t="s">
        <v>10</v>
      </c>
      <c r="I317" s="21" t="s">
        <v>96</v>
      </c>
      <c r="J317" s="21" t="s">
        <v>48</v>
      </c>
      <c r="K317" s="5814" t="s">
        <v>388</v>
      </c>
    </row>
    <row r="318" spans="1:11">
      <c r="A318" s="21" t="s">
        <v>2560</v>
      </c>
      <c r="B318" s="21" t="s">
        <v>4545</v>
      </c>
      <c r="C318" s="21" t="s">
        <v>8</v>
      </c>
      <c r="D318" s="21" t="s">
        <v>237</v>
      </c>
      <c r="E318" s="21" t="s">
        <v>46</v>
      </c>
      <c r="F318" s="5812">
        <v>1</v>
      </c>
      <c r="G318" s="5813">
        <v>0.11319444444444444</v>
      </c>
      <c r="H318" s="21" t="s">
        <v>10</v>
      </c>
      <c r="I318" s="21" t="s">
        <v>4546</v>
      </c>
      <c r="J318" s="21" t="s">
        <v>940</v>
      </c>
      <c r="K318" s="5814" t="s">
        <v>4547</v>
      </c>
    </row>
    <row r="319" spans="1:11">
      <c r="A319" s="21" t="s">
        <v>3765</v>
      </c>
      <c r="B319" s="21" t="s">
        <v>4548</v>
      </c>
      <c r="C319" s="21" t="s">
        <v>8</v>
      </c>
      <c r="D319" s="21" t="s">
        <v>237</v>
      </c>
      <c r="E319" s="21" t="s">
        <v>46</v>
      </c>
      <c r="F319" s="5812">
        <v>1</v>
      </c>
      <c r="G319" s="5813">
        <v>0.11597222222222223</v>
      </c>
      <c r="H319" s="21" t="s">
        <v>10</v>
      </c>
      <c r="I319" s="21" t="s">
        <v>187</v>
      </c>
      <c r="J319" s="21" t="s">
        <v>518</v>
      </c>
      <c r="K319" s="5814" t="s">
        <v>4549</v>
      </c>
    </row>
    <row r="320" spans="1:11">
      <c r="A320" s="21" t="s">
        <v>2702</v>
      </c>
      <c r="B320" s="21" t="s">
        <v>4550</v>
      </c>
      <c r="C320" s="21" t="s">
        <v>22</v>
      </c>
      <c r="D320" s="21" t="s">
        <v>237</v>
      </c>
      <c r="E320" s="21" t="s">
        <v>46</v>
      </c>
      <c r="F320" s="5812">
        <v>1</v>
      </c>
      <c r="G320" s="5813">
        <v>0.11944444444444445</v>
      </c>
      <c r="H320" s="21" t="s">
        <v>10</v>
      </c>
      <c r="I320" s="21" t="s">
        <v>96</v>
      </c>
      <c r="J320" s="21" t="s">
        <v>48</v>
      </c>
      <c r="K320" s="5814" t="s">
        <v>4551</v>
      </c>
    </row>
    <row r="321" spans="1:11">
      <c r="A321" s="21" t="s">
        <v>4552</v>
      </c>
      <c r="B321" s="21" t="s">
        <v>4553</v>
      </c>
      <c r="C321" s="21" t="s">
        <v>8</v>
      </c>
      <c r="D321" s="21" t="s">
        <v>237</v>
      </c>
      <c r="E321" s="21" t="s">
        <v>46</v>
      </c>
      <c r="F321" s="5812">
        <v>1</v>
      </c>
      <c r="G321" s="5813">
        <v>0.12083333333333333</v>
      </c>
      <c r="H321" s="21" t="s">
        <v>10</v>
      </c>
      <c r="I321" s="21" t="s">
        <v>23</v>
      </c>
      <c r="J321" s="21" t="s">
        <v>127</v>
      </c>
      <c r="K321" s="5814" t="s">
        <v>4554</v>
      </c>
    </row>
    <row r="322" spans="1:11">
      <c r="A322" s="21" t="s">
        <v>2362</v>
      </c>
      <c r="B322" s="21" t="s">
        <v>4555</v>
      </c>
      <c r="C322" s="21" t="s">
        <v>8</v>
      </c>
      <c r="D322" s="21" t="s">
        <v>237</v>
      </c>
      <c r="E322" s="21" t="s">
        <v>46</v>
      </c>
      <c r="F322" s="5812">
        <v>1</v>
      </c>
      <c r="G322" s="5813">
        <v>0.12777777777777777</v>
      </c>
      <c r="H322" s="21" t="s">
        <v>10</v>
      </c>
      <c r="I322" s="21" t="s">
        <v>55</v>
      </c>
      <c r="J322" s="21" t="s">
        <v>722</v>
      </c>
      <c r="K322" s="5814" t="s">
        <v>4556</v>
      </c>
    </row>
    <row r="323" spans="1:11">
      <c r="A323" s="21" t="s">
        <v>2961</v>
      </c>
      <c r="B323" s="21" t="s">
        <v>4557</v>
      </c>
      <c r="C323" s="21" t="s">
        <v>8</v>
      </c>
      <c r="D323" s="21" t="s">
        <v>237</v>
      </c>
      <c r="E323" s="21" t="s">
        <v>46</v>
      </c>
      <c r="F323" s="5812">
        <v>1</v>
      </c>
      <c r="G323" s="5813">
        <v>0.12777777777777777</v>
      </c>
      <c r="H323" s="21" t="s">
        <v>10</v>
      </c>
      <c r="I323" s="21" t="s">
        <v>47</v>
      </c>
      <c r="J323" s="21" t="s">
        <v>48</v>
      </c>
      <c r="K323" s="5814" t="s">
        <v>4558</v>
      </c>
    </row>
    <row r="324" spans="1:11">
      <c r="A324" s="21" t="s">
        <v>2595</v>
      </c>
      <c r="B324" s="21" t="s">
        <v>4559</v>
      </c>
      <c r="C324" s="21" t="s">
        <v>8</v>
      </c>
      <c r="D324" s="21" t="s">
        <v>237</v>
      </c>
      <c r="E324" s="21" t="s">
        <v>46</v>
      </c>
      <c r="F324" s="5812">
        <v>1</v>
      </c>
      <c r="G324" s="5813">
        <v>0.12986111111111112</v>
      </c>
      <c r="H324" s="21" t="s">
        <v>10</v>
      </c>
      <c r="I324" s="21" t="s">
        <v>96</v>
      </c>
      <c r="J324" s="21" t="s">
        <v>48</v>
      </c>
      <c r="K324" s="5814" t="s">
        <v>4560</v>
      </c>
    </row>
    <row r="325" spans="1:11">
      <c r="A325" s="21" t="s">
        <v>2854</v>
      </c>
      <c r="B325" s="21" t="s">
        <v>4561</v>
      </c>
      <c r="C325" s="21" t="s">
        <v>22</v>
      </c>
      <c r="D325" s="21" t="s">
        <v>237</v>
      </c>
      <c r="E325" s="21" t="s">
        <v>46</v>
      </c>
      <c r="F325" s="5812">
        <v>1</v>
      </c>
      <c r="G325" s="5813">
        <v>0.13402777777777777</v>
      </c>
      <c r="H325" s="21" t="s">
        <v>10</v>
      </c>
      <c r="I325" s="21" t="s">
        <v>2297</v>
      </c>
      <c r="J325" s="21" t="s">
        <v>97</v>
      </c>
      <c r="K325" s="5814" t="s">
        <v>4562</v>
      </c>
    </row>
    <row r="326" spans="1:11">
      <c r="A326" s="21" t="s">
        <v>2147</v>
      </c>
      <c r="B326" s="21" t="s">
        <v>4563</v>
      </c>
      <c r="C326" s="21" t="s">
        <v>22</v>
      </c>
      <c r="D326" s="21" t="s">
        <v>237</v>
      </c>
      <c r="E326" s="21" t="s">
        <v>46</v>
      </c>
      <c r="F326" s="5812">
        <v>1</v>
      </c>
      <c r="G326" s="5813">
        <v>0.13750000000000001</v>
      </c>
      <c r="H326" s="21" t="s">
        <v>54</v>
      </c>
      <c r="I326" s="21" t="s">
        <v>47</v>
      </c>
      <c r="J326" s="21" t="s">
        <v>97</v>
      </c>
      <c r="K326" s="5814" t="s">
        <v>4564</v>
      </c>
    </row>
    <row r="327" spans="1:11">
      <c r="A327" s="21" t="s">
        <v>4565</v>
      </c>
      <c r="B327" s="21" t="s">
        <v>4566</v>
      </c>
      <c r="C327" s="21" t="s">
        <v>22</v>
      </c>
      <c r="D327" s="21" t="s">
        <v>237</v>
      </c>
      <c r="E327" s="21" t="s">
        <v>46</v>
      </c>
      <c r="F327" s="5812">
        <v>1</v>
      </c>
      <c r="G327" s="5813">
        <v>0.13958333333333334</v>
      </c>
      <c r="H327" s="21" t="s">
        <v>10</v>
      </c>
      <c r="I327" s="21" t="s">
        <v>47</v>
      </c>
      <c r="J327" s="21" t="s">
        <v>127</v>
      </c>
      <c r="K327" s="5814" t="s">
        <v>4567</v>
      </c>
    </row>
    <row r="328" spans="1:11">
      <c r="A328" s="21" t="s">
        <v>4568</v>
      </c>
      <c r="B328" s="21" t="s">
        <v>4569</v>
      </c>
      <c r="C328" s="21" t="s">
        <v>8</v>
      </c>
      <c r="D328" s="21" t="s">
        <v>237</v>
      </c>
      <c r="E328" s="21" t="s">
        <v>46</v>
      </c>
      <c r="F328" s="5812">
        <v>1</v>
      </c>
      <c r="G328" s="5813">
        <v>0.14583333333333334</v>
      </c>
      <c r="H328" s="21" t="s">
        <v>10</v>
      </c>
      <c r="I328" s="21" t="s">
        <v>226</v>
      </c>
      <c r="J328" s="21" t="s">
        <v>258</v>
      </c>
      <c r="K328" s="5814" t="s">
        <v>4570</v>
      </c>
    </row>
    <row r="329" spans="1:11">
      <c r="A329" s="21" t="s">
        <v>44</v>
      </c>
      <c r="B329" s="21" t="s">
        <v>321</v>
      </c>
      <c r="C329" s="21" t="s">
        <v>8</v>
      </c>
      <c r="D329" s="21" t="s">
        <v>237</v>
      </c>
      <c r="E329" s="21" t="s">
        <v>46</v>
      </c>
      <c r="F329" s="5812">
        <v>1</v>
      </c>
      <c r="G329" s="5813">
        <v>0.14722222222222223</v>
      </c>
      <c r="H329" s="21" t="s">
        <v>10</v>
      </c>
      <c r="I329" s="21" t="s">
        <v>96</v>
      </c>
      <c r="J329" s="21" t="s">
        <v>48</v>
      </c>
      <c r="K329" s="5814" t="s">
        <v>322</v>
      </c>
    </row>
    <row r="330" spans="1:11">
      <c r="A330" s="21" t="s">
        <v>2311</v>
      </c>
      <c r="B330" s="21" t="s">
        <v>4571</v>
      </c>
      <c r="C330" s="21" t="s">
        <v>8</v>
      </c>
      <c r="D330" s="21" t="s">
        <v>237</v>
      </c>
      <c r="E330" s="21" t="s">
        <v>46</v>
      </c>
      <c r="F330" s="5812">
        <v>1</v>
      </c>
      <c r="G330" s="5813">
        <v>0.16041666666666668</v>
      </c>
      <c r="H330" s="21" t="s">
        <v>10</v>
      </c>
      <c r="I330" s="21" t="s">
        <v>2814</v>
      </c>
      <c r="J330" s="21" t="s">
        <v>4572</v>
      </c>
      <c r="K330" s="5814" t="s">
        <v>4573</v>
      </c>
    </row>
    <row r="331" spans="1:11">
      <c r="A331" s="21" t="s">
        <v>2513</v>
      </c>
      <c r="B331" s="21" t="s">
        <v>4574</v>
      </c>
      <c r="C331" s="21" t="s">
        <v>8</v>
      </c>
      <c r="D331" s="21" t="s">
        <v>237</v>
      </c>
      <c r="E331" s="21" t="s">
        <v>46</v>
      </c>
      <c r="F331" s="5812">
        <v>1</v>
      </c>
      <c r="G331" s="5813">
        <v>0.16041666666666668</v>
      </c>
      <c r="H331" s="21" t="s">
        <v>10</v>
      </c>
      <c r="I331" s="21" t="s">
        <v>55</v>
      </c>
      <c r="J331" s="21" t="s">
        <v>722</v>
      </c>
      <c r="K331" s="5814" t="s">
        <v>4575</v>
      </c>
    </row>
    <row r="332" spans="1:11">
      <c r="A332" s="21" t="s">
        <v>115</v>
      </c>
      <c r="B332" s="21" t="s">
        <v>262</v>
      </c>
      <c r="C332" s="21" t="s">
        <v>22</v>
      </c>
      <c r="D332" s="21" t="s">
        <v>237</v>
      </c>
      <c r="E332" s="21" t="s">
        <v>46</v>
      </c>
      <c r="F332" s="5812">
        <v>1</v>
      </c>
      <c r="G332" s="5813">
        <v>0.16666666666666666</v>
      </c>
      <c r="H332" s="21" t="s">
        <v>10</v>
      </c>
      <c r="I332" s="21" t="s">
        <v>263</v>
      </c>
      <c r="J332" s="21" t="s">
        <v>97</v>
      </c>
      <c r="K332" s="5814" t="s">
        <v>264</v>
      </c>
    </row>
    <row r="333" spans="1:11">
      <c r="A333" s="21" t="s">
        <v>2609</v>
      </c>
      <c r="B333" s="21" t="s">
        <v>4576</v>
      </c>
      <c r="C333" s="21" t="s">
        <v>22</v>
      </c>
      <c r="D333" s="21" t="s">
        <v>237</v>
      </c>
      <c r="E333" s="21" t="s">
        <v>46</v>
      </c>
      <c r="F333" s="5812">
        <v>1</v>
      </c>
      <c r="G333" s="5813">
        <v>0.17083333333333334</v>
      </c>
      <c r="H333" s="21" t="s">
        <v>10</v>
      </c>
      <c r="I333" s="21" t="s">
        <v>226</v>
      </c>
      <c r="J333" s="21" t="s">
        <v>48</v>
      </c>
      <c r="K333" s="5814" t="s">
        <v>4577</v>
      </c>
    </row>
    <row r="334" spans="1:11">
      <c r="A334" s="21" t="s">
        <v>3409</v>
      </c>
      <c r="B334" s="21" t="s">
        <v>4578</v>
      </c>
      <c r="C334" s="21" t="s">
        <v>22</v>
      </c>
      <c r="D334" s="21" t="s">
        <v>237</v>
      </c>
      <c r="E334" s="21" t="s">
        <v>46</v>
      </c>
      <c r="F334" s="5812">
        <v>1</v>
      </c>
      <c r="G334" s="5813">
        <v>0.17430555555555555</v>
      </c>
      <c r="H334" s="21" t="s">
        <v>54</v>
      </c>
      <c r="I334" s="21" t="s">
        <v>11</v>
      </c>
      <c r="J334" s="21" t="s">
        <v>4579</v>
      </c>
      <c r="K334" s="5814" t="s">
        <v>4580</v>
      </c>
    </row>
    <row r="335" spans="1:11">
      <c r="A335" s="21" t="s">
        <v>2675</v>
      </c>
      <c r="B335" s="21" t="s">
        <v>4581</v>
      </c>
      <c r="C335" s="21" t="s">
        <v>8</v>
      </c>
      <c r="D335" s="21" t="s">
        <v>237</v>
      </c>
      <c r="E335" s="21" t="s">
        <v>46</v>
      </c>
      <c r="F335" s="5812">
        <v>1</v>
      </c>
      <c r="G335" s="5813">
        <v>0.17430555555555555</v>
      </c>
      <c r="H335" s="21" t="s">
        <v>10</v>
      </c>
      <c r="I335" s="21" t="s">
        <v>2872</v>
      </c>
      <c r="J335" s="21" t="s">
        <v>48</v>
      </c>
      <c r="K335" s="5814" t="s">
        <v>4582</v>
      </c>
    </row>
    <row r="336" spans="1:11">
      <c r="A336" s="21" t="s">
        <v>37</v>
      </c>
      <c r="B336" s="21" t="s">
        <v>405</v>
      </c>
      <c r="C336" s="21" t="s">
        <v>22</v>
      </c>
      <c r="D336" s="21" t="s">
        <v>237</v>
      </c>
      <c r="E336" s="21" t="s">
        <v>46</v>
      </c>
      <c r="F336" s="5812">
        <v>1</v>
      </c>
      <c r="G336" s="5813">
        <v>0.17499999999999999</v>
      </c>
      <c r="H336" s="21" t="s">
        <v>10</v>
      </c>
      <c r="I336" s="21" t="s">
        <v>47</v>
      </c>
      <c r="J336" s="21" t="s">
        <v>406</v>
      </c>
      <c r="K336" s="5814" t="s">
        <v>407</v>
      </c>
    </row>
    <row r="337" spans="1:11">
      <c r="A337" s="21" t="s">
        <v>2169</v>
      </c>
      <c r="B337" s="21" t="s">
        <v>4583</v>
      </c>
      <c r="C337" s="21" t="s">
        <v>22</v>
      </c>
      <c r="D337" s="21" t="s">
        <v>237</v>
      </c>
      <c r="E337" s="21" t="s">
        <v>46</v>
      </c>
      <c r="F337" s="5812">
        <v>1</v>
      </c>
      <c r="G337" s="5813">
        <v>0.1763888888888889</v>
      </c>
      <c r="H337" s="21" t="s">
        <v>10</v>
      </c>
      <c r="I337" s="21" t="s">
        <v>55</v>
      </c>
      <c r="J337" s="21" t="s">
        <v>48</v>
      </c>
      <c r="K337" s="5814" t="s">
        <v>4584</v>
      </c>
    </row>
    <row r="338" spans="1:11">
      <c r="A338" s="21" t="s">
        <v>3387</v>
      </c>
      <c r="B338" s="21" t="s">
        <v>4585</v>
      </c>
      <c r="C338" s="21" t="s">
        <v>22</v>
      </c>
      <c r="D338" s="21" t="s">
        <v>237</v>
      </c>
      <c r="E338" s="21" t="s">
        <v>46</v>
      </c>
      <c r="F338" s="5812">
        <v>1</v>
      </c>
      <c r="G338" s="5813">
        <v>0.17916666666666667</v>
      </c>
      <c r="H338" s="21" t="s">
        <v>10</v>
      </c>
      <c r="I338" s="21" t="s">
        <v>2814</v>
      </c>
      <c r="J338" s="21" t="s">
        <v>4586</v>
      </c>
      <c r="K338" s="5814" t="s">
        <v>4587</v>
      </c>
    </row>
    <row r="339" spans="1:11">
      <c r="A339" s="21" t="s">
        <v>4233</v>
      </c>
      <c r="B339" s="21" t="s">
        <v>4588</v>
      </c>
      <c r="C339" s="21" t="s">
        <v>8</v>
      </c>
      <c r="D339" s="21" t="s">
        <v>237</v>
      </c>
      <c r="E339" s="21" t="s">
        <v>46</v>
      </c>
      <c r="F339" s="5812">
        <v>1</v>
      </c>
      <c r="G339" s="5813">
        <v>0.17986111111111111</v>
      </c>
      <c r="H339" s="21" t="s">
        <v>10</v>
      </c>
      <c r="I339" s="21" t="s">
        <v>2872</v>
      </c>
      <c r="J339" s="21" t="s">
        <v>4589</v>
      </c>
      <c r="K339" s="5814" t="s">
        <v>4590</v>
      </c>
    </row>
    <row r="340" spans="1:11">
      <c r="A340" s="21" t="s">
        <v>2446</v>
      </c>
      <c r="B340" s="21" t="s">
        <v>4591</v>
      </c>
      <c r="C340" s="21" t="s">
        <v>22</v>
      </c>
      <c r="D340" s="21" t="s">
        <v>237</v>
      </c>
      <c r="E340" s="21" t="s">
        <v>46</v>
      </c>
      <c r="F340" s="5812">
        <v>1</v>
      </c>
      <c r="G340" s="5813">
        <v>0.18333333333333332</v>
      </c>
      <c r="H340" s="21" t="s">
        <v>10</v>
      </c>
      <c r="I340" s="21" t="s">
        <v>39</v>
      </c>
      <c r="J340" s="21" t="s">
        <v>97</v>
      </c>
      <c r="K340" s="5814" t="s">
        <v>4592</v>
      </c>
    </row>
    <row r="341" spans="1:11">
      <c r="A341" s="21" t="s">
        <v>2595</v>
      </c>
      <c r="B341" s="21" t="s">
        <v>4593</v>
      </c>
      <c r="C341" s="21" t="s">
        <v>8</v>
      </c>
      <c r="D341" s="21" t="s">
        <v>237</v>
      </c>
      <c r="E341" s="21" t="s">
        <v>46</v>
      </c>
      <c r="F341" s="5812">
        <v>1</v>
      </c>
      <c r="G341" s="5813">
        <v>0.18402777777777779</v>
      </c>
      <c r="H341" s="21" t="s">
        <v>10</v>
      </c>
      <c r="I341" s="21" t="s">
        <v>96</v>
      </c>
      <c r="J341" s="21" t="s">
        <v>127</v>
      </c>
      <c r="K341" s="5814" t="s">
        <v>4594</v>
      </c>
    </row>
    <row r="342" spans="1:11">
      <c r="A342" s="21" t="s">
        <v>3105</v>
      </c>
      <c r="B342" s="21" t="s">
        <v>4595</v>
      </c>
      <c r="C342" s="21" t="s">
        <v>8</v>
      </c>
      <c r="D342" s="21" t="s">
        <v>237</v>
      </c>
      <c r="E342" s="21" t="s">
        <v>46</v>
      </c>
      <c r="F342" s="5812">
        <v>1</v>
      </c>
      <c r="G342" s="5813">
        <v>0.1875</v>
      </c>
      <c r="H342" s="21" t="s">
        <v>10</v>
      </c>
      <c r="I342" s="21" t="s">
        <v>55</v>
      </c>
      <c r="J342" s="21" t="s">
        <v>4589</v>
      </c>
      <c r="K342" s="5814" t="s">
        <v>4596</v>
      </c>
    </row>
    <row r="343" spans="1:11">
      <c r="A343" s="21" t="s">
        <v>4597</v>
      </c>
      <c r="B343" s="21" t="s">
        <v>4598</v>
      </c>
      <c r="C343" s="21" t="s">
        <v>22</v>
      </c>
      <c r="D343" s="21" t="s">
        <v>237</v>
      </c>
      <c r="E343" s="21" t="s">
        <v>46</v>
      </c>
      <c r="F343" s="5812">
        <v>1</v>
      </c>
      <c r="G343" s="5813">
        <v>0.18958333333333333</v>
      </c>
      <c r="H343" s="21" t="s">
        <v>10</v>
      </c>
      <c r="I343" s="21" t="s">
        <v>400</v>
      </c>
      <c r="J343" s="21" t="s">
        <v>48</v>
      </c>
      <c r="K343" s="5814" t="s">
        <v>4599</v>
      </c>
    </row>
    <row r="344" spans="1:11">
      <c r="A344" s="21" t="s">
        <v>2156</v>
      </c>
      <c r="B344" s="21" t="s">
        <v>4600</v>
      </c>
      <c r="C344" s="21" t="s">
        <v>8</v>
      </c>
      <c r="D344" s="21" t="s">
        <v>237</v>
      </c>
      <c r="E344" s="21" t="s">
        <v>46</v>
      </c>
      <c r="F344" s="5812">
        <v>1</v>
      </c>
      <c r="G344" s="5813">
        <v>0.19027777777777777</v>
      </c>
      <c r="H344" s="21" t="s">
        <v>10</v>
      </c>
      <c r="I344" s="21" t="s">
        <v>96</v>
      </c>
      <c r="J344" s="21" t="s">
        <v>907</v>
      </c>
      <c r="K344" s="5814" t="s">
        <v>4601</v>
      </c>
    </row>
    <row r="345" spans="1:11">
      <c r="A345" s="21" t="s">
        <v>3537</v>
      </c>
      <c r="B345" s="21" t="s">
        <v>4602</v>
      </c>
      <c r="C345" s="21" t="s">
        <v>8</v>
      </c>
      <c r="D345" s="21" t="s">
        <v>237</v>
      </c>
      <c r="E345" s="21" t="s">
        <v>46</v>
      </c>
      <c r="F345" s="5812">
        <v>1</v>
      </c>
      <c r="G345" s="5813">
        <v>0.19027777777777777</v>
      </c>
      <c r="H345" s="21" t="s">
        <v>10</v>
      </c>
      <c r="I345" s="21" t="s">
        <v>89</v>
      </c>
      <c r="J345" s="21" t="s">
        <v>127</v>
      </c>
      <c r="K345" s="5814" t="s">
        <v>4603</v>
      </c>
    </row>
    <row r="346" spans="1:11">
      <c r="A346" s="21" t="s">
        <v>115</v>
      </c>
      <c r="B346" s="21" t="s">
        <v>364</v>
      </c>
      <c r="C346" s="21" t="s">
        <v>8</v>
      </c>
      <c r="D346" s="21" t="s">
        <v>237</v>
      </c>
      <c r="E346" s="21" t="s">
        <v>46</v>
      </c>
      <c r="F346" s="5812">
        <v>1</v>
      </c>
      <c r="G346" s="5813">
        <v>0.19652777777777777</v>
      </c>
      <c r="H346" s="21" t="s">
        <v>10</v>
      </c>
      <c r="I346" s="21" t="s">
        <v>11</v>
      </c>
      <c r="J346" s="21" t="s">
        <v>48</v>
      </c>
      <c r="K346" s="5814" t="s">
        <v>365</v>
      </c>
    </row>
    <row r="347" spans="1:11">
      <c r="A347" s="21" t="s">
        <v>2205</v>
      </c>
      <c r="B347" s="21" t="s">
        <v>4604</v>
      </c>
      <c r="C347" s="21" t="s">
        <v>22</v>
      </c>
      <c r="D347" s="21" t="s">
        <v>237</v>
      </c>
      <c r="E347" s="21" t="s">
        <v>46</v>
      </c>
      <c r="F347" s="5812">
        <v>1</v>
      </c>
      <c r="G347" s="5813">
        <v>0.19722222222222222</v>
      </c>
      <c r="H347" s="21" t="s">
        <v>10</v>
      </c>
      <c r="I347" s="21" t="s">
        <v>96</v>
      </c>
      <c r="J347" s="21" t="s">
        <v>406</v>
      </c>
      <c r="K347" s="5814" t="s">
        <v>4605</v>
      </c>
    </row>
    <row r="348" spans="1:11">
      <c r="A348" s="21" t="s">
        <v>3235</v>
      </c>
      <c r="B348" s="21" t="s">
        <v>4606</v>
      </c>
      <c r="C348" s="21" t="s">
        <v>22</v>
      </c>
      <c r="D348" s="21" t="s">
        <v>237</v>
      </c>
      <c r="E348" s="21" t="s">
        <v>46</v>
      </c>
      <c r="F348" s="5812">
        <v>1</v>
      </c>
      <c r="G348" s="5813">
        <v>0.19930555555555557</v>
      </c>
      <c r="H348" s="21" t="s">
        <v>10</v>
      </c>
      <c r="I348" s="21" t="s">
        <v>96</v>
      </c>
      <c r="J348" s="21" t="s">
        <v>127</v>
      </c>
      <c r="K348" s="5814" t="s">
        <v>4607</v>
      </c>
    </row>
    <row r="349" spans="1:11">
      <c r="A349" s="21" t="s">
        <v>2995</v>
      </c>
      <c r="B349" s="21" t="s">
        <v>4608</v>
      </c>
      <c r="C349" s="21" t="s">
        <v>22</v>
      </c>
      <c r="D349" s="21" t="s">
        <v>237</v>
      </c>
      <c r="E349" s="21" t="s">
        <v>46</v>
      </c>
      <c r="F349" s="5812">
        <v>1</v>
      </c>
      <c r="G349" s="5813">
        <v>0.2</v>
      </c>
      <c r="H349" s="21" t="s">
        <v>10</v>
      </c>
      <c r="I349" s="21" t="s">
        <v>96</v>
      </c>
      <c r="J349" s="21" t="s">
        <v>907</v>
      </c>
      <c r="K349" s="5814" t="s">
        <v>4609</v>
      </c>
    </row>
    <row r="350" spans="1:11">
      <c r="A350" s="21" t="s">
        <v>2372</v>
      </c>
      <c r="B350" s="21" t="s">
        <v>4610</v>
      </c>
      <c r="C350" s="21" t="s">
        <v>8</v>
      </c>
      <c r="D350" s="21" t="s">
        <v>237</v>
      </c>
      <c r="E350" s="21" t="s">
        <v>46</v>
      </c>
      <c r="F350" s="5812">
        <v>1</v>
      </c>
      <c r="G350" s="5813">
        <v>0.20208333333333334</v>
      </c>
      <c r="H350" s="21" t="s">
        <v>10</v>
      </c>
      <c r="I350" s="21" t="s">
        <v>187</v>
      </c>
      <c r="J350" s="21" t="s">
        <v>48</v>
      </c>
      <c r="K350" s="5814" t="s">
        <v>4611</v>
      </c>
    </row>
    <row r="351" spans="1:11">
      <c r="A351" s="21" t="s">
        <v>3338</v>
      </c>
      <c r="B351" s="21" t="s">
        <v>4612</v>
      </c>
      <c r="C351" s="21" t="s">
        <v>22</v>
      </c>
      <c r="D351" s="21" t="s">
        <v>237</v>
      </c>
      <c r="E351" s="21" t="s">
        <v>46</v>
      </c>
      <c r="F351" s="5812">
        <v>2</v>
      </c>
      <c r="G351" s="5813">
        <v>5.5555555555555558E-3</v>
      </c>
      <c r="H351" s="21" t="s">
        <v>54</v>
      </c>
      <c r="I351" s="21" t="s">
        <v>55</v>
      </c>
      <c r="J351" s="21" t="s">
        <v>4613</v>
      </c>
      <c r="K351" s="5814" t="s">
        <v>4614</v>
      </c>
    </row>
    <row r="352" spans="1:11">
      <c r="A352" s="21" t="s">
        <v>3974</v>
      </c>
      <c r="B352" s="21" t="s">
        <v>4615</v>
      </c>
      <c r="C352" s="21" t="s">
        <v>22</v>
      </c>
      <c r="D352" s="21" t="s">
        <v>237</v>
      </c>
      <c r="E352" s="21" t="s">
        <v>46</v>
      </c>
      <c r="F352" s="5812">
        <v>2</v>
      </c>
      <c r="G352" s="5813">
        <v>9.7222222222222224E-3</v>
      </c>
      <c r="H352" s="21" t="s">
        <v>10</v>
      </c>
      <c r="I352" s="21" t="s">
        <v>47</v>
      </c>
      <c r="J352" s="21" t="s">
        <v>940</v>
      </c>
      <c r="K352" s="5814" t="s">
        <v>4616</v>
      </c>
    </row>
    <row r="353" spans="1:11">
      <c r="A353" s="21" t="s">
        <v>4409</v>
      </c>
      <c r="B353" s="21" t="s">
        <v>4617</v>
      </c>
      <c r="C353" s="21" t="s">
        <v>22</v>
      </c>
      <c r="D353" s="21" t="s">
        <v>237</v>
      </c>
      <c r="E353" s="21" t="s">
        <v>46</v>
      </c>
      <c r="F353" s="5812">
        <v>2</v>
      </c>
      <c r="G353" s="5813">
        <v>1.5972222222222221E-2</v>
      </c>
      <c r="H353" s="21" t="s">
        <v>10</v>
      </c>
      <c r="I353" s="21" t="s">
        <v>39</v>
      </c>
      <c r="J353" s="21" t="s">
        <v>154</v>
      </c>
      <c r="K353" s="5814" t="s">
        <v>4618</v>
      </c>
    </row>
    <row r="354" spans="1:11">
      <c r="A354" s="21" t="s">
        <v>2241</v>
      </c>
      <c r="B354" s="21" t="s">
        <v>4619</v>
      </c>
      <c r="C354" s="21" t="s">
        <v>8</v>
      </c>
      <c r="D354" s="21" t="s">
        <v>237</v>
      </c>
      <c r="E354" s="21" t="s">
        <v>46</v>
      </c>
      <c r="F354" s="5812">
        <v>2</v>
      </c>
      <c r="G354" s="5813">
        <v>1.6666666666666666E-2</v>
      </c>
      <c r="H354" s="21" t="s">
        <v>54</v>
      </c>
      <c r="I354" s="21" t="s">
        <v>2297</v>
      </c>
      <c r="J354" s="21" t="s">
        <v>97</v>
      </c>
      <c r="K354" s="5814" t="s">
        <v>4620</v>
      </c>
    </row>
    <row r="355" spans="1:11">
      <c r="A355" s="21" t="s">
        <v>4621</v>
      </c>
      <c r="B355" s="21" t="s">
        <v>4622</v>
      </c>
      <c r="C355" s="21" t="s">
        <v>22</v>
      </c>
      <c r="D355" s="21" t="s">
        <v>237</v>
      </c>
      <c r="E355" s="21" t="s">
        <v>46</v>
      </c>
      <c r="F355" s="5812">
        <v>2</v>
      </c>
      <c r="G355" s="5813">
        <v>2.0833333333333332E-2</v>
      </c>
      <c r="H355" s="21" t="s">
        <v>10</v>
      </c>
      <c r="I355" s="21" t="s">
        <v>2247</v>
      </c>
      <c r="J355" s="21" t="s">
        <v>417</v>
      </c>
      <c r="K355" s="5814" t="s">
        <v>4623</v>
      </c>
    </row>
    <row r="356" spans="1:11">
      <c r="A356" s="21" t="s">
        <v>4396</v>
      </c>
      <c r="B356" s="21" t="s">
        <v>4624</v>
      </c>
      <c r="C356" s="21" t="s">
        <v>22</v>
      </c>
      <c r="D356" s="21" t="s">
        <v>237</v>
      </c>
      <c r="E356" s="21" t="s">
        <v>46</v>
      </c>
      <c r="F356" s="5812">
        <v>2</v>
      </c>
      <c r="G356" s="5813">
        <v>2.361111111111111E-2</v>
      </c>
      <c r="H356" s="21" t="s">
        <v>10</v>
      </c>
      <c r="I356" s="21" t="s">
        <v>23</v>
      </c>
      <c r="J356" s="21" t="s">
        <v>48</v>
      </c>
      <c r="K356" s="5814" t="s">
        <v>4625</v>
      </c>
    </row>
    <row r="357" spans="1:11">
      <c r="A357" s="21" t="s">
        <v>2341</v>
      </c>
      <c r="B357" s="21" t="s">
        <v>4626</v>
      </c>
      <c r="C357" s="21" t="s">
        <v>22</v>
      </c>
      <c r="D357" s="21" t="s">
        <v>237</v>
      </c>
      <c r="E357" s="21" t="s">
        <v>46</v>
      </c>
      <c r="F357" s="5812">
        <v>2</v>
      </c>
      <c r="G357" s="5813">
        <v>2.5000000000000001E-2</v>
      </c>
      <c r="H357" s="21" t="s">
        <v>10</v>
      </c>
      <c r="I357" s="21" t="s">
        <v>2435</v>
      </c>
      <c r="J357" s="21" t="s">
        <v>518</v>
      </c>
      <c r="K357" s="5814" t="s">
        <v>4627</v>
      </c>
    </row>
    <row r="358" spans="1:11">
      <c r="A358" s="21" t="s">
        <v>2998</v>
      </c>
      <c r="B358" s="21" t="s">
        <v>4628</v>
      </c>
      <c r="C358" s="21" t="s">
        <v>8</v>
      </c>
      <c r="D358" s="21" t="s">
        <v>237</v>
      </c>
      <c r="E358" s="21" t="s">
        <v>46</v>
      </c>
      <c r="F358" s="5812">
        <v>2</v>
      </c>
      <c r="G358" s="5813">
        <v>3.0555555555555555E-2</v>
      </c>
      <c r="H358" s="21" t="s">
        <v>10</v>
      </c>
      <c r="I358" s="21" t="s">
        <v>400</v>
      </c>
      <c r="J358" s="21" t="s">
        <v>97</v>
      </c>
      <c r="K358" s="5814" t="s">
        <v>4629</v>
      </c>
    </row>
    <row r="359" spans="1:11">
      <c r="A359" s="21" t="s">
        <v>3896</v>
      </c>
      <c r="B359" s="21" t="s">
        <v>4630</v>
      </c>
      <c r="C359" s="21" t="s">
        <v>22</v>
      </c>
      <c r="D359" s="21" t="s">
        <v>237</v>
      </c>
      <c r="E359" s="21" t="s">
        <v>46</v>
      </c>
      <c r="F359" s="5812">
        <v>2</v>
      </c>
      <c r="G359" s="5813">
        <v>5.1388888888888887E-2</v>
      </c>
      <c r="H359" s="21" t="s">
        <v>10</v>
      </c>
      <c r="I359" s="21" t="s">
        <v>2435</v>
      </c>
      <c r="J359" s="21" t="s">
        <v>48</v>
      </c>
      <c r="K359" s="5814" t="s">
        <v>4631</v>
      </c>
    </row>
    <row r="360" spans="1:11">
      <c r="A360" s="21" t="s">
        <v>2571</v>
      </c>
      <c r="B360" s="21" t="s">
        <v>4632</v>
      </c>
      <c r="C360" s="21" t="s">
        <v>22</v>
      </c>
      <c r="D360" s="21" t="s">
        <v>237</v>
      </c>
      <c r="E360" s="21" t="s">
        <v>46</v>
      </c>
      <c r="F360" s="5812">
        <v>2</v>
      </c>
      <c r="G360" s="5813">
        <v>6.3194444444444442E-2</v>
      </c>
      <c r="H360" s="21" t="s">
        <v>10</v>
      </c>
      <c r="I360" s="21" t="s">
        <v>55</v>
      </c>
      <c r="J360" s="21" t="s">
        <v>3132</v>
      </c>
      <c r="K360" s="5814" t="s">
        <v>4633</v>
      </c>
    </row>
    <row r="361" spans="1:11">
      <c r="A361" s="21" t="s">
        <v>2737</v>
      </c>
      <c r="B361" s="21" t="s">
        <v>4634</v>
      </c>
      <c r="C361" s="21" t="s">
        <v>22</v>
      </c>
      <c r="D361" s="21" t="s">
        <v>237</v>
      </c>
      <c r="E361" s="21" t="s">
        <v>46</v>
      </c>
      <c r="F361" s="5812">
        <v>2</v>
      </c>
      <c r="G361" s="5813">
        <v>6.5972222222222224E-2</v>
      </c>
      <c r="H361" s="21" t="s">
        <v>54</v>
      </c>
      <c r="I361" s="21" t="s">
        <v>226</v>
      </c>
      <c r="J361" s="21" t="s">
        <v>406</v>
      </c>
      <c r="K361" s="5814" t="s">
        <v>4635</v>
      </c>
    </row>
    <row r="362" spans="1:11">
      <c r="A362" s="21" t="s">
        <v>3409</v>
      </c>
      <c r="B362" s="21" t="s">
        <v>4636</v>
      </c>
      <c r="C362" s="21" t="s">
        <v>8</v>
      </c>
      <c r="D362" s="21" t="s">
        <v>237</v>
      </c>
      <c r="E362" s="21" t="s">
        <v>46</v>
      </c>
      <c r="F362" s="5812">
        <v>2</v>
      </c>
      <c r="G362" s="5813">
        <v>7.6388888888888895E-2</v>
      </c>
      <c r="H362" s="21" t="s">
        <v>10</v>
      </c>
      <c r="I362" s="21" t="s">
        <v>11</v>
      </c>
      <c r="J362" s="21" t="s">
        <v>4637</v>
      </c>
      <c r="K362" s="5814" t="s">
        <v>4638</v>
      </c>
    </row>
    <row r="363" spans="1:11">
      <c r="A363" s="21" t="s">
        <v>3643</v>
      </c>
      <c r="B363" s="21" t="s">
        <v>4639</v>
      </c>
      <c r="C363" s="21" t="s">
        <v>22</v>
      </c>
      <c r="D363" s="21" t="s">
        <v>237</v>
      </c>
      <c r="E363" s="21" t="s">
        <v>46</v>
      </c>
      <c r="F363" s="5812">
        <v>2</v>
      </c>
      <c r="G363" s="5813">
        <v>7.6388888888888895E-2</v>
      </c>
      <c r="H363" s="21" t="s">
        <v>10</v>
      </c>
      <c r="I363" s="21" t="s">
        <v>39</v>
      </c>
      <c r="J363" s="21" t="s">
        <v>722</v>
      </c>
      <c r="K363" s="5814" t="s">
        <v>4640</v>
      </c>
    </row>
    <row r="364" spans="1:11">
      <c r="A364" s="21" t="s">
        <v>4047</v>
      </c>
      <c r="B364" s="21" t="s">
        <v>4641</v>
      </c>
      <c r="C364" s="21" t="s">
        <v>8</v>
      </c>
      <c r="D364" s="21" t="s">
        <v>237</v>
      </c>
      <c r="E364" s="21" t="s">
        <v>46</v>
      </c>
      <c r="F364" s="5812">
        <v>2</v>
      </c>
      <c r="G364" s="5813">
        <v>7.7777777777777779E-2</v>
      </c>
      <c r="H364" s="21" t="s">
        <v>10</v>
      </c>
      <c r="I364" s="21" t="s">
        <v>39</v>
      </c>
      <c r="J364" s="21" t="s">
        <v>48</v>
      </c>
      <c r="K364" s="5814" t="s">
        <v>4642</v>
      </c>
    </row>
    <row r="365" spans="1:11">
      <c r="A365" s="21" t="s">
        <v>115</v>
      </c>
      <c r="B365" s="21" t="s">
        <v>369</v>
      </c>
      <c r="C365" s="21" t="s">
        <v>8</v>
      </c>
      <c r="D365" s="21" t="s">
        <v>237</v>
      </c>
      <c r="E365" s="21" t="s">
        <v>46</v>
      </c>
      <c r="F365" s="5812">
        <v>2</v>
      </c>
      <c r="G365" s="5813">
        <v>8.3333333333333329E-2</v>
      </c>
      <c r="H365" s="21" t="s">
        <v>10</v>
      </c>
      <c r="I365" s="21" t="s">
        <v>263</v>
      </c>
      <c r="J365" s="21" t="s">
        <v>48</v>
      </c>
      <c r="K365" s="5814" t="s">
        <v>370</v>
      </c>
    </row>
    <row r="366" spans="1:11">
      <c r="A366" s="21" t="s">
        <v>2446</v>
      </c>
      <c r="B366" s="21" t="s">
        <v>4643</v>
      </c>
      <c r="C366" s="21" t="s">
        <v>8</v>
      </c>
      <c r="D366" s="21" t="s">
        <v>237</v>
      </c>
      <c r="E366" s="21" t="s">
        <v>46</v>
      </c>
      <c r="F366" s="5812">
        <v>2</v>
      </c>
      <c r="G366" s="5813">
        <v>8.4027777777777785E-2</v>
      </c>
      <c r="H366" s="21" t="s">
        <v>10</v>
      </c>
      <c r="I366" s="21" t="s">
        <v>11</v>
      </c>
      <c r="J366" s="21" t="s">
        <v>940</v>
      </c>
      <c r="K366" s="5814" t="s">
        <v>4644</v>
      </c>
    </row>
    <row r="367" spans="1:11">
      <c r="A367" s="21" t="s">
        <v>177</v>
      </c>
      <c r="B367" s="21" t="s">
        <v>391</v>
      </c>
      <c r="C367" s="21" t="s">
        <v>22</v>
      </c>
      <c r="D367" s="21" t="s">
        <v>237</v>
      </c>
      <c r="E367" s="21" t="s">
        <v>46</v>
      </c>
      <c r="F367" s="5812">
        <v>2</v>
      </c>
      <c r="G367" s="5813">
        <v>9.166666666666666E-2</v>
      </c>
      <c r="H367" s="21" t="s">
        <v>10</v>
      </c>
      <c r="I367" s="21" t="s">
        <v>39</v>
      </c>
      <c r="J367" s="21" t="s">
        <v>97</v>
      </c>
      <c r="K367" s="5814" t="s">
        <v>392</v>
      </c>
    </row>
    <row r="368" spans="1:11">
      <c r="A368" s="21" t="s">
        <v>4645</v>
      </c>
      <c r="B368" s="21" t="s">
        <v>4646</v>
      </c>
      <c r="C368" s="21" t="s">
        <v>8</v>
      </c>
      <c r="D368" s="21" t="s">
        <v>237</v>
      </c>
      <c r="E368" s="21" t="s">
        <v>46</v>
      </c>
      <c r="F368" s="5812">
        <v>2</v>
      </c>
      <c r="G368" s="5813">
        <v>9.375E-2</v>
      </c>
      <c r="H368" s="21" t="s">
        <v>10</v>
      </c>
      <c r="I368" s="21" t="s">
        <v>226</v>
      </c>
      <c r="J368" s="21" t="s">
        <v>4647</v>
      </c>
      <c r="K368" s="5814" t="s">
        <v>4648</v>
      </c>
    </row>
    <row r="369" spans="1:11">
      <c r="A369" s="21" t="s">
        <v>3354</v>
      </c>
      <c r="B369" s="21" t="s">
        <v>4649</v>
      </c>
      <c r="C369" s="21" t="s">
        <v>8</v>
      </c>
      <c r="D369" s="21" t="s">
        <v>237</v>
      </c>
      <c r="E369" s="21" t="s">
        <v>46</v>
      </c>
      <c r="F369" s="5812">
        <v>2</v>
      </c>
      <c r="G369" s="5813">
        <v>0.10833333333333334</v>
      </c>
      <c r="H369" s="21" t="s">
        <v>54</v>
      </c>
      <c r="I369" s="21" t="s">
        <v>11</v>
      </c>
      <c r="J369" s="21" t="s">
        <v>48</v>
      </c>
      <c r="K369" s="5814" t="s">
        <v>4650</v>
      </c>
    </row>
    <row r="370" spans="1:11">
      <c r="A370" s="21" t="s">
        <v>4116</v>
      </c>
      <c r="B370" s="21" t="s">
        <v>4651</v>
      </c>
      <c r="C370" s="21" t="s">
        <v>22</v>
      </c>
      <c r="D370" s="21" t="s">
        <v>237</v>
      </c>
      <c r="E370" s="21" t="s">
        <v>46</v>
      </c>
      <c r="F370" s="5812">
        <v>2</v>
      </c>
      <c r="G370" s="5813">
        <v>0.11736111111111111</v>
      </c>
      <c r="H370" s="21" t="s">
        <v>10</v>
      </c>
      <c r="I370" s="21" t="s">
        <v>96</v>
      </c>
      <c r="J370" s="21" t="s">
        <v>4652</v>
      </c>
      <c r="K370" s="5814" t="s">
        <v>4653</v>
      </c>
    </row>
    <row r="371" spans="1:11">
      <c r="A371" s="21" t="s">
        <v>4654</v>
      </c>
      <c r="B371" s="21" t="s">
        <v>4655</v>
      </c>
      <c r="C371" s="21" t="s">
        <v>22</v>
      </c>
      <c r="D371" s="21" t="s">
        <v>237</v>
      </c>
      <c r="E371" s="21" t="s">
        <v>46</v>
      </c>
      <c r="F371" s="5812">
        <v>2</v>
      </c>
      <c r="G371" s="5813">
        <v>0.13819444444444445</v>
      </c>
      <c r="H371" s="21" t="s">
        <v>10</v>
      </c>
      <c r="I371" s="21" t="s">
        <v>2660</v>
      </c>
      <c r="J371" s="21" t="s">
        <v>4656</v>
      </c>
      <c r="K371" s="5814" t="s">
        <v>4657</v>
      </c>
    </row>
    <row r="372" spans="1:11">
      <c r="A372" s="21" t="s">
        <v>2139</v>
      </c>
      <c r="B372" s="21" t="s">
        <v>4658</v>
      </c>
      <c r="C372" s="21" t="s">
        <v>22</v>
      </c>
      <c r="D372" s="21" t="s">
        <v>237</v>
      </c>
      <c r="E372" s="21" t="s">
        <v>46</v>
      </c>
      <c r="F372" s="5812">
        <v>2</v>
      </c>
      <c r="G372" s="5813">
        <v>0.15277777777777779</v>
      </c>
      <c r="H372" s="21" t="s">
        <v>10</v>
      </c>
      <c r="I372" s="21" t="s">
        <v>96</v>
      </c>
      <c r="J372" s="21" t="s">
        <v>48</v>
      </c>
      <c r="K372" s="5814" t="s">
        <v>4659</v>
      </c>
    </row>
    <row r="373" spans="1:11">
      <c r="A373" s="21" t="s">
        <v>2057</v>
      </c>
      <c r="B373" s="21" t="s">
        <v>4660</v>
      </c>
      <c r="C373" s="21" t="s">
        <v>8</v>
      </c>
      <c r="D373" s="21" t="s">
        <v>237</v>
      </c>
      <c r="E373" s="21" t="s">
        <v>46</v>
      </c>
      <c r="F373" s="5812">
        <v>2</v>
      </c>
      <c r="G373" s="5813">
        <v>0.15833333333333333</v>
      </c>
      <c r="H373" s="21" t="s">
        <v>10</v>
      </c>
      <c r="I373" s="21" t="s">
        <v>39</v>
      </c>
      <c r="J373" s="21" t="s">
        <v>127</v>
      </c>
      <c r="K373" s="5814" t="s">
        <v>4661</v>
      </c>
    </row>
    <row r="374" spans="1:11">
      <c r="A374" s="21" t="s">
        <v>3765</v>
      </c>
      <c r="B374" s="21" t="s">
        <v>4662</v>
      </c>
      <c r="C374" s="21" t="s">
        <v>22</v>
      </c>
      <c r="D374" s="21" t="s">
        <v>237</v>
      </c>
      <c r="E374" s="21" t="s">
        <v>46</v>
      </c>
      <c r="F374" s="5812">
        <v>2</v>
      </c>
      <c r="G374" s="5813">
        <v>0.15833333333333333</v>
      </c>
      <c r="H374" s="21" t="s">
        <v>10</v>
      </c>
      <c r="I374" s="21" t="s">
        <v>4663</v>
      </c>
      <c r="J374" s="21" t="s">
        <v>4589</v>
      </c>
      <c r="K374" s="5814" t="s">
        <v>4664</v>
      </c>
    </row>
    <row r="375" spans="1:11">
      <c r="A375" s="21" t="s">
        <v>3909</v>
      </c>
      <c r="B375" s="21" t="s">
        <v>4665</v>
      </c>
      <c r="C375" s="21" t="s">
        <v>22</v>
      </c>
      <c r="D375" s="21" t="s">
        <v>237</v>
      </c>
      <c r="E375" s="21" t="s">
        <v>46</v>
      </c>
      <c r="F375" s="5812">
        <v>2</v>
      </c>
      <c r="G375" s="5813">
        <v>0.1736111111111111</v>
      </c>
      <c r="H375" s="21" t="s">
        <v>10</v>
      </c>
      <c r="I375" s="21" t="s">
        <v>2544</v>
      </c>
      <c r="J375" s="21" t="s">
        <v>127</v>
      </c>
      <c r="K375" s="5814" t="s">
        <v>4666</v>
      </c>
    </row>
    <row r="376" spans="1:11">
      <c r="A376" s="21" t="s">
        <v>3664</v>
      </c>
      <c r="B376" s="21" t="s">
        <v>4667</v>
      </c>
      <c r="C376" s="21" t="s">
        <v>8</v>
      </c>
      <c r="D376" s="21" t="s">
        <v>237</v>
      </c>
      <c r="E376" s="21" t="s">
        <v>46</v>
      </c>
      <c r="F376" s="5812">
        <v>2</v>
      </c>
      <c r="G376" s="5813">
        <v>0.17569444444444443</v>
      </c>
      <c r="H376" s="21" t="s">
        <v>10</v>
      </c>
      <c r="I376" s="21" t="s">
        <v>11</v>
      </c>
      <c r="J376" s="21" t="s">
        <v>48</v>
      </c>
      <c r="K376" s="5814" t="s">
        <v>4668</v>
      </c>
    </row>
    <row r="377" spans="1:11">
      <c r="A377" s="21" t="s">
        <v>2358</v>
      </c>
      <c r="B377" s="21" t="s">
        <v>4669</v>
      </c>
      <c r="C377" s="21" t="s">
        <v>8</v>
      </c>
      <c r="D377" s="21" t="s">
        <v>237</v>
      </c>
      <c r="E377" s="21" t="s">
        <v>46</v>
      </c>
      <c r="F377" s="5812">
        <v>2</v>
      </c>
      <c r="G377" s="5813">
        <v>0.17569444444444443</v>
      </c>
      <c r="H377" s="21" t="s">
        <v>10</v>
      </c>
      <c r="I377" s="21" t="s">
        <v>96</v>
      </c>
      <c r="J377" s="21" t="s">
        <v>48</v>
      </c>
      <c r="K377" s="5814" t="s">
        <v>4670</v>
      </c>
    </row>
    <row r="378" spans="1:11">
      <c r="A378" s="21" t="s">
        <v>4671</v>
      </c>
      <c r="B378" s="21" t="s">
        <v>4672</v>
      </c>
      <c r="C378" s="21" t="s">
        <v>22</v>
      </c>
      <c r="D378" s="21" t="s">
        <v>237</v>
      </c>
      <c r="E378" s="21" t="s">
        <v>46</v>
      </c>
      <c r="F378" s="5812">
        <v>2</v>
      </c>
      <c r="G378" s="5813">
        <v>0.17569444444444443</v>
      </c>
      <c r="H378" s="21" t="s">
        <v>10</v>
      </c>
      <c r="I378" s="21" t="s">
        <v>3534</v>
      </c>
      <c r="J378" s="21" t="s">
        <v>722</v>
      </c>
      <c r="K378" s="5814" t="s">
        <v>4673</v>
      </c>
    </row>
    <row r="379" spans="1:11">
      <c r="A379" s="21" t="s">
        <v>3173</v>
      </c>
      <c r="B379" s="21" t="s">
        <v>4674</v>
      </c>
      <c r="C379" s="21" t="s">
        <v>22</v>
      </c>
      <c r="D379" s="21" t="s">
        <v>237</v>
      </c>
      <c r="E379" s="21" t="s">
        <v>46</v>
      </c>
      <c r="F379" s="5812">
        <v>2</v>
      </c>
      <c r="G379" s="5813">
        <v>0.1763888888888889</v>
      </c>
      <c r="H379" s="21" t="s">
        <v>10</v>
      </c>
      <c r="I379" s="21" t="s">
        <v>39</v>
      </c>
      <c r="J379" s="21" t="s">
        <v>97</v>
      </c>
      <c r="K379" s="5814" t="s">
        <v>4675</v>
      </c>
    </row>
    <row r="380" spans="1:11">
      <c r="A380" s="21" t="s">
        <v>3651</v>
      </c>
      <c r="B380" s="21" t="s">
        <v>4676</v>
      </c>
      <c r="C380" s="21" t="s">
        <v>8</v>
      </c>
      <c r="D380" s="21" t="s">
        <v>237</v>
      </c>
      <c r="E380" s="21" t="s">
        <v>46</v>
      </c>
      <c r="F380" s="5812">
        <v>2</v>
      </c>
      <c r="G380" s="5813">
        <v>0.18333333333333332</v>
      </c>
      <c r="H380" s="21" t="s">
        <v>10</v>
      </c>
      <c r="I380" s="21" t="s">
        <v>11</v>
      </c>
      <c r="J380" s="21" t="s">
        <v>127</v>
      </c>
      <c r="K380" s="5814" t="s">
        <v>4677</v>
      </c>
    </row>
    <row r="381" spans="1:11">
      <c r="A381" s="21" t="s">
        <v>3315</v>
      </c>
      <c r="B381" s="21" t="s">
        <v>4678</v>
      </c>
      <c r="C381" s="21" t="s">
        <v>8</v>
      </c>
      <c r="D381" s="21" t="s">
        <v>237</v>
      </c>
      <c r="E381" s="21" t="s">
        <v>46</v>
      </c>
      <c r="F381" s="5812">
        <v>2</v>
      </c>
      <c r="G381" s="5813">
        <v>0.18541666666666667</v>
      </c>
      <c r="H381" s="21" t="s">
        <v>10</v>
      </c>
      <c r="I381" s="21" t="s">
        <v>96</v>
      </c>
      <c r="J381" s="21" t="s">
        <v>616</v>
      </c>
      <c r="K381" s="5814" t="s">
        <v>4679</v>
      </c>
    </row>
    <row r="382" spans="1:11">
      <c r="A382" s="21" t="s">
        <v>3348</v>
      </c>
      <c r="B382" s="21" t="s">
        <v>4680</v>
      </c>
      <c r="C382" s="21" t="s">
        <v>8</v>
      </c>
      <c r="D382" s="21" t="s">
        <v>237</v>
      </c>
      <c r="E382" s="21" t="s">
        <v>46</v>
      </c>
      <c r="F382" s="5812">
        <v>2</v>
      </c>
      <c r="G382" s="5813">
        <v>0.18611111111111112</v>
      </c>
      <c r="H382" s="21" t="s">
        <v>10</v>
      </c>
      <c r="I382" s="21" t="s">
        <v>226</v>
      </c>
      <c r="J382" s="21" t="s">
        <v>258</v>
      </c>
      <c r="K382" s="5814" t="s">
        <v>4681</v>
      </c>
    </row>
    <row r="383" spans="1:11">
      <c r="A383" s="21" t="s">
        <v>3230</v>
      </c>
      <c r="B383" s="21" t="s">
        <v>4682</v>
      </c>
      <c r="C383" s="21" t="s">
        <v>8</v>
      </c>
      <c r="D383" s="21" t="s">
        <v>237</v>
      </c>
      <c r="E383" s="21" t="s">
        <v>46</v>
      </c>
      <c r="F383" s="5812">
        <v>2</v>
      </c>
      <c r="G383" s="5813">
        <v>0.1875</v>
      </c>
      <c r="H383" s="21" t="s">
        <v>10</v>
      </c>
      <c r="I383" s="21" t="s">
        <v>23</v>
      </c>
      <c r="J383" s="21" t="s">
        <v>97</v>
      </c>
      <c r="K383" s="5814" t="s">
        <v>4683</v>
      </c>
    </row>
    <row r="384" spans="1:11">
      <c r="A384" s="21" t="s">
        <v>2147</v>
      </c>
      <c r="B384" s="21" t="s">
        <v>4684</v>
      </c>
      <c r="C384" s="21" t="s">
        <v>22</v>
      </c>
      <c r="D384" s="21" t="s">
        <v>237</v>
      </c>
      <c r="E384" s="21" t="s">
        <v>46</v>
      </c>
      <c r="F384" s="5812">
        <v>2</v>
      </c>
      <c r="G384" s="5813">
        <v>0.18888888888888888</v>
      </c>
      <c r="H384" s="21" t="s">
        <v>10</v>
      </c>
      <c r="I384" s="21" t="s">
        <v>2149</v>
      </c>
      <c r="J384" s="21" t="s">
        <v>97</v>
      </c>
      <c r="K384" s="5814" t="s">
        <v>4685</v>
      </c>
    </row>
    <row r="385" spans="1:11">
      <c r="A385" s="21" t="s">
        <v>2530</v>
      </c>
      <c r="B385" s="21" t="s">
        <v>4686</v>
      </c>
      <c r="C385" s="21" t="s">
        <v>22</v>
      </c>
      <c r="D385" s="21" t="s">
        <v>237</v>
      </c>
      <c r="E385" s="21" t="s">
        <v>46</v>
      </c>
      <c r="F385" s="5812">
        <v>2</v>
      </c>
      <c r="G385" s="5813">
        <v>0.19236111111111112</v>
      </c>
      <c r="H385" s="21" t="s">
        <v>10</v>
      </c>
      <c r="I385" s="21" t="s">
        <v>39</v>
      </c>
      <c r="J385" s="21" t="s">
        <v>4687</v>
      </c>
      <c r="K385" s="5814" t="s">
        <v>4688</v>
      </c>
    </row>
    <row r="386" spans="1:11">
      <c r="A386" s="21" t="s">
        <v>3036</v>
      </c>
      <c r="B386" s="21" t="s">
        <v>4689</v>
      </c>
      <c r="C386" s="21" t="s">
        <v>22</v>
      </c>
      <c r="D386" s="21" t="s">
        <v>237</v>
      </c>
      <c r="E386" s="21" t="s">
        <v>46</v>
      </c>
      <c r="F386" s="5812">
        <v>2</v>
      </c>
      <c r="G386" s="5813">
        <v>0.19444444444444445</v>
      </c>
      <c r="H386" s="21" t="s">
        <v>10</v>
      </c>
      <c r="I386" s="21" t="s">
        <v>3534</v>
      </c>
      <c r="J386" s="21" t="s">
        <v>4652</v>
      </c>
      <c r="K386" s="5814" t="s">
        <v>4690</v>
      </c>
    </row>
    <row r="387" spans="1:11">
      <c r="A387" s="21" t="s">
        <v>3395</v>
      </c>
      <c r="B387" s="21" t="s">
        <v>4691</v>
      </c>
      <c r="C387" s="21" t="s">
        <v>8</v>
      </c>
      <c r="D387" s="21" t="s">
        <v>237</v>
      </c>
      <c r="E387" s="21" t="s">
        <v>46</v>
      </c>
      <c r="F387" s="5812">
        <v>2</v>
      </c>
      <c r="G387" s="5813">
        <v>0.19583333333333333</v>
      </c>
      <c r="H387" s="21" t="s">
        <v>10</v>
      </c>
      <c r="I387" s="21" t="s">
        <v>2544</v>
      </c>
      <c r="J387" s="21" t="s">
        <v>97</v>
      </c>
      <c r="K387" s="5814" t="s">
        <v>4692</v>
      </c>
    </row>
    <row r="388" spans="1:11">
      <c r="A388" s="21" t="s">
        <v>2741</v>
      </c>
      <c r="B388" s="21" t="s">
        <v>4693</v>
      </c>
      <c r="C388" s="21" t="s">
        <v>8</v>
      </c>
      <c r="D388" s="21" t="s">
        <v>237</v>
      </c>
      <c r="E388" s="21" t="s">
        <v>46</v>
      </c>
      <c r="F388" s="5812">
        <v>2</v>
      </c>
      <c r="G388" s="5813">
        <v>0.20624999999999999</v>
      </c>
      <c r="H388" s="21" t="s">
        <v>10</v>
      </c>
      <c r="I388" s="21" t="s">
        <v>47</v>
      </c>
      <c r="J388" s="21" t="s">
        <v>4586</v>
      </c>
      <c r="K388" s="5814" t="s">
        <v>4694</v>
      </c>
    </row>
    <row r="389" spans="1:11">
      <c r="A389" s="21" t="s">
        <v>3613</v>
      </c>
      <c r="B389" s="21" t="s">
        <v>4695</v>
      </c>
      <c r="C389" s="21" t="s">
        <v>8</v>
      </c>
      <c r="D389" s="21" t="s">
        <v>237</v>
      </c>
      <c r="E389" s="21" t="s">
        <v>46</v>
      </c>
      <c r="F389" s="5812">
        <v>3</v>
      </c>
      <c r="G389" s="5813">
        <v>4.8611111111111112E-3</v>
      </c>
      <c r="H389" s="21" t="s">
        <v>10</v>
      </c>
      <c r="I389" s="21" t="s">
        <v>47</v>
      </c>
      <c r="J389" s="21" t="s">
        <v>48</v>
      </c>
      <c r="K389" s="5814" t="s">
        <v>4696</v>
      </c>
    </row>
    <row r="390" spans="1:11">
      <c r="A390" s="21" t="s">
        <v>115</v>
      </c>
      <c r="B390" s="21" t="s">
        <v>268</v>
      </c>
      <c r="C390" s="21" t="s">
        <v>8</v>
      </c>
      <c r="D390" s="21" t="s">
        <v>237</v>
      </c>
      <c r="E390" s="21" t="s">
        <v>46</v>
      </c>
      <c r="F390" s="5812">
        <v>3</v>
      </c>
      <c r="G390" s="5813">
        <v>1.5277777777777777E-2</v>
      </c>
      <c r="H390" s="21" t="s">
        <v>10</v>
      </c>
      <c r="I390" s="21" t="s">
        <v>11</v>
      </c>
      <c r="J390" s="21" t="s">
        <v>48</v>
      </c>
      <c r="K390" s="5814" t="s">
        <v>269</v>
      </c>
    </row>
    <row r="391" spans="1:11">
      <c r="A391" s="21" t="s">
        <v>3125</v>
      </c>
      <c r="B391" s="21" t="s">
        <v>4697</v>
      </c>
      <c r="C391" s="21" t="s">
        <v>8</v>
      </c>
      <c r="D391" s="21" t="s">
        <v>237</v>
      </c>
      <c r="E391" s="21" t="s">
        <v>46</v>
      </c>
      <c r="F391" s="5812">
        <v>3</v>
      </c>
      <c r="G391" s="5813">
        <v>2.2222222222222223E-2</v>
      </c>
      <c r="H391" s="21" t="s">
        <v>10</v>
      </c>
      <c r="I391" s="21" t="s">
        <v>226</v>
      </c>
      <c r="J391" s="21" t="s">
        <v>406</v>
      </c>
      <c r="K391" s="5814" t="s">
        <v>4698</v>
      </c>
    </row>
    <row r="392" spans="1:11">
      <c r="A392" s="21" t="s">
        <v>2882</v>
      </c>
      <c r="B392" s="21" t="s">
        <v>4699</v>
      </c>
      <c r="C392" s="21" t="s">
        <v>22</v>
      </c>
      <c r="D392" s="21" t="s">
        <v>237</v>
      </c>
      <c r="E392" s="21" t="s">
        <v>46</v>
      </c>
      <c r="F392" s="5812">
        <v>3</v>
      </c>
      <c r="G392" s="5813">
        <v>2.2222222222222223E-2</v>
      </c>
      <c r="H392" s="21" t="s">
        <v>10</v>
      </c>
      <c r="I392" s="21" t="s">
        <v>47</v>
      </c>
      <c r="J392" s="21" t="s">
        <v>154</v>
      </c>
      <c r="K392" s="5814" t="s">
        <v>4700</v>
      </c>
    </row>
    <row r="393" spans="1:11">
      <c r="A393" s="21" t="s">
        <v>4321</v>
      </c>
      <c r="B393" s="21" t="s">
        <v>4701</v>
      </c>
      <c r="C393" s="21" t="s">
        <v>22</v>
      </c>
      <c r="D393" s="21" t="s">
        <v>237</v>
      </c>
      <c r="E393" s="21" t="s">
        <v>46</v>
      </c>
      <c r="F393" s="5812">
        <v>3</v>
      </c>
      <c r="G393" s="5813">
        <v>2.7083333333333334E-2</v>
      </c>
      <c r="H393" s="21" t="s">
        <v>10</v>
      </c>
      <c r="I393" s="21" t="s">
        <v>654</v>
      </c>
      <c r="J393" s="21" t="s">
        <v>48</v>
      </c>
      <c r="K393" s="5814" t="s">
        <v>4702</v>
      </c>
    </row>
    <row r="394" spans="1:11">
      <c r="A394" s="21" t="s">
        <v>2955</v>
      </c>
      <c r="B394" s="21" t="s">
        <v>4703</v>
      </c>
      <c r="C394" s="21" t="s">
        <v>22</v>
      </c>
      <c r="D394" s="21" t="s">
        <v>237</v>
      </c>
      <c r="E394" s="21" t="s">
        <v>46</v>
      </c>
      <c r="F394" s="5812">
        <v>3</v>
      </c>
      <c r="G394" s="5813">
        <v>3.8194444444444448E-2</v>
      </c>
      <c r="H394" s="21" t="s">
        <v>10</v>
      </c>
      <c r="I394" s="21" t="s">
        <v>39</v>
      </c>
      <c r="J394" s="21" t="s">
        <v>4586</v>
      </c>
      <c r="K394" s="5814" t="s">
        <v>4704</v>
      </c>
    </row>
    <row r="395" spans="1:11">
      <c r="A395" s="21" t="s">
        <v>3256</v>
      </c>
      <c r="B395" s="21" t="s">
        <v>4705</v>
      </c>
      <c r="C395" s="21" t="s">
        <v>22</v>
      </c>
      <c r="D395" s="21" t="s">
        <v>237</v>
      </c>
      <c r="E395" s="21" t="s">
        <v>46</v>
      </c>
      <c r="F395" s="5812">
        <v>3</v>
      </c>
      <c r="G395" s="5813">
        <v>5.2777777777777778E-2</v>
      </c>
      <c r="H395" s="21" t="s">
        <v>10</v>
      </c>
      <c r="I395" s="21" t="s">
        <v>89</v>
      </c>
      <c r="J395" s="21" t="s">
        <v>48</v>
      </c>
      <c r="K395" s="5814" t="s">
        <v>4706</v>
      </c>
    </row>
    <row r="396" spans="1:11">
      <c r="A396" s="21" t="s">
        <v>2702</v>
      </c>
      <c r="B396" s="21" t="s">
        <v>4707</v>
      </c>
      <c r="C396" s="21" t="s">
        <v>22</v>
      </c>
      <c r="D396" s="21" t="s">
        <v>237</v>
      </c>
      <c r="E396" s="21" t="s">
        <v>46</v>
      </c>
      <c r="F396" s="5812">
        <v>3</v>
      </c>
      <c r="G396" s="5813">
        <v>6.1805555555555558E-2</v>
      </c>
      <c r="H396" s="21" t="s">
        <v>10</v>
      </c>
      <c r="I396" s="21" t="s">
        <v>55</v>
      </c>
      <c r="J396" s="21" t="s">
        <v>48</v>
      </c>
      <c r="K396" s="5814" t="s">
        <v>4708</v>
      </c>
    </row>
    <row r="397" spans="1:11">
      <c r="A397" s="21" t="s">
        <v>2079</v>
      </c>
      <c r="B397" s="21" t="s">
        <v>4709</v>
      </c>
      <c r="C397" s="21" t="s">
        <v>22</v>
      </c>
      <c r="D397" s="21" t="s">
        <v>237</v>
      </c>
      <c r="E397" s="21" t="s">
        <v>46</v>
      </c>
      <c r="F397" s="5812">
        <v>3</v>
      </c>
      <c r="G397" s="5813">
        <v>7.2222222222222215E-2</v>
      </c>
      <c r="H397" s="21" t="s">
        <v>54</v>
      </c>
      <c r="I397" s="21" t="s">
        <v>96</v>
      </c>
      <c r="J397" s="21" t="s">
        <v>48</v>
      </c>
      <c r="K397" s="5814" t="s">
        <v>4710</v>
      </c>
    </row>
    <row r="398" spans="1:11">
      <c r="A398" s="21" t="s">
        <v>4711</v>
      </c>
      <c r="B398" s="21" t="s">
        <v>4712</v>
      </c>
      <c r="C398" s="21" t="s">
        <v>8</v>
      </c>
      <c r="D398" s="21" t="s">
        <v>237</v>
      </c>
      <c r="E398" s="21" t="s">
        <v>46</v>
      </c>
      <c r="F398" s="5812">
        <v>3</v>
      </c>
      <c r="G398" s="5813">
        <v>7.5694444444444439E-2</v>
      </c>
      <c r="H398" s="21" t="s">
        <v>10</v>
      </c>
      <c r="I398" s="21" t="s">
        <v>11</v>
      </c>
      <c r="J398" s="21" t="s">
        <v>722</v>
      </c>
      <c r="K398" s="5814" t="s">
        <v>4713</v>
      </c>
    </row>
    <row r="399" spans="1:11">
      <c r="A399" s="21" t="s">
        <v>4568</v>
      </c>
      <c r="B399" s="21" t="s">
        <v>4714</v>
      </c>
      <c r="C399" s="21" t="s">
        <v>8</v>
      </c>
      <c r="D399" s="21" t="s">
        <v>237</v>
      </c>
      <c r="E399" s="21" t="s">
        <v>46</v>
      </c>
      <c r="F399" s="5812">
        <v>3</v>
      </c>
      <c r="G399" s="5813">
        <v>8.2638888888888887E-2</v>
      </c>
      <c r="H399" s="21" t="s">
        <v>10</v>
      </c>
      <c r="I399" s="21" t="s">
        <v>194</v>
      </c>
      <c r="J399" s="21" t="s">
        <v>406</v>
      </c>
      <c r="K399" s="5814" t="s">
        <v>4715</v>
      </c>
    </row>
    <row r="400" spans="1:11">
      <c r="A400" s="21" t="s">
        <v>2311</v>
      </c>
      <c r="B400" s="21" t="s">
        <v>4716</v>
      </c>
      <c r="C400" s="21" t="s">
        <v>8</v>
      </c>
      <c r="D400" s="21" t="s">
        <v>237</v>
      </c>
      <c r="E400" s="21" t="s">
        <v>46</v>
      </c>
      <c r="F400" s="5812">
        <v>3</v>
      </c>
      <c r="G400" s="5813">
        <v>9.7222222222222224E-2</v>
      </c>
      <c r="H400" s="21" t="s">
        <v>10</v>
      </c>
      <c r="I400" s="21" t="s">
        <v>3343</v>
      </c>
      <c r="J400" s="21" t="s">
        <v>3004</v>
      </c>
      <c r="K400" s="5814" t="s">
        <v>4717</v>
      </c>
    </row>
    <row r="401" spans="1:11">
      <c r="A401" s="21" t="s">
        <v>2424</v>
      </c>
      <c r="B401" s="21" t="s">
        <v>4718</v>
      </c>
      <c r="C401" s="21" t="s">
        <v>8</v>
      </c>
      <c r="D401" s="21" t="s">
        <v>237</v>
      </c>
      <c r="E401" s="21" t="s">
        <v>46</v>
      </c>
      <c r="F401" s="5812">
        <v>3</v>
      </c>
      <c r="G401" s="5813">
        <v>0.125</v>
      </c>
      <c r="H401" s="21" t="s">
        <v>10</v>
      </c>
      <c r="I401" s="21" t="s">
        <v>39</v>
      </c>
      <c r="J401" s="21" t="s">
        <v>258</v>
      </c>
      <c r="K401" s="5814" t="s">
        <v>4719</v>
      </c>
    </row>
    <row r="402" spans="1:11">
      <c r="A402" s="21" t="s">
        <v>2233</v>
      </c>
      <c r="B402" s="21" t="s">
        <v>4720</v>
      </c>
      <c r="C402" s="21" t="s">
        <v>22</v>
      </c>
      <c r="D402" s="21" t="s">
        <v>237</v>
      </c>
      <c r="E402" s="21" t="s">
        <v>46</v>
      </c>
      <c r="F402" s="5812">
        <v>3</v>
      </c>
      <c r="G402" s="5813">
        <v>0.13819444444444445</v>
      </c>
      <c r="H402" s="21" t="s">
        <v>10</v>
      </c>
      <c r="I402" s="21" t="s">
        <v>23</v>
      </c>
      <c r="J402" s="21" t="s">
        <v>722</v>
      </c>
      <c r="K402" s="5814" t="s">
        <v>4721</v>
      </c>
    </row>
    <row r="403" spans="1:11">
      <c r="A403" s="21" t="s">
        <v>2491</v>
      </c>
      <c r="B403" s="21" t="s">
        <v>4722</v>
      </c>
      <c r="C403" s="21" t="s">
        <v>22</v>
      </c>
      <c r="D403" s="21" t="s">
        <v>237</v>
      </c>
      <c r="E403" s="21" t="s">
        <v>46</v>
      </c>
      <c r="F403" s="5812">
        <v>3</v>
      </c>
      <c r="G403" s="5813">
        <v>0.15277777777777779</v>
      </c>
      <c r="H403" s="21" t="s">
        <v>10</v>
      </c>
      <c r="I403" s="21" t="s">
        <v>39</v>
      </c>
      <c r="J403" s="21" t="s">
        <v>258</v>
      </c>
      <c r="K403" s="5814" t="s">
        <v>4723</v>
      </c>
    </row>
    <row r="404" spans="1:11">
      <c r="A404" s="21" t="s">
        <v>4724</v>
      </c>
      <c r="B404" s="21" t="s">
        <v>4725</v>
      </c>
      <c r="C404" s="21" t="s">
        <v>8</v>
      </c>
      <c r="D404" s="21" t="s">
        <v>237</v>
      </c>
      <c r="E404" s="21" t="s">
        <v>46</v>
      </c>
      <c r="F404" s="5812">
        <v>3</v>
      </c>
      <c r="G404" s="5813">
        <v>0.17291666666666666</v>
      </c>
      <c r="H404" s="21" t="s">
        <v>10</v>
      </c>
      <c r="I404" s="21" t="s">
        <v>4298</v>
      </c>
      <c r="J404" s="21" t="s">
        <v>722</v>
      </c>
      <c r="K404" s="5814" t="s">
        <v>4726</v>
      </c>
    </row>
    <row r="405" spans="1:11">
      <c r="A405" s="21" t="s">
        <v>3364</v>
      </c>
      <c r="B405" s="21" t="s">
        <v>4727</v>
      </c>
      <c r="C405" s="21" t="s">
        <v>8</v>
      </c>
      <c r="D405" s="21" t="s">
        <v>237</v>
      </c>
      <c r="E405" s="21" t="s">
        <v>46</v>
      </c>
      <c r="F405" s="5812">
        <v>3</v>
      </c>
      <c r="G405" s="5813">
        <v>0.17291666666666666</v>
      </c>
      <c r="H405" s="21" t="s">
        <v>10</v>
      </c>
      <c r="I405" s="21" t="s">
        <v>11</v>
      </c>
      <c r="J405" s="21" t="s">
        <v>1117</v>
      </c>
      <c r="K405" s="5814" t="s">
        <v>4728</v>
      </c>
    </row>
    <row r="406" spans="1:11">
      <c r="A406" s="21" t="s">
        <v>2905</v>
      </c>
      <c r="B406" s="21" t="s">
        <v>4729</v>
      </c>
      <c r="C406" s="21" t="s">
        <v>22</v>
      </c>
      <c r="D406" s="21" t="s">
        <v>237</v>
      </c>
      <c r="E406" s="21" t="s">
        <v>46</v>
      </c>
      <c r="F406" s="5812">
        <v>3</v>
      </c>
      <c r="G406" s="5813">
        <v>0.1736111111111111</v>
      </c>
      <c r="H406" s="21" t="s">
        <v>10</v>
      </c>
      <c r="I406" s="21" t="s">
        <v>226</v>
      </c>
      <c r="J406" s="21" t="s">
        <v>406</v>
      </c>
      <c r="K406" s="5814" t="s">
        <v>4730</v>
      </c>
    </row>
    <row r="407" spans="1:11">
      <c r="A407" s="21" t="s">
        <v>2630</v>
      </c>
      <c r="B407" s="21" t="s">
        <v>4731</v>
      </c>
      <c r="C407" s="21" t="s">
        <v>8</v>
      </c>
      <c r="D407" s="21" t="s">
        <v>237</v>
      </c>
      <c r="E407" s="21" t="s">
        <v>46</v>
      </c>
      <c r="F407" s="5812">
        <v>3</v>
      </c>
      <c r="G407" s="5813">
        <v>0.1763888888888889</v>
      </c>
      <c r="H407" s="21" t="s">
        <v>10</v>
      </c>
      <c r="I407" s="21" t="s">
        <v>11</v>
      </c>
      <c r="J407" s="21" t="s">
        <v>48</v>
      </c>
      <c r="K407" s="5814" t="s">
        <v>4732</v>
      </c>
    </row>
    <row r="408" spans="1:11">
      <c r="A408" s="21" t="s">
        <v>3134</v>
      </c>
      <c r="B408" s="21" t="s">
        <v>4733</v>
      </c>
      <c r="C408" s="21" t="s">
        <v>8</v>
      </c>
      <c r="D408" s="21" t="s">
        <v>237</v>
      </c>
      <c r="E408" s="21" t="s">
        <v>46</v>
      </c>
      <c r="F408" s="5812">
        <v>3</v>
      </c>
      <c r="G408" s="5813">
        <v>0.18819444444444444</v>
      </c>
      <c r="H408" s="21" t="s">
        <v>10</v>
      </c>
      <c r="I408" s="21" t="s">
        <v>39</v>
      </c>
      <c r="J408" s="21" t="s">
        <v>4734</v>
      </c>
      <c r="K408" s="5814" t="s">
        <v>4735</v>
      </c>
    </row>
    <row r="409" spans="1:11">
      <c r="A409" s="21" t="s">
        <v>3720</v>
      </c>
      <c r="B409" s="21" t="s">
        <v>4736</v>
      </c>
      <c r="C409" s="21" t="s">
        <v>8</v>
      </c>
      <c r="D409" s="21" t="s">
        <v>237</v>
      </c>
      <c r="E409" s="21" t="s">
        <v>46</v>
      </c>
      <c r="F409" s="5812">
        <v>3</v>
      </c>
      <c r="G409" s="5813">
        <v>0.18888888888888888</v>
      </c>
      <c r="H409" s="21" t="s">
        <v>10</v>
      </c>
      <c r="I409" s="21" t="s">
        <v>11</v>
      </c>
      <c r="J409" s="21" t="s">
        <v>518</v>
      </c>
      <c r="K409" s="5814" t="s">
        <v>4737</v>
      </c>
    </row>
    <row r="410" spans="1:11">
      <c r="A410" s="21" t="s">
        <v>4383</v>
      </c>
      <c r="B410" s="21" t="s">
        <v>4738</v>
      </c>
      <c r="C410" s="21" t="s">
        <v>8</v>
      </c>
      <c r="D410" s="21" t="s">
        <v>237</v>
      </c>
      <c r="E410" s="21" t="s">
        <v>46</v>
      </c>
      <c r="F410" s="5812">
        <v>3</v>
      </c>
      <c r="G410" s="5813">
        <v>0.19444444444444445</v>
      </c>
      <c r="H410" s="21" t="s">
        <v>10</v>
      </c>
      <c r="I410" s="21" t="s">
        <v>55</v>
      </c>
      <c r="J410" s="21" t="s">
        <v>2953</v>
      </c>
      <c r="K410" s="5814" t="s">
        <v>4739</v>
      </c>
    </row>
    <row r="411" spans="1:11">
      <c r="A411" s="21" t="s">
        <v>2192</v>
      </c>
      <c r="B411" s="21" t="s">
        <v>4740</v>
      </c>
      <c r="C411" s="21" t="s">
        <v>22</v>
      </c>
      <c r="D411" s="21" t="s">
        <v>237</v>
      </c>
      <c r="E411" s="21" t="s">
        <v>46</v>
      </c>
      <c r="F411" s="5812">
        <v>5</v>
      </c>
      <c r="G411" s="5813">
        <v>0.2076388888888889</v>
      </c>
      <c r="H411" s="21" t="s">
        <v>54</v>
      </c>
      <c r="I411" s="21" t="s">
        <v>187</v>
      </c>
      <c r="J411" s="21" t="s">
        <v>4652</v>
      </c>
      <c r="K411" s="5814" t="s">
        <v>4741</v>
      </c>
    </row>
    <row r="412" spans="1:11">
      <c r="A412" s="21" t="s">
        <v>4621</v>
      </c>
      <c r="B412" s="21" t="s">
        <v>4742</v>
      </c>
      <c r="C412" s="21" t="s">
        <v>179</v>
      </c>
      <c r="D412" s="21" t="s">
        <v>237</v>
      </c>
      <c r="E412" s="21" t="s">
        <v>920</v>
      </c>
      <c r="F412" s="5812">
        <v>1</v>
      </c>
      <c r="G412" s="5813">
        <v>0.14652777777777778</v>
      </c>
      <c r="H412" s="21" t="s">
        <v>10</v>
      </c>
      <c r="I412" s="21" t="s">
        <v>187</v>
      </c>
      <c r="J412" s="21" t="s">
        <v>4743</v>
      </c>
      <c r="K412" s="5814" t="s">
        <v>4744</v>
      </c>
    </row>
    <row r="413" spans="1:11">
      <c r="A413" s="21" t="s">
        <v>2192</v>
      </c>
      <c r="B413" s="21" t="s">
        <v>4745</v>
      </c>
      <c r="C413" s="21" t="s">
        <v>179</v>
      </c>
      <c r="D413" s="21" t="s">
        <v>237</v>
      </c>
      <c r="E413" s="21" t="s">
        <v>920</v>
      </c>
      <c r="F413" s="5812">
        <v>2</v>
      </c>
      <c r="G413" s="5813">
        <v>0.11319444444444444</v>
      </c>
      <c r="H413" s="21" t="s">
        <v>10</v>
      </c>
      <c r="I413" s="21" t="s">
        <v>2194</v>
      </c>
      <c r="J413" s="21" t="s">
        <v>4746</v>
      </c>
      <c r="K413" s="5814" t="s">
        <v>4747</v>
      </c>
    </row>
    <row r="414" spans="1:11">
      <c r="A414" s="21" t="s">
        <v>2075</v>
      </c>
      <c r="B414" s="21" t="s">
        <v>4748</v>
      </c>
      <c r="C414" s="21" t="s">
        <v>8</v>
      </c>
      <c r="D414" s="21" t="s">
        <v>237</v>
      </c>
      <c r="E414" s="21" t="s">
        <v>61</v>
      </c>
      <c r="F414" s="5812">
        <v>1</v>
      </c>
      <c r="G414" s="5813">
        <v>1.3194444444444444E-2</v>
      </c>
      <c r="H414" s="21" t="s">
        <v>10</v>
      </c>
      <c r="I414" s="21" t="s">
        <v>55</v>
      </c>
      <c r="J414" s="21" t="s">
        <v>4749</v>
      </c>
      <c r="K414" s="5814" t="s">
        <v>4750</v>
      </c>
    </row>
    <row r="415" spans="1:11">
      <c r="A415" s="21" t="s">
        <v>2383</v>
      </c>
      <c r="B415" s="21" t="s">
        <v>4751</v>
      </c>
      <c r="C415" s="21" t="s">
        <v>8</v>
      </c>
      <c r="D415" s="21" t="s">
        <v>237</v>
      </c>
      <c r="E415" s="21" t="s">
        <v>61</v>
      </c>
      <c r="F415" s="5812">
        <v>1</v>
      </c>
      <c r="G415" s="5813">
        <v>2.0833333333333332E-2</v>
      </c>
      <c r="H415" s="21" t="s">
        <v>10</v>
      </c>
      <c r="I415" s="21" t="s">
        <v>654</v>
      </c>
      <c r="J415" s="21" t="s">
        <v>110</v>
      </c>
      <c r="K415" s="5814" t="s">
        <v>4752</v>
      </c>
    </row>
    <row r="416" spans="1:11">
      <c r="A416" s="21" t="s">
        <v>2526</v>
      </c>
      <c r="B416" s="21" t="s">
        <v>4753</v>
      </c>
      <c r="C416" s="21" t="s">
        <v>8</v>
      </c>
      <c r="D416" s="21" t="s">
        <v>237</v>
      </c>
      <c r="E416" s="21" t="s">
        <v>61</v>
      </c>
      <c r="F416" s="5812">
        <v>1</v>
      </c>
      <c r="G416" s="5813">
        <v>2.7083333333333334E-2</v>
      </c>
      <c r="H416" s="21" t="s">
        <v>10</v>
      </c>
      <c r="I416" s="21" t="s">
        <v>55</v>
      </c>
      <c r="J416" s="21" t="s">
        <v>3350</v>
      </c>
      <c r="K416" s="5814" t="s">
        <v>4754</v>
      </c>
    </row>
    <row r="417" spans="1:11">
      <c r="A417" s="21" t="s">
        <v>2729</v>
      </c>
      <c r="B417" s="21" t="s">
        <v>4755</v>
      </c>
      <c r="C417" s="21" t="s">
        <v>8</v>
      </c>
      <c r="D417" s="21" t="s">
        <v>237</v>
      </c>
      <c r="E417" s="21" t="s">
        <v>61</v>
      </c>
      <c r="F417" s="5812">
        <v>1</v>
      </c>
      <c r="G417" s="5813">
        <v>2.7083333333333334E-2</v>
      </c>
      <c r="H417" s="21" t="s">
        <v>10</v>
      </c>
      <c r="I417" s="21" t="s">
        <v>2814</v>
      </c>
      <c r="J417" s="21" t="s">
        <v>974</v>
      </c>
      <c r="K417" s="5814" t="s">
        <v>4756</v>
      </c>
    </row>
    <row r="418" spans="1:11">
      <c r="A418" s="21" t="s">
        <v>2272</v>
      </c>
      <c r="B418" s="21" t="s">
        <v>4757</v>
      </c>
      <c r="C418" s="21" t="s">
        <v>22</v>
      </c>
      <c r="D418" s="21" t="s">
        <v>237</v>
      </c>
      <c r="E418" s="21" t="s">
        <v>61</v>
      </c>
      <c r="F418" s="5812">
        <v>1</v>
      </c>
      <c r="G418" s="5813">
        <v>2.7083333333333334E-2</v>
      </c>
      <c r="H418" s="21" t="s">
        <v>10</v>
      </c>
      <c r="I418" s="21" t="s">
        <v>2247</v>
      </c>
      <c r="J418" s="21" t="s">
        <v>4758</v>
      </c>
      <c r="K418" s="5814" t="s">
        <v>4759</v>
      </c>
    </row>
    <row r="419" spans="1:11">
      <c r="A419" s="21" t="s">
        <v>2131</v>
      </c>
      <c r="B419" s="21" t="s">
        <v>4760</v>
      </c>
      <c r="C419" s="21" t="s">
        <v>8</v>
      </c>
      <c r="D419" s="21" t="s">
        <v>237</v>
      </c>
      <c r="E419" s="21" t="s">
        <v>61</v>
      </c>
      <c r="F419" s="5812">
        <v>1</v>
      </c>
      <c r="G419" s="5813">
        <v>3.6111111111111108E-2</v>
      </c>
      <c r="H419" s="21" t="s">
        <v>10</v>
      </c>
      <c r="I419" s="21" t="s">
        <v>226</v>
      </c>
      <c r="J419" s="21" t="s">
        <v>376</v>
      </c>
      <c r="K419" s="5814" t="s">
        <v>4761</v>
      </c>
    </row>
    <row r="420" spans="1:11">
      <c r="A420" s="21" t="s">
        <v>2438</v>
      </c>
      <c r="B420" s="21" t="s">
        <v>4762</v>
      </c>
      <c r="C420" s="21" t="s">
        <v>22</v>
      </c>
      <c r="D420" s="21" t="s">
        <v>237</v>
      </c>
      <c r="E420" s="21" t="s">
        <v>61</v>
      </c>
      <c r="F420" s="5812">
        <v>1</v>
      </c>
      <c r="G420" s="5813">
        <v>3.9583333333333331E-2</v>
      </c>
      <c r="H420" s="21" t="s">
        <v>10</v>
      </c>
      <c r="I420" s="21" t="s">
        <v>2814</v>
      </c>
      <c r="J420" s="21" t="s">
        <v>1327</v>
      </c>
      <c r="K420" s="5814" t="s">
        <v>4763</v>
      </c>
    </row>
    <row r="421" spans="1:11">
      <c r="A421" s="21" t="s">
        <v>4654</v>
      </c>
      <c r="B421" s="21" t="s">
        <v>4764</v>
      </c>
      <c r="C421" s="21" t="s">
        <v>22</v>
      </c>
      <c r="D421" s="21" t="s">
        <v>237</v>
      </c>
      <c r="E421" s="21" t="s">
        <v>61</v>
      </c>
      <c r="F421" s="5812">
        <v>1</v>
      </c>
      <c r="G421" s="5813">
        <v>4.0972222222222222E-2</v>
      </c>
      <c r="H421" s="21" t="s">
        <v>10</v>
      </c>
      <c r="I421" s="21" t="s">
        <v>2660</v>
      </c>
      <c r="J421" s="21" t="s">
        <v>67</v>
      </c>
      <c r="K421" s="5814" t="s">
        <v>4765</v>
      </c>
    </row>
    <row r="422" spans="1:11">
      <c r="A422" s="21" t="s">
        <v>3395</v>
      </c>
      <c r="B422" s="21" t="s">
        <v>4766</v>
      </c>
      <c r="C422" s="21" t="s">
        <v>22</v>
      </c>
      <c r="D422" s="21" t="s">
        <v>237</v>
      </c>
      <c r="E422" s="21" t="s">
        <v>61</v>
      </c>
      <c r="F422" s="5812">
        <v>1</v>
      </c>
      <c r="G422" s="5813">
        <v>5.347222222222222E-2</v>
      </c>
      <c r="H422" s="21" t="s">
        <v>10</v>
      </c>
      <c r="I422" s="21" t="s">
        <v>47</v>
      </c>
      <c r="J422" s="21" t="s">
        <v>67</v>
      </c>
      <c r="K422" s="5814" t="s">
        <v>4767</v>
      </c>
    </row>
    <row r="423" spans="1:11">
      <c r="A423" s="21" t="s">
        <v>4768</v>
      </c>
      <c r="B423" s="21" t="s">
        <v>4769</v>
      </c>
      <c r="C423" s="21" t="s">
        <v>8</v>
      </c>
      <c r="D423" s="21" t="s">
        <v>237</v>
      </c>
      <c r="E423" s="21" t="s">
        <v>61</v>
      </c>
      <c r="F423" s="5812">
        <v>1</v>
      </c>
      <c r="G423" s="5813">
        <v>5.8333333333333334E-2</v>
      </c>
      <c r="H423" s="21" t="s">
        <v>10</v>
      </c>
      <c r="I423" s="21" t="s">
        <v>2660</v>
      </c>
      <c r="J423" s="21" t="s">
        <v>4770</v>
      </c>
      <c r="K423" s="5814" t="s">
        <v>4771</v>
      </c>
    </row>
    <row r="424" spans="1:11">
      <c r="A424" s="21" t="s">
        <v>2323</v>
      </c>
      <c r="B424" s="21" t="s">
        <v>4772</v>
      </c>
      <c r="C424" s="21" t="s">
        <v>8</v>
      </c>
      <c r="D424" s="21" t="s">
        <v>237</v>
      </c>
      <c r="E424" s="21" t="s">
        <v>61</v>
      </c>
      <c r="F424" s="5812">
        <v>1</v>
      </c>
      <c r="G424" s="5813">
        <v>6.805555555555555E-2</v>
      </c>
      <c r="H424" s="21" t="s">
        <v>10</v>
      </c>
      <c r="I424" s="21" t="s">
        <v>2959</v>
      </c>
      <c r="J424" s="21" t="s">
        <v>3383</v>
      </c>
      <c r="K424" s="5814" t="s">
        <v>4773</v>
      </c>
    </row>
    <row r="425" spans="1:11">
      <c r="A425" s="21" t="s">
        <v>3098</v>
      </c>
      <c r="B425" s="21" t="s">
        <v>4774</v>
      </c>
      <c r="C425" s="21" t="s">
        <v>8</v>
      </c>
      <c r="D425" s="21" t="s">
        <v>237</v>
      </c>
      <c r="E425" s="21" t="s">
        <v>61</v>
      </c>
      <c r="F425" s="5812">
        <v>1</v>
      </c>
      <c r="G425" s="5813">
        <v>7.013888888888889E-2</v>
      </c>
      <c r="H425" s="21" t="s">
        <v>10</v>
      </c>
      <c r="I425" s="21" t="s">
        <v>2713</v>
      </c>
      <c r="J425" s="21" t="s">
        <v>67</v>
      </c>
      <c r="K425" s="5814" t="s">
        <v>4775</v>
      </c>
    </row>
    <row r="426" spans="1:11">
      <c r="A426" s="21" t="s">
        <v>2079</v>
      </c>
      <c r="B426" s="21" t="s">
        <v>4776</v>
      </c>
      <c r="C426" s="21" t="s">
        <v>22</v>
      </c>
      <c r="D426" s="21" t="s">
        <v>237</v>
      </c>
      <c r="E426" s="21" t="s">
        <v>61</v>
      </c>
      <c r="F426" s="5812">
        <v>1</v>
      </c>
      <c r="G426" s="5813">
        <v>7.8472222222222221E-2</v>
      </c>
      <c r="H426" s="21" t="s">
        <v>10</v>
      </c>
      <c r="I426" s="21" t="s">
        <v>39</v>
      </c>
      <c r="J426" s="21" t="s">
        <v>3279</v>
      </c>
      <c r="K426" s="5814" t="s">
        <v>4777</v>
      </c>
    </row>
    <row r="427" spans="1:11">
      <c r="A427" s="21" t="s">
        <v>2100</v>
      </c>
      <c r="B427" s="21" t="s">
        <v>4778</v>
      </c>
      <c r="C427" s="21" t="s">
        <v>8</v>
      </c>
      <c r="D427" s="21" t="s">
        <v>237</v>
      </c>
      <c r="E427" s="21" t="s">
        <v>61</v>
      </c>
      <c r="F427" s="5812">
        <v>1</v>
      </c>
      <c r="G427" s="5813">
        <v>8.4722222222222227E-2</v>
      </c>
      <c r="H427" s="21" t="s">
        <v>10</v>
      </c>
      <c r="I427" s="21" t="s">
        <v>23</v>
      </c>
      <c r="J427" s="21" t="s">
        <v>67</v>
      </c>
      <c r="K427" s="5814" t="s">
        <v>4779</v>
      </c>
    </row>
    <row r="428" spans="1:11">
      <c r="A428" s="21" t="s">
        <v>2651</v>
      </c>
      <c r="B428" s="21" t="s">
        <v>4780</v>
      </c>
      <c r="C428" s="21" t="s">
        <v>22</v>
      </c>
      <c r="D428" s="21" t="s">
        <v>237</v>
      </c>
      <c r="E428" s="21" t="s">
        <v>61</v>
      </c>
      <c r="F428" s="5812">
        <v>1</v>
      </c>
      <c r="G428" s="5813">
        <v>8.7499999999999994E-2</v>
      </c>
      <c r="H428" s="21" t="s">
        <v>10</v>
      </c>
      <c r="I428" s="21" t="s">
        <v>11</v>
      </c>
      <c r="J428" s="21" t="s">
        <v>67</v>
      </c>
      <c r="K428" s="5814" t="s">
        <v>4781</v>
      </c>
    </row>
    <row r="429" spans="1:11">
      <c r="A429" s="21" t="s">
        <v>3741</v>
      </c>
      <c r="B429" s="21" t="s">
        <v>4782</v>
      </c>
      <c r="C429" s="21" t="s">
        <v>8</v>
      </c>
      <c r="D429" s="21" t="s">
        <v>237</v>
      </c>
      <c r="E429" s="21" t="s">
        <v>61</v>
      </c>
      <c r="F429" s="5812">
        <v>1</v>
      </c>
      <c r="G429" s="5813">
        <v>9.0972222222222218E-2</v>
      </c>
      <c r="H429" s="21" t="s">
        <v>10</v>
      </c>
      <c r="I429" s="21" t="s">
        <v>2872</v>
      </c>
      <c r="J429" s="21" t="s">
        <v>928</v>
      </c>
      <c r="K429" s="5814" t="s">
        <v>4783</v>
      </c>
    </row>
    <row r="430" spans="1:11">
      <c r="A430" s="21" t="s">
        <v>125</v>
      </c>
      <c r="B430" s="21" t="s">
        <v>375</v>
      </c>
      <c r="C430" s="21" t="s">
        <v>22</v>
      </c>
      <c r="D430" s="21" t="s">
        <v>237</v>
      </c>
      <c r="E430" s="21" t="s">
        <v>61</v>
      </c>
      <c r="F430" s="5812">
        <v>1</v>
      </c>
      <c r="G430" s="5813">
        <v>9.375E-2</v>
      </c>
      <c r="H430" s="21" t="s">
        <v>10</v>
      </c>
      <c r="I430" s="21" t="s">
        <v>23</v>
      </c>
      <c r="J430" s="21" t="s">
        <v>376</v>
      </c>
      <c r="K430" s="5814" t="s">
        <v>377</v>
      </c>
    </row>
    <row r="431" spans="1:11">
      <c r="A431" s="21" t="s">
        <v>3012</v>
      </c>
      <c r="B431" s="21" t="s">
        <v>4784</v>
      </c>
      <c r="C431" s="21" t="s">
        <v>22</v>
      </c>
      <c r="D431" s="21" t="s">
        <v>237</v>
      </c>
      <c r="E431" s="21" t="s">
        <v>61</v>
      </c>
      <c r="F431" s="5812">
        <v>1</v>
      </c>
      <c r="G431" s="5813">
        <v>0.10555555555555556</v>
      </c>
      <c r="H431" s="21" t="s">
        <v>10</v>
      </c>
      <c r="I431" s="21" t="s">
        <v>11</v>
      </c>
      <c r="J431" s="21" t="s">
        <v>3350</v>
      </c>
      <c r="K431" s="5814" t="s">
        <v>4785</v>
      </c>
    </row>
    <row r="432" spans="1:11">
      <c r="A432" s="21" t="s">
        <v>125</v>
      </c>
      <c r="B432" s="21" t="s">
        <v>281</v>
      </c>
      <c r="C432" s="21" t="s">
        <v>8</v>
      </c>
      <c r="D432" s="21" t="s">
        <v>237</v>
      </c>
      <c r="E432" s="21" t="s">
        <v>61</v>
      </c>
      <c r="F432" s="5812">
        <v>1</v>
      </c>
      <c r="G432" s="5813">
        <v>0.11458333333333333</v>
      </c>
      <c r="H432" s="21" t="s">
        <v>10</v>
      </c>
      <c r="I432" s="21" t="s">
        <v>96</v>
      </c>
      <c r="J432" s="21" t="s">
        <v>282</v>
      </c>
      <c r="K432" s="5814" t="s">
        <v>283</v>
      </c>
    </row>
    <row r="433" spans="1:11">
      <c r="A433" s="21" t="s">
        <v>2992</v>
      </c>
      <c r="B433" s="21" t="s">
        <v>4786</v>
      </c>
      <c r="C433" s="21" t="s">
        <v>8</v>
      </c>
      <c r="D433" s="21" t="s">
        <v>237</v>
      </c>
      <c r="E433" s="21" t="s">
        <v>61</v>
      </c>
      <c r="F433" s="5812">
        <v>1</v>
      </c>
      <c r="G433" s="5813">
        <v>0.11527777777777778</v>
      </c>
      <c r="H433" s="21" t="s">
        <v>10</v>
      </c>
      <c r="I433" s="21" t="s">
        <v>187</v>
      </c>
      <c r="J433" s="21" t="s">
        <v>928</v>
      </c>
      <c r="K433" s="5814" t="s">
        <v>4787</v>
      </c>
    </row>
    <row r="434" spans="1:11">
      <c r="A434" s="21" t="s">
        <v>2817</v>
      </c>
      <c r="B434" s="21" t="s">
        <v>4788</v>
      </c>
      <c r="C434" s="21" t="s">
        <v>8</v>
      </c>
      <c r="D434" s="21" t="s">
        <v>237</v>
      </c>
      <c r="E434" s="21" t="s">
        <v>61</v>
      </c>
      <c r="F434" s="5812">
        <v>1</v>
      </c>
      <c r="G434" s="5813">
        <v>0.12708333333333333</v>
      </c>
      <c r="H434" s="21" t="s">
        <v>10</v>
      </c>
      <c r="I434" s="21" t="s">
        <v>2247</v>
      </c>
      <c r="J434" s="21" t="s">
        <v>67</v>
      </c>
      <c r="K434" s="5814" t="s">
        <v>4789</v>
      </c>
    </row>
    <row r="435" spans="1:11">
      <c r="A435" s="21" t="s">
        <v>3630</v>
      </c>
      <c r="B435" s="21" t="s">
        <v>4790</v>
      </c>
      <c r="C435" s="21" t="s">
        <v>8</v>
      </c>
      <c r="D435" s="21" t="s">
        <v>237</v>
      </c>
      <c r="E435" s="21" t="s">
        <v>61</v>
      </c>
      <c r="F435" s="5812">
        <v>1</v>
      </c>
      <c r="G435" s="5813">
        <v>0.12847222222222221</v>
      </c>
      <c r="H435" s="21" t="s">
        <v>10</v>
      </c>
      <c r="I435" s="21" t="s">
        <v>4791</v>
      </c>
      <c r="J435" s="21" t="s">
        <v>974</v>
      </c>
      <c r="K435" s="5814" t="s">
        <v>4792</v>
      </c>
    </row>
    <row r="436" spans="1:11">
      <c r="A436" s="21" t="s">
        <v>2307</v>
      </c>
      <c r="B436" s="21" t="s">
        <v>4793</v>
      </c>
      <c r="C436" s="21" t="s">
        <v>22</v>
      </c>
      <c r="D436" s="21" t="s">
        <v>237</v>
      </c>
      <c r="E436" s="21" t="s">
        <v>61</v>
      </c>
      <c r="F436" s="5812">
        <v>1</v>
      </c>
      <c r="G436" s="5813">
        <v>0.13333333333333333</v>
      </c>
      <c r="H436" s="21" t="s">
        <v>10</v>
      </c>
      <c r="I436" s="21" t="s">
        <v>55</v>
      </c>
      <c r="J436" s="21" t="s">
        <v>3350</v>
      </c>
      <c r="K436" s="5814" t="s">
        <v>4794</v>
      </c>
    </row>
    <row r="437" spans="1:11">
      <c r="A437" s="21" t="s">
        <v>3551</v>
      </c>
      <c r="B437" s="21" t="s">
        <v>4795</v>
      </c>
      <c r="C437" s="21" t="s">
        <v>22</v>
      </c>
      <c r="D437" s="21" t="s">
        <v>237</v>
      </c>
      <c r="E437" s="21" t="s">
        <v>61</v>
      </c>
      <c r="F437" s="5812">
        <v>1</v>
      </c>
      <c r="G437" s="5813">
        <v>0.13541666666666666</v>
      </c>
      <c r="H437" s="21" t="s">
        <v>10</v>
      </c>
      <c r="I437" s="21" t="s">
        <v>47</v>
      </c>
      <c r="J437" s="21" t="s">
        <v>67</v>
      </c>
      <c r="K437" s="5814" t="s">
        <v>4796</v>
      </c>
    </row>
    <row r="438" spans="1:11">
      <c r="A438" s="21" t="s">
        <v>3203</v>
      </c>
      <c r="B438" s="21" t="s">
        <v>4797</v>
      </c>
      <c r="C438" s="21" t="s">
        <v>8</v>
      </c>
      <c r="D438" s="21" t="s">
        <v>237</v>
      </c>
      <c r="E438" s="21" t="s">
        <v>61</v>
      </c>
      <c r="F438" s="5812">
        <v>1</v>
      </c>
      <c r="G438" s="5813">
        <v>0.13541666666666666</v>
      </c>
      <c r="H438" s="21" t="s">
        <v>10</v>
      </c>
      <c r="I438" s="21" t="s">
        <v>2713</v>
      </c>
      <c r="J438" s="21" t="s">
        <v>1327</v>
      </c>
      <c r="K438" s="5814" t="s">
        <v>4798</v>
      </c>
    </row>
    <row r="439" spans="1:11">
      <c r="A439" s="21" t="s">
        <v>4068</v>
      </c>
      <c r="B439" s="21" t="s">
        <v>4799</v>
      </c>
      <c r="C439" s="21" t="s">
        <v>8</v>
      </c>
      <c r="D439" s="21" t="s">
        <v>237</v>
      </c>
      <c r="E439" s="21" t="s">
        <v>61</v>
      </c>
      <c r="F439" s="5812">
        <v>1</v>
      </c>
      <c r="G439" s="5813">
        <v>0.15138888888888888</v>
      </c>
      <c r="H439" s="21" t="s">
        <v>10</v>
      </c>
      <c r="I439" s="21" t="s">
        <v>23</v>
      </c>
      <c r="J439" s="21" t="s">
        <v>67</v>
      </c>
      <c r="K439" s="5814" t="s">
        <v>4800</v>
      </c>
    </row>
    <row r="440" spans="1:11">
      <c r="A440" s="21" t="s">
        <v>3144</v>
      </c>
      <c r="B440" s="21" t="s">
        <v>4801</v>
      </c>
      <c r="C440" s="21" t="s">
        <v>22</v>
      </c>
      <c r="D440" s="21" t="s">
        <v>237</v>
      </c>
      <c r="E440" s="21" t="s">
        <v>61</v>
      </c>
      <c r="F440" s="5812">
        <v>1</v>
      </c>
      <c r="G440" s="5813">
        <v>0.15138888888888888</v>
      </c>
      <c r="H440" s="21" t="s">
        <v>10</v>
      </c>
      <c r="I440" s="21" t="s">
        <v>55</v>
      </c>
      <c r="J440" s="21" t="s">
        <v>67</v>
      </c>
      <c r="K440" s="5814" t="s">
        <v>4802</v>
      </c>
    </row>
    <row r="441" spans="1:11">
      <c r="A441" s="21" t="s">
        <v>4132</v>
      </c>
      <c r="B441" s="21" t="s">
        <v>4803</v>
      </c>
      <c r="C441" s="21" t="s">
        <v>8</v>
      </c>
      <c r="D441" s="21" t="s">
        <v>237</v>
      </c>
      <c r="E441" s="21" t="s">
        <v>61</v>
      </c>
      <c r="F441" s="5812">
        <v>1</v>
      </c>
      <c r="G441" s="5813">
        <v>0.16458333333333333</v>
      </c>
      <c r="H441" s="21" t="s">
        <v>10</v>
      </c>
      <c r="I441" s="21" t="s">
        <v>2747</v>
      </c>
      <c r="J441" s="21" t="s">
        <v>67</v>
      </c>
      <c r="K441" s="5814" t="s">
        <v>4804</v>
      </c>
    </row>
    <row r="442" spans="1:11">
      <c r="A442" s="21" t="s">
        <v>2201</v>
      </c>
      <c r="B442" s="21" t="s">
        <v>4805</v>
      </c>
      <c r="C442" s="21" t="s">
        <v>22</v>
      </c>
      <c r="D442" s="21" t="s">
        <v>237</v>
      </c>
      <c r="E442" s="21" t="s">
        <v>61</v>
      </c>
      <c r="F442" s="5812">
        <v>1</v>
      </c>
      <c r="G442" s="5813">
        <v>0.17708333333333334</v>
      </c>
      <c r="H442" s="21" t="s">
        <v>10</v>
      </c>
      <c r="I442" s="21" t="s">
        <v>2692</v>
      </c>
      <c r="J442" s="21" t="s">
        <v>67</v>
      </c>
      <c r="K442" s="5814" t="s">
        <v>4806</v>
      </c>
    </row>
    <row r="443" spans="1:11">
      <c r="A443" s="21" t="s">
        <v>3769</v>
      </c>
      <c r="B443" s="21" t="s">
        <v>4807</v>
      </c>
      <c r="C443" s="21" t="s">
        <v>8</v>
      </c>
      <c r="D443" s="21" t="s">
        <v>237</v>
      </c>
      <c r="E443" s="21" t="s">
        <v>61</v>
      </c>
      <c r="F443" s="5812">
        <v>1</v>
      </c>
      <c r="G443" s="5813">
        <v>0.17777777777777778</v>
      </c>
      <c r="H443" s="21" t="s">
        <v>10</v>
      </c>
      <c r="I443" s="21" t="s">
        <v>3534</v>
      </c>
      <c r="J443" s="21" t="s">
        <v>4808</v>
      </c>
      <c r="K443" s="5814" t="s">
        <v>4809</v>
      </c>
    </row>
    <row r="444" spans="1:11">
      <c r="A444" s="21" t="s">
        <v>2070</v>
      </c>
      <c r="B444" s="21" t="s">
        <v>4810</v>
      </c>
      <c r="C444" s="21" t="s">
        <v>8</v>
      </c>
      <c r="D444" s="21" t="s">
        <v>237</v>
      </c>
      <c r="E444" s="21" t="s">
        <v>61</v>
      </c>
      <c r="F444" s="5812">
        <v>1</v>
      </c>
      <c r="G444" s="5813">
        <v>0.18055555555555555</v>
      </c>
      <c r="H444" s="21" t="s">
        <v>10</v>
      </c>
      <c r="I444" s="21" t="s">
        <v>226</v>
      </c>
      <c r="J444" s="21" t="s">
        <v>3332</v>
      </c>
      <c r="K444" s="5814" t="s">
        <v>4811</v>
      </c>
    </row>
    <row r="445" spans="1:11">
      <c r="A445" s="21" t="s">
        <v>3286</v>
      </c>
      <c r="B445" s="21" t="s">
        <v>4812</v>
      </c>
      <c r="C445" s="21" t="s">
        <v>8</v>
      </c>
      <c r="D445" s="21" t="s">
        <v>237</v>
      </c>
      <c r="E445" s="21" t="s">
        <v>61</v>
      </c>
      <c r="F445" s="5812">
        <v>1</v>
      </c>
      <c r="G445" s="5813">
        <v>0.18194444444444444</v>
      </c>
      <c r="H445" s="21" t="s">
        <v>10</v>
      </c>
      <c r="I445" s="21" t="s">
        <v>2872</v>
      </c>
      <c r="J445" s="21" t="s">
        <v>67</v>
      </c>
      <c r="K445" s="5814" t="s">
        <v>4813</v>
      </c>
    </row>
    <row r="446" spans="1:11">
      <c r="A446" s="21" t="s">
        <v>2647</v>
      </c>
      <c r="B446" s="21" t="s">
        <v>4814</v>
      </c>
      <c r="C446" s="21" t="s">
        <v>22</v>
      </c>
      <c r="D446" s="21" t="s">
        <v>237</v>
      </c>
      <c r="E446" s="21" t="s">
        <v>61</v>
      </c>
      <c r="F446" s="5812">
        <v>2</v>
      </c>
      <c r="G446" s="5813">
        <v>4.8611111111111112E-2</v>
      </c>
      <c r="H446" s="21" t="s">
        <v>10</v>
      </c>
      <c r="I446" s="21" t="s">
        <v>55</v>
      </c>
      <c r="J446" s="21" t="s">
        <v>67</v>
      </c>
      <c r="K446" s="5814" t="s">
        <v>4815</v>
      </c>
    </row>
    <row r="447" spans="1:11">
      <c r="A447" s="21" t="s">
        <v>2075</v>
      </c>
      <c r="B447" s="21" t="s">
        <v>4816</v>
      </c>
      <c r="C447" s="21" t="s">
        <v>8</v>
      </c>
      <c r="D447" s="21" t="s">
        <v>237</v>
      </c>
      <c r="E447" s="21" t="s">
        <v>61</v>
      </c>
      <c r="F447" s="5812">
        <v>2</v>
      </c>
      <c r="G447" s="5813">
        <v>5.5555555555555552E-2</v>
      </c>
      <c r="H447" s="21" t="s">
        <v>10</v>
      </c>
      <c r="I447" s="21" t="s">
        <v>226</v>
      </c>
      <c r="J447" s="21" t="s">
        <v>4817</v>
      </c>
      <c r="K447" s="5814" t="s">
        <v>4818</v>
      </c>
    </row>
    <row r="448" spans="1:11">
      <c r="A448" s="21" t="s">
        <v>2551</v>
      </c>
      <c r="B448" s="21" t="s">
        <v>4819</v>
      </c>
      <c r="C448" s="21" t="s">
        <v>8</v>
      </c>
      <c r="D448" s="21" t="s">
        <v>237</v>
      </c>
      <c r="E448" s="21" t="s">
        <v>61</v>
      </c>
      <c r="F448" s="5812">
        <v>2</v>
      </c>
      <c r="G448" s="5813">
        <v>6.805555555555555E-2</v>
      </c>
      <c r="H448" s="21" t="s">
        <v>10</v>
      </c>
      <c r="I448" s="21" t="s">
        <v>187</v>
      </c>
      <c r="J448" s="21" t="s">
        <v>67</v>
      </c>
      <c r="K448" s="5814" t="s">
        <v>4820</v>
      </c>
    </row>
    <row r="449" spans="1:11">
      <c r="A449" s="21" t="s">
        <v>2334</v>
      </c>
      <c r="B449" s="21" t="s">
        <v>4821</v>
      </c>
      <c r="C449" s="21" t="s">
        <v>8</v>
      </c>
      <c r="D449" s="21" t="s">
        <v>237</v>
      </c>
      <c r="E449" s="21" t="s">
        <v>61</v>
      </c>
      <c r="F449" s="5812">
        <v>2</v>
      </c>
      <c r="G449" s="5813">
        <v>6.9444444444444448E-2</v>
      </c>
      <c r="H449" s="21" t="s">
        <v>10</v>
      </c>
      <c r="I449" s="21" t="s">
        <v>96</v>
      </c>
      <c r="J449" s="21" t="s">
        <v>67</v>
      </c>
      <c r="K449" s="5814" t="s">
        <v>4822</v>
      </c>
    </row>
    <row r="450" spans="1:11">
      <c r="A450" s="21" t="s">
        <v>3249</v>
      </c>
      <c r="B450" s="21" t="s">
        <v>4823</v>
      </c>
      <c r="C450" s="21" t="s">
        <v>8</v>
      </c>
      <c r="D450" s="21" t="s">
        <v>237</v>
      </c>
      <c r="E450" s="21" t="s">
        <v>61</v>
      </c>
      <c r="F450" s="5812">
        <v>2</v>
      </c>
      <c r="G450" s="5813">
        <v>7.4999999999999997E-2</v>
      </c>
      <c r="H450" s="21" t="s">
        <v>10</v>
      </c>
      <c r="I450" s="21" t="s">
        <v>23</v>
      </c>
      <c r="J450" s="21" t="s">
        <v>836</v>
      </c>
      <c r="K450" s="5814" t="s">
        <v>4824</v>
      </c>
    </row>
    <row r="451" spans="1:11">
      <c r="A451" s="21" t="s">
        <v>125</v>
      </c>
      <c r="B451" s="21" t="s">
        <v>275</v>
      </c>
      <c r="C451" s="21" t="s">
        <v>22</v>
      </c>
      <c r="D451" s="21" t="s">
        <v>237</v>
      </c>
      <c r="E451" s="21" t="s">
        <v>61</v>
      </c>
      <c r="F451" s="5812">
        <v>2</v>
      </c>
      <c r="G451" s="5813">
        <v>7.6388888888888895E-2</v>
      </c>
      <c r="H451" s="21" t="s">
        <v>10</v>
      </c>
      <c r="I451" s="21" t="s">
        <v>55</v>
      </c>
      <c r="J451" s="21" t="s">
        <v>67</v>
      </c>
      <c r="K451" s="5814" t="s">
        <v>276</v>
      </c>
    </row>
    <row r="452" spans="1:11">
      <c r="A452" s="21" t="s">
        <v>2272</v>
      </c>
      <c r="B452" s="21" t="s">
        <v>4825</v>
      </c>
      <c r="C452" s="21" t="s">
        <v>22</v>
      </c>
      <c r="D452" s="21" t="s">
        <v>237</v>
      </c>
      <c r="E452" s="21" t="s">
        <v>61</v>
      </c>
      <c r="F452" s="5812">
        <v>2</v>
      </c>
      <c r="G452" s="5813">
        <v>8.0555555555555561E-2</v>
      </c>
      <c r="H452" s="21" t="s">
        <v>10</v>
      </c>
      <c r="I452" s="21" t="s">
        <v>55</v>
      </c>
      <c r="J452" s="21" t="s">
        <v>67</v>
      </c>
      <c r="K452" s="5814" t="s">
        <v>4826</v>
      </c>
    </row>
    <row r="453" spans="1:11">
      <c r="A453" s="21" t="s">
        <v>2796</v>
      </c>
      <c r="B453" s="21" t="s">
        <v>4827</v>
      </c>
      <c r="C453" s="21" t="s">
        <v>8</v>
      </c>
      <c r="D453" s="21" t="s">
        <v>237</v>
      </c>
      <c r="E453" s="21" t="s">
        <v>61</v>
      </c>
      <c r="F453" s="5812">
        <v>2</v>
      </c>
      <c r="G453" s="5813">
        <v>8.4027777777777785E-2</v>
      </c>
      <c r="H453" s="21" t="s">
        <v>10</v>
      </c>
      <c r="I453" s="21" t="s">
        <v>4828</v>
      </c>
      <c r="J453" s="21" t="s">
        <v>67</v>
      </c>
      <c r="K453" s="5814" t="s">
        <v>4829</v>
      </c>
    </row>
    <row r="454" spans="1:11">
      <c r="A454" s="21" t="s">
        <v>3886</v>
      </c>
      <c r="B454" s="21" t="s">
        <v>4830</v>
      </c>
      <c r="C454" s="21" t="s">
        <v>8</v>
      </c>
      <c r="D454" s="21" t="s">
        <v>237</v>
      </c>
      <c r="E454" s="21" t="s">
        <v>61</v>
      </c>
      <c r="F454" s="5812">
        <v>2</v>
      </c>
      <c r="G454" s="5813">
        <v>8.4722222222222227E-2</v>
      </c>
      <c r="H454" s="21" t="s">
        <v>10</v>
      </c>
      <c r="I454" s="21" t="s">
        <v>2149</v>
      </c>
      <c r="J454" s="21" t="s">
        <v>67</v>
      </c>
      <c r="K454" s="5814" t="s">
        <v>4831</v>
      </c>
    </row>
    <row r="455" spans="1:11">
      <c r="A455" s="21" t="s">
        <v>2245</v>
      </c>
      <c r="B455" s="21" t="s">
        <v>4832</v>
      </c>
      <c r="C455" s="21" t="s">
        <v>8</v>
      </c>
      <c r="D455" s="21" t="s">
        <v>237</v>
      </c>
      <c r="E455" s="21" t="s">
        <v>61</v>
      </c>
      <c r="F455" s="5812">
        <v>2</v>
      </c>
      <c r="G455" s="5813">
        <v>9.2361111111111116E-2</v>
      </c>
      <c r="H455" s="21" t="s">
        <v>10</v>
      </c>
      <c r="I455" s="21" t="s">
        <v>400</v>
      </c>
      <c r="J455" s="21" t="s">
        <v>3313</v>
      </c>
      <c r="K455" s="5814" t="s">
        <v>4833</v>
      </c>
    </row>
    <row r="456" spans="1:11">
      <c r="A456" s="21" t="s">
        <v>3354</v>
      </c>
      <c r="B456" s="21" t="s">
        <v>4834</v>
      </c>
      <c r="C456" s="21" t="s">
        <v>8</v>
      </c>
      <c r="D456" s="21" t="s">
        <v>237</v>
      </c>
      <c r="E456" s="21" t="s">
        <v>61</v>
      </c>
      <c r="F456" s="5812">
        <v>2</v>
      </c>
      <c r="G456" s="5813">
        <v>9.8611111111111108E-2</v>
      </c>
      <c r="H456" s="21" t="s">
        <v>10</v>
      </c>
      <c r="I456" s="21" t="s">
        <v>226</v>
      </c>
      <c r="J456" s="21" t="s">
        <v>67</v>
      </c>
      <c r="K456" s="5814" t="s">
        <v>4835</v>
      </c>
    </row>
    <row r="457" spans="1:11">
      <c r="A457" s="21" t="s">
        <v>4711</v>
      </c>
      <c r="B457" s="21" t="s">
        <v>4836</v>
      </c>
      <c r="C457" s="21" t="s">
        <v>22</v>
      </c>
      <c r="D457" s="21" t="s">
        <v>237</v>
      </c>
      <c r="E457" s="21" t="s">
        <v>61</v>
      </c>
      <c r="F457" s="5812">
        <v>2</v>
      </c>
      <c r="G457" s="5813">
        <v>0.10208333333333333</v>
      </c>
      <c r="H457" s="21" t="s">
        <v>10</v>
      </c>
      <c r="I457" s="21" t="s">
        <v>11</v>
      </c>
      <c r="J457" s="21" t="s">
        <v>67</v>
      </c>
      <c r="K457" s="5814" t="s">
        <v>4837</v>
      </c>
    </row>
    <row r="458" spans="1:11">
      <c r="A458" s="21" t="s">
        <v>2284</v>
      </c>
      <c r="B458" s="21" t="s">
        <v>4838</v>
      </c>
      <c r="C458" s="21" t="s">
        <v>8</v>
      </c>
      <c r="D458" s="21" t="s">
        <v>237</v>
      </c>
      <c r="E458" s="21" t="s">
        <v>61</v>
      </c>
      <c r="F458" s="5812">
        <v>2</v>
      </c>
      <c r="G458" s="5813">
        <v>0.11805555555555555</v>
      </c>
      <c r="H458" s="21" t="s">
        <v>10</v>
      </c>
      <c r="I458" s="21" t="s">
        <v>96</v>
      </c>
      <c r="J458" s="21" t="s">
        <v>3432</v>
      </c>
      <c r="K458" s="5814" t="s">
        <v>4839</v>
      </c>
    </row>
    <row r="459" spans="1:11">
      <c r="A459" s="21" t="s">
        <v>3230</v>
      </c>
      <c r="B459" s="21" t="s">
        <v>4840</v>
      </c>
      <c r="C459" s="21" t="s">
        <v>22</v>
      </c>
      <c r="D459" s="21" t="s">
        <v>237</v>
      </c>
      <c r="E459" s="21" t="s">
        <v>61</v>
      </c>
      <c r="F459" s="5812">
        <v>2</v>
      </c>
      <c r="G459" s="5813">
        <v>0.13194444444444445</v>
      </c>
      <c r="H459" s="21" t="s">
        <v>10</v>
      </c>
      <c r="I459" s="21" t="s">
        <v>47</v>
      </c>
      <c r="J459" s="21" t="s">
        <v>62</v>
      </c>
      <c r="K459" s="5814" t="s">
        <v>4841</v>
      </c>
    </row>
    <row r="460" spans="1:11">
      <c r="A460" s="21" t="s">
        <v>2403</v>
      </c>
      <c r="B460" s="21" t="s">
        <v>4842</v>
      </c>
      <c r="C460" s="21" t="s">
        <v>8</v>
      </c>
      <c r="D460" s="21" t="s">
        <v>237</v>
      </c>
      <c r="E460" s="21" t="s">
        <v>61</v>
      </c>
      <c r="F460" s="5812">
        <v>2</v>
      </c>
      <c r="G460" s="5813">
        <v>0.13402777777777777</v>
      </c>
      <c r="H460" s="21" t="s">
        <v>10</v>
      </c>
      <c r="I460" s="21" t="s">
        <v>89</v>
      </c>
      <c r="J460" s="21" t="s">
        <v>505</v>
      </c>
      <c r="K460" s="5814" t="s">
        <v>4843</v>
      </c>
    </row>
    <row r="461" spans="1:11">
      <c r="A461" s="21" t="s">
        <v>2070</v>
      </c>
      <c r="B461" s="21" t="s">
        <v>4844</v>
      </c>
      <c r="C461" s="21" t="s">
        <v>8</v>
      </c>
      <c r="D461" s="21" t="s">
        <v>237</v>
      </c>
      <c r="E461" s="21" t="s">
        <v>61</v>
      </c>
      <c r="F461" s="5812">
        <v>2</v>
      </c>
      <c r="G461" s="5813">
        <v>0.13750000000000001</v>
      </c>
      <c r="H461" s="21" t="s">
        <v>10</v>
      </c>
      <c r="I461" s="21" t="s">
        <v>2072</v>
      </c>
      <c r="J461" s="21" t="s">
        <v>3271</v>
      </c>
      <c r="K461" s="5814" t="s">
        <v>4845</v>
      </c>
    </row>
    <row r="462" spans="1:11">
      <c r="A462" s="21" t="s">
        <v>2212</v>
      </c>
      <c r="B462" s="21" t="s">
        <v>4846</v>
      </c>
      <c r="C462" s="21" t="s">
        <v>22</v>
      </c>
      <c r="D462" s="21" t="s">
        <v>237</v>
      </c>
      <c r="E462" s="21" t="s">
        <v>61</v>
      </c>
      <c r="F462" s="5812">
        <v>2</v>
      </c>
      <c r="G462" s="5813">
        <v>0.14027777777777778</v>
      </c>
      <c r="H462" s="21" t="s">
        <v>54</v>
      </c>
      <c r="I462" s="21" t="s">
        <v>89</v>
      </c>
      <c r="J462" s="21" t="s">
        <v>974</v>
      </c>
      <c r="K462" s="5814" t="s">
        <v>4847</v>
      </c>
    </row>
    <row r="463" spans="1:11">
      <c r="A463" s="21" t="s">
        <v>2467</v>
      </c>
      <c r="B463" s="21" t="s">
        <v>4848</v>
      </c>
      <c r="C463" s="21" t="s">
        <v>8</v>
      </c>
      <c r="D463" s="21" t="s">
        <v>237</v>
      </c>
      <c r="E463" s="21" t="s">
        <v>61</v>
      </c>
      <c r="F463" s="5812">
        <v>2</v>
      </c>
      <c r="G463" s="5813">
        <v>0.14652777777777778</v>
      </c>
      <c r="H463" s="21" t="s">
        <v>10</v>
      </c>
      <c r="I463" s="21" t="s">
        <v>96</v>
      </c>
      <c r="J463" s="21" t="s">
        <v>67</v>
      </c>
      <c r="K463" s="5814" t="s">
        <v>4849</v>
      </c>
    </row>
    <row r="464" spans="1:11">
      <c r="A464" s="21" t="s">
        <v>3152</v>
      </c>
      <c r="B464" s="21" t="s">
        <v>4850</v>
      </c>
      <c r="C464" s="21" t="s">
        <v>8</v>
      </c>
      <c r="D464" s="21" t="s">
        <v>237</v>
      </c>
      <c r="E464" s="21" t="s">
        <v>61</v>
      </c>
      <c r="F464" s="5812">
        <v>2</v>
      </c>
      <c r="G464" s="5813">
        <v>0.14652777777777778</v>
      </c>
      <c r="H464" s="21" t="s">
        <v>10</v>
      </c>
      <c r="I464" s="21" t="s">
        <v>23</v>
      </c>
      <c r="J464" s="21" t="s">
        <v>67</v>
      </c>
      <c r="K464" s="5814" t="s">
        <v>4851</v>
      </c>
    </row>
    <row r="465" spans="1:11">
      <c r="A465" s="21" t="s">
        <v>2551</v>
      </c>
      <c r="B465" s="21" t="s">
        <v>4852</v>
      </c>
      <c r="C465" s="21" t="s">
        <v>8</v>
      </c>
      <c r="D465" s="21" t="s">
        <v>237</v>
      </c>
      <c r="E465" s="21" t="s">
        <v>61</v>
      </c>
      <c r="F465" s="5812">
        <v>2</v>
      </c>
      <c r="G465" s="5813">
        <v>0.15138888888888888</v>
      </c>
      <c r="H465" s="21" t="s">
        <v>10</v>
      </c>
      <c r="I465" s="21" t="s">
        <v>4853</v>
      </c>
      <c r="J465" s="21" t="s">
        <v>4854</v>
      </c>
      <c r="K465" s="5814" t="s">
        <v>4855</v>
      </c>
    </row>
    <row r="466" spans="1:11">
      <c r="A466" s="21" t="s">
        <v>2687</v>
      </c>
      <c r="B466" s="21" t="s">
        <v>4856</v>
      </c>
      <c r="C466" s="21" t="s">
        <v>8</v>
      </c>
      <c r="D466" s="21" t="s">
        <v>237</v>
      </c>
      <c r="E466" s="21" t="s">
        <v>61</v>
      </c>
      <c r="F466" s="5812">
        <v>2</v>
      </c>
      <c r="G466" s="5813">
        <v>0.15694444444444444</v>
      </c>
      <c r="H466" s="21" t="s">
        <v>10</v>
      </c>
      <c r="I466" s="21" t="s">
        <v>654</v>
      </c>
      <c r="J466" s="21" t="s">
        <v>3416</v>
      </c>
      <c r="K466" s="5814" t="s">
        <v>4857</v>
      </c>
    </row>
    <row r="467" spans="1:11">
      <c r="A467" s="21" t="s">
        <v>65</v>
      </c>
      <c r="B467" s="21" t="s">
        <v>323</v>
      </c>
      <c r="C467" s="21" t="s">
        <v>22</v>
      </c>
      <c r="D467" s="21" t="s">
        <v>237</v>
      </c>
      <c r="E467" s="21" t="s">
        <v>61</v>
      </c>
      <c r="F467" s="5812">
        <v>2</v>
      </c>
      <c r="G467" s="5813">
        <v>0.16250000000000001</v>
      </c>
      <c r="H467" s="21" t="s">
        <v>10</v>
      </c>
      <c r="I467" s="21" t="s">
        <v>55</v>
      </c>
      <c r="J467" s="21" t="s">
        <v>324</v>
      </c>
      <c r="K467" s="5814" t="s">
        <v>325</v>
      </c>
    </row>
    <row r="468" spans="1:11">
      <c r="A468" s="21" t="s">
        <v>2284</v>
      </c>
      <c r="B468" s="21" t="s">
        <v>4858</v>
      </c>
      <c r="C468" s="21" t="s">
        <v>8</v>
      </c>
      <c r="D468" s="21" t="s">
        <v>237</v>
      </c>
      <c r="E468" s="21" t="s">
        <v>61</v>
      </c>
      <c r="F468" s="5812">
        <v>2</v>
      </c>
      <c r="G468" s="5813">
        <v>0.17430555555555555</v>
      </c>
      <c r="H468" s="21" t="s">
        <v>10</v>
      </c>
      <c r="I468" s="21" t="s">
        <v>96</v>
      </c>
      <c r="J468" s="21" t="s">
        <v>67</v>
      </c>
      <c r="K468" s="5814" t="s">
        <v>4859</v>
      </c>
    </row>
    <row r="469" spans="1:11">
      <c r="A469" s="21" t="s">
        <v>2237</v>
      </c>
      <c r="B469" s="21" t="s">
        <v>4860</v>
      </c>
      <c r="C469" s="21" t="s">
        <v>22</v>
      </c>
      <c r="D469" s="21" t="s">
        <v>237</v>
      </c>
      <c r="E469" s="21" t="s">
        <v>61</v>
      </c>
      <c r="F469" s="5812">
        <v>2</v>
      </c>
      <c r="G469" s="5813">
        <v>0.18124999999999999</v>
      </c>
      <c r="H469" s="21" t="s">
        <v>10</v>
      </c>
      <c r="I469" s="21" t="s">
        <v>4861</v>
      </c>
      <c r="J469" s="21" t="s">
        <v>67</v>
      </c>
      <c r="K469" s="5814" t="s">
        <v>4862</v>
      </c>
    </row>
    <row r="470" spans="1:11">
      <c r="A470" s="21" t="s">
        <v>4863</v>
      </c>
      <c r="B470" s="21" t="s">
        <v>4864</v>
      </c>
      <c r="C470" s="21" t="s">
        <v>22</v>
      </c>
      <c r="D470" s="21" t="s">
        <v>237</v>
      </c>
      <c r="E470" s="21" t="s">
        <v>61</v>
      </c>
      <c r="F470" s="5812">
        <v>2</v>
      </c>
      <c r="G470" s="5813">
        <v>0.18194444444444444</v>
      </c>
      <c r="H470" s="21" t="s">
        <v>10</v>
      </c>
      <c r="I470" s="21" t="s">
        <v>2713</v>
      </c>
      <c r="J470" s="21" t="s">
        <v>67</v>
      </c>
      <c r="K470" s="5814" t="s">
        <v>4865</v>
      </c>
    </row>
    <row r="471" spans="1:11">
      <c r="A471" s="21" t="s">
        <v>4170</v>
      </c>
      <c r="B471" s="21" t="s">
        <v>4866</v>
      </c>
      <c r="C471" s="21" t="s">
        <v>8</v>
      </c>
      <c r="D471" s="21" t="s">
        <v>237</v>
      </c>
      <c r="E471" s="21" t="s">
        <v>61</v>
      </c>
      <c r="F471" s="5812">
        <v>2</v>
      </c>
      <c r="G471" s="5813">
        <v>0.18402777777777779</v>
      </c>
      <c r="H471" s="21" t="s">
        <v>10</v>
      </c>
      <c r="I471" s="21" t="s">
        <v>47</v>
      </c>
      <c r="J471" s="21" t="s">
        <v>1327</v>
      </c>
      <c r="K471" s="5814" t="s">
        <v>4867</v>
      </c>
    </row>
    <row r="472" spans="1:11">
      <c r="A472" s="21" t="s">
        <v>3671</v>
      </c>
      <c r="B472" s="21" t="s">
        <v>4868</v>
      </c>
      <c r="C472" s="21" t="s">
        <v>8</v>
      </c>
      <c r="D472" s="21" t="s">
        <v>237</v>
      </c>
      <c r="E472" s="21" t="s">
        <v>61</v>
      </c>
      <c r="F472" s="5812">
        <v>2</v>
      </c>
      <c r="G472" s="5813">
        <v>0.18541666666666667</v>
      </c>
      <c r="H472" s="21" t="s">
        <v>10</v>
      </c>
      <c r="I472" s="21" t="s">
        <v>2814</v>
      </c>
      <c r="J472" s="21" t="s">
        <v>67</v>
      </c>
      <c r="K472" s="5814" t="s">
        <v>4869</v>
      </c>
    </row>
    <row r="473" spans="1:11">
      <c r="A473" s="21" t="s">
        <v>2442</v>
      </c>
      <c r="B473" s="21" t="s">
        <v>4870</v>
      </c>
      <c r="C473" s="21" t="s">
        <v>8</v>
      </c>
      <c r="D473" s="21" t="s">
        <v>237</v>
      </c>
      <c r="E473" s="21" t="s">
        <v>61</v>
      </c>
      <c r="F473" s="5812">
        <v>2</v>
      </c>
      <c r="G473" s="5813">
        <v>0.19583333333333333</v>
      </c>
      <c r="H473" s="21" t="s">
        <v>10</v>
      </c>
      <c r="I473" s="21" t="s">
        <v>23</v>
      </c>
      <c r="J473" s="21" t="s">
        <v>505</v>
      </c>
      <c r="K473" s="5814" t="s">
        <v>4871</v>
      </c>
    </row>
    <row r="474" spans="1:11">
      <c r="A474" s="21" t="s">
        <v>160</v>
      </c>
      <c r="B474" s="21" t="s">
        <v>299</v>
      </c>
      <c r="C474" s="21" t="s">
        <v>22</v>
      </c>
      <c r="D474" s="21" t="s">
        <v>237</v>
      </c>
      <c r="E474" s="21" t="s">
        <v>61</v>
      </c>
      <c r="F474" s="5812">
        <v>3</v>
      </c>
      <c r="G474" s="5813">
        <v>4.027777777777778E-2</v>
      </c>
      <c r="H474" s="21" t="s">
        <v>54</v>
      </c>
      <c r="I474" s="21" t="s">
        <v>47</v>
      </c>
      <c r="J474" s="21" t="s">
        <v>62</v>
      </c>
      <c r="K474" s="5814" t="s">
        <v>300</v>
      </c>
    </row>
    <row r="475" spans="1:11">
      <c r="A475" s="21" t="s">
        <v>4621</v>
      </c>
      <c r="B475" s="21" t="s">
        <v>4872</v>
      </c>
      <c r="C475" s="21" t="s">
        <v>22</v>
      </c>
      <c r="D475" s="21" t="s">
        <v>237</v>
      </c>
      <c r="E475" s="21" t="s">
        <v>61</v>
      </c>
      <c r="F475" s="5812">
        <v>3</v>
      </c>
      <c r="G475" s="5813">
        <v>4.8611111111111112E-2</v>
      </c>
      <c r="H475" s="21" t="s">
        <v>10</v>
      </c>
      <c r="I475" s="21" t="s">
        <v>187</v>
      </c>
      <c r="J475" s="21" t="s">
        <v>110</v>
      </c>
      <c r="K475" s="5814" t="s">
        <v>4873</v>
      </c>
    </row>
    <row r="476" spans="1:11">
      <c r="A476" s="21" t="s">
        <v>2131</v>
      </c>
      <c r="B476" s="21" t="s">
        <v>4874</v>
      </c>
      <c r="C476" s="21" t="s">
        <v>22</v>
      </c>
      <c r="D476" s="21" t="s">
        <v>237</v>
      </c>
      <c r="E476" s="21" t="s">
        <v>61</v>
      </c>
      <c r="F476" s="5812">
        <v>3</v>
      </c>
      <c r="G476" s="5813">
        <v>5.6250000000000001E-2</v>
      </c>
      <c r="H476" s="21" t="s">
        <v>10</v>
      </c>
      <c r="I476" s="21" t="s">
        <v>226</v>
      </c>
      <c r="J476" s="21" t="s">
        <v>4770</v>
      </c>
      <c r="K476" s="5814" t="s">
        <v>4875</v>
      </c>
    </row>
    <row r="477" spans="1:11">
      <c r="A477" s="21" t="s">
        <v>2263</v>
      </c>
      <c r="B477" s="21" t="s">
        <v>4876</v>
      </c>
      <c r="C477" s="21" t="s">
        <v>22</v>
      </c>
      <c r="D477" s="21" t="s">
        <v>237</v>
      </c>
      <c r="E477" s="21" t="s">
        <v>61</v>
      </c>
      <c r="F477" s="5812">
        <v>3</v>
      </c>
      <c r="G477" s="5813">
        <v>6.7361111111111108E-2</v>
      </c>
      <c r="H477" s="21" t="s">
        <v>10</v>
      </c>
      <c r="I477" s="21" t="s">
        <v>2297</v>
      </c>
      <c r="J477" s="21" t="s">
        <v>3271</v>
      </c>
      <c r="K477" s="5814" t="s">
        <v>4877</v>
      </c>
    </row>
    <row r="478" spans="1:11">
      <c r="A478" s="21" t="s">
        <v>3098</v>
      </c>
      <c r="B478" s="21" t="s">
        <v>4878</v>
      </c>
      <c r="C478" s="21" t="s">
        <v>22</v>
      </c>
      <c r="D478" s="21" t="s">
        <v>237</v>
      </c>
      <c r="E478" s="21" t="s">
        <v>61</v>
      </c>
      <c r="F478" s="5812">
        <v>3</v>
      </c>
      <c r="G478" s="5813">
        <v>7.013888888888889E-2</v>
      </c>
      <c r="H478" s="21" t="s">
        <v>10</v>
      </c>
      <c r="I478" s="21" t="s">
        <v>3100</v>
      </c>
      <c r="J478" s="21" t="s">
        <v>3313</v>
      </c>
      <c r="K478" s="5814" t="s">
        <v>4879</v>
      </c>
    </row>
    <row r="479" spans="1:11">
      <c r="A479" s="21" t="s">
        <v>2135</v>
      </c>
      <c r="B479" s="21" t="s">
        <v>4880</v>
      </c>
      <c r="C479" s="21" t="s">
        <v>8</v>
      </c>
      <c r="D479" s="21" t="s">
        <v>237</v>
      </c>
      <c r="E479" s="21" t="s">
        <v>61</v>
      </c>
      <c r="F479" s="5812">
        <v>3</v>
      </c>
      <c r="G479" s="5813">
        <v>7.1527777777777773E-2</v>
      </c>
      <c r="H479" s="21" t="s">
        <v>10</v>
      </c>
      <c r="I479" s="21" t="s">
        <v>96</v>
      </c>
      <c r="J479" s="21" t="s">
        <v>67</v>
      </c>
      <c r="K479" s="5814" t="s">
        <v>4881</v>
      </c>
    </row>
    <row r="480" spans="1:11">
      <c r="A480" s="21" t="s">
        <v>3787</v>
      </c>
      <c r="B480" s="21" t="s">
        <v>4882</v>
      </c>
      <c r="C480" s="21" t="s">
        <v>8</v>
      </c>
      <c r="D480" s="21" t="s">
        <v>237</v>
      </c>
      <c r="E480" s="21" t="s">
        <v>61</v>
      </c>
      <c r="F480" s="5812">
        <v>3</v>
      </c>
      <c r="G480" s="5813">
        <v>7.5694444444444439E-2</v>
      </c>
      <c r="H480" s="21" t="s">
        <v>10</v>
      </c>
      <c r="I480" s="21" t="s">
        <v>2872</v>
      </c>
      <c r="J480" s="21" t="s">
        <v>110</v>
      </c>
      <c r="K480" s="5814" t="s">
        <v>4883</v>
      </c>
    </row>
    <row r="481" spans="1:11">
      <c r="A481" s="21" t="s">
        <v>2974</v>
      </c>
      <c r="B481" s="21" t="s">
        <v>4884</v>
      </c>
      <c r="C481" s="21" t="s">
        <v>8</v>
      </c>
      <c r="D481" s="21" t="s">
        <v>237</v>
      </c>
      <c r="E481" s="21" t="s">
        <v>61</v>
      </c>
      <c r="F481" s="5812">
        <v>3</v>
      </c>
      <c r="G481" s="5813">
        <v>9.8611111111111108E-2</v>
      </c>
      <c r="H481" s="21" t="s">
        <v>10</v>
      </c>
      <c r="I481" s="21" t="s">
        <v>55</v>
      </c>
      <c r="J481" s="21" t="s">
        <v>1327</v>
      </c>
      <c r="K481" s="5814" t="s">
        <v>4885</v>
      </c>
    </row>
    <row r="482" spans="1:11">
      <c r="A482" s="21" t="s">
        <v>2513</v>
      </c>
      <c r="B482" s="21" t="s">
        <v>4886</v>
      </c>
      <c r="C482" s="21" t="s">
        <v>8</v>
      </c>
      <c r="D482" s="21" t="s">
        <v>237</v>
      </c>
      <c r="E482" s="21" t="s">
        <v>61</v>
      </c>
      <c r="F482" s="5812">
        <v>3</v>
      </c>
      <c r="G482" s="5813">
        <v>9.8611111111111108E-2</v>
      </c>
      <c r="H482" s="21" t="s">
        <v>10</v>
      </c>
      <c r="I482" s="21" t="s">
        <v>23</v>
      </c>
      <c r="J482" s="21" t="s">
        <v>67</v>
      </c>
      <c r="K482" s="5814" t="s">
        <v>4887</v>
      </c>
    </row>
    <row r="483" spans="1:11">
      <c r="A483" s="21" t="s">
        <v>71</v>
      </c>
      <c r="B483" s="21" t="s">
        <v>412</v>
      </c>
      <c r="C483" s="21" t="s">
        <v>8</v>
      </c>
      <c r="D483" s="21" t="s">
        <v>237</v>
      </c>
      <c r="E483" s="21" t="s">
        <v>61</v>
      </c>
      <c r="F483" s="5812">
        <v>3</v>
      </c>
      <c r="G483" s="5813">
        <v>9.930555555555555E-2</v>
      </c>
      <c r="H483" s="21" t="s">
        <v>10</v>
      </c>
      <c r="I483" s="21" t="s">
        <v>73</v>
      </c>
      <c r="J483" s="21" t="s">
        <v>67</v>
      </c>
      <c r="K483" s="5814" t="s">
        <v>4888</v>
      </c>
    </row>
    <row r="484" spans="1:11">
      <c r="A484" s="21" t="s">
        <v>3761</v>
      </c>
      <c r="B484" s="21" t="s">
        <v>4889</v>
      </c>
      <c r="C484" s="21" t="s">
        <v>8</v>
      </c>
      <c r="D484" s="21" t="s">
        <v>237</v>
      </c>
      <c r="E484" s="21" t="s">
        <v>61</v>
      </c>
      <c r="F484" s="5812">
        <v>3</v>
      </c>
      <c r="G484" s="5813">
        <v>0.11180555555555556</v>
      </c>
      <c r="H484" s="21" t="s">
        <v>10</v>
      </c>
      <c r="I484" s="21" t="s">
        <v>2260</v>
      </c>
      <c r="J484" s="21" t="s">
        <v>974</v>
      </c>
      <c r="K484" s="5814" t="s">
        <v>4890</v>
      </c>
    </row>
    <row r="485" spans="1:11">
      <c r="A485" s="21" t="s">
        <v>2915</v>
      </c>
      <c r="B485" s="21" t="s">
        <v>4891</v>
      </c>
      <c r="C485" s="21" t="s">
        <v>8</v>
      </c>
      <c r="D485" s="21" t="s">
        <v>237</v>
      </c>
      <c r="E485" s="21" t="s">
        <v>61</v>
      </c>
      <c r="F485" s="5812">
        <v>3</v>
      </c>
      <c r="G485" s="5813">
        <v>0.12152777777777778</v>
      </c>
      <c r="H485" s="21" t="s">
        <v>10</v>
      </c>
      <c r="I485" s="21" t="s">
        <v>194</v>
      </c>
      <c r="J485" s="21" t="s">
        <v>67</v>
      </c>
      <c r="K485" s="5814" t="s">
        <v>4892</v>
      </c>
    </row>
    <row r="486" spans="1:11">
      <c r="A486" s="21" t="s">
        <v>3537</v>
      </c>
      <c r="B486" s="21" t="s">
        <v>4893</v>
      </c>
      <c r="C486" s="21" t="s">
        <v>8</v>
      </c>
      <c r="D486" s="21" t="s">
        <v>237</v>
      </c>
      <c r="E486" s="21" t="s">
        <v>61</v>
      </c>
      <c r="F486" s="5812">
        <v>3</v>
      </c>
      <c r="G486" s="5813">
        <v>0.12430555555555556</v>
      </c>
      <c r="H486" s="21" t="s">
        <v>10</v>
      </c>
      <c r="I486" s="21" t="s">
        <v>96</v>
      </c>
      <c r="J486" s="21" t="s">
        <v>110</v>
      </c>
      <c r="K486" s="5814" t="s">
        <v>4894</v>
      </c>
    </row>
    <row r="487" spans="1:11">
      <c r="A487" s="21" t="s">
        <v>4047</v>
      </c>
      <c r="B487" s="21" t="s">
        <v>4895</v>
      </c>
      <c r="C487" s="21" t="s">
        <v>8</v>
      </c>
      <c r="D487" s="21" t="s">
        <v>237</v>
      </c>
      <c r="E487" s="21" t="s">
        <v>61</v>
      </c>
      <c r="F487" s="5812">
        <v>3</v>
      </c>
      <c r="G487" s="5813">
        <v>0.12638888888888888</v>
      </c>
      <c r="H487" s="21" t="s">
        <v>10</v>
      </c>
      <c r="I487" s="21" t="s">
        <v>23</v>
      </c>
      <c r="J487" s="21" t="s">
        <v>3279</v>
      </c>
      <c r="K487" s="5814" t="s">
        <v>4896</v>
      </c>
    </row>
    <row r="488" spans="1:11">
      <c r="A488" s="21" t="s">
        <v>2616</v>
      </c>
      <c r="B488" s="21" t="s">
        <v>4897</v>
      </c>
      <c r="C488" s="21" t="s">
        <v>22</v>
      </c>
      <c r="D488" s="21" t="s">
        <v>237</v>
      </c>
      <c r="E488" s="21" t="s">
        <v>61</v>
      </c>
      <c r="F488" s="5812">
        <v>3</v>
      </c>
      <c r="G488" s="5813">
        <v>0.1361111111111111</v>
      </c>
      <c r="H488" s="21" t="s">
        <v>10</v>
      </c>
      <c r="I488" s="21" t="s">
        <v>194</v>
      </c>
      <c r="J488" s="21" t="s">
        <v>836</v>
      </c>
      <c r="K488" s="5814" t="s">
        <v>4898</v>
      </c>
    </row>
    <row r="489" spans="1:11">
      <c r="A489" s="21" t="s">
        <v>4724</v>
      </c>
      <c r="B489" s="21" t="s">
        <v>4899</v>
      </c>
      <c r="C489" s="21" t="s">
        <v>8</v>
      </c>
      <c r="D489" s="21" t="s">
        <v>237</v>
      </c>
      <c r="E489" s="21" t="s">
        <v>61</v>
      </c>
      <c r="F489" s="5812">
        <v>3</v>
      </c>
      <c r="G489" s="5813">
        <v>0.13680555555555557</v>
      </c>
      <c r="H489" s="21" t="s">
        <v>10</v>
      </c>
      <c r="I489" s="21" t="s">
        <v>47</v>
      </c>
      <c r="J489" s="21" t="s">
        <v>67</v>
      </c>
      <c r="K489" s="5814" t="s">
        <v>4900</v>
      </c>
    </row>
    <row r="490" spans="1:11">
      <c r="A490" s="21" t="s">
        <v>3230</v>
      </c>
      <c r="B490" s="21" t="s">
        <v>4901</v>
      </c>
      <c r="C490" s="21" t="s">
        <v>8</v>
      </c>
      <c r="D490" s="21" t="s">
        <v>237</v>
      </c>
      <c r="E490" s="21" t="s">
        <v>61</v>
      </c>
      <c r="F490" s="5812">
        <v>3</v>
      </c>
      <c r="G490" s="5813">
        <v>0.15347222222222223</v>
      </c>
      <c r="H490" s="21" t="s">
        <v>10</v>
      </c>
      <c r="I490" s="21" t="s">
        <v>39</v>
      </c>
      <c r="J490" s="21" t="s">
        <v>62</v>
      </c>
      <c r="K490" s="5814" t="s">
        <v>4902</v>
      </c>
    </row>
    <row r="491" spans="1:11">
      <c r="A491" s="21" t="s">
        <v>3439</v>
      </c>
      <c r="B491" s="21" t="s">
        <v>4903</v>
      </c>
      <c r="C491" s="21" t="s">
        <v>22</v>
      </c>
      <c r="D491" s="21" t="s">
        <v>237</v>
      </c>
      <c r="E491" s="21" t="s">
        <v>61</v>
      </c>
      <c r="F491" s="5812">
        <v>3</v>
      </c>
      <c r="G491" s="5813">
        <v>0.16527777777777777</v>
      </c>
      <c r="H491" s="21" t="s">
        <v>10</v>
      </c>
      <c r="I491" s="21" t="s">
        <v>3441</v>
      </c>
      <c r="J491" s="21" t="s">
        <v>3391</v>
      </c>
      <c r="K491" s="5814" t="s">
        <v>4904</v>
      </c>
    </row>
    <row r="492" spans="1:11">
      <c r="A492" s="21" t="s">
        <v>3769</v>
      </c>
      <c r="B492" s="21" t="s">
        <v>4905</v>
      </c>
      <c r="C492" s="21" t="s">
        <v>8</v>
      </c>
      <c r="D492" s="21" t="s">
        <v>237</v>
      </c>
      <c r="E492" s="21" t="s">
        <v>61</v>
      </c>
      <c r="F492" s="5812">
        <v>3</v>
      </c>
      <c r="G492" s="5813">
        <v>0.1875</v>
      </c>
      <c r="H492" s="21" t="s">
        <v>10</v>
      </c>
      <c r="I492" s="21" t="s">
        <v>47</v>
      </c>
      <c r="J492" s="21" t="s">
        <v>1327</v>
      </c>
      <c r="K492" s="5814" t="s">
        <v>4906</v>
      </c>
    </row>
    <row r="493" spans="1:11">
      <c r="A493" s="21" t="s">
        <v>3439</v>
      </c>
      <c r="B493" s="21" t="s">
        <v>4907</v>
      </c>
      <c r="C493" s="21" t="s">
        <v>8</v>
      </c>
      <c r="D493" s="21" t="s">
        <v>237</v>
      </c>
      <c r="E493" s="21" t="s">
        <v>244</v>
      </c>
      <c r="F493" s="5812">
        <v>1</v>
      </c>
      <c r="G493" s="5813">
        <v>0.20833333333333334</v>
      </c>
      <c r="H493" s="21" t="s">
        <v>10</v>
      </c>
      <c r="I493" s="21" t="s">
        <v>226</v>
      </c>
      <c r="J493" s="21" t="s">
        <v>4908</v>
      </c>
      <c r="K493" s="5814" t="s">
        <v>4909</v>
      </c>
    </row>
    <row r="494" spans="1:11">
      <c r="A494" s="21" t="s">
        <v>87</v>
      </c>
      <c r="B494" s="21" t="s">
        <v>243</v>
      </c>
      <c r="C494" s="21" t="s">
        <v>22</v>
      </c>
      <c r="D494" s="21" t="s">
        <v>237</v>
      </c>
      <c r="E494" s="21" t="s">
        <v>244</v>
      </c>
      <c r="F494" s="5812">
        <v>2</v>
      </c>
      <c r="G494" s="5813">
        <v>0.14930555555555555</v>
      </c>
      <c r="H494" s="21" t="s">
        <v>10</v>
      </c>
      <c r="I494" s="21" t="s">
        <v>245</v>
      </c>
      <c r="J494" s="21" t="s">
        <v>246</v>
      </c>
      <c r="K494" s="5814" t="s">
        <v>247</v>
      </c>
    </row>
    <row r="495" spans="1:11">
      <c r="A495" s="21" t="s">
        <v>3053</v>
      </c>
      <c r="B495" s="21" t="s">
        <v>4910</v>
      </c>
      <c r="C495" s="21" t="s">
        <v>8</v>
      </c>
      <c r="D495" s="21" t="s">
        <v>237</v>
      </c>
      <c r="E495" s="21" t="s">
        <v>244</v>
      </c>
      <c r="F495" s="5812">
        <v>2</v>
      </c>
      <c r="G495" s="5813">
        <v>0.20833333333333334</v>
      </c>
      <c r="H495" s="21" t="s">
        <v>10</v>
      </c>
      <c r="I495" s="21" t="s">
        <v>2860</v>
      </c>
      <c r="J495" s="21" t="s">
        <v>3622</v>
      </c>
      <c r="K495" s="5814" t="s">
        <v>4911</v>
      </c>
    </row>
    <row r="496" spans="1:11">
      <c r="A496" s="21" t="s">
        <v>4321</v>
      </c>
      <c r="B496" s="21" t="s">
        <v>4912</v>
      </c>
      <c r="C496" s="21" t="s">
        <v>8</v>
      </c>
      <c r="D496" s="21" t="s">
        <v>237</v>
      </c>
      <c r="E496" s="21" t="s">
        <v>244</v>
      </c>
      <c r="F496" s="5812">
        <v>2</v>
      </c>
      <c r="G496" s="5813">
        <v>0.20833333333333334</v>
      </c>
      <c r="H496" s="21" t="s">
        <v>10</v>
      </c>
      <c r="I496" s="21" t="s">
        <v>4828</v>
      </c>
      <c r="J496" s="21" t="s">
        <v>3622</v>
      </c>
      <c r="K496" s="5814" t="s">
        <v>4913</v>
      </c>
    </row>
    <row r="497" spans="1:11">
      <c r="A497" s="21" t="s">
        <v>3203</v>
      </c>
      <c r="B497" s="21" t="s">
        <v>9583</v>
      </c>
      <c r="C497" s="21" t="s">
        <v>8</v>
      </c>
      <c r="D497" s="21" t="s">
        <v>1092</v>
      </c>
      <c r="E497" s="21" t="s">
        <v>193</v>
      </c>
      <c r="F497" s="5812">
        <v>5</v>
      </c>
      <c r="G497" s="5813">
        <v>0.20833333333333334</v>
      </c>
      <c r="H497" s="21" t="s">
        <v>54</v>
      </c>
      <c r="I497" s="21" t="s">
        <v>55</v>
      </c>
      <c r="J497" s="21" t="s">
        <v>9584</v>
      </c>
      <c r="K497" s="5814" t="s">
        <v>9585</v>
      </c>
    </row>
    <row r="498" spans="1:11">
      <c r="A498" s="21" t="s">
        <v>2045</v>
      </c>
      <c r="B498" s="21" t="s">
        <v>9583</v>
      </c>
      <c r="C498" s="21" t="s">
        <v>8</v>
      </c>
      <c r="D498" s="21" t="s">
        <v>1092</v>
      </c>
      <c r="E498" s="21" t="s">
        <v>9</v>
      </c>
      <c r="F498" s="5812">
        <v>5</v>
      </c>
      <c r="G498" s="5813">
        <v>0.20833333333333334</v>
      </c>
      <c r="H498" s="21" t="s">
        <v>54</v>
      </c>
      <c r="I498" s="21" t="s">
        <v>47</v>
      </c>
      <c r="J498" s="21" t="s">
        <v>9586</v>
      </c>
      <c r="K498" s="5814" t="s">
        <v>9587</v>
      </c>
    </row>
    <row r="499" spans="1:11">
      <c r="A499" s="21" t="s">
        <v>3152</v>
      </c>
      <c r="B499" s="21" t="s">
        <v>9588</v>
      </c>
      <c r="C499" s="21" t="s">
        <v>8</v>
      </c>
      <c r="D499" s="21" t="s">
        <v>1092</v>
      </c>
      <c r="E499" s="21" t="s">
        <v>9</v>
      </c>
      <c r="F499" s="5812">
        <v>5</v>
      </c>
      <c r="G499" s="5813">
        <v>0.20833333333333334</v>
      </c>
      <c r="H499" s="21" t="s">
        <v>54</v>
      </c>
      <c r="I499" s="21" t="s">
        <v>55</v>
      </c>
      <c r="J499" s="21" t="s">
        <v>9589</v>
      </c>
      <c r="K499" s="5814" t="s">
        <v>9590</v>
      </c>
    </row>
    <row r="500" spans="1:11">
      <c r="A500" s="21" t="s">
        <v>2156</v>
      </c>
      <c r="B500" s="21" t="s">
        <v>9591</v>
      </c>
      <c r="C500" s="21" t="s">
        <v>22</v>
      </c>
      <c r="D500" s="21" t="s">
        <v>1092</v>
      </c>
      <c r="E500" s="21" t="s">
        <v>9</v>
      </c>
      <c r="F500" s="5812">
        <v>5</v>
      </c>
      <c r="G500" s="5813">
        <v>0.20833333333333334</v>
      </c>
      <c r="H500" s="21" t="s">
        <v>54</v>
      </c>
      <c r="I500" s="21" t="s">
        <v>96</v>
      </c>
      <c r="J500" s="21" t="s">
        <v>9592</v>
      </c>
      <c r="K500" s="5814" t="s">
        <v>9593</v>
      </c>
    </row>
    <row r="501" spans="1:11">
      <c r="A501" s="21" t="s">
        <v>4724</v>
      </c>
      <c r="B501" s="21" t="s">
        <v>9594</v>
      </c>
      <c r="C501" s="21" t="s">
        <v>8</v>
      </c>
      <c r="D501" s="21" t="s">
        <v>1092</v>
      </c>
      <c r="E501" s="21" t="s">
        <v>9</v>
      </c>
      <c r="F501" s="5812">
        <v>5</v>
      </c>
      <c r="G501" s="5813">
        <v>0.20833333333333334</v>
      </c>
      <c r="H501" s="21" t="s">
        <v>54</v>
      </c>
      <c r="I501" s="21" t="s">
        <v>55</v>
      </c>
      <c r="J501" s="21" t="s">
        <v>9595</v>
      </c>
      <c r="K501" s="5814" t="s">
        <v>9596</v>
      </c>
    </row>
    <row r="502" spans="1:11">
      <c r="A502" s="21" t="s">
        <v>2850</v>
      </c>
      <c r="B502" s="21" t="s">
        <v>9597</v>
      </c>
      <c r="C502" s="21" t="s">
        <v>22</v>
      </c>
      <c r="D502" s="21" t="s">
        <v>1092</v>
      </c>
      <c r="E502" s="21" t="s">
        <v>46</v>
      </c>
      <c r="F502" s="5812">
        <v>1</v>
      </c>
      <c r="G502" s="5813">
        <v>9.0277777777777769E-3</v>
      </c>
      <c r="H502" s="21" t="s">
        <v>54</v>
      </c>
      <c r="I502" s="21" t="s">
        <v>2297</v>
      </c>
      <c r="J502" s="21" t="s">
        <v>48</v>
      </c>
      <c r="K502" s="5814" t="s">
        <v>9598</v>
      </c>
    </row>
    <row r="503" spans="1:11">
      <c r="A503" s="21" t="s">
        <v>166</v>
      </c>
      <c r="B503" s="21" t="s">
        <v>1091</v>
      </c>
      <c r="C503" s="21" t="s">
        <v>22</v>
      </c>
      <c r="D503" s="21" t="s">
        <v>1092</v>
      </c>
      <c r="E503" s="21" t="s">
        <v>46</v>
      </c>
      <c r="F503" s="5812">
        <v>2</v>
      </c>
      <c r="G503" s="5813">
        <v>0.14722222222222223</v>
      </c>
      <c r="H503" s="21" t="s">
        <v>54</v>
      </c>
      <c r="I503" s="21" t="s">
        <v>96</v>
      </c>
      <c r="J503" s="21" t="s">
        <v>48</v>
      </c>
      <c r="K503" s="5814" t="s">
        <v>1093</v>
      </c>
    </row>
    <row r="504" spans="1:11">
      <c r="A504" s="21" t="s">
        <v>2229</v>
      </c>
      <c r="B504" s="21" t="s">
        <v>9599</v>
      </c>
      <c r="C504" s="21" t="s">
        <v>22</v>
      </c>
      <c r="D504" s="21" t="s">
        <v>1092</v>
      </c>
      <c r="E504" s="21" t="s">
        <v>46</v>
      </c>
      <c r="F504" s="5812">
        <v>3</v>
      </c>
      <c r="G504" s="5813">
        <v>0.17569444444444443</v>
      </c>
      <c r="H504" s="21" t="s">
        <v>54</v>
      </c>
      <c r="I504" s="21" t="s">
        <v>2297</v>
      </c>
      <c r="J504" s="21" t="s">
        <v>258</v>
      </c>
      <c r="K504" s="5814" t="s">
        <v>9600</v>
      </c>
    </row>
    <row r="505" spans="1:11">
      <c r="A505" s="21" t="s">
        <v>3029</v>
      </c>
      <c r="B505" s="21" t="s">
        <v>9601</v>
      </c>
      <c r="C505" s="21" t="s">
        <v>8</v>
      </c>
      <c r="D505" s="21" t="s">
        <v>1092</v>
      </c>
      <c r="E505" s="21" t="s">
        <v>46</v>
      </c>
      <c r="F505" s="5812">
        <v>3</v>
      </c>
      <c r="G505" s="5813">
        <v>0.17986111111111111</v>
      </c>
      <c r="H505" s="21" t="s">
        <v>54</v>
      </c>
      <c r="I505" s="21" t="s">
        <v>55</v>
      </c>
      <c r="J505" s="21" t="s">
        <v>127</v>
      </c>
      <c r="K505" s="5814" t="s">
        <v>9602</v>
      </c>
    </row>
    <row r="506" spans="1:11">
      <c r="A506" s="21" t="s">
        <v>5168</v>
      </c>
      <c r="B506" s="21" t="s">
        <v>9603</v>
      </c>
      <c r="C506" s="21" t="s">
        <v>8</v>
      </c>
      <c r="D506" s="21" t="s">
        <v>1092</v>
      </c>
      <c r="E506" s="21" t="s">
        <v>46</v>
      </c>
      <c r="F506" s="5812">
        <v>3</v>
      </c>
      <c r="G506" s="5813">
        <v>0.20208333333333334</v>
      </c>
      <c r="H506" s="21" t="s">
        <v>54</v>
      </c>
      <c r="I506" s="21" t="s">
        <v>55</v>
      </c>
      <c r="J506" s="21" t="s">
        <v>127</v>
      </c>
      <c r="K506" s="5814" t="s">
        <v>9604</v>
      </c>
    </row>
    <row r="507" spans="1:11">
      <c r="A507" s="21" t="s">
        <v>2433</v>
      </c>
      <c r="B507" s="21" t="s">
        <v>9605</v>
      </c>
      <c r="C507" s="21" t="s">
        <v>8</v>
      </c>
      <c r="D507" s="21" t="s">
        <v>1092</v>
      </c>
      <c r="E507" s="21" t="s">
        <v>46</v>
      </c>
      <c r="F507" s="5812">
        <v>4</v>
      </c>
      <c r="G507" s="5813">
        <v>3.125E-2</v>
      </c>
      <c r="H507" s="21" t="s">
        <v>54</v>
      </c>
      <c r="I507" s="21" t="s">
        <v>55</v>
      </c>
      <c r="J507" s="21" t="s">
        <v>97</v>
      </c>
      <c r="K507" s="5814" t="s">
        <v>9606</v>
      </c>
    </row>
    <row r="508" spans="1:11">
      <c r="A508" s="21" t="s">
        <v>2668</v>
      </c>
      <c r="B508" s="21" t="s">
        <v>9607</v>
      </c>
      <c r="C508" s="21" t="s">
        <v>8</v>
      </c>
      <c r="D508" s="21" t="s">
        <v>1092</v>
      </c>
      <c r="E508" s="21" t="s">
        <v>244</v>
      </c>
      <c r="F508" s="5812">
        <v>4</v>
      </c>
      <c r="G508" s="5813">
        <v>0.20833333333333334</v>
      </c>
      <c r="H508" s="21" t="s">
        <v>54</v>
      </c>
      <c r="I508" s="21" t="s">
        <v>2872</v>
      </c>
      <c r="J508" s="21"/>
      <c r="K508" s="5814" t="s">
        <v>9608</v>
      </c>
    </row>
    <row r="509" spans="1:11">
      <c r="A509" s="21" t="s">
        <v>2835</v>
      </c>
      <c r="B509" s="21" t="s">
        <v>9671</v>
      </c>
      <c r="C509" s="21" t="s">
        <v>8</v>
      </c>
      <c r="D509" s="21" t="s">
        <v>9672</v>
      </c>
      <c r="E509" s="21" t="s">
        <v>9</v>
      </c>
      <c r="F509" s="5812">
        <v>5</v>
      </c>
      <c r="G509" s="5813">
        <v>0.20833333333333334</v>
      </c>
      <c r="H509" s="21" t="s">
        <v>54</v>
      </c>
      <c r="I509" s="21" t="s">
        <v>47</v>
      </c>
      <c r="J509" s="21" t="s">
        <v>9673</v>
      </c>
      <c r="K509" s="5814" t="s">
        <v>9674</v>
      </c>
    </row>
    <row r="510" spans="1:11">
      <c r="A510" s="21" t="s">
        <v>2882</v>
      </c>
      <c r="B510" s="21" t="s">
        <v>9675</v>
      </c>
      <c r="C510" s="21" t="s">
        <v>22</v>
      </c>
      <c r="D510" s="21" t="s">
        <v>9672</v>
      </c>
      <c r="E510" s="21" t="s">
        <v>46</v>
      </c>
      <c r="F510" s="5812">
        <v>2</v>
      </c>
      <c r="G510" s="5813">
        <v>0.20624999999999999</v>
      </c>
      <c r="H510" s="21" t="s">
        <v>54</v>
      </c>
      <c r="I510" s="21" t="s">
        <v>55</v>
      </c>
      <c r="J510" s="21" t="s">
        <v>48</v>
      </c>
      <c r="K510" s="5814" t="s">
        <v>9676</v>
      </c>
    </row>
    <row r="511" spans="1:11">
      <c r="A511" s="21" t="s">
        <v>2808</v>
      </c>
      <c r="B511" s="21" t="s">
        <v>9677</v>
      </c>
      <c r="C511" s="21" t="s">
        <v>8</v>
      </c>
      <c r="D511" s="21" t="s">
        <v>9672</v>
      </c>
      <c r="E511" s="21" t="s">
        <v>46</v>
      </c>
      <c r="F511" s="5812">
        <v>3</v>
      </c>
      <c r="G511" s="5813">
        <v>0.2013888888888889</v>
      </c>
      <c r="H511" s="21" t="s">
        <v>54</v>
      </c>
      <c r="I511" s="21" t="s">
        <v>2872</v>
      </c>
      <c r="J511" s="21" t="s">
        <v>97</v>
      </c>
      <c r="K511" s="5814" t="s">
        <v>9678</v>
      </c>
    </row>
    <row r="512" spans="1:11">
      <c r="A512" s="21" t="s">
        <v>3886</v>
      </c>
      <c r="B512" s="21" t="s">
        <v>9679</v>
      </c>
      <c r="C512" s="21" t="s">
        <v>8</v>
      </c>
      <c r="D512" s="21" t="s">
        <v>9672</v>
      </c>
      <c r="E512" s="21" t="s">
        <v>61</v>
      </c>
      <c r="F512" s="5812">
        <v>2</v>
      </c>
      <c r="G512" s="5813">
        <v>0.17986111111111111</v>
      </c>
      <c r="H512" s="21" t="s">
        <v>54</v>
      </c>
      <c r="I512" s="21" t="s">
        <v>96</v>
      </c>
      <c r="J512" s="21" t="s">
        <v>3326</v>
      </c>
      <c r="K512" s="5814" t="s">
        <v>9680</v>
      </c>
    </row>
    <row r="513" spans="1:11">
      <c r="A513" s="21" t="s">
        <v>3647</v>
      </c>
      <c r="B513" s="21" t="s">
        <v>9974</v>
      </c>
      <c r="C513" s="21" t="s">
        <v>22</v>
      </c>
      <c r="D513" s="21" t="s">
        <v>9975</v>
      </c>
      <c r="E513" s="21" t="s">
        <v>9</v>
      </c>
      <c r="F513" s="5812">
        <v>3</v>
      </c>
      <c r="G513" s="5813">
        <v>0.20833333333333334</v>
      </c>
      <c r="H513" s="21" t="s">
        <v>2081</v>
      </c>
      <c r="I513" s="21" t="s">
        <v>55</v>
      </c>
      <c r="J513" s="21" t="s">
        <v>9976</v>
      </c>
      <c r="K513" s="5814" t="s">
        <v>9977</v>
      </c>
    </row>
  </sheetData>
  <hyperlinks>
    <hyperlink ref="K4" r:id="rId1" xr:uid="{00000000-0004-0000-1400-000000000000}"/>
    <hyperlink ref="K5" r:id="rId2" xr:uid="{00000000-0004-0000-1400-000001000000}"/>
    <hyperlink ref="K6" r:id="rId3" xr:uid="{00000000-0004-0000-1400-000002000000}"/>
    <hyperlink ref="K7" r:id="rId4" xr:uid="{00000000-0004-0000-1400-000003000000}"/>
    <hyperlink ref="K8" r:id="rId5" xr:uid="{00000000-0004-0000-1400-000004000000}"/>
    <hyperlink ref="K9" r:id="rId6" xr:uid="{00000000-0004-0000-1400-000005000000}"/>
    <hyperlink ref="K10" r:id="rId7" xr:uid="{00000000-0004-0000-1400-000006000000}"/>
    <hyperlink ref="K11" r:id="rId8" xr:uid="{00000000-0004-0000-1400-000007000000}"/>
    <hyperlink ref="K12" r:id="rId9" xr:uid="{00000000-0004-0000-1400-000008000000}"/>
    <hyperlink ref="K13" r:id="rId10" xr:uid="{00000000-0004-0000-1400-000009000000}"/>
    <hyperlink ref="K14" r:id="rId11" xr:uid="{00000000-0004-0000-1400-00000A000000}"/>
    <hyperlink ref="K15" r:id="rId12" xr:uid="{00000000-0004-0000-1400-00000B000000}"/>
    <hyperlink ref="K16" r:id="rId13" xr:uid="{00000000-0004-0000-1400-00000C000000}"/>
    <hyperlink ref="K17" r:id="rId14" xr:uid="{00000000-0004-0000-1400-00000D000000}"/>
    <hyperlink ref="K18" r:id="rId15" xr:uid="{00000000-0004-0000-1400-00000E000000}"/>
    <hyperlink ref="K19" r:id="rId16" xr:uid="{00000000-0004-0000-1400-00000F000000}"/>
    <hyperlink ref="K20" r:id="rId17" xr:uid="{00000000-0004-0000-1400-000010000000}"/>
    <hyperlink ref="K21" r:id="rId18" xr:uid="{00000000-0004-0000-1400-000011000000}"/>
    <hyperlink ref="K22" r:id="rId19" xr:uid="{00000000-0004-0000-1400-000012000000}"/>
    <hyperlink ref="K23" r:id="rId20" xr:uid="{00000000-0004-0000-1400-000013000000}"/>
    <hyperlink ref="K24" r:id="rId21" xr:uid="{00000000-0004-0000-1400-000014000000}"/>
    <hyperlink ref="K25" r:id="rId22" xr:uid="{00000000-0004-0000-1400-000015000000}"/>
    <hyperlink ref="K26" r:id="rId23" xr:uid="{00000000-0004-0000-1400-000016000000}"/>
    <hyperlink ref="K27" r:id="rId24" xr:uid="{00000000-0004-0000-1400-000017000000}"/>
    <hyperlink ref="K28" r:id="rId25" xr:uid="{00000000-0004-0000-1400-000018000000}"/>
    <hyperlink ref="K29" r:id="rId26" xr:uid="{00000000-0004-0000-1400-000019000000}"/>
    <hyperlink ref="K30" r:id="rId27" xr:uid="{00000000-0004-0000-1400-00001A000000}"/>
    <hyperlink ref="K31" r:id="rId28" xr:uid="{00000000-0004-0000-1400-00001B000000}"/>
    <hyperlink ref="K32" r:id="rId29" xr:uid="{00000000-0004-0000-1400-00001C000000}"/>
    <hyperlink ref="K33" r:id="rId30" xr:uid="{00000000-0004-0000-1400-00001D000000}"/>
    <hyperlink ref="K34" r:id="rId31" xr:uid="{00000000-0004-0000-1400-00001E000000}"/>
    <hyperlink ref="K35" r:id="rId32" xr:uid="{00000000-0004-0000-1400-00001F000000}"/>
    <hyperlink ref="K36" r:id="rId33" xr:uid="{00000000-0004-0000-1400-000020000000}"/>
    <hyperlink ref="K37" r:id="rId34" xr:uid="{00000000-0004-0000-1400-000021000000}"/>
    <hyperlink ref="K38" r:id="rId35" xr:uid="{00000000-0004-0000-1400-000022000000}"/>
    <hyperlink ref="K39" r:id="rId36" xr:uid="{00000000-0004-0000-1400-000023000000}"/>
    <hyperlink ref="K40" r:id="rId37" xr:uid="{00000000-0004-0000-1400-000024000000}"/>
    <hyperlink ref="K41" r:id="rId38" xr:uid="{00000000-0004-0000-1400-000025000000}"/>
    <hyperlink ref="K42" r:id="rId39" xr:uid="{00000000-0004-0000-1400-000026000000}"/>
    <hyperlink ref="K43" r:id="rId40" xr:uid="{00000000-0004-0000-1400-000027000000}"/>
    <hyperlink ref="K44" r:id="rId41" xr:uid="{00000000-0004-0000-1400-000028000000}"/>
    <hyperlink ref="K45" r:id="rId42" xr:uid="{00000000-0004-0000-1400-000029000000}"/>
    <hyperlink ref="K46" r:id="rId43" xr:uid="{00000000-0004-0000-1400-00002A000000}"/>
    <hyperlink ref="K47" r:id="rId44" xr:uid="{00000000-0004-0000-1400-00002B000000}"/>
    <hyperlink ref="K48" r:id="rId45" xr:uid="{00000000-0004-0000-1400-00002C000000}"/>
    <hyperlink ref="K49" r:id="rId46" xr:uid="{00000000-0004-0000-1400-00002D000000}"/>
    <hyperlink ref="K50" r:id="rId47" xr:uid="{00000000-0004-0000-1400-00002E000000}"/>
    <hyperlink ref="K51" r:id="rId48" xr:uid="{00000000-0004-0000-1400-00002F000000}"/>
    <hyperlink ref="K52" r:id="rId49" xr:uid="{00000000-0004-0000-1400-000030000000}"/>
    <hyperlink ref="K53" r:id="rId50" xr:uid="{00000000-0004-0000-1400-000031000000}"/>
    <hyperlink ref="K54" r:id="rId51" xr:uid="{00000000-0004-0000-1400-000032000000}"/>
    <hyperlink ref="K55" r:id="rId52" xr:uid="{00000000-0004-0000-1400-000033000000}"/>
    <hyperlink ref="K56" r:id="rId53" xr:uid="{00000000-0004-0000-1400-000034000000}"/>
    <hyperlink ref="K57" r:id="rId54" xr:uid="{00000000-0004-0000-1400-000035000000}"/>
    <hyperlink ref="K58" r:id="rId55" xr:uid="{00000000-0004-0000-1400-000036000000}"/>
    <hyperlink ref="K59" r:id="rId56" xr:uid="{00000000-0004-0000-1400-000037000000}"/>
    <hyperlink ref="K60" r:id="rId57" xr:uid="{00000000-0004-0000-1400-000038000000}"/>
    <hyperlink ref="K61" r:id="rId58" xr:uid="{00000000-0004-0000-1400-000039000000}"/>
    <hyperlink ref="K62" r:id="rId59" xr:uid="{00000000-0004-0000-1400-00003A000000}"/>
    <hyperlink ref="K63" r:id="rId60" xr:uid="{00000000-0004-0000-1400-00003B000000}"/>
    <hyperlink ref="K64" r:id="rId61" xr:uid="{00000000-0004-0000-1400-00003C000000}"/>
    <hyperlink ref="K65" r:id="rId62" xr:uid="{00000000-0004-0000-1400-00003D000000}"/>
    <hyperlink ref="K66" r:id="rId63" xr:uid="{00000000-0004-0000-1400-00003E000000}"/>
    <hyperlink ref="K67" r:id="rId64" xr:uid="{00000000-0004-0000-1400-00003F000000}"/>
    <hyperlink ref="K68" r:id="rId65" xr:uid="{00000000-0004-0000-1400-000040000000}"/>
    <hyperlink ref="K69" r:id="rId66" xr:uid="{00000000-0004-0000-1400-000041000000}"/>
    <hyperlink ref="K70" r:id="rId67" xr:uid="{00000000-0004-0000-1400-000042000000}"/>
    <hyperlink ref="K71" r:id="rId68" xr:uid="{00000000-0004-0000-1400-000043000000}"/>
    <hyperlink ref="K72" r:id="rId69" xr:uid="{00000000-0004-0000-1400-000044000000}"/>
    <hyperlink ref="K73" r:id="rId70" xr:uid="{00000000-0004-0000-1400-000045000000}"/>
    <hyperlink ref="K74" r:id="rId71" xr:uid="{00000000-0004-0000-1400-000046000000}"/>
    <hyperlink ref="K75" r:id="rId72" xr:uid="{00000000-0004-0000-1400-000047000000}"/>
    <hyperlink ref="K76" r:id="rId73" xr:uid="{00000000-0004-0000-1400-000048000000}"/>
    <hyperlink ref="K77" r:id="rId74" xr:uid="{00000000-0004-0000-1400-000049000000}"/>
    <hyperlink ref="K78" r:id="rId75" xr:uid="{00000000-0004-0000-1400-00004A000000}"/>
    <hyperlink ref="K79" r:id="rId76" xr:uid="{00000000-0004-0000-1400-00004B000000}"/>
    <hyperlink ref="K80" r:id="rId77" xr:uid="{00000000-0004-0000-1400-00004C000000}"/>
    <hyperlink ref="K81" r:id="rId78" xr:uid="{00000000-0004-0000-1400-00004D000000}"/>
    <hyperlink ref="K82" r:id="rId79" xr:uid="{00000000-0004-0000-1400-00004E000000}"/>
    <hyperlink ref="K83" r:id="rId80" xr:uid="{00000000-0004-0000-1400-00004F000000}"/>
    <hyperlink ref="K84" r:id="rId81" xr:uid="{00000000-0004-0000-1400-000050000000}"/>
    <hyperlink ref="K85" r:id="rId82" xr:uid="{00000000-0004-0000-1400-000051000000}"/>
    <hyperlink ref="K86" r:id="rId83" xr:uid="{00000000-0004-0000-1400-000052000000}"/>
    <hyperlink ref="K87" r:id="rId84" xr:uid="{00000000-0004-0000-1400-000053000000}"/>
    <hyperlink ref="K88" r:id="rId85" xr:uid="{00000000-0004-0000-1400-000054000000}"/>
    <hyperlink ref="K89" r:id="rId86" xr:uid="{00000000-0004-0000-1400-000055000000}"/>
    <hyperlink ref="K90" r:id="rId87" xr:uid="{00000000-0004-0000-1400-000056000000}"/>
    <hyperlink ref="K91" r:id="rId88" xr:uid="{00000000-0004-0000-1400-000057000000}"/>
    <hyperlink ref="K92" r:id="rId89" xr:uid="{00000000-0004-0000-1400-000058000000}"/>
    <hyperlink ref="K93" r:id="rId90" xr:uid="{00000000-0004-0000-1400-000059000000}"/>
    <hyperlink ref="K94" r:id="rId91" xr:uid="{00000000-0004-0000-1400-00005A000000}"/>
    <hyperlink ref="K95" r:id="rId92" xr:uid="{00000000-0004-0000-1400-00005B000000}"/>
    <hyperlink ref="K96" r:id="rId93" xr:uid="{00000000-0004-0000-1400-00005C000000}"/>
    <hyperlink ref="K97" r:id="rId94" xr:uid="{00000000-0004-0000-1400-00005D000000}"/>
    <hyperlink ref="K98" r:id="rId95" xr:uid="{00000000-0004-0000-1400-00005E000000}"/>
    <hyperlink ref="K99" r:id="rId96" xr:uid="{00000000-0004-0000-1400-00005F000000}"/>
    <hyperlink ref="K100" r:id="rId97" xr:uid="{00000000-0004-0000-1400-000060000000}"/>
    <hyperlink ref="K101" r:id="rId98" xr:uid="{00000000-0004-0000-1400-000061000000}"/>
    <hyperlink ref="K102" r:id="rId99" xr:uid="{00000000-0004-0000-1400-000062000000}"/>
    <hyperlink ref="K103" r:id="rId100" xr:uid="{00000000-0004-0000-1400-000063000000}"/>
    <hyperlink ref="K104" r:id="rId101" xr:uid="{00000000-0004-0000-1400-000064000000}"/>
    <hyperlink ref="K105" r:id="rId102" xr:uid="{00000000-0004-0000-1400-000065000000}"/>
    <hyperlink ref="K106" r:id="rId103" xr:uid="{00000000-0004-0000-1400-000066000000}"/>
    <hyperlink ref="K107" r:id="rId104" xr:uid="{00000000-0004-0000-1400-000067000000}"/>
    <hyperlink ref="K108" r:id="rId105" xr:uid="{00000000-0004-0000-1400-000068000000}"/>
    <hyperlink ref="K109" r:id="rId106" xr:uid="{00000000-0004-0000-1400-000069000000}"/>
    <hyperlink ref="K110" r:id="rId107" xr:uid="{00000000-0004-0000-1400-00006A000000}"/>
    <hyperlink ref="K111" r:id="rId108" xr:uid="{00000000-0004-0000-1400-00006B000000}"/>
    <hyperlink ref="K112" r:id="rId109" xr:uid="{00000000-0004-0000-1400-00006C000000}"/>
    <hyperlink ref="K113" r:id="rId110" xr:uid="{00000000-0004-0000-1400-00006D000000}"/>
    <hyperlink ref="K114" r:id="rId111" xr:uid="{00000000-0004-0000-1400-00006E000000}"/>
    <hyperlink ref="K115" r:id="rId112" xr:uid="{00000000-0004-0000-1400-00006F000000}"/>
    <hyperlink ref="K116" r:id="rId113" xr:uid="{00000000-0004-0000-1400-000070000000}"/>
    <hyperlink ref="K117" r:id="rId114" xr:uid="{00000000-0004-0000-1400-000071000000}"/>
    <hyperlink ref="K118" r:id="rId115" xr:uid="{00000000-0004-0000-1400-000072000000}"/>
    <hyperlink ref="K119" r:id="rId116" xr:uid="{00000000-0004-0000-1400-000073000000}"/>
    <hyperlink ref="K120" r:id="rId117" xr:uid="{00000000-0004-0000-1400-000074000000}"/>
    <hyperlink ref="K121" r:id="rId118" xr:uid="{00000000-0004-0000-1400-000075000000}"/>
    <hyperlink ref="K122" r:id="rId119" xr:uid="{00000000-0004-0000-1400-000076000000}"/>
    <hyperlink ref="K123" r:id="rId120" xr:uid="{00000000-0004-0000-1400-000077000000}"/>
    <hyperlink ref="K124" r:id="rId121" xr:uid="{00000000-0004-0000-1400-000078000000}"/>
    <hyperlink ref="K125" r:id="rId122" xr:uid="{00000000-0004-0000-1400-000079000000}"/>
    <hyperlink ref="K126" r:id="rId123" xr:uid="{00000000-0004-0000-1400-00007A000000}"/>
    <hyperlink ref="K127" r:id="rId124" xr:uid="{00000000-0004-0000-1400-00007B000000}"/>
    <hyperlink ref="K128" r:id="rId125" xr:uid="{00000000-0004-0000-1400-00007C000000}"/>
    <hyperlink ref="K129" r:id="rId126" xr:uid="{00000000-0004-0000-1400-00007D000000}"/>
    <hyperlink ref="K130" r:id="rId127" xr:uid="{00000000-0004-0000-1400-00007E000000}"/>
    <hyperlink ref="K131" r:id="rId128" xr:uid="{00000000-0004-0000-1400-00007F000000}"/>
    <hyperlink ref="K132" r:id="rId129" xr:uid="{00000000-0004-0000-1400-000080000000}"/>
    <hyperlink ref="K133" r:id="rId130" xr:uid="{00000000-0004-0000-1400-000081000000}"/>
    <hyperlink ref="K134" r:id="rId131" xr:uid="{00000000-0004-0000-1400-000082000000}"/>
    <hyperlink ref="K135" r:id="rId132" xr:uid="{00000000-0004-0000-1400-000083000000}"/>
    <hyperlink ref="K136" r:id="rId133" xr:uid="{00000000-0004-0000-1400-000084000000}"/>
    <hyperlink ref="K137" r:id="rId134" xr:uid="{00000000-0004-0000-1400-000085000000}"/>
    <hyperlink ref="K138" r:id="rId135" xr:uid="{00000000-0004-0000-1400-000086000000}"/>
    <hyperlink ref="K139" r:id="rId136" xr:uid="{00000000-0004-0000-1400-000087000000}"/>
    <hyperlink ref="K140" r:id="rId137" xr:uid="{00000000-0004-0000-1400-000088000000}"/>
    <hyperlink ref="K141" r:id="rId138" xr:uid="{00000000-0004-0000-1400-000089000000}"/>
    <hyperlink ref="K142" r:id="rId139" xr:uid="{00000000-0004-0000-1400-00008A000000}"/>
    <hyperlink ref="K143" r:id="rId140" xr:uid="{00000000-0004-0000-1400-00008B000000}"/>
    <hyperlink ref="K144" r:id="rId141" xr:uid="{00000000-0004-0000-1400-00008C000000}"/>
    <hyperlink ref="K145" r:id="rId142" xr:uid="{00000000-0004-0000-1400-00008D000000}"/>
    <hyperlink ref="K146" r:id="rId143" xr:uid="{00000000-0004-0000-1400-00008E000000}"/>
    <hyperlink ref="K147" r:id="rId144" xr:uid="{00000000-0004-0000-1400-00008F000000}"/>
    <hyperlink ref="K148" r:id="rId145" xr:uid="{00000000-0004-0000-1400-000090000000}"/>
    <hyperlink ref="K149" r:id="rId146" xr:uid="{00000000-0004-0000-1400-000091000000}"/>
    <hyperlink ref="K150" r:id="rId147" xr:uid="{00000000-0004-0000-1400-000092000000}"/>
    <hyperlink ref="K151" r:id="rId148" xr:uid="{00000000-0004-0000-1400-000093000000}"/>
    <hyperlink ref="K152" r:id="rId149" xr:uid="{00000000-0004-0000-1400-000094000000}"/>
    <hyperlink ref="K153" r:id="rId150" xr:uid="{00000000-0004-0000-1400-000095000000}"/>
    <hyperlink ref="K154" r:id="rId151" xr:uid="{00000000-0004-0000-1400-000096000000}"/>
    <hyperlink ref="K155" r:id="rId152" xr:uid="{00000000-0004-0000-1400-000097000000}"/>
    <hyperlink ref="K156" r:id="rId153" xr:uid="{00000000-0004-0000-1400-000098000000}"/>
    <hyperlink ref="K157" r:id="rId154" xr:uid="{00000000-0004-0000-1400-000099000000}"/>
    <hyperlink ref="K158" r:id="rId155" xr:uid="{00000000-0004-0000-1400-00009A000000}"/>
    <hyperlink ref="K159" r:id="rId156" xr:uid="{00000000-0004-0000-1400-00009B000000}"/>
    <hyperlink ref="K160" r:id="rId157" xr:uid="{00000000-0004-0000-1400-00009C000000}"/>
    <hyperlink ref="K161" r:id="rId158" xr:uid="{00000000-0004-0000-1400-00009D000000}"/>
    <hyperlink ref="K162" r:id="rId159" xr:uid="{00000000-0004-0000-1400-00009E000000}"/>
    <hyperlink ref="K163" r:id="rId160" xr:uid="{00000000-0004-0000-1400-00009F000000}"/>
    <hyperlink ref="K164" r:id="rId161" xr:uid="{00000000-0004-0000-1400-0000A0000000}"/>
    <hyperlink ref="K165" r:id="rId162" xr:uid="{00000000-0004-0000-1400-0000A1000000}"/>
    <hyperlink ref="K166" r:id="rId163" xr:uid="{00000000-0004-0000-1400-0000A2000000}"/>
    <hyperlink ref="K167" r:id="rId164" xr:uid="{00000000-0004-0000-1400-0000A3000000}"/>
    <hyperlink ref="K168" r:id="rId165" xr:uid="{00000000-0004-0000-1400-0000A4000000}"/>
    <hyperlink ref="K169" r:id="rId166" xr:uid="{00000000-0004-0000-1400-0000A5000000}"/>
    <hyperlink ref="K170" r:id="rId167" xr:uid="{00000000-0004-0000-1400-0000A6000000}"/>
    <hyperlink ref="K171" r:id="rId168" xr:uid="{00000000-0004-0000-1400-0000A7000000}"/>
    <hyperlink ref="K172" r:id="rId169" xr:uid="{00000000-0004-0000-1400-0000A8000000}"/>
    <hyperlink ref="K173" r:id="rId170" xr:uid="{00000000-0004-0000-1400-0000A9000000}"/>
    <hyperlink ref="K174" r:id="rId171" xr:uid="{00000000-0004-0000-1400-0000AA000000}"/>
    <hyperlink ref="K175" r:id="rId172" xr:uid="{00000000-0004-0000-1400-0000AB000000}"/>
    <hyperlink ref="K176" r:id="rId173" xr:uid="{00000000-0004-0000-1400-0000AC000000}"/>
    <hyperlink ref="K177" r:id="rId174" xr:uid="{00000000-0004-0000-1400-0000AD000000}"/>
    <hyperlink ref="K178" r:id="rId175" xr:uid="{00000000-0004-0000-1400-0000AE000000}"/>
    <hyperlink ref="K179" r:id="rId176" xr:uid="{00000000-0004-0000-1400-0000AF000000}"/>
    <hyperlink ref="K180" r:id="rId177" xr:uid="{00000000-0004-0000-1400-0000B0000000}"/>
    <hyperlink ref="K181" r:id="rId178" xr:uid="{00000000-0004-0000-1400-0000B1000000}"/>
    <hyperlink ref="K182" r:id="rId179" xr:uid="{00000000-0004-0000-1400-0000B2000000}"/>
    <hyperlink ref="K183" r:id="rId180" xr:uid="{00000000-0004-0000-1400-0000B3000000}"/>
    <hyperlink ref="K184" r:id="rId181" xr:uid="{00000000-0004-0000-1400-0000B4000000}"/>
    <hyperlink ref="K185" r:id="rId182" xr:uid="{00000000-0004-0000-1400-0000B5000000}"/>
    <hyperlink ref="K186" r:id="rId183" xr:uid="{00000000-0004-0000-1400-0000B6000000}"/>
    <hyperlink ref="K187" r:id="rId184" xr:uid="{00000000-0004-0000-1400-0000B7000000}"/>
    <hyperlink ref="K188" r:id="rId185" xr:uid="{00000000-0004-0000-1400-0000B8000000}"/>
    <hyperlink ref="K189" r:id="rId186" xr:uid="{00000000-0004-0000-1400-0000B9000000}"/>
    <hyperlink ref="K190" r:id="rId187" xr:uid="{00000000-0004-0000-1400-0000BA000000}"/>
    <hyperlink ref="K191" r:id="rId188" xr:uid="{00000000-0004-0000-1400-0000BB000000}"/>
    <hyperlink ref="K192" r:id="rId189" xr:uid="{00000000-0004-0000-1400-0000BC000000}"/>
    <hyperlink ref="K193" r:id="rId190" xr:uid="{00000000-0004-0000-1400-0000BD000000}"/>
    <hyperlink ref="K194" r:id="rId191" xr:uid="{00000000-0004-0000-1400-0000BE000000}"/>
    <hyperlink ref="K195" r:id="rId192" xr:uid="{00000000-0004-0000-1400-0000BF000000}"/>
    <hyperlink ref="K196" r:id="rId193" xr:uid="{00000000-0004-0000-1400-0000C0000000}"/>
    <hyperlink ref="K197" r:id="rId194" xr:uid="{00000000-0004-0000-1400-0000C1000000}"/>
    <hyperlink ref="K198" r:id="rId195" xr:uid="{00000000-0004-0000-1400-0000C2000000}"/>
    <hyperlink ref="K199" r:id="rId196" xr:uid="{00000000-0004-0000-1400-0000C3000000}"/>
    <hyperlink ref="K200" r:id="rId197" xr:uid="{00000000-0004-0000-1400-0000C4000000}"/>
    <hyperlink ref="K201" r:id="rId198" xr:uid="{00000000-0004-0000-1400-0000C5000000}"/>
    <hyperlink ref="K202" r:id="rId199" xr:uid="{00000000-0004-0000-1400-0000C6000000}"/>
    <hyperlink ref="K203" r:id="rId200" xr:uid="{00000000-0004-0000-1400-0000C7000000}"/>
    <hyperlink ref="K204" r:id="rId201" xr:uid="{00000000-0004-0000-1400-0000C8000000}"/>
    <hyperlink ref="K205" r:id="rId202" xr:uid="{00000000-0004-0000-1400-0000C9000000}"/>
    <hyperlink ref="K206" r:id="rId203" xr:uid="{00000000-0004-0000-1400-0000CA000000}"/>
    <hyperlink ref="K207" r:id="rId204" xr:uid="{00000000-0004-0000-1400-0000CB000000}"/>
    <hyperlink ref="K208" r:id="rId205" xr:uid="{00000000-0004-0000-1400-0000CC000000}"/>
    <hyperlink ref="K209" r:id="rId206" xr:uid="{00000000-0004-0000-1400-0000CD000000}"/>
    <hyperlink ref="K210" r:id="rId207" xr:uid="{00000000-0004-0000-1400-0000CE000000}"/>
    <hyperlink ref="K211" r:id="rId208" xr:uid="{00000000-0004-0000-1400-0000CF000000}"/>
    <hyperlink ref="K212" r:id="rId209" xr:uid="{00000000-0004-0000-1400-0000D0000000}"/>
    <hyperlink ref="K213" r:id="rId210" xr:uid="{00000000-0004-0000-1400-0000D1000000}"/>
    <hyperlink ref="K214" r:id="rId211" xr:uid="{00000000-0004-0000-1400-0000D2000000}"/>
    <hyperlink ref="K215" r:id="rId212" xr:uid="{00000000-0004-0000-1400-0000D3000000}"/>
    <hyperlink ref="K216" r:id="rId213" xr:uid="{00000000-0004-0000-1400-0000D4000000}"/>
    <hyperlink ref="K217" r:id="rId214" xr:uid="{00000000-0004-0000-1400-0000D5000000}"/>
    <hyperlink ref="K218" r:id="rId215" xr:uid="{00000000-0004-0000-1400-0000D6000000}"/>
    <hyperlink ref="K219" r:id="rId216" xr:uid="{00000000-0004-0000-1400-0000D7000000}"/>
    <hyperlink ref="K220" r:id="rId217" xr:uid="{00000000-0004-0000-1400-0000D8000000}"/>
    <hyperlink ref="K221" r:id="rId218" xr:uid="{00000000-0004-0000-1400-0000D9000000}"/>
    <hyperlink ref="K222" r:id="rId219" xr:uid="{00000000-0004-0000-1400-0000DA000000}"/>
    <hyperlink ref="K223" r:id="rId220" xr:uid="{00000000-0004-0000-1400-0000DB000000}"/>
    <hyperlink ref="K224" r:id="rId221" xr:uid="{00000000-0004-0000-1400-0000DC000000}"/>
    <hyperlink ref="K225" r:id="rId222" xr:uid="{00000000-0004-0000-1400-0000DD000000}"/>
    <hyperlink ref="K226" r:id="rId223" xr:uid="{00000000-0004-0000-1400-0000DE000000}"/>
    <hyperlink ref="K227" r:id="rId224" xr:uid="{00000000-0004-0000-1400-0000DF000000}"/>
    <hyperlink ref="K228" r:id="rId225" xr:uid="{00000000-0004-0000-1400-0000E0000000}"/>
    <hyperlink ref="K229" r:id="rId226" xr:uid="{00000000-0004-0000-1400-0000E1000000}"/>
    <hyperlink ref="K230" r:id="rId227" xr:uid="{00000000-0004-0000-1400-0000E2000000}"/>
    <hyperlink ref="K231" r:id="rId228" xr:uid="{00000000-0004-0000-1400-0000E3000000}"/>
    <hyperlink ref="K232" r:id="rId229" xr:uid="{00000000-0004-0000-1400-0000E4000000}"/>
    <hyperlink ref="K233" r:id="rId230" xr:uid="{00000000-0004-0000-1400-0000E5000000}"/>
    <hyperlink ref="K234" r:id="rId231" xr:uid="{00000000-0004-0000-1400-0000E6000000}"/>
    <hyperlink ref="K235" r:id="rId232" xr:uid="{00000000-0004-0000-1400-0000E7000000}"/>
    <hyperlink ref="K236" r:id="rId233" xr:uid="{00000000-0004-0000-1400-0000E8000000}"/>
    <hyperlink ref="K237" r:id="rId234" xr:uid="{00000000-0004-0000-1400-0000E9000000}"/>
    <hyperlink ref="K238" r:id="rId235" xr:uid="{00000000-0004-0000-1400-0000EA000000}"/>
    <hyperlink ref="K239" r:id="rId236" xr:uid="{00000000-0004-0000-1400-0000EB000000}"/>
    <hyperlink ref="K240" r:id="rId237" xr:uid="{00000000-0004-0000-1400-0000EC000000}"/>
    <hyperlink ref="K241" r:id="rId238" xr:uid="{00000000-0004-0000-1400-0000ED000000}"/>
    <hyperlink ref="K242" r:id="rId239" xr:uid="{00000000-0004-0000-1400-0000EE000000}"/>
    <hyperlink ref="K243" r:id="rId240" xr:uid="{00000000-0004-0000-1400-0000EF000000}"/>
    <hyperlink ref="K244" r:id="rId241" xr:uid="{00000000-0004-0000-1400-0000F0000000}"/>
    <hyperlink ref="K245" r:id="rId242" xr:uid="{00000000-0004-0000-1400-0000F1000000}"/>
    <hyperlink ref="K246" r:id="rId243" xr:uid="{00000000-0004-0000-1400-0000F2000000}"/>
    <hyperlink ref="K247" r:id="rId244" xr:uid="{00000000-0004-0000-1400-0000F3000000}"/>
    <hyperlink ref="K248" r:id="rId245" xr:uid="{00000000-0004-0000-1400-0000F4000000}"/>
    <hyperlink ref="K249" r:id="rId246" xr:uid="{00000000-0004-0000-1400-0000F5000000}"/>
    <hyperlink ref="K250" r:id="rId247" xr:uid="{00000000-0004-0000-1400-0000F6000000}"/>
    <hyperlink ref="K251" r:id="rId248" xr:uid="{00000000-0004-0000-1400-0000F7000000}"/>
    <hyperlink ref="K252" r:id="rId249" xr:uid="{00000000-0004-0000-1400-0000F8000000}"/>
    <hyperlink ref="K253" r:id="rId250" xr:uid="{00000000-0004-0000-1400-0000F9000000}"/>
    <hyperlink ref="K254" r:id="rId251" xr:uid="{00000000-0004-0000-1400-0000FA000000}"/>
    <hyperlink ref="K255" r:id="rId252" xr:uid="{00000000-0004-0000-1400-0000FB000000}"/>
    <hyperlink ref="K256" r:id="rId253" xr:uid="{00000000-0004-0000-1400-0000FC000000}"/>
    <hyperlink ref="K257" r:id="rId254" xr:uid="{00000000-0004-0000-1400-0000FD000000}"/>
    <hyperlink ref="K258" r:id="rId255" xr:uid="{00000000-0004-0000-1400-0000FE000000}"/>
    <hyperlink ref="K259" r:id="rId256" xr:uid="{00000000-0004-0000-1400-0000FF000000}"/>
    <hyperlink ref="K260" r:id="rId257" xr:uid="{00000000-0004-0000-1400-000000010000}"/>
    <hyperlink ref="K261" r:id="rId258" xr:uid="{00000000-0004-0000-1400-000001010000}"/>
    <hyperlink ref="K262" r:id="rId259" xr:uid="{00000000-0004-0000-1400-000002010000}"/>
    <hyperlink ref="K263" r:id="rId260" xr:uid="{00000000-0004-0000-1400-000003010000}"/>
    <hyperlink ref="K264" r:id="rId261" xr:uid="{00000000-0004-0000-1400-000004010000}"/>
    <hyperlink ref="K265" r:id="rId262" xr:uid="{00000000-0004-0000-1400-000005010000}"/>
    <hyperlink ref="K266" r:id="rId263" xr:uid="{00000000-0004-0000-1400-000006010000}"/>
    <hyperlink ref="K267" r:id="rId264" xr:uid="{00000000-0004-0000-1400-000007010000}"/>
    <hyperlink ref="K268" r:id="rId265" xr:uid="{00000000-0004-0000-1400-000008010000}"/>
    <hyperlink ref="K269" r:id="rId266" xr:uid="{00000000-0004-0000-1400-000009010000}"/>
    <hyperlink ref="K270" r:id="rId267" xr:uid="{00000000-0004-0000-1400-00000A010000}"/>
    <hyperlink ref="K271" r:id="rId268" xr:uid="{00000000-0004-0000-1400-00000B010000}"/>
    <hyperlink ref="K272" r:id="rId269" xr:uid="{00000000-0004-0000-1400-00000C010000}"/>
    <hyperlink ref="K273" r:id="rId270" xr:uid="{00000000-0004-0000-1400-00000D010000}"/>
    <hyperlink ref="K274" r:id="rId271" xr:uid="{00000000-0004-0000-1400-00000E010000}"/>
    <hyperlink ref="K275" r:id="rId272" xr:uid="{00000000-0004-0000-1400-00000F010000}"/>
    <hyperlink ref="K276" r:id="rId273" xr:uid="{00000000-0004-0000-1400-000010010000}"/>
    <hyperlink ref="K277" r:id="rId274" xr:uid="{00000000-0004-0000-1400-000011010000}"/>
    <hyperlink ref="K278" r:id="rId275" xr:uid="{00000000-0004-0000-1400-000012010000}"/>
    <hyperlink ref="K279" r:id="rId276" xr:uid="{00000000-0004-0000-1400-000013010000}"/>
    <hyperlink ref="K280" r:id="rId277" xr:uid="{00000000-0004-0000-1400-000014010000}"/>
    <hyperlink ref="K281" r:id="rId278" xr:uid="{00000000-0004-0000-1400-000015010000}"/>
    <hyperlink ref="K282" r:id="rId279" xr:uid="{00000000-0004-0000-1400-000016010000}"/>
    <hyperlink ref="K283" r:id="rId280" xr:uid="{00000000-0004-0000-1400-000017010000}"/>
    <hyperlink ref="K284" r:id="rId281" xr:uid="{00000000-0004-0000-1400-000018010000}"/>
    <hyperlink ref="K285" r:id="rId282" xr:uid="{00000000-0004-0000-1400-000019010000}"/>
    <hyperlink ref="K286" r:id="rId283" xr:uid="{00000000-0004-0000-1400-00001A010000}"/>
    <hyperlink ref="K287" r:id="rId284" xr:uid="{00000000-0004-0000-1400-00001B010000}"/>
    <hyperlink ref="K288" r:id="rId285" xr:uid="{00000000-0004-0000-1400-00001C010000}"/>
    <hyperlink ref="K289" r:id="rId286" xr:uid="{00000000-0004-0000-1400-00001D010000}"/>
    <hyperlink ref="K290" r:id="rId287" xr:uid="{00000000-0004-0000-1400-00001E010000}"/>
    <hyperlink ref="K291" r:id="rId288" xr:uid="{00000000-0004-0000-1400-00001F010000}"/>
    <hyperlink ref="K292" r:id="rId289" xr:uid="{00000000-0004-0000-1400-000020010000}"/>
    <hyperlink ref="K293" r:id="rId290" xr:uid="{00000000-0004-0000-1400-000021010000}"/>
    <hyperlink ref="K294" r:id="rId291" xr:uid="{00000000-0004-0000-1400-000022010000}"/>
    <hyperlink ref="K295" r:id="rId292" xr:uid="{00000000-0004-0000-1400-000023010000}"/>
    <hyperlink ref="K296" r:id="rId293" xr:uid="{00000000-0004-0000-1400-000024010000}"/>
    <hyperlink ref="K297" r:id="rId294" xr:uid="{00000000-0004-0000-1400-000025010000}"/>
    <hyperlink ref="K298" r:id="rId295" xr:uid="{00000000-0004-0000-1400-000026010000}"/>
    <hyperlink ref="K299" r:id="rId296" xr:uid="{00000000-0004-0000-1400-000027010000}"/>
    <hyperlink ref="K300" r:id="rId297" xr:uid="{00000000-0004-0000-1400-000028010000}"/>
    <hyperlink ref="K301" r:id="rId298" xr:uid="{00000000-0004-0000-1400-000029010000}"/>
    <hyperlink ref="K302" r:id="rId299" xr:uid="{00000000-0004-0000-1400-00002A010000}"/>
    <hyperlink ref="K303" r:id="rId300" xr:uid="{00000000-0004-0000-1400-00002B010000}"/>
    <hyperlink ref="K304" r:id="rId301" xr:uid="{00000000-0004-0000-1400-00002C010000}"/>
    <hyperlink ref="K305" r:id="rId302" xr:uid="{00000000-0004-0000-1400-00002D010000}"/>
    <hyperlink ref="K306" r:id="rId303" xr:uid="{00000000-0004-0000-1400-00002E010000}"/>
    <hyperlink ref="K307" r:id="rId304" xr:uid="{00000000-0004-0000-1400-00002F010000}"/>
    <hyperlink ref="K308" r:id="rId305" xr:uid="{00000000-0004-0000-1400-000030010000}"/>
    <hyperlink ref="K309" r:id="rId306" xr:uid="{00000000-0004-0000-1400-000031010000}"/>
    <hyperlink ref="K310" r:id="rId307" xr:uid="{00000000-0004-0000-1400-000032010000}"/>
    <hyperlink ref="K311" r:id="rId308" xr:uid="{00000000-0004-0000-1400-000033010000}"/>
    <hyperlink ref="K312" r:id="rId309" xr:uid="{00000000-0004-0000-1400-000034010000}"/>
    <hyperlink ref="K313" r:id="rId310" xr:uid="{00000000-0004-0000-1400-000035010000}"/>
    <hyperlink ref="K314" r:id="rId311" xr:uid="{00000000-0004-0000-1400-000036010000}"/>
    <hyperlink ref="K315" r:id="rId312" xr:uid="{00000000-0004-0000-1400-000037010000}"/>
    <hyperlink ref="K316" r:id="rId313" xr:uid="{00000000-0004-0000-1400-000038010000}"/>
    <hyperlink ref="K317" r:id="rId314" xr:uid="{00000000-0004-0000-1400-000039010000}"/>
    <hyperlink ref="K318" r:id="rId315" xr:uid="{00000000-0004-0000-1400-00003A010000}"/>
    <hyperlink ref="K319" r:id="rId316" xr:uid="{00000000-0004-0000-1400-00003B010000}"/>
    <hyperlink ref="K320" r:id="rId317" xr:uid="{00000000-0004-0000-1400-00003C010000}"/>
    <hyperlink ref="K321" r:id="rId318" xr:uid="{00000000-0004-0000-1400-00003D010000}"/>
    <hyperlink ref="K322" r:id="rId319" xr:uid="{00000000-0004-0000-1400-00003E010000}"/>
    <hyperlink ref="K323" r:id="rId320" xr:uid="{00000000-0004-0000-1400-00003F010000}"/>
    <hyperlink ref="K324" r:id="rId321" xr:uid="{00000000-0004-0000-1400-000040010000}"/>
    <hyperlink ref="K325" r:id="rId322" xr:uid="{00000000-0004-0000-1400-000041010000}"/>
    <hyperlink ref="K326" r:id="rId323" xr:uid="{00000000-0004-0000-1400-000042010000}"/>
    <hyperlink ref="K327" r:id="rId324" xr:uid="{00000000-0004-0000-1400-000043010000}"/>
    <hyperlink ref="K328" r:id="rId325" xr:uid="{00000000-0004-0000-1400-000044010000}"/>
    <hyperlink ref="K329" r:id="rId326" xr:uid="{00000000-0004-0000-1400-000045010000}"/>
    <hyperlink ref="K330" r:id="rId327" xr:uid="{00000000-0004-0000-1400-000046010000}"/>
    <hyperlink ref="K331" r:id="rId328" xr:uid="{00000000-0004-0000-1400-000047010000}"/>
    <hyperlink ref="K332" r:id="rId329" xr:uid="{00000000-0004-0000-1400-000048010000}"/>
    <hyperlink ref="K333" r:id="rId330" xr:uid="{00000000-0004-0000-1400-000049010000}"/>
    <hyperlink ref="K334" r:id="rId331" xr:uid="{00000000-0004-0000-1400-00004A010000}"/>
    <hyperlink ref="K335" r:id="rId332" xr:uid="{00000000-0004-0000-1400-00004B010000}"/>
    <hyperlink ref="K336" r:id="rId333" xr:uid="{00000000-0004-0000-1400-00004C010000}"/>
    <hyperlink ref="K337" r:id="rId334" xr:uid="{00000000-0004-0000-1400-00004D010000}"/>
    <hyperlink ref="K338" r:id="rId335" xr:uid="{00000000-0004-0000-1400-00004E010000}"/>
    <hyperlink ref="K339" r:id="rId336" xr:uid="{00000000-0004-0000-1400-00004F010000}"/>
    <hyperlink ref="K340" r:id="rId337" xr:uid="{00000000-0004-0000-1400-000050010000}"/>
    <hyperlink ref="K341" r:id="rId338" xr:uid="{00000000-0004-0000-1400-000051010000}"/>
    <hyperlink ref="K342" r:id="rId339" xr:uid="{00000000-0004-0000-1400-000052010000}"/>
    <hyperlink ref="K343" r:id="rId340" xr:uid="{00000000-0004-0000-1400-000053010000}"/>
    <hyperlink ref="K344" r:id="rId341" xr:uid="{00000000-0004-0000-1400-000054010000}"/>
    <hyperlink ref="K345" r:id="rId342" xr:uid="{00000000-0004-0000-1400-000055010000}"/>
    <hyperlink ref="K346" r:id="rId343" xr:uid="{00000000-0004-0000-1400-000056010000}"/>
    <hyperlink ref="K347" r:id="rId344" xr:uid="{00000000-0004-0000-1400-000057010000}"/>
    <hyperlink ref="K348" r:id="rId345" xr:uid="{00000000-0004-0000-1400-000058010000}"/>
    <hyperlink ref="K349" r:id="rId346" xr:uid="{00000000-0004-0000-1400-000059010000}"/>
    <hyperlink ref="K350" r:id="rId347" xr:uid="{00000000-0004-0000-1400-00005A010000}"/>
    <hyperlink ref="K351" r:id="rId348" xr:uid="{00000000-0004-0000-1400-00005B010000}"/>
    <hyperlink ref="K352" r:id="rId349" xr:uid="{00000000-0004-0000-1400-00005C010000}"/>
    <hyperlink ref="K353" r:id="rId350" xr:uid="{00000000-0004-0000-1400-00005D010000}"/>
    <hyperlink ref="K354" r:id="rId351" xr:uid="{00000000-0004-0000-1400-00005E010000}"/>
    <hyperlink ref="K355" r:id="rId352" xr:uid="{00000000-0004-0000-1400-00005F010000}"/>
    <hyperlink ref="K356" r:id="rId353" xr:uid="{00000000-0004-0000-1400-000060010000}"/>
    <hyperlink ref="K357" r:id="rId354" xr:uid="{00000000-0004-0000-1400-000061010000}"/>
    <hyperlink ref="K358" r:id="rId355" xr:uid="{00000000-0004-0000-1400-000062010000}"/>
    <hyperlink ref="K359" r:id="rId356" xr:uid="{00000000-0004-0000-1400-000063010000}"/>
    <hyperlink ref="K360" r:id="rId357" xr:uid="{00000000-0004-0000-1400-000064010000}"/>
    <hyperlink ref="K361" r:id="rId358" xr:uid="{00000000-0004-0000-1400-000065010000}"/>
    <hyperlink ref="K362" r:id="rId359" xr:uid="{00000000-0004-0000-1400-000066010000}"/>
    <hyperlink ref="K363" r:id="rId360" xr:uid="{00000000-0004-0000-1400-000067010000}"/>
    <hyperlink ref="K364" r:id="rId361" xr:uid="{00000000-0004-0000-1400-000068010000}"/>
    <hyperlink ref="K365" r:id="rId362" xr:uid="{00000000-0004-0000-1400-000069010000}"/>
    <hyperlink ref="K366" r:id="rId363" xr:uid="{00000000-0004-0000-1400-00006A010000}"/>
    <hyperlink ref="K367" r:id="rId364" xr:uid="{00000000-0004-0000-1400-00006B010000}"/>
    <hyperlink ref="K368" r:id="rId365" xr:uid="{00000000-0004-0000-1400-00006C010000}"/>
    <hyperlink ref="K369" r:id="rId366" xr:uid="{00000000-0004-0000-1400-00006D010000}"/>
    <hyperlink ref="K370" r:id="rId367" xr:uid="{00000000-0004-0000-1400-00006E010000}"/>
    <hyperlink ref="K371" r:id="rId368" xr:uid="{00000000-0004-0000-1400-00006F010000}"/>
    <hyperlink ref="K372" r:id="rId369" xr:uid="{00000000-0004-0000-1400-000070010000}"/>
    <hyperlink ref="K373" r:id="rId370" xr:uid="{00000000-0004-0000-1400-000071010000}"/>
    <hyperlink ref="K374" r:id="rId371" xr:uid="{00000000-0004-0000-1400-000072010000}"/>
    <hyperlink ref="K375" r:id="rId372" xr:uid="{00000000-0004-0000-1400-000073010000}"/>
    <hyperlink ref="K376" r:id="rId373" xr:uid="{00000000-0004-0000-1400-000074010000}"/>
    <hyperlink ref="K377" r:id="rId374" xr:uid="{00000000-0004-0000-1400-000075010000}"/>
    <hyperlink ref="K378" r:id="rId375" xr:uid="{00000000-0004-0000-1400-000076010000}"/>
    <hyperlink ref="K379" r:id="rId376" xr:uid="{00000000-0004-0000-1400-000077010000}"/>
    <hyperlink ref="K380" r:id="rId377" xr:uid="{00000000-0004-0000-1400-000078010000}"/>
    <hyperlink ref="K381" r:id="rId378" xr:uid="{00000000-0004-0000-1400-000079010000}"/>
    <hyperlink ref="K382" r:id="rId379" xr:uid="{00000000-0004-0000-1400-00007A010000}"/>
    <hyperlink ref="K383" r:id="rId380" xr:uid="{00000000-0004-0000-1400-00007B010000}"/>
    <hyperlink ref="K384" r:id="rId381" xr:uid="{00000000-0004-0000-1400-00007C010000}"/>
    <hyperlink ref="K385" r:id="rId382" xr:uid="{00000000-0004-0000-1400-00007D010000}"/>
    <hyperlink ref="K386" r:id="rId383" xr:uid="{00000000-0004-0000-1400-00007E010000}"/>
    <hyperlink ref="K387" r:id="rId384" xr:uid="{00000000-0004-0000-1400-00007F010000}"/>
    <hyperlink ref="K388" r:id="rId385" xr:uid="{00000000-0004-0000-1400-000080010000}"/>
    <hyperlink ref="K389" r:id="rId386" xr:uid="{00000000-0004-0000-1400-000081010000}"/>
    <hyperlink ref="K390" r:id="rId387" xr:uid="{00000000-0004-0000-1400-000082010000}"/>
    <hyperlink ref="K391" r:id="rId388" xr:uid="{00000000-0004-0000-1400-000083010000}"/>
    <hyperlink ref="K392" r:id="rId389" xr:uid="{00000000-0004-0000-1400-000084010000}"/>
    <hyperlink ref="K393" r:id="rId390" xr:uid="{00000000-0004-0000-1400-000085010000}"/>
    <hyperlink ref="K394" r:id="rId391" xr:uid="{00000000-0004-0000-1400-000086010000}"/>
    <hyperlink ref="K395" r:id="rId392" xr:uid="{00000000-0004-0000-1400-000087010000}"/>
    <hyperlink ref="K396" r:id="rId393" xr:uid="{00000000-0004-0000-1400-000088010000}"/>
    <hyperlink ref="K397" r:id="rId394" xr:uid="{00000000-0004-0000-1400-000089010000}"/>
    <hyperlink ref="K398" r:id="rId395" xr:uid="{00000000-0004-0000-1400-00008A010000}"/>
    <hyperlink ref="K399" r:id="rId396" xr:uid="{00000000-0004-0000-1400-00008B010000}"/>
    <hyperlink ref="K400" r:id="rId397" xr:uid="{00000000-0004-0000-1400-00008C010000}"/>
    <hyperlink ref="K401" r:id="rId398" xr:uid="{00000000-0004-0000-1400-00008D010000}"/>
    <hyperlink ref="K402" r:id="rId399" xr:uid="{00000000-0004-0000-1400-00008E010000}"/>
    <hyperlink ref="K403" r:id="rId400" xr:uid="{00000000-0004-0000-1400-00008F010000}"/>
    <hyperlink ref="K404" r:id="rId401" xr:uid="{00000000-0004-0000-1400-000090010000}"/>
    <hyperlink ref="K405" r:id="rId402" xr:uid="{00000000-0004-0000-1400-000091010000}"/>
    <hyperlink ref="K406" r:id="rId403" xr:uid="{00000000-0004-0000-1400-000092010000}"/>
    <hyperlink ref="K407" r:id="rId404" xr:uid="{00000000-0004-0000-1400-000093010000}"/>
    <hyperlink ref="K408" r:id="rId405" xr:uid="{00000000-0004-0000-1400-000094010000}"/>
    <hyperlink ref="K409" r:id="rId406" xr:uid="{00000000-0004-0000-1400-000095010000}"/>
    <hyperlink ref="K410" r:id="rId407" xr:uid="{00000000-0004-0000-1400-000096010000}"/>
    <hyperlink ref="K411" r:id="rId408" xr:uid="{00000000-0004-0000-1400-000097010000}"/>
    <hyperlink ref="K412" r:id="rId409" xr:uid="{00000000-0004-0000-1400-000098010000}"/>
    <hyperlink ref="K413" r:id="rId410" xr:uid="{00000000-0004-0000-1400-000099010000}"/>
    <hyperlink ref="K414" r:id="rId411" xr:uid="{00000000-0004-0000-1400-00009A010000}"/>
    <hyperlink ref="K415" r:id="rId412" xr:uid="{00000000-0004-0000-1400-00009B010000}"/>
    <hyperlink ref="K416" r:id="rId413" xr:uid="{00000000-0004-0000-1400-00009C010000}"/>
    <hyperlink ref="K417" r:id="rId414" xr:uid="{00000000-0004-0000-1400-00009D010000}"/>
    <hyperlink ref="K418" r:id="rId415" xr:uid="{00000000-0004-0000-1400-00009E010000}"/>
    <hyperlink ref="K419" r:id="rId416" xr:uid="{00000000-0004-0000-1400-00009F010000}"/>
    <hyperlink ref="K420" r:id="rId417" xr:uid="{00000000-0004-0000-1400-0000A0010000}"/>
    <hyperlink ref="K421" r:id="rId418" xr:uid="{00000000-0004-0000-1400-0000A1010000}"/>
    <hyperlink ref="K422" r:id="rId419" xr:uid="{00000000-0004-0000-1400-0000A2010000}"/>
    <hyperlink ref="K423" r:id="rId420" xr:uid="{00000000-0004-0000-1400-0000A3010000}"/>
    <hyperlink ref="K424" r:id="rId421" xr:uid="{00000000-0004-0000-1400-0000A4010000}"/>
    <hyperlink ref="K425" r:id="rId422" xr:uid="{00000000-0004-0000-1400-0000A5010000}"/>
    <hyperlink ref="K426" r:id="rId423" xr:uid="{00000000-0004-0000-1400-0000A6010000}"/>
    <hyperlink ref="K427" r:id="rId424" xr:uid="{00000000-0004-0000-1400-0000A7010000}"/>
    <hyperlink ref="K428" r:id="rId425" xr:uid="{00000000-0004-0000-1400-0000A8010000}"/>
    <hyperlink ref="K429" r:id="rId426" xr:uid="{00000000-0004-0000-1400-0000A9010000}"/>
    <hyperlink ref="K430" r:id="rId427" xr:uid="{00000000-0004-0000-1400-0000AA010000}"/>
    <hyperlink ref="K431" r:id="rId428" xr:uid="{00000000-0004-0000-1400-0000AB010000}"/>
    <hyperlink ref="K432" r:id="rId429" xr:uid="{00000000-0004-0000-1400-0000AC010000}"/>
    <hyperlink ref="K433" r:id="rId430" xr:uid="{00000000-0004-0000-1400-0000AD010000}"/>
    <hyperlink ref="K434" r:id="rId431" xr:uid="{00000000-0004-0000-1400-0000AE010000}"/>
    <hyperlink ref="K435" r:id="rId432" xr:uid="{00000000-0004-0000-1400-0000AF010000}"/>
    <hyperlink ref="K436" r:id="rId433" xr:uid="{00000000-0004-0000-1400-0000B0010000}"/>
    <hyperlink ref="K437" r:id="rId434" xr:uid="{00000000-0004-0000-1400-0000B1010000}"/>
    <hyperlink ref="K438" r:id="rId435" xr:uid="{00000000-0004-0000-1400-0000B2010000}"/>
    <hyperlink ref="K439" r:id="rId436" xr:uid="{00000000-0004-0000-1400-0000B3010000}"/>
    <hyperlink ref="K440" r:id="rId437" xr:uid="{00000000-0004-0000-1400-0000B4010000}"/>
    <hyperlink ref="K441" r:id="rId438" xr:uid="{00000000-0004-0000-1400-0000B5010000}"/>
    <hyperlink ref="K442" r:id="rId439" xr:uid="{00000000-0004-0000-1400-0000B6010000}"/>
    <hyperlink ref="K443" r:id="rId440" xr:uid="{00000000-0004-0000-1400-0000B7010000}"/>
    <hyperlink ref="K444" r:id="rId441" xr:uid="{00000000-0004-0000-1400-0000B8010000}"/>
    <hyperlink ref="K445" r:id="rId442" xr:uid="{00000000-0004-0000-1400-0000B9010000}"/>
    <hyperlink ref="K446" r:id="rId443" xr:uid="{00000000-0004-0000-1400-0000BA010000}"/>
    <hyperlink ref="K447" r:id="rId444" xr:uid="{00000000-0004-0000-1400-0000BB010000}"/>
    <hyperlink ref="K448" r:id="rId445" xr:uid="{00000000-0004-0000-1400-0000BC010000}"/>
    <hyperlink ref="K449" r:id="rId446" xr:uid="{00000000-0004-0000-1400-0000BD010000}"/>
    <hyperlink ref="K450" r:id="rId447" xr:uid="{00000000-0004-0000-1400-0000BE010000}"/>
    <hyperlink ref="K451" r:id="rId448" xr:uid="{00000000-0004-0000-1400-0000BF010000}"/>
    <hyperlink ref="K452" r:id="rId449" xr:uid="{00000000-0004-0000-1400-0000C0010000}"/>
    <hyperlink ref="K453" r:id="rId450" xr:uid="{00000000-0004-0000-1400-0000C1010000}"/>
    <hyperlink ref="K454" r:id="rId451" xr:uid="{00000000-0004-0000-1400-0000C2010000}"/>
    <hyperlink ref="K455" r:id="rId452" xr:uid="{00000000-0004-0000-1400-0000C3010000}"/>
    <hyperlink ref="K456" r:id="rId453" xr:uid="{00000000-0004-0000-1400-0000C4010000}"/>
    <hyperlink ref="K457" r:id="rId454" xr:uid="{00000000-0004-0000-1400-0000C5010000}"/>
    <hyperlink ref="K458" r:id="rId455" xr:uid="{00000000-0004-0000-1400-0000C6010000}"/>
    <hyperlink ref="K459" r:id="rId456" xr:uid="{00000000-0004-0000-1400-0000C7010000}"/>
    <hyperlink ref="K460" r:id="rId457" xr:uid="{00000000-0004-0000-1400-0000C8010000}"/>
    <hyperlink ref="K461" r:id="rId458" xr:uid="{00000000-0004-0000-1400-0000C9010000}"/>
    <hyperlink ref="K462" r:id="rId459" xr:uid="{00000000-0004-0000-1400-0000CA010000}"/>
    <hyperlink ref="K463" r:id="rId460" xr:uid="{00000000-0004-0000-1400-0000CB010000}"/>
    <hyperlink ref="K464" r:id="rId461" xr:uid="{00000000-0004-0000-1400-0000CC010000}"/>
    <hyperlink ref="K465" r:id="rId462" xr:uid="{00000000-0004-0000-1400-0000CD010000}"/>
    <hyperlink ref="K466" r:id="rId463" xr:uid="{00000000-0004-0000-1400-0000CE010000}"/>
    <hyperlink ref="K467" r:id="rId464" xr:uid="{00000000-0004-0000-1400-0000CF010000}"/>
    <hyperlink ref="K468" r:id="rId465" xr:uid="{00000000-0004-0000-1400-0000D0010000}"/>
    <hyperlink ref="K469" r:id="rId466" xr:uid="{00000000-0004-0000-1400-0000D1010000}"/>
    <hyperlink ref="K470" r:id="rId467" xr:uid="{00000000-0004-0000-1400-0000D2010000}"/>
    <hyperlink ref="K471" r:id="rId468" xr:uid="{00000000-0004-0000-1400-0000D3010000}"/>
    <hyperlink ref="K472" r:id="rId469" xr:uid="{00000000-0004-0000-1400-0000D4010000}"/>
    <hyperlink ref="K473" r:id="rId470" xr:uid="{00000000-0004-0000-1400-0000D5010000}"/>
    <hyperlink ref="K474" r:id="rId471" xr:uid="{00000000-0004-0000-1400-0000D6010000}"/>
    <hyperlink ref="K475" r:id="rId472" xr:uid="{00000000-0004-0000-1400-0000D7010000}"/>
    <hyperlink ref="K476" r:id="rId473" xr:uid="{00000000-0004-0000-1400-0000D8010000}"/>
    <hyperlink ref="K477" r:id="rId474" xr:uid="{00000000-0004-0000-1400-0000D9010000}"/>
    <hyperlink ref="K478" r:id="rId475" xr:uid="{00000000-0004-0000-1400-0000DA010000}"/>
    <hyperlink ref="K479" r:id="rId476" xr:uid="{00000000-0004-0000-1400-0000DB010000}"/>
    <hyperlink ref="K480" r:id="rId477" xr:uid="{00000000-0004-0000-1400-0000DC010000}"/>
    <hyperlink ref="K481" r:id="rId478" xr:uid="{00000000-0004-0000-1400-0000DD010000}"/>
    <hyperlink ref="K482" r:id="rId479" xr:uid="{00000000-0004-0000-1400-0000DE010000}"/>
    <hyperlink ref="K483" r:id="rId480" xr:uid="{00000000-0004-0000-1400-0000DF010000}"/>
    <hyperlink ref="K484" r:id="rId481" xr:uid="{00000000-0004-0000-1400-0000E0010000}"/>
    <hyperlink ref="K485" r:id="rId482" xr:uid="{00000000-0004-0000-1400-0000E1010000}"/>
    <hyperlink ref="K486" r:id="rId483" xr:uid="{00000000-0004-0000-1400-0000E2010000}"/>
    <hyperlink ref="K487" r:id="rId484" xr:uid="{00000000-0004-0000-1400-0000E3010000}"/>
    <hyperlink ref="K488" r:id="rId485" xr:uid="{00000000-0004-0000-1400-0000E4010000}"/>
    <hyperlink ref="K489" r:id="rId486" xr:uid="{00000000-0004-0000-1400-0000E5010000}"/>
    <hyperlink ref="K490" r:id="rId487" xr:uid="{00000000-0004-0000-1400-0000E6010000}"/>
    <hyperlink ref="K491" r:id="rId488" xr:uid="{00000000-0004-0000-1400-0000E7010000}"/>
    <hyperlink ref="K492" r:id="rId489" xr:uid="{00000000-0004-0000-1400-0000E8010000}"/>
    <hyperlink ref="K493" r:id="rId490" xr:uid="{00000000-0004-0000-1400-0000E9010000}"/>
    <hyperlink ref="K494" r:id="rId491" xr:uid="{00000000-0004-0000-1400-0000EA010000}"/>
    <hyperlink ref="K495" r:id="rId492" xr:uid="{00000000-0004-0000-1400-0000EB010000}"/>
    <hyperlink ref="K496" r:id="rId493" xr:uid="{00000000-0004-0000-1400-0000EC010000}"/>
    <hyperlink ref="K497" r:id="rId494" xr:uid="{00000000-0004-0000-1400-0000ED010000}"/>
    <hyperlink ref="K498" r:id="rId495" xr:uid="{00000000-0004-0000-1400-0000EE010000}"/>
    <hyperlink ref="K499" r:id="rId496" xr:uid="{00000000-0004-0000-1400-0000EF010000}"/>
    <hyperlink ref="K500" r:id="rId497" xr:uid="{00000000-0004-0000-1400-0000F0010000}"/>
    <hyperlink ref="K501" r:id="rId498" xr:uid="{00000000-0004-0000-1400-0000F1010000}"/>
    <hyperlink ref="K502" r:id="rId499" xr:uid="{00000000-0004-0000-1400-0000F2010000}"/>
    <hyperlink ref="K503" r:id="rId500" xr:uid="{00000000-0004-0000-1400-0000F3010000}"/>
    <hyperlink ref="K504" r:id="rId501" xr:uid="{00000000-0004-0000-1400-0000F4010000}"/>
    <hyperlink ref="K505" r:id="rId502" xr:uid="{00000000-0004-0000-1400-0000F5010000}"/>
    <hyperlink ref="K506" r:id="rId503" xr:uid="{00000000-0004-0000-1400-0000F6010000}"/>
    <hyperlink ref="K507" r:id="rId504" xr:uid="{00000000-0004-0000-1400-0000F7010000}"/>
    <hyperlink ref="K508" r:id="rId505" xr:uid="{00000000-0004-0000-1400-0000F8010000}"/>
    <hyperlink ref="K509" r:id="rId506" xr:uid="{00000000-0004-0000-1400-0000F9010000}"/>
    <hyperlink ref="K510" r:id="rId507" xr:uid="{00000000-0004-0000-1400-0000FA010000}"/>
    <hyperlink ref="K511" r:id="rId508" xr:uid="{00000000-0004-0000-1400-0000FB010000}"/>
    <hyperlink ref="K512" r:id="rId509" xr:uid="{00000000-0004-0000-1400-0000FC010000}"/>
    <hyperlink ref="K513" r:id="rId510" xr:uid="{00000000-0004-0000-1400-0000FD01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BC479"/>
  <sheetViews>
    <sheetView topLeftCell="A57" workbookViewId="0">
      <selection activeCell="B92" sqref="B92"/>
    </sheetView>
  </sheetViews>
  <sheetFormatPr defaultColWidth="12.5703125" defaultRowHeight="15.75" customHeight="1"/>
  <cols>
    <col min="2" max="2" width="42.7109375" customWidth="1"/>
    <col min="4" max="4" width="26.5703125" customWidth="1"/>
    <col min="5" max="5" width="24.42578125" customWidth="1"/>
  </cols>
  <sheetData>
    <row r="1" spans="1:55">
      <c r="A1" s="5815" t="s">
        <v>13059</v>
      </c>
      <c r="B1" s="5815" t="s">
        <v>13060</v>
      </c>
      <c r="C1" s="5815" t="s">
        <v>13063</v>
      </c>
      <c r="D1" s="5815" t="s">
        <v>13064</v>
      </c>
      <c r="E1" s="5815" t="s">
        <v>13065</v>
      </c>
      <c r="F1" s="5815" t="s">
        <v>13060</v>
      </c>
      <c r="G1" s="5815" t="s">
        <v>1523</v>
      </c>
      <c r="H1" s="5815" t="s">
        <v>46</v>
      </c>
      <c r="I1" s="5815" t="s">
        <v>1522</v>
      </c>
      <c r="J1" s="5815" t="s">
        <v>13062</v>
      </c>
      <c r="K1" s="5815"/>
      <c r="L1" s="5815"/>
      <c r="M1" s="5815"/>
      <c r="N1" s="5815"/>
      <c r="O1" s="5815"/>
      <c r="P1" s="5815"/>
      <c r="Q1" s="5815"/>
      <c r="R1" s="5815"/>
      <c r="S1" s="5815"/>
      <c r="T1" s="5816"/>
      <c r="U1" s="5815"/>
      <c r="V1" s="5815"/>
      <c r="W1" s="5815"/>
      <c r="X1" s="5815"/>
      <c r="Y1" s="5815"/>
      <c r="Z1" s="5815"/>
      <c r="AA1" s="5815"/>
      <c r="AB1" s="5815"/>
      <c r="AC1" s="5815"/>
      <c r="AD1" s="5815"/>
      <c r="AE1" s="5815"/>
      <c r="AF1" s="5815"/>
      <c r="AG1" s="5815"/>
      <c r="AH1" s="5815"/>
      <c r="AI1" s="5815"/>
      <c r="AJ1" s="5815"/>
      <c r="AK1" s="5815"/>
      <c r="AL1" s="5815"/>
      <c r="AM1" s="5815"/>
      <c r="AN1" s="5815"/>
      <c r="AO1" s="5815"/>
      <c r="AP1" s="5815"/>
      <c r="AQ1" s="5815"/>
      <c r="AR1" s="5815"/>
      <c r="AS1" s="5815"/>
      <c r="AT1" s="5815"/>
      <c r="AU1" s="5815"/>
      <c r="AV1" s="5815"/>
      <c r="AW1" s="5815"/>
      <c r="AX1" s="5815"/>
      <c r="AY1" s="5815"/>
      <c r="AZ1" s="5815"/>
      <c r="BA1" s="5815"/>
      <c r="BB1" s="5815"/>
      <c r="BC1" s="620"/>
    </row>
    <row r="2" spans="1:55">
      <c r="A2" s="5817">
        <f>COUNTA(A4:A999)</f>
        <v>476</v>
      </c>
      <c r="B2" s="5822">
        <f>COUNTIF($E$3:$E$800, "Decision*")</f>
        <v>244</v>
      </c>
      <c r="C2" s="5818">
        <f>SUM(B2/$A$2)</f>
        <v>0.51260504201680668</v>
      </c>
      <c r="D2" s="5818">
        <f t="shared" ref="D2:E2" si="0">SUM(G2/$A$2)</f>
        <v>0.17647058823529413</v>
      </c>
      <c r="E2" s="5818">
        <f t="shared" si="0"/>
        <v>0.29411764705882354</v>
      </c>
      <c r="F2" s="5822">
        <f>COUNTIF($E$3:$E$999, "Decision*")</f>
        <v>244</v>
      </c>
      <c r="G2" s="5823">
        <f>COUNTIF($E$3:$E$999, "Submission")</f>
        <v>84</v>
      </c>
      <c r="H2" s="5817">
        <f>COUNTIF($E$3:$E$1000, "KO/TKO")</f>
        <v>140</v>
      </c>
      <c r="I2" s="5823">
        <f>COUNTIF($E$3:$E$999, "Decision - Unanimous")</f>
        <v>180</v>
      </c>
      <c r="J2" s="5819">
        <f>COUNTIF($E$3:$E$999, "Decision - Split")</f>
        <v>57</v>
      </c>
      <c r="K2" s="5824"/>
      <c r="L2" s="5820"/>
      <c r="M2" s="5820"/>
      <c r="N2" s="5820"/>
      <c r="O2" s="5820"/>
      <c r="P2" s="5820"/>
      <c r="Q2" s="5820"/>
      <c r="R2" s="5820"/>
      <c r="S2" s="5820"/>
      <c r="T2" s="5821"/>
      <c r="U2" s="5820"/>
      <c r="V2" s="5820"/>
      <c r="W2" s="5820"/>
      <c r="X2" s="5820"/>
      <c r="Y2" s="5820"/>
      <c r="Z2" s="5820"/>
      <c r="AA2" s="5820"/>
      <c r="AB2" s="5820"/>
      <c r="AC2" s="5820"/>
      <c r="AD2" s="5820"/>
      <c r="AE2" s="5820"/>
      <c r="AF2" s="5820"/>
      <c r="AG2" s="5820"/>
      <c r="AH2" s="5820"/>
      <c r="AI2" s="5820"/>
      <c r="AJ2" s="5820"/>
      <c r="AK2" s="5820"/>
      <c r="AL2" s="5820"/>
      <c r="AM2" s="5820"/>
      <c r="AN2" s="5820"/>
      <c r="AO2" s="5820"/>
      <c r="AP2" s="5820"/>
      <c r="AQ2" s="5820"/>
      <c r="AR2" s="5820"/>
      <c r="AS2" s="5820"/>
      <c r="AT2" s="5820"/>
      <c r="AU2" s="5820"/>
      <c r="AV2" s="5820"/>
      <c r="AW2" s="5820"/>
      <c r="AX2" s="5820"/>
      <c r="AY2" s="5820"/>
      <c r="AZ2" s="5820"/>
      <c r="BA2" s="5820"/>
      <c r="BB2" s="5820"/>
      <c r="BC2" s="620"/>
    </row>
    <row r="3" spans="1:55">
      <c r="A3" s="21" t="s">
        <v>2034</v>
      </c>
      <c r="B3" s="21" t="s">
        <v>2035</v>
      </c>
      <c r="C3" s="21" t="s">
        <v>2036</v>
      </c>
      <c r="D3" s="21" t="s">
        <v>2037</v>
      </c>
      <c r="E3" s="21" t="s">
        <v>2038</v>
      </c>
      <c r="F3" s="21" t="s">
        <v>2039</v>
      </c>
      <c r="G3" s="21" t="s">
        <v>2040</v>
      </c>
      <c r="H3" s="21" t="s">
        <v>2041</v>
      </c>
      <c r="I3" s="21" t="s">
        <v>2042</v>
      </c>
      <c r="J3" s="21" t="s">
        <v>2043</v>
      </c>
      <c r="K3" s="21" t="s">
        <v>2044</v>
      </c>
    </row>
    <row r="4" spans="1:55">
      <c r="A4" s="21" t="s">
        <v>2045</v>
      </c>
      <c r="B4" s="21" t="s">
        <v>2046</v>
      </c>
      <c r="C4" s="21" t="s">
        <v>179</v>
      </c>
      <c r="D4" s="21" t="s">
        <v>2</v>
      </c>
      <c r="E4" s="21" t="s">
        <v>180</v>
      </c>
      <c r="F4" s="5812">
        <v>2</v>
      </c>
      <c r="G4" s="5813">
        <v>0.13125000000000001</v>
      </c>
      <c r="H4" s="21" t="s">
        <v>10</v>
      </c>
      <c r="I4" s="21" t="s">
        <v>96</v>
      </c>
      <c r="J4" s="21" t="s">
        <v>2047</v>
      </c>
      <c r="K4" s="5814" t="s">
        <v>2048</v>
      </c>
    </row>
    <row r="5" spans="1:55">
      <c r="A5" s="21" t="s">
        <v>177</v>
      </c>
      <c r="B5" s="21" t="s">
        <v>178</v>
      </c>
      <c r="C5" s="21" t="s">
        <v>179</v>
      </c>
      <c r="D5" s="21" t="s">
        <v>2</v>
      </c>
      <c r="E5" s="21" t="s">
        <v>180</v>
      </c>
      <c r="F5" s="5812">
        <v>2</v>
      </c>
      <c r="G5" s="5813">
        <v>0.14444444444444443</v>
      </c>
      <c r="H5" s="21" t="s">
        <v>10</v>
      </c>
      <c r="I5" s="21" t="s">
        <v>96</v>
      </c>
      <c r="J5" s="21" t="s">
        <v>181</v>
      </c>
      <c r="K5" s="5814" t="s">
        <v>182</v>
      </c>
    </row>
    <row r="6" spans="1:55">
      <c r="A6" s="21" t="s">
        <v>2049</v>
      </c>
      <c r="B6" s="21" t="s">
        <v>2050</v>
      </c>
      <c r="C6" s="21" t="s">
        <v>22</v>
      </c>
      <c r="D6" s="21" t="s">
        <v>2</v>
      </c>
      <c r="E6" s="21" t="s">
        <v>710</v>
      </c>
      <c r="F6" s="5812">
        <v>3</v>
      </c>
      <c r="G6" s="5813">
        <v>0.20833333333333334</v>
      </c>
      <c r="H6" s="21" t="s">
        <v>10</v>
      </c>
      <c r="I6" s="21" t="s">
        <v>55</v>
      </c>
      <c r="J6" s="21" t="s">
        <v>2051</v>
      </c>
      <c r="K6" s="5814" t="s">
        <v>2052</v>
      </c>
    </row>
    <row r="7" spans="1:55">
      <c r="A7" s="21" t="s">
        <v>2053</v>
      </c>
      <c r="B7" s="21" t="s">
        <v>2054</v>
      </c>
      <c r="C7" s="21" t="s">
        <v>709</v>
      </c>
      <c r="D7" s="21" t="s">
        <v>2</v>
      </c>
      <c r="E7" s="21" t="s">
        <v>710</v>
      </c>
      <c r="F7" s="5812">
        <v>3</v>
      </c>
      <c r="G7" s="5813">
        <v>0.20833333333333334</v>
      </c>
      <c r="H7" s="21" t="s">
        <v>10</v>
      </c>
      <c r="I7" s="21" t="s">
        <v>55</v>
      </c>
      <c r="J7" s="21" t="s">
        <v>2055</v>
      </c>
      <c r="K7" s="5814" t="s">
        <v>2056</v>
      </c>
    </row>
    <row r="8" spans="1:55">
      <c r="A8" s="21" t="s">
        <v>2057</v>
      </c>
      <c r="B8" s="21" t="s">
        <v>2058</v>
      </c>
      <c r="C8" s="21" t="s">
        <v>22</v>
      </c>
      <c r="D8" s="21" t="s">
        <v>2</v>
      </c>
      <c r="E8" s="21" t="s">
        <v>710</v>
      </c>
      <c r="F8" s="5812">
        <v>3</v>
      </c>
      <c r="G8" s="5813">
        <v>0.20833333333333334</v>
      </c>
      <c r="H8" s="21" t="s">
        <v>10</v>
      </c>
      <c r="I8" s="21" t="s">
        <v>11</v>
      </c>
      <c r="J8" s="21" t="s">
        <v>2059</v>
      </c>
      <c r="K8" s="5814" t="s">
        <v>2060</v>
      </c>
    </row>
    <row r="9" spans="1:55">
      <c r="A9" s="21" t="s">
        <v>2061</v>
      </c>
      <c r="B9" s="21" t="s">
        <v>2062</v>
      </c>
      <c r="C9" s="21" t="s">
        <v>22</v>
      </c>
      <c r="D9" s="21" t="s">
        <v>2</v>
      </c>
      <c r="E9" s="21" t="s">
        <v>710</v>
      </c>
      <c r="F9" s="5812">
        <v>3</v>
      </c>
      <c r="G9" s="5813">
        <v>0.20833333333333334</v>
      </c>
      <c r="H9" s="21" t="s">
        <v>10</v>
      </c>
      <c r="I9" s="21" t="s">
        <v>89</v>
      </c>
      <c r="J9" s="21" t="s">
        <v>2063</v>
      </c>
      <c r="K9" s="5814" t="s">
        <v>2064</v>
      </c>
    </row>
    <row r="10" spans="1:55">
      <c r="A10" s="21" t="s">
        <v>2065</v>
      </c>
      <c r="B10" s="21" t="s">
        <v>2066</v>
      </c>
      <c r="C10" s="21" t="s">
        <v>709</v>
      </c>
      <c r="D10" s="21" t="s">
        <v>2</v>
      </c>
      <c r="E10" s="21" t="s">
        <v>710</v>
      </c>
      <c r="F10" s="5812">
        <v>3</v>
      </c>
      <c r="G10" s="5813">
        <v>0.20833333333333334</v>
      </c>
      <c r="H10" s="21" t="s">
        <v>10</v>
      </c>
      <c r="I10" s="21" t="s">
        <v>2067</v>
      </c>
      <c r="J10" s="21" t="s">
        <v>2068</v>
      </c>
      <c r="K10" s="5814" t="s">
        <v>2069</v>
      </c>
    </row>
    <row r="11" spans="1:55">
      <c r="A11" s="21" t="s">
        <v>2070</v>
      </c>
      <c r="B11" s="21" t="s">
        <v>2071</v>
      </c>
      <c r="C11" s="21" t="s">
        <v>709</v>
      </c>
      <c r="D11" s="21" t="s">
        <v>2</v>
      </c>
      <c r="E11" s="21" t="s">
        <v>710</v>
      </c>
      <c r="F11" s="5812">
        <v>3</v>
      </c>
      <c r="G11" s="5813">
        <v>0.20833333333333334</v>
      </c>
      <c r="H11" s="21" t="s">
        <v>10</v>
      </c>
      <c r="I11" s="21" t="s">
        <v>2072</v>
      </c>
      <c r="J11" s="21" t="s">
        <v>2073</v>
      </c>
      <c r="K11" s="5814" t="s">
        <v>2074</v>
      </c>
    </row>
    <row r="12" spans="1:55">
      <c r="A12" s="21" t="s">
        <v>2075</v>
      </c>
      <c r="B12" s="21" t="s">
        <v>2076</v>
      </c>
      <c r="C12" s="21" t="s">
        <v>709</v>
      </c>
      <c r="D12" s="21" t="s">
        <v>2</v>
      </c>
      <c r="E12" s="21" t="s">
        <v>710</v>
      </c>
      <c r="F12" s="5812">
        <v>3</v>
      </c>
      <c r="G12" s="5813">
        <v>0.20833333333333334</v>
      </c>
      <c r="H12" s="21" t="s">
        <v>10</v>
      </c>
      <c r="I12" s="21" t="s">
        <v>73</v>
      </c>
      <c r="J12" s="21" t="s">
        <v>2077</v>
      </c>
      <c r="K12" s="5814" t="s">
        <v>2078</v>
      </c>
    </row>
    <row r="13" spans="1:55">
      <c r="A13" s="21" t="s">
        <v>2079</v>
      </c>
      <c r="B13" s="21" t="s">
        <v>2080</v>
      </c>
      <c r="C13" s="21" t="s">
        <v>8</v>
      </c>
      <c r="D13" s="21" t="s">
        <v>2</v>
      </c>
      <c r="E13" s="21" t="s">
        <v>193</v>
      </c>
      <c r="F13" s="5812">
        <v>3</v>
      </c>
      <c r="G13" s="5813">
        <v>0.20833333333333334</v>
      </c>
      <c r="H13" s="21" t="s">
        <v>2081</v>
      </c>
      <c r="I13" s="21" t="s">
        <v>39</v>
      </c>
      <c r="J13" s="21" t="s">
        <v>2082</v>
      </c>
      <c r="K13" s="5814" t="s">
        <v>2083</v>
      </c>
    </row>
    <row r="14" spans="1:55">
      <c r="A14" s="21" t="s">
        <v>185</v>
      </c>
      <c r="B14" s="21" t="s">
        <v>192</v>
      </c>
      <c r="C14" s="21" t="s">
        <v>22</v>
      </c>
      <c r="D14" s="21" t="s">
        <v>2</v>
      </c>
      <c r="E14" s="21" t="s">
        <v>193</v>
      </c>
      <c r="F14" s="5812">
        <v>3</v>
      </c>
      <c r="G14" s="5813">
        <v>0.20833333333333334</v>
      </c>
      <c r="H14" s="21" t="s">
        <v>10</v>
      </c>
      <c r="I14" s="21" t="s">
        <v>194</v>
      </c>
      <c r="J14" s="21" t="s">
        <v>195</v>
      </c>
      <c r="K14" s="5814" t="s">
        <v>196</v>
      </c>
    </row>
    <row r="15" spans="1:55">
      <c r="A15" s="21" t="s">
        <v>2084</v>
      </c>
      <c r="B15" s="21" t="s">
        <v>2085</v>
      </c>
      <c r="C15" s="21" t="s">
        <v>22</v>
      </c>
      <c r="D15" s="21" t="s">
        <v>2</v>
      </c>
      <c r="E15" s="21" t="s">
        <v>193</v>
      </c>
      <c r="F15" s="5812">
        <v>3</v>
      </c>
      <c r="G15" s="5813">
        <v>0.20833333333333334</v>
      </c>
      <c r="H15" s="21" t="s">
        <v>10</v>
      </c>
      <c r="I15" s="21" t="s">
        <v>47</v>
      </c>
      <c r="J15" s="21" t="s">
        <v>2086</v>
      </c>
      <c r="K15" s="5814" t="s">
        <v>2087</v>
      </c>
    </row>
    <row r="16" spans="1:55">
      <c r="A16" s="21" t="s">
        <v>2088</v>
      </c>
      <c r="B16" s="21" t="s">
        <v>2089</v>
      </c>
      <c r="C16" s="21" t="s">
        <v>8</v>
      </c>
      <c r="D16" s="21" t="s">
        <v>2</v>
      </c>
      <c r="E16" s="21" t="s">
        <v>193</v>
      </c>
      <c r="F16" s="5812">
        <v>3</v>
      </c>
      <c r="G16" s="5813">
        <v>0.20833333333333334</v>
      </c>
      <c r="H16" s="21" t="s">
        <v>10</v>
      </c>
      <c r="I16" s="21" t="s">
        <v>39</v>
      </c>
      <c r="J16" s="21" t="s">
        <v>2090</v>
      </c>
      <c r="K16" s="5814" t="s">
        <v>2091</v>
      </c>
    </row>
    <row r="17" spans="1:11">
      <c r="A17" s="21" t="s">
        <v>2092</v>
      </c>
      <c r="B17" s="21" t="s">
        <v>2093</v>
      </c>
      <c r="C17" s="21" t="s">
        <v>8</v>
      </c>
      <c r="D17" s="21" t="s">
        <v>2</v>
      </c>
      <c r="E17" s="21" t="s">
        <v>193</v>
      </c>
      <c r="F17" s="5812">
        <v>3</v>
      </c>
      <c r="G17" s="5813">
        <v>0.20833333333333334</v>
      </c>
      <c r="H17" s="21" t="s">
        <v>10</v>
      </c>
      <c r="I17" s="21" t="s">
        <v>39</v>
      </c>
      <c r="J17" s="21" t="s">
        <v>2094</v>
      </c>
      <c r="K17" s="5814" t="s">
        <v>2095</v>
      </c>
    </row>
    <row r="18" spans="1:11">
      <c r="A18" s="21" t="s">
        <v>2096</v>
      </c>
      <c r="B18" s="21" t="s">
        <v>2097</v>
      </c>
      <c r="C18" s="21" t="s">
        <v>22</v>
      </c>
      <c r="D18" s="21" t="s">
        <v>2</v>
      </c>
      <c r="E18" s="21" t="s">
        <v>193</v>
      </c>
      <c r="F18" s="5812">
        <v>3</v>
      </c>
      <c r="G18" s="5813">
        <v>0.20833333333333334</v>
      </c>
      <c r="H18" s="21" t="s">
        <v>10</v>
      </c>
      <c r="I18" s="21" t="s">
        <v>96</v>
      </c>
      <c r="J18" s="21" t="s">
        <v>2098</v>
      </c>
      <c r="K18" s="5814" t="s">
        <v>2099</v>
      </c>
    </row>
    <row r="19" spans="1:11">
      <c r="A19" s="21" t="s">
        <v>2100</v>
      </c>
      <c r="B19" s="21" t="s">
        <v>2101</v>
      </c>
      <c r="C19" s="21" t="s">
        <v>8</v>
      </c>
      <c r="D19" s="21" t="s">
        <v>2</v>
      </c>
      <c r="E19" s="21" t="s">
        <v>193</v>
      </c>
      <c r="F19" s="5812">
        <v>3</v>
      </c>
      <c r="G19" s="5813">
        <v>0.20833333333333334</v>
      </c>
      <c r="H19" s="21" t="s">
        <v>10</v>
      </c>
      <c r="I19" s="21" t="s">
        <v>55</v>
      </c>
      <c r="J19" s="21" t="s">
        <v>2102</v>
      </c>
      <c r="K19" s="5814" t="s">
        <v>2103</v>
      </c>
    </row>
    <row r="20" spans="1:11">
      <c r="A20" s="21" t="s">
        <v>2104</v>
      </c>
      <c r="B20" s="21" t="s">
        <v>2105</v>
      </c>
      <c r="C20" s="21" t="s">
        <v>22</v>
      </c>
      <c r="D20" s="21" t="s">
        <v>2</v>
      </c>
      <c r="E20" s="21" t="s">
        <v>193</v>
      </c>
      <c r="F20" s="5812">
        <v>3</v>
      </c>
      <c r="G20" s="5813">
        <v>0.20833333333333334</v>
      </c>
      <c r="H20" s="21" t="s">
        <v>10</v>
      </c>
      <c r="I20" s="21" t="s">
        <v>55</v>
      </c>
      <c r="J20" s="21" t="s">
        <v>2106</v>
      </c>
      <c r="K20" s="5814" t="s">
        <v>2107</v>
      </c>
    </row>
    <row r="21" spans="1:11">
      <c r="A21" s="21" t="s">
        <v>2108</v>
      </c>
      <c r="B21" s="21" t="s">
        <v>2109</v>
      </c>
      <c r="C21" s="21" t="s">
        <v>8</v>
      </c>
      <c r="D21" s="21" t="s">
        <v>2</v>
      </c>
      <c r="E21" s="21" t="s">
        <v>193</v>
      </c>
      <c r="F21" s="5812">
        <v>3</v>
      </c>
      <c r="G21" s="5813">
        <v>0.20833333333333334</v>
      </c>
      <c r="H21" s="21" t="s">
        <v>10</v>
      </c>
      <c r="I21" s="21" t="s">
        <v>96</v>
      </c>
      <c r="J21" s="21" t="s">
        <v>2110</v>
      </c>
      <c r="K21" s="5814" t="s">
        <v>2111</v>
      </c>
    </row>
    <row r="22" spans="1:11">
      <c r="A22" s="21" t="s">
        <v>2079</v>
      </c>
      <c r="B22" s="21" t="s">
        <v>2112</v>
      </c>
      <c r="C22" s="21" t="s">
        <v>8</v>
      </c>
      <c r="D22" s="21" t="s">
        <v>2</v>
      </c>
      <c r="E22" s="21" t="s">
        <v>193</v>
      </c>
      <c r="F22" s="5812">
        <v>3</v>
      </c>
      <c r="G22" s="5813">
        <v>0.20833333333333334</v>
      </c>
      <c r="H22" s="21" t="s">
        <v>10</v>
      </c>
      <c r="I22" s="21" t="s">
        <v>23</v>
      </c>
      <c r="J22" s="21" t="s">
        <v>2113</v>
      </c>
      <c r="K22" s="5814" t="s">
        <v>2114</v>
      </c>
    </row>
    <row r="23" spans="1:11">
      <c r="A23" s="21" t="s">
        <v>2115</v>
      </c>
      <c r="B23" s="21" t="s">
        <v>2116</v>
      </c>
      <c r="C23" s="21" t="s">
        <v>8</v>
      </c>
      <c r="D23" s="21" t="s">
        <v>2</v>
      </c>
      <c r="E23" s="21" t="s">
        <v>193</v>
      </c>
      <c r="F23" s="5812">
        <v>3</v>
      </c>
      <c r="G23" s="5813">
        <v>0.20833333333333334</v>
      </c>
      <c r="H23" s="21" t="s">
        <v>10</v>
      </c>
      <c r="I23" s="21" t="s">
        <v>226</v>
      </c>
      <c r="J23" s="21" t="s">
        <v>2117</v>
      </c>
      <c r="K23" s="5814" t="s">
        <v>2118</v>
      </c>
    </row>
    <row r="24" spans="1:11">
      <c r="A24" s="21" t="s">
        <v>2119</v>
      </c>
      <c r="B24" s="21" t="s">
        <v>2120</v>
      </c>
      <c r="C24" s="21" t="s">
        <v>22</v>
      </c>
      <c r="D24" s="21" t="s">
        <v>2</v>
      </c>
      <c r="E24" s="21" t="s">
        <v>193</v>
      </c>
      <c r="F24" s="5812">
        <v>3</v>
      </c>
      <c r="G24" s="5813">
        <v>0.20833333333333334</v>
      </c>
      <c r="H24" s="21" t="s">
        <v>10</v>
      </c>
      <c r="I24" s="21" t="s">
        <v>55</v>
      </c>
      <c r="J24" s="21" t="s">
        <v>2121</v>
      </c>
      <c r="K24" s="5814" t="s">
        <v>2122</v>
      </c>
    </row>
    <row r="25" spans="1:11">
      <c r="A25" s="21" t="s">
        <v>2123</v>
      </c>
      <c r="B25" s="21" t="s">
        <v>2124</v>
      </c>
      <c r="C25" s="21" t="s">
        <v>8</v>
      </c>
      <c r="D25" s="21" t="s">
        <v>2</v>
      </c>
      <c r="E25" s="21" t="s">
        <v>193</v>
      </c>
      <c r="F25" s="5812">
        <v>3</v>
      </c>
      <c r="G25" s="5813">
        <v>0.20833333333333334</v>
      </c>
      <c r="H25" s="21" t="s">
        <v>10</v>
      </c>
      <c r="I25" s="21" t="s">
        <v>96</v>
      </c>
      <c r="J25" s="21" t="s">
        <v>2125</v>
      </c>
      <c r="K25" s="5814" t="s">
        <v>2126</v>
      </c>
    </row>
    <row r="26" spans="1:11">
      <c r="A26" s="21" t="s">
        <v>2127</v>
      </c>
      <c r="B26" s="21" t="s">
        <v>2128</v>
      </c>
      <c r="C26" s="21" t="s">
        <v>22</v>
      </c>
      <c r="D26" s="21" t="s">
        <v>2</v>
      </c>
      <c r="E26" s="21" t="s">
        <v>193</v>
      </c>
      <c r="F26" s="5812">
        <v>3</v>
      </c>
      <c r="G26" s="5813">
        <v>0.20833333333333334</v>
      </c>
      <c r="H26" s="21" t="s">
        <v>10</v>
      </c>
      <c r="I26" s="21" t="s">
        <v>23</v>
      </c>
      <c r="J26" s="21" t="s">
        <v>2129</v>
      </c>
      <c r="K26" s="5814" t="s">
        <v>2130</v>
      </c>
    </row>
    <row r="27" spans="1:11">
      <c r="A27" s="21" t="s">
        <v>2131</v>
      </c>
      <c r="B27" s="21" t="s">
        <v>2132</v>
      </c>
      <c r="C27" s="21" t="s">
        <v>8</v>
      </c>
      <c r="D27" s="21" t="s">
        <v>2</v>
      </c>
      <c r="E27" s="21" t="s">
        <v>193</v>
      </c>
      <c r="F27" s="5812">
        <v>3</v>
      </c>
      <c r="G27" s="5813">
        <v>0.20833333333333334</v>
      </c>
      <c r="H27" s="21" t="s">
        <v>10</v>
      </c>
      <c r="I27" s="21" t="s">
        <v>23</v>
      </c>
      <c r="J27" s="21" t="s">
        <v>2133</v>
      </c>
      <c r="K27" s="5814" t="s">
        <v>2134</v>
      </c>
    </row>
    <row r="28" spans="1:11">
      <c r="A28" s="21" t="s">
        <v>2135</v>
      </c>
      <c r="B28" s="21" t="s">
        <v>2136</v>
      </c>
      <c r="C28" s="21" t="s">
        <v>8</v>
      </c>
      <c r="D28" s="21" t="s">
        <v>2</v>
      </c>
      <c r="E28" s="21" t="s">
        <v>193</v>
      </c>
      <c r="F28" s="5812">
        <v>3</v>
      </c>
      <c r="G28" s="5813">
        <v>0.20833333333333334</v>
      </c>
      <c r="H28" s="21" t="s">
        <v>10</v>
      </c>
      <c r="I28" s="21" t="s">
        <v>23</v>
      </c>
      <c r="J28" s="21" t="s">
        <v>2137</v>
      </c>
      <c r="K28" s="5814" t="s">
        <v>2138</v>
      </c>
    </row>
    <row r="29" spans="1:11">
      <c r="A29" s="21" t="s">
        <v>2139</v>
      </c>
      <c r="B29" s="21" t="s">
        <v>2140</v>
      </c>
      <c r="C29" s="21" t="s">
        <v>8</v>
      </c>
      <c r="D29" s="21" t="s">
        <v>2</v>
      </c>
      <c r="E29" s="21" t="s">
        <v>193</v>
      </c>
      <c r="F29" s="5812">
        <v>3</v>
      </c>
      <c r="G29" s="5813">
        <v>0.20833333333333334</v>
      </c>
      <c r="H29" s="21" t="s">
        <v>10</v>
      </c>
      <c r="I29" s="21"/>
      <c r="J29" s="21" t="s">
        <v>2141</v>
      </c>
      <c r="K29" s="5814" t="s">
        <v>2142</v>
      </c>
    </row>
    <row r="30" spans="1:11">
      <c r="A30" s="21" t="s">
        <v>2143</v>
      </c>
      <c r="B30" s="21" t="s">
        <v>2144</v>
      </c>
      <c r="C30" s="21" t="s">
        <v>8</v>
      </c>
      <c r="D30" s="21" t="s">
        <v>2</v>
      </c>
      <c r="E30" s="21" t="s">
        <v>193</v>
      </c>
      <c r="F30" s="5812">
        <v>3</v>
      </c>
      <c r="G30" s="5813">
        <v>0.20833333333333334</v>
      </c>
      <c r="H30" s="21" t="s">
        <v>10</v>
      </c>
      <c r="I30" s="21" t="s">
        <v>73</v>
      </c>
      <c r="J30" s="21" t="s">
        <v>2145</v>
      </c>
      <c r="K30" s="5814" t="s">
        <v>2146</v>
      </c>
    </row>
    <row r="31" spans="1:11">
      <c r="A31" s="21" t="s">
        <v>2147</v>
      </c>
      <c r="B31" s="21" t="s">
        <v>2148</v>
      </c>
      <c r="C31" s="21" t="s">
        <v>8</v>
      </c>
      <c r="D31" s="21" t="s">
        <v>2</v>
      </c>
      <c r="E31" s="21" t="s">
        <v>193</v>
      </c>
      <c r="F31" s="5812">
        <v>3</v>
      </c>
      <c r="G31" s="5813">
        <v>0.20833333333333334</v>
      </c>
      <c r="H31" s="21" t="s">
        <v>10</v>
      </c>
      <c r="I31" s="21" t="s">
        <v>2149</v>
      </c>
      <c r="J31" s="21" t="s">
        <v>2150</v>
      </c>
      <c r="K31" s="5814" t="s">
        <v>2151</v>
      </c>
    </row>
    <row r="32" spans="1:11">
      <c r="A32" s="21" t="s">
        <v>2147</v>
      </c>
      <c r="B32" s="21" t="s">
        <v>2152</v>
      </c>
      <c r="C32" s="21" t="s">
        <v>8</v>
      </c>
      <c r="D32" s="21" t="s">
        <v>2</v>
      </c>
      <c r="E32" s="21" t="s">
        <v>193</v>
      </c>
      <c r="F32" s="5812">
        <v>3</v>
      </c>
      <c r="G32" s="5813">
        <v>0.20833333333333334</v>
      </c>
      <c r="H32" s="21" t="s">
        <v>10</v>
      </c>
      <c r="I32" s="21" t="s">
        <v>2153</v>
      </c>
      <c r="J32" s="21" t="s">
        <v>2154</v>
      </c>
      <c r="K32" s="5814" t="s">
        <v>2155</v>
      </c>
    </row>
    <row r="33" spans="1:11">
      <c r="A33" s="21" t="s">
        <v>2156</v>
      </c>
      <c r="B33" s="21" t="s">
        <v>2157</v>
      </c>
      <c r="C33" s="21" t="s">
        <v>8</v>
      </c>
      <c r="D33" s="21" t="s">
        <v>2</v>
      </c>
      <c r="E33" s="21" t="s">
        <v>193</v>
      </c>
      <c r="F33" s="5812">
        <v>3</v>
      </c>
      <c r="G33" s="5813">
        <v>0.20833333333333334</v>
      </c>
      <c r="H33" s="21" t="s">
        <v>10</v>
      </c>
      <c r="I33" s="21" t="s">
        <v>47</v>
      </c>
      <c r="J33" s="21" t="s">
        <v>2158</v>
      </c>
      <c r="K33" s="5814" t="s">
        <v>2159</v>
      </c>
    </row>
    <row r="34" spans="1:11">
      <c r="A34" s="21" t="s">
        <v>2160</v>
      </c>
      <c r="B34" s="21" t="s">
        <v>2161</v>
      </c>
      <c r="C34" s="21" t="s">
        <v>22</v>
      </c>
      <c r="D34" s="21" t="s">
        <v>2</v>
      </c>
      <c r="E34" s="21" t="s">
        <v>193</v>
      </c>
      <c r="F34" s="5812">
        <v>3</v>
      </c>
      <c r="G34" s="5813">
        <v>0.20833333333333334</v>
      </c>
      <c r="H34" s="21" t="s">
        <v>10</v>
      </c>
      <c r="I34" s="21" t="s">
        <v>2162</v>
      </c>
      <c r="J34" s="21" t="s">
        <v>2163</v>
      </c>
      <c r="K34" s="5814" t="s">
        <v>2164</v>
      </c>
    </row>
    <row r="35" spans="1:11">
      <c r="A35" s="21" t="s">
        <v>2165</v>
      </c>
      <c r="B35" s="21" t="s">
        <v>2166</v>
      </c>
      <c r="C35" s="21" t="s">
        <v>22</v>
      </c>
      <c r="D35" s="21" t="s">
        <v>2</v>
      </c>
      <c r="E35" s="21" t="s">
        <v>193</v>
      </c>
      <c r="F35" s="5812">
        <v>3</v>
      </c>
      <c r="G35" s="5813">
        <v>0.20833333333333334</v>
      </c>
      <c r="H35" s="21" t="s">
        <v>10</v>
      </c>
      <c r="I35" s="21" t="s">
        <v>400</v>
      </c>
      <c r="J35" s="21" t="s">
        <v>2167</v>
      </c>
      <c r="K35" s="5814" t="s">
        <v>2168</v>
      </c>
    </row>
    <row r="36" spans="1:11">
      <c r="A36" s="21" t="s">
        <v>2169</v>
      </c>
      <c r="B36" s="21" t="s">
        <v>2170</v>
      </c>
      <c r="C36" s="21" t="s">
        <v>8</v>
      </c>
      <c r="D36" s="21" t="s">
        <v>2</v>
      </c>
      <c r="E36" s="21" t="s">
        <v>193</v>
      </c>
      <c r="F36" s="5812">
        <v>3</v>
      </c>
      <c r="G36" s="5813">
        <v>0.20833333333333334</v>
      </c>
      <c r="H36" s="21" t="s">
        <v>10</v>
      </c>
      <c r="I36" s="21" t="s">
        <v>2171</v>
      </c>
      <c r="J36" s="21" t="s">
        <v>2172</v>
      </c>
      <c r="K36" s="5814" t="s">
        <v>2173</v>
      </c>
    </row>
    <row r="37" spans="1:11">
      <c r="A37" s="21" t="s">
        <v>2174</v>
      </c>
      <c r="B37" s="21" t="s">
        <v>2175</v>
      </c>
      <c r="C37" s="21" t="s">
        <v>22</v>
      </c>
      <c r="D37" s="21" t="s">
        <v>2</v>
      </c>
      <c r="E37" s="21" t="s">
        <v>193</v>
      </c>
      <c r="F37" s="5812">
        <v>3</v>
      </c>
      <c r="G37" s="5813">
        <v>0.20833333333333334</v>
      </c>
      <c r="H37" s="21" t="s">
        <v>10</v>
      </c>
      <c r="I37" s="21" t="s">
        <v>2176</v>
      </c>
      <c r="J37" s="21" t="s">
        <v>2177</v>
      </c>
      <c r="K37" s="5814" t="s">
        <v>2178</v>
      </c>
    </row>
    <row r="38" spans="1:11">
      <c r="A38" s="21" t="s">
        <v>2179</v>
      </c>
      <c r="B38" s="21" t="s">
        <v>2180</v>
      </c>
      <c r="C38" s="21" t="s">
        <v>22</v>
      </c>
      <c r="D38" s="21" t="s">
        <v>2</v>
      </c>
      <c r="E38" s="21" t="s">
        <v>193</v>
      </c>
      <c r="F38" s="5812">
        <v>3</v>
      </c>
      <c r="G38" s="5813">
        <v>0.20833333333333334</v>
      </c>
      <c r="H38" s="21" t="s">
        <v>10</v>
      </c>
      <c r="I38" s="21" t="s">
        <v>2181</v>
      </c>
      <c r="J38" s="21" t="s">
        <v>2182</v>
      </c>
      <c r="K38" s="5814" t="s">
        <v>2183</v>
      </c>
    </row>
    <row r="39" spans="1:11">
      <c r="A39" s="21" t="s">
        <v>2184</v>
      </c>
      <c r="B39" s="21" t="s">
        <v>2185</v>
      </c>
      <c r="C39" s="21" t="s">
        <v>22</v>
      </c>
      <c r="D39" s="21" t="s">
        <v>2</v>
      </c>
      <c r="E39" s="21" t="s">
        <v>193</v>
      </c>
      <c r="F39" s="5812">
        <v>3</v>
      </c>
      <c r="G39" s="5813">
        <v>0.20833333333333334</v>
      </c>
      <c r="H39" s="21" t="s">
        <v>10</v>
      </c>
      <c r="I39" s="21" t="s">
        <v>226</v>
      </c>
      <c r="J39" s="21" t="s">
        <v>2186</v>
      </c>
      <c r="K39" s="5814" t="s">
        <v>2187</v>
      </c>
    </row>
    <row r="40" spans="1:11">
      <c r="A40" s="21" t="s">
        <v>2188</v>
      </c>
      <c r="B40" s="21" t="s">
        <v>2189</v>
      </c>
      <c r="C40" s="21" t="s">
        <v>8</v>
      </c>
      <c r="D40" s="21" t="s">
        <v>2</v>
      </c>
      <c r="E40" s="21" t="s">
        <v>193</v>
      </c>
      <c r="F40" s="5812">
        <v>3</v>
      </c>
      <c r="G40" s="5813">
        <v>0.20833333333333334</v>
      </c>
      <c r="H40" s="21" t="s">
        <v>10</v>
      </c>
      <c r="I40" s="21" t="s">
        <v>47</v>
      </c>
      <c r="J40" s="21" t="s">
        <v>2190</v>
      </c>
      <c r="K40" s="5814" t="s">
        <v>2191</v>
      </c>
    </row>
    <row r="41" spans="1:11">
      <c r="A41" s="21" t="s">
        <v>2192</v>
      </c>
      <c r="B41" s="21" t="s">
        <v>2193</v>
      </c>
      <c r="C41" s="21" t="s">
        <v>8</v>
      </c>
      <c r="D41" s="21" t="s">
        <v>2</v>
      </c>
      <c r="E41" s="21" t="s">
        <v>193</v>
      </c>
      <c r="F41" s="5812">
        <v>3</v>
      </c>
      <c r="G41" s="5813">
        <v>0.20833333333333334</v>
      </c>
      <c r="H41" s="21" t="s">
        <v>10</v>
      </c>
      <c r="I41" s="21" t="s">
        <v>2194</v>
      </c>
      <c r="J41" s="21" t="s">
        <v>2195</v>
      </c>
      <c r="K41" s="5814" t="s">
        <v>2196</v>
      </c>
    </row>
    <row r="42" spans="1:11">
      <c r="A42" s="21" t="s">
        <v>2197</v>
      </c>
      <c r="B42" s="21" t="s">
        <v>2198</v>
      </c>
      <c r="C42" s="21" t="s">
        <v>22</v>
      </c>
      <c r="D42" s="21" t="s">
        <v>2</v>
      </c>
      <c r="E42" s="21" t="s">
        <v>193</v>
      </c>
      <c r="F42" s="5812">
        <v>3</v>
      </c>
      <c r="G42" s="5813">
        <v>0.20833333333333334</v>
      </c>
      <c r="H42" s="21" t="s">
        <v>10</v>
      </c>
      <c r="I42" s="21" t="s">
        <v>788</v>
      </c>
      <c r="J42" s="21" t="s">
        <v>2199</v>
      </c>
      <c r="K42" s="5814" t="s">
        <v>2200</v>
      </c>
    </row>
    <row r="43" spans="1:11">
      <c r="A43" s="21" t="s">
        <v>2201</v>
      </c>
      <c r="B43" s="21" t="s">
        <v>2202</v>
      </c>
      <c r="C43" s="21" t="s">
        <v>8</v>
      </c>
      <c r="D43" s="21" t="s">
        <v>2</v>
      </c>
      <c r="E43" s="21" t="s">
        <v>193</v>
      </c>
      <c r="F43" s="5812">
        <v>3</v>
      </c>
      <c r="G43" s="5813">
        <v>0.20833333333333334</v>
      </c>
      <c r="H43" s="21" t="s">
        <v>10</v>
      </c>
      <c r="I43" s="21" t="s">
        <v>89</v>
      </c>
      <c r="J43" s="21" t="s">
        <v>2203</v>
      </c>
      <c r="K43" s="5814" t="s">
        <v>2204</v>
      </c>
    </row>
    <row r="44" spans="1:11">
      <c r="A44" s="21" t="s">
        <v>2205</v>
      </c>
      <c r="B44" s="21" t="s">
        <v>2206</v>
      </c>
      <c r="C44" s="21" t="s">
        <v>8</v>
      </c>
      <c r="D44" s="21" t="s">
        <v>2</v>
      </c>
      <c r="E44" s="21" t="s">
        <v>193</v>
      </c>
      <c r="F44" s="5812">
        <v>3</v>
      </c>
      <c r="G44" s="5813">
        <v>0.20833333333333334</v>
      </c>
      <c r="H44" s="21" t="s">
        <v>10</v>
      </c>
      <c r="I44" s="21" t="s">
        <v>23</v>
      </c>
      <c r="J44" s="21" t="s">
        <v>2207</v>
      </c>
      <c r="K44" s="5814" t="s">
        <v>2208</v>
      </c>
    </row>
    <row r="45" spans="1:11">
      <c r="A45" s="21" t="s">
        <v>2205</v>
      </c>
      <c r="B45" s="21" t="s">
        <v>2209</v>
      </c>
      <c r="C45" s="21" t="s">
        <v>22</v>
      </c>
      <c r="D45" s="21" t="s">
        <v>2</v>
      </c>
      <c r="E45" s="21" t="s">
        <v>193</v>
      </c>
      <c r="F45" s="5812">
        <v>3</v>
      </c>
      <c r="G45" s="5813">
        <v>0.20833333333333334</v>
      </c>
      <c r="H45" s="21" t="s">
        <v>10</v>
      </c>
      <c r="I45" s="21" t="s">
        <v>23</v>
      </c>
      <c r="J45" s="21" t="s">
        <v>2210</v>
      </c>
      <c r="K45" s="5814" t="s">
        <v>2211</v>
      </c>
    </row>
    <row r="46" spans="1:11">
      <c r="A46" s="21" t="s">
        <v>2212</v>
      </c>
      <c r="B46" s="21" t="s">
        <v>2213</v>
      </c>
      <c r="C46" s="21" t="s">
        <v>8</v>
      </c>
      <c r="D46" s="21" t="s">
        <v>2</v>
      </c>
      <c r="E46" s="21" t="s">
        <v>193</v>
      </c>
      <c r="F46" s="5812">
        <v>3</v>
      </c>
      <c r="G46" s="5813">
        <v>0.20833333333333334</v>
      </c>
      <c r="H46" s="21" t="s">
        <v>10</v>
      </c>
      <c r="I46" s="21" t="s">
        <v>615</v>
      </c>
      <c r="J46" s="21" t="s">
        <v>2214</v>
      </c>
      <c r="K46" s="5814" t="s">
        <v>2215</v>
      </c>
    </row>
    <row r="47" spans="1:11">
      <c r="A47" s="21" t="s">
        <v>2216</v>
      </c>
      <c r="B47" s="21" t="s">
        <v>2217</v>
      </c>
      <c r="C47" s="21" t="s">
        <v>22</v>
      </c>
      <c r="D47" s="21" t="s">
        <v>2</v>
      </c>
      <c r="E47" s="21" t="s">
        <v>193</v>
      </c>
      <c r="F47" s="5812">
        <v>3</v>
      </c>
      <c r="G47" s="5813">
        <v>0.20833333333333334</v>
      </c>
      <c r="H47" s="21" t="s">
        <v>10</v>
      </c>
      <c r="I47" s="21" t="s">
        <v>2218</v>
      </c>
      <c r="J47" s="21" t="s">
        <v>2219</v>
      </c>
      <c r="K47" s="5814" t="s">
        <v>2220</v>
      </c>
    </row>
    <row r="48" spans="1:11">
      <c r="A48" s="21" t="s">
        <v>2221</v>
      </c>
      <c r="B48" s="21" t="s">
        <v>2222</v>
      </c>
      <c r="C48" s="21" t="s">
        <v>22</v>
      </c>
      <c r="D48" s="21" t="s">
        <v>2</v>
      </c>
      <c r="E48" s="21" t="s">
        <v>193</v>
      </c>
      <c r="F48" s="5812">
        <v>3</v>
      </c>
      <c r="G48" s="5813">
        <v>0.20833333333333334</v>
      </c>
      <c r="H48" s="21" t="s">
        <v>10</v>
      </c>
      <c r="I48" s="21" t="s">
        <v>23</v>
      </c>
      <c r="J48" s="21" t="s">
        <v>2223</v>
      </c>
      <c r="K48" s="5814" t="s">
        <v>2224</v>
      </c>
    </row>
    <row r="49" spans="1:11">
      <c r="A49" s="21" t="s">
        <v>2225</v>
      </c>
      <c r="B49" s="21" t="s">
        <v>2226</v>
      </c>
      <c r="C49" s="21" t="s">
        <v>8</v>
      </c>
      <c r="D49" s="21" t="s">
        <v>2</v>
      </c>
      <c r="E49" s="21" t="s">
        <v>193</v>
      </c>
      <c r="F49" s="5812">
        <v>3</v>
      </c>
      <c r="G49" s="5813">
        <v>0.20833333333333334</v>
      </c>
      <c r="H49" s="21" t="s">
        <v>10</v>
      </c>
      <c r="I49" s="21" t="s">
        <v>187</v>
      </c>
      <c r="J49" s="21" t="s">
        <v>2227</v>
      </c>
      <c r="K49" s="5814" t="s">
        <v>2228</v>
      </c>
    </row>
    <row r="50" spans="1:11">
      <c r="A50" s="21" t="s">
        <v>2229</v>
      </c>
      <c r="B50" s="21" t="s">
        <v>2230</v>
      </c>
      <c r="C50" s="21" t="s">
        <v>8</v>
      </c>
      <c r="D50" s="21" t="s">
        <v>2</v>
      </c>
      <c r="E50" s="21" t="s">
        <v>193</v>
      </c>
      <c r="F50" s="5812">
        <v>3</v>
      </c>
      <c r="G50" s="5813">
        <v>0.20833333333333334</v>
      </c>
      <c r="H50" s="21" t="s">
        <v>10</v>
      </c>
      <c r="I50" s="21" t="s">
        <v>233</v>
      </c>
      <c r="J50" s="21" t="s">
        <v>2231</v>
      </c>
      <c r="K50" s="5814" t="s">
        <v>2232</v>
      </c>
    </row>
    <row r="51" spans="1:11">
      <c r="A51" s="21" t="s">
        <v>2233</v>
      </c>
      <c r="B51" s="21" t="s">
        <v>2234</v>
      </c>
      <c r="C51" s="21" t="s">
        <v>8</v>
      </c>
      <c r="D51" s="21" t="s">
        <v>2</v>
      </c>
      <c r="E51" s="21" t="s">
        <v>193</v>
      </c>
      <c r="F51" s="5812">
        <v>3</v>
      </c>
      <c r="G51" s="5813">
        <v>0.20833333333333334</v>
      </c>
      <c r="H51" s="21" t="s">
        <v>10</v>
      </c>
      <c r="I51" s="21" t="s">
        <v>23</v>
      </c>
      <c r="J51" s="21" t="s">
        <v>2235</v>
      </c>
      <c r="K51" s="5814" t="s">
        <v>2236</v>
      </c>
    </row>
    <row r="52" spans="1:11">
      <c r="A52" s="21" t="s">
        <v>2237</v>
      </c>
      <c r="B52" s="21" t="s">
        <v>2238</v>
      </c>
      <c r="C52" s="21" t="s">
        <v>8</v>
      </c>
      <c r="D52" s="21" t="s">
        <v>2</v>
      </c>
      <c r="E52" s="21" t="s">
        <v>193</v>
      </c>
      <c r="F52" s="5812">
        <v>3</v>
      </c>
      <c r="G52" s="5813">
        <v>0.20833333333333334</v>
      </c>
      <c r="H52" s="21" t="s">
        <v>10</v>
      </c>
      <c r="I52" s="21" t="s">
        <v>2194</v>
      </c>
      <c r="J52" s="21" t="s">
        <v>2239</v>
      </c>
      <c r="K52" s="5814" t="s">
        <v>2240</v>
      </c>
    </row>
    <row r="53" spans="1:11">
      <c r="A53" s="21" t="s">
        <v>2241</v>
      </c>
      <c r="B53" s="21" t="s">
        <v>2242</v>
      </c>
      <c r="C53" s="21" t="s">
        <v>22</v>
      </c>
      <c r="D53" s="21" t="s">
        <v>2</v>
      </c>
      <c r="E53" s="21" t="s">
        <v>193</v>
      </c>
      <c r="F53" s="5812">
        <v>3</v>
      </c>
      <c r="G53" s="5813">
        <v>0.20833333333333334</v>
      </c>
      <c r="H53" s="21" t="s">
        <v>10</v>
      </c>
      <c r="I53" s="21" t="s">
        <v>55</v>
      </c>
      <c r="J53" s="21" t="s">
        <v>2243</v>
      </c>
      <c r="K53" s="5814" t="s">
        <v>2244</v>
      </c>
    </row>
    <row r="54" spans="1:11">
      <c r="A54" s="21" t="s">
        <v>2245</v>
      </c>
      <c r="B54" s="21" t="s">
        <v>2246</v>
      </c>
      <c r="C54" s="21" t="s">
        <v>8</v>
      </c>
      <c r="D54" s="21" t="s">
        <v>2</v>
      </c>
      <c r="E54" s="21" t="s">
        <v>193</v>
      </c>
      <c r="F54" s="5812">
        <v>3</v>
      </c>
      <c r="G54" s="5813">
        <v>0.20833333333333334</v>
      </c>
      <c r="H54" s="21" t="s">
        <v>10</v>
      </c>
      <c r="I54" s="21" t="s">
        <v>2247</v>
      </c>
      <c r="J54" s="21" t="s">
        <v>2248</v>
      </c>
      <c r="K54" s="5814" t="s">
        <v>2249</v>
      </c>
    </row>
    <row r="55" spans="1:11">
      <c r="A55" s="21" t="s">
        <v>2250</v>
      </c>
      <c r="B55" s="21" t="s">
        <v>2251</v>
      </c>
      <c r="C55" s="21" t="s">
        <v>8</v>
      </c>
      <c r="D55" s="21" t="s">
        <v>2</v>
      </c>
      <c r="E55" s="21" t="s">
        <v>193</v>
      </c>
      <c r="F55" s="5812">
        <v>3</v>
      </c>
      <c r="G55" s="5813">
        <v>0.20833333333333334</v>
      </c>
      <c r="H55" s="21" t="s">
        <v>10</v>
      </c>
      <c r="I55" s="21" t="s">
        <v>96</v>
      </c>
      <c r="J55" s="21" t="s">
        <v>2252</v>
      </c>
      <c r="K55" s="5814" t="s">
        <v>2253</v>
      </c>
    </row>
    <row r="56" spans="1:11">
      <c r="A56" s="21" t="s">
        <v>2254</v>
      </c>
      <c r="B56" s="21" t="s">
        <v>2255</v>
      </c>
      <c r="C56" s="21" t="s">
        <v>22</v>
      </c>
      <c r="D56" s="21" t="s">
        <v>2</v>
      </c>
      <c r="E56" s="21" t="s">
        <v>193</v>
      </c>
      <c r="F56" s="5812">
        <v>3</v>
      </c>
      <c r="G56" s="5813">
        <v>0.20833333333333334</v>
      </c>
      <c r="H56" s="21" t="s">
        <v>10</v>
      </c>
      <c r="I56" s="21" t="s">
        <v>96</v>
      </c>
      <c r="J56" s="21" t="s">
        <v>2256</v>
      </c>
      <c r="K56" s="5814" t="s">
        <v>2257</v>
      </c>
    </row>
    <row r="57" spans="1:11">
      <c r="A57" s="21" t="s">
        <v>2258</v>
      </c>
      <c r="B57" s="21" t="s">
        <v>2259</v>
      </c>
      <c r="C57" s="21" t="s">
        <v>22</v>
      </c>
      <c r="D57" s="21" t="s">
        <v>2</v>
      </c>
      <c r="E57" s="21" t="s">
        <v>193</v>
      </c>
      <c r="F57" s="5812">
        <v>3</v>
      </c>
      <c r="G57" s="5813">
        <v>0.20833333333333334</v>
      </c>
      <c r="H57" s="21" t="s">
        <v>10</v>
      </c>
      <c r="I57" s="21" t="s">
        <v>2260</v>
      </c>
      <c r="J57" s="21" t="s">
        <v>2261</v>
      </c>
      <c r="K57" s="5814" t="s">
        <v>2262</v>
      </c>
    </row>
    <row r="58" spans="1:11">
      <c r="A58" s="21" t="s">
        <v>2263</v>
      </c>
      <c r="B58" s="21" t="s">
        <v>2264</v>
      </c>
      <c r="C58" s="21" t="s">
        <v>22</v>
      </c>
      <c r="D58" s="21" t="s">
        <v>2</v>
      </c>
      <c r="E58" s="21" t="s">
        <v>193</v>
      </c>
      <c r="F58" s="5812">
        <v>3</v>
      </c>
      <c r="G58" s="5813">
        <v>0.20833333333333334</v>
      </c>
      <c r="H58" s="21" t="s">
        <v>10</v>
      </c>
      <c r="I58" s="21" t="s">
        <v>2247</v>
      </c>
      <c r="J58" s="21" t="s">
        <v>2265</v>
      </c>
      <c r="K58" s="5814" t="s">
        <v>2266</v>
      </c>
    </row>
    <row r="59" spans="1:11">
      <c r="A59" s="21" t="s">
        <v>2267</v>
      </c>
      <c r="B59" s="21" t="s">
        <v>2268</v>
      </c>
      <c r="C59" s="21" t="s">
        <v>22</v>
      </c>
      <c r="D59" s="21" t="s">
        <v>2</v>
      </c>
      <c r="E59" s="21" t="s">
        <v>193</v>
      </c>
      <c r="F59" s="5812">
        <v>3</v>
      </c>
      <c r="G59" s="5813">
        <v>0.20833333333333334</v>
      </c>
      <c r="H59" s="21" t="s">
        <v>10</v>
      </c>
      <c r="I59" s="21" t="s">
        <v>2269</v>
      </c>
      <c r="J59" s="21" t="s">
        <v>2270</v>
      </c>
      <c r="K59" s="5814" t="s">
        <v>2271</v>
      </c>
    </row>
    <row r="60" spans="1:11">
      <c r="A60" s="21" t="s">
        <v>2272</v>
      </c>
      <c r="B60" s="21" t="s">
        <v>2273</v>
      </c>
      <c r="C60" s="21" t="s">
        <v>22</v>
      </c>
      <c r="D60" s="21" t="s">
        <v>2</v>
      </c>
      <c r="E60" s="21" t="s">
        <v>193</v>
      </c>
      <c r="F60" s="5812">
        <v>3</v>
      </c>
      <c r="G60" s="5813">
        <v>0.20833333333333334</v>
      </c>
      <c r="H60" s="21" t="s">
        <v>10</v>
      </c>
      <c r="I60" s="21" t="s">
        <v>2247</v>
      </c>
      <c r="J60" s="21" t="s">
        <v>2274</v>
      </c>
      <c r="K60" s="5814" t="s">
        <v>2275</v>
      </c>
    </row>
    <row r="61" spans="1:11">
      <c r="A61" s="21" t="s">
        <v>2276</v>
      </c>
      <c r="B61" s="21" t="s">
        <v>2277</v>
      </c>
      <c r="C61" s="21" t="s">
        <v>8</v>
      </c>
      <c r="D61" s="21" t="s">
        <v>2</v>
      </c>
      <c r="E61" s="21" t="s">
        <v>193</v>
      </c>
      <c r="F61" s="5812">
        <v>3</v>
      </c>
      <c r="G61" s="5813">
        <v>0.20833333333333334</v>
      </c>
      <c r="H61" s="21" t="s">
        <v>10</v>
      </c>
      <c r="I61" s="21" t="s">
        <v>55</v>
      </c>
      <c r="J61" s="21" t="s">
        <v>2278</v>
      </c>
      <c r="K61" s="5814" t="s">
        <v>2279</v>
      </c>
    </row>
    <row r="62" spans="1:11">
      <c r="A62" s="21" t="s">
        <v>2280</v>
      </c>
      <c r="B62" s="21" t="s">
        <v>2281</v>
      </c>
      <c r="C62" s="21" t="s">
        <v>8</v>
      </c>
      <c r="D62" s="21" t="s">
        <v>2</v>
      </c>
      <c r="E62" s="21" t="s">
        <v>193</v>
      </c>
      <c r="F62" s="5812">
        <v>3</v>
      </c>
      <c r="G62" s="5813">
        <v>0.20833333333333334</v>
      </c>
      <c r="H62" s="21" t="s">
        <v>10</v>
      </c>
      <c r="I62" s="21" t="s">
        <v>96</v>
      </c>
      <c r="J62" s="21" t="s">
        <v>2282</v>
      </c>
      <c r="K62" s="5814" t="s">
        <v>2283</v>
      </c>
    </row>
    <row r="63" spans="1:11">
      <c r="A63" s="21" t="s">
        <v>2284</v>
      </c>
      <c r="B63" s="21" t="s">
        <v>2285</v>
      </c>
      <c r="C63" s="21" t="s">
        <v>22</v>
      </c>
      <c r="D63" s="21" t="s">
        <v>2</v>
      </c>
      <c r="E63" s="21" t="s">
        <v>193</v>
      </c>
      <c r="F63" s="5812">
        <v>5</v>
      </c>
      <c r="G63" s="5813">
        <v>0.20833333333333334</v>
      </c>
      <c r="H63" s="21" t="s">
        <v>54</v>
      </c>
      <c r="I63" s="21" t="s">
        <v>226</v>
      </c>
      <c r="J63" s="21" t="s">
        <v>2286</v>
      </c>
      <c r="K63" s="5814" t="s">
        <v>2287</v>
      </c>
    </row>
    <row r="64" spans="1:11">
      <c r="A64" s="21" t="s">
        <v>2057</v>
      </c>
      <c r="B64" s="21" t="s">
        <v>2288</v>
      </c>
      <c r="C64" s="21" t="s">
        <v>22</v>
      </c>
      <c r="D64" s="21" t="s">
        <v>2</v>
      </c>
      <c r="E64" s="21" t="s">
        <v>193</v>
      </c>
      <c r="F64" s="5812">
        <v>5</v>
      </c>
      <c r="G64" s="5813">
        <v>0.20833333333333334</v>
      </c>
      <c r="H64" s="21" t="s">
        <v>54</v>
      </c>
      <c r="I64" s="21" t="s">
        <v>55</v>
      </c>
      <c r="J64" s="21" t="s">
        <v>2289</v>
      </c>
      <c r="K64" s="5814" t="s">
        <v>2290</v>
      </c>
    </row>
    <row r="65" spans="1:11">
      <c r="A65" s="21" t="s">
        <v>2291</v>
      </c>
      <c r="B65" s="21" t="s">
        <v>2292</v>
      </c>
      <c r="C65" s="21" t="s">
        <v>22</v>
      </c>
      <c r="D65" s="21" t="s">
        <v>2</v>
      </c>
      <c r="E65" s="21" t="s">
        <v>193</v>
      </c>
      <c r="F65" s="5812">
        <v>5</v>
      </c>
      <c r="G65" s="5813">
        <v>0.20833333333333334</v>
      </c>
      <c r="H65" s="21" t="s">
        <v>54</v>
      </c>
      <c r="I65" s="21" t="s">
        <v>55</v>
      </c>
      <c r="J65" s="21" t="s">
        <v>2293</v>
      </c>
      <c r="K65" s="5814" t="s">
        <v>2294</v>
      </c>
    </row>
    <row r="66" spans="1:11">
      <c r="A66" s="21" t="s">
        <v>2295</v>
      </c>
      <c r="B66" s="21" t="s">
        <v>2296</v>
      </c>
      <c r="C66" s="21" t="s">
        <v>8</v>
      </c>
      <c r="D66" s="21" t="s">
        <v>2</v>
      </c>
      <c r="E66" s="21" t="s">
        <v>193</v>
      </c>
      <c r="F66" s="5812">
        <v>5</v>
      </c>
      <c r="G66" s="5813">
        <v>0.20833333333333334</v>
      </c>
      <c r="H66" s="21" t="s">
        <v>54</v>
      </c>
      <c r="I66" s="21" t="s">
        <v>2297</v>
      </c>
      <c r="J66" s="21" t="s">
        <v>2298</v>
      </c>
      <c r="K66" s="5814" t="s">
        <v>2299</v>
      </c>
    </row>
    <row r="67" spans="1:11">
      <c r="A67" s="21" t="s">
        <v>2300</v>
      </c>
      <c r="B67" s="21" t="s">
        <v>2301</v>
      </c>
      <c r="C67" s="21" t="s">
        <v>8</v>
      </c>
      <c r="D67" s="21" t="s">
        <v>2</v>
      </c>
      <c r="E67" s="21" t="s">
        <v>9</v>
      </c>
      <c r="F67" s="5812">
        <v>3</v>
      </c>
      <c r="G67" s="5813">
        <v>0.20833333333333334</v>
      </c>
      <c r="H67" s="21" t="s">
        <v>2081</v>
      </c>
      <c r="I67" s="21" t="s">
        <v>47</v>
      </c>
      <c r="J67" s="21" t="s">
        <v>2302</v>
      </c>
      <c r="K67" s="5814" t="s">
        <v>2303</v>
      </c>
    </row>
    <row r="68" spans="1:11">
      <c r="A68" s="21" t="s">
        <v>87</v>
      </c>
      <c r="B68" s="21" t="s">
        <v>88</v>
      </c>
      <c r="C68" s="21" t="s">
        <v>8</v>
      </c>
      <c r="D68" s="21" t="s">
        <v>2</v>
      </c>
      <c r="E68" s="21" t="s">
        <v>9</v>
      </c>
      <c r="F68" s="5812">
        <v>3</v>
      </c>
      <c r="G68" s="5813">
        <v>0.20833333333333334</v>
      </c>
      <c r="H68" s="21" t="s">
        <v>10</v>
      </c>
      <c r="I68" s="21" t="s">
        <v>89</v>
      </c>
      <c r="J68" s="21" t="s">
        <v>90</v>
      </c>
      <c r="K68" s="5814" t="s">
        <v>91</v>
      </c>
    </row>
    <row r="69" spans="1:11">
      <c r="A69" s="21" t="s">
        <v>79</v>
      </c>
      <c r="B69" s="21" t="s">
        <v>80</v>
      </c>
      <c r="C69" s="21" t="s">
        <v>22</v>
      </c>
      <c r="D69" s="21" t="s">
        <v>2</v>
      </c>
      <c r="E69" s="21" t="s">
        <v>9</v>
      </c>
      <c r="F69" s="5812">
        <v>3</v>
      </c>
      <c r="G69" s="5813">
        <v>0.20833333333333334</v>
      </c>
      <c r="H69" s="21" t="s">
        <v>10</v>
      </c>
      <c r="I69" s="21" t="s">
        <v>23</v>
      </c>
      <c r="J69" s="21" t="s">
        <v>81</v>
      </c>
      <c r="K69" s="5814" t="s">
        <v>82</v>
      </c>
    </row>
    <row r="70" spans="1:11">
      <c r="A70" s="21" t="s">
        <v>115</v>
      </c>
      <c r="B70" s="21" t="s">
        <v>116</v>
      </c>
      <c r="C70" s="21" t="s">
        <v>22</v>
      </c>
      <c r="D70" s="21" t="s">
        <v>2</v>
      </c>
      <c r="E70" s="21" t="s">
        <v>9</v>
      </c>
      <c r="F70" s="5812">
        <v>3</v>
      </c>
      <c r="G70" s="5813">
        <v>0.20833333333333334</v>
      </c>
      <c r="H70" s="21" t="s">
        <v>10</v>
      </c>
      <c r="I70" s="21" t="s">
        <v>117</v>
      </c>
      <c r="J70" s="21" t="s">
        <v>118</v>
      </c>
      <c r="K70" s="5814" t="s">
        <v>119</v>
      </c>
    </row>
    <row r="71" spans="1:11">
      <c r="A71" s="21" t="s">
        <v>125</v>
      </c>
      <c r="B71" s="21" t="s">
        <v>131</v>
      </c>
      <c r="C71" s="21" t="s">
        <v>8</v>
      </c>
      <c r="D71" s="21" t="s">
        <v>2</v>
      </c>
      <c r="E71" s="21" t="s">
        <v>9</v>
      </c>
      <c r="F71" s="5812">
        <v>3</v>
      </c>
      <c r="G71" s="5813">
        <v>0.20833333333333334</v>
      </c>
      <c r="H71" s="21" t="s">
        <v>10</v>
      </c>
      <c r="I71" s="21" t="s">
        <v>55</v>
      </c>
      <c r="J71" s="21" t="s">
        <v>132</v>
      </c>
      <c r="K71" s="5814" t="s">
        <v>133</v>
      </c>
    </row>
    <row r="72" spans="1:11">
      <c r="A72" s="21" t="s">
        <v>20</v>
      </c>
      <c r="B72" s="21" t="s">
        <v>21</v>
      </c>
      <c r="C72" s="21" t="s">
        <v>22</v>
      </c>
      <c r="D72" s="21" t="s">
        <v>2</v>
      </c>
      <c r="E72" s="21" t="s">
        <v>9</v>
      </c>
      <c r="F72" s="5812">
        <v>3</v>
      </c>
      <c r="G72" s="5813">
        <v>0.20833333333333334</v>
      </c>
      <c r="H72" s="21" t="s">
        <v>10</v>
      </c>
      <c r="I72" s="21" t="s">
        <v>23</v>
      </c>
      <c r="J72" s="21" t="s">
        <v>24</v>
      </c>
      <c r="K72" s="5814" t="s">
        <v>25</v>
      </c>
    </row>
    <row r="73" spans="1:11">
      <c r="A73" s="21" t="s">
        <v>135</v>
      </c>
      <c r="B73" s="21" t="s">
        <v>136</v>
      </c>
      <c r="C73" s="21" t="s">
        <v>8</v>
      </c>
      <c r="D73" s="21" t="s">
        <v>2</v>
      </c>
      <c r="E73" s="21" t="s">
        <v>9</v>
      </c>
      <c r="F73" s="5812">
        <v>3</v>
      </c>
      <c r="G73" s="5813">
        <v>0.20833333333333334</v>
      </c>
      <c r="H73" s="21" t="s">
        <v>10</v>
      </c>
      <c r="I73" s="21" t="s">
        <v>11</v>
      </c>
      <c r="J73" s="21" t="s">
        <v>137</v>
      </c>
      <c r="K73" s="5814" t="s">
        <v>138</v>
      </c>
    </row>
    <row r="74" spans="1:11">
      <c r="A74" s="21" t="s">
        <v>135</v>
      </c>
      <c r="B74" s="21" t="s">
        <v>141</v>
      </c>
      <c r="C74" s="21" t="s">
        <v>22</v>
      </c>
      <c r="D74" s="21" t="s">
        <v>2</v>
      </c>
      <c r="E74" s="21" t="s">
        <v>9</v>
      </c>
      <c r="F74" s="5812">
        <v>3</v>
      </c>
      <c r="G74" s="5813">
        <v>0.20833333333333334</v>
      </c>
      <c r="H74" s="21" t="s">
        <v>10</v>
      </c>
      <c r="I74" s="21" t="s">
        <v>11</v>
      </c>
      <c r="J74" s="21" t="s">
        <v>142</v>
      </c>
      <c r="K74" s="5814" t="s">
        <v>143</v>
      </c>
    </row>
    <row r="75" spans="1:11">
      <c r="A75" s="21" t="s">
        <v>31</v>
      </c>
      <c r="B75" s="21" t="s">
        <v>146</v>
      </c>
      <c r="C75" s="21" t="s">
        <v>8</v>
      </c>
      <c r="D75" s="21" t="s">
        <v>2</v>
      </c>
      <c r="E75" s="21" t="s">
        <v>9</v>
      </c>
      <c r="F75" s="5812">
        <v>3</v>
      </c>
      <c r="G75" s="5813">
        <v>0.20833333333333334</v>
      </c>
      <c r="H75" s="21" t="s">
        <v>10</v>
      </c>
      <c r="I75" s="21" t="s">
        <v>47</v>
      </c>
      <c r="J75" s="21" t="s">
        <v>147</v>
      </c>
      <c r="K75" s="5814" t="s">
        <v>148</v>
      </c>
    </row>
    <row r="76" spans="1:11">
      <c r="A76" s="21" t="s">
        <v>31</v>
      </c>
      <c r="B76" s="21" t="s">
        <v>32</v>
      </c>
      <c r="C76" s="21" t="s">
        <v>8</v>
      </c>
      <c r="D76" s="21" t="s">
        <v>2</v>
      </c>
      <c r="E76" s="21" t="s">
        <v>9</v>
      </c>
      <c r="F76" s="5812">
        <v>3</v>
      </c>
      <c r="G76" s="5813">
        <v>0.20833333333333334</v>
      </c>
      <c r="H76" s="21" t="s">
        <v>10</v>
      </c>
      <c r="I76" s="21" t="s">
        <v>23</v>
      </c>
      <c r="J76" s="21" t="s">
        <v>33</v>
      </c>
      <c r="K76" s="5814" t="s">
        <v>34</v>
      </c>
    </row>
    <row r="77" spans="1:11">
      <c r="A77" s="21" t="s">
        <v>166</v>
      </c>
      <c r="B77" s="21" t="s">
        <v>167</v>
      </c>
      <c r="C77" s="21" t="s">
        <v>8</v>
      </c>
      <c r="D77" s="21" t="s">
        <v>2</v>
      </c>
      <c r="E77" s="21" t="s">
        <v>9</v>
      </c>
      <c r="F77" s="5812">
        <v>3</v>
      </c>
      <c r="G77" s="5813">
        <v>0.20833333333333334</v>
      </c>
      <c r="H77" s="21" t="s">
        <v>10</v>
      </c>
      <c r="I77" s="21" t="s">
        <v>168</v>
      </c>
      <c r="J77" s="21" t="s">
        <v>169</v>
      </c>
      <c r="K77" s="5814" t="s">
        <v>170</v>
      </c>
    </row>
    <row r="78" spans="1:11">
      <c r="A78" s="21" t="s">
        <v>166</v>
      </c>
      <c r="B78" s="21" t="s">
        <v>173</v>
      </c>
      <c r="C78" s="21" t="s">
        <v>8</v>
      </c>
      <c r="D78" s="21" t="s">
        <v>2</v>
      </c>
      <c r="E78" s="21" t="s">
        <v>9</v>
      </c>
      <c r="F78" s="5812">
        <v>3</v>
      </c>
      <c r="G78" s="5813">
        <v>0.20833333333333334</v>
      </c>
      <c r="H78" s="21" t="s">
        <v>10</v>
      </c>
      <c r="I78" s="21" t="s">
        <v>168</v>
      </c>
      <c r="J78" s="21" t="s">
        <v>174</v>
      </c>
      <c r="K78" s="5814" t="s">
        <v>175</v>
      </c>
    </row>
    <row r="79" spans="1:11">
      <c r="A79" s="21" t="s">
        <v>185</v>
      </c>
      <c r="B79" s="21" t="s">
        <v>186</v>
      </c>
      <c r="C79" s="21" t="s">
        <v>22</v>
      </c>
      <c r="D79" s="21" t="s">
        <v>2</v>
      </c>
      <c r="E79" s="21" t="s">
        <v>9</v>
      </c>
      <c r="F79" s="5812">
        <v>3</v>
      </c>
      <c r="G79" s="5813">
        <v>0.20833333333333334</v>
      </c>
      <c r="H79" s="21" t="s">
        <v>10</v>
      </c>
      <c r="I79" s="21" t="s">
        <v>187</v>
      </c>
      <c r="J79" s="21" t="s">
        <v>188</v>
      </c>
      <c r="K79" s="5814" t="s">
        <v>189</v>
      </c>
    </row>
    <row r="80" spans="1:11">
      <c r="A80" s="21" t="s">
        <v>37</v>
      </c>
      <c r="B80" s="21" t="s">
        <v>38</v>
      </c>
      <c r="C80" s="21" t="s">
        <v>22</v>
      </c>
      <c r="D80" s="21" t="s">
        <v>2</v>
      </c>
      <c r="E80" s="21" t="s">
        <v>9</v>
      </c>
      <c r="F80" s="5812">
        <v>3</v>
      </c>
      <c r="G80" s="5813">
        <v>0.20833333333333334</v>
      </c>
      <c r="H80" s="21" t="s">
        <v>10</v>
      </c>
      <c r="I80" s="21" t="s">
        <v>39</v>
      </c>
      <c r="J80" s="21" t="s">
        <v>40</v>
      </c>
      <c r="K80" s="5814" t="s">
        <v>41</v>
      </c>
    </row>
    <row r="81" spans="1:11">
      <c r="A81" s="21" t="s">
        <v>37</v>
      </c>
      <c r="B81" s="21" t="s">
        <v>203</v>
      </c>
      <c r="C81" s="21" t="s">
        <v>8</v>
      </c>
      <c r="D81" s="21" t="s">
        <v>2</v>
      </c>
      <c r="E81" s="21" t="s">
        <v>9</v>
      </c>
      <c r="F81" s="5812">
        <v>3</v>
      </c>
      <c r="G81" s="5813">
        <v>0.20833333333333334</v>
      </c>
      <c r="H81" s="21" t="s">
        <v>10</v>
      </c>
      <c r="I81" s="21" t="s">
        <v>23</v>
      </c>
      <c r="J81" s="21" t="s">
        <v>204</v>
      </c>
      <c r="K81" s="5814" t="s">
        <v>205</v>
      </c>
    </row>
    <row r="82" spans="1:11">
      <c r="A82" s="21" t="s">
        <v>207</v>
      </c>
      <c r="B82" s="21" t="s">
        <v>208</v>
      </c>
      <c r="C82" s="21" t="s">
        <v>22</v>
      </c>
      <c r="D82" s="21" t="s">
        <v>2</v>
      </c>
      <c r="E82" s="21" t="s">
        <v>9</v>
      </c>
      <c r="F82" s="5812">
        <v>3</v>
      </c>
      <c r="G82" s="5813">
        <v>0.20833333333333334</v>
      </c>
      <c r="H82" s="21" t="s">
        <v>10</v>
      </c>
      <c r="I82" s="21" t="s">
        <v>209</v>
      </c>
      <c r="J82" s="21" t="s">
        <v>210</v>
      </c>
      <c r="K82" s="5814" t="s">
        <v>211</v>
      </c>
    </row>
    <row r="83" spans="1:11">
      <c r="A83" s="21" t="s">
        <v>71</v>
      </c>
      <c r="B83" s="21" t="s">
        <v>216</v>
      </c>
      <c r="C83" s="21" t="s">
        <v>8</v>
      </c>
      <c r="D83" s="21" t="s">
        <v>2</v>
      </c>
      <c r="E83" s="21" t="s">
        <v>9</v>
      </c>
      <c r="F83" s="5812">
        <v>3</v>
      </c>
      <c r="G83" s="5813">
        <v>0.20833333333333334</v>
      </c>
      <c r="H83" s="21" t="s">
        <v>10</v>
      </c>
      <c r="I83" s="21" t="s">
        <v>39</v>
      </c>
      <c r="J83" s="21" t="s">
        <v>217</v>
      </c>
      <c r="K83" s="5814" t="s">
        <v>2304</v>
      </c>
    </row>
    <row r="84" spans="1:11">
      <c r="A84" s="21" t="s">
        <v>71</v>
      </c>
      <c r="B84" s="21" t="s">
        <v>219</v>
      </c>
      <c r="C84" s="21" t="s">
        <v>8</v>
      </c>
      <c r="D84" s="21" t="s">
        <v>2</v>
      </c>
      <c r="E84" s="21" t="s">
        <v>9</v>
      </c>
      <c r="F84" s="5812">
        <v>3</v>
      </c>
      <c r="G84" s="5813">
        <v>0.20833333333333334</v>
      </c>
      <c r="H84" s="21" t="s">
        <v>10</v>
      </c>
      <c r="I84" s="21" t="s">
        <v>73</v>
      </c>
      <c r="J84" s="21" t="s">
        <v>220</v>
      </c>
      <c r="K84" s="5814" t="s">
        <v>2305</v>
      </c>
    </row>
    <row r="85" spans="1:11">
      <c r="A85" s="21" t="s">
        <v>6</v>
      </c>
      <c r="B85" s="21" t="s">
        <v>7</v>
      </c>
      <c r="C85" s="21" t="s">
        <v>8</v>
      </c>
      <c r="D85" s="21" t="s">
        <v>2</v>
      </c>
      <c r="E85" s="21" t="s">
        <v>9</v>
      </c>
      <c r="F85" s="5812">
        <v>3</v>
      </c>
      <c r="G85" s="5813">
        <v>0.20833333333333334</v>
      </c>
      <c r="H85" s="21" t="s">
        <v>10</v>
      </c>
      <c r="I85" s="21" t="s">
        <v>11</v>
      </c>
      <c r="J85" s="21" t="s">
        <v>12</v>
      </c>
      <c r="K85" s="5814" t="s">
        <v>2306</v>
      </c>
    </row>
    <row r="86" spans="1:11">
      <c r="A86" s="21" t="s">
        <v>2307</v>
      </c>
      <c r="B86" s="21" t="s">
        <v>2308</v>
      </c>
      <c r="C86" s="21" t="s">
        <v>22</v>
      </c>
      <c r="D86" s="21" t="s">
        <v>2</v>
      </c>
      <c r="E86" s="21" t="s">
        <v>9</v>
      </c>
      <c r="F86" s="5812">
        <v>3</v>
      </c>
      <c r="G86" s="5813">
        <v>0.20833333333333334</v>
      </c>
      <c r="H86" s="21" t="s">
        <v>10</v>
      </c>
      <c r="I86" s="21" t="s">
        <v>73</v>
      </c>
      <c r="J86" s="21" t="s">
        <v>2309</v>
      </c>
      <c r="K86" s="5814" t="s">
        <v>2310</v>
      </c>
    </row>
    <row r="87" spans="1:11">
      <c r="A87" s="21" t="s">
        <v>2311</v>
      </c>
      <c r="B87" s="21" t="s">
        <v>2312</v>
      </c>
      <c r="C87" s="21" t="s">
        <v>8</v>
      </c>
      <c r="D87" s="21" t="s">
        <v>2</v>
      </c>
      <c r="E87" s="21" t="s">
        <v>9</v>
      </c>
      <c r="F87" s="5812">
        <v>3</v>
      </c>
      <c r="G87" s="5813">
        <v>0.20833333333333334</v>
      </c>
      <c r="H87" s="21" t="s">
        <v>10</v>
      </c>
      <c r="I87" s="21" t="s">
        <v>2313</v>
      </c>
      <c r="J87" s="21" t="s">
        <v>2314</v>
      </c>
      <c r="K87" s="5814" t="s">
        <v>2315</v>
      </c>
    </row>
    <row r="88" spans="1:11">
      <c r="A88" s="21" t="s">
        <v>2300</v>
      </c>
      <c r="B88" s="21" t="s">
        <v>2316</v>
      </c>
      <c r="C88" s="21" t="s">
        <v>22</v>
      </c>
      <c r="D88" s="21" t="s">
        <v>2</v>
      </c>
      <c r="E88" s="21" t="s">
        <v>9</v>
      </c>
      <c r="F88" s="5812">
        <v>3</v>
      </c>
      <c r="G88" s="5813">
        <v>0.20833333333333334</v>
      </c>
      <c r="H88" s="21" t="s">
        <v>10</v>
      </c>
      <c r="I88" s="21" t="s">
        <v>2317</v>
      </c>
      <c r="J88" s="21" t="s">
        <v>2318</v>
      </c>
      <c r="K88" s="5814" t="s">
        <v>2319</v>
      </c>
    </row>
    <row r="89" spans="1:11">
      <c r="A89" s="21" t="s">
        <v>2300</v>
      </c>
      <c r="B89" s="21" t="s">
        <v>2320</v>
      </c>
      <c r="C89" s="21" t="s">
        <v>8</v>
      </c>
      <c r="D89" s="21" t="s">
        <v>2</v>
      </c>
      <c r="E89" s="21" t="s">
        <v>9</v>
      </c>
      <c r="F89" s="5812">
        <v>3</v>
      </c>
      <c r="G89" s="5813">
        <v>0.20833333333333334</v>
      </c>
      <c r="H89" s="21" t="s">
        <v>10</v>
      </c>
      <c r="I89" s="21" t="s">
        <v>55</v>
      </c>
      <c r="J89" s="21" t="s">
        <v>2321</v>
      </c>
      <c r="K89" s="5814" t="s">
        <v>2322</v>
      </c>
    </row>
    <row r="90" spans="1:11">
      <c r="A90" s="21" t="s">
        <v>2323</v>
      </c>
      <c r="B90" s="21" t="s">
        <v>2324</v>
      </c>
      <c r="C90" s="21" t="s">
        <v>8</v>
      </c>
      <c r="D90" s="21" t="s">
        <v>2</v>
      </c>
      <c r="E90" s="21" t="s">
        <v>9</v>
      </c>
      <c r="F90" s="5812">
        <v>3</v>
      </c>
      <c r="G90" s="5813">
        <v>0.20833333333333334</v>
      </c>
      <c r="H90" s="21" t="s">
        <v>10</v>
      </c>
      <c r="I90" s="21" t="s">
        <v>187</v>
      </c>
      <c r="J90" s="21" t="s">
        <v>2325</v>
      </c>
      <c r="K90" s="5814" t="s">
        <v>2326</v>
      </c>
    </row>
    <row r="91" spans="1:11">
      <c r="A91" s="21" t="s">
        <v>2327</v>
      </c>
      <c r="B91" s="21" t="s">
        <v>2328</v>
      </c>
      <c r="C91" s="21" t="s">
        <v>8</v>
      </c>
      <c r="D91" s="21" t="s">
        <v>2</v>
      </c>
      <c r="E91" s="21" t="s">
        <v>9</v>
      </c>
      <c r="F91" s="5812">
        <v>3</v>
      </c>
      <c r="G91" s="5813">
        <v>0.20833333333333334</v>
      </c>
      <c r="H91" s="21" t="s">
        <v>10</v>
      </c>
      <c r="I91" s="21" t="s">
        <v>55</v>
      </c>
      <c r="J91" s="21" t="s">
        <v>2329</v>
      </c>
      <c r="K91" s="5814" t="s">
        <v>2330</v>
      </c>
    </row>
    <row r="92" spans="1:11">
      <c r="A92" s="21" t="s">
        <v>2327</v>
      </c>
      <c r="B92" s="21" t="s">
        <v>2331</v>
      </c>
      <c r="C92" s="21" t="s">
        <v>8</v>
      </c>
      <c r="D92" s="21" t="s">
        <v>2</v>
      </c>
      <c r="E92" s="21" t="s">
        <v>9</v>
      </c>
      <c r="F92" s="5812">
        <v>3</v>
      </c>
      <c r="G92" s="5813">
        <v>0.20833333333333334</v>
      </c>
      <c r="H92" s="21" t="s">
        <v>10</v>
      </c>
      <c r="I92" s="21" t="s">
        <v>23</v>
      </c>
      <c r="J92" s="21" t="s">
        <v>2332</v>
      </c>
      <c r="K92" s="5814" t="s">
        <v>2333</v>
      </c>
    </row>
    <row r="93" spans="1:11">
      <c r="A93" s="21" t="s">
        <v>2334</v>
      </c>
      <c r="B93" s="21" t="s">
        <v>2335</v>
      </c>
      <c r="C93" s="21" t="s">
        <v>8</v>
      </c>
      <c r="D93" s="21" t="s">
        <v>2</v>
      </c>
      <c r="E93" s="21" t="s">
        <v>9</v>
      </c>
      <c r="F93" s="5812">
        <v>3</v>
      </c>
      <c r="G93" s="5813">
        <v>0.20833333333333334</v>
      </c>
      <c r="H93" s="21" t="s">
        <v>10</v>
      </c>
      <c r="I93" s="21" t="s">
        <v>96</v>
      </c>
      <c r="J93" s="21" t="s">
        <v>2336</v>
      </c>
      <c r="K93" s="5814" t="s">
        <v>2337</v>
      </c>
    </row>
    <row r="94" spans="1:11">
      <c r="A94" s="21" t="s">
        <v>2334</v>
      </c>
      <c r="B94" s="21" t="s">
        <v>2338</v>
      </c>
      <c r="C94" s="21" t="s">
        <v>22</v>
      </c>
      <c r="D94" s="21" t="s">
        <v>2</v>
      </c>
      <c r="E94" s="21" t="s">
        <v>9</v>
      </c>
      <c r="F94" s="5812">
        <v>3</v>
      </c>
      <c r="G94" s="5813">
        <v>0.20833333333333334</v>
      </c>
      <c r="H94" s="21" t="s">
        <v>10</v>
      </c>
      <c r="I94" s="21" t="s">
        <v>660</v>
      </c>
      <c r="J94" s="21" t="s">
        <v>2339</v>
      </c>
      <c r="K94" s="5814" t="s">
        <v>2340</v>
      </c>
    </row>
    <row r="95" spans="1:11">
      <c r="A95" s="21" t="s">
        <v>2341</v>
      </c>
      <c r="B95" s="21" t="s">
        <v>2342</v>
      </c>
      <c r="C95" s="21" t="s">
        <v>22</v>
      </c>
      <c r="D95" s="21" t="s">
        <v>2</v>
      </c>
      <c r="E95" s="21" t="s">
        <v>9</v>
      </c>
      <c r="F95" s="5812">
        <v>3</v>
      </c>
      <c r="G95" s="5813">
        <v>0.20833333333333334</v>
      </c>
      <c r="H95" s="21" t="s">
        <v>10</v>
      </c>
      <c r="I95" s="21" t="s">
        <v>11</v>
      </c>
      <c r="J95" s="21" t="s">
        <v>2343</v>
      </c>
      <c r="K95" s="5814" t="s">
        <v>2344</v>
      </c>
    </row>
    <row r="96" spans="1:11">
      <c r="A96" s="21" t="s">
        <v>2088</v>
      </c>
      <c r="B96" s="21" t="s">
        <v>2345</v>
      </c>
      <c r="C96" s="21" t="s">
        <v>22</v>
      </c>
      <c r="D96" s="21" t="s">
        <v>2</v>
      </c>
      <c r="E96" s="21" t="s">
        <v>9</v>
      </c>
      <c r="F96" s="5812">
        <v>3</v>
      </c>
      <c r="G96" s="5813">
        <v>0.20833333333333334</v>
      </c>
      <c r="H96" s="21" t="s">
        <v>10</v>
      </c>
      <c r="I96" s="21" t="s">
        <v>11</v>
      </c>
      <c r="J96" s="21" t="s">
        <v>2346</v>
      </c>
      <c r="K96" s="5814" t="s">
        <v>2347</v>
      </c>
    </row>
    <row r="97" spans="1:11">
      <c r="A97" s="21" t="s">
        <v>2049</v>
      </c>
      <c r="B97" s="21" t="s">
        <v>2348</v>
      </c>
      <c r="C97" s="21" t="s">
        <v>8</v>
      </c>
      <c r="D97" s="21" t="s">
        <v>2</v>
      </c>
      <c r="E97" s="21" t="s">
        <v>9</v>
      </c>
      <c r="F97" s="5812">
        <v>3</v>
      </c>
      <c r="G97" s="5813">
        <v>0.20833333333333334</v>
      </c>
      <c r="H97" s="21" t="s">
        <v>10</v>
      </c>
      <c r="I97" s="21" t="s">
        <v>96</v>
      </c>
      <c r="J97" s="21" t="s">
        <v>2349</v>
      </c>
      <c r="K97" s="5814" t="s">
        <v>2350</v>
      </c>
    </row>
    <row r="98" spans="1:11">
      <c r="A98" s="21" t="s">
        <v>2049</v>
      </c>
      <c r="B98" s="21" t="s">
        <v>2351</v>
      </c>
      <c r="C98" s="21" t="s">
        <v>22</v>
      </c>
      <c r="D98" s="21" t="s">
        <v>2</v>
      </c>
      <c r="E98" s="21" t="s">
        <v>9</v>
      </c>
      <c r="F98" s="5812">
        <v>3</v>
      </c>
      <c r="G98" s="5813">
        <v>0.20833333333333334</v>
      </c>
      <c r="H98" s="21" t="s">
        <v>10</v>
      </c>
      <c r="I98" s="21" t="s">
        <v>11</v>
      </c>
      <c r="J98" s="21" t="s">
        <v>2352</v>
      </c>
      <c r="K98" s="5814" t="s">
        <v>2353</v>
      </c>
    </row>
    <row r="99" spans="1:11">
      <c r="A99" s="21" t="s">
        <v>2354</v>
      </c>
      <c r="B99" s="21" t="s">
        <v>2355</v>
      </c>
      <c r="C99" s="21" t="s">
        <v>22</v>
      </c>
      <c r="D99" s="21" t="s">
        <v>2</v>
      </c>
      <c r="E99" s="21" t="s">
        <v>9</v>
      </c>
      <c r="F99" s="5812">
        <v>3</v>
      </c>
      <c r="G99" s="5813">
        <v>0.20833333333333334</v>
      </c>
      <c r="H99" s="21" t="s">
        <v>10</v>
      </c>
      <c r="I99" s="21" t="s">
        <v>47</v>
      </c>
      <c r="J99" s="21" t="s">
        <v>2356</v>
      </c>
      <c r="K99" s="5814" t="s">
        <v>2357</v>
      </c>
    </row>
    <row r="100" spans="1:11">
      <c r="A100" s="21" t="s">
        <v>2358</v>
      </c>
      <c r="B100" s="21" t="s">
        <v>2359</v>
      </c>
      <c r="C100" s="21" t="s">
        <v>8</v>
      </c>
      <c r="D100" s="21" t="s">
        <v>2</v>
      </c>
      <c r="E100" s="21" t="s">
        <v>9</v>
      </c>
      <c r="F100" s="5812">
        <v>3</v>
      </c>
      <c r="G100" s="5813">
        <v>0.20833333333333334</v>
      </c>
      <c r="H100" s="21" t="s">
        <v>10</v>
      </c>
      <c r="I100" s="21" t="s">
        <v>23</v>
      </c>
      <c r="J100" s="21" t="s">
        <v>2360</v>
      </c>
      <c r="K100" s="5814" t="s">
        <v>2361</v>
      </c>
    </row>
    <row r="101" spans="1:11">
      <c r="A101" s="21" t="s">
        <v>2362</v>
      </c>
      <c r="B101" s="21" t="s">
        <v>2363</v>
      </c>
      <c r="C101" s="21" t="s">
        <v>8</v>
      </c>
      <c r="D101" s="21" t="s">
        <v>2</v>
      </c>
      <c r="E101" s="21" t="s">
        <v>9</v>
      </c>
      <c r="F101" s="5812">
        <v>3</v>
      </c>
      <c r="G101" s="5813">
        <v>0.20833333333333334</v>
      </c>
      <c r="H101" s="21" t="s">
        <v>10</v>
      </c>
      <c r="I101" s="21" t="s">
        <v>23</v>
      </c>
      <c r="J101" s="21" t="s">
        <v>2364</v>
      </c>
      <c r="K101" s="5814" t="s">
        <v>2365</v>
      </c>
    </row>
    <row r="102" spans="1:11">
      <c r="A102" s="21" t="s">
        <v>2092</v>
      </c>
      <c r="B102" s="21" t="s">
        <v>2366</v>
      </c>
      <c r="C102" s="21" t="s">
        <v>22</v>
      </c>
      <c r="D102" s="21" t="s">
        <v>2</v>
      </c>
      <c r="E102" s="21" t="s">
        <v>9</v>
      </c>
      <c r="F102" s="5812">
        <v>3</v>
      </c>
      <c r="G102" s="5813">
        <v>0.20833333333333334</v>
      </c>
      <c r="H102" s="21" t="s">
        <v>10</v>
      </c>
      <c r="I102" s="21" t="s">
        <v>23</v>
      </c>
      <c r="J102" s="21" t="s">
        <v>2367</v>
      </c>
      <c r="K102" s="5814" t="s">
        <v>2368</v>
      </c>
    </row>
    <row r="103" spans="1:11">
      <c r="A103" s="21" t="s">
        <v>2092</v>
      </c>
      <c r="B103" s="21" t="s">
        <v>2369</v>
      </c>
      <c r="C103" s="21" t="s">
        <v>8</v>
      </c>
      <c r="D103" s="21" t="s">
        <v>2</v>
      </c>
      <c r="E103" s="21" t="s">
        <v>9</v>
      </c>
      <c r="F103" s="5812">
        <v>3</v>
      </c>
      <c r="G103" s="5813">
        <v>0.20833333333333334</v>
      </c>
      <c r="H103" s="21" t="s">
        <v>10</v>
      </c>
      <c r="I103" s="21" t="s">
        <v>654</v>
      </c>
      <c r="J103" s="21" t="s">
        <v>2370</v>
      </c>
      <c r="K103" s="5814" t="s">
        <v>2371</v>
      </c>
    </row>
    <row r="104" spans="1:11">
      <c r="A104" s="21" t="s">
        <v>2372</v>
      </c>
      <c r="B104" s="21" t="s">
        <v>2373</v>
      </c>
      <c r="C104" s="21" t="s">
        <v>22</v>
      </c>
      <c r="D104" s="21" t="s">
        <v>2</v>
      </c>
      <c r="E104" s="21" t="s">
        <v>9</v>
      </c>
      <c r="F104" s="5812">
        <v>3</v>
      </c>
      <c r="G104" s="5813">
        <v>0.20833333333333334</v>
      </c>
      <c r="H104" s="21" t="s">
        <v>10</v>
      </c>
      <c r="I104" s="21" t="s">
        <v>47</v>
      </c>
      <c r="J104" s="21" t="s">
        <v>2374</v>
      </c>
      <c r="K104" s="5814" t="s">
        <v>2375</v>
      </c>
    </row>
    <row r="105" spans="1:11">
      <c r="A105" s="21" t="s">
        <v>2376</v>
      </c>
      <c r="B105" s="21" t="s">
        <v>2377</v>
      </c>
      <c r="C105" s="21" t="s">
        <v>22</v>
      </c>
      <c r="D105" s="21" t="s">
        <v>2</v>
      </c>
      <c r="E105" s="21" t="s">
        <v>9</v>
      </c>
      <c r="F105" s="5812">
        <v>3</v>
      </c>
      <c r="G105" s="5813">
        <v>0.20833333333333334</v>
      </c>
      <c r="H105" s="21" t="s">
        <v>10</v>
      </c>
      <c r="I105" s="21" t="s">
        <v>39</v>
      </c>
      <c r="J105" s="21" t="s">
        <v>2378</v>
      </c>
      <c r="K105" s="5814" t="s">
        <v>2379</v>
      </c>
    </row>
    <row r="106" spans="1:11">
      <c r="A106" s="21" t="s">
        <v>2100</v>
      </c>
      <c r="B106" s="21" t="s">
        <v>2380</v>
      </c>
      <c r="C106" s="21" t="s">
        <v>8</v>
      </c>
      <c r="D106" s="21" t="s">
        <v>2</v>
      </c>
      <c r="E106" s="21" t="s">
        <v>9</v>
      </c>
      <c r="F106" s="5812">
        <v>3</v>
      </c>
      <c r="G106" s="5813">
        <v>0.20833333333333334</v>
      </c>
      <c r="H106" s="21" t="s">
        <v>10</v>
      </c>
      <c r="I106" s="21" t="s">
        <v>73</v>
      </c>
      <c r="J106" s="21" t="s">
        <v>2381</v>
      </c>
      <c r="K106" s="5814" t="s">
        <v>2382</v>
      </c>
    </row>
    <row r="107" spans="1:11">
      <c r="A107" s="21" t="s">
        <v>2383</v>
      </c>
      <c r="B107" s="21" t="s">
        <v>2384</v>
      </c>
      <c r="C107" s="21" t="s">
        <v>8</v>
      </c>
      <c r="D107" s="21" t="s">
        <v>2</v>
      </c>
      <c r="E107" s="21" t="s">
        <v>9</v>
      </c>
      <c r="F107" s="5812">
        <v>3</v>
      </c>
      <c r="G107" s="5813">
        <v>0.20833333333333334</v>
      </c>
      <c r="H107" s="21" t="s">
        <v>10</v>
      </c>
      <c r="I107" s="21" t="s">
        <v>11</v>
      </c>
      <c r="J107" s="21" t="s">
        <v>2385</v>
      </c>
      <c r="K107" s="5814" t="s">
        <v>2386</v>
      </c>
    </row>
    <row r="108" spans="1:11">
      <c r="A108" s="21" t="s">
        <v>2387</v>
      </c>
      <c r="B108" s="21" t="s">
        <v>2388</v>
      </c>
      <c r="C108" s="21" t="s">
        <v>22</v>
      </c>
      <c r="D108" s="21" t="s">
        <v>2</v>
      </c>
      <c r="E108" s="21" t="s">
        <v>9</v>
      </c>
      <c r="F108" s="5812">
        <v>3</v>
      </c>
      <c r="G108" s="5813">
        <v>0.20833333333333334</v>
      </c>
      <c r="H108" s="21" t="s">
        <v>10</v>
      </c>
      <c r="I108" s="21" t="s">
        <v>11</v>
      </c>
      <c r="J108" s="21" t="s">
        <v>2389</v>
      </c>
      <c r="K108" s="5814" t="s">
        <v>2390</v>
      </c>
    </row>
    <row r="109" spans="1:11">
      <c r="A109" s="21" t="s">
        <v>2391</v>
      </c>
      <c r="B109" s="21" t="s">
        <v>2392</v>
      </c>
      <c r="C109" s="21" t="s">
        <v>22</v>
      </c>
      <c r="D109" s="21" t="s">
        <v>2</v>
      </c>
      <c r="E109" s="21" t="s">
        <v>9</v>
      </c>
      <c r="F109" s="5812">
        <v>3</v>
      </c>
      <c r="G109" s="5813">
        <v>0.20833333333333334</v>
      </c>
      <c r="H109" s="21" t="s">
        <v>10</v>
      </c>
      <c r="I109" s="21" t="s">
        <v>55</v>
      </c>
      <c r="J109" s="21" t="s">
        <v>2393</v>
      </c>
      <c r="K109" s="5814" t="s">
        <v>2394</v>
      </c>
    </row>
    <row r="110" spans="1:11">
      <c r="A110" s="21" t="s">
        <v>2395</v>
      </c>
      <c r="B110" s="21" t="s">
        <v>2396</v>
      </c>
      <c r="C110" s="21" t="s">
        <v>22</v>
      </c>
      <c r="D110" s="21" t="s">
        <v>2</v>
      </c>
      <c r="E110" s="21" t="s">
        <v>9</v>
      </c>
      <c r="F110" s="5812">
        <v>3</v>
      </c>
      <c r="G110" s="5813">
        <v>0.20833333333333334</v>
      </c>
      <c r="H110" s="21" t="s">
        <v>10</v>
      </c>
      <c r="I110" s="21" t="s">
        <v>96</v>
      </c>
      <c r="J110" s="21" t="s">
        <v>2397</v>
      </c>
      <c r="K110" s="5814" t="s">
        <v>2398</v>
      </c>
    </row>
    <row r="111" spans="1:11">
      <c r="A111" s="21" t="s">
        <v>2395</v>
      </c>
      <c r="B111" s="21" t="s">
        <v>2399</v>
      </c>
      <c r="C111" s="21" t="s">
        <v>8</v>
      </c>
      <c r="D111" s="21" t="s">
        <v>2</v>
      </c>
      <c r="E111" s="21" t="s">
        <v>9</v>
      </c>
      <c r="F111" s="5812">
        <v>3</v>
      </c>
      <c r="G111" s="5813">
        <v>0.20833333333333334</v>
      </c>
      <c r="H111" s="21" t="s">
        <v>10</v>
      </c>
      <c r="I111" s="21" t="s">
        <v>2400</v>
      </c>
      <c r="J111" s="21" t="s">
        <v>2401</v>
      </c>
      <c r="K111" s="5814" t="s">
        <v>2402</v>
      </c>
    </row>
    <row r="112" spans="1:11">
      <c r="A112" s="21" t="s">
        <v>2403</v>
      </c>
      <c r="B112" s="21" t="s">
        <v>2404</v>
      </c>
      <c r="C112" s="21" t="s">
        <v>22</v>
      </c>
      <c r="D112" s="21" t="s">
        <v>2</v>
      </c>
      <c r="E112" s="21" t="s">
        <v>9</v>
      </c>
      <c r="F112" s="5812">
        <v>3</v>
      </c>
      <c r="G112" s="5813">
        <v>0.20833333333333334</v>
      </c>
      <c r="H112" s="21" t="s">
        <v>10</v>
      </c>
      <c r="I112" s="21" t="s">
        <v>55</v>
      </c>
      <c r="J112" s="21" t="s">
        <v>2405</v>
      </c>
      <c r="K112" s="5814" t="s">
        <v>2406</v>
      </c>
    </row>
    <row r="113" spans="1:11">
      <c r="A113" s="21" t="s">
        <v>2403</v>
      </c>
      <c r="B113" s="21" t="s">
        <v>2407</v>
      </c>
      <c r="C113" s="21" t="s">
        <v>8</v>
      </c>
      <c r="D113" s="21" t="s">
        <v>2</v>
      </c>
      <c r="E113" s="21" t="s">
        <v>9</v>
      </c>
      <c r="F113" s="5812">
        <v>3</v>
      </c>
      <c r="G113" s="5813">
        <v>0.20833333333333334</v>
      </c>
      <c r="H113" s="21" t="s">
        <v>10</v>
      </c>
      <c r="I113" s="21" t="s">
        <v>89</v>
      </c>
      <c r="J113" s="21" t="s">
        <v>2408</v>
      </c>
      <c r="K113" s="5814" t="s">
        <v>2409</v>
      </c>
    </row>
    <row r="114" spans="1:11">
      <c r="A114" s="21" t="s">
        <v>2403</v>
      </c>
      <c r="B114" s="21" t="s">
        <v>2410</v>
      </c>
      <c r="C114" s="21" t="s">
        <v>22</v>
      </c>
      <c r="D114" s="21" t="s">
        <v>2</v>
      </c>
      <c r="E114" s="21" t="s">
        <v>9</v>
      </c>
      <c r="F114" s="5812">
        <v>3</v>
      </c>
      <c r="G114" s="5813">
        <v>0.20833333333333334</v>
      </c>
      <c r="H114" s="21" t="s">
        <v>10</v>
      </c>
      <c r="I114" s="21" t="s">
        <v>23</v>
      </c>
      <c r="J114" s="21" t="s">
        <v>2411</v>
      </c>
      <c r="K114" s="5814" t="s">
        <v>2412</v>
      </c>
    </row>
    <row r="115" spans="1:11">
      <c r="A115" s="21" t="s">
        <v>2413</v>
      </c>
      <c r="B115" s="21" t="s">
        <v>2414</v>
      </c>
      <c r="C115" s="21" t="s">
        <v>22</v>
      </c>
      <c r="D115" s="21" t="s">
        <v>2</v>
      </c>
      <c r="E115" s="21" t="s">
        <v>9</v>
      </c>
      <c r="F115" s="5812">
        <v>3</v>
      </c>
      <c r="G115" s="5813">
        <v>0.20833333333333334</v>
      </c>
      <c r="H115" s="21" t="s">
        <v>10</v>
      </c>
      <c r="I115" s="21" t="s">
        <v>96</v>
      </c>
      <c r="J115" s="21" t="s">
        <v>2415</v>
      </c>
      <c r="K115" s="5814" t="s">
        <v>2416</v>
      </c>
    </row>
    <row r="116" spans="1:11">
      <c r="A116" s="21" t="s">
        <v>2413</v>
      </c>
      <c r="B116" s="21" t="s">
        <v>2417</v>
      </c>
      <c r="C116" s="21" t="s">
        <v>22</v>
      </c>
      <c r="D116" s="21" t="s">
        <v>2</v>
      </c>
      <c r="E116" s="21" t="s">
        <v>9</v>
      </c>
      <c r="F116" s="5812">
        <v>3</v>
      </c>
      <c r="G116" s="5813">
        <v>0.20833333333333334</v>
      </c>
      <c r="H116" s="21" t="s">
        <v>10</v>
      </c>
      <c r="I116" s="21" t="s">
        <v>96</v>
      </c>
      <c r="J116" s="21" t="s">
        <v>2418</v>
      </c>
      <c r="K116" s="5814" t="s">
        <v>2419</v>
      </c>
    </row>
    <row r="117" spans="1:11">
      <c r="A117" s="21" t="s">
        <v>2420</v>
      </c>
      <c r="B117" s="21" t="s">
        <v>2421</v>
      </c>
      <c r="C117" s="21" t="s">
        <v>8</v>
      </c>
      <c r="D117" s="21" t="s">
        <v>2</v>
      </c>
      <c r="E117" s="21" t="s">
        <v>9</v>
      </c>
      <c r="F117" s="5812">
        <v>3</v>
      </c>
      <c r="G117" s="5813">
        <v>0.20833333333333334</v>
      </c>
      <c r="H117" s="21" t="s">
        <v>10</v>
      </c>
      <c r="I117" s="21" t="s">
        <v>2153</v>
      </c>
      <c r="J117" s="21" t="s">
        <v>2422</v>
      </c>
      <c r="K117" s="5814" t="s">
        <v>2423</v>
      </c>
    </row>
    <row r="118" spans="1:11">
      <c r="A118" s="21" t="s">
        <v>2424</v>
      </c>
      <c r="B118" s="21" t="s">
        <v>2425</v>
      </c>
      <c r="C118" s="21" t="s">
        <v>8</v>
      </c>
      <c r="D118" s="21" t="s">
        <v>2</v>
      </c>
      <c r="E118" s="21" t="s">
        <v>9</v>
      </c>
      <c r="F118" s="5812">
        <v>3</v>
      </c>
      <c r="G118" s="5813">
        <v>0.20833333333333334</v>
      </c>
      <c r="H118" s="21" t="s">
        <v>10</v>
      </c>
      <c r="I118" s="21" t="s">
        <v>55</v>
      </c>
      <c r="J118" s="21" t="s">
        <v>2426</v>
      </c>
      <c r="K118" s="5814" t="s">
        <v>2427</v>
      </c>
    </row>
    <row r="119" spans="1:11">
      <c r="A119" s="21" t="s">
        <v>2428</v>
      </c>
      <c r="B119" s="21" t="s">
        <v>2429</v>
      </c>
      <c r="C119" s="21" t="s">
        <v>8</v>
      </c>
      <c r="D119" s="21" t="s">
        <v>2</v>
      </c>
      <c r="E119" s="21" t="s">
        <v>9</v>
      </c>
      <c r="F119" s="5812">
        <v>3</v>
      </c>
      <c r="G119" s="5813">
        <v>0.20833333333333334</v>
      </c>
      <c r="H119" s="21" t="s">
        <v>10</v>
      </c>
      <c r="I119" s="21" t="s">
        <v>2430</v>
      </c>
      <c r="J119" s="21" t="s">
        <v>2431</v>
      </c>
      <c r="K119" s="5814" t="s">
        <v>2432</v>
      </c>
    </row>
    <row r="120" spans="1:11">
      <c r="A120" s="21" t="s">
        <v>2433</v>
      </c>
      <c r="B120" s="21" t="s">
        <v>2434</v>
      </c>
      <c r="C120" s="21" t="s">
        <v>8</v>
      </c>
      <c r="D120" s="21" t="s">
        <v>2</v>
      </c>
      <c r="E120" s="21" t="s">
        <v>9</v>
      </c>
      <c r="F120" s="5812">
        <v>3</v>
      </c>
      <c r="G120" s="5813">
        <v>0.20833333333333334</v>
      </c>
      <c r="H120" s="21" t="s">
        <v>10</v>
      </c>
      <c r="I120" s="21" t="s">
        <v>2435</v>
      </c>
      <c r="J120" s="21" t="s">
        <v>2436</v>
      </c>
      <c r="K120" s="5814" t="s">
        <v>2437</v>
      </c>
    </row>
    <row r="121" spans="1:11">
      <c r="A121" s="21" t="s">
        <v>2438</v>
      </c>
      <c r="B121" s="21" t="s">
        <v>2439</v>
      </c>
      <c r="C121" s="21" t="s">
        <v>8</v>
      </c>
      <c r="D121" s="21" t="s">
        <v>2</v>
      </c>
      <c r="E121" s="21" t="s">
        <v>9</v>
      </c>
      <c r="F121" s="5812">
        <v>3</v>
      </c>
      <c r="G121" s="5813">
        <v>0.20833333333333334</v>
      </c>
      <c r="H121" s="21" t="s">
        <v>10</v>
      </c>
      <c r="I121" s="21" t="s">
        <v>47</v>
      </c>
      <c r="J121" s="21" t="s">
        <v>2440</v>
      </c>
      <c r="K121" s="5814" t="s">
        <v>2441</v>
      </c>
    </row>
    <row r="122" spans="1:11">
      <c r="A122" s="21" t="s">
        <v>2442</v>
      </c>
      <c r="B122" s="21" t="s">
        <v>2443</v>
      </c>
      <c r="C122" s="21" t="s">
        <v>22</v>
      </c>
      <c r="D122" s="21" t="s">
        <v>2</v>
      </c>
      <c r="E122" s="21" t="s">
        <v>9</v>
      </c>
      <c r="F122" s="5812">
        <v>3</v>
      </c>
      <c r="G122" s="5813">
        <v>0.20833333333333334</v>
      </c>
      <c r="H122" s="21" t="s">
        <v>10</v>
      </c>
      <c r="I122" s="21" t="s">
        <v>11</v>
      </c>
      <c r="J122" s="21" t="s">
        <v>2444</v>
      </c>
      <c r="K122" s="5814" t="s">
        <v>2445</v>
      </c>
    </row>
    <row r="123" spans="1:11">
      <c r="A123" s="21" t="s">
        <v>2446</v>
      </c>
      <c r="B123" s="21" t="s">
        <v>2447</v>
      </c>
      <c r="C123" s="21" t="s">
        <v>8</v>
      </c>
      <c r="D123" s="21" t="s">
        <v>2</v>
      </c>
      <c r="E123" s="21" t="s">
        <v>9</v>
      </c>
      <c r="F123" s="5812">
        <v>3</v>
      </c>
      <c r="G123" s="5813">
        <v>0.20833333333333334</v>
      </c>
      <c r="H123" s="21" t="s">
        <v>10</v>
      </c>
      <c r="I123" s="21" t="s">
        <v>11</v>
      </c>
      <c r="J123" s="21" t="s">
        <v>2448</v>
      </c>
      <c r="K123" s="5814" t="s">
        <v>2449</v>
      </c>
    </row>
    <row r="124" spans="1:11">
      <c r="A124" s="21" t="s">
        <v>2450</v>
      </c>
      <c r="B124" s="21" t="s">
        <v>2451</v>
      </c>
      <c r="C124" s="21" t="s">
        <v>22</v>
      </c>
      <c r="D124" s="21" t="s">
        <v>2</v>
      </c>
      <c r="E124" s="21" t="s">
        <v>9</v>
      </c>
      <c r="F124" s="5812">
        <v>3</v>
      </c>
      <c r="G124" s="5813">
        <v>0.20833333333333334</v>
      </c>
      <c r="H124" s="21" t="s">
        <v>10</v>
      </c>
      <c r="I124" s="21" t="s">
        <v>654</v>
      </c>
      <c r="J124" s="21" t="s">
        <v>2452</v>
      </c>
      <c r="K124" s="5814" t="s">
        <v>2453</v>
      </c>
    </row>
    <row r="125" spans="1:11">
      <c r="A125" s="21" t="s">
        <v>2454</v>
      </c>
      <c r="B125" s="21" t="s">
        <v>2455</v>
      </c>
      <c r="C125" s="21" t="s">
        <v>22</v>
      </c>
      <c r="D125" s="21" t="s">
        <v>2</v>
      </c>
      <c r="E125" s="21" t="s">
        <v>9</v>
      </c>
      <c r="F125" s="5812">
        <v>3</v>
      </c>
      <c r="G125" s="5813">
        <v>0.20833333333333334</v>
      </c>
      <c r="H125" s="21" t="s">
        <v>10</v>
      </c>
      <c r="I125" s="21" t="s">
        <v>96</v>
      </c>
      <c r="J125" s="21" t="s">
        <v>2456</v>
      </c>
      <c r="K125" s="5814" t="s">
        <v>2457</v>
      </c>
    </row>
    <row r="126" spans="1:11">
      <c r="A126" s="21" t="s">
        <v>2454</v>
      </c>
      <c r="B126" s="21" t="s">
        <v>2458</v>
      </c>
      <c r="C126" s="21" t="s">
        <v>8</v>
      </c>
      <c r="D126" s="21" t="s">
        <v>2</v>
      </c>
      <c r="E126" s="21" t="s">
        <v>9</v>
      </c>
      <c r="F126" s="5812">
        <v>3</v>
      </c>
      <c r="G126" s="5813">
        <v>0.20833333333333334</v>
      </c>
      <c r="H126" s="21" t="s">
        <v>10</v>
      </c>
      <c r="I126" s="21" t="s">
        <v>55</v>
      </c>
      <c r="J126" s="21" t="s">
        <v>2459</v>
      </c>
      <c r="K126" s="5814" t="s">
        <v>2460</v>
      </c>
    </row>
    <row r="127" spans="1:11">
      <c r="A127" s="21" t="s">
        <v>2461</v>
      </c>
      <c r="B127" s="21" t="s">
        <v>2462</v>
      </c>
      <c r="C127" s="21" t="s">
        <v>22</v>
      </c>
      <c r="D127" s="21" t="s">
        <v>2</v>
      </c>
      <c r="E127" s="21" t="s">
        <v>9</v>
      </c>
      <c r="F127" s="5812">
        <v>3</v>
      </c>
      <c r="G127" s="5813">
        <v>0.20833333333333334</v>
      </c>
      <c r="H127" s="21" t="s">
        <v>10</v>
      </c>
      <c r="I127" s="21" t="s">
        <v>47</v>
      </c>
      <c r="J127" s="21" t="s">
        <v>1420</v>
      </c>
      <c r="K127" s="5814" t="s">
        <v>2463</v>
      </c>
    </row>
    <row r="128" spans="1:11">
      <c r="A128" s="21" t="s">
        <v>2104</v>
      </c>
      <c r="B128" s="21" t="s">
        <v>2464</v>
      </c>
      <c r="C128" s="21" t="s">
        <v>8</v>
      </c>
      <c r="D128" s="21" t="s">
        <v>2</v>
      </c>
      <c r="E128" s="21" t="s">
        <v>9</v>
      </c>
      <c r="F128" s="5812">
        <v>3</v>
      </c>
      <c r="G128" s="5813">
        <v>0.20833333333333334</v>
      </c>
      <c r="H128" s="21" t="s">
        <v>10</v>
      </c>
      <c r="I128" s="21" t="s">
        <v>39</v>
      </c>
      <c r="J128" s="21" t="s">
        <v>2465</v>
      </c>
      <c r="K128" s="5814" t="s">
        <v>2466</v>
      </c>
    </row>
    <row r="129" spans="1:11">
      <c r="A129" s="21" t="s">
        <v>2467</v>
      </c>
      <c r="B129" s="21" t="s">
        <v>2468</v>
      </c>
      <c r="C129" s="21" t="s">
        <v>8</v>
      </c>
      <c r="D129" s="21" t="s">
        <v>2</v>
      </c>
      <c r="E129" s="21" t="s">
        <v>9</v>
      </c>
      <c r="F129" s="5812">
        <v>3</v>
      </c>
      <c r="G129" s="5813">
        <v>0.20833333333333334</v>
      </c>
      <c r="H129" s="21" t="s">
        <v>10</v>
      </c>
      <c r="I129" s="21" t="s">
        <v>23</v>
      </c>
      <c r="J129" s="21" t="s">
        <v>2469</v>
      </c>
      <c r="K129" s="5814" t="s">
        <v>2470</v>
      </c>
    </row>
    <row r="130" spans="1:11">
      <c r="A130" s="21" t="s">
        <v>2471</v>
      </c>
      <c r="B130" s="21" t="s">
        <v>2472</v>
      </c>
      <c r="C130" s="21" t="s">
        <v>8</v>
      </c>
      <c r="D130" s="21" t="s">
        <v>2</v>
      </c>
      <c r="E130" s="21" t="s">
        <v>9</v>
      </c>
      <c r="F130" s="5812">
        <v>3</v>
      </c>
      <c r="G130" s="5813">
        <v>0.20833333333333334</v>
      </c>
      <c r="H130" s="21" t="s">
        <v>10</v>
      </c>
      <c r="I130" s="21" t="s">
        <v>55</v>
      </c>
      <c r="J130" s="21" t="s">
        <v>2473</v>
      </c>
      <c r="K130" s="5814" t="s">
        <v>2474</v>
      </c>
    </row>
    <row r="131" spans="1:11">
      <c r="A131" s="21" t="s">
        <v>2471</v>
      </c>
      <c r="B131" s="21" t="s">
        <v>2475</v>
      </c>
      <c r="C131" s="21" t="s">
        <v>709</v>
      </c>
      <c r="D131" s="21" t="s">
        <v>2</v>
      </c>
      <c r="E131" s="21" t="s">
        <v>9</v>
      </c>
      <c r="F131" s="5812">
        <v>3</v>
      </c>
      <c r="G131" s="5813">
        <v>0.20833333333333334</v>
      </c>
      <c r="H131" s="21" t="s">
        <v>10</v>
      </c>
      <c r="I131" s="21" t="s">
        <v>11</v>
      </c>
      <c r="J131" s="21" t="s">
        <v>2476</v>
      </c>
      <c r="K131" s="5814" t="s">
        <v>2477</v>
      </c>
    </row>
    <row r="132" spans="1:11">
      <c r="A132" s="21" t="s">
        <v>2478</v>
      </c>
      <c r="B132" s="21" t="s">
        <v>2479</v>
      </c>
      <c r="C132" s="21" t="s">
        <v>8</v>
      </c>
      <c r="D132" s="21" t="s">
        <v>2</v>
      </c>
      <c r="E132" s="21" t="s">
        <v>9</v>
      </c>
      <c r="F132" s="5812">
        <v>3</v>
      </c>
      <c r="G132" s="5813">
        <v>0.20833333333333334</v>
      </c>
      <c r="H132" s="21" t="s">
        <v>10</v>
      </c>
      <c r="I132" s="21" t="s">
        <v>23</v>
      </c>
      <c r="J132" s="21" t="s">
        <v>220</v>
      </c>
      <c r="K132" s="5814" t="s">
        <v>2480</v>
      </c>
    </row>
    <row r="133" spans="1:11">
      <c r="A133" s="21" t="s">
        <v>2481</v>
      </c>
      <c r="B133" s="21" t="s">
        <v>2482</v>
      </c>
      <c r="C133" s="21" t="s">
        <v>8</v>
      </c>
      <c r="D133" s="21" t="s">
        <v>2</v>
      </c>
      <c r="E133" s="21" t="s">
        <v>9</v>
      </c>
      <c r="F133" s="5812">
        <v>3</v>
      </c>
      <c r="G133" s="5813">
        <v>0.20833333333333334</v>
      </c>
      <c r="H133" s="21" t="s">
        <v>10</v>
      </c>
      <c r="I133" s="21" t="s">
        <v>23</v>
      </c>
      <c r="J133" s="21" t="s">
        <v>2483</v>
      </c>
      <c r="K133" s="5814" t="s">
        <v>2484</v>
      </c>
    </row>
    <row r="134" spans="1:11">
      <c r="A134" s="21" t="s">
        <v>2115</v>
      </c>
      <c r="B134" s="21" t="s">
        <v>2485</v>
      </c>
      <c r="C134" s="21" t="s">
        <v>8</v>
      </c>
      <c r="D134" s="21" t="s">
        <v>2</v>
      </c>
      <c r="E134" s="21" t="s">
        <v>9</v>
      </c>
      <c r="F134" s="5812">
        <v>3</v>
      </c>
      <c r="G134" s="5813">
        <v>0.20833333333333334</v>
      </c>
      <c r="H134" s="21" t="s">
        <v>10</v>
      </c>
      <c r="I134" s="21" t="s">
        <v>89</v>
      </c>
      <c r="J134" s="21" t="s">
        <v>2486</v>
      </c>
      <c r="K134" s="5814" t="s">
        <v>2487</v>
      </c>
    </row>
    <row r="135" spans="1:11">
      <c r="A135" s="21" t="s">
        <v>2115</v>
      </c>
      <c r="B135" s="21" t="s">
        <v>2488</v>
      </c>
      <c r="C135" s="21" t="s">
        <v>8</v>
      </c>
      <c r="D135" s="21" t="s">
        <v>2</v>
      </c>
      <c r="E135" s="21" t="s">
        <v>9</v>
      </c>
      <c r="F135" s="5812">
        <v>3</v>
      </c>
      <c r="G135" s="5813">
        <v>0.20833333333333334</v>
      </c>
      <c r="H135" s="21" t="s">
        <v>10</v>
      </c>
      <c r="I135" s="21" t="s">
        <v>209</v>
      </c>
      <c r="J135" s="21" t="s">
        <v>2489</v>
      </c>
      <c r="K135" s="5814" t="s">
        <v>2490</v>
      </c>
    </row>
    <row r="136" spans="1:11">
      <c r="A136" s="21" t="s">
        <v>2491</v>
      </c>
      <c r="B136" s="21" t="s">
        <v>2492</v>
      </c>
      <c r="C136" s="21" t="s">
        <v>22</v>
      </c>
      <c r="D136" s="21" t="s">
        <v>2</v>
      </c>
      <c r="E136" s="21" t="s">
        <v>9</v>
      </c>
      <c r="F136" s="5812">
        <v>3</v>
      </c>
      <c r="G136" s="5813">
        <v>0.20833333333333334</v>
      </c>
      <c r="H136" s="21" t="s">
        <v>10</v>
      </c>
      <c r="I136" s="21" t="s">
        <v>55</v>
      </c>
      <c r="J136" s="21" t="s">
        <v>2493</v>
      </c>
      <c r="K136" s="5814" t="s">
        <v>2494</v>
      </c>
    </row>
    <row r="137" spans="1:11">
      <c r="A137" s="21" t="s">
        <v>2495</v>
      </c>
      <c r="B137" s="21" t="s">
        <v>2496</v>
      </c>
      <c r="C137" s="21" t="s">
        <v>8</v>
      </c>
      <c r="D137" s="21" t="s">
        <v>2</v>
      </c>
      <c r="E137" s="21" t="s">
        <v>9</v>
      </c>
      <c r="F137" s="5812">
        <v>3</v>
      </c>
      <c r="G137" s="5813">
        <v>0.20833333333333334</v>
      </c>
      <c r="H137" s="21" t="s">
        <v>10</v>
      </c>
      <c r="I137" s="21" t="s">
        <v>89</v>
      </c>
      <c r="J137" s="21" t="s">
        <v>2497</v>
      </c>
      <c r="K137" s="5814" t="s">
        <v>2498</v>
      </c>
    </row>
    <row r="138" spans="1:11">
      <c r="A138" s="21" t="s">
        <v>2499</v>
      </c>
      <c r="B138" s="21" t="s">
        <v>2500</v>
      </c>
      <c r="C138" s="21" t="s">
        <v>8</v>
      </c>
      <c r="D138" s="21" t="s">
        <v>2</v>
      </c>
      <c r="E138" s="21" t="s">
        <v>9</v>
      </c>
      <c r="F138" s="5812">
        <v>3</v>
      </c>
      <c r="G138" s="5813">
        <v>0.20833333333333334</v>
      </c>
      <c r="H138" s="21" t="s">
        <v>10</v>
      </c>
      <c r="I138" s="21" t="s">
        <v>23</v>
      </c>
      <c r="J138" s="21" t="s">
        <v>2501</v>
      </c>
      <c r="K138" s="5814" t="s">
        <v>2502</v>
      </c>
    </row>
    <row r="139" spans="1:11">
      <c r="A139" s="21" t="s">
        <v>2123</v>
      </c>
      <c r="B139" s="21" t="s">
        <v>2503</v>
      </c>
      <c r="C139" s="21" t="s">
        <v>22</v>
      </c>
      <c r="D139" s="21" t="s">
        <v>2</v>
      </c>
      <c r="E139" s="21" t="s">
        <v>9</v>
      </c>
      <c r="F139" s="5812">
        <v>3</v>
      </c>
      <c r="G139" s="5813">
        <v>0.20833333333333334</v>
      </c>
      <c r="H139" s="21" t="s">
        <v>10</v>
      </c>
      <c r="I139" s="21" t="s">
        <v>39</v>
      </c>
      <c r="J139" s="21" t="s">
        <v>2504</v>
      </c>
      <c r="K139" s="5814" t="s">
        <v>2505</v>
      </c>
    </row>
    <row r="140" spans="1:11">
      <c r="A140" s="21" t="s">
        <v>2506</v>
      </c>
      <c r="B140" s="21" t="s">
        <v>2273</v>
      </c>
      <c r="C140" s="21" t="s">
        <v>8</v>
      </c>
      <c r="D140" s="21" t="s">
        <v>2</v>
      </c>
      <c r="E140" s="21" t="s">
        <v>9</v>
      </c>
      <c r="F140" s="5812">
        <v>3</v>
      </c>
      <c r="G140" s="5813">
        <v>0.20833333333333334</v>
      </c>
      <c r="H140" s="21" t="s">
        <v>10</v>
      </c>
      <c r="I140" s="21" t="s">
        <v>55</v>
      </c>
      <c r="J140" s="21" t="s">
        <v>2507</v>
      </c>
      <c r="K140" s="5814" t="s">
        <v>2508</v>
      </c>
    </row>
    <row r="141" spans="1:11">
      <c r="A141" s="21" t="s">
        <v>2509</v>
      </c>
      <c r="B141" s="21" t="s">
        <v>2510</v>
      </c>
      <c r="C141" s="21" t="s">
        <v>8</v>
      </c>
      <c r="D141" s="21" t="s">
        <v>2</v>
      </c>
      <c r="E141" s="21" t="s">
        <v>9</v>
      </c>
      <c r="F141" s="5812">
        <v>3</v>
      </c>
      <c r="G141" s="5813">
        <v>0.20833333333333334</v>
      </c>
      <c r="H141" s="21" t="s">
        <v>10</v>
      </c>
      <c r="I141" s="21" t="s">
        <v>226</v>
      </c>
      <c r="J141" s="21" t="s">
        <v>2511</v>
      </c>
      <c r="K141" s="5814" t="s">
        <v>2512</v>
      </c>
    </row>
    <row r="142" spans="1:11">
      <c r="A142" s="21" t="s">
        <v>2513</v>
      </c>
      <c r="B142" s="21" t="s">
        <v>2514</v>
      </c>
      <c r="C142" s="21" t="s">
        <v>8</v>
      </c>
      <c r="D142" s="21" t="s">
        <v>2</v>
      </c>
      <c r="E142" s="21" t="s">
        <v>9</v>
      </c>
      <c r="F142" s="5812">
        <v>3</v>
      </c>
      <c r="G142" s="5813">
        <v>0.20833333333333334</v>
      </c>
      <c r="H142" s="21" t="s">
        <v>10</v>
      </c>
      <c r="I142" s="21" t="s">
        <v>96</v>
      </c>
      <c r="J142" s="21" t="s">
        <v>2515</v>
      </c>
      <c r="K142" s="5814" t="s">
        <v>2516</v>
      </c>
    </row>
    <row r="143" spans="1:11">
      <c r="A143" s="21" t="s">
        <v>2517</v>
      </c>
      <c r="B143" s="21" t="s">
        <v>2518</v>
      </c>
      <c r="C143" s="21" t="s">
        <v>22</v>
      </c>
      <c r="D143" s="21" t="s">
        <v>2</v>
      </c>
      <c r="E143" s="21" t="s">
        <v>9</v>
      </c>
      <c r="F143" s="5812">
        <v>3</v>
      </c>
      <c r="G143" s="5813">
        <v>0.20833333333333334</v>
      </c>
      <c r="H143" s="21" t="s">
        <v>10</v>
      </c>
      <c r="I143" s="21" t="s">
        <v>2313</v>
      </c>
      <c r="J143" s="21" t="s">
        <v>2519</v>
      </c>
      <c r="K143" s="5814" t="s">
        <v>2520</v>
      </c>
    </row>
    <row r="144" spans="1:11">
      <c r="A144" s="21" t="s">
        <v>2521</v>
      </c>
      <c r="B144" s="21" t="s">
        <v>2522</v>
      </c>
      <c r="C144" s="21" t="s">
        <v>8</v>
      </c>
      <c r="D144" s="21" t="s">
        <v>2</v>
      </c>
      <c r="E144" s="21" t="s">
        <v>9</v>
      </c>
      <c r="F144" s="5812">
        <v>3</v>
      </c>
      <c r="G144" s="5813">
        <v>0.20833333333333334</v>
      </c>
      <c r="H144" s="21" t="s">
        <v>10</v>
      </c>
      <c r="I144" s="21" t="s">
        <v>2523</v>
      </c>
      <c r="J144" s="21" t="s">
        <v>2524</v>
      </c>
      <c r="K144" s="5814" t="s">
        <v>2525</v>
      </c>
    </row>
    <row r="145" spans="1:11">
      <c r="A145" s="21" t="s">
        <v>2526</v>
      </c>
      <c r="B145" s="21" t="s">
        <v>2527</v>
      </c>
      <c r="C145" s="21" t="s">
        <v>22</v>
      </c>
      <c r="D145" s="21" t="s">
        <v>2</v>
      </c>
      <c r="E145" s="21" t="s">
        <v>9</v>
      </c>
      <c r="F145" s="5812">
        <v>3</v>
      </c>
      <c r="G145" s="5813">
        <v>0.20833333333333334</v>
      </c>
      <c r="H145" s="21" t="s">
        <v>10</v>
      </c>
      <c r="I145" s="21" t="s">
        <v>39</v>
      </c>
      <c r="J145" s="21" t="s">
        <v>2528</v>
      </c>
      <c r="K145" s="5814" t="s">
        <v>2529</v>
      </c>
    </row>
    <row r="146" spans="1:11">
      <c r="A146" s="21" t="s">
        <v>2530</v>
      </c>
      <c r="B146" s="21" t="s">
        <v>2531</v>
      </c>
      <c r="C146" s="21" t="s">
        <v>22</v>
      </c>
      <c r="D146" s="21" t="s">
        <v>2</v>
      </c>
      <c r="E146" s="21" t="s">
        <v>9</v>
      </c>
      <c r="F146" s="5812">
        <v>3</v>
      </c>
      <c r="G146" s="5813">
        <v>0.20833333333333334</v>
      </c>
      <c r="H146" s="21" t="s">
        <v>10</v>
      </c>
      <c r="I146" s="21" t="s">
        <v>23</v>
      </c>
      <c r="J146" s="21" t="s">
        <v>2532</v>
      </c>
      <c r="K146" s="5814" t="s">
        <v>2533</v>
      </c>
    </row>
    <row r="147" spans="1:11">
      <c r="A147" s="21" t="s">
        <v>2534</v>
      </c>
      <c r="B147" s="21" t="s">
        <v>2535</v>
      </c>
      <c r="C147" s="21" t="s">
        <v>709</v>
      </c>
      <c r="D147" s="21" t="s">
        <v>2</v>
      </c>
      <c r="E147" s="21" t="s">
        <v>9</v>
      </c>
      <c r="F147" s="5812">
        <v>3</v>
      </c>
      <c r="G147" s="5813">
        <v>0.20833333333333334</v>
      </c>
      <c r="H147" s="21" t="s">
        <v>10</v>
      </c>
      <c r="I147" s="21" t="s">
        <v>23</v>
      </c>
      <c r="J147" s="21" t="s">
        <v>2536</v>
      </c>
      <c r="K147" s="5814" t="s">
        <v>2537</v>
      </c>
    </row>
    <row r="148" spans="1:11">
      <c r="A148" s="21" t="s">
        <v>2538</v>
      </c>
      <c r="B148" s="21" t="s">
        <v>2539</v>
      </c>
      <c r="C148" s="21" t="s">
        <v>8</v>
      </c>
      <c r="D148" s="21" t="s">
        <v>2</v>
      </c>
      <c r="E148" s="21" t="s">
        <v>9</v>
      </c>
      <c r="F148" s="5812">
        <v>3</v>
      </c>
      <c r="G148" s="5813">
        <v>0.20833333333333334</v>
      </c>
      <c r="H148" s="21" t="s">
        <v>10</v>
      </c>
      <c r="I148" s="21" t="s">
        <v>47</v>
      </c>
      <c r="J148" s="21" t="s">
        <v>2540</v>
      </c>
      <c r="K148" s="5814" t="s">
        <v>2541</v>
      </c>
    </row>
    <row r="149" spans="1:11">
      <c r="A149" s="21" t="s">
        <v>2542</v>
      </c>
      <c r="B149" s="21" t="s">
        <v>2543</v>
      </c>
      <c r="C149" s="21" t="s">
        <v>8</v>
      </c>
      <c r="D149" s="21" t="s">
        <v>2</v>
      </c>
      <c r="E149" s="21" t="s">
        <v>9</v>
      </c>
      <c r="F149" s="5812">
        <v>3</v>
      </c>
      <c r="G149" s="5813">
        <v>0.20833333333333334</v>
      </c>
      <c r="H149" s="21" t="s">
        <v>10</v>
      </c>
      <c r="I149" s="21" t="s">
        <v>2544</v>
      </c>
      <c r="J149" s="21" t="s">
        <v>2545</v>
      </c>
      <c r="K149" s="5814" t="s">
        <v>2546</v>
      </c>
    </row>
    <row r="150" spans="1:11">
      <c r="A150" s="21" t="s">
        <v>2547</v>
      </c>
      <c r="B150" s="21" t="s">
        <v>2548</v>
      </c>
      <c r="C150" s="21" t="s">
        <v>8</v>
      </c>
      <c r="D150" s="21" t="s">
        <v>2</v>
      </c>
      <c r="E150" s="21" t="s">
        <v>9</v>
      </c>
      <c r="F150" s="5812">
        <v>3</v>
      </c>
      <c r="G150" s="5813">
        <v>0.20833333333333334</v>
      </c>
      <c r="H150" s="21" t="s">
        <v>10</v>
      </c>
      <c r="I150" s="21" t="s">
        <v>55</v>
      </c>
      <c r="J150" s="21" t="s">
        <v>2549</v>
      </c>
      <c r="K150" s="5814" t="s">
        <v>2550</v>
      </c>
    </row>
    <row r="151" spans="1:11">
      <c r="A151" s="21" t="s">
        <v>2551</v>
      </c>
      <c r="B151" s="21" t="s">
        <v>2552</v>
      </c>
      <c r="C151" s="21" t="s">
        <v>22</v>
      </c>
      <c r="D151" s="21" t="s">
        <v>2</v>
      </c>
      <c r="E151" s="21" t="s">
        <v>9</v>
      </c>
      <c r="F151" s="5812">
        <v>3</v>
      </c>
      <c r="G151" s="5813">
        <v>0.20833333333333334</v>
      </c>
      <c r="H151" s="21" t="s">
        <v>10</v>
      </c>
      <c r="I151" s="21" t="s">
        <v>226</v>
      </c>
      <c r="J151" s="21" t="s">
        <v>2553</v>
      </c>
      <c r="K151" s="5814" t="s">
        <v>2554</v>
      </c>
    </row>
    <row r="152" spans="1:11">
      <c r="A152" s="21" t="s">
        <v>2555</v>
      </c>
      <c r="B152" s="21" t="s">
        <v>2556</v>
      </c>
      <c r="C152" s="21" t="s">
        <v>22</v>
      </c>
      <c r="D152" s="21" t="s">
        <v>2</v>
      </c>
      <c r="E152" s="21" t="s">
        <v>9</v>
      </c>
      <c r="F152" s="5812">
        <v>3</v>
      </c>
      <c r="G152" s="5813">
        <v>0.20833333333333334</v>
      </c>
      <c r="H152" s="21" t="s">
        <v>10</v>
      </c>
      <c r="I152" s="21" t="s">
        <v>2557</v>
      </c>
      <c r="J152" s="21" t="s">
        <v>2558</v>
      </c>
      <c r="K152" s="5814" t="s">
        <v>2559</v>
      </c>
    </row>
    <row r="153" spans="1:11">
      <c r="A153" s="21" t="s">
        <v>2560</v>
      </c>
      <c r="B153" s="21" t="s">
        <v>2561</v>
      </c>
      <c r="C153" s="21" t="s">
        <v>8</v>
      </c>
      <c r="D153" s="21" t="s">
        <v>2</v>
      </c>
      <c r="E153" s="21" t="s">
        <v>9</v>
      </c>
      <c r="F153" s="5812">
        <v>3</v>
      </c>
      <c r="G153" s="5813">
        <v>0.20833333333333334</v>
      </c>
      <c r="H153" s="21" t="s">
        <v>10</v>
      </c>
      <c r="I153" s="21" t="s">
        <v>226</v>
      </c>
      <c r="J153" s="21" t="s">
        <v>2562</v>
      </c>
      <c r="K153" s="5814" t="s">
        <v>2563</v>
      </c>
    </row>
    <row r="154" spans="1:11">
      <c r="A154" s="21" t="s">
        <v>2147</v>
      </c>
      <c r="B154" s="21" t="s">
        <v>2564</v>
      </c>
      <c r="C154" s="21" t="s">
        <v>8</v>
      </c>
      <c r="D154" s="21" t="s">
        <v>2</v>
      </c>
      <c r="E154" s="21" t="s">
        <v>9</v>
      </c>
      <c r="F154" s="5812">
        <v>3</v>
      </c>
      <c r="G154" s="5813">
        <v>0.20833333333333334</v>
      </c>
      <c r="H154" s="21" t="s">
        <v>10</v>
      </c>
      <c r="I154" s="21" t="s">
        <v>2149</v>
      </c>
      <c r="J154" s="21" t="s">
        <v>2565</v>
      </c>
      <c r="K154" s="5814" t="s">
        <v>2566</v>
      </c>
    </row>
    <row r="155" spans="1:11">
      <c r="A155" s="21" t="s">
        <v>2070</v>
      </c>
      <c r="B155" s="21" t="s">
        <v>2567</v>
      </c>
      <c r="C155" s="21" t="s">
        <v>8</v>
      </c>
      <c r="D155" s="21" t="s">
        <v>2</v>
      </c>
      <c r="E155" s="21" t="s">
        <v>9</v>
      </c>
      <c r="F155" s="5812">
        <v>3</v>
      </c>
      <c r="G155" s="5813">
        <v>0.20833333333333334</v>
      </c>
      <c r="H155" s="21" t="s">
        <v>10</v>
      </c>
      <c r="I155" s="21" t="s">
        <v>2568</v>
      </c>
      <c r="J155" s="21" t="s">
        <v>2569</v>
      </c>
      <c r="K155" s="5814" t="s">
        <v>2570</v>
      </c>
    </row>
    <row r="156" spans="1:11">
      <c r="A156" s="21" t="s">
        <v>2571</v>
      </c>
      <c r="B156" s="21" t="s">
        <v>2572</v>
      </c>
      <c r="C156" s="21" t="s">
        <v>8</v>
      </c>
      <c r="D156" s="21" t="s">
        <v>2</v>
      </c>
      <c r="E156" s="21" t="s">
        <v>9</v>
      </c>
      <c r="F156" s="5812">
        <v>3</v>
      </c>
      <c r="G156" s="5813">
        <v>0.20833333333333334</v>
      </c>
      <c r="H156" s="21" t="s">
        <v>10</v>
      </c>
      <c r="I156" s="21" t="s">
        <v>226</v>
      </c>
      <c r="J156" s="21" t="s">
        <v>2573</v>
      </c>
      <c r="K156" s="5814" t="s">
        <v>2574</v>
      </c>
    </row>
    <row r="157" spans="1:11">
      <c r="A157" s="21" t="s">
        <v>2165</v>
      </c>
      <c r="B157" s="21" t="s">
        <v>2575</v>
      </c>
      <c r="C157" s="21" t="s">
        <v>22</v>
      </c>
      <c r="D157" s="21" t="s">
        <v>2</v>
      </c>
      <c r="E157" s="21" t="s">
        <v>9</v>
      </c>
      <c r="F157" s="5812">
        <v>3</v>
      </c>
      <c r="G157" s="5813">
        <v>0.20833333333333334</v>
      </c>
      <c r="H157" s="21" t="s">
        <v>10</v>
      </c>
      <c r="I157" s="21" t="s">
        <v>2576</v>
      </c>
      <c r="J157" s="21" t="s">
        <v>2577</v>
      </c>
      <c r="K157" s="5814" t="s">
        <v>2578</v>
      </c>
    </row>
    <row r="158" spans="1:11">
      <c r="A158" s="21" t="s">
        <v>2579</v>
      </c>
      <c r="B158" s="21" t="s">
        <v>2580</v>
      </c>
      <c r="C158" s="21" t="s">
        <v>8</v>
      </c>
      <c r="D158" s="21" t="s">
        <v>2</v>
      </c>
      <c r="E158" s="21" t="s">
        <v>9</v>
      </c>
      <c r="F158" s="5812">
        <v>3</v>
      </c>
      <c r="G158" s="5813">
        <v>0.20833333333333334</v>
      </c>
      <c r="H158" s="21" t="s">
        <v>10</v>
      </c>
      <c r="I158" s="21" t="s">
        <v>2153</v>
      </c>
      <c r="J158" s="21" t="s">
        <v>2581</v>
      </c>
      <c r="K158" s="5814" t="s">
        <v>2582</v>
      </c>
    </row>
    <row r="159" spans="1:11">
      <c r="A159" s="21" t="s">
        <v>2579</v>
      </c>
      <c r="B159" s="21" t="s">
        <v>2583</v>
      </c>
      <c r="C159" s="21" t="s">
        <v>8</v>
      </c>
      <c r="D159" s="21" t="s">
        <v>2</v>
      </c>
      <c r="E159" s="21" t="s">
        <v>9</v>
      </c>
      <c r="F159" s="5812">
        <v>3</v>
      </c>
      <c r="G159" s="5813">
        <v>0.20833333333333334</v>
      </c>
      <c r="H159" s="21" t="s">
        <v>10</v>
      </c>
      <c r="I159" s="21" t="s">
        <v>2269</v>
      </c>
      <c r="J159" s="21" t="s">
        <v>2584</v>
      </c>
      <c r="K159" s="5814" t="s">
        <v>2585</v>
      </c>
    </row>
    <row r="160" spans="1:11">
      <c r="A160" s="21" t="s">
        <v>2169</v>
      </c>
      <c r="B160" s="21" t="s">
        <v>2586</v>
      </c>
      <c r="C160" s="21" t="s">
        <v>22</v>
      </c>
      <c r="D160" s="21" t="s">
        <v>2</v>
      </c>
      <c r="E160" s="21" t="s">
        <v>9</v>
      </c>
      <c r="F160" s="5812">
        <v>3</v>
      </c>
      <c r="G160" s="5813">
        <v>0.20833333333333334</v>
      </c>
      <c r="H160" s="21" t="s">
        <v>10</v>
      </c>
      <c r="I160" s="21" t="s">
        <v>615</v>
      </c>
      <c r="J160" s="21" t="s">
        <v>2587</v>
      </c>
      <c r="K160" s="5814" t="s">
        <v>2588</v>
      </c>
    </row>
    <row r="161" spans="1:11">
      <c r="A161" s="21" t="s">
        <v>2179</v>
      </c>
      <c r="B161" s="21" t="s">
        <v>2589</v>
      </c>
      <c r="C161" s="21" t="s">
        <v>8</v>
      </c>
      <c r="D161" s="21" t="s">
        <v>2</v>
      </c>
      <c r="E161" s="21" t="s">
        <v>9</v>
      </c>
      <c r="F161" s="5812">
        <v>3</v>
      </c>
      <c r="G161" s="5813">
        <v>0.20833333333333334</v>
      </c>
      <c r="H161" s="21" t="s">
        <v>10</v>
      </c>
      <c r="I161" s="21" t="s">
        <v>226</v>
      </c>
      <c r="J161" s="21" t="s">
        <v>2590</v>
      </c>
      <c r="K161" s="5814" t="s">
        <v>2591</v>
      </c>
    </row>
    <row r="162" spans="1:11">
      <c r="A162" s="21" t="s">
        <v>2179</v>
      </c>
      <c r="B162" s="21" t="s">
        <v>2592</v>
      </c>
      <c r="C162" s="21" t="s">
        <v>8</v>
      </c>
      <c r="D162" s="21" t="s">
        <v>2</v>
      </c>
      <c r="E162" s="21" t="s">
        <v>9</v>
      </c>
      <c r="F162" s="5812">
        <v>3</v>
      </c>
      <c r="G162" s="5813">
        <v>0.20833333333333334</v>
      </c>
      <c r="H162" s="21" t="s">
        <v>10</v>
      </c>
      <c r="I162" s="21" t="s">
        <v>73</v>
      </c>
      <c r="J162" s="21" t="s">
        <v>2593</v>
      </c>
      <c r="K162" s="5814" t="s">
        <v>2594</v>
      </c>
    </row>
    <row r="163" spans="1:11">
      <c r="A163" s="21" t="s">
        <v>2595</v>
      </c>
      <c r="B163" s="21" t="s">
        <v>2596</v>
      </c>
      <c r="C163" s="21" t="s">
        <v>8</v>
      </c>
      <c r="D163" s="21" t="s">
        <v>2</v>
      </c>
      <c r="E163" s="21" t="s">
        <v>9</v>
      </c>
      <c r="F163" s="5812">
        <v>3</v>
      </c>
      <c r="G163" s="5813">
        <v>0.20833333333333334</v>
      </c>
      <c r="H163" s="21" t="s">
        <v>10</v>
      </c>
      <c r="I163" s="21" t="s">
        <v>2597</v>
      </c>
      <c r="J163" s="21" t="s">
        <v>2598</v>
      </c>
      <c r="K163" s="5814" t="s">
        <v>2599</v>
      </c>
    </row>
    <row r="164" spans="1:11">
      <c r="A164" s="21" t="s">
        <v>2600</v>
      </c>
      <c r="B164" s="21" t="s">
        <v>2601</v>
      </c>
      <c r="C164" s="21" t="s">
        <v>8</v>
      </c>
      <c r="D164" s="21" t="s">
        <v>2</v>
      </c>
      <c r="E164" s="21" t="s">
        <v>9</v>
      </c>
      <c r="F164" s="5812">
        <v>3</v>
      </c>
      <c r="G164" s="5813">
        <v>0.20833333333333334</v>
      </c>
      <c r="H164" s="21" t="s">
        <v>10</v>
      </c>
      <c r="I164" s="21" t="s">
        <v>2602</v>
      </c>
      <c r="J164" s="21" t="s">
        <v>2603</v>
      </c>
      <c r="K164" s="5814" t="s">
        <v>2604</v>
      </c>
    </row>
    <row r="165" spans="1:11">
      <c r="A165" s="21" t="s">
        <v>2605</v>
      </c>
      <c r="B165" s="21" t="s">
        <v>2606</v>
      </c>
      <c r="C165" s="21" t="s">
        <v>8</v>
      </c>
      <c r="D165" s="21" t="s">
        <v>2</v>
      </c>
      <c r="E165" s="21" t="s">
        <v>9</v>
      </c>
      <c r="F165" s="5812">
        <v>3</v>
      </c>
      <c r="G165" s="5813">
        <v>0.20833333333333334</v>
      </c>
      <c r="H165" s="21" t="s">
        <v>10</v>
      </c>
      <c r="I165" s="21" t="s">
        <v>263</v>
      </c>
      <c r="J165" s="21" t="s">
        <v>2607</v>
      </c>
      <c r="K165" s="5814" t="s">
        <v>2608</v>
      </c>
    </row>
    <row r="166" spans="1:11">
      <c r="A166" s="21" t="s">
        <v>2609</v>
      </c>
      <c r="B166" s="21" t="s">
        <v>2610</v>
      </c>
      <c r="C166" s="21" t="s">
        <v>22</v>
      </c>
      <c r="D166" s="21" t="s">
        <v>2</v>
      </c>
      <c r="E166" s="21" t="s">
        <v>9</v>
      </c>
      <c r="F166" s="5812">
        <v>3</v>
      </c>
      <c r="G166" s="5813">
        <v>0.20833333333333334</v>
      </c>
      <c r="H166" s="21" t="s">
        <v>10</v>
      </c>
      <c r="I166" s="21" t="s">
        <v>187</v>
      </c>
      <c r="J166" s="21" t="s">
        <v>2611</v>
      </c>
      <c r="K166" s="5814" t="s">
        <v>2612</v>
      </c>
    </row>
    <row r="167" spans="1:11">
      <c r="A167" s="21" t="s">
        <v>2609</v>
      </c>
      <c r="B167" s="21" t="s">
        <v>2613</v>
      </c>
      <c r="C167" s="21" t="s">
        <v>8</v>
      </c>
      <c r="D167" s="21" t="s">
        <v>2</v>
      </c>
      <c r="E167" s="21" t="s">
        <v>9</v>
      </c>
      <c r="F167" s="5812">
        <v>3</v>
      </c>
      <c r="G167" s="5813">
        <v>0.20833333333333334</v>
      </c>
      <c r="H167" s="21" t="s">
        <v>10</v>
      </c>
      <c r="I167" s="21" t="s">
        <v>47</v>
      </c>
      <c r="J167" s="21" t="s">
        <v>2614</v>
      </c>
      <c r="K167" s="5814" t="s">
        <v>2615</v>
      </c>
    </row>
    <row r="168" spans="1:11">
      <c r="A168" s="21" t="s">
        <v>2616</v>
      </c>
      <c r="B168" s="21" t="s">
        <v>2617</v>
      </c>
      <c r="C168" s="21" t="s">
        <v>22</v>
      </c>
      <c r="D168" s="21" t="s">
        <v>2</v>
      </c>
      <c r="E168" s="21" t="s">
        <v>9</v>
      </c>
      <c r="F168" s="5812">
        <v>3</v>
      </c>
      <c r="G168" s="5813">
        <v>0.20833333333333334</v>
      </c>
      <c r="H168" s="21" t="s">
        <v>10</v>
      </c>
      <c r="I168" s="21" t="s">
        <v>187</v>
      </c>
      <c r="J168" s="21" t="s">
        <v>2618</v>
      </c>
      <c r="K168" s="5814" t="s">
        <v>2619</v>
      </c>
    </row>
    <row r="169" spans="1:11">
      <c r="A169" s="21" t="s">
        <v>2616</v>
      </c>
      <c r="B169" s="21" t="s">
        <v>2620</v>
      </c>
      <c r="C169" s="21" t="s">
        <v>22</v>
      </c>
      <c r="D169" s="21" t="s">
        <v>2</v>
      </c>
      <c r="E169" s="21" t="s">
        <v>9</v>
      </c>
      <c r="F169" s="5812">
        <v>3</v>
      </c>
      <c r="G169" s="5813">
        <v>0.20833333333333334</v>
      </c>
      <c r="H169" s="21" t="s">
        <v>10</v>
      </c>
      <c r="I169" s="21" t="s">
        <v>187</v>
      </c>
      <c r="J169" s="21" t="s">
        <v>2621</v>
      </c>
      <c r="K169" s="5814" t="s">
        <v>2622</v>
      </c>
    </row>
    <row r="170" spans="1:11">
      <c r="A170" s="21" t="s">
        <v>2616</v>
      </c>
      <c r="B170" s="21" t="s">
        <v>2623</v>
      </c>
      <c r="C170" s="21" t="s">
        <v>22</v>
      </c>
      <c r="D170" s="21" t="s">
        <v>2</v>
      </c>
      <c r="E170" s="21" t="s">
        <v>9</v>
      </c>
      <c r="F170" s="5812">
        <v>3</v>
      </c>
      <c r="G170" s="5813">
        <v>0.20833333333333334</v>
      </c>
      <c r="H170" s="21" t="s">
        <v>10</v>
      </c>
      <c r="I170" s="21" t="s">
        <v>187</v>
      </c>
      <c r="J170" s="21" t="s">
        <v>2624</v>
      </c>
      <c r="K170" s="5814" t="s">
        <v>2625</v>
      </c>
    </row>
    <row r="171" spans="1:11">
      <c r="A171" s="21" t="s">
        <v>2626</v>
      </c>
      <c r="B171" s="21" t="s">
        <v>2627</v>
      </c>
      <c r="C171" s="21" t="s">
        <v>8</v>
      </c>
      <c r="D171" s="21" t="s">
        <v>2</v>
      </c>
      <c r="E171" s="21" t="s">
        <v>9</v>
      </c>
      <c r="F171" s="5812">
        <v>3</v>
      </c>
      <c r="G171" s="5813">
        <v>0.20833333333333334</v>
      </c>
      <c r="H171" s="21" t="s">
        <v>10</v>
      </c>
      <c r="I171" s="21" t="s">
        <v>96</v>
      </c>
      <c r="J171" s="21" t="s">
        <v>2628</v>
      </c>
      <c r="K171" s="5814" t="s">
        <v>2629</v>
      </c>
    </row>
    <row r="172" spans="1:11">
      <c r="A172" s="21" t="s">
        <v>2630</v>
      </c>
      <c r="B172" s="21" t="s">
        <v>2631</v>
      </c>
      <c r="C172" s="21" t="s">
        <v>22</v>
      </c>
      <c r="D172" s="21" t="s">
        <v>2</v>
      </c>
      <c r="E172" s="21" t="s">
        <v>9</v>
      </c>
      <c r="F172" s="5812">
        <v>3</v>
      </c>
      <c r="G172" s="5813">
        <v>0.20833333333333334</v>
      </c>
      <c r="H172" s="21" t="s">
        <v>10</v>
      </c>
      <c r="I172" s="21" t="s">
        <v>2632</v>
      </c>
      <c r="J172" s="21" t="s">
        <v>2633</v>
      </c>
      <c r="K172" s="5814" t="s">
        <v>2634</v>
      </c>
    </row>
    <row r="173" spans="1:11">
      <c r="A173" s="21" t="s">
        <v>2630</v>
      </c>
      <c r="B173" s="21" t="s">
        <v>2635</v>
      </c>
      <c r="C173" s="21" t="s">
        <v>8</v>
      </c>
      <c r="D173" s="21" t="s">
        <v>2</v>
      </c>
      <c r="E173" s="21" t="s">
        <v>9</v>
      </c>
      <c r="F173" s="5812">
        <v>3</v>
      </c>
      <c r="G173" s="5813">
        <v>0.20833333333333334</v>
      </c>
      <c r="H173" s="21" t="s">
        <v>10</v>
      </c>
      <c r="I173" s="21" t="s">
        <v>2218</v>
      </c>
      <c r="J173" s="21" t="s">
        <v>2636</v>
      </c>
      <c r="K173" s="5814" t="s">
        <v>2637</v>
      </c>
    </row>
    <row r="174" spans="1:11">
      <c r="A174" s="21" t="s">
        <v>2638</v>
      </c>
      <c r="B174" s="21" t="s">
        <v>2639</v>
      </c>
      <c r="C174" s="21" t="s">
        <v>22</v>
      </c>
      <c r="D174" s="21" t="s">
        <v>2</v>
      </c>
      <c r="E174" s="21" t="s">
        <v>9</v>
      </c>
      <c r="F174" s="5812">
        <v>3</v>
      </c>
      <c r="G174" s="5813">
        <v>0.20833333333333334</v>
      </c>
      <c r="H174" s="21" t="s">
        <v>10</v>
      </c>
      <c r="I174" s="21" t="s">
        <v>2640</v>
      </c>
      <c r="J174" s="21" t="s">
        <v>2641</v>
      </c>
      <c r="K174" s="5814" t="s">
        <v>2642</v>
      </c>
    </row>
    <row r="175" spans="1:11">
      <c r="A175" s="21" t="s">
        <v>2643</v>
      </c>
      <c r="B175" s="21" t="s">
        <v>2644</v>
      </c>
      <c r="C175" s="21" t="s">
        <v>8</v>
      </c>
      <c r="D175" s="21" t="s">
        <v>2</v>
      </c>
      <c r="E175" s="21" t="s">
        <v>9</v>
      </c>
      <c r="F175" s="5812">
        <v>3</v>
      </c>
      <c r="G175" s="5813">
        <v>0.20833333333333334</v>
      </c>
      <c r="H175" s="21" t="s">
        <v>10</v>
      </c>
      <c r="I175" s="21" t="s">
        <v>23</v>
      </c>
      <c r="J175" s="21" t="s">
        <v>2645</v>
      </c>
      <c r="K175" s="5814" t="s">
        <v>2646</v>
      </c>
    </row>
    <row r="176" spans="1:11">
      <c r="A176" s="21" t="s">
        <v>2647</v>
      </c>
      <c r="B176" s="21" t="s">
        <v>2648</v>
      </c>
      <c r="C176" s="21" t="s">
        <v>22</v>
      </c>
      <c r="D176" s="21" t="s">
        <v>2</v>
      </c>
      <c r="E176" s="21" t="s">
        <v>9</v>
      </c>
      <c r="F176" s="5812">
        <v>3</v>
      </c>
      <c r="G176" s="5813">
        <v>0.20833333333333334</v>
      </c>
      <c r="H176" s="21" t="s">
        <v>10</v>
      </c>
      <c r="I176" s="21" t="s">
        <v>2260</v>
      </c>
      <c r="J176" s="21" t="s">
        <v>2649</v>
      </c>
      <c r="K176" s="5814" t="s">
        <v>2650</v>
      </c>
    </row>
    <row r="177" spans="1:11">
      <c r="A177" s="21" t="s">
        <v>2651</v>
      </c>
      <c r="B177" s="21" t="s">
        <v>2652</v>
      </c>
      <c r="C177" s="21" t="s">
        <v>22</v>
      </c>
      <c r="D177" s="21" t="s">
        <v>2</v>
      </c>
      <c r="E177" s="21" t="s">
        <v>9</v>
      </c>
      <c r="F177" s="5812">
        <v>3</v>
      </c>
      <c r="G177" s="5813">
        <v>0.20833333333333334</v>
      </c>
      <c r="H177" s="21" t="s">
        <v>10</v>
      </c>
      <c r="I177" s="21" t="s">
        <v>2430</v>
      </c>
      <c r="J177" s="21" t="s">
        <v>2653</v>
      </c>
      <c r="K177" s="5814" t="s">
        <v>2654</v>
      </c>
    </row>
    <row r="178" spans="1:11">
      <c r="A178" s="21" t="s">
        <v>2655</v>
      </c>
      <c r="B178" s="21" t="s">
        <v>2656</v>
      </c>
      <c r="C178" s="21" t="s">
        <v>22</v>
      </c>
      <c r="D178" s="21" t="s">
        <v>2</v>
      </c>
      <c r="E178" s="21" t="s">
        <v>9</v>
      </c>
      <c r="F178" s="5812">
        <v>3</v>
      </c>
      <c r="G178" s="5813">
        <v>0.20833333333333334</v>
      </c>
      <c r="H178" s="21" t="s">
        <v>10</v>
      </c>
      <c r="I178" s="21" t="s">
        <v>2269</v>
      </c>
      <c r="J178" s="21" t="s">
        <v>2657</v>
      </c>
      <c r="K178" s="5814" t="s">
        <v>2658</v>
      </c>
    </row>
    <row r="179" spans="1:11">
      <c r="A179" s="21" t="s">
        <v>2655</v>
      </c>
      <c r="B179" s="21" t="s">
        <v>2659</v>
      </c>
      <c r="C179" s="21" t="s">
        <v>22</v>
      </c>
      <c r="D179" s="21" t="s">
        <v>2</v>
      </c>
      <c r="E179" s="21" t="s">
        <v>9</v>
      </c>
      <c r="F179" s="5812">
        <v>3</v>
      </c>
      <c r="G179" s="5813">
        <v>0.20833333333333334</v>
      </c>
      <c r="H179" s="21" t="s">
        <v>10</v>
      </c>
      <c r="I179" s="21" t="s">
        <v>2660</v>
      </c>
      <c r="J179" s="21" t="s">
        <v>2661</v>
      </c>
      <c r="K179" s="5814" t="s">
        <v>2662</v>
      </c>
    </row>
    <row r="180" spans="1:11">
      <c r="A180" s="21" t="s">
        <v>2663</v>
      </c>
      <c r="B180" s="21" t="s">
        <v>2664</v>
      </c>
      <c r="C180" s="21" t="s">
        <v>8</v>
      </c>
      <c r="D180" s="21" t="s">
        <v>2</v>
      </c>
      <c r="E180" s="21" t="s">
        <v>9</v>
      </c>
      <c r="F180" s="5812">
        <v>3</v>
      </c>
      <c r="G180" s="5813">
        <v>0.20833333333333334</v>
      </c>
      <c r="H180" s="21" t="s">
        <v>10</v>
      </c>
      <c r="I180" s="21" t="s">
        <v>2665</v>
      </c>
      <c r="J180" s="21" t="s">
        <v>2666</v>
      </c>
      <c r="K180" s="5814" t="s">
        <v>2667</v>
      </c>
    </row>
    <row r="181" spans="1:11">
      <c r="A181" s="21" t="s">
        <v>2668</v>
      </c>
      <c r="B181" s="21" t="s">
        <v>2669</v>
      </c>
      <c r="C181" s="21" t="s">
        <v>8</v>
      </c>
      <c r="D181" s="21" t="s">
        <v>2</v>
      </c>
      <c r="E181" s="21" t="s">
        <v>9</v>
      </c>
      <c r="F181" s="5812">
        <v>3</v>
      </c>
      <c r="G181" s="5813">
        <v>0.20833333333333334</v>
      </c>
      <c r="H181" s="21" t="s">
        <v>10</v>
      </c>
      <c r="I181" s="21" t="s">
        <v>1184</v>
      </c>
      <c r="J181" s="21" t="s">
        <v>2670</v>
      </c>
      <c r="K181" s="5814" t="s">
        <v>2671</v>
      </c>
    </row>
    <row r="182" spans="1:11">
      <c r="A182" s="21" t="s">
        <v>2188</v>
      </c>
      <c r="B182" s="21" t="s">
        <v>2672</v>
      </c>
      <c r="C182" s="21" t="s">
        <v>8</v>
      </c>
      <c r="D182" s="21" t="s">
        <v>2</v>
      </c>
      <c r="E182" s="21" t="s">
        <v>9</v>
      </c>
      <c r="F182" s="5812">
        <v>3</v>
      </c>
      <c r="G182" s="5813">
        <v>0.20833333333333334</v>
      </c>
      <c r="H182" s="21" t="s">
        <v>10</v>
      </c>
      <c r="I182" s="21" t="s">
        <v>47</v>
      </c>
      <c r="J182" s="21" t="s">
        <v>2673</v>
      </c>
      <c r="K182" s="5814" t="s">
        <v>2674</v>
      </c>
    </row>
    <row r="183" spans="1:11">
      <c r="A183" s="21" t="s">
        <v>2675</v>
      </c>
      <c r="B183" s="21" t="s">
        <v>2676</v>
      </c>
      <c r="C183" s="21" t="s">
        <v>8</v>
      </c>
      <c r="D183" s="21" t="s">
        <v>2</v>
      </c>
      <c r="E183" s="21" t="s">
        <v>9</v>
      </c>
      <c r="F183" s="5812">
        <v>3</v>
      </c>
      <c r="G183" s="5813">
        <v>0.20833333333333334</v>
      </c>
      <c r="H183" s="21" t="s">
        <v>10</v>
      </c>
      <c r="I183" s="21" t="s">
        <v>400</v>
      </c>
      <c r="J183" s="21" t="s">
        <v>2677</v>
      </c>
      <c r="K183" s="5814" t="s">
        <v>2678</v>
      </c>
    </row>
    <row r="184" spans="1:11">
      <c r="A184" s="21" t="s">
        <v>2679</v>
      </c>
      <c r="B184" s="21" t="s">
        <v>2680</v>
      </c>
      <c r="C184" s="21" t="s">
        <v>8</v>
      </c>
      <c r="D184" s="21" t="s">
        <v>2</v>
      </c>
      <c r="E184" s="21" t="s">
        <v>9</v>
      </c>
      <c r="F184" s="5812">
        <v>3</v>
      </c>
      <c r="G184" s="5813">
        <v>0.20833333333333334</v>
      </c>
      <c r="H184" s="21" t="s">
        <v>10</v>
      </c>
      <c r="I184" s="21" t="s">
        <v>47</v>
      </c>
      <c r="J184" s="21" t="s">
        <v>2681</v>
      </c>
      <c r="K184" s="5814" t="s">
        <v>2682</v>
      </c>
    </row>
    <row r="185" spans="1:11">
      <c r="A185" s="21" t="s">
        <v>2679</v>
      </c>
      <c r="B185" s="21" t="s">
        <v>2683</v>
      </c>
      <c r="C185" s="21" t="s">
        <v>8</v>
      </c>
      <c r="D185" s="21" t="s">
        <v>2</v>
      </c>
      <c r="E185" s="21" t="s">
        <v>9</v>
      </c>
      <c r="F185" s="5812">
        <v>3</v>
      </c>
      <c r="G185" s="5813">
        <v>0.20833333333333334</v>
      </c>
      <c r="H185" s="21" t="s">
        <v>10</v>
      </c>
      <c r="I185" s="21" t="s">
        <v>2684</v>
      </c>
      <c r="J185" s="21" t="s">
        <v>2685</v>
      </c>
      <c r="K185" s="5814" t="s">
        <v>2686</v>
      </c>
    </row>
    <row r="186" spans="1:11">
      <c r="A186" s="21" t="s">
        <v>2687</v>
      </c>
      <c r="B186" s="21" t="s">
        <v>2688</v>
      </c>
      <c r="C186" s="21" t="s">
        <v>8</v>
      </c>
      <c r="D186" s="21" t="s">
        <v>2</v>
      </c>
      <c r="E186" s="21" t="s">
        <v>9</v>
      </c>
      <c r="F186" s="5812">
        <v>3</v>
      </c>
      <c r="G186" s="5813">
        <v>0.20833333333333334</v>
      </c>
      <c r="H186" s="21" t="s">
        <v>10</v>
      </c>
      <c r="I186" s="21" t="s">
        <v>226</v>
      </c>
      <c r="J186" s="21" t="s">
        <v>2689</v>
      </c>
      <c r="K186" s="5814" t="s">
        <v>2690</v>
      </c>
    </row>
    <row r="187" spans="1:11">
      <c r="A187" s="21" t="s">
        <v>2201</v>
      </c>
      <c r="B187" s="21" t="s">
        <v>2691</v>
      </c>
      <c r="C187" s="21" t="s">
        <v>8</v>
      </c>
      <c r="D187" s="21" t="s">
        <v>2</v>
      </c>
      <c r="E187" s="21" t="s">
        <v>9</v>
      </c>
      <c r="F187" s="5812">
        <v>3</v>
      </c>
      <c r="G187" s="5813">
        <v>0.20833333333333334</v>
      </c>
      <c r="H187" s="21" t="s">
        <v>10</v>
      </c>
      <c r="I187" s="21" t="s">
        <v>2692</v>
      </c>
      <c r="J187" s="21" t="s">
        <v>2693</v>
      </c>
      <c r="K187" s="5814" t="s">
        <v>2694</v>
      </c>
    </row>
    <row r="188" spans="1:11">
      <c r="A188" s="21" t="s">
        <v>2201</v>
      </c>
      <c r="B188" s="21" t="s">
        <v>2695</v>
      </c>
      <c r="C188" s="21" t="s">
        <v>8</v>
      </c>
      <c r="D188" s="21" t="s">
        <v>2</v>
      </c>
      <c r="E188" s="21" t="s">
        <v>9</v>
      </c>
      <c r="F188" s="5812">
        <v>3</v>
      </c>
      <c r="G188" s="5813">
        <v>0.20833333333333334</v>
      </c>
      <c r="H188" s="21" t="s">
        <v>10</v>
      </c>
      <c r="I188" s="21" t="s">
        <v>615</v>
      </c>
      <c r="J188" s="21" t="s">
        <v>2696</v>
      </c>
      <c r="K188" s="5814" t="s">
        <v>2697</v>
      </c>
    </row>
    <row r="189" spans="1:11">
      <c r="A189" s="21" t="s">
        <v>2698</v>
      </c>
      <c r="B189" s="21" t="s">
        <v>2699</v>
      </c>
      <c r="C189" s="21" t="s">
        <v>22</v>
      </c>
      <c r="D189" s="21" t="s">
        <v>2</v>
      </c>
      <c r="E189" s="21" t="s">
        <v>9</v>
      </c>
      <c r="F189" s="5812">
        <v>3</v>
      </c>
      <c r="G189" s="5813">
        <v>0.20833333333333334</v>
      </c>
      <c r="H189" s="21" t="s">
        <v>10</v>
      </c>
      <c r="I189" s="21" t="s">
        <v>2523</v>
      </c>
      <c r="J189" s="21" t="s">
        <v>2700</v>
      </c>
      <c r="K189" s="5814" t="s">
        <v>2701</v>
      </c>
    </row>
    <row r="190" spans="1:11">
      <c r="A190" s="21" t="s">
        <v>2702</v>
      </c>
      <c r="B190" s="21" t="s">
        <v>2703</v>
      </c>
      <c r="C190" s="21" t="s">
        <v>22</v>
      </c>
      <c r="D190" s="21" t="s">
        <v>2</v>
      </c>
      <c r="E190" s="21" t="s">
        <v>9</v>
      </c>
      <c r="F190" s="5812">
        <v>3</v>
      </c>
      <c r="G190" s="5813">
        <v>0.20833333333333334</v>
      </c>
      <c r="H190" s="21" t="s">
        <v>10</v>
      </c>
      <c r="I190" s="21" t="s">
        <v>2704</v>
      </c>
      <c r="J190" s="21" t="s">
        <v>2705</v>
      </c>
      <c r="K190" s="5814" t="s">
        <v>2706</v>
      </c>
    </row>
    <row r="191" spans="1:11">
      <c r="A191" s="21" t="s">
        <v>2707</v>
      </c>
      <c r="B191" s="21" t="s">
        <v>2708</v>
      </c>
      <c r="C191" s="21" t="s">
        <v>8</v>
      </c>
      <c r="D191" s="21" t="s">
        <v>2</v>
      </c>
      <c r="E191" s="21" t="s">
        <v>9</v>
      </c>
      <c r="F191" s="5812">
        <v>3</v>
      </c>
      <c r="G191" s="5813">
        <v>0.20833333333333334</v>
      </c>
      <c r="H191" s="21" t="s">
        <v>10</v>
      </c>
      <c r="I191" s="21" t="s">
        <v>47</v>
      </c>
      <c r="J191" s="21" t="s">
        <v>2709</v>
      </c>
      <c r="K191" s="5814" t="s">
        <v>2710</v>
      </c>
    </row>
    <row r="192" spans="1:11">
      <c r="A192" s="21" t="s">
        <v>2711</v>
      </c>
      <c r="B192" s="21" t="s">
        <v>2712</v>
      </c>
      <c r="C192" s="21" t="s">
        <v>22</v>
      </c>
      <c r="D192" s="21" t="s">
        <v>2</v>
      </c>
      <c r="E192" s="21" t="s">
        <v>9</v>
      </c>
      <c r="F192" s="5812">
        <v>3</v>
      </c>
      <c r="G192" s="5813">
        <v>0.20833333333333334</v>
      </c>
      <c r="H192" s="21" t="s">
        <v>10</v>
      </c>
      <c r="I192" s="21" t="s">
        <v>2713</v>
      </c>
      <c r="J192" s="21" t="s">
        <v>2714</v>
      </c>
      <c r="K192" s="5814" t="s">
        <v>2715</v>
      </c>
    </row>
    <row r="193" spans="1:11">
      <c r="A193" s="21" t="s">
        <v>2711</v>
      </c>
      <c r="B193" s="21" t="s">
        <v>2716</v>
      </c>
      <c r="C193" s="21" t="s">
        <v>22</v>
      </c>
      <c r="D193" s="21" t="s">
        <v>2</v>
      </c>
      <c r="E193" s="21" t="s">
        <v>9</v>
      </c>
      <c r="F193" s="5812">
        <v>3</v>
      </c>
      <c r="G193" s="5813">
        <v>0.20833333333333334</v>
      </c>
      <c r="H193" s="21" t="s">
        <v>10</v>
      </c>
      <c r="I193" s="21"/>
      <c r="J193" s="21" t="s">
        <v>2717</v>
      </c>
      <c r="K193" s="5814" t="s">
        <v>2718</v>
      </c>
    </row>
    <row r="194" spans="1:11">
      <c r="A194" s="21" t="s">
        <v>2719</v>
      </c>
      <c r="B194" s="21" t="s">
        <v>2720</v>
      </c>
      <c r="C194" s="21" t="s">
        <v>8</v>
      </c>
      <c r="D194" s="21" t="s">
        <v>2</v>
      </c>
      <c r="E194" s="21" t="s">
        <v>9</v>
      </c>
      <c r="F194" s="5812">
        <v>3</v>
      </c>
      <c r="G194" s="5813">
        <v>0.20833333333333334</v>
      </c>
      <c r="H194" s="21" t="s">
        <v>10</v>
      </c>
      <c r="I194" s="21" t="s">
        <v>2721</v>
      </c>
      <c r="J194" s="21" t="s">
        <v>2722</v>
      </c>
      <c r="K194" s="5814" t="s">
        <v>2723</v>
      </c>
    </row>
    <row r="195" spans="1:11">
      <c r="A195" s="21" t="s">
        <v>2724</v>
      </c>
      <c r="B195" s="21" t="s">
        <v>2725</v>
      </c>
      <c r="C195" s="21" t="s">
        <v>8</v>
      </c>
      <c r="D195" s="21" t="s">
        <v>2</v>
      </c>
      <c r="E195" s="21" t="s">
        <v>9</v>
      </c>
      <c r="F195" s="5812">
        <v>3</v>
      </c>
      <c r="G195" s="5813">
        <v>0.20833333333333334</v>
      </c>
      <c r="H195" s="21" t="s">
        <v>10</v>
      </c>
      <c r="I195" s="21" t="s">
        <v>2726</v>
      </c>
      <c r="J195" s="21" t="s">
        <v>2727</v>
      </c>
      <c r="K195" s="5814" t="s">
        <v>2728</v>
      </c>
    </row>
    <row r="196" spans="1:11">
      <c r="A196" s="21" t="s">
        <v>2729</v>
      </c>
      <c r="B196" s="21" t="s">
        <v>2730</v>
      </c>
      <c r="C196" s="21" t="s">
        <v>8</v>
      </c>
      <c r="D196" s="21" t="s">
        <v>2</v>
      </c>
      <c r="E196" s="21" t="s">
        <v>9</v>
      </c>
      <c r="F196" s="5812">
        <v>3</v>
      </c>
      <c r="G196" s="5813">
        <v>0.20833333333333334</v>
      </c>
      <c r="H196" s="21" t="s">
        <v>10</v>
      </c>
      <c r="I196" s="21" t="s">
        <v>2731</v>
      </c>
      <c r="J196" s="21" t="s">
        <v>2732</v>
      </c>
      <c r="K196" s="5814" t="s">
        <v>2733</v>
      </c>
    </row>
    <row r="197" spans="1:11">
      <c r="A197" s="21" t="s">
        <v>2205</v>
      </c>
      <c r="B197" s="21" t="s">
        <v>2734</v>
      </c>
      <c r="C197" s="21" t="s">
        <v>8</v>
      </c>
      <c r="D197" s="21" t="s">
        <v>2</v>
      </c>
      <c r="E197" s="21" t="s">
        <v>9</v>
      </c>
      <c r="F197" s="5812">
        <v>3</v>
      </c>
      <c r="G197" s="5813">
        <v>0.20833333333333334</v>
      </c>
      <c r="H197" s="21" t="s">
        <v>10</v>
      </c>
      <c r="I197" s="21" t="s">
        <v>39</v>
      </c>
      <c r="J197" s="21" t="s">
        <v>2735</v>
      </c>
      <c r="K197" s="5814" t="s">
        <v>2736</v>
      </c>
    </row>
    <row r="198" spans="1:11">
      <c r="A198" s="21" t="s">
        <v>2737</v>
      </c>
      <c r="B198" s="21" t="s">
        <v>2738</v>
      </c>
      <c r="C198" s="21" t="s">
        <v>22</v>
      </c>
      <c r="D198" s="21" t="s">
        <v>2</v>
      </c>
      <c r="E198" s="21" t="s">
        <v>9</v>
      </c>
      <c r="F198" s="5812">
        <v>3</v>
      </c>
      <c r="G198" s="5813">
        <v>0.20833333333333334</v>
      </c>
      <c r="H198" s="21" t="s">
        <v>10</v>
      </c>
      <c r="I198" s="21" t="s">
        <v>226</v>
      </c>
      <c r="J198" s="21" t="s">
        <v>2739</v>
      </c>
      <c r="K198" s="5814" t="s">
        <v>2740</v>
      </c>
    </row>
    <row r="199" spans="1:11">
      <c r="A199" s="21" t="s">
        <v>2741</v>
      </c>
      <c r="B199" s="21" t="s">
        <v>2742</v>
      </c>
      <c r="C199" s="21" t="s">
        <v>22</v>
      </c>
      <c r="D199" s="21" t="s">
        <v>2</v>
      </c>
      <c r="E199" s="21" t="s">
        <v>9</v>
      </c>
      <c r="F199" s="5812">
        <v>3</v>
      </c>
      <c r="G199" s="5813">
        <v>0.20833333333333334</v>
      </c>
      <c r="H199" s="21" t="s">
        <v>10</v>
      </c>
      <c r="I199" s="21" t="s">
        <v>47</v>
      </c>
      <c r="J199" s="21" t="s">
        <v>2743</v>
      </c>
      <c r="K199" s="5814" t="s">
        <v>2744</v>
      </c>
    </row>
    <row r="200" spans="1:11">
      <c r="A200" s="21" t="s">
        <v>2745</v>
      </c>
      <c r="B200" s="21" t="s">
        <v>2746</v>
      </c>
      <c r="C200" s="21" t="s">
        <v>8</v>
      </c>
      <c r="D200" s="21" t="s">
        <v>2</v>
      </c>
      <c r="E200" s="21" t="s">
        <v>9</v>
      </c>
      <c r="F200" s="5812">
        <v>3</v>
      </c>
      <c r="G200" s="5813">
        <v>0.20833333333333334</v>
      </c>
      <c r="H200" s="21" t="s">
        <v>10</v>
      </c>
      <c r="I200" s="21" t="s">
        <v>2747</v>
      </c>
      <c r="J200" s="21" t="s">
        <v>2748</v>
      </c>
      <c r="K200" s="5814" t="s">
        <v>2749</v>
      </c>
    </row>
    <row r="201" spans="1:11">
      <c r="A201" s="21" t="s">
        <v>2212</v>
      </c>
      <c r="B201" s="21" t="s">
        <v>2750</v>
      </c>
      <c r="C201" s="21" t="s">
        <v>22</v>
      </c>
      <c r="D201" s="21" t="s">
        <v>2</v>
      </c>
      <c r="E201" s="21" t="s">
        <v>9</v>
      </c>
      <c r="F201" s="5812">
        <v>3</v>
      </c>
      <c r="G201" s="5813">
        <v>0.20833333333333334</v>
      </c>
      <c r="H201" s="21" t="s">
        <v>10</v>
      </c>
      <c r="I201" s="21" t="s">
        <v>2751</v>
      </c>
      <c r="J201" s="21" t="s">
        <v>2752</v>
      </c>
      <c r="K201" s="5814" t="s">
        <v>2753</v>
      </c>
    </row>
    <row r="202" spans="1:11">
      <c r="A202" s="21" t="s">
        <v>2212</v>
      </c>
      <c r="B202" s="21" t="s">
        <v>2754</v>
      </c>
      <c r="C202" s="21" t="s">
        <v>8</v>
      </c>
      <c r="D202" s="21" t="s">
        <v>2</v>
      </c>
      <c r="E202" s="21" t="s">
        <v>9</v>
      </c>
      <c r="F202" s="5812">
        <v>3</v>
      </c>
      <c r="G202" s="5813">
        <v>0.20833333333333334</v>
      </c>
      <c r="H202" s="21" t="s">
        <v>10</v>
      </c>
      <c r="I202" s="21" t="s">
        <v>2597</v>
      </c>
      <c r="J202" s="21" t="s">
        <v>2755</v>
      </c>
      <c r="K202" s="5814" t="s">
        <v>2756</v>
      </c>
    </row>
    <row r="203" spans="1:11">
      <c r="A203" s="21" t="s">
        <v>2757</v>
      </c>
      <c r="B203" s="21" t="s">
        <v>2758</v>
      </c>
      <c r="C203" s="21" t="s">
        <v>8</v>
      </c>
      <c r="D203" s="21" t="s">
        <v>2</v>
      </c>
      <c r="E203" s="21" t="s">
        <v>9</v>
      </c>
      <c r="F203" s="5812">
        <v>3</v>
      </c>
      <c r="G203" s="5813">
        <v>0.20833333333333334</v>
      </c>
      <c r="H203" s="21" t="s">
        <v>10</v>
      </c>
      <c r="I203" s="21" t="s">
        <v>55</v>
      </c>
      <c r="J203" s="21" t="s">
        <v>2759</v>
      </c>
      <c r="K203" s="5814" t="s">
        <v>2760</v>
      </c>
    </row>
    <row r="204" spans="1:11">
      <c r="A204" s="21" t="s">
        <v>2761</v>
      </c>
      <c r="B204" s="21" t="s">
        <v>2762</v>
      </c>
      <c r="C204" s="21" t="s">
        <v>8</v>
      </c>
      <c r="D204" s="21" t="s">
        <v>2</v>
      </c>
      <c r="E204" s="21" t="s">
        <v>9</v>
      </c>
      <c r="F204" s="5812">
        <v>3</v>
      </c>
      <c r="G204" s="5813">
        <v>0.20833333333333334</v>
      </c>
      <c r="H204" s="21" t="s">
        <v>10</v>
      </c>
      <c r="I204" s="21" t="s">
        <v>2247</v>
      </c>
      <c r="J204" s="21" t="s">
        <v>2763</v>
      </c>
      <c r="K204" s="5814" t="s">
        <v>2764</v>
      </c>
    </row>
    <row r="205" spans="1:11">
      <c r="A205" s="21" t="s">
        <v>2225</v>
      </c>
      <c r="B205" s="21" t="s">
        <v>2765</v>
      </c>
      <c r="C205" s="21" t="s">
        <v>8</v>
      </c>
      <c r="D205" s="21" t="s">
        <v>2</v>
      </c>
      <c r="E205" s="21" t="s">
        <v>9</v>
      </c>
      <c r="F205" s="5812">
        <v>3</v>
      </c>
      <c r="G205" s="5813">
        <v>0.20833333333333334</v>
      </c>
      <c r="H205" s="21" t="s">
        <v>10</v>
      </c>
      <c r="I205" s="21" t="s">
        <v>2297</v>
      </c>
      <c r="J205" s="21" t="s">
        <v>2766</v>
      </c>
      <c r="K205" s="5814" t="s">
        <v>2767</v>
      </c>
    </row>
    <row r="206" spans="1:11">
      <c r="A206" s="21" t="s">
        <v>2768</v>
      </c>
      <c r="B206" s="21" t="s">
        <v>2769</v>
      </c>
      <c r="C206" s="21" t="s">
        <v>8</v>
      </c>
      <c r="D206" s="21" t="s">
        <v>2</v>
      </c>
      <c r="E206" s="21" t="s">
        <v>9</v>
      </c>
      <c r="F206" s="5812">
        <v>3</v>
      </c>
      <c r="G206" s="5813">
        <v>0.20833333333333334</v>
      </c>
      <c r="H206" s="21" t="s">
        <v>10</v>
      </c>
      <c r="I206" s="21" t="s">
        <v>226</v>
      </c>
      <c r="J206" s="21" t="s">
        <v>2770</v>
      </c>
      <c r="K206" s="5814" t="s">
        <v>2771</v>
      </c>
    </row>
    <row r="207" spans="1:11">
      <c r="A207" s="21" t="s">
        <v>2772</v>
      </c>
      <c r="B207" s="21" t="s">
        <v>2773</v>
      </c>
      <c r="C207" s="21" t="s">
        <v>8</v>
      </c>
      <c r="D207" s="21" t="s">
        <v>2</v>
      </c>
      <c r="E207" s="21" t="s">
        <v>9</v>
      </c>
      <c r="F207" s="5812">
        <v>3</v>
      </c>
      <c r="G207" s="5813">
        <v>0.20833333333333334</v>
      </c>
      <c r="H207" s="21" t="s">
        <v>10</v>
      </c>
      <c r="I207" s="21" t="s">
        <v>2713</v>
      </c>
      <c r="J207" s="21" t="s">
        <v>2774</v>
      </c>
      <c r="K207" s="5814" t="s">
        <v>2775</v>
      </c>
    </row>
    <row r="208" spans="1:11">
      <c r="A208" s="21" t="s">
        <v>2776</v>
      </c>
      <c r="B208" s="21" t="s">
        <v>2777</v>
      </c>
      <c r="C208" s="21" t="s">
        <v>8</v>
      </c>
      <c r="D208" s="21" t="s">
        <v>2</v>
      </c>
      <c r="E208" s="21" t="s">
        <v>9</v>
      </c>
      <c r="F208" s="5812">
        <v>3</v>
      </c>
      <c r="G208" s="5813">
        <v>0.20833333333333334</v>
      </c>
      <c r="H208" s="21" t="s">
        <v>10</v>
      </c>
      <c r="I208" s="21" t="s">
        <v>2260</v>
      </c>
      <c r="J208" s="21" t="s">
        <v>2778</v>
      </c>
      <c r="K208" s="5814" t="s">
        <v>2779</v>
      </c>
    </row>
    <row r="209" spans="1:11">
      <c r="A209" s="21" t="s">
        <v>2780</v>
      </c>
      <c r="B209" s="21" t="s">
        <v>2781</v>
      </c>
      <c r="C209" s="21" t="s">
        <v>8</v>
      </c>
      <c r="D209" s="21" t="s">
        <v>2</v>
      </c>
      <c r="E209" s="21" t="s">
        <v>9</v>
      </c>
      <c r="F209" s="5812">
        <v>3</v>
      </c>
      <c r="G209" s="5813">
        <v>0.20833333333333334</v>
      </c>
      <c r="H209" s="21" t="s">
        <v>10</v>
      </c>
      <c r="I209" s="21" t="s">
        <v>55</v>
      </c>
      <c r="J209" s="21" t="s">
        <v>2782</v>
      </c>
      <c r="K209" s="5814" t="s">
        <v>2783</v>
      </c>
    </row>
    <row r="210" spans="1:11">
      <c r="A210" s="21" t="s">
        <v>2784</v>
      </c>
      <c r="B210" s="21" t="s">
        <v>2785</v>
      </c>
      <c r="C210" s="21" t="s">
        <v>8</v>
      </c>
      <c r="D210" s="21" t="s">
        <v>2</v>
      </c>
      <c r="E210" s="21" t="s">
        <v>9</v>
      </c>
      <c r="F210" s="5812">
        <v>3</v>
      </c>
      <c r="G210" s="5813">
        <v>0.20833333333333334</v>
      </c>
      <c r="H210" s="21" t="s">
        <v>10</v>
      </c>
      <c r="I210" s="21" t="s">
        <v>2247</v>
      </c>
      <c r="J210" s="21" t="s">
        <v>2786</v>
      </c>
      <c r="K210" s="5814" t="s">
        <v>2787</v>
      </c>
    </row>
    <row r="211" spans="1:11">
      <c r="A211" s="21" t="s">
        <v>2788</v>
      </c>
      <c r="B211" s="21" t="s">
        <v>2789</v>
      </c>
      <c r="C211" s="21" t="s">
        <v>22</v>
      </c>
      <c r="D211" s="21" t="s">
        <v>2</v>
      </c>
      <c r="E211" s="21" t="s">
        <v>9</v>
      </c>
      <c r="F211" s="5812">
        <v>3</v>
      </c>
      <c r="G211" s="5813">
        <v>0.20833333333333334</v>
      </c>
      <c r="H211" s="21" t="s">
        <v>10</v>
      </c>
      <c r="I211" s="21" t="s">
        <v>2747</v>
      </c>
      <c r="J211" s="21" t="s">
        <v>2790</v>
      </c>
      <c r="K211" s="5814" t="s">
        <v>2791</v>
      </c>
    </row>
    <row r="212" spans="1:11">
      <c r="A212" s="21" t="s">
        <v>2792</v>
      </c>
      <c r="B212" s="21" t="s">
        <v>2793</v>
      </c>
      <c r="C212" s="21" t="s">
        <v>8</v>
      </c>
      <c r="D212" s="21" t="s">
        <v>2</v>
      </c>
      <c r="E212" s="21" t="s">
        <v>9</v>
      </c>
      <c r="F212" s="5812">
        <v>3</v>
      </c>
      <c r="G212" s="5813">
        <v>0.20833333333333334</v>
      </c>
      <c r="H212" s="21" t="s">
        <v>10</v>
      </c>
      <c r="I212" s="21" t="s">
        <v>2247</v>
      </c>
      <c r="J212" s="21" t="s">
        <v>2794</v>
      </c>
      <c r="K212" s="5814" t="s">
        <v>2795</v>
      </c>
    </row>
    <row r="213" spans="1:11">
      <c r="A213" s="21" t="s">
        <v>2796</v>
      </c>
      <c r="B213" s="21" t="s">
        <v>2797</v>
      </c>
      <c r="C213" s="21" t="s">
        <v>8</v>
      </c>
      <c r="D213" s="21" t="s">
        <v>2</v>
      </c>
      <c r="E213" s="21" t="s">
        <v>9</v>
      </c>
      <c r="F213" s="5812">
        <v>3</v>
      </c>
      <c r="G213" s="5813">
        <v>0.20833333333333334</v>
      </c>
      <c r="H213" s="21" t="s">
        <v>10</v>
      </c>
      <c r="I213" s="21" t="s">
        <v>55</v>
      </c>
      <c r="J213" s="21" t="s">
        <v>2798</v>
      </c>
      <c r="K213" s="5814" t="s">
        <v>2799</v>
      </c>
    </row>
    <row r="214" spans="1:11">
      <c r="A214" s="21" t="s">
        <v>2800</v>
      </c>
      <c r="B214" s="21" t="s">
        <v>2801</v>
      </c>
      <c r="C214" s="21" t="s">
        <v>8</v>
      </c>
      <c r="D214" s="21" t="s">
        <v>2</v>
      </c>
      <c r="E214" s="21" t="s">
        <v>9</v>
      </c>
      <c r="F214" s="5812">
        <v>3</v>
      </c>
      <c r="G214" s="5813">
        <v>0.20833333333333334</v>
      </c>
      <c r="H214" s="21" t="s">
        <v>10</v>
      </c>
      <c r="I214" s="21" t="s">
        <v>55</v>
      </c>
      <c r="J214" s="21" t="s">
        <v>2802</v>
      </c>
      <c r="K214" s="5814" t="s">
        <v>2803</v>
      </c>
    </row>
    <row r="215" spans="1:11">
      <c r="A215" s="21" t="s">
        <v>2804</v>
      </c>
      <c r="B215" s="21" t="s">
        <v>2805</v>
      </c>
      <c r="C215" s="21" t="s">
        <v>8</v>
      </c>
      <c r="D215" s="21" t="s">
        <v>2</v>
      </c>
      <c r="E215" s="21" t="s">
        <v>9</v>
      </c>
      <c r="F215" s="5812">
        <v>3</v>
      </c>
      <c r="G215" s="5813">
        <v>0.20833333333333334</v>
      </c>
      <c r="H215" s="21" t="s">
        <v>10</v>
      </c>
      <c r="I215" s="21" t="s">
        <v>2297</v>
      </c>
      <c r="J215" s="21" t="s">
        <v>2806</v>
      </c>
      <c r="K215" s="5814" t="s">
        <v>2807</v>
      </c>
    </row>
    <row r="216" spans="1:11">
      <c r="A216" s="21" t="s">
        <v>2808</v>
      </c>
      <c r="B216" s="21" t="s">
        <v>2809</v>
      </c>
      <c r="C216" s="21" t="s">
        <v>22</v>
      </c>
      <c r="D216" s="21" t="s">
        <v>2</v>
      </c>
      <c r="E216" s="21" t="s">
        <v>9</v>
      </c>
      <c r="F216" s="5812">
        <v>3</v>
      </c>
      <c r="G216" s="5813">
        <v>0.20833333333333334</v>
      </c>
      <c r="H216" s="21" t="s">
        <v>10</v>
      </c>
      <c r="I216" s="21" t="s">
        <v>400</v>
      </c>
      <c r="J216" s="21" t="s">
        <v>2810</v>
      </c>
      <c r="K216" s="5814" t="s">
        <v>2811</v>
      </c>
    </row>
    <row r="217" spans="1:11">
      <c r="A217" s="21" t="s">
        <v>2812</v>
      </c>
      <c r="B217" s="21" t="s">
        <v>2813</v>
      </c>
      <c r="C217" s="21" t="s">
        <v>8</v>
      </c>
      <c r="D217" s="21" t="s">
        <v>2</v>
      </c>
      <c r="E217" s="21" t="s">
        <v>9</v>
      </c>
      <c r="F217" s="5812">
        <v>3</v>
      </c>
      <c r="G217" s="5813">
        <v>0.20833333333333334</v>
      </c>
      <c r="H217" s="21" t="s">
        <v>10</v>
      </c>
      <c r="I217" s="21" t="s">
        <v>2814</v>
      </c>
      <c r="J217" s="21" t="s">
        <v>2815</v>
      </c>
      <c r="K217" s="5814" t="s">
        <v>2816</v>
      </c>
    </row>
    <row r="218" spans="1:11">
      <c r="A218" s="21" t="s">
        <v>2817</v>
      </c>
      <c r="B218" s="21" t="s">
        <v>2818</v>
      </c>
      <c r="C218" s="21" t="s">
        <v>8</v>
      </c>
      <c r="D218" s="21" t="s">
        <v>2</v>
      </c>
      <c r="E218" s="21" t="s">
        <v>9</v>
      </c>
      <c r="F218" s="5812">
        <v>3</v>
      </c>
      <c r="G218" s="5813">
        <v>0.20833333333333334</v>
      </c>
      <c r="H218" s="21" t="s">
        <v>10</v>
      </c>
      <c r="I218" s="21" t="s">
        <v>788</v>
      </c>
      <c r="J218" s="21" t="s">
        <v>2819</v>
      </c>
      <c r="K218" s="5814" t="s">
        <v>2820</v>
      </c>
    </row>
    <row r="219" spans="1:11">
      <c r="A219" s="21" t="s">
        <v>2075</v>
      </c>
      <c r="B219" s="21" t="s">
        <v>2821</v>
      </c>
      <c r="C219" s="21" t="s">
        <v>8</v>
      </c>
      <c r="D219" s="21" t="s">
        <v>2</v>
      </c>
      <c r="E219" s="21" t="s">
        <v>9</v>
      </c>
      <c r="F219" s="5812">
        <v>3</v>
      </c>
      <c r="G219" s="5813">
        <v>0.20833333333333334</v>
      </c>
      <c r="H219" s="21" t="s">
        <v>10</v>
      </c>
      <c r="I219" s="21" t="s">
        <v>73</v>
      </c>
      <c r="J219" s="21" t="s">
        <v>2822</v>
      </c>
      <c r="K219" s="5814" t="s">
        <v>2823</v>
      </c>
    </row>
    <row r="220" spans="1:11">
      <c r="A220" s="21" t="s">
        <v>2824</v>
      </c>
      <c r="B220" s="21" t="s">
        <v>2825</v>
      </c>
      <c r="C220" s="21" t="s">
        <v>22</v>
      </c>
      <c r="D220" s="21" t="s">
        <v>2</v>
      </c>
      <c r="E220" s="21" t="s">
        <v>9</v>
      </c>
      <c r="F220" s="5812">
        <v>3</v>
      </c>
      <c r="G220" s="5813">
        <v>0.20833333333333334</v>
      </c>
      <c r="H220" s="21" t="s">
        <v>10</v>
      </c>
      <c r="I220" s="21" t="s">
        <v>263</v>
      </c>
      <c r="J220" s="21" t="s">
        <v>2532</v>
      </c>
      <c r="K220" s="5814" t="s">
        <v>2826</v>
      </c>
    </row>
    <row r="221" spans="1:11">
      <c r="A221" s="21" t="s">
        <v>2827</v>
      </c>
      <c r="B221" s="21" t="s">
        <v>2828</v>
      </c>
      <c r="C221" s="21" t="s">
        <v>8</v>
      </c>
      <c r="D221" s="21" t="s">
        <v>2</v>
      </c>
      <c r="E221" s="21" t="s">
        <v>9</v>
      </c>
      <c r="F221" s="5812">
        <v>3</v>
      </c>
      <c r="G221" s="5813">
        <v>0.20833333333333334</v>
      </c>
      <c r="H221" s="21" t="s">
        <v>10</v>
      </c>
      <c r="I221" s="21" t="s">
        <v>2313</v>
      </c>
      <c r="J221" s="21" t="s">
        <v>2829</v>
      </c>
      <c r="K221" s="5814" t="s">
        <v>2830</v>
      </c>
    </row>
    <row r="222" spans="1:11">
      <c r="A222" s="21" t="s">
        <v>2831</v>
      </c>
      <c r="B222" s="21" t="s">
        <v>2832</v>
      </c>
      <c r="C222" s="21" t="s">
        <v>22</v>
      </c>
      <c r="D222" s="21" t="s">
        <v>2</v>
      </c>
      <c r="E222" s="21" t="s">
        <v>9</v>
      </c>
      <c r="F222" s="5812">
        <v>3</v>
      </c>
      <c r="G222" s="5813">
        <v>0.20833333333333334</v>
      </c>
      <c r="H222" s="21" t="s">
        <v>10</v>
      </c>
      <c r="I222" s="21" t="s">
        <v>2171</v>
      </c>
      <c r="J222" s="21" t="s">
        <v>2833</v>
      </c>
      <c r="K222" s="5814" t="s">
        <v>2834</v>
      </c>
    </row>
    <row r="223" spans="1:11">
      <c r="A223" s="21" t="s">
        <v>2835</v>
      </c>
      <c r="B223" s="21" t="s">
        <v>2836</v>
      </c>
      <c r="C223" s="21" t="s">
        <v>8</v>
      </c>
      <c r="D223" s="21" t="s">
        <v>2</v>
      </c>
      <c r="E223" s="21" t="s">
        <v>9</v>
      </c>
      <c r="F223" s="5812">
        <v>3</v>
      </c>
      <c r="G223" s="5813">
        <v>0.20833333333333334</v>
      </c>
      <c r="H223" s="21" t="s">
        <v>10</v>
      </c>
      <c r="I223" s="21" t="s">
        <v>39</v>
      </c>
      <c r="J223" s="21" t="s">
        <v>2837</v>
      </c>
      <c r="K223" s="5814" t="s">
        <v>2838</v>
      </c>
    </row>
    <row r="224" spans="1:11">
      <c r="A224" s="21" t="s">
        <v>2839</v>
      </c>
      <c r="B224" s="21" t="s">
        <v>2840</v>
      </c>
      <c r="C224" s="21" t="s">
        <v>8</v>
      </c>
      <c r="D224" s="21" t="s">
        <v>2</v>
      </c>
      <c r="E224" s="21" t="s">
        <v>9</v>
      </c>
      <c r="F224" s="5812">
        <v>3</v>
      </c>
      <c r="G224" s="5813">
        <v>0.20833333333333334</v>
      </c>
      <c r="H224" s="21" t="s">
        <v>10</v>
      </c>
      <c r="I224" s="21" t="s">
        <v>187</v>
      </c>
      <c r="J224" s="21" t="s">
        <v>2841</v>
      </c>
      <c r="K224" s="5814" t="s">
        <v>2842</v>
      </c>
    </row>
    <row r="225" spans="1:11">
      <c r="A225" s="21" t="s">
        <v>2258</v>
      </c>
      <c r="B225" s="21" t="s">
        <v>2843</v>
      </c>
      <c r="C225" s="21" t="s">
        <v>8</v>
      </c>
      <c r="D225" s="21" t="s">
        <v>2</v>
      </c>
      <c r="E225" s="21" t="s">
        <v>9</v>
      </c>
      <c r="F225" s="5812">
        <v>3</v>
      </c>
      <c r="G225" s="5813">
        <v>0.20833333333333334</v>
      </c>
      <c r="H225" s="21" t="s">
        <v>10</v>
      </c>
      <c r="I225" s="21"/>
      <c r="J225" s="21" t="s">
        <v>2844</v>
      </c>
      <c r="K225" s="5814" t="s">
        <v>2845</v>
      </c>
    </row>
    <row r="226" spans="1:11">
      <c r="A226" s="21" t="s">
        <v>2846</v>
      </c>
      <c r="B226" s="21" t="s">
        <v>2847</v>
      </c>
      <c r="C226" s="21" t="s">
        <v>22</v>
      </c>
      <c r="D226" s="21" t="s">
        <v>2</v>
      </c>
      <c r="E226" s="21" t="s">
        <v>9</v>
      </c>
      <c r="F226" s="5812">
        <v>3</v>
      </c>
      <c r="G226" s="5813">
        <v>0.20833333333333334</v>
      </c>
      <c r="H226" s="21" t="s">
        <v>10</v>
      </c>
      <c r="I226" s="21" t="s">
        <v>2721</v>
      </c>
      <c r="J226" s="21" t="s">
        <v>2848</v>
      </c>
      <c r="K226" s="5814" t="s">
        <v>2849</v>
      </c>
    </row>
    <row r="227" spans="1:11">
      <c r="A227" s="21" t="s">
        <v>2850</v>
      </c>
      <c r="B227" s="21" t="s">
        <v>2851</v>
      </c>
      <c r="C227" s="21" t="s">
        <v>8</v>
      </c>
      <c r="D227" s="21" t="s">
        <v>2</v>
      </c>
      <c r="E227" s="21" t="s">
        <v>9</v>
      </c>
      <c r="F227" s="5812">
        <v>3</v>
      </c>
      <c r="G227" s="5813">
        <v>0.20833333333333334</v>
      </c>
      <c r="H227" s="21" t="s">
        <v>10</v>
      </c>
      <c r="I227" s="21" t="s">
        <v>47</v>
      </c>
      <c r="J227" s="21" t="s">
        <v>2852</v>
      </c>
      <c r="K227" s="5814" t="s">
        <v>2853</v>
      </c>
    </row>
    <row r="228" spans="1:11">
      <c r="A228" s="21" t="s">
        <v>2854</v>
      </c>
      <c r="B228" s="21" t="s">
        <v>2855</v>
      </c>
      <c r="C228" s="21" t="s">
        <v>8</v>
      </c>
      <c r="D228" s="21" t="s">
        <v>2</v>
      </c>
      <c r="E228" s="21" t="s">
        <v>9</v>
      </c>
      <c r="F228" s="5812">
        <v>3</v>
      </c>
      <c r="G228" s="5813">
        <v>0.20833333333333334</v>
      </c>
      <c r="H228" s="21" t="s">
        <v>10</v>
      </c>
      <c r="I228" s="21" t="s">
        <v>226</v>
      </c>
      <c r="J228" s="21" t="s">
        <v>2856</v>
      </c>
      <c r="K228" s="5814" t="s">
        <v>2857</v>
      </c>
    </row>
    <row r="229" spans="1:11">
      <c r="A229" s="21" t="s">
        <v>2858</v>
      </c>
      <c r="B229" s="21" t="s">
        <v>2859</v>
      </c>
      <c r="C229" s="21" t="s">
        <v>8</v>
      </c>
      <c r="D229" s="21" t="s">
        <v>2</v>
      </c>
      <c r="E229" s="21" t="s">
        <v>9</v>
      </c>
      <c r="F229" s="5812">
        <v>3</v>
      </c>
      <c r="G229" s="5813">
        <v>0.20833333333333334</v>
      </c>
      <c r="H229" s="21" t="s">
        <v>10</v>
      </c>
      <c r="I229" s="21" t="s">
        <v>2860</v>
      </c>
      <c r="J229" s="21" t="s">
        <v>2861</v>
      </c>
      <c r="K229" s="5814" t="s">
        <v>2862</v>
      </c>
    </row>
    <row r="230" spans="1:11">
      <c r="A230" s="21" t="s">
        <v>2863</v>
      </c>
      <c r="B230" s="21" t="s">
        <v>2864</v>
      </c>
      <c r="C230" s="21" t="s">
        <v>8</v>
      </c>
      <c r="D230" s="21" t="s">
        <v>2</v>
      </c>
      <c r="E230" s="21" t="s">
        <v>9</v>
      </c>
      <c r="F230" s="5812">
        <v>3</v>
      </c>
      <c r="G230" s="5813">
        <v>0.20833333333333334</v>
      </c>
      <c r="H230" s="21" t="s">
        <v>10</v>
      </c>
      <c r="I230" s="21" t="s">
        <v>233</v>
      </c>
      <c r="J230" s="21" t="s">
        <v>2865</v>
      </c>
      <c r="K230" s="5814" t="s">
        <v>2866</v>
      </c>
    </row>
    <row r="231" spans="1:11">
      <c r="A231" s="21" t="s">
        <v>2863</v>
      </c>
      <c r="B231" s="21" t="s">
        <v>2867</v>
      </c>
      <c r="C231" s="21" t="s">
        <v>22</v>
      </c>
      <c r="D231" s="21" t="s">
        <v>2</v>
      </c>
      <c r="E231" s="21" t="s">
        <v>9</v>
      </c>
      <c r="F231" s="5812">
        <v>3</v>
      </c>
      <c r="G231" s="5813">
        <v>0.20833333333333334</v>
      </c>
      <c r="H231" s="21" t="s">
        <v>10</v>
      </c>
      <c r="I231" s="21" t="s">
        <v>233</v>
      </c>
      <c r="J231" s="21" t="s">
        <v>2868</v>
      </c>
      <c r="K231" s="5814" t="s">
        <v>2869</v>
      </c>
    </row>
    <row r="232" spans="1:11">
      <c r="A232" s="21" t="s">
        <v>2870</v>
      </c>
      <c r="B232" s="21" t="s">
        <v>2871</v>
      </c>
      <c r="C232" s="21" t="s">
        <v>22</v>
      </c>
      <c r="D232" s="21" t="s">
        <v>2</v>
      </c>
      <c r="E232" s="21" t="s">
        <v>9</v>
      </c>
      <c r="F232" s="5812">
        <v>3</v>
      </c>
      <c r="G232" s="5813">
        <v>0.20833333333333334</v>
      </c>
      <c r="H232" s="21" t="s">
        <v>10</v>
      </c>
      <c r="I232" s="21" t="s">
        <v>2872</v>
      </c>
      <c r="J232" s="21" t="s">
        <v>2873</v>
      </c>
      <c r="K232" s="5814" t="s">
        <v>2874</v>
      </c>
    </row>
    <row r="233" spans="1:11">
      <c r="A233" s="21" t="s">
        <v>2280</v>
      </c>
      <c r="B233" s="21" t="s">
        <v>2875</v>
      </c>
      <c r="C233" s="21" t="s">
        <v>22</v>
      </c>
      <c r="D233" s="21" t="s">
        <v>2</v>
      </c>
      <c r="E233" s="21" t="s">
        <v>9</v>
      </c>
      <c r="F233" s="5812">
        <v>3</v>
      </c>
      <c r="G233" s="5813">
        <v>0.20833333333333334</v>
      </c>
      <c r="H233" s="21" t="s">
        <v>10</v>
      </c>
      <c r="I233" s="21" t="s">
        <v>55</v>
      </c>
      <c r="J233" s="21" t="s">
        <v>2876</v>
      </c>
      <c r="K233" s="5814" t="s">
        <v>2877</v>
      </c>
    </row>
    <row r="234" spans="1:11">
      <c r="A234" s="21" t="s">
        <v>2878</v>
      </c>
      <c r="B234" s="21" t="s">
        <v>2879</v>
      </c>
      <c r="C234" s="21" t="s">
        <v>22</v>
      </c>
      <c r="D234" s="21" t="s">
        <v>2</v>
      </c>
      <c r="E234" s="21" t="s">
        <v>9</v>
      </c>
      <c r="F234" s="5812">
        <v>3</v>
      </c>
      <c r="G234" s="5813">
        <v>0.20833333333333334</v>
      </c>
      <c r="H234" s="21" t="s">
        <v>10</v>
      </c>
      <c r="I234" s="21" t="s">
        <v>55</v>
      </c>
      <c r="J234" s="21" t="s">
        <v>2880</v>
      </c>
      <c r="K234" s="5814" t="s">
        <v>2881</v>
      </c>
    </row>
    <row r="235" spans="1:11">
      <c r="A235" s="21" t="s">
        <v>2882</v>
      </c>
      <c r="B235" s="21" t="s">
        <v>2883</v>
      </c>
      <c r="C235" s="21" t="s">
        <v>8</v>
      </c>
      <c r="D235" s="21" t="s">
        <v>2</v>
      </c>
      <c r="E235" s="21" t="s">
        <v>9</v>
      </c>
      <c r="F235" s="5812">
        <v>3</v>
      </c>
      <c r="G235" s="5813">
        <v>0.20833333333333334</v>
      </c>
      <c r="H235" s="21" t="s">
        <v>10</v>
      </c>
      <c r="I235" s="21" t="s">
        <v>23</v>
      </c>
      <c r="J235" s="21" t="s">
        <v>2884</v>
      </c>
      <c r="K235" s="5814" t="s">
        <v>2885</v>
      </c>
    </row>
    <row r="236" spans="1:11">
      <c r="A236" s="21" t="s">
        <v>2886</v>
      </c>
      <c r="B236" s="21" t="s">
        <v>2887</v>
      </c>
      <c r="C236" s="21" t="s">
        <v>22</v>
      </c>
      <c r="D236" s="21" t="s">
        <v>2</v>
      </c>
      <c r="E236" s="21" t="s">
        <v>9</v>
      </c>
      <c r="F236" s="5812">
        <v>3</v>
      </c>
      <c r="G236" s="5813">
        <v>0.20833333333333334</v>
      </c>
      <c r="H236" s="21" t="s">
        <v>10</v>
      </c>
      <c r="I236" s="21" t="s">
        <v>2297</v>
      </c>
      <c r="J236" s="21" t="s">
        <v>2888</v>
      </c>
      <c r="K236" s="5814" t="s">
        <v>2889</v>
      </c>
    </row>
    <row r="237" spans="1:11">
      <c r="A237" s="21" t="s">
        <v>52</v>
      </c>
      <c r="B237" s="21" t="s">
        <v>53</v>
      </c>
      <c r="C237" s="21" t="s">
        <v>8</v>
      </c>
      <c r="D237" s="21" t="s">
        <v>2</v>
      </c>
      <c r="E237" s="21" t="s">
        <v>9</v>
      </c>
      <c r="F237" s="5812">
        <v>5</v>
      </c>
      <c r="G237" s="5813">
        <v>0.20833333333333334</v>
      </c>
      <c r="H237" s="21" t="s">
        <v>54</v>
      </c>
      <c r="I237" s="21" t="s">
        <v>55</v>
      </c>
      <c r="J237" s="21" t="s">
        <v>56</v>
      </c>
      <c r="K237" s="5814" t="s">
        <v>57</v>
      </c>
    </row>
    <row r="238" spans="1:11">
      <c r="A238" s="21" t="s">
        <v>2088</v>
      </c>
      <c r="B238" s="21" t="s">
        <v>2890</v>
      </c>
      <c r="C238" s="21" t="s">
        <v>22</v>
      </c>
      <c r="D238" s="21" t="s">
        <v>2</v>
      </c>
      <c r="E238" s="21" t="s">
        <v>9</v>
      </c>
      <c r="F238" s="5812">
        <v>5</v>
      </c>
      <c r="G238" s="5813">
        <v>0.20833333333333334</v>
      </c>
      <c r="H238" s="21" t="s">
        <v>54</v>
      </c>
      <c r="I238" s="21" t="s">
        <v>55</v>
      </c>
      <c r="J238" s="21" t="s">
        <v>2891</v>
      </c>
      <c r="K238" s="5814" t="s">
        <v>2892</v>
      </c>
    </row>
    <row r="239" spans="1:11">
      <c r="A239" s="21" t="s">
        <v>2893</v>
      </c>
      <c r="B239" s="21" t="s">
        <v>2894</v>
      </c>
      <c r="C239" s="21" t="s">
        <v>22</v>
      </c>
      <c r="D239" s="21" t="s">
        <v>2</v>
      </c>
      <c r="E239" s="21" t="s">
        <v>9</v>
      </c>
      <c r="F239" s="5812">
        <v>5</v>
      </c>
      <c r="G239" s="5813">
        <v>0.20833333333333334</v>
      </c>
      <c r="H239" s="21" t="s">
        <v>54</v>
      </c>
      <c r="I239" s="21" t="s">
        <v>96</v>
      </c>
      <c r="J239" s="21" t="s">
        <v>2895</v>
      </c>
      <c r="K239" s="5814" t="s">
        <v>2896</v>
      </c>
    </row>
    <row r="240" spans="1:11">
      <c r="A240" s="21" t="s">
        <v>2897</v>
      </c>
      <c r="B240" s="21" t="s">
        <v>2898</v>
      </c>
      <c r="C240" s="21" t="s">
        <v>22</v>
      </c>
      <c r="D240" s="21" t="s">
        <v>2</v>
      </c>
      <c r="E240" s="21" t="s">
        <v>9</v>
      </c>
      <c r="F240" s="5812">
        <v>5</v>
      </c>
      <c r="G240" s="5813">
        <v>0.20833333333333334</v>
      </c>
      <c r="H240" s="21" t="s">
        <v>54</v>
      </c>
      <c r="I240" s="21" t="s">
        <v>11</v>
      </c>
      <c r="J240" s="21" t="s">
        <v>2899</v>
      </c>
      <c r="K240" s="5814" t="s">
        <v>2900</v>
      </c>
    </row>
    <row r="241" spans="1:11">
      <c r="A241" s="21" t="s">
        <v>2901</v>
      </c>
      <c r="B241" s="21" t="s">
        <v>2902</v>
      </c>
      <c r="C241" s="21" t="s">
        <v>8</v>
      </c>
      <c r="D241" s="21" t="s">
        <v>2</v>
      </c>
      <c r="E241" s="21" t="s">
        <v>9</v>
      </c>
      <c r="F241" s="5812">
        <v>5</v>
      </c>
      <c r="G241" s="5813">
        <v>0.20833333333333334</v>
      </c>
      <c r="H241" s="21" t="s">
        <v>54</v>
      </c>
      <c r="I241" s="21" t="s">
        <v>55</v>
      </c>
      <c r="J241" s="21" t="s">
        <v>2903</v>
      </c>
      <c r="K241" s="5814" t="s">
        <v>2904</v>
      </c>
    </row>
    <row r="242" spans="1:11">
      <c r="A242" s="21" t="s">
        <v>2905</v>
      </c>
      <c r="B242" s="21" t="s">
        <v>2906</v>
      </c>
      <c r="C242" s="21" t="s">
        <v>8</v>
      </c>
      <c r="D242" s="21" t="s">
        <v>2</v>
      </c>
      <c r="E242" s="21" t="s">
        <v>46</v>
      </c>
      <c r="F242" s="5812">
        <v>1</v>
      </c>
      <c r="G242" s="5813">
        <v>1.4583333333333334E-2</v>
      </c>
      <c r="H242" s="21" t="s">
        <v>10</v>
      </c>
      <c r="I242" s="21" t="s">
        <v>226</v>
      </c>
      <c r="J242" s="21" t="s">
        <v>406</v>
      </c>
      <c r="K242" s="5814" t="s">
        <v>2907</v>
      </c>
    </row>
    <row r="243" spans="1:11">
      <c r="A243" s="21" t="s">
        <v>2626</v>
      </c>
      <c r="B243" s="21" t="s">
        <v>2908</v>
      </c>
      <c r="C243" s="21" t="s">
        <v>22</v>
      </c>
      <c r="D243" s="21" t="s">
        <v>2</v>
      </c>
      <c r="E243" s="21" t="s">
        <v>46</v>
      </c>
      <c r="F243" s="5812">
        <v>1</v>
      </c>
      <c r="G243" s="5813">
        <v>1.7361111111111112E-2</v>
      </c>
      <c r="H243" s="21" t="s">
        <v>10</v>
      </c>
      <c r="I243" s="21" t="s">
        <v>2692</v>
      </c>
      <c r="J243" s="21" t="s">
        <v>48</v>
      </c>
      <c r="K243" s="5814" t="s">
        <v>2909</v>
      </c>
    </row>
    <row r="244" spans="1:11">
      <c r="A244" s="21" t="s">
        <v>2910</v>
      </c>
      <c r="B244" s="21" t="s">
        <v>2911</v>
      </c>
      <c r="C244" s="21" t="s">
        <v>8</v>
      </c>
      <c r="D244" s="21" t="s">
        <v>2</v>
      </c>
      <c r="E244" s="21" t="s">
        <v>46</v>
      </c>
      <c r="F244" s="5812">
        <v>1</v>
      </c>
      <c r="G244" s="5813">
        <v>1.9444444444444445E-2</v>
      </c>
      <c r="H244" s="21" t="s">
        <v>10</v>
      </c>
      <c r="I244" s="21" t="s">
        <v>11</v>
      </c>
      <c r="J244" s="21" t="s">
        <v>154</v>
      </c>
      <c r="K244" s="5814" t="s">
        <v>2912</v>
      </c>
    </row>
    <row r="245" spans="1:11">
      <c r="A245" s="21" t="s">
        <v>2547</v>
      </c>
      <c r="B245" s="21" t="s">
        <v>2913</v>
      </c>
      <c r="C245" s="21" t="s">
        <v>8</v>
      </c>
      <c r="D245" s="21" t="s">
        <v>2</v>
      </c>
      <c r="E245" s="21" t="s">
        <v>46</v>
      </c>
      <c r="F245" s="5812">
        <v>1</v>
      </c>
      <c r="G245" s="5813">
        <v>2.2222222222222223E-2</v>
      </c>
      <c r="H245" s="21" t="s">
        <v>10</v>
      </c>
      <c r="I245" s="21" t="s">
        <v>55</v>
      </c>
      <c r="J245" s="21" t="s">
        <v>48</v>
      </c>
      <c r="K245" s="5814" t="s">
        <v>2914</v>
      </c>
    </row>
    <row r="246" spans="1:11">
      <c r="A246" s="21" t="s">
        <v>2915</v>
      </c>
      <c r="B246" s="21" t="s">
        <v>2916</v>
      </c>
      <c r="C246" s="21" t="s">
        <v>22</v>
      </c>
      <c r="D246" s="21" t="s">
        <v>2</v>
      </c>
      <c r="E246" s="21" t="s">
        <v>46</v>
      </c>
      <c r="F246" s="5812">
        <v>1</v>
      </c>
      <c r="G246" s="5813">
        <v>2.2916666666666665E-2</v>
      </c>
      <c r="H246" s="21" t="s">
        <v>54</v>
      </c>
      <c r="I246" s="21" t="s">
        <v>226</v>
      </c>
      <c r="J246" s="21" t="s">
        <v>722</v>
      </c>
      <c r="K246" s="5814" t="s">
        <v>2917</v>
      </c>
    </row>
    <row r="247" spans="1:11">
      <c r="A247" s="21" t="s">
        <v>2918</v>
      </c>
      <c r="B247" s="21" t="s">
        <v>2919</v>
      </c>
      <c r="C247" s="21" t="s">
        <v>22</v>
      </c>
      <c r="D247" s="21" t="s">
        <v>2</v>
      </c>
      <c r="E247" s="21" t="s">
        <v>46</v>
      </c>
      <c r="F247" s="5812">
        <v>1</v>
      </c>
      <c r="G247" s="5813">
        <v>2.2916666666666665E-2</v>
      </c>
      <c r="H247" s="21" t="s">
        <v>2081</v>
      </c>
      <c r="I247" s="21" t="s">
        <v>11</v>
      </c>
      <c r="J247" s="21" t="s">
        <v>48</v>
      </c>
      <c r="K247" s="5814" t="s">
        <v>2920</v>
      </c>
    </row>
    <row r="248" spans="1:11">
      <c r="A248" s="21" t="s">
        <v>2921</v>
      </c>
      <c r="B248" s="21" t="s">
        <v>2922</v>
      </c>
      <c r="C248" s="21" t="s">
        <v>8</v>
      </c>
      <c r="D248" s="21" t="s">
        <v>2</v>
      </c>
      <c r="E248" s="21" t="s">
        <v>46</v>
      </c>
      <c r="F248" s="5812">
        <v>1</v>
      </c>
      <c r="G248" s="5813">
        <v>2.5694444444444443E-2</v>
      </c>
      <c r="H248" s="21" t="s">
        <v>10</v>
      </c>
      <c r="I248" s="21" t="s">
        <v>2923</v>
      </c>
      <c r="J248" s="21" t="s">
        <v>1076</v>
      </c>
      <c r="K248" s="5814" t="s">
        <v>2924</v>
      </c>
    </row>
    <row r="249" spans="1:11">
      <c r="A249" s="21" t="s">
        <v>2131</v>
      </c>
      <c r="B249" s="21" t="s">
        <v>2925</v>
      </c>
      <c r="C249" s="21" t="s">
        <v>22</v>
      </c>
      <c r="D249" s="21" t="s">
        <v>2</v>
      </c>
      <c r="E249" s="21" t="s">
        <v>46</v>
      </c>
      <c r="F249" s="5812">
        <v>1</v>
      </c>
      <c r="G249" s="5813">
        <v>2.8472222222222222E-2</v>
      </c>
      <c r="H249" s="21" t="s">
        <v>10</v>
      </c>
      <c r="I249" s="21" t="s">
        <v>39</v>
      </c>
      <c r="J249" s="21" t="s">
        <v>722</v>
      </c>
      <c r="K249" s="5814" t="s">
        <v>2926</v>
      </c>
    </row>
    <row r="250" spans="1:11">
      <c r="A250" s="21" t="s">
        <v>2595</v>
      </c>
      <c r="B250" s="21" t="s">
        <v>2927</v>
      </c>
      <c r="C250" s="21" t="s">
        <v>8</v>
      </c>
      <c r="D250" s="21" t="s">
        <v>2</v>
      </c>
      <c r="E250" s="21" t="s">
        <v>46</v>
      </c>
      <c r="F250" s="5812">
        <v>1</v>
      </c>
      <c r="G250" s="5813">
        <v>3.1944444444444442E-2</v>
      </c>
      <c r="H250" s="21" t="s">
        <v>10</v>
      </c>
      <c r="I250" s="21" t="s">
        <v>89</v>
      </c>
      <c r="J250" s="21" t="s">
        <v>48</v>
      </c>
      <c r="K250" s="5814" t="s">
        <v>2928</v>
      </c>
    </row>
    <row r="251" spans="1:11">
      <c r="A251" s="21" t="s">
        <v>2929</v>
      </c>
      <c r="B251" s="21" t="s">
        <v>2930</v>
      </c>
      <c r="C251" s="21" t="s">
        <v>8</v>
      </c>
      <c r="D251" s="21" t="s">
        <v>2</v>
      </c>
      <c r="E251" s="21" t="s">
        <v>46</v>
      </c>
      <c r="F251" s="5812">
        <v>1</v>
      </c>
      <c r="G251" s="5813">
        <v>3.2638888888888891E-2</v>
      </c>
      <c r="H251" s="21" t="s">
        <v>10</v>
      </c>
      <c r="I251" s="21" t="s">
        <v>23</v>
      </c>
      <c r="J251" s="21" t="s">
        <v>97</v>
      </c>
      <c r="K251" s="5814" t="s">
        <v>2931</v>
      </c>
    </row>
    <row r="252" spans="1:11">
      <c r="A252" s="21" t="s">
        <v>2932</v>
      </c>
      <c r="B252" s="21" t="s">
        <v>2933</v>
      </c>
      <c r="C252" s="21" t="s">
        <v>8</v>
      </c>
      <c r="D252" s="21" t="s">
        <v>2</v>
      </c>
      <c r="E252" s="21" t="s">
        <v>46</v>
      </c>
      <c r="F252" s="5812">
        <v>1</v>
      </c>
      <c r="G252" s="5813">
        <v>3.3333333333333333E-2</v>
      </c>
      <c r="H252" s="21" t="s">
        <v>10</v>
      </c>
      <c r="I252" s="21" t="s">
        <v>2297</v>
      </c>
      <c r="J252" s="21" t="s">
        <v>48</v>
      </c>
      <c r="K252" s="5814" t="s">
        <v>2934</v>
      </c>
    </row>
    <row r="253" spans="1:11">
      <c r="A253" s="21" t="s">
        <v>2935</v>
      </c>
      <c r="B253" s="21" t="s">
        <v>2936</v>
      </c>
      <c r="C253" s="21" t="s">
        <v>8</v>
      </c>
      <c r="D253" s="21" t="s">
        <v>2</v>
      </c>
      <c r="E253" s="21" t="s">
        <v>46</v>
      </c>
      <c r="F253" s="5812">
        <v>1</v>
      </c>
      <c r="G253" s="5813">
        <v>3.4722222222222224E-2</v>
      </c>
      <c r="H253" s="21" t="s">
        <v>10</v>
      </c>
      <c r="I253" s="21" t="s">
        <v>55</v>
      </c>
      <c r="J253" s="21" t="s">
        <v>48</v>
      </c>
      <c r="K253" s="5814" t="s">
        <v>2937</v>
      </c>
    </row>
    <row r="254" spans="1:11">
      <c r="A254" s="21" t="s">
        <v>2938</v>
      </c>
      <c r="B254" s="21" t="s">
        <v>2939</v>
      </c>
      <c r="C254" s="21" t="s">
        <v>8</v>
      </c>
      <c r="D254" s="21" t="s">
        <v>2</v>
      </c>
      <c r="E254" s="21" t="s">
        <v>46</v>
      </c>
      <c r="F254" s="5812">
        <v>1</v>
      </c>
      <c r="G254" s="5813">
        <v>3.5416666666666666E-2</v>
      </c>
      <c r="H254" s="21" t="s">
        <v>10</v>
      </c>
      <c r="I254" s="21" t="s">
        <v>2313</v>
      </c>
      <c r="J254" s="21" t="s">
        <v>127</v>
      </c>
      <c r="K254" s="5814" t="s">
        <v>2940</v>
      </c>
    </row>
    <row r="255" spans="1:11">
      <c r="A255" s="21" t="s">
        <v>2941</v>
      </c>
      <c r="B255" s="21" t="s">
        <v>2942</v>
      </c>
      <c r="C255" s="21" t="s">
        <v>8</v>
      </c>
      <c r="D255" s="21" t="s">
        <v>2</v>
      </c>
      <c r="E255" s="21" t="s">
        <v>46</v>
      </c>
      <c r="F255" s="5812">
        <v>1</v>
      </c>
      <c r="G255" s="5813">
        <v>3.7499999999999999E-2</v>
      </c>
      <c r="H255" s="21" t="s">
        <v>10</v>
      </c>
      <c r="I255" s="21" t="s">
        <v>39</v>
      </c>
      <c r="J255" s="21" t="s">
        <v>258</v>
      </c>
      <c r="K255" s="5814" t="s">
        <v>2943</v>
      </c>
    </row>
    <row r="256" spans="1:11">
      <c r="A256" s="21" t="s">
        <v>2944</v>
      </c>
      <c r="B256" s="21" t="s">
        <v>2945</v>
      </c>
      <c r="C256" s="21" t="s">
        <v>22</v>
      </c>
      <c r="D256" s="21" t="s">
        <v>2</v>
      </c>
      <c r="E256" s="21" t="s">
        <v>46</v>
      </c>
      <c r="F256" s="5812">
        <v>1</v>
      </c>
      <c r="G256" s="5813">
        <v>4.0972222222222222E-2</v>
      </c>
      <c r="H256" s="21" t="s">
        <v>10</v>
      </c>
      <c r="I256" s="21" t="s">
        <v>654</v>
      </c>
      <c r="J256" s="21" t="s">
        <v>97</v>
      </c>
      <c r="K256" s="5814" t="s">
        <v>2946</v>
      </c>
    </row>
    <row r="257" spans="1:11">
      <c r="A257" s="21" t="s">
        <v>2947</v>
      </c>
      <c r="B257" s="21" t="s">
        <v>2948</v>
      </c>
      <c r="C257" s="21" t="s">
        <v>8</v>
      </c>
      <c r="D257" s="21" t="s">
        <v>2</v>
      </c>
      <c r="E257" s="21" t="s">
        <v>46</v>
      </c>
      <c r="F257" s="5812">
        <v>1</v>
      </c>
      <c r="G257" s="5813">
        <v>4.4444444444444446E-2</v>
      </c>
      <c r="H257" s="21" t="s">
        <v>10</v>
      </c>
      <c r="I257" s="21" t="s">
        <v>2576</v>
      </c>
      <c r="J257" s="21" t="s">
        <v>48</v>
      </c>
      <c r="K257" s="5814" t="s">
        <v>2949</v>
      </c>
    </row>
    <row r="258" spans="1:11">
      <c r="A258" s="21" t="s">
        <v>2745</v>
      </c>
      <c r="B258" s="21" t="s">
        <v>2950</v>
      </c>
      <c r="C258" s="21" t="s">
        <v>8</v>
      </c>
      <c r="D258" s="21" t="s">
        <v>2</v>
      </c>
      <c r="E258" s="21" t="s">
        <v>46</v>
      </c>
      <c r="F258" s="5812">
        <v>1</v>
      </c>
      <c r="G258" s="5813">
        <v>4.583333333333333E-2</v>
      </c>
      <c r="H258" s="21" t="s">
        <v>10</v>
      </c>
      <c r="I258" s="21" t="s">
        <v>233</v>
      </c>
      <c r="J258" s="21" t="s">
        <v>97</v>
      </c>
      <c r="K258" s="5814" t="s">
        <v>2951</v>
      </c>
    </row>
    <row r="259" spans="1:11">
      <c r="A259" s="21" t="s">
        <v>2212</v>
      </c>
      <c r="B259" s="21" t="s">
        <v>2952</v>
      </c>
      <c r="C259" s="21" t="s">
        <v>8</v>
      </c>
      <c r="D259" s="21" t="s">
        <v>2</v>
      </c>
      <c r="E259" s="21" t="s">
        <v>46</v>
      </c>
      <c r="F259" s="5812">
        <v>1</v>
      </c>
      <c r="G259" s="5813">
        <v>4.6527777777777779E-2</v>
      </c>
      <c r="H259" s="21" t="s">
        <v>10</v>
      </c>
      <c r="I259" s="21" t="s">
        <v>2751</v>
      </c>
      <c r="J259" s="21" t="s">
        <v>2953</v>
      </c>
      <c r="K259" s="5814" t="s">
        <v>2954</v>
      </c>
    </row>
    <row r="260" spans="1:11">
      <c r="A260" s="21" t="s">
        <v>2955</v>
      </c>
      <c r="B260" s="21" t="s">
        <v>2956</v>
      </c>
      <c r="C260" s="21" t="s">
        <v>22</v>
      </c>
      <c r="D260" s="21" t="s">
        <v>2</v>
      </c>
      <c r="E260" s="21" t="s">
        <v>46</v>
      </c>
      <c r="F260" s="5812">
        <v>1</v>
      </c>
      <c r="G260" s="5813">
        <v>4.7222222222222221E-2</v>
      </c>
      <c r="H260" s="21" t="s">
        <v>10</v>
      </c>
      <c r="I260" s="21" t="s">
        <v>23</v>
      </c>
      <c r="J260" s="21" t="s">
        <v>406</v>
      </c>
      <c r="K260" s="5814" t="s">
        <v>2957</v>
      </c>
    </row>
    <row r="261" spans="1:11">
      <c r="A261" s="21" t="s">
        <v>2638</v>
      </c>
      <c r="B261" s="21" t="s">
        <v>2958</v>
      </c>
      <c r="C261" s="21" t="s">
        <v>8</v>
      </c>
      <c r="D261" s="21" t="s">
        <v>2</v>
      </c>
      <c r="E261" s="21" t="s">
        <v>46</v>
      </c>
      <c r="F261" s="5812">
        <v>1</v>
      </c>
      <c r="G261" s="5813">
        <v>5.9027777777777776E-2</v>
      </c>
      <c r="H261" s="21" t="s">
        <v>10</v>
      </c>
      <c r="I261" s="21" t="s">
        <v>2959</v>
      </c>
      <c r="J261" s="21" t="s">
        <v>48</v>
      </c>
      <c r="K261" s="5814" t="s">
        <v>2960</v>
      </c>
    </row>
    <row r="262" spans="1:11">
      <c r="A262" s="21" t="s">
        <v>2961</v>
      </c>
      <c r="B262" s="21" t="s">
        <v>2962</v>
      </c>
      <c r="C262" s="21" t="s">
        <v>22</v>
      </c>
      <c r="D262" s="21" t="s">
        <v>2</v>
      </c>
      <c r="E262" s="21" t="s">
        <v>46</v>
      </c>
      <c r="F262" s="5812">
        <v>1</v>
      </c>
      <c r="G262" s="5813">
        <v>6.1805555555555558E-2</v>
      </c>
      <c r="H262" s="21" t="s">
        <v>10</v>
      </c>
      <c r="I262" s="21" t="s">
        <v>2260</v>
      </c>
      <c r="J262" s="21" t="s">
        <v>97</v>
      </c>
      <c r="K262" s="5814" t="s">
        <v>2963</v>
      </c>
    </row>
    <row r="263" spans="1:11">
      <c r="A263" s="21" t="s">
        <v>2905</v>
      </c>
      <c r="B263" s="21" t="s">
        <v>2964</v>
      </c>
      <c r="C263" s="21" t="s">
        <v>22</v>
      </c>
      <c r="D263" s="21" t="s">
        <v>2</v>
      </c>
      <c r="E263" s="21" t="s">
        <v>46</v>
      </c>
      <c r="F263" s="5812">
        <v>1</v>
      </c>
      <c r="G263" s="5813">
        <v>6.7361111111111108E-2</v>
      </c>
      <c r="H263" s="21" t="s">
        <v>10</v>
      </c>
      <c r="I263" s="21" t="s">
        <v>2297</v>
      </c>
      <c r="J263" s="21" t="s">
        <v>406</v>
      </c>
      <c r="K263" s="5814" t="s">
        <v>2965</v>
      </c>
    </row>
    <row r="264" spans="1:11">
      <c r="A264" s="21" t="s">
        <v>2966</v>
      </c>
      <c r="B264" s="21" t="s">
        <v>2967</v>
      </c>
      <c r="C264" s="21" t="s">
        <v>22</v>
      </c>
      <c r="D264" s="21" t="s">
        <v>2</v>
      </c>
      <c r="E264" s="21" t="s">
        <v>46</v>
      </c>
      <c r="F264" s="5812">
        <v>1</v>
      </c>
      <c r="G264" s="5813">
        <v>7.9166666666666663E-2</v>
      </c>
      <c r="H264" s="21" t="s">
        <v>10</v>
      </c>
      <c r="I264" s="21" t="s">
        <v>55</v>
      </c>
      <c r="J264" s="21" t="s">
        <v>48</v>
      </c>
      <c r="K264" s="5814" t="s">
        <v>2968</v>
      </c>
    </row>
    <row r="265" spans="1:11">
      <c r="A265" s="21" t="s">
        <v>2969</v>
      </c>
      <c r="B265" s="21" t="s">
        <v>2970</v>
      </c>
      <c r="C265" s="21" t="s">
        <v>8</v>
      </c>
      <c r="D265" s="21" t="s">
        <v>2</v>
      </c>
      <c r="E265" s="21" t="s">
        <v>46</v>
      </c>
      <c r="F265" s="5812">
        <v>1</v>
      </c>
      <c r="G265" s="5813">
        <v>8.1944444444444445E-2</v>
      </c>
      <c r="H265" s="21" t="s">
        <v>10</v>
      </c>
      <c r="I265" s="21" t="s">
        <v>11</v>
      </c>
      <c r="J265" s="21" t="s">
        <v>48</v>
      </c>
      <c r="K265" s="5814" t="s">
        <v>2971</v>
      </c>
    </row>
    <row r="266" spans="1:11">
      <c r="A266" s="21" t="s">
        <v>2372</v>
      </c>
      <c r="B266" s="21" t="s">
        <v>2972</v>
      </c>
      <c r="C266" s="21" t="s">
        <v>22</v>
      </c>
      <c r="D266" s="21" t="s">
        <v>2</v>
      </c>
      <c r="E266" s="21" t="s">
        <v>46</v>
      </c>
      <c r="F266" s="5812">
        <v>1</v>
      </c>
      <c r="G266" s="5813">
        <v>8.4027777777777785E-2</v>
      </c>
      <c r="H266" s="21" t="s">
        <v>10</v>
      </c>
      <c r="I266" s="21" t="s">
        <v>187</v>
      </c>
      <c r="J266" s="21" t="s">
        <v>2953</v>
      </c>
      <c r="K266" s="5814" t="s">
        <v>2973</v>
      </c>
    </row>
    <row r="267" spans="1:11">
      <c r="A267" s="21" t="s">
        <v>2974</v>
      </c>
      <c r="B267" s="21" t="s">
        <v>2975</v>
      </c>
      <c r="C267" s="21" t="s">
        <v>8</v>
      </c>
      <c r="D267" s="21" t="s">
        <v>2</v>
      </c>
      <c r="E267" s="21" t="s">
        <v>46</v>
      </c>
      <c r="F267" s="5812">
        <v>1</v>
      </c>
      <c r="G267" s="5813">
        <v>8.4027777777777785E-2</v>
      </c>
      <c r="H267" s="21" t="s">
        <v>10</v>
      </c>
      <c r="I267" s="21" t="s">
        <v>55</v>
      </c>
      <c r="J267" s="21" t="s">
        <v>97</v>
      </c>
      <c r="K267" s="5814" t="s">
        <v>2976</v>
      </c>
    </row>
    <row r="268" spans="1:11">
      <c r="A268" s="21" t="s">
        <v>2897</v>
      </c>
      <c r="B268" s="21" t="s">
        <v>2977</v>
      </c>
      <c r="C268" s="21" t="s">
        <v>22</v>
      </c>
      <c r="D268" s="21" t="s">
        <v>2</v>
      </c>
      <c r="E268" s="21" t="s">
        <v>46</v>
      </c>
      <c r="F268" s="5812">
        <v>1</v>
      </c>
      <c r="G268" s="5813">
        <v>8.4722222222222227E-2</v>
      </c>
      <c r="H268" s="21" t="s">
        <v>10</v>
      </c>
      <c r="I268" s="21" t="s">
        <v>23</v>
      </c>
      <c r="J268" s="21" t="s">
        <v>406</v>
      </c>
      <c r="K268" s="5814" t="s">
        <v>2978</v>
      </c>
    </row>
    <row r="269" spans="1:11">
      <c r="A269" s="21" t="s">
        <v>2979</v>
      </c>
      <c r="B269" s="21" t="s">
        <v>2980</v>
      </c>
      <c r="C269" s="21" t="s">
        <v>8</v>
      </c>
      <c r="D269" s="21" t="s">
        <v>2</v>
      </c>
      <c r="E269" s="21" t="s">
        <v>46</v>
      </c>
      <c r="F269" s="5812">
        <v>1</v>
      </c>
      <c r="G269" s="5813">
        <v>8.4722222222222227E-2</v>
      </c>
      <c r="H269" s="21" t="s">
        <v>10</v>
      </c>
      <c r="I269" s="21" t="s">
        <v>226</v>
      </c>
      <c r="J269" s="21" t="s">
        <v>127</v>
      </c>
      <c r="K269" s="5814" t="s">
        <v>2981</v>
      </c>
    </row>
    <row r="270" spans="1:11">
      <c r="A270" s="21" t="s">
        <v>2982</v>
      </c>
      <c r="B270" s="21" t="s">
        <v>2983</v>
      </c>
      <c r="C270" s="21" t="s">
        <v>8</v>
      </c>
      <c r="D270" s="21" t="s">
        <v>2</v>
      </c>
      <c r="E270" s="21" t="s">
        <v>46</v>
      </c>
      <c r="F270" s="5812">
        <v>1</v>
      </c>
      <c r="G270" s="5813">
        <v>8.611111111111111E-2</v>
      </c>
      <c r="H270" s="21" t="s">
        <v>10</v>
      </c>
      <c r="I270" s="21" t="s">
        <v>23</v>
      </c>
      <c r="J270" s="21" t="s">
        <v>48</v>
      </c>
      <c r="K270" s="5814" t="s">
        <v>2984</v>
      </c>
    </row>
    <row r="271" spans="1:11">
      <c r="A271" s="21" t="s">
        <v>2985</v>
      </c>
      <c r="B271" s="21" t="s">
        <v>2986</v>
      </c>
      <c r="C271" s="21" t="s">
        <v>22</v>
      </c>
      <c r="D271" s="21" t="s">
        <v>2</v>
      </c>
      <c r="E271" s="21" t="s">
        <v>46</v>
      </c>
      <c r="F271" s="5812">
        <v>1</v>
      </c>
      <c r="G271" s="5813">
        <v>8.611111111111111E-2</v>
      </c>
      <c r="H271" s="21" t="s">
        <v>10</v>
      </c>
      <c r="I271" s="21" t="s">
        <v>55</v>
      </c>
      <c r="J271" s="21" t="s">
        <v>48</v>
      </c>
      <c r="K271" s="5814" t="s">
        <v>2987</v>
      </c>
    </row>
    <row r="272" spans="1:11">
      <c r="A272" s="21" t="s">
        <v>2442</v>
      </c>
      <c r="B272" s="21" t="s">
        <v>2988</v>
      </c>
      <c r="C272" s="21" t="s">
        <v>22</v>
      </c>
      <c r="D272" s="21" t="s">
        <v>2</v>
      </c>
      <c r="E272" s="21" t="s">
        <v>46</v>
      </c>
      <c r="F272" s="5812">
        <v>1</v>
      </c>
      <c r="G272" s="5813">
        <v>8.7499999999999994E-2</v>
      </c>
      <c r="H272" s="21" t="s">
        <v>10</v>
      </c>
      <c r="I272" s="21" t="s">
        <v>11</v>
      </c>
      <c r="J272" s="21" t="s">
        <v>48</v>
      </c>
      <c r="K272" s="5814" t="s">
        <v>2989</v>
      </c>
    </row>
    <row r="273" spans="1:11">
      <c r="A273" s="21" t="s">
        <v>2442</v>
      </c>
      <c r="B273" s="21" t="s">
        <v>2990</v>
      </c>
      <c r="C273" s="21" t="s">
        <v>22</v>
      </c>
      <c r="D273" s="21" t="s">
        <v>2</v>
      </c>
      <c r="E273" s="21" t="s">
        <v>46</v>
      </c>
      <c r="F273" s="5812">
        <v>1</v>
      </c>
      <c r="G273" s="5813">
        <v>8.819444444444445E-2</v>
      </c>
      <c r="H273" s="21" t="s">
        <v>10</v>
      </c>
      <c r="I273" s="21" t="s">
        <v>23</v>
      </c>
      <c r="J273" s="21" t="s">
        <v>97</v>
      </c>
      <c r="K273" s="5814" t="s">
        <v>2991</v>
      </c>
    </row>
    <row r="274" spans="1:11">
      <c r="A274" s="21" t="s">
        <v>2992</v>
      </c>
      <c r="B274" s="21" t="s">
        <v>2993</v>
      </c>
      <c r="C274" s="21" t="s">
        <v>8</v>
      </c>
      <c r="D274" s="21" t="s">
        <v>2</v>
      </c>
      <c r="E274" s="21" t="s">
        <v>46</v>
      </c>
      <c r="F274" s="5812">
        <v>1</v>
      </c>
      <c r="G274" s="5813">
        <v>9.375E-2</v>
      </c>
      <c r="H274" s="21" t="s">
        <v>10</v>
      </c>
      <c r="I274" s="21" t="s">
        <v>55</v>
      </c>
      <c r="J274" s="21" t="s">
        <v>48</v>
      </c>
      <c r="K274" s="5814" t="s">
        <v>2994</v>
      </c>
    </row>
    <row r="275" spans="1:11">
      <c r="A275" s="21" t="s">
        <v>2995</v>
      </c>
      <c r="B275" s="21" t="s">
        <v>2996</v>
      </c>
      <c r="C275" s="21" t="s">
        <v>22</v>
      </c>
      <c r="D275" s="21" t="s">
        <v>2</v>
      </c>
      <c r="E275" s="21" t="s">
        <v>46</v>
      </c>
      <c r="F275" s="5812">
        <v>1</v>
      </c>
      <c r="G275" s="5813">
        <v>9.6527777777777782E-2</v>
      </c>
      <c r="H275" s="21" t="s">
        <v>10</v>
      </c>
      <c r="I275" s="21" t="s">
        <v>96</v>
      </c>
      <c r="J275" s="21" t="s">
        <v>48</v>
      </c>
      <c r="K275" s="5814" t="s">
        <v>2997</v>
      </c>
    </row>
    <row r="276" spans="1:11">
      <c r="A276" s="21" t="s">
        <v>2998</v>
      </c>
      <c r="B276" s="21" t="s">
        <v>2999</v>
      </c>
      <c r="C276" s="21" t="s">
        <v>22</v>
      </c>
      <c r="D276" s="21" t="s">
        <v>2</v>
      </c>
      <c r="E276" s="21" t="s">
        <v>46</v>
      </c>
      <c r="F276" s="5812">
        <v>1</v>
      </c>
      <c r="G276" s="5813">
        <v>0.10277777777777777</v>
      </c>
      <c r="H276" s="21" t="s">
        <v>10</v>
      </c>
      <c r="I276" s="21" t="s">
        <v>245</v>
      </c>
      <c r="J276" s="21" t="s">
        <v>3000</v>
      </c>
      <c r="K276" s="5814" t="s">
        <v>3001</v>
      </c>
    </row>
    <row r="277" spans="1:11">
      <c r="A277" s="21" t="s">
        <v>3002</v>
      </c>
      <c r="B277" s="21" t="s">
        <v>3003</v>
      </c>
      <c r="C277" s="21" t="s">
        <v>8</v>
      </c>
      <c r="D277" s="21" t="s">
        <v>2</v>
      </c>
      <c r="E277" s="21" t="s">
        <v>46</v>
      </c>
      <c r="F277" s="5812">
        <v>1</v>
      </c>
      <c r="G277" s="5813">
        <v>0.11041666666666666</v>
      </c>
      <c r="H277" s="21" t="s">
        <v>10</v>
      </c>
      <c r="I277" s="21" t="s">
        <v>23</v>
      </c>
      <c r="J277" s="21" t="s">
        <v>3004</v>
      </c>
      <c r="K277" s="5814" t="s">
        <v>3005</v>
      </c>
    </row>
    <row r="278" spans="1:11">
      <c r="A278" s="21" t="s">
        <v>3006</v>
      </c>
      <c r="B278" s="21" t="s">
        <v>3007</v>
      </c>
      <c r="C278" s="21" t="s">
        <v>22</v>
      </c>
      <c r="D278" s="21" t="s">
        <v>2</v>
      </c>
      <c r="E278" s="21" t="s">
        <v>46</v>
      </c>
      <c r="F278" s="5812">
        <v>1</v>
      </c>
      <c r="G278" s="5813">
        <v>0.11319444444444444</v>
      </c>
      <c r="H278" s="21" t="s">
        <v>54</v>
      </c>
      <c r="I278" s="21" t="s">
        <v>55</v>
      </c>
      <c r="J278" s="21" t="s">
        <v>406</v>
      </c>
      <c r="K278" s="5814" t="s">
        <v>3008</v>
      </c>
    </row>
    <row r="279" spans="1:11">
      <c r="A279" s="21" t="s">
        <v>3009</v>
      </c>
      <c r="B279" s="21" t="s">
        <v>3010</v>
      </c>
      <c r="C279" s="21" t="s">
        <v>8</v>
      </c>
      <c r="D279" s="21" t="s">
        <v>2</v>
      </c>
      <c r="E279" s="21" t="s">
        <v>46</v>
      </c>
      <c r="F279" s="5812">
        <v>1</v>
      </c>
      <c r="G279" s="5813">
        <v>0.11527777777777778</v>
      </c>
      <c r="H279" s="21" t="s">
        <v>10</v>
      </c>
      <c r="I279" s="21" t="s">
        <v>55</v>
      </c>
      <c r="J279" s="21" t="s">
        <v>722</v>
      </c>
      <c r="K279" s="5814" t="s">
        <v>3011</v>
      </c>
    </row>
    <row r="280" spans="1:11">
      <c r="A280" s="21" t="s">
        <v>3012</v>
      </c>
      <c r="B280" s="21" t="s">
        <v>3013</v>
      </c>
      <c r="C280" s="21" t="s">
        <v>8</v>
      </c>
      <c r="D280" s="21" t="s">
        <v>2</v>
      </c>
      <c r="E280" s="21" t="s">
        <v>46</v>
      </c>
      <c r="F280" s="5812">
        <v>1</v>
      </c>
      <c r="G280" s="5813">
        <v>0.11666666666666667</v>
      </c>
      <c r="H280" s="21" t="s">
        <v>10</v>
      </c>
      <c r="I280" s="21" t="s">
        <v>11</v>
      </c>
      <c r="J280" s="21" t="s">
        <v>258</v>
      </c>
      <c r="K280" s="5814" t="s">
        <v>3014</v>
      </c>
    </row>
    <row r="281" spans="1:11">
      <c r="A281" s="21" t="s">
        <v>2254</v>
      </c>
      <c r="B281" s="21" t="s">
        <v>3015</v>
      </c>
      <c r="C281" s="21" t="s">
        <v>22</v>
      </c>
      <c r="D281" s="21" t="s">
        <v>2</v>
      </c>
      <c r="E281" s="21" t="s">
        <v>46</v>
      </c>
      <c r="F281" s="5812">
        <v>1</v>
      </c>
      <c r="G281" s="5813">
        <v>0.12013888888888889</v>
      </c>
      <c r="H281" s="21" t="s">
        <v>54</v>
      </c>
      <c r="I281" s="21" t="s">
        <v>2297</v>
      </c>
      <c r="J281" s="21" t="s">
        <v>97</v>
      </c>
      <c r="K281" s="5814" t="s">
        <v>3016</v>
      </c>
    </row>
    <row r="282" spans="1:11">
      <c r="A282" s="21" t="s">
        <v>2341</v>
      </c>
      <c r="B282" s="21" t="s">
        <v>3017</v>
      </c>
      <c r="C282" s="21" t="s">
        <v>8</v>
      </c>
      <c r="D282" s="21" t="s">
        <v>2</v>
      </c>
      <c r="E282" s="21" t="s">
        <v>46</v>
      </c>
      <c r="F282" s="5812">
        <v>1</v>
      </c>
      <c r="G282" s="5813">
        <v>0.12291666666666666</v>
      </c>
      <c r="H282" s="21" t="s">
        <v>10</v>
      </c>
      <c r="I282" s="21" t="s">
        <v>11</v>
      </c>
      <c r="J282" s="21" t="s">
        <v>48</v>
      </c>
      <c r="K282" s="5814" t="s">
        <v>3018</v>
      </c>
    </row>
    <row r="283" spans="1:11">
      <c r="A283" s="21" t="s">
        <v>2229</v>
      </c>
      <c r="B283" s="21" t="s">
        <v>3019</v>
      </c>
      <c r="C283" s="21" t="s">
        <v>22</v>
      </c>
      <c r="D283" s="21" t="s">
        <v>2</v>
      </c>
      <c r="E283" s="21" t="s">
        <v>46</v>
      </c>
      <c r="F283" s="5812">
        <v>1</v>
      </c>
      <c r="G283" s="5813">
        <v>0.12291666666666666</v>
      </c>
      <c r="H283" s="21" t="s">
        <v>10</v>
      </c>
      <c r="I283" s="21" t="s">
        <v>2247</v>
      </c>
      <c r="J283" s="21" t="s">
        <v>127</v>
      </c>
      <c r="K283" s="5814" t="s">
        <v>3020</v>
      </c>
    </row>
    <row r="284" spans="1:11">
      <c r="A284" s="21" t="s">
        <v>2979</v>
      </c>
      <c r="B284" s="21" t="s">
        <v>3021</v>
      </c>
      <c r="C284" s="21" t="s">
        <v>8</v>
      </c>
      <c r="D284" s="21" t="s">
        <v>2</v>
      </c>
      <c r="E284" s="21" t="s">
        <v>46</v>
      </c>
      <c r="F284" s="5812">
        <v>1</v>
      </c>
      <c r="G284" s="5813">
        <v>0.12569444444444444</v>
      </c>
      <c r="H284" s="21" t="s">
        <v>10</v>
      </c>
      <c r="I284" s="21" t="s">
        <v>23</v>
      </c>
      <c r="J284" s="21" t="s">
        <v>48</v>
      </c>
      <c r="K284" s="5814" t="s">
        <v>3022</v>
      </c>
    </row>
    <row r="285" spans="1:11">
      <c r="A285" s="21" t="s">
        <v>2804</v>
      </c>
      <c r="B285" s="21" t="s">
        <v>3023</v>
      </c>
      <c r="C285" s="21" t="s">
        <v>8</v>
      </c>
      <c r="D285" s="21" t="s">
        <v>2</v>
      </c>
      <c r="E285" s="21" t="s">
        <v>46</v>
      </c>
      <c r="F285" s="5812">
        <v>1</v>
      </c>
      <c r="G285" s="5813">
        <v>0.12777777777777777</v>
      </c>
      <c r="H285" s="21" t="s">
        <v>10</v>
      </c>
      <c r="I285" s="21" t="s">
        <v>3024</v>
      </c>
      <c r="J285" s="21" t="s">
        <v>97</v>
      </c>
      <c r="K285" s="5814" t="s">
        <v>3025</v>
      </c>
    </row>
    <row r="286" spans="1:11">
      <c r="A286" s="21" t="s">
        <v>3026</v>
      </c>
      <c r="B286" s="21" t="s">
        <v>3027</v>
      </c>
      <c r="C286" s="21" t="s">
        <v>8</v>
      </c>
      <c r="D286" s="21" t="s">
        <v>2</v>
      </c>
      <c r="E286" s="21" t="s">
        <v>46</v>
      </c>
      <c r="F286" s="5812">
        <v>1</v>
      </c>
      <c r="G286" s="5813">
        <v>0.12847222222222221</v>
      </c>
      <c r="H286" s="21" t="s">
        <v>10</v>
      </c>
      <c r="I286" s="21" t="s">
        <v>39</v>
      </c>
      <c r="J286" s="21" t="s">
        <v>48</v>
      </c>
      <c r="K286" s="5814" t="s">
        <v>3028</v>
      </c>
    </row>
    <row r="287" spans="1:11">
      <c r="A287" s="21" t="s">
        <v>3029</v>
      </c>
      <c r="B287" s="21" t="s">
        <v>3030</v>
      </c>
      <c r="C287" s="21" t="s">
        <v>8</v>
      </c>
      <c r="D287" s="21" t="s">
        <v>2</v>
      </c>
      <c r="E287" s="21" t="s">
        <v>46</v>
      </c>
      <c r="F287" s="5812">
        <v>1</v>
      </c>
      <c r="G287" s="5813">
        <v>0.13194444444444445</v>
      </c>
      <c r="H287" s="21" t="s">
        <v>10</v>
      </c>
      <c r="I287" s="21" t="s">
        <v>39</v>
      </c>
      <c r="J287" s="21" t="s">
        <v>3031</v>
      </c>
      <c r="K287" s="5814" t="s">
        <v>3032</v>
      </c>
    </row>
    <row r="288" spans="1:11">
      <c r="A288" s="21" t="s">
        <v>3033</v>
      </c>
      <c r="B288" s="21" t="s">
        <v>3034</v>
      </c>
      <c r="C288" s="21" t="s">
        <v>22</v>
      </c>
      <c r="D288" s="21" t="s">
        <v>2</v>
      </c>
      <c r="E288" s="21" t="s">
        <v>46</v>
      </c>
      <c r="F288" s="5812">
        <v>1</v>
      </c>
      <c r="G288" s="5813">
        <v>0.13541666666666666</v>
      </c>
      <c r="H288" s="21" t="s">
        <v>10</v>
      </c>
      <c r="I288" s="21" t="s">
        <v>2814</v>
      </c>
      <c r="J288" s="21" t="s">
        <v>127</v>
      </c>
      <c r="K288" s="5814" t="s">
        <v>3035</v>
      </c>
    </row>
    <row r="289" spans="1:11">
      <c r="A289" s="21" t="s">
        <v>3036</v>
      </c>
      <c r="B289" s="21" t="s">
        <v>3037</v>
      </c>
      <c r="C289" s="21" t="s">
        <v>22</v>
      </c>
      <c r="D289" s="21" t="s">
        <v>2</v>
      </c>
      <c r="E289" s="21" t="s">
        <v>46</v>
      </c>
      <c r="F289" s="5812">
        <v>1</v>
      </c>
      <c r="G289" s="5813">
        <v>0.14444444444444443</v>
      </c>
      <c r="H289" s="21" t="s">
        <v>10</v>
      </c>
      <c r="I289" s="21" t="s">
        <v>2269</v>
      </c>
      <c r="J289" s="21" t="s">
        <v>48</v>
      </c>
      <c r="K289" s="5814" t="s">
        <v>3038</v>
      </c>
    </row>
    <row r="290" spans="1:11">
      <c r="A290" s="21" t="s">
        <v>44</v>
      </c>
      <c r="B290" s="21" t="s">
        <v>45</v>
      </c>
      <c r="C290" s="21" t="s">
        <v>8</v>
      </c>
      <c r="D290" s="21" t="s">
        <v>2</v>
      </c>
      <c r="E290" s="21" t="s">
        <v>46</v>
      </c>
      <c r="F290" s="5812">
        <v>1</v>
      </c>
      <c r="G290" s="5813">
        <v>0.15416666666666667</v>
      </c>
      <c r="H290" s="21" t="s">
        <v>10</v>
      </c>
      <c r="I290" s="21" t="s">
        <v>47</v>
      </c>
      <c r="J290" s="21" t="s">
        <v>48</v>
      </c>
      <c r="K290" s="5814" t="s">
        <v>49</v>
      </c>
    </row>
    <row r="291" spans="1:11">
      <c r="A291" s="21" t="s">
        <v>3039</v>
      </c>
      <c r="B291" s="21" t="s">
        <v>3040</v>
      </c>
      <c r="C291" s="21" t="s">
        <v>22</v>
      </c>
      <c r="D291" s="21" t="s">
        <v>2</v>
      </c>
      <c r="E291" s="21" t="s">
        <v>46</v>
      </c>
      <c r="F291" s="5812">
        <v>1</v>
      </c>
      <c r="G291" s="5813">
        <v>0.15416666666666667</v>
      </c>
      <c r="H291" s="21" t="s">
        <v>10</v>
      </c>
      <c r="I291" s="21" t="s">
        <v>11</v>
      </c>
      <c r="J291" s="21" t="s">
        <v>48</v>
      </c>
      <c r="K291" s="5814" t="s">
        <v>3041</v>
      </c>
    </row>
    <row r="292" spans="1:11">
      <c r="A292" s="21" t="s">
        <v>2509</v>
      </c>
      <c r="B292" s="21" t="s">
        <v>3042</v>
      </c>
      <c r="C292" s="21" t="s">
        <v>22</v>
      </c>
      <c r="D292" s="21" t="s">
        <v>2</v>
      </c>
      <c r="E292" s="21" t="s">
        <v>46</v>
      </c>
      <c r="F292" s="5812">
        <v>1</v>
      </c>
      <c r="G292" s="5813">
        <v>0.15763888888888888</v>
      </c>
      <c r="H292" s="21" t="s">
        <v>10</v>
      </c>
      <c r="I292" s="21" t="s">
        <v>47</v>
      </c>
      <c r="J292" s="21" t="s">
        <v>127</v>
      </c>
      <c r="K292" s="5814" t="s">
        <v>3043</v>
      </c>
    </row>
    <row r="293" spans="1:11">
      <c r="A293" s="21" t="s">
        <v>3044</v>
      </c>
      <c r="B293" s="21" t="s">
        <v>3045</v>
      </c>
      <c r="C293" s="21" t="s">
        <v>8</v>
      </c>
      <c r="D293" s="21" t="s">
        <v>2</v>
      </c>
      <c r="E293" s="21" t="s">
        <v>46</v>
      </c>
      <c r="F293" s="5812">
        <v>1</v>
      </c>
      <c r="G293" s="5813">
        <v>0.15763888888888888</v>
      </c>
      <c r="H293" s="21" t="s">
        <v>10</v>
      </c>
      <c r="I293" s="21" t="s">
        <v>2872</v>
      </c>
      <c r="J293" s="21" t="s">
        <v>406</v>
      </c>
      <c r="K293" s="5814" t="s">
        <v>3046</v>
      </c>
    </row>
    <row r="294" spans="1:11">
      <c r="A294" s="21" t="s">
        <v>2944</v>
      </c>
      <c r="B294" s="21" t="s">
        <v>3047</v>
      </c>
      <c r="C294" s="21" t="s">
        <v>8</v>
      </c>
      <c r="D294" s="21" t="s">
        <v>2</v>
      </c>
      <c r="E294" s="21" t="s">
        <v>46</v>
      </c>
      <c r="F294" s="5812">
        <v>1</v>
      </c>
      <c r="G294" s="5813">
        <v>0.15902777777777777</v>
      </c>
      <c r="H294" s="21" t="s">
        <v>10</v>
      </c>
      <c r="I294" s="21" t="s">
        <v>73</v>
      </c>
      <c r="J294" s="21" t="s">
        <v>97</v>
      </c>
      <c r="K294" s="5814" t="s">
        <v>3048</v>
      </c>
    </row>
    <row r="295" spans="1:11">
      <c r="A295" s="21" t="s">
        <v>3049</v>
      </c>
      <c r="B295" s="21" t="s">
        <v>3050</v>
      </c>
      <c r="C295" s="21" t="s">
        <v>22</v>
      </c>
      <c r="D295" s="21" t="s">
        <v>2</v>
      </c>
      <c r="E295" s="21" t="s">
        <v>46</v>
      </c>
      <c r="F295" s="5812">
        <v>1</v>
      </c>
      <c r="G295" s="5813">
        <v>0.16944444444444445</v>
      </c>
      <c r="H295" s="21" t="s">
        <v>10</v>
      </c>
      <c r="I295" s="21" t="s">
        <v>2731</v>
      </c>
      <c r="J295" s="21" t="s">
        <v>3051</v>
      </c>
      <c r="K295" s="5814" t="s">
        <v>3052</v>
      </c>
    </row>
    <row r="296" spans="1:11">
      <c r="A296" s="21" t="s">
        <v>3053</v>
      </c>
      <c r="B296" s="21" t="s">
        <v>3054</v>
      </c>
      <c r="C296" s="21" t="s">
        <v>22</v>
      </c>
      <c r="D296" s="21" t="s">
        <v>2</v>
      </c>
      <c r="E296" s="21" t="s">
        <v>46</v>
      </c>
      <c r="F296" s="5812">
        <v>1</v>
      </c>
      <c r="G296" s="5813">
        <v>0.17291666666666666</v>
      </c>
      <c r="H296" s="21" t="s">
        <v>10</v>
      </c>
      <c r="I296" s="21" t="s">
        <v>2269</v>
      </c>
      <c r="J296" s="21" t="s">
        <v>97</v>
      </c>
      <c r="K296" s="5814" t="s">
        <v>3055</v>
      </c>
    </row>
    <row r="297" spans="1:11">
      <c r="A297" s="21" t="s">
        <v>3056</v>
      </c>
      <c r="B297" s="21" t="s">
        <v>3057</v>
      </c>
      <c r="C297" s="21" t="s">
        <v>22</v>
      </c>
      <c r="D297" s="21" t="s">
        <v>2</v>
      </c>
      <c r="E297" s="21" t="s">
        <v>46</v>
      </c>
      <c r="F297" s="5812">
        <v>1</v>
      </c>
      <c r="G297" s="5813">
        <v>0.17916666666666667</v>
      </c>
      <c r="H297" s="21" t="s">
        <v>10</v>
      </c>
      <c r="I297" s="21" t="s">
        <v>2872</v>
      </c>
      <c r="J297" s="21" t="s">
        <v>97</v>
      </c>
      <c r="K297" s="5814" t="s">
        <v>3058</v>
      </c>
    </row>
    <row r="298" spans="1:11">
      <c r="A298" s="21" t="s">
        <v>2272</v>
      </c>
      <c r="B298" s="21" t="s">
        <v>3059</v>
      </c>
      <c r="C298" s="21" t="s">
        <v>8</v>
      </c>
      <c r="D298" s="21" t="s">
        <v>2</v>
      </c>
      <c r="E298" s="21" t="s">
        <v>46</v>
      </c>
      <c r="F298" s="5812">
        <v>1</v>
      </c>
      <c r="G298" s="5813">
        <v>0.18333333333333332</v>
      </c>
      <c r="H298" s="21" t="s">
        <v>10</v>
      </c>
      <c r="I298" s="21" t="s">
        <v>11</v>
      </c>
      <c r="J298" s="21" t="s">
        <v>97</v>
      </c>
      <c r="K298" s="5814" t="s">
        <v>3060</v>
      </c>
    </row>
    <row r="299" spans="1:11">
      <c r="A299" s="21" t="s">
        <v>2358</v>
      </c>
      <c r="B299" s="21" t="s">
        <v>3061</v>
      </c>
      <c r="C299" s="21" t="s">
        <v>8</v>
      </c>
      <c r="D299" s="21" t="s">
        <v>2</v>
      </c>
      <c r="E299" s="21" t="s">
        <v>46</v>
      </c>
      <c r="F299" s="5812">
        <v>1</v>
      </c>
      <c r="G299" s="5813">
        <v>0.19444444444444445</v>
      </c>
      <c r="H299" s="21" t="s">
        <v>10</v>
      </c>
      <c r="I299" s="21" t="s">
        <v>96</v>
      </c>
      <c r="J299" s="21" t="s">
        <v>48</v>
      </c>
      <c r="K299" s="5814" t="s">
        <v>3062</v>
      </c>
    </row>
    <row r="300" spans="1:11">
      <c r="A300" s="21" t="s">
        <v>2530</v>
      </c>
      <c r="B300" s="21" t="s">
        <v>1084</v>
      </c>
      <c r="C300" s="21" t="s">
        <v>22</v>
      </c>
      <c r="D300" s="21" t="s">
        <v>2</v>
      </c>
      <c r="E300" s="21" t="s">
        <v>46</v>
      </c>
      <c r="F300" s="5812">
        <v>1</v>
      </c>
      <c r="G300" s="5813">
        <v>0.19444444444444445</v>
      </c>
      <c r="H300" s="21" t="s">
        <v>10</v>
      </c>
      <c r="I300" s="21" t="s">
        <v>55</v>
      </c>
      <c r="J300" s="21" t="s">
        <v>3063</v>
      </c>
      <c r="K300" s="5814" t="s">
        <v>3064</v>
      </c>
    </row>
    <row r="301" spans="1:11">
      <c r="A301" s="21" t="s">
        <v>2461</v>
      </c>
      <c r="B301" s="21" t="s">
        <v>3065</v>
      </c>
      <c r="C301" s="21" t="s">
        <v>22</v>
      </c>
      <c r="D301" s="21" t="s">
        <v>2</v>
      </c>
      <c r="E301" s="21" t="s">
        <v>46</v>
      </c>
      <c r="F301" s="5812">
        <v>1</v>
      </c>
      <c r="G301" s="5813">
        <v>0.19583333333333333</v>
      </c>
      <c r="H301" s="21" t="s">
        <v>10</v>
      </c>
      <c r="I301" s="21" t="s">
        <v>96</v>
      </c>
      <c r="J301" s="21" t="s">
        <v>97</v>
      </c>
      <c r="K301" s="5814" t="s">
        <v>3066</v>
      </c>
    </row>
    <row r="302" spans="1:11">
      <c r="A302" s="21" t="s">
        <v>2165</v>
      </c>
      <c r="B302" s="21" t="s">
        <v>3067</v>
      </c>
      <c r="C302" s="21" t="s">
        <v>8</v>
      </c>
      <c r="D302" s="21" t="s">
        <v>2</v>
      </c>
      <c r="E302" s="21" t="s">
        <v>46</v>
      </c>
      <c r="F302" s="5812">
        <v>1</v>
      </c>
      <c r="G302" s="5813">
        <v>0.19652777777777777</v>
      </c>
      <c r="H302" s="21" t="s">
        <v>10</v>
      </c>
      <c r="I302" s="21" t="s">
        <v>2576</v>
      </c>
      <c r="J302" s="21" t="s">
        <v>48</v>
      </c>
      <c r="K302" s="5814" t="s">
        <v>3068</v>
      </c>
    </row>
    <row r="303" spans="1:11">
      <c r="A303" s="21" t="s">
        <v>3026</v>
      </c>
      <c r="B303" s="21" t="s">
        <v>3069</v>
      </c>
      <c r="C303" s="21" t="s">
        <v>22</v>
      </c>
      <c r="D303" s="21" t="s">
        <v>2</v>
      </c>
      <c r="E303" s="21" t="s">
        <v>46</v>
      </c>
      <c r="F303" s="5812">
        <v>1</v>
      </c>
      <c r="G303" s="5813">
        <v>0.19722222222222222</v>
      </c>
      <c r="H303" s="21" t="s">
        <v>10</v>
      </c>
      <c r="I303" s="21" t="s">
        <v>96</v>
      </c>
      <c r="J303" s="21" t="s">
        <v>97</v>
      </c>
      <c r="K303" s="5814" t="s">
        <v>3070</v>
      </c>
    </row>
    <row r="304" spans="1:11">
      <c r="A304" s="21" t="s">
        <v>2643</v>
      </c>
      <c r="B304" s="21" t="s">
        <v>3071</v>
      </c>
      <c r="C304" s="21" t="s">
        <v>22</v>
      </c>
      <c r="D304" s="21" t="s">
        <v>2</v>
      </c>
      <c r="E304" s="21" t="s">
        <v>46</v>
      </c>
      <c r="F304" s="5812">
        <v>1</v>
      </c>
      <c r="G304" s="5813">
        <v>0.20277777777777778</v>
      </c>
      <c r="H304" s="21" t="s">
        <v>10</v>
      </c>
      <c r="I304" s="21" t="s">
        <v>47</v>
      </c>
      <c r="J304" s="21" t="s">
        <v>48</v>
      </c>
      <c r="K304" s="5814" t="s">
        <v>3072</v>
      </c>
    </row>
    <row r="305" spans="1:11">
      <c r="A305" s="21" t="s">
        <v>125</v>
      </c>
      <c r="B305" s="21" t="s">
        <v>126</v>
      </c>
      <c r="C305" s="21" t="s">
        <v>8</v>
      </c>
      <c r="D305" s="21" t="s">
        <v>2</v>
      </c>
      <c r="E305" s="21" t="s">
        <v>46</v>
      </c>
      <c r="F305" s="5812">
        <v>2</v>
      </c>
      <c r="G305" s="5813">
        <v>1.4583333333333334E-2</v>
      </c>
      <c r="H305" s="21" t="s">
        <v>10</v>
      </c>
      <c r="I305" s="21" t="s">
        <v>23</v>
      </c>
      <c r="J305" s="21" t="s">
        <v>127</v>
      </c>
      <c r="K305" s="5814" t="s">
        <v>128</v>
      </c>
    </row>
    <row r="306" spans="1:11">
      <c r="A306" s="21" t="s">
        <v>2784</v>
      </c>
      <c r="B306" s="21" t="s">
        <v>3073</v>
      </c>
      <c r="C306" s="21" t="s">
        <v>22</v>
      </c>
      <c r="D306" s="21" t="s">
        <v>2</v>
      </c>
      <c r="E306" s="21" t="s">
        <v>46</v>
      </c>
      <c r="F306" s="5812">
        <v>2</v>
      </c>
      <c r="G306" s="5813">
        <v>1.9444444444444445E-2</v>
      </c>
      <c r="H306" s="21" t="s">
        <v>10</v>
      </c>
      <c r="I306" s="21" t="s">
        <v>11</v>
      </c>
      <c r="J306" s="21" t="s">
        <v>997</v>
      </c>
      <c r="K306" s="5814" t="s">
        <v>3074</v>
      </c>
    </row>
    <row r="307" spans="1:11">
      <c r="A307" s="21" t="s">
        <v>2882</v>
      </c>
      <c r="B307" s="21" t="s">
        <v>3075</v>
      </c>
      <c r="C307" s="21" t="s">
        <v>22</v>
      </c>
      <c r="D307" s="21" t="s">
        <v>2</v>
      </c>
      <c r="E307" s="21" t="s">
        <v>46</v>
      </c>
      <c r="F307" s="5812">
        <v>2</v>
      </c>
      <c r="G307" s="5813">
        <v>2.013888888888889E-2</v>
      </c>
      <c r="H307" s="21" t="s">
        <v>10</v>
      </c>
      <c r="I307" s="21" t="s">
        <v>2297</v>
      </c>
      <c r="J307" s="21" t="s">
        <v>154</v>
      </c>
      <c r="K307" s="5814" t="s">
        <v>3076</v>
      </c>
    </row>
    <row r="308" spans="1:11">
      <c r="A308" s="21" t="s">
        <v>2131</v>
      </c>
      <c r="B308" s="21" t="s">
        <v>3077</v>
      </c>
      <c r="C308" s="21" t="s">
        <v>8</v>
      </c>
      <c r="D308" s="21" t="s">
        <v>2</v>
      </c>
      <c r="E308" s="21" t="s">
        <v>46</v>
      </c>
      <c r="F308" s="5812">
        <v>2</v>
      </c>
      <c r="G308" s="5813">
        <v>2.361111111111111E-2</v>
      </c>
      <c r="H308" s="21" t="s">
        <v>10</v>
      </c>
      <c r="I308" s="21" t="s">
        <v>23</v>
      </c>
      <c r="J308" s="21" t="s">
        <v>127</v>
      </c>
      <c r="K308" s="5814" t="s">
        <v>3078</v>
      </c>
    </row>
    <row r="309" spans="1:11">
      <c r="A309" s="21" t="s">
        <v>2521</v>
      </c>
      <c r="B309" s="21" t="s">
        <v>3079</v>
      </c>
      <c r="C309" s="21" t="s">
        <v>8</v>
      </c>
      <c r="D309" s="21" t="s">
        <v>2</v>
      </c>
      <c r="E309" s="21" t="s">
        <v>46</v>
      </c>
      <c r="F309" s="5812">
        <v>2</v>
      </c>
      <c r="G309" s="5813">
        <v>3.0555555555555555E-2</v>
      </c>
      <c r="H309" s="21" t="s">
        <v>10</v>
      </c>
      <c r="I309" s="21" t="s">
        <v>47</v>
      </c>
      <c r="J309" s="21" t="s">
        <v>3080</v>
      </c>
      <c r="K309" s="5814" t="s">
        <v>3081</v>
      </c>
    </row>
    <row r="310" spans="1:11">
      <c r="A310" s="21" t="s">
        <v>3082</v>
      </c>
      <c r="B310" s="21" t="s">
        <v>3083</v>
      </c>
      <c r="C310" s="21" t="s">
        <v>8</v>
      </c>
      <c r="D310" s="21" t="s">
        <v>2</v>
      </c>
      <c r="E310" s="21" t="s">
        <v>46</v>
      </c>
      <c r="F310" s="5812">
        <v>2</v>
      </c>
      <c r="G310" s="5813">
        <v>3.1944444444444442E-2</v>
      </c>
      <c r="H310" s="21" t="s">
        <v>10</v>
      </c>
      <c r="I310" s="21" t="s">
        <v>2247</v>
      </c>
      <c r="J310" s="21" t="s">
        <v>48</v>
      </c>
      <c r="K310" s="5814" t="s">
        <v>3084</v>
      </c>
    </row>
    <row r="311" spans="1:11">
      <c r="A311" s="21" t="s">
        <v>2123</v>
      </c>
      <c r="B311" s="21" t="s">
        <v>3085</v>
      </c>
      <c r="C311" s="21" t="s">
        <v>22</v>
      </c>
      <c r="D311" s="21" t="s">
        <v>2</v>
      </c>
      <c r="E311" s="21" t="s">
        <v>46</v>
      </c>
      <c r="F311" s="5812">
        <v>2</v>
      </c>
      <c r="G311" s="5813">
        <v>3.2638888888888891E-2</v>
      </c>
      <c r="H311" s="21" t="s">
        <v>10</v>
      </c>
      <c r="I311" s="21" t="s">
        <v>23</v>
      </c>
      <c r="J311" s="21" t="s">
        <v>48</v>
      </c>
      <c r="K311" s="5814" t="s">
        <v>3086</v>
      </c>
    </row>
    <row r="312" spans="1:11">
      <c r="A312" s="21" t="s">
        <v>2651</v>
      </c>
      <c r="B312" s="21" t="s">
        <v>3087</v>
      </c>
      <c r="C312" s="21" t="s">
        <v>22</v>
      </c>
      <c r="D312" s="21" t="s">
        <v>2</v>
      </c>
      <c r="E312" s="21" t="s">
        <v>46</v>
      </c>
      <c r="F312" s="5812">
        <v>2</v>
      </c>
      <c r="G312" s="5813">
        <v>4.2361111111111113E-2</v>
      </c>
      <c r="H312" s="21" t="s">
        <v>10</v>
      </c>
      <c r="I312" s="21" t="s">
        <v>2726</v>
      </c>
      <c r="J312" s="21" t="s">
        <v>48</v>
      </c>
      <c r="K312" s="5814" t="s">
        <v>3088</v>
      </c>
    </row>
    <row r="313" spans="1:11">
      <c r="A313" s="21" t="s">
        <v>3089</v>
      </c>
      <c r="B313" s="21" t="s">
        <v>3090</v>
      </c>
      <c r="C313" s="21" t="s">
        <v>8</v>
      </c>
      <c r="D313" s="21" t="s">
        <v>2</v>
      </c>
      <c r="E313" s="21" t="s">
        <v>46</v>
      </c>
      <c r="F313" s="5812">
        <v>2</v>
      </c>
      <c r="G313" s="5813">
        <v>4.2361111111111113E-2</v>
      </c>
      <c r="H313" s="21" t="s">
        <v>10</v>
      </c>
      <c r="I313" s="21" t="s">
        <v>3091</v>
      </c>
      <c r="J313" s="21" t="s">
        <v>127</v>
      </c>
      <c r="K313" s="5814" t="s">
        <v>3092</v>
      </c>
    </row>
    <row r="314" spans="1:11">
      <c r="A314" s="21" t="s">
        <v>2517</v>
      </c>
      <c r="B314" s="21" t="s">
        <v>3093</v>
      </c>
      <c r="C314" s="21" t="s">
        <v>22</v>
      </c>
      <c r="D314" s="21" t="s">
        <v>2</v>
      </c>
      <c r="E314" s="21" t="s">
        <v>46</v>
      </c>
      <c r="F314" s="5812">
        <v>2</v>
      </c>
      <c r="G314" s="5813">
        <v>4.3749999999999997E-2</v>
      </c>
      <c r="H314" s="21" t="s">
        <v>54</v>
      </c>
      <c r="I314" s="21" t="s">
        <v>47</v>
      </c>
      <c r="J314" s="21" t="s">
        <v>3094</v>
      </c>
      <c r="K314" s="5814" t="s">
        <v>3095</v>
      </c>
    </row>
    <row r="315" spans="1:11">
      <c r="A315" s="21" t="s">
        <v>2212</v>
      </c>
      <c r="B315" s="21" t="s">
        <v>3096</v>
      </c>
      <c r="C315" s="21" t="s">
        <v>22</v>
      </c>
      <c r="D315" s="21" t="s">
        <v>2</v>
      </c>
      <c r="E315" s="21" t="s">
        <v>46</v>
      </c>
      <c r="F315" s="5812">
        <v>2</v>
      </c>
      <c r="G315" s="5813">
        <v>4.583333333333333E-2</v>
      </c>
      <c r="H315" s="21" t="s">
        <v>10</v>
      </c>
      <c r="I315" s="21" t="s">
        <v>2597</v>
      </c>
      <c r="J315" s="21" t="s">
        <v>97</v>
      </c>
      <c r="K315" s="5814" t="s">
        <v>3097</v>
      </c>
    </row>
    <row r="316" spans="1:11">
      <c r="A316" s="21" t="s">
        <v>3098</v>
      </c>
      <c r="B316" s="21" t="s">
        <v>3099</v>
      </c>
      <c r="C316" s="21" t="s">
        <v>8</v>
      </c>
      <c r="D316" s="21" t="s">
        <v>2</v>
      </c>
      <c r="E316" s="21" t="s">
        <v>46</v>
      </c>
      <c r="F316" s="5812">
        <v>2</v>
      </c>
      <c r="G316" s="5813">
        <v>5.9722222222222225E-2</v>
      </c>
      <c r="H316" s="21" t="s">
        <v>10</v>
      </c>
      <c r="I316" s="21" t="s">
        <v>3100</v>
      </c>
      <c r="J316" s="21" t="s">
        <v>97</v>
      </c>
      <c r="K316" s="5814" t="s">
        <v>3101</v>
      </c>
    </row>
    <row r="317" spans="1:11">
      <c r="A317" s="21" t="s">
        <v>3102</v>
      </c>
      <c r="B317" s="21" t="s">
        <v>3103</v>
      </c>
      <c r="C317" s="21" t="s">
        <v>8</v>
      </c>
      <c r="D317" s="21" t="s">
        <v>2</v>
      </c>
      <c r="E317" s="21" t="s">
        <v>46</v>
      </c>
      <c r="F317" s="5812">
        <v>2</v>
      </c>
      <c r="G317" s="5813">
        <v>6.3194444444444442E-2</v>
      </c>
      <c r="H317" s="21" t="s">
        <v>10</v>
      </c>
      <c r="I317" s="21" t="s">
        <v>39</v>
      </c>
      <c r="J317" s="21" t="s">
        <v>48</v>
      </c>
      <c r="K317" s="5814" t="s">
        <v>3104</v>
      </c>
    </row>
    <row r="318" spans="1:11">
      <c r="A318" s="21" t="s">
        <v>3105</v>
      </c>
      <c r="B318" s="21" t="s">
        <v>3106</v>
      </c>
      <c r="C318" s="21" t="s">
        <v>8</v>
      </c>
      <c r="D318" s="21" t="s">
        <v>2</v>
      </c>
      <c r="E318" s="21" t="s">
        <v>46</v>
      </c>
      <c r="F318" s="5812">
        <v>2</v>
      </c>
      <c r="G318" s="5813">
        <v>6.5972222222222224E-2</v>
      </c>
      <c r="H318" s="21" t="s">
        <v>10</v>
      </c>
      <c r="I318" s="21" t="s">
        <v>55</v>
      </c>
      <c r="J318" s="21" t="s">
        <v>97</v>
      </c>
      <c r="K318" s="5814" t="s">
        <v>3107</v>
      </c>
    </row>
    <row r="319" spans="1:11">
      <c r="A319" s="21" t="s">
        <v>3082</v>
      </c>
      <c r="B319" s="21" t="s">
        <v>3108</v>
      </c>
      <c r="C319" s="21" t="s">
        <v>8</v>
      </c>
      <c r="D319" s="21" t="s">
        <v>2</v>
      </c>
      <c r="E319" s="21" t="s">
        <v>46</v>
      </c>
      <c r="F319" s="5812">
        <v>2</v>
      </c>
      <c r="G319" s="5813">
        <v>6.7361111111111108E-2</v>
      </c>
      <c r="H319" s="21" t="s">
        <v>10</v>
      </c>
      <c r="I319" s="21" t="s">
        <v>2176</v>
      </c>
      <c r="J319" s="21" t="s">
        <v>97</v>
      </c>
      <c r="K319" s="5814" t="s">
        <v>3109</v>
      </c>
    </row>
    <row r="320" spans="1:11">
      <c r="A320" s="21" t="s">
        <v>2143</v>
      </c>
      <c r="B320" s="21" t="s">
        <v>3110</v>
      </c>
      <c r="C320" s="21" t="s">
        <v>22</v>
      </c>
      <c r="D320" s="21" t="s">
        <v>2</v>
      </c>
      <c r="E320" s="21" t="s">
        <v>46</v>
      </c>
      <c r="F320" s="5812">
        <v>2</v>
      </c>
      <c r="G320" s="5813">
        <v>7.013888888888889E-2</v>
      </c>
      <c r="H320" s="21" t="s">
        <v>10</v>
      </c>
      <c r="I320" s="21" t="s">
        <v>226</v>
      </c>
      <c r="J320" s="21" t="s">
        <v>154</v>
      </c>
      <c r="K320" s="5814" t="s">
        <v>3111</v>
      </c>
    </row>
    <row r="321" spans="1:11">
      <c r="A321" s="21" t="s">
        <v>2471</v>
      </c>
      <c r="B321" s="21" t="s">
        <v>3112</v>
      </c>
      <c r="C321" s="21" t="s">
        <v>8</v>
      </c>
      <c r="D321" s="21" t="s">
        <v>2</v>
      </c>
      <c r="E321" s="21" t="s">
        <v>46</v>
      </c>
      <c r="F321" s="5812">
        <v>2</v>
      </c>
      <c r="G321" s="5813">
        <v>9.0277777777777776E-2</v>
      </c>
      <c r="H321" s="21" t="s">
        <v>10</v>
      </c>
      <c r="I321" s="21" t="s">
        <v>11</v>
      </c>
      <c r="J321" s="21" t="s">
        <v>127</v>
      </c>
      <c r="K321" s="5814" t="s">
        <v>3113</v>
      </c>
    </row>
    <row r="322" spans="1:11">
      <c r="A322" s="21" t="s">
        <v>2057</v>
      </c>
      <c r="B322" s="21" t="s">
        <v>3114</v>
      </c>
      <c r="C322" s="21" t="s">
        <v>8</v>
      </c>
      <c r="D322" s="21" t="s">
        <v>2</v>
      </c>
      <c r="E322" s="21" t="s">
        <v>46</v>
      </c>
      <c r="F322" s="5812">
        <v>2</v>
      </c>
      <c r="G322" s="5813">
        <v>9.0972222222222218E-2</v>
      </c>
      <c r="H322" s="21" t="s">
        <v>10</v>
      </c>
      <c r="I322" s="21" t="s">
        <v>23</v>
      </c>
      <c r="J322" s="21" t="s">
        <v>127</v>
      </c>
      <c r="K322" s="5814" t="s">
        <v>3115</v>
      </c>
    </row>
    <row r="323" spans="1:11">
      <c r="A323" s="21" t="s">
        <v>3116</v>
      </c>
      <c r="B323" s="21" t="s">
        <v>3117</v>
      </c>
      <c r="C323" s="21" t="s">
        <v>22</v>
      </c>
      <c r="D323" s="21" t="s">
        <v>2</v>
      </c>
      <c r="E323" s="21" t="s">
        <v>46</v>
      </c>
      <c r="F323" s="5812">
        <v>2</v>
      </c>
      <c r="G323" s="5813">
        <v>9.3055555555555558E-2</v>
      </c>
      <c r="H323" s="21" t="s">
        <v>10</v>
      </c>
      <c r="I323" s="21" t="s">
        <v>23</v>
      </c>
      <c r="J323" s="21" t="s">
        <v>48</v>
      </c>
      <c r="K323" s="5814" t="s">
        <v>3118</v>
      </c>
    </row>
    <row r="324" spans="1:11">
      <c r="A324" s="21" t="s">
        <v>3119</v>
      </c>
      <c r="B324" s="21" t="s">
        <v>3120</v>
      </c>
      <c r="C324" s="21" t="s">
        <v>8</v>
      </c>
      <c r="D324" s="21" t="s">
        <v>2</v>
      </c>
      <c r="E324" s="21" t="s">
        <v>46</v>
      </c>
      <c r="F324" s="5812">
        <v>2</v>
      </c>
      <c r="G324" s="5813">
        <v>9.375E-2</v>
      </c>
      <c r="H324" s="21" t="s">
        <v>10</v>
      </c>
      <c r="I324" s="21" t="s">
        <v>96</v>
      </c>
      <c r="J324" s="21" t="s">
        <v>258</v>
      </c>
      <c r="K324" s="5814" t="s">
        <v>3121</v>
      </c>
    </row>
    <row r="325" spans="1:11">
      <c r="A325" s="21" t="s">
        <v>2354</v>
      </c>
      <c r="B325" s="21" t="s">
        <v>3122</v>
      </c>
      <c r="C325" s="21" t="s">
        <v>22</v>
      </c>
      <c r="D325" s="21" t="s">
        <v>2</v>
      </c>
      <c r="E325" s="21" t="s">
        <v>46</v>
      </c>
      <c r="F325" s="5812">
        <v>2</v>
      </c>
      <c r="G325" s="5813">
        <v>9.583333333333334E-2</v>
      </c>
      <c r="H325" s="21" t="s">
        <v>10</v>
      </c>
      <c r="I325" s="21" t="s">
        <v>788</v>
      </c>
      <c r="J325" s="21" t="s">
        <v>3123</v>
      </c>
      <c r="K325" s="5814" t="s">
        <v>3124</v>
      </c>
    </row>
    <row r="326" spans="1:11">
      <c r="A326" s="21" t="s">
        <v>3125</v>
      </c>
      <c r="B326" s="21" t="s">
        <v>3126</v>
      </c>
      <c r="C326" s="21" t="s">
        <v>22</v>
      </c>
      <c r="D326" s="21" t="s">
        <v>2</v>
      </c>
      <c r="E326" s="21" t="s">
        <v>46</v>
      </c>
      <c r="F326" s="5812">
        <v>2</v>
      </c>
      <c r="G326" s="5813">
        <v>0.1</v>
      </c>
      <c r="H326" s="21" t="s">
        <v>10</v>
      </c>
      <c r="I326" s="21" t="s">
        <v>55</v>
      </c>
      <c r="J326" s="21" t="s">
        <v>3127</v>
      </c>
      <c r="K326" s="5814" t="s">
        <v>3128</v>
      </c>
    </row>
    <row r="327" spans="1:11">
      <c r="A327" s="21" t="s">
        <v>71</v>
      </c>
      <c r="B327" s="21" t="s">
        <v>72</v>
      </c>
      <c r="C327" s="21" t="s">
        <v>8</v>
      </c>
      <c r="D327" s="21" t="s">
        <v>2</v>
      </c>
      <c r="E327" s="21" t="s">
        <v>46</v>
      </c>
      <c r="F327" s="5812">
        <v>2</v>
      </c>
      <c r="G327" s="5813">
        <v>0.10138888888888889</v>
      </c>
      <c r="H327" s="21" t="s">
        <v>10</v>
      </c>
      <c r="I327" s="21" t="s">
        <v>73</v>
      </c>
      <c r="J327" s="21" t="s">
        <v>74</v>
      </c>
      <c r="K327" s="5814" t="s">
        <v>3129</v>
      </c>
    </row>
    <row r="328" spans="1:11">
      <c r="A328" s="21" t="s">
        <v>3130</v>
      </c>
      <c r="B328" s="21" t="s">
        <v>3131</v>
      </c>
      <c r="C328" s="21" t="s">
        <v>8</v>
      </c>
      <c r="D328" s="21" t="s">
        <v>2</v>
      </c>
      <c r="E328" s="21" t="s">
        <v>46</v>
      </c>
      <c r="F328" s="5812">
        <v>2</v>
      </c>
      <c r="G328" s="5813">
        <v>0.10694444444444444</v>
      </c>
      <c r="H328" s="21" t="s">
        <v>10</v>
      </c>
      <c r="I328" s="21" t="s">
        <v>55</v>
      </c>
      <c r="J328" s="21" t="s">
        <v>3132</v>
      </c>
      <c r="K328" s="5814" t="s">
        <v>3133</v>
      </c>
    </row>
    <row r="329" spans="1:11">
      <c r="A329" s="21" t="s">
        <v>3134</v>
      </c>
      <c r="B329" s="21" t="s">
        <v>3135</v>
      </c>
      <c r="C329" s="21" t="s">
        <v>22</v>
      </c>
      <c r="D329" s="21" t="s">
        <v>2</v>
      </c>
      <c r="E329" s="21" t="s">
        <v>46</v>
      </c>
      <c r="F329" s="5812">
        <v>2</v>
      </c>
      <c r="G329" s="5813">
        <v>0.12708333333333333</v>
      </c>
      <c r="H329" s="21" t="s">
        <v>10</v>
      </c>
      <c r="I329" s="21" t="s">
        <v>23</v>
      </c>
      <c r="J329" s="21" t="s">
        <v>48</v>
      </c>
      <c r="K329" s="5814" t="s">
        <v>3136</v>
      </c>
    </row>
    <row r="330" spans="1:11">
      <c r="A330" s="21" t="s">
        <v>37</v>
      </c>
      <c r="B330" s="21" t="s">
        <v>199</v>
      </c>
      <c r="C330" s="21" t="s">
        <v>8</v>
      </c>
      <c r="D330" s="21" t="s">
        <v>2</v>
      </c>
      <c r="E330" s="21" t="s">
        <v>46</v>
      </c>
      <c r="F330" s="5812">
        <v>2</v>
      </c>
      <c r="G330" s="5813">
        <v>0.1451388888888889</v>
      </c>
      <c r="H330" s="21" t="s">
        <v>10</v>
      </c>
      <c r="I330" s="21" t="s">
        <v>39</v>
      </c>
      <c r="J330" s="21" t="s">
        <v>97</v>
      </c>
      <c r="K330" s="5814" t="s">
        <v>200</v>
      </c>
    </row>
    <row r="331" spans="1:11">
      <c r="A331" s="21" t="s">
        <v>2724</v>
      </c>
      <c r="B331" s="21" t="s">
        <v>3137</v>
      </c>
      <c r="C331" s="21" t="s">
        <v>22</v>
      </c>
      <c r="D331" s="21" t="s">
        <v>2</v>
      </c>
      <c r="E331" s="21" t="s">
        <v>46</v>
      </c>
      <c r="F331" s="5812">
        <v>2</v>
      </c>
      <c r="G331" s="5813">
        <v>0.15416666666666667</v>
      </c>
      <c r="H331" s="21" t="s">
        <v>10</v>
      </c>
      <c r="I331" s="21" t="s">
        <v>3138</v>
      </c>
      <c r="J331" s="21" t="s">
        <v>1076</v>
      </c>
      <c r="K331" s="5814" t="s">
        <v>3139</v>
      </c>
    </row>
    <row r="332" spans="1:11">
      <c r="A332" s="21" t="s">
        <v>2057</v>
      </c>
      <c r="B332" s="21" t="s">
        <v>3140</v>
      </c>
      <c r="C332" s="21" t="s">
        <v>8</v>
      </c>
      <c r="D332" s="21" t="s">
        <v>2</v>
      </c>
      <c r="E332" s="21" t="s">
        <v>46</v>
      </c>
      <c r="F332" s="5812">
        <v>2</v>
      </c>
      <c r="G332" s="5813">
        <v>0.15625</v>
      </c>
      <c r="H332" s="21" t="s">
        <v>10</v>
      </c>
      <c r="I332" s="21" t="s">
        <v>23</v>
      </c>
      <c r="J332" s="21" t="s">
        <v>97</v>
      </c>
      <c r="K332" s="5814" t="s">
        <v>3141</v>
      </c>
    </row>
    <row r="333" spans="1:11">
      <c r="A333" s="21" t="s">
        <v>2327</v>
      </c>
      <c r="B333" s="21" t="s">
        <v>3142</v>
      </c>
      <c r="C333" s="21" t="s">
        <v>8</v>
      </c>
      <c r="D333" s="21" t="s">
        <v>2</v>
      </c>
      <c r="E333" s="21" t="s">
        <v>46</v>
      </c>
      <c r="F333" s="5812">
        <v>2</v>
      </c>
      <c r="G333" s="5813">
        <v>0.16250000000000001</v>
      </c>
      <c r="H333" s="21" t="s">
        <v>10</v>
      </c>
      <c r="I333" s="21" t="s">
        <v>23</v>
      </c>
      <c r="J333" s="21" t="s">
        <v>127</v>
      </c>
      <c r="K333" s="5814" t="s">
        <v>3143</v>
      </c>
    </row>
    <row r="334" spans="1:11">
      <c r="A334" s="21" t="s">
        <v>3144</v>
      </c>
      <c r="B334" s="21" t="s">
        <v>3145</v>
      </c>
      <c r="C334" s="21" t="s">
        <v>8</v>
      </c>
      <c r="D334" s="21" t="s">
        <v>2</v>
      </c>
      <c r="E334" s="21" t="s">
        <v>46</v>
      </c>
      <c r="F334" s="5812">
        <v>2</v>
      </c>
      <c r="G334" s="5813">
        <v>0.17569444444444443</v>
      </c>
      <c r="H334" s="21" t="s">
        <v>10</v>
      </c>
      <c r="I334" s="21" t="s">
        <v>55</v>
      </c>
      <c r="J334" s="21" t="s">
        <v>97</v>
      </c>
      <c r="K334" s="5814" t="s">
        <v>3146</v>
      </c>
    </row>
    <row r="335" spans="1:11">
      <c r="A335" s="21" t="s">
        <v>2461</v>
      </c>
      <c r="B335" s="21" t="s">
        <v>3147</v>
      </c>
      <c r="C335" s="21" t="s">
        <v>22</v>
      </c>
      <c r="D335" s="21" t="s">
        <v>2</v>
      </c>
      <c r="E335" s="21" t="s">
        <v>46</v>
      </c>
      <c r="F335" s="5812">
        <v>2</v>
      </c>
      <c r="G335" s="5813">
        <v>0.17708333333333334</v>
      </c>
      <c r="H335" s="21" t="s">
        <v>10</v>
      </c>
      <c r="I335" s="21" t="s">
        <v>39</v>
      </c>
      <c r="J335" s="21" t="s">
        <v>3148</v>
      </c>
      <c r="K335" s="5814" t="s">
        <v>3149</v>
      </c>
    </row>
    <row r="336" spans="1:11">
      <c r="A336" s="21" t="s">
        <v>2100</v>
      </c>
      <c r="B336" s="21" t="s">
        <v>3150</v>
      </c>
      <c r="C336" s="21" t="s">
        <v>22</v>
      </c>
      <c r="D336" s="21" t="s">
        <v>2</v>
      </c>
      <c r="E336" s="21" t="s">
        <v>46</v>
      </c>
      <c r="F336" s="5812">
        <v>2</v>
      </c>
      <c r="G336" s="5813">
        <v>0.17986111111111111</v>
      </c>
      <c r="H336" s="21" t="s">
        <v>10</v>
      </c>
      <c r="I336" s="21" t="s">
        <v>55</v>
      </c>
      <c r="J336" s="21" t="s">
        <v>616</v>
      </c>
      <c r="K336" s="5814" t="s">
        <v>3151</v>
      </c>
    </row>
    <row r="337" spans="1:11">
      <c r="A337" s="21" t="s">
        <v>3152</v>
      </c>
      <c r="B337" s="21" t="s">
        <v>3153</v>
      </c>
      <c r="C337" s="21" t="s">
        <v>22</v>
      </c>
      <c r="D337" s="21" t="s">
        <v>2</v>
      </c>
      <c r="E337" s="21" t="s">
        <v>46</v>
      </c>
      <c r="F337" s="5812">
        <v>2</v>
      </c>
      <c r="G337" s="5813">
        <v>0.18402777777777779</v>
      </c>
      <c r="H337" s="21" t="s">
        <v>10</v>
      </c>
      <c r="I337" s="21" t="s">
        <v>11</v>
      </c>
      <c r="J337" s="21" t="s">
        <v>127</v>
      </c>
      <c r="K337" s="5814" t="s">
        <v>3154</v>
      </c>
    </row>
    <row r="338" spans="1:11">
      <c r="A338" s="21" t="s">
        <v>2854</v>
      </c>
      <c r="B338" s="21" t="s">
        <v>3155</v>
      </c>
      <c r="C338" s="21" t="s">
        <v>8</v>
      </c>
      <c r="D338" s="21" t="s">
        <v>2</v>
      </c>
      <c r="E338" s="21" t="s">
        <v>46</v>
      </c>
      <c r="F338" s="5812">
        <v>2</v>
      </c>
      <c r="G338" s="5813">
        <v>0.18472222222222223</v>
      </c>
      <c r="H338" s="21" t="s">
        <v>10</v>
      </c>
      <c r="I338" s="21" t="s">
        <v>263</v>
      </c>
      <c r="J338" s="21" t="s">
        <v>3156</v>
      </c>
      <c r="K338" s="5814" t="s">
        <v>3157</v>
      </c>
    </row>
    <row r="339" spans="1:11">
      <c r="A339" s="21" t="s">
        <v>2609</v>
      </c>
      <c r="B339" s="21" t="s">
        <v>3158</v>
      </c>
      <c r="C339" s="21" t="s">
        <v>8</v>
      </c>
      <c r="D339" s="21" t="s">
        <v>2</v>
      </c>
      <c r="E339" s="21" t="s">
        <v>46</v>
      </c>
      <c r="F339" s="5812">
        <v>2</v>
      </c>
      <c r="G339" s="5813">
        <v>0.19930555555555557</v>
      </c>
      <c r="H339" s="21" t="s">
        <v>10</v>
      </c>
      <c r="I339" s="21" t="s">
        <v>187</v>
      </c>
      <c r="J339" s="21" t="s">
        <v>48</v>
      </c>
      <c r="K339" s="5814" t="s">
        <v>3159</v>
      </c>
    </row>
    <row r="340" spans="1:11">
      <c r="A340" s="21" t="s">
        <v>3160</v>
      </c>
      <c r="B340" s="21" t="s">
        <v>3161</v>
      </c>
      <c r="C340" s="21" t="s">
        <v>8</v>
      </c>
      <c r="D340" s="21" t="s">
        <v>2</v>
      </c>
      <c r="E340" s="21" t="s">
        <v>46</v>
      </c>
      <c r="F340" s="5812">
        <v>2</v>
      </c>
      <c r="G340" s="5813">
        <v>0.20069444444444445</v>
      </c>
      <c r="H340" s="21" t="s">
        <v>10</v>
      </c>
      <c r="I340" s="21" t="s">
        <v>2176</v>
      </c>
      <c r="J340" s="21" t="s">
        <v>3148</v>
      </c>
      <c r="K340" s="5814" t="s">
        <v>3162</v>
      </c>
    </row>
    <row r="341" spans="1:11">
      <c r="A341" s="21" t="s">
        <v>2201</v>
      </c>
      <c r="B341" s="21" t="s">
        <v>3163</v>
      </c>
      <c r="C341" s="21" t="s">
        <v>8</v>
      </c>
      <c r="D341" s="21" t="s">
        <v>2</v>
      </c>
      <c r="E341" s="21" t="s">
        <v>46</v>
      </c>
      <c r="F341" s="5812">
        <v>2</v>
      </c>
      <c r="G341" s="5813">
        <v>0.20347222222222222</v>
      </c>
      <c r="H341" s="21" t="s">
        <v>10</v>
      </c>
      <c r="I341" s="21" t="s">
        <v>615</v>
      </c>
      <c r="J341" s="21" t="s">
        <v>518</v>
      </c>
      <c r="K341" s="5814" t="s">
        <v>3164</v>
      </c>
    </row>
    <row r="342" spans="1:11">
      <c r="A342" s="21" t="s">
        <v>2966</v>
      </c>
      <c r="B342" s="21" t="s">
        <v>3165</v>
      </c>
      <c r="C342" s="21" t="s">
        <v>22</v>
      </c>
      <c r="D342" s="21" t="s">
        <v>2</v>
      </c>
      <c r="E342" s="21" t="s">
        <v>46</v>
      </c>
      <c r="F342" s="5812">
        <v>2</v>
      </c>
      <c r="G342" s="5813">
        <v>0.2076388888888889</v>
      </c>
      <c r="H342" s="21" t="s">
        <v>10</v>
      </c>
      <c r="I342" s="21" t="s">
        <v>11</v>
      </c>
      <c r="J342" s="21" t="s">
        <v>48</v>
      </c>
      <c r="K342" s="5814" t="s">
        <v>3166</v>
      </c>
    </row>
    <row r="343" spans="1:11">
      <c r="A343" s="21" t="s">
        <v>3036</v>
      </c>
      <c r="B343" s="21" t="s">
        <v>3167</v>
      </c>
      <c r="C343" s="21" t="s">
        <v>22</v>
      </c>
      <c r="D343" s="21" t="s">
        <v>2</v>
      </c>
      <c r="E343" s="21" t="s">
        <v>46</v>
      </c>
      <c r="F343" s="5812">
        <v>2</v>
      </c>
      <c r="G343" s="5813">
        <v>0.2076388888888889</v>
      </c>
      <c r="H343" s="21" t="s">
        <v>10</v>
      </c>
      <c r="I343" s="21" t="s">
        <v>2860</v>
      </c>
      <c r="J343" s="21" t="s">
        <v>3168</v>
      </c>
      <c r="K343" s="5814" t="s">
        <v>3169</v>
      </c>
    </row>
    <row r="344" spans="1:11">
      <c r="A344" s="21" t="s">
        <v>3170</v>
      </c>
      <c r="B344" s="21" t="s">
        <v>3171</v>
      </c>
      <c r="C344" s="21" t="s">
        <v>8</v>
      </c>
      <c r="D344" s="21" t="s">
        <v>2</v>
      </c>
      <c r="E344" s="21" t="s">
        <v>46</v>
      </c>
      <c r="F344" s="5812">
        <v>2</v>
      </c>
      <c r="G344" s="5813">
        <v>0.2076388888888889</v>
      </c>
      <c r="H344" s="21" t="s">
        <v>10</v>
      </c>
      <c r="I344" s="21" t="s">
        <v>2269</v>
      </c>
      <c r="J344" s="21" t="s">
        <v>518</v>
      </c>
      <c r="K344" s="5814" t="s">
        <v>3172</v>
      </c>
    </row>
    <row r="345" spans="1:11">
      <c r="A345" s="21" t="s">
        <v>3173</v>
      </c>
      <c r="B345" s="21" t="s">
        <v>3174</v>
      </c>
      <c r="C345" s="21" t="s">
        <v>22</v>
      </c>
      <c r="D345" s="21" t="s">
        <v>2</v>
      </c>
      <c r="E345" s="21" t="s">
        <v>46</v>
      </c>
      <c r="F345" s="5812">
        <v>2</v>
      </c>
      <c r="G345" s="5813">
        <v>0.20833333333333334</v>
      </c>
      <c r="H345" s="21" t="s">
        <v>10</v>
      </c>
      <c r="I345" s="21" t="s">
        <v>39</v>
      </c>
      <c r="J345" s="21" t="s">
        <v>3175</v>
      </c>
      <c r="K345" s="5814" t="s">
        <v>3176</v>
      </c>
    </row>
    <row r="346" spans="1:11">
      <c r="A346" s="21" t="s">
        <v>2555</v>
      </c>
      <c r="B346" s="21" t="s">
        <v>3177</v>
      </c>
      <c r="C346" s="21" t="s">
        <v>8</v>
      </c>
      <c r="D346" s="21" t="s">
        <v>2</v>
      </c>
      <c r="E346" s="21" t="s">
        <v>46</v>
      </c>
      <c r="F346" s="5812">
        <v>3</v>
      </c>
      <c r="G346" s="5813">
        <v>1.1111111111111112E-2</v>
      </c>
      <c r="H346" s="21" t="s">
        <v>10</v>
      </c>
      <c r="I346" s="21" t="s">
        <v>2557</v>
      </c>
      <c r="J346" s="21" t="s">
        <v>48</v>
      </c>
      <c r="K346" s="5814" t="s">
        <v>3178</v>
      </c>
    </row>
    <row r="347" spans="1:11">
      <c r="A347" s="21" t="s">
        <v>2969</v>
      </c>
      <c r="B347" s="21" t="s">
        <v>3179</v>
      </c>
      <c r="C347" s="21" t="s">
        <v>8</v>
      </c>
      <c r="D347" s="21" t="s">
        <v>2</v>
      </c>
      <c r="E347" s="21" t="s">
        <v>46</v>
      </c>
      <c r="F347" s="5812">
        <v>3</v>
      </c>
      <c r="G347" s="5813">
        <v>1.8749999999999999E-2</v>
      </c>
      <c r="H347" s="21" t="s">
        <v>10</v>
      </c>
      <c r="I347" s="21" t="s">
        <v>23</v>
      </c>
      <c r="J347" s="21" t="s">
        <v>48</v>
      </c>
      <c r="K347" s="5814" t="s">
        <v>3180</v>
      </c>
    </row>
    <row r="348" spans="1:11">
      <c r="A348" s="21" t="s">
        <v>2156</v>
      </c>
      <c r="B348" s="21" t="s">
        <v>3181</v>
      </c>
      <c r="C348" s="21" t="s">
        <v>8</v>
      </c>
      <c r="D348" s="21" t="s">
        <v>2</v>
      </c>
      <c r="E348" s="21" t="s">
        <v>46</v>
      </c>
      <c r="F348" s="5812">
        <v>3</v>
      </c>
      <c r="G348" s="5813">
        <v>2.9861111111111113E-2</v>
      </c>
      <c r="H348" s="21" t="s">
        <v>10</v>
      </c>
      <c r="I348" s="21" t="s">
        <v>11</v>
      </c>
      <c r="J348" s="21" t="s">
        <v>722</v>
      </c>
      <c r="K348" s="5814" t="s">
        <v>3182</v>
      </c>
    </row>
    <row r="349" spans="1:11">
      <c r="A349" s="21" t="s">
        <v>3183</v>
      </c>
      <c r="B349" s="21" t="s">
        <v>3184</v>
      </c>
      <c r="C349" s="21" t="s">
        <v>8</v>
      </c>
      <c r="D349" s="21" t="s">
        <v>2</v>
      </c>
      <c r="E349" s="21" t="s">
        <v>46</v>
      </c>
      <c r="F349" s="5812">
        <v>3</v>
      </c>
      <c r="G349" s="5813">
        <v>3.4027777777777775E-2</v>
      </c>
      <c r="H349" s="21" t="s">
        <v>10</v>
      </c>
      <c r="I349" s="21" t="s">
        <v>89</v>
      </c>
      <c r="J349" s="21" t="s">
        <v>127</v>
      </c>
      <c r="K349" s="5814" t="s">
        <v>3185</v>
      </c>
    </row>
    <row r="350" spans="1:11">
      <c r="A350" s="21" t="s">
        <v>2534</v>
      </c>
      <c r="B350" s="21" t="s">
        <v>3186</v>
      </c>
      <c r="C350" s="21" t="s">
        <v>22</v>
      </c>
      <c r="D350" s="21" t="s">
        <v>2</v>
      </c>
      <c r="E350" s="21" t="s">
        <v>46</v>
      </c>
      <c r="F350" s="5812">
        <v>3</v>
      </c>
      <c r="G350" s="5813">
        <v>3.9583333333333331E-2</v>
      </c>
      <c r="H350" s="21" t="s">
        <v>10</v>
      </c>
      <c r="I350" s="21" t="s">
        <v>23</v>
      </c>
      <c r="J350" s="21" t="s">
        <v>2953</v>
      </c>
      <c r="K350" s="5814" t="s">
        <v>3187</v>
      </c>
    </row>
    <row r="351" spans="1:11">
      <c r="A351" s="21" t="s">
        <v>2115</v>
      </c>
      <c r="B351" s="21" t="s">
        <v>3188</v>
      </c>
      <c r="C351" s="21" t="s">
        <v>8</v>
      </c>
      <c r="D351" s="21" t="s">
        <v>2</v>
      </c>
      <c r="E351" s="21" t="s">
        <v>46</v>
      </c>
      <c r="F351" s="5812">
        <v>3</v>
      </c>
      <c r="G351" s="5813">
        <v>5.2777777777777778E-2</v>
      </c>
      <c r="H351" s="21" t="s">
        <v>10</v>
      </c>
      <c r="I351" s="21" t="s">
        <v>73</v>
      </c>
      <c r="J351" s="21" t="s">
        <v>48</v>
      </c>
      <c r="K351" s="5814" t="s">
        <v>3189</v>
      </c>
    </row>
    <row r="352" spans="1:11">
      <c r="A352" s="21" t="s">
        <v>2216</v>
      </c>
      <c r="B352" s="21" t="s">
        <v>3190</v>
      </c>
      <c r="C352" s="21" t="s">
        <v>8</v>
      </c>
      <c r="D352" s="21" t="s">
        <v>2</v>
      </c>
      <c r="E352" s="21" t="s">
        <v>46</v>
      </c>
      <c r="F352" s="5812">
        <v>3</v>
      </c>
      <c r="G352" s="5813">
        <v>7.6388888888888895E-2</v>
      </c>
      <c r="H352" s="21" t="s">
        <v>10</v>
      </c>
      <c r="I352" s="21" t="s">
        <v>11</v>
      </c>
      <c r="J352" s="21" t="s">
        <v>48</v>
      </c>
      <c r="K352" s="5814" t="s">
        <v>3191</v>
      </c>
    </row>
    <row r="353" spans="1:11">
      <c r="A353" s="21" t="s">
        <v>3192</v>
      </c>
      <c r="B353" s="21" t="s">
        <v>3193</v>
      </c>
      <c r="C353" s="21" t="s">
        <v>22</v>
      </c>
      <c r="D353" s="21" t="s">
        <v>2</v>
      </c>
      <c r="E353" s="21" t="s">
        <v>46</v>
      </c>
      <c r="F353" s="5812">
        <v>3</v>
      </c>
      <c r="G353" s="5813">
        <v>7.9166666666666663E-2</v>
      </c>
      <c r="H353" s="21" t="s">
        <v>10</v>
      </c>
      <c r="I353" s="21" t="s">
        <v>2665</v>
      </c>
      <c r="J353" s="21" t="s">
        <v>97</v>
      </c>
      <c r="K353" s="5814" t="s">
        <v>3194</v>
      </c>
    </row>
    <row r="354" spans="1:11">
      <c r="A354" s="21" t="s">
        <v>3195</v>
      </c>
      <c r="B354" s="21" t="s">
        <v>3196</v>
      </c>
      <c r="C354" s="21" t="s">
        <v>22</v>
      </c>
      <c r="D354" s="21" t="s">
        <v>2</v>
      </c>
      <c r="E354" s="21" t="s">
        <v>46</v>
      </c>
      <c r="F354" s="5812">
        <v>3</v>
      </c>
      <c r="G354" s="5813">
        <v>8.1944444444444445E-2</v>
      </c>
      <c r="H354" s="21" t="s">
        <v>10</v>
      </c>
      <c r="I354" s="21" t="s">
        <v>194</v>
      </c>
      <c r="J354" s="21" t="s">
        <v>3197</v>
      </c>
      <c r="K354" s="5814" t="s">
        <v>3198</v>
      </c>
    </row>
    <row r="355" spans="1:11">
      <c r="A355" s="21" t="s">
        <v>2245</v>
      </c>
      <c r="B355" s="21" t="s">
        <v>3199</v>
      </c>
      <c r="C355" s="21" t="s">
        <v>22</v>
      </c>
      <c r="D355" s="21" t="s">
        <v>2</v>
      </c>
      <c r="E355" s="21" t="s">
        <v>46</v>
      </c>
      <c r="F355" s="5812">
        <v>3</v>
      </c>
      <c r="G355" s="5813">
        <v>0.10625</v>
      </c>
      <c r="H355" s="21" t="s">
        <v>10</v>
      </c>
      <c r="I355" s="21" t="s">
        <v>11</v>
      </c>
      <c r="J355" s="21" t="s">
        <v>3132</v>
      </c>
      <c r="K355" s="5814" t="s">
        <v>3200</v>
      </c>
    </row>
    <row r="356" spans="1:11">
      <c r="A356" s="21" t="s">
        <v>94</v>
      </c>
      <c r="B356" s="21" t="s">
        <v>95</v>
      </c>
      <c r="C356" s="21" t="s">
        <v>22</v>
      </c>
      <c r="D356" s="21" t="s">
        <v>2</v>
      </c>
      <c r="E356" s="21" t="s">
        <v>46</v>
      </c>
      <c r="F356" s="5812">
        <v>3</v>
      </c>
      <c r="G356" s="5813">
        <v>0.10833333333333334</v>
      </c>
      <c r="H356" s="21" t="s">
        <v>10</v>
      </c>
      <c r="I356" s="21" t="s">
        <v>96</v>
      </c>
      <c r="J356" s="21" t="s">
        <v>97</v>
      </c>
      <c r="K356" s="5814" t="s">
        <v>98</v>
      </c>
    </row>
    <row r="357" spans="1:11">
      <c r="A357" s="21" t="s">
        <v>2506</v>
      </c>
      <c r="B357" s="21" t="s">
        <v>3201</v>
      </c>
      <c r="C357" s="21" t="s">
        <v>22</v>
      </c>
      <c r="D357" s="21" t="s">
        <v>2</v>
      </c>
      <c r="E357" s="21" t="s">
        <v>46</v>
      </c>
      <c r="F357" s="5812">
        <v>3</v>
      </c>
      <c r="G357" s="5813">
        <v>0.10972222222222222</v>
      </c>
      <c r="H357" s="21" t="s">
        <v>10</v>
      </c>
      <c r="I357" s="21" t="s">
        <v>400</v>
      </c>
      <c r="J357" s="21" t="s">
        <v>127</v>
      </c>
      <c r="K357" s="5814" t="s">
        <v>3202</v>
      </c>
    </row>
    <row r="358" spans="1:11">
      <c r="A358" s="21" t="s">
        <v>3203</v>
      </c>
      <c r="B358" s="21" t="s">
        <v>3204</v>
      </c>
      <c r="C358" s="21" t="s">
        <v>22</v>
      </c>
      <c r="D358" s="21" t="s">
        <v>2</v>
      </c>
      <c r="E358" s="21" t="s">
        <v>46</v>
      </c>
      <c r="F358" s="5812">
        <v>3</v>
      </c>
      <c r="G358" s="5813">
        <v>0.10972222222222222</v>
      </c>
      <c r="H358" s="21" t="s">
        <v>10</v>
      </c>
      <c r="I358" s="21" t="s">
        <v>2814</v>
      </c>
      <c r="J358" s="21" t="s">
        <v>48</v>
      </c>
      <c r="K358" s="5814" t="s">
        <v>3205</v>
      </c>
    </row>
    <row r="359" spans="1:11">
      <c r="A359" s="21" t="s">
        <v>3009</v>
      </c>
      <c r="B359" s="21" t="s">
        <v>3206</v>
      </c>
      <c r="C359" s="21" t="s">
        <v>8</v>
      </c>
      <c r="D359" s="21" t="s">
        <v>2</v>
      </c>
      <c r="E359" s="21" t="s">
        <v>46</v>
      </c>
      <c r="F359" s="5812">
        <v>3</v>
      </c>
      <c r="G359" s="5813">
        <v>0.11874999999999999</v>
      </c>
      <c r="H359" s="21" t="s">
        <v>10</v>
      </c>
      <c r="I359" s="21" t="s">
        <v>23</v>
      </c>
      <c r="J359" s="21" t="s">
        <v>406</v>
      </c>
      <c r="K359" s="5814" t="s">
        <v>3207</v>
      </c>
    </row>
    <row r="360" spans="1:11">
      <c r="A360" s="21" t="s">
        <v>3208</v>
      </c>
      <c r="B360" s="21" t="s">
        <v>3209</v>
      </c>
      <c r="C360" s="21" t="s">
        <v>8</v>
      </c>
      <c r="D360" s="21" t="s">
        <v>2</v>
      </c>
      <c r="E360" s="21" t="s">
        <v>46</v>
      </c>
      <c r="F360" s="5812">
        <v>3</v>
      </c>
      <c r="G360" s="5813">
        <v>0.13680555555555557</v>
      </c>
      <c r="H360" s="21" t="s">
        <v>10</v>
      </c>
      <c r="I360" s="21" t="s">
        <v>609</v>
      </c>
      <c r="J360" s="21" t="s">
        <v>3148</v>
      </c>
      <c r="K360" s="5814" t="s">
        <v>3210</v>
      </c>
    </row>
    <row r="361" spans="1:11">
      <c r="A361" s="21" t="s">
        <v>2446</v>
      </c>
      <c r="B361" s="21" t="s">
        <v>3211</v>
      </c>
      <c r="C361" s="21" t="s">
        <v>8</v>
      </c>
      <c r="D361" s="21" t="s">
        <v>2</v>
      </c>
      <c r="E361" s="21" t="s">
        <v>46</v>
      </c>
      <c r="F361" s="5812">
        <v>3</v>
      </c>
      <c r="G361" s="5813">
        <v>0.14791666666666667</v>
      </c>
      <c r="H361" s="21" t="s">
        <v>10</v>
      </c>
      <c r="I361" s="21" t="s">
        <v>55</v>
      </c>
      <c r="J361" s="21" t="s">
        <v>48</v>
      </c>
      <c r="K361" s="5814" t="s">
        <v>3212</v>
      </c>
    </row>
    <row r="362" spans="1:11">
      <c r="A362" s="21" t="s">
        <v>3213</v>
      </c>
      <c r="B362" s="21" t="s">
        <v>3214</v>
      </c>
      <c r="C362" s="21" t="s">
        <v>22</v>
      </c>
      <c r="D362" s="21" t="s">
        <v>2</v>
      </c>
      <c r="E362" s="21" t="s">
        <v>46</v>
      </c>
      <c r="F362" s="5812">
        <v>3</v>
      </c>
      <c r="G362" s="5813">
        <v>0.15208333333333332</v>
      </c>
      <c r="H362" s="21" t="s">
        <v>10</v>
      </c>
      <c r="I362" s="21" t="s">
        <v>3215</v>
      </c>
      <c r="J362" s="21" t="s">
        <v>406</v>
      </c>
      <c r="K362" s="5814" t="s">
        <v>3216</v>
      </c>
    </row>
    <row r="363" spans="1:11">
      <c r="A363" s="21" t="s">
        <v>3217</v>
      </c>
      <c r="B363" s="21" t="s">
        <v>3218</v>
      </c>
      <c r="C363" s="21" t="s">
        <v>8</v>
      </c>
      <c r="D363" s="21" t="s">
        <v>2</v>
      </c>
      <c r="E363" s="21" t="s">
        <v>46</v>
      </c>
      <c r="F363" s="5812">
        <v>3</v>
      </c>
      <c r="G363" s="5813">
        <v>0.15486111111111112</v>
      </c>
      <c r="H363" s="21" t="s">
        <v>10</v>
      </c>
      <c r="I363" s="21" t="s">
        <v>2713</v>
      </c>
      <c r="J363" s="21" t="s">
        <v>48</v>
      </c>
      <c r="K363" s="5814" t="s">
        <v>3219</v>
      </c>
    </row>
    <row r="364" spans="1:11">
      <c r="A364" s="21" t="s">
        <v>3220</v>
      </c>
      <c r="B364" s="21" t="s">
        <v>3221</v>
      </c>
      <c r="C364" s="21" t="s">
        <v>22</v>
      </c>
      <c r="D364" s="21" t="s">
        <v>2</v>
      </c>
      <c r="E364" s="21" t="s">
        <v>46</v>
      </c>
      <c r="F364" s="5812">
        <v>3</v>
      </c>
      <c r="G364" s="5813">
        <v>0.15972222222222221</v>
      </c>
      <c r="H364" s="21" t="s">
        <v>10</v>
      </c>
      <c r="I364" s="21" t="s">
        <v>194</v>
      </c>
      <c r="J364" s="21" t="s">
        <v>3222</v>
      </c>
      <c r="K364" s="5814" t="s">
        <v>3223</v>
      </c>
    </row>
    <row r="365" spans="1:11">
      <c r="A365" s="21" t="s">
        <v>3224</v>
      </c>
      <c r="B365" s="21" t="s">
        <v>3225</v>
      </c>
      <c r="C365" s="21" t="s">
        <v>8</v>
      </c>
      <c r="D365" s="21" t="s">
        <v>2</v>
      </c>
      <c r="E365" s="21" t="s">
        <v>46</v>
      </c>
      <c r="F365" s="5812">
        <v>3</v>
      </c>
      <c r="G365" s="5813">
        <v>0.16111111111111112</v>
      </c>
      <c r="H365" s="21" t="s">
        <v>10</v>
      </c>
      <c r="I365" s="21" t="s">
        <v>39</v>
      </c>
      <c r="J365" s="21" t="s">
        <v>3226</v>
      </c>
      <c r="K365" s="5814" t="s">
        <v>3227</v>
      </c>
    </row>
    <row r="366" spans="1:11">
      <c r="A366" s="21" t="s">
        <v>2595</v>
      </c>
      <c r="B366" s="21" t="s">
        <v>3228</v>
      </c>
      <c r="C366" s="21" t="s">
        <v>22</v>
      </c>
      <c r="D366" s="21" t="s">
        <v>2</v>
      </c>
      <c r="E366" s="21" t="s">
        <v>46</v>
      </c>
      <c r="F366" s="5812">
        <v>3</v>
      </c>
      <c r="G366" s="5813">
        <v>0.16250000000000001</v>
      </c>
      <c r="H366" s="21" t="s">
        <v>10</v>
      </c>
      <c r="I366" s="21" t="s">
        <v>2597</v>
      </c>
      <c r="J366" s="21" t="s">
        <v>2953</v>
      </c>
      <c r="K366" s="5814" t="s">
        <v>3229</v>
      </c>
    </row>
    <row r="367" spans="1:11">
      <c r="A367" s="21" t="s">
        <v>3230</v>
      </c>
      <c r="B367" s="21" t="s">
        <v>3231</v>
      </c>
      <c r="C367" s="21" t="s">
        <v>8</v>
      </c>
      <c r="D367" s="21" t="s">
        <v>2</v>
      </c>
      <c r="E367" s="21" t="s">
        <v>46</v>
      </c>
      <c r="F367" s="5812">
        <v>3</v>
      </c>
      <c r="G367" s="5813">
        <v>0.17569444444444443</v>
      </c>
      <c r="H367" s="21" t="s">
        <v>10</v>
      </c>
      <c r="I367" s="21" t="s">
        <v>23</v>
      </c>
      <c r="J367" s="21" t="s">
        <v>97</v>
      </c>
      <c r="K367" s="5814" t="s">
        <v>3232</v>
      </c>
    </row>
    <row r="368" spans="1:11">
      <c r="A368" s="21" t="s">
        <v>3039</v>
      </c>
      <c r="B368" s="21" t="s">
        <v>3233</v>
      </c>
      <c r="C368" s="21" t="s">
        <v>8</v>
      </c>
      <c r="D368" s="21" t="s">
        <v>2</v>
      </c>
      <c r="E368" s="21" t="s">
        <v>46</v>
      </c>
      <c r="F368" s="5812">
        <v>3</v>
      </c>
      <c r="G368" s="5813">
        <v>0.18124999999999999</v>
      </c>
      <c r="H368" s="21" t="s">
        <v>10</v>
      </c>
      <c r="I368" s="21" t="s">
        <v>400</v>
      </c>
      <c r="J368" s="21" t="s">
        <v>127</v>
      </c>
      <c r="K368" s="5814" t="s">
        <v>3234</v>
      </c>
    </row>
    <row r="369" spans="1:11">
      <c r="A369" s="21" t="s">
        <v>3235</v>
      </c>
      <c r="B369" s="21" t="s">
        <v>3236</v>
      </c>
      <c r="C369" s="21" t="s">
        <v>8</v>
      </c>
      <c r="D369" s="21" t="s">
        <v>2</v>
      </c>
      <c r="E369" s="21" t="s">
        <v>46</v>
      </c>
      <c r="F369" s="5812">
        <v>3</v>
      </c>
      <c r="G369" s="5813">
        <v>0.18958333333333333</v>
      </c>
      <c r="H369" s="21" t="s">
        <v>10</v>
      </c>
      <c r="I369" s="21" t="s">
        <v>55</v>
      </c>
      <c r="J369" s="21" t="s">
        <v>97</v>
      </c>
      <c r="K369" s="5814" t="s">
        <v>3237</v>
      </c>
    </row>
    <row r="370" spans="1:11">
      <c r="A370" s="21" t="s">
        <v>31</v>
      </c>
      <c r="B370" s="21" t="s">
        <v>153</v>
      </c>
      <c r="C370" s="21" t="s">
        <v>8</v>
      </c>
      <c r="D370" s="21" t="s">
        <v>2</v>
      </c>
      <c r="E370" s="21" t="s">
        <v>46</v>
      </c>
      <c r="F370" s="5812">
        <v>3</v>
      </c>
      <c r="G370" s="5813">
        <v>0.19513888888888889</v>
      </c>
      <c r="H370" s="21" t="s">
        <v>10</v>
      </c>
      <c r="I370" s="21" t="s">
        <v>11</v>
      </c>
      <c r="J370" s="21" t="s">
        <v>154</v>
      </c>
      <c r="K370" s="5814" t="s">
        <v>155</v>
      </c>
    </row>
    <row r="371" spans="1:11">
      <c r="A371" s="21" t="s">
        <v>2719</v>
      </c>
      <c r="B371" s="21" t="s">
        <v>3238</v>
      </c>
      <c r="C371" s="21" t="s">
        <v>22</v>
      </c>
      <c r="D371" s="21" t="s">
        <v>2</v>
      </c>
      <c r="E371" s="21" t="s">
        <v>46</v>
      </c>
      <c r="F371" s="5812">
        <v>3</v>
      </c>
      <c r="G371" s="5813">
        <v>0.20833333333333334</v>
      </c>
      <c r="H371" s="21" t="s">
        <v>10</v>
      </c>
      <c r="I371" s="21" t="s">
        <v>2721</v>
      </c>
      <c r="J371" s="21" t="s">
        <v>3239</v>
      </c>
      <c r="K371" s="5814" t="s">
        <v>3240</v>
      </c>
    </row>
    <row r="372" spans="1:11">
      <c r="A372" s="21" t="s">
        <v>2053</v>
      </c>
      <c r="B372" s="21" t="s">
        <v>3241</v>
      </c>
      <c r="C372" s="21" t="s">
        <v>8</v>
      </c>
      <c r="D372" s="21" t="s">
        <v>2</v>
      </c>
      <c r="E372" s="21" t="s">
        <v>46</v>
      </c>
      <c r="F372" s="5812">
        <v>4</v>
      </c>
      <c r="G372" s="5813">
        <v>9.5138888888888884E-2</v>
      </c>
      <c r="H372" s="21" t="s">
        <v>54</v>
      </c>
      <c r="I372" s="21" t="s">
        <v>55</v>
      </c>
      <c r="J372" s="21" t="s">
        <v>722</v>
      </c>
      <c r="K372" s="5814" t="s">
        <v>3242</v>
      </c>
    </row>
    <row r="373" spans="1:11">
      <c r="A373" s="21" t="s">
        <v>3243</v>
      </c>
      <c r="B373" s="21" t="s">
        <v>3244</v>
      </c>
      <c r="C373" s="21" t="s">
        <v>8</v>
      </c>
      <c r="D373" s="21" t="s">
        <v>2</v>
      </c>
      <c r="E373" s="21" t="s">
        <v>46</v>
      </c>
      <c r="F373" s="5812">
        <v>5</v>
      </c>
      <c r="G373" s="5813">
        <v>4.8611111111111112E-2</v>
      </c>
      <c r="H373" s="21" t="s">
        <v>54</v>
      </c>
      <c r="I373" s="21" t="s">
        <v>55</v>
      </c>
      <c r="J373" s="21" t="s">
        <v>48</v>
      </c>
      <c r="K373" s="5814" t="s">
        <v>3245</v>
      </c>
    </row>
    <row r="374" spans="1:11">
      <c r="A374" s="21" t="s">
        <v>2143</v>
      </c>
      <c r="B374" s="21" t="s">
        <v>3246</v>
      </c>
      <c r="C374" s="21" t="s">
        <v>179</v>
      </c>
      <c r="D374" s="21" t="s">
        <v>2</v>
      </c>
      <c r="E374" s="21" t="s">
        <v>920</v>
      </c>
      <c r="F374" s="5812">
        <v>1</v>
      </c>
      <c r="G374" s="5813">
        <v>2.6388888888888889E-2</v>
      </c>
      <c r="H374" s="21" t="s">
        <v>10</v>
      </c>
      <c r="I374" s="21" t="s">
        <v>654</v>
      </c>
      <c r="J374" s="21" t="s">
        <v>3247</v>
      </c>
      <c r="K374" s="5814" t="s">
        <v>3248</v>
      </c>
    </row>
    <row r="375" spans="1:11">
      <c r="A375" s="21" t="s">
        <v>3249</v>
      </c>
      <c r="B375" s="21" t="s">
        <v>3250</v>
      </c>
      <c r="C375" s="21" t="s">
        <v>179</v>
      </c>
      <c r="D375" s="21" t="s">
        <v>2</v>
      </c>
      <c r="E375" s="21" t="s">
        <v>920</v>
      </c>
      <c r="F375" s="5812">
        <v>1</v>
      </c>
      <c r="G375" s="5813">
        <v>9.7222222222222224E-2</v>
      </c>
      <c r="H375" s="21" t="s">
        <v>10</v>
      </c>
      <c r="I375" s="21" t="s">
        <v>11</v>
      </c>
      <c r="J375" s="21"/>
      <c r="K375" s="5814" t="s">
        <v>3251</v>
      </c>
    </row>
    <row r="376" spans="1:11">
      <c r="A376" s="21" t="s">
        <v>3252</v>
      </c>
      <c r="B376" s="21" t="s">
        <v>3253</v>
      </c>
      <c r="C376" s="21" t="s">
        <v>179</v>
      </c>
      <c r="D376" s="21" t="s">
        <v>2</v>
      </c>
      <c r="E376" s="21" t="s">
        <v>920</v>
      </c>
      <c r="F376" s="5812">
        <v>3</v>
      </c>
      <c r="G376" s="5813">
        <v>0.125</v>
      </c>
      <c r="H376" s="21" t="s">
        <v>10</v>
      </c>
      <c r="I376" s="21" t="s">
        <v>2660</v>
      </c>
      <c r="J376" s="21" t="s">
        <v>3254</v>
      </c>
      <c r="K376" s="5814" t="s">
        <v>3255</v>
      </c>
    </row>
    <row r="377" spans="1:11">
      <c r="A377" s="21" t="s">
        <v>3256</v>
      </c>
      <c r="B377" s="21" t="s">
        <v>3257</v>
      </c>
      <c r="C377" s="21" t="s">
        <v>179</v>
      </c>
      <c r="D377" s="21" t="s">
        <v>2</v>
      </c>
      <c r="E377" s="21" t="s">
        <v>920</v>
      </c>
      <c r="F377" s="5812">
        <v>3</v>
      </c>
      <c r="G377" s="5813">
        <v>0.20833333333333334</v>
      </c>
      <c r="H377" s="21" t="s">
        <v>10</v>
      </c>
      <c r="I377" s="21" t="s">
        <v>73</v>
      </c>
      <c r="J377" s="21" t="s">
        <v>3258</v>
      </c>
      <c r="K377" s="5814" t="s">
        <v>3259</v>
      </c>
    </row>
    <row r="378" spans="1:11">
      <c r="A378" s="21" t="s">
        <v>3260</v>
      </c>
      <c r="B378" s="21" t="s">
        <v>3261</v>
      </c>
      <c r="C378" s="21" t="s">
        <v>22</v>
      </c>
      <c r="D378" s="21" t="s">
        <v>2</v>
      </c>
      <c r="E378" s="21" t="s">
        <v>61</v>
      </c>
      <c r="F378" s="5812">
        <v>1</v>
      </c>
      <c r="G378" s="5813">
        <v>1.5972222222222221E-2</v>
      </c>
      <c r="H378" s="21" t="s">
        <v>10</v>
      </c>
      <c r="I378" s="21" t="s">
        <v>226</v>
      </c>
      <c r="J378" s="21" t="s">
        <v>3262</v>
      </c>
      <c r="K378" s="5814" t="s">
        <v>3263</v>
      </c>
    </row>
    <row r="379" spans="1:11">
      <c r="A379" s="21" t="s">
        <v>2757</v>
      </c>
      <c r="B379" s="21" t="s">
        <v>3264</v>
      </c>
      <c r="C379" s="21" t="s">
        <v>22</v>
      </c>
      <c r="D379" s="21" t="s">
        <v>2</v>
      </c>
      <c r="E379" s="21" t="s">
        <v>61</v>
      </c>
      <c r="F379" s="5812">
        <v>1</v>
      </c>
      <c r="G379" s="5813">
        <v>2.0833333333333332E-2</v>
      </c>
      <c r="H379" s="21" t="s">
        <v>10</v>
      </c>
      <c r="I379" s="21" t="s">
        <v>39</v>
      </c>
      <c r="J379" s="21" t="s">
        <v>3265</v>
      </c>
      <c r="K379" s="5814" t="s">
        <v>3266</v>
      </c>
    </row>
    <row r="380" spans="1:11">
      <c r="A380" s="21" t="s">
        <v>2454</v>
      </c>
      <c r="B380" s="21" t="s">
        <v>3267</v>
      </c>
      <c r="C380" s="21" t="s">
        <v>22</v>
      </c>
      <c r="D380" s="21" t="s">
        <v>2</v>
      </c>
      <c r="E380" s="21" t="s">
        <v>61</v>
      </c>
      <c r="F380" s="5812">
        <v>1</v>
      </c>
      <c r="G380" s="5813">
        <v>3.2638888888888891E-2</v>
      </c>
      <c r="H380" s="21" t="s">
        <v>10</v>
      </c>
      <c r="I380" s="21" t="s">
        <v>615</v>
      </c>
      <c r="J380" s="21" t="s">
        <v>324</v>
      </c>
      <c r="K380" s="5814" t="s">
        <v>3268</v>
      </c>
    </row>
    <row r="381" spans="1:11">
      <c r="A381" s="21" t="s">
        <v>2698</v>
      </c>
      <c r="B381" s="21" t="s">
        <v>3269</v>
      </c>
      <c r="C381" s="21" t="s">
        <v>22</v>
      </c>
      <c r="D381" s="21" t="s">
        <v>2</v>
      </c>
      <c r="E381" s="21" t="s">
        <v>61</v>
      </c>
      <c r="F381" s="5812">
        <v>1</v>
      </c>
      <c r="G381" s="5813">
        <v>4.0972222222222222E-2</v>
      </c>
      <c r="H381" s="21" t="s">
        <v>10</v>
      </c>
      <c r="I381" s="21" t="s">
        <v>3270</v>
      </c>
      <c r="J381" s="21" t="s">
        <v>3271</v>
      </c>
      <c r="K381" s="5814" t="s">
        <v>3272</v>
      </c>
    </row>
    <row r="382" spans="1:11">
      <c r="A382" s="21" t="s">
        <v>2383</v>
      </c>
      <c r="B382" s="21" t="s">
        <v>3273</v>
      </c>
      <c r="C382" s="21" t="s">
        <v>8</v>
      </c>
      <c r="D382" s="21" t="s">
        <v>2</v>
      </c>
      <c r="E382" s="21" t="s">
        <v>61</v>
      </c>
      <c r="F382" s="5812">
        <v>1</v>
      </c>
      <c r="G382" s="5813">
        <v>4.4444444444444446E-2</v>
      </c>
      <c r="H382" s="21" t="s">
        <v>10</v>
      </c>
      <c r="I382" s="21" t="s">
        <v>23</v>
      </c>
      <c r="J382" s="21" t="s">
        <v>67</v>
      </c>
      <c r="K382" s="5814" t="s">
        <v>3274</v>
      </c>
    </row>
    <row r="383" spans="1:11">
      <c r="A383" s="21" t="s">
        <v>2966</v>
      </c>
      <c r="B383" s="21" t="s">
        <v>3275</v>
      </c>
      <c r="C383" s="21" t="s">
        <v>8</v>
      </c>
      <c r="D383" s="21" t="s">
        <v>2</v>
      </c>
      <c r="E383" s="21" t="s">
        <v>61</v>
      </c>
      <c r="F383" s="5812">
        <v>1</v>
      </c>
      <c r="G383" s="5813">
        <v>6.1111111111111109E-2</v>
      </c>
      <c r="H383" s="21" t="s">
        <v>10</v>
      </c>
      <c r="I383" s="21" t="s">
        <v>23</v>
      </c>
      <c r="J383" s="21" t="s">
        <v>67</v>
      </c>
      <c r="K383" s="5814" t="s">
        <v>3276</v>
      </c>
    </row>
    <row r="384" spans="1:11">
      <c r="A384" s="21" t="s">
        <v>3089</v>
      </c>
      <c r="B384" s="21" t="s">
        <v>3277</v>
      </c>
      <c r="C384" s="21" t="s">
        <v>8</v>
      </c>
      <c r="D384" s="21" t="s">
        <v>2</v>
      </c>
      <c r="E384" s="21" t="s">
        <v>61</v>
      </c>
      <c r="F384" s="5812">
        <v>1</v>
      </c>
      <c r="G384" s="5813">
        <v>6.3194444444444442E-2</v>
      </c>
      <c r="H384" s="21" t="s">
        <v>10</v>
      </c>
      <c r="I384" s="21" t="s">
        <v>3278</v>
      </c>
      <c r="J384" s="21" t="s">
        <v>3279</v>
      </c>
      <c r="K384" s="5814" t="s">
        <v>3280</v>
      </c>
    </row>
    <row r="385" spans="1:11">
      <c r="A385" s="21" t="s">
        <v>3173</v>
      </c>
      <c r="B385" s="21" t="s">
        <v>3281</v>
      </c>
      <c r="C385" s="21" t="s">
        <v>22</v>
      </c>
      <c r="D385" s="21" t="s">
        <v>2</v>
      </c>
      <c r="E385" s="21" t="s">
        <v>61</v>
      </c>
      <c r="F385" s="5812">
        <v>1</v>
      </c>
      <c r="G385" s="5813">
        <v>6.9444444444444448E-2</v>
      </c>
      <c r="H385" s="21" t="s">
        <v>10</v>
      </c>
      <c r="I385" s="21" t="s">
        <v>3024</v>
      </c>
      <c r="J385" s="21" t="s">
        <v>782</v>
      </c>
      <c r="K385" s="5814" t="s">
        <v>3282</v>
      </c>
    </row>
    <row r="386" spans="1:11">
      <c r="A386" s="21" t="s">
        <v>2229</v>
      </c>
      <c r="B386" s="21" t="s">
        <v>3283</v>
      </c>
      <c r="C386" s="21" t="s">
        <v>22</v>
      </c>
      <c r="D386" s="21" t="s">
        <v>2</v>
      </c>
      <c r="E386" s="21" t="s">
        <v>61</v>
      </c>
      <c r="F386" s="5812">
        <v>1</v>
      </c>
      <c r="G386" s="5813">
        <v>7.4999999999999997E-2</v>
      </c>
      <c r="H386" s="21" t="s">
        <v>10</v>
      </c>
      <c r="I386" s="21" t="s">
        <v>2176</v>
      </c>
      <c r="J386" s="21" t="s">
        <v>3284</v>
      </c>
      <c r="K386" s="5814" t="s">
        <v>3285</v>
      </c>
    </row>
    <row r="387" spans="1:11">
      <c r="A387" s="21" t="s">
        <v>3286</v>
      </c>
      <c r="B387" s="21" t="s">
        <v>3287</v>
      </c>
      <c r="C387" s="21" t="s">
        <v>22</v>
      </c>
      <c r="D387" s="21" t="s">
        <v>2</v>
      </c>
      <c r="E387" s="21" t="s">
        <v>61</v>
      </c>
      <c r="F387" s="5812">
        <v>1</v>
      </c>
      <c r="G387" s="5813">
        <v>8.2638888888888887E-2</v>
      </c>
      <c r="H387" s="21" t="s">
        <v>10</v>
      </c>
      <c r="I387" s="21" t="s">
        <v>47</v>
      </c>
      <c r="J387" s="21" t="s">
        <v>3271</v>
      </c>
      <c r="K387" s="5814" t="s">
        <v>3288</v>
      </c>
    </row>
    <row r="388" spans="1:11">
      <c r="A388" s="21" t="s">
        <v>2225</v>
      </c>
      <c r="B388" s="21" t="s">
        <v>3289</v>
      </c>
      <c r="C388" s="21" t="s">
        <v>22</v>
      </c>
      <c r="D388" s="21" t="s">
        <v>2</v>
      </c>
      <c r="E388" s="21" t="s">
        <v>61</v>
      </c>
      <c r="F388" s="5812">
        <v>1</v>
      </c>
      <c r="G388" s="5813">
        <v>8.4027777777777785E-2</v>
      </c>
      <c r="H388" s="21" t="s">
        <v>10</v>
      </c>
      <c r="I388" s="21" t="s">
        <v>187</v>
      </c>
      <c r="J388" s="21" t="s">
        <v>1194</v>
      </c>
      <c r="K388" s="5814" t="s">
        <v>3290</v>
      </c>
    </row>
    <row r="389" spans="1:11">
      <c r="A389" s="21" t="s">
        <v>2250</v>
      </c>
      <c r="B389" s="21" t="s">
        <v>3291</v>
      </c>
      <c r="C389" s="21" t="s">
        <v>22</v>
      </c>
      <c r="D389" s="21" t="s">
        <v>2</v>
      </c>
      <c r="E389" s="21" t="s">
        <v>61</v>
      </c>
      <c r="F389" s="5812">
        <v>1</v>
      </c>
      <c r="G389" s="5813">
        <v>8.8888888888888892E-2</v>
      </c>
      <c r="H389" s="21" t="s">
        <v>10</v>
      </c>
      <c r="I389" s="21" t="s">
        <v>39</v>
      </c>
      <c r="J389" s="21" t="s">
        <v>110</v>
      </c>
      <c r="K389" s="5814" t="s">
        <v>3292</v>
      </c>
    </row>
    <row r="390" spans="1:11">
      <c r="A390" s="21" t="s">
        <v>3293</v>
      </c>
      <c r="B390" s="21" t="s">
        <v>3294</v>
      </c>
      <c r="C390" s="21" t="s">
        <v>22</v>
      </c>
      <c r="D390" s="21" t="s">
        <v>2</v>
      </c>
      <c r="E390" s="21" t="s">
        <v>61</v>
      </c>
      <c r="F390" s="5812">
        <v>1</v>
      </c>
      <c r="G390" s="5813">
        <v>8.8888888888888892E-2</v>
      </c>
      <c r="H390" s="21" t="s">
        <v>10</v>
      </c>
      <c r="I390" s="21" t="s">
        <v>23</v>
      </c>
      <c r="J390" s="21" t="s">
        <v>110</v>
      </c>
      <c r="K390" s="5814" t="s">
        <v>3295</v>
      </c>
    </row>
    <row r="391" spans="1:11">
      <c r="A391" s="21" t="s">
        <v>3049</v>
      </c>
      <c r="B391" s="21" t="s">
        <v>3296</v>
      </c>
      <c r="C391" s="21" t="s">
        <v>22</v>
      </c>
      <c r="D391" s="21" t="s">
        <v>2</v>
      </c>
      <c r="E391" s="21" t="s">
        <v>61</v>
      </c>
      <c r="F391" s="5812">
        <v>1</v>
      </c>
      <c r="G391" s="5813">
        <v>9.4444444444444442E-2</v>
      </c>
      <c r="H391" s="21" t="s">
        <v>10</v>
      </c>
      <c r="I391" s="21" t="s">
        <v>47</v>
      </c>
      <c r="J391" s="21" t="s">
        <v>67</v>
      </c>
      <c r="K391" s="5814" t="s">
        <v>3297</v>
      </c>
    </row>
    <row r="392" spans="1:11">
      <c r="A392" s="21" t="s">
        <v>2768</v>
      </c>
      <c r="B392" s="21" t="s">
        <v>3298</v>
      </c>
      <c r="C392" s="21" t="s">
        <v>22</v>
      </c>
      <c r="D392" s="21" t="s">
        <v>2</v>
      </c>
      <c r="E392" s="21" t="s">
        <v>61</v>
      </c>
      <c r="F392" s="5812">
        <v>1</v>
      </c>
      <c r="G392" s="5813">
        <v>9.583333333333334E-2</v>
      </c>
      <c r="H392" s="21" t="s">
        <v>10</v>
      </c>
      <c r="I392" s="21" t="s">
        <v>11</v>
      </c>
      <c r="J392" s="21" t="s">
        <v>1379</v>
      </c>
      <c r="K392" s="5814" t="s">
        <v>3299</v>
      </c>
    </row>
    <row r="393" spans="1:11">
      <c r="A393" s="21" t="s">
        <v>3249</v>
      </c>
      <c r="B393" s="21" t="s">
        <v>3300</v>
      </c>
      <c r="C393" s="21" t="s">
        <v>8</v>
      </c>
      <c r="D393" s="21" t="s">
        <v>2</v>
      </c>
      <c r="E393" s="21" t="s">
        <v>61</v>
      </c>
      <c r="F393" s="5812">
        <v>1</v>
      </c>
      <c r="G393" s="5813">
        <v>0.10069444444444445</v>
      </c>
      <c r="H393" s="21" t="s">
        <v>10</v>
      </c>
      <c r="I393" s="21" t="s">
        <v>23</v>
      </c>
      <c r="J393" s="21" t="s">
        <v>67</v>
      </c>
      <c r="K393" s="5814" t="s">
        <v>3301</v>
      </c>
    </row>
    <row r="394" spans="1:11">
      <c r="A394" s="21" t="s">
        <v>2413</v>
      </c>
      <c r="B394" s="21" t="s">
        <v>3302</v>
      </c>
      <c r="C394" s="21" t="s">
        <v>22</v>
      </c>
      <c r="D394" s="21" t="s">
        <v>2</v>
      </c>
      <c r="E394" s="21" t="s">
        <v>61</v>
      </c>
      <c r="F394" s="5812">
        <v>1</v>
      </c>
      <c r="G394" s="5813">
        <v>0.10208333333333333</v>
      </c>
      <c r="H394" s="21" t="s">
        <v>10</v>
      </c>
      <c r="I394" s="21" t="s">
        <v>55</v>
      </c>
      <c r="J394" s="21" t="s">
        <v>67</v>
      </c>
      <c r="K394" s="5814" t="s">
        <v>3303</v>
      </c>
    </row>
    <row r="395" spans="1:11">
      <c r="A395" s="21" t="s">
        <v>2905</v>
      </c>
      <c r="B395" s="21" t="s">
        <v>3304</v>
      </c>
      <c r="C395" s="21" t="s">
        <v>8</v>
      </c>
      <c r="D395" s="21" t="s">
        <v>2</v>
      </c>
      <c r="E395" s="21" t="s">
        <v>61</v>
      </c>
      <c r="F395" s="5812">
        <v>1</v>
      </c>
      <c r="G395" s="5813">
        <v>0.10694444444444444</v>
      </c>
      <c r="H395" s="21" t="s">
        <v>10</v>
      </c>
      <c r="I395" s="21" t="s">
        <v>3305</v>
      </c>
      <c r="J395" s="21" t="s">
        <v>67</v>
      </c>
      <c r="K395" s="5814" t="s">
        <v>3306</v>
      </c>
    </row>
    <row r="396" spans="1:11">
      <c r="A396" s="21" t="s">
        <v>2513</v>
      </c>
      <c r="B396" s="21" t="s">
        <v>3307</v>
      </c>
      <c r="C396" s="21" t="s">
        <v>8</v>
      </c>
      <c r="D396" s="21" t="s">
        <v>2</v>
      </c>
      <c r="E396" s="21" t="s">
        <v>61</v>
      </c>
      <c r="F396" s="5812">
        <v>1</v>
      </c>
      <c r="G396" s="5813">
        <v>0.11319444444444444</v>
      </c>
      <c r="H396" s="21" t="s">
        <v>10</v>
      </c>
      <c r="I396" s="21" t="s">
        <v>23</v>
      </c>
      <c r="J396" s="21" t="s">
        <v>67</v>
      </c>
      <c r="K396" s="5814" t="s">
        <v>3308</v>
      </c>
    </row>
    <row r="397" spans="1:11">
      <c r="A397" s="21" t="s">
        <v>3230</v>
      </c>
      <c r="B397" s="21" t="s">
        <v>3309</v>
      </c>
      <c r="C397" s="21" t="s">
        <v>8</v>
      </c>
      <c r="D397" s="21" t="s">
        <v>2</v>
      </c>
      <c r="E397" s="21" t="s">
        <v>61</v>
      </c>
      <c r="F397" s="5812">
        <v>1</v>
      </c>
      <c r="G397" s="5813">
        <v>0.11388888888888889</v>
      </c>
      <c r="H397" s="21" t="s">
        <v>10</v>
      </c>
      <c r="I397" s="21" t="s">
        <v>55</v>
      </c>
      <c r="J397" s="21" t="s">
        <v>897</v>
      </c>
      <c r="K397" s="5814" t="s">
        <v>3310</v>
      </c>
    </row>
    <row r="398" spans="1:11">
      <c r="A398" s="21" t="s">
        <v>3311</v>
      </c>
      <c r="B398" s="21" t="s">
        <v>3312</v>
      </c>
      <c r="C398" s="21" t="s">
        <v>8</v>
      </c>
      <c r="D398" s="21" t="s">
        <v>2</v>
      </c>
      <c r="E398" s="21" t="s">
        <v>61</v>
      </c>
      <c r="F398" s="5812">
        <v>1</v>
      </c>
      <c r="G398" s="5813">
        <v>0.11736111111111111</v>
      </c>
      <c r="H398" s="21" t="s">
        <v>10</v>
      </c>
      <c r="I398" s="21" t="s">
        <v>39</v>
      </c>
      <c r="J398" s="21" t="s">
        <v>3313</v>
      </c>
      <c r="K398" s="5814" t="s">
        <v>3314</v>
      </c>
    </row>
    <row r="399" spans="1:11">
      <c r="A399" s="21" t="s">
        <v>3315</v>
      </c>
      <c r="B399" s="21" t="s">
        <v>3316</v>
      </c>
      <c r="C399" s="21" t="s">
        <v>22</v>
      </c>
      <c r="D399" s="21" t="s">
        <v>2</v>
      </c>
      <c r="E399" s="21" t="s">
        <v>61</v>
      </c>
      <c r="F399" s="5812">
        <v>1</v>
      </c>
      <c r="G399" s="5813">
        <v>0.12708333333333333</v>
      </c>
      <c r="H399" s="21" t="s">
        <v>10</v>
      </c>
      <c r="I399" s="21" t="s">
        <v>23</v>
      </c>
      <c r="J399" s="21" t="s">
        <v>3313</v>
      </c>
      <c r="K399" s="5814" t="s">
        <v>3317</v>
      </c>
    </row>
    <row r="400" spans="1:11">
      <c r="A400" s="21" t="s">
        <v>2651</v>
      </c>
      <c r="B400" s="21" t="s">
        <v>3318</v>
      </c>
      <c r="C400" s="21" t="s">
        <v>22</v>
      </c>
      <c r="D400" s="21" t="s">
        <v>2</v>
      </c>
      <c r="E400" s="21" t="s">
        <v>61</v>
      </c>
      <c r="F400" s="5812">
        <v>1</v>
      </c>
      <c r="G400" s="5813">
        <v>0.13125000000000001</v>
      </c>
      <c r="H400" s="21" t="s">
        <v>10</v>
      </c>
      <c r="I400" s="21" t="s">
        <v>11</v>
      </c>
      <c r="J400" s="21" t="s">
        <v>3313</v>
      </c>
      <c r="K400" s="5814" t="s">
        <v>3319</v>
      </c>
    </row>
    <row r="401" spans="1:11">
      <c r="A401" s="21" t="s">
        <v>2998</v>
      </c>
      <c r="B401" s="21" t="s">
        <v>2230</v>
      </c>
      <c r="C401" s="21" t="s">
        <v>22</v>
      </c>
      <c r="D401" s="21" t="s">
        <v>2</v>
      </c>
      <c r="E401" s="21" t="s">
        <v>61</v>
      </c>
      <c r="F401" s="5812">
        <v>1</v>
      </c>
      <c r="G401" s="5813">
        <v>0.13680555555555557</v>
      </c>
      <c r="H401" s="21" t="s">
        <v>54</v>
      </c>
      <c r="I401" s="21" t="s">
        <v>96</v>
      </c>
      <c r="J401" s="21" t="s">
        <v>3313</v>
      </c>
      <c r="K401" s="5814" t="s">
        <v>3320</v>
      </c>
    </row>
    <row r="402" spans="1:11">
      <c r="A402" s="21" t="s">
        <v>2088</v>
      </c>
      <c r="B402" s="21" t="s">
        <v>3321</v>
      </c>
      <c r="C402" s="21" t="s">
        <v>8</v>
      </c>
      <c r="D402" s="21" t="s">
        <v>2</v>
      </c>
      <c r="E402" s="21" t="s">
        <v>61</v>
      </c>
      <c r="F402" s="5812">
        <v>1</v>
      </c>
      <c r="G402" s="5813">
        <v>0.13750000000000001</v>
      </c>
      <c r="H402" s="21" t="s">
        <v>10</v>
      </c>
      <c r="I402" s="21" t="s">
        <v>23</v>
      </c>
      <c r="J402" s="21" t="s">
        <v>67</v>
      </c>
      <c r="K402" s="5814" t="s">
        <v>3322</v>
      </c>
    </row>
    <row r="403" spans="1:11">
      <c r="A403" s="21" t="s">
        <v>3323</v>
      </c>
      <c r="B403" s="21" t="s">
        <v>3324</v>
      </c>
      <c r="C403" s="21" t="s">
        <v>22</v>
      </c>
      <c r="D403" s="21" t="s">
        <v>2</v>
      </c>
      <c r="E403" s="21" t="s">
        <v>61</v>
      </c>
      <c r="F403" s="5812">
        <v>1</v>
      </c>
      <c r="G403" s="5813">
        <v>0.13750000000000001</v>
      </c>
      <c r="H403" s="21" t="s">
        <v>10</v>
      </c>
      <c r="I403" s="21" t="s">
        <v>3325</v>
      </c>
      <c r="J403" s="21" t="s">
        <v>3326</v>
      </c>
      <c r="K403" s="5814" t="s">
        <v>3327</v>
      </c>
    </row>
    <row r="404" spans="1:11">
      <c r="A404" s="21" t="s">
        <v>3328</v>
      </c>
      <c r="B404" s="21" t="s">
        <v>3329</v>
      </c>
      <c r="C404" s="21" t="s">
        <v>8</v>
      </c>
      <c r="D404" s="21" t="s">
        <v>2</v>
      </c>
      <c r="E404" s="21" t="s">
        <v>61</v>
      </c>
      <c r="F404" s="5812">
        <v>1</v>
      </c>
      <c r="G404" s="5813">
        <v>0.14652777777777778</v>
      </c>
      <c r="H404" s="21" t="s">
        <v>10</v>
      </c>
      <c r="I404" s="21" t="s">
        <v>187</v>
      </c>
      <c r="J404" s="21" t="s">
        <v>1379</v>
      </c>
      <c r="K404" s="5814" t="s">
        <v>3330</v>
      </c>
    </row>
    <row r="405" spans="1:11">
      <c r="A405" s="21" t="s">
        <v>2995</v>
      </c>
      <c r="B405" s="21" t="s">
        <v>3331</v>
      </c>
      <c r="C405" s="21" t="s">
        <v>8</v>
      </c>
      <c r="D405" s="21" t="s">
        <v>2</v>
      </c>
      <c r="E405" s="21" t="s">
        <v>61</v>
      </c>
      <c r="F405" s="5812">
        <v>1</v>
      </c>
      <c r="G405" s="5813">
        <v>0.15763888888888888</v>
      </c>
      <c r="H405" s="21" t="s">
        <v>10</v>
      </c>
      <c r="I405" s="21" t="s">
        <v>39</v>
      </c>
      <c r="J405" s="21" t="s">
        <v>3332</v>
      </c>
      <c r="K405" s="5814" t="s">
        <v>3333</v>
      </c>
    </row>
    <row r="406" spans="1:11">
      <c r="A406" s="21" t="s">
        <v>2655</v>
      </c>
      <c r="B406" s="21" t="s">
        <v>3334</v>
      </c>
      <c r="C406" s="21" t="s">
        <v>22</v>
      </c>
      <c r="D406" s="21" t="s">
        <v>2</v>
      </c>
      <c r="E406" s="21" t="s">
        <v>61</v>
      </c>
      <c r="F406" s="5812">
        <v>1</v>
      </c>
      <c r="G406" s="5813">
        <v>0.16597222222222222</v>
      </c>
      <c r="H406" s="21" t="s">
        <v>10</v>
      </c>
      <c r="I406" s="21" t="s">
        <v>55</v>
      </c>
      <c r="J406" s="21" t="s">
        <v>67</v>
      </c>
      <c r="K406" s="5814" t="s">
        <v>3335</v>
      </c>
    </row>
    <row r="407" spans="1:11">
      <c r="A407" s="21" t="s">
        <v>52</v>
      </c>
      <c r="B407" s="21" t="s">
        <v>60</v>
      </c>
      <c r="C407" s="21" t="s">
        <v>8</v>
      </c>
      <c r="D407" s="21" t="s">
        <v>2</v>
      </c>
      <c r="E407" s="21" t="s">
        <v>61</v>
      </c>
      <c r="F407" s="5812">
        <v>1</v>
      </c>
      <c r="G407" s="5813">
        <v>0.16805555555555557</v>
      </c>
      <c r="H407" s="21" t="s">
        <v>10</v>
      </c>
      <c r="I407" s="21" t="s">
        <v>55</v>
      </c>
      <c r="J407" s="21" t="s">
        <v>62</v>
      </c>
      <c r="K407" s="5814" t="s">
        <v>63</v>
      </c>
    </row>
    <row r="408" spans="1:11">
      <c r="A408" s="21" t="s">
        <v>2761</v>
      </c>
      <c r="B408" s="21" t="s">
        <v>3336</v>
      </c>
      <c r="C408" s="21" t="s">
        <v>8</v>
      </c>
      <c r="D408" s="21" t="s">
        <v>2</v>
      </c>
      <c r="E408" s="21" t="s">
        <v>61</v>
      </c>
      <c r="F408" s="5812">
        <v>1</v>
      </c>
      <c r="G408" s="5813">
        <v>0.16875000000000001</v>
      </c>
      <c r="H408" s="21" t="s">
        <v>10</v>
      </c>
      <c r="I408" s="21" t="s">
        <v>2247</v>
      </c>
      <c r="J408" s="21" t="s">
        <v>3313</v>
      </c>
      <c r="K408" s="5814" t="s">
        <v>3337</v>
      </c>
    </row>
    <row r="409" spans="1:11">
      <c r="A409" s="21" t="s">
        <v>3338</v>
      </c>
      <c r="B409" s="21" t="s">
        <v>3339</v>
      </c>
      <c r="C409" s="21" t="s">
        <v>8</v>
      </c>
      <c r="D409" s="21" t="s">
        <v>2</v>
      </c>
      <c r="E409" s="21" t="s">
        <v>61</v>
      </c>
      <c r="F409" s="5812">
        <v>1</v>
      </c>
      <c r="G409" s="5813">
        <v>0.17152777777777778</v>
      </c>
      <c r="H409" s="21" t="s">
        <v>10</v>
      </c>
      <c r="I409" s="21" t="s">
        <v>23</v>
      </c>
      <c r="J409" s="21" t="s">
        <v>3340</v>
      </c>
      <c r="K409" s="5814" t="s">
        <v>3341</v>
      </c>
    </row>
    <row r="410" spans="1:11">
      <c r="A410" s="21" t="s">
        <v>2311</v>
      </c>
      <c r="B410" s="21" t="s">
        <v>3342</v>
      </c>
      <c r="C410" s="21" t="s">
        <v>8</v>
      </c>
      <c r="D410" s="21" t="s">
        <v>2</v>
      </c>
      <c r="E410" s="21" t="s">
        <v>61</v>
      </c>
      <c r="F410" s="5812">
        <v>1</v>
      </c>
      <c r="G410" s="5813">
        <v>0.17708333333333334</v>
      </c>
      <c r="H410" s="21" t="s">
        <v>10</v>
      </c>
      <c r="I410" s="21" t="s">
        <v>3343</v>
      </c>
      <c r="J410" s="21" t="s">
        <v>62</v>
      </c>
      <c r="K410" s="5814" t="s">
        <v>3344</v>
      </c>
    </row>
    <row r="411" spans="1:11">
      <c r="A411" s="21" t="s">
        <v>3345</v>
      </c>
      <c r="B411" s="21" t="s">
        <v>3346</v>
      </c>
      <c r="C411" s="21" t="s">
        <v>22</v>
      </c>
      <c r="D411" s="21" t="s">
        <v>2</v>
      </c>
      <c r="E411" s="21" t="s">
        <v>61</v>
      </c>
      <c r="F411" s="5812">
        <v>1</v>
      </c>
      <c r="G411" s="5813">
        <v>0.18124999999999999</v>
      </c>
      <c r="H411" s="21" t="s">
        <v>10</v>
      </c>
      <c r="I411" s="21" t="s">
        <v>2872</v>
      </c>
      <c r="J411" s="21" t="s">
        <v>928</v>
      </c>
      <c r="K411" s="5814" t="s">
        <v>3347</v>
      </c>
    </row>
    <row r="412" spans="1:11">
      <c r="A412" s="21" t="s">
        <v>3348</v>
      </c>
      <c r="B412" s="21" t="s">
        <v>3349</v>
      </c>
      <c r="C412" s="21" t="s">
        <v>22</v>
      </c>
      <c r="D412" s="21" t="s">
        <v>2</v>
      </c>
      <c r="E412" s="21" t="s">
        <v>61</v>
      </c>
      <c r="F412" s="5812">
        <v>1</v>
      </c>
      <c r="G412" s="5813">
        <v>0.19097222222222221</v>
      </c>
      <c r="H412" s="21" t="s">
        <v>10</v>
      </c>
      <c r="I412" s="21" t="s">
        <v>55</v>
      </c>
      <c r="J412" s="21" t="s">
        <v>3350</v>
      </c>
      <c r="K412" s="5814" t="s">
        <v>3351</v>
      </c>
    </row>
    <row r="413" spans="1:11">
      <c r="A413" s="21" t="s">
        <v>2542</v>
      </c>
      <c r="B413" s="21" t="s">
        <v>3352</v>
      </c>
      <c r="C413" s="21" t="s">
        <v>22</v>
      </c>
      <c r="D413" s="21" t="s">
        <v>2</v>
      </c>
      <c r="E413" s="21" t="s">
        <v>61</v>
      </c>
      <c r="F413" s="5812">
        <v>1</v>
      </c>
      <c r="G413" s="5813">
        <v>0.19583333333333333</v>
      </c>
      <c r="H413" s="21" t="s">
        <v>10</v>
      </c>
      <c r="I413" s="21" t="s">
        <v>55</v>
      </c>
      <c r="J413" s="21" t="s">
        <v>3326</v>
      </c>
      <c r="K413" s="5814" t="s">
        <v>3353</v>
      </c>
    </row>
    <row r="414" spans="1:11">
      <c r="A414" s="21" t="s">
        <v>3354</v>
      </c>
      <c r="B414" s="21" t="s">
        <v>3355</v>
      </c>
      <c r="C414" s="21" t="s">
        <v>8</v>
      </c>
      <c r="D414" s="21" t="s">
        <v>2</v>
      </c>
      <c r="E414" s="21" t="s">
        <v>61</v>
      </c>
      <c r="F414" s="5812">
        <v>1</v>
      </c>
      <c r="G414" s="5813">
        <v>0.20347222222222222</v>
      </c>
      <c r="H414" s="21" t="s">
        <v>10</v>
      </c>
      <c r="I414" s="21" t="s">
        <v>3356</v>
      </c>
      <c r="J414" s="21" t="s">
        <v>3357</v>
      </c>
      <c r="K414" s="5814" t="s">
        <v>3358</v>
      </c>
    </row>
    <row r="415" spans="1:11">
      <c r="A415" s="21" t="s">
        <v>2376</v>
      </c>
      <c r="B415" s="21" t="s">
        <v>3359</v>
      </c>
      <c r="C415" s="21" t="s">
        <v>8</v>
      </c>
      <c r="D415" s="21" t="s">
        <v>2</v>
      </c>
      <c r="E415" s="21" t="s">
        <v>61</v>
      </c>
      <c r="F415" s="5812">
        <v>1</v>
      </c>
      <c r="G415" s="5813">
        <v>0.20416666666666666</v>
      </c>
      <c r="H415" s="21" t="s">
        <v>10</v>
      </c>
      <c r="I415" s="21" t="s">
        <v>23</v>
      </c>
      <c r="J415" s="21" t="s">
        <v>3360</v>
      </c>
      <c r="K415" s="5814" t="s">
        <v>3361</v>
      </c>
    </row>
    <row r="416" spans="1:11">
      <c r="A416" s="21" t="s">
        <v>2626</v>
      </c>
      <c r="B416" s="21" t="s">
        <v>3362</v>
      </c>
      <c r="C416" s="21" t="s">
        <v>8</v>
      </c>
      <c r="D416" s="21" t="s">
        <v>2</v>
      </c>
      <c r="E416" s="21" t="s">
        <v>61</v>
      </c>
      <c r="F416" s="5812">
        <v>2</v>
      </c>
      <c r="G416" s="5813">
        <v>0.05</v>
      </c>
      <c r="H416" s="21" t="s">
        <v>10</v>
      </c>
      <c r="I416" s="21" t="s">
        <v>96</v>
      </c>
      <c r="J416" s="21" t="s">
        <v>67</v>
      </c>
      <c r="K416" s="5814" t="s">
        <v>3363</v>
      </c>
    </row>
    <row r="417" spans="1:11">
      <c r="A417" s="21" t="s">
        <v>3364</v>
      </c>
      <c r="B417" s="21" t="s">
        <v>3365</v>
      </c>
      <c r="C417" s="21" t="s">
        <v>22</v>
      </c>
      <c r="D417" s="21" t="s">
        <v>2</v>
      </c>
      <c r="E417" s="21" t="s">
        <v>61</v>
      </c>
      <c r="F417" s="5812">
        <v>2</v>
      </c>
      <c r="G417" s="5813">
        <v>6.3194444444444442E-2</v>
      </c>
      <c r="H417" s="21" t="s">
        <v>10</v>
      </c>
      <c r="I417" s="21" t="s">
        <v>2176</v>
      </c>
      <c r="J417" s="21" t="s">
        <v>67</v>
      </c>
      <c r="K417" s="5814" t="s">
        <v>3366</v>
      </c>
    </row>
    <row r="418" spans="1:11">
      <c r="A418" s="21" t="s">
        <v>2250</v>
      </c>
      <c r="B418" s="21" t="s">
        <v>3367</v>
      </c>
      <c r="C418" s="21" t="s">
        <v>8</v>
      </c>
      <c r="D418" s="21" t="s">
        <v>2</v>
      </c>
      <c r="E418" s="21" t="s">
        <v>61</v>
      </c>
      <c r="F418" s="5812">
        <v>2</v>
      </c>
      <c r="G418" s="5813">
        <v>6.8750000000000006E-2</v>
      </c>
      <c r="H418" s="21" t="s">
        <v>10</v>
      </c>
      <c r="I418" s="21" t="s">
        <v>23</v>
      </c>
      <c r="J418" s="21" t="s">
        <v>928</v>
      </c>
      <c r="K418" s="5814" t="s">
        <v>3368</v>
      </c>
    </row>
    <row r="419" spans="1:11">
      <c r="A419" s="21" t="s">
        <v>3369</v>
      </c>
      <c r="B419" s="21" t="s">
        <v>3370</v>
      </c>
      <c r="C419" s="21" t="s">
        <v>8</v>
      </c>
      <c r="D419" s="21" t="s">
        <v>2</v>
      </c>
      <c r="E419" s="21" t="s">
        <v>61</v>
      </c>
      <c r="F419" s="5812">
        <v>2</v>
      </c>
      <c r="G419" s="5813">
        <v>7.013888888888889E-2</v>
      </c>
      <c r="H419" s="21" t="s">
        <v>10</v>
      </c>
      <c r="I419" s="21" t="s">
        <v>23</v>
      </c>
      <c r="J419" s="21" t="s">
        <v>1327</v>
      </c>
      <c r="K419" s="5814" t="s">
        <v>3371</v>
      </c>
    </row>
    <row r="420" spans="1:11">
      <c r="A420" s="21" t="s">
        <v>2212</v>
      </c>
      <c r="B420" s="21" t="s">
        <v>3372</v>
      </c>
      <c r="C420" s="21" t="s">
        <v>22</v>
      </c>
      <c r="D420" s="21" t="s">
        <v>2</v>
      </c>
      <c r="E420" s="21" t="s">
        <v>61</v>
      </c>
      <c r="F420" s="5812">
        <v>2</v>
      </c>
      <c r="G420" s="5813">
        <v>7.9166666666666663E-2</v>
      </c>
      <c r="H420" s="21" t="s">
        <v>10</v>
      </c>
      <c r="I420" s="21" t="s">
        <v>3373</v>
      </c>
      <c r="J420" s="21" t="s">
        <v>1327</v>
      </c>
      <c r="K420" s="5814" t="s">
        <v>3374</v>
      </c>
    </row>
    <row r="421" spans="1:11">
      <c r="A421" s="21" t="s">
        <v>3082</v>
      </c>
      <c r="B421" s="21" t="s">
        <v>3375</v>
      </c>
      <c r="C421" s="21" t="s">
        <v>8</v>
      </c>
      <c r="D421" s="21" t="s">
        <v>2</v>
      </c>
      <c r="E421" s="21" t="s">
        <v>61</v>
      </c>
      <c r="F421" s="5812">
        <v>2</v>
      </c>
      <c r="G421" s="5813">
        <v>7.9861111111111105E-2</v>
      </c>
      <c r="H421" s="21" t="s">
        <v>10</v>
      </c>
      <c r="I421" s="21" t="s">
        <v>117</v>
      </c>
      <c r="J421" s="21" t="s">
        <v>3313</v>
      </c>
      <c r="K421" s="5814" t="s">
        <v>3376</v>
      </c>
    </row>
    <row r="422" spans="1:11">
      <c r="A422" s="21" t="s">
        <v>2188</v>
      </c>
      <c r="B422" s="21" t="s">
        <v>3377</v>
      </c>
      <c r="C422" s="21" t="s">
        <v>22</v>
      </c>
      <c r="D422" s="21" t="s">
        <v>2</v>
      </c>
      <c r="E422" s="21" t="s">
        <v>61</v>
      </c>
      <c r="F422" s="5812">
        <v>2</v>
      </c>
      <c r="G422" s="5813">
        <v>8.819444444444445E-2</v>
      </c>
      <c r="H422" s="21" t="s">
        <v>10</v>
      </c>
      <c r="I422" s="21" t="s">
        <v>2153</v>
      </c>
      <c r="J422" s="21" t="s">
        <v>1379</v>
      </c>
      <c r="K422" s="5814" t="s">
        <v>3378</v>
      </c>
    </row>
    <row r="423" spans="1:11">
      <c r="A423" s="21" t="s">
        <v>2263</v>
      </c>
      <c r="B423" s="21" t="s">
        <v>3379</v>
      </c>
      <c r="C423" s="21" t="s">
        <v>8</v>
      </c>
      <c r="D423" s="21" t="s">
        <v>2</v>
      </c>
      <c r="E423" s="21" t="s">
        <v>61</v>
      </c>
      <c r="F423" s="5812">
        <v>2</v>
      </c>
      <c r="G423" s="5813">
        <v>8.9583333333333334E-2</v>
      </c>
      <c r="H423" s="21" t="s">
        <v>10</v>
      </c>
      <c r="I423" s="21" t="s">
        <v>2247</v>
      </c>
      <c r="J423" s="21" t="s">
        <v>67</v>
      </c>
      <c r="K423" s="5814" t="s">
        <v>3380</v>
      </c>
    </row>
    <row r="424" spans="1:11">
      <c r="A424" s="21" t="s">
        <v>2276</v>
      </c>
      <c r="B424" s="21" t="s">
        <v>3381</v>
      </c>
      <c r="C424" s="21" t="s">
        <v>8</v>
      </c>
      <c r="D424" s="21" t="s">
        <v>2</v>
      </c>
      <c r="E424" s="21" t="s">
        <v>61</v>
      </c>
      <c r="F424" s="5812">
        <v>2</v>
      </c>
      <c r="G424" s="5813">
        <v>9.375E-2</v>
      </c>
      <c r="H424" s="21" t="s">
        <v>10</v>
      </c>
      <c r="I424" s="21" t="s">
        <v>3382</v>
      </c>
      <c r="J424" s="21" t="s">
        <v>3383</v>
      </c>
      <c r="K424" s="5814" t="s">
        <v>3384</v>
      </c>
    </row>
    <row r="425" spans="1:11">
      <c r="A425" s="21" t="s">
        <v>2915</v>
      </c>
      <c r="B425" s="21" t="s">
        <v>3385</v>
      </c>
      <c r="C425" s="21" t="s">
        <v>22</v>
      </c>
      <c r="D425" s="21" t="s">
        <v>2</v>
      </c>
      <c r="E425" s="21" t="s">
        <v>61</v>
      </c>
      <c r="F425" s="5812">
        <v>2</v>
      </c>
      <c r="G425" s="5813">
        <v>9.583333333333334E-2</v>
      </c>
      <c r="H425" s="21" t="s">
        <v>10</v>
      </c>
      <c r="I425" s="21" t="s">
        <v>187</v>
      </c>
      <c r="J425" s="21" t="s">
        <v>782</v>
      </c>
      <c r="K425" s="5814" t="s">
        <v>3386</v>
      </c>
    </row>
    <row r="426" spans="1:11">
      <c r="A426" s="21" t="s">
        <v>3387</v>
      </c>
      <c r="B426" s="21" t="s">
        <v>3388</v>
      </c>
      <c r="C426" s="21" t="s">
        <v>8</v>
      </c>
      <c r="D426" s="21" t="s">
        <v>2</v>
      </c>
      <c r="E426" s="21" t="s">
        <v>61</v>
      </c>
      <c r="F426" s="5812">
        <v>2</v>
      </c>
      <c r="G426" s="5813">
        <v>0.10347222222222222</v>
      </c>
      <c r="H426" s="21" t="s">
        <v>10</v>
      </c>
      <c r="I426" s="21" t="s">
        <v>55</v>
      </c>
      <c r="J426" s="21" t="s">
        <v>67</v>
      </c>
      <c r="K426" s="5814" t="s">
        <v>3389</v>
      </c>
    </row>
    <row r="427" spans="1:11">
      <c r="A427" s="21" t="s">
        <v>2737</v>
      </c>
      <c r="B427" s="21" t="s">
        <v>3390</v>
      </c>
      <c r="C427" s="21" t="s">
        <v>22</v>
      </c>
      <c r="D427" s="21" t="s">
        <v>2</v>
      </c>
      <c r="E427" s="21" t="s">
        <v>61</v>
      </c>
      <c r="F427" s="5812">
        <v>2</v>
      </c>
      <c r="G427" s="5813">
        <v>0.10625</v>
      </c>
      <c r="H427" s="21" t="s">
        <v>10</v>
      </c>
      <c r="I427" s="21" t="s">
        <v>609</v>
      </c>
      <c r="J427" s="21" t="s">
        <v>3391</v>
      </c>
      <c r="K427" s="5814" t="s">
        <v>3392</v>
      </c>
    </row>
    <row r="428" spans="1:11">
      <c r="A428" s="21" t="s">
        <v>2115</v>
      </c>
      <c r="B428" s="21" t="s">
        <v>3393</v>
      </c>
      <c r="C428" s="21" t="s">
        <v>8</v>
      </c>
      <c r="D428" s="21" t="s">
        <v>2</v>
      </c>
      <c r="E428" s="21" t="s">
        <v>61</v>
      </c>
      <c r="F428" s="5812">
        <v>2</v>
      </c>
      <c r="G428" s="5813">
        <v>0.1076388888888889</v>
      </c>
      <c r="H428" s="21" t="s">
        <v>10</v>
      </c>
      <c r="I428" s="21" t="s">
        <v>209</v>
      </c>
      <c r="J428" s="21" t="s">
        <v>67</v>
      </c>
      <c r="K428" s="5814" t="s">
        <v>3394</v>
      </c>
    </row>
    <row r="429" spans="1:11">
      <c r="A429" s="21" t="s">
        <v>3395</v>
      </c>
      <c r="B429" s="21" t="s">
        <v>3396</v>
      </c>
      <c r="C429" s="21" t="s">
        <v>8</v>
      </c>
      <c r="D429" s="21" t="s">
        <v>2</v>
      </c>
      <c r="E429" s="21" t="s">
        <v>61</v>
      </c>
      <c r="F429" s="5812">
        <v>2</v>
      </c>
      <c r="G429" s="5813">
        <v>0.11527777777777778</v>
      </c>
      <c r="H429" s="21" t="s">
        <v>10</v>
      </c>
      <c r="I429" s="21" t="s">
        <v>2814</v>
      </c>
      <c r="J429" s="21" t="s">
        <v>67</v>
      </c>
      <c r="K429" s="5814" t="s">
        <v>3397</v>
      </c>
    </row>
    <row r="430" spans="1:11">
      <c r="A430" s="21" t="s">
        <v>2250</v>
      </c>
      <c r="B430" s="21" t="s">
        <v>3398</v>
      </c>
      <c r="C430" s="21" t="s">
        <v>8</v>
      </c>
      <c r="D430" s="21" t="s">
        <v>2</v>
      </c>
      <c r="E430" s="21" t="s">
        <v>61</v>
      </c>
      <c r="F430" s="5812">
        <v>2</v>
      </c>
      <c r="G430" s="5813">
        <v>0.12777777777777777</v>
      </c>
      <c r="H430" s="21" t="s">
        <v>10</v>
      </c>
      <c r="I430" s="21" t="s">
        <v>39</v>
      </c>
      <c r="J430" s="21" t="s">
        <v>67</v>
      </c>
      <c r="K430" s="5814" t="s">
        <v>3399</v>
      </c>
    </row>
    <row r="431" spans="1:11">
      <c r="A431" s="21" t="s">
        <v>3134</v>
      </c>
      <c r="B431" s="21" t="s">
        <v>3400</v>
      </c>
      <c r="C431" s="21" t="s">
        <v>8</v>
      </c>
      <c r="D431" s="21" t="s">
        <v>2</v>
      </c>
      <c r="E431" s="21" t="s">
        <v>61</v>
      </c>
      <c r="F431" s="5812">
        <v>2</v>
      </c>
      <c r="G431" s="5813">
        <v>0.13125000000000001</v>
      </c>
      <c r="H431" s="21" t="s">
        <v>10</v>
      </c>
      <c r="I431" s="21" t="s">
        <v>55</v>
      </c>
      <c r="J431" s="21" t="s">
        <v>505</v>
      </c>
      <c r="K431" s="5814" t="s">
        <v>3401</v>
      </c>
    </row>
    <row r="432" spans="1:11">
      <c r="A432" s="21" t="s">
        <v>2233</v>
      </c>
      <c r="B432" s="21" t="s">
        <v>3402</v>
      </c>
      <c r="C432" s="21" t="s">
        <v>8</v>
      </c>
      <c r="D432" s="21" t="s">
        <v>2</v>
      </c>
      <c r="E432" s="21" t="s">
        <v>61</v>
      </c>
      <c r="F432" s="5812">
        <v>2</v>
      </c>
      <c r="G432" s="5813">
        <v>0.13402777777777777</v>
      </c>
      <c r="H432" s="21" t="s">
        <v>10</v>
      </c>
      <c r="I432" s="21" t="s">
        <v>47</v>
      </c>
      <c r="J432" s="21" t="s">
        <v>3403</v>
      </c>
      <c r="K432" s="5814" t="s">
        <v>3404</v>
      </c>
    </row>
    <row r="433" spans="1:11">
      <c r="A433" s="21" t="s">
        <v>2450</v>
      </c>
      <c r="B433" s="21" t="s">
        <v>3405</v>
      </c>
      <c r="C433" s="21" t="s">
        <v>8</v>
      </c>
      <c r="D433" s="21" t="s">
        <v>2</v>
      </c>
      <c r="E433" s="21" t="s">
        <v>61</v>
      </c>
      <c r="F433" s="5812">
        <v>2</v>
      </c>
      <c r="G433" s="5813">
        <v>0.14166666666666666</v>
      </c>
      <c r="H433" s="21" t="s">
        <v>10</v>
      </c>
      <c r="I433" s="21" t="s">
        <v>73</v>
      </c>
      <c r="J433" s="21" t="s">
        <v>67</v>
      </c>
      <c r="K433" s="5814" t="s">
        <v>3406</v>
      </c>
    </row>
    <row r="434" spans="1:11">
      <c r="A434" s="21" t="s">
        <v>2985</v>
      </c>
      <c r="B434" s="21" t="s">
        <v>3407</v>
      </c>
      <c r="C434" s="21" t="s">
        <v>8</v>
      </c>
      <c r="D434" s="21" t="s">
        <v>2</v>
      </c>
      <c r="E434" s="21" t="s">
        <v>61</v>
      </c>
      <c r="F434" s="5812">
        <v>2</v>
      </c>
      <c r="G434" s="5813">
        <v>0.1423611111111111</v>
      </c>
      <c r="H434" s="21" t="s">
        <v>10</v>
      </c>
      <c r="I434" s="21" t="s">
        <v>23</v>
      </c>
      <c r="J434" s="21" t="s">
        <v>67</v>
      </c>
      <c r="K434" s="5814" t="s">
        <v>3408</v>
      </c>
    </row>
    <row r="435" spans="1:11">
      <c r="A435" s="21" t="s">
        <v>3409</v>
      </c>
      <c r="B435" s="21" t="s">
        <v>3410</v>
      </c>
      <c r="C435" s="21" t="s">
        <v>8</v>
      </c>
      <c r="D435" s="21" t="s">
        <v>2</v>
      </c>
      <c r="E435" s="21" t="s">
        <v>61</v>
      </c>
      <c r="F435" s="5812">
        <v>2</v>
      </c>
      <c r="G435" s="5813">
        <v>0.14444444444444443</v>
      </c>
      <c r="H435" s="21" t="s">
        <v>10</v>
      </c>
      <c r="I435" s="21" t="s">
        <v>654</v>
      </c>
      <c r="J435" s="21" t="s">
        <v>836</v>
      </c>
      <c r="K435" s="5814" t="s">
        <v>3411</v>
      </c>
    </row>
    <row r="436" spans="1:11">
      <c r="A436" s="21" t="s">
        <v>3412</v>
      </c>
      <c r="B436" s="21" t="s">
        <v>3413</v>
      </c>
      <c r="C436" s="21" t="s">
        <v>8</v>
      </c>
      <c r="D436" s="21" t="s">
        <v>2</v>
      </c>
      <c r="E436" s="21" t="s">
        <v>61</v>
      </c>
      <c r="F436" s="5812">
        <v>2</v>
      </c>
      <c r="G436" s="5813">
        <v>0.15208333333333332</v>
      </c>
      <c r="H436" s="21" t="s">
        <v>10</v>
      </c>
      <c r="I436" s="21" t="s">
        <v>96</v>
      </c>
      <c r="J436" s="21" t="s">
        <v>67</v>
      </c>
      <c r="K436" s="5814" t="s">
        <v>3414</v>
      </c>
    </row>
    <row r="437" spans="1:11">
      <c r="A437" s="21" t="s">
        <v>2687</v>
      </c>
      <c r="B437" s="21" t="s">
        <v>3415</v>
      </c>
      <c r="C437" s="21" t="s">
        <v>8</v>
      </c>
      <c r="D437" s="21" t="s">
        <v>2</v>
      </c>
      <c r="E437" s="21" t="s">
        <v>61</v>
      </c>
      <c r="F437" s="5812">
        <v>2</v>
      </c>
      <c r="G437" s="5813">
        <v>0.15416666666666667</v>
      </c>
      <c r="H437" s="21" t="s">
        <v>10</v>
      </c>
      <c r="I437" s="21" t="s">
        <v>187</v>
      </c>
      <c r="J437" s="21" t="s">
        <v>3416</v>
      </c>
      <c r="K437" s="5814" t="s">
        <v>3417</v>
      </c>
    </row>
    <row r="438" spans="1:11">
      <c r="A438" s="21" t="s">
        <v>2362</v>
      </c>
      <c r="B438" s="21" t="s">
        <v>3418</v>
      </c>
      <c r="C438" s="21" t="s">
        <v>8</v>
      </c>
      <c r="D438" s="21" t="s">
        <v>2</v>
      </c>
      <c r="E438" s="21" t="s">
        <v>61</v>
      </c>
      <c r="F438" s="5812">
        <v>2</v>
      </c>
      <c r="G438" s="5813">
        <v>0.15972222222222221</v>
      </c>
      <c r="H438" s="21" t="s">
        <v>10</v>
      </c>
      <c r="I438" s="21" t="s">
        <v>11</v>
      </c>
      <c r="J438" s="21" t="s">
        <v>3313</v>
      </c>
      <c r="K438" s="5814" t="s">
        <v>3419</v>
      </c>
    </row>
    <row r="439" spans="1:11">
      <c r="A439" s="21" t="s">
        <v>3412</v>
      </c>
      <c r="B439" s="21" t="s">
        <v>3420</v>
      </c>
      <c r="C439" s="21" t="s">
        <v>8</v>
      </c>
      <c r="D439" s="21" t="s">
        <v>2</v>
      </c>
      <c r="E439" s="21" t="s">
        <v>61</v>
      </c>
      <c r="F439" s="5812">
        <v>2</v>
      </c>
      <c r="G439" s="5813">
        <v>0.16666666666666666</v>
      </c>
      <c r="H439" s="21" t="s">
        <v>10</v>
      </c>
      <c r="I439" s="21" t="s">
        <v>11</v>
      </c>
      <c r="J439" s="21" t="s">
        <v>836</v>
      </c>
      <c r="K439" s="5814" t="s">
        <v>3421</v>
      </c>
    </row>
    <row r="440" spans="1:11">
      <c r="A440" s="21" t="s">
        <v>103</v>
      </c>
      <c r="B440" s="21" t="s">
        <v>104</v>
      </c>
      <c r="C440" s="21" t="s">
        <v>8</v>
      </c>
      <c r="D440" s="21" t="s">
        <v>2</v>
      </c>
      <c r="E440" s="21" t="s">
        <v>61</v>
      </c>
      <c r="F440" s="5812">
        <v>2</v>
      </c>
      <c r="G440" s="5813">
        <v>0.16805555555555557</v>
      </c>
      <c r="H440" s="21" t="s">
        <v>10</v>
      </c>
      <c r="I440" s="21" t="s">
        <v>39</v>
      </c>
      <c r="J440" s="21" t="s">
        <v>67</v>
      </c>
      <c r="K440" s="5814" t="s">
        <v>105</v>
      </c>
    </row>
    <row r="441" spans="1:11">
      <c r="A441" s="21" t="s">
        <v>3002</v>
      </c>
      <c r="B441" s="21" t="s">
        <v>3422</v>
      </c>
      <c r="C441" s="21" t="s">
        <v>8</v>
      </c>
      <c r="D441" s="21" t="s">
        <v>2</v>
      </c>
      <c r="E441" s="21" t="s">
        <v>61</v>
      </c>
      <c r="F441" s="5812">
        <v>2</v>
      </c>
      <c r="G441" s="5813">
        <v>0.17499999999999999</v>
      </c>
      <c r="H441" s="21" t="s">
        <v>10</v>
      </c>
      <c r="I441" s="21" t="s">
        <v>23</v>
      </c>
      <c r="J441" s="21" t="s">
        <v>67</v>
      </c>
      <c r="K441" s="5814" t="s">
        <v>3423</v>
      </c>
    </row>
    <row r="442" spans="1:11">
      <c r="A442" s="21" t="s">
        <v>2982</v>
      </c>
      <c r="B442" s="21" t="s">
        <v>3424</v>
      </c>
      <c r="C442" s="21" t="s">
        <v>8</v>
      </c>
      <c r="D442" s="21" t="s">
        <v>2</v>
      </c>
      <c r="E442" s="21" t="s">
        <v>61</v>
      </c>
      <c r="F442" s="5812">
        <v>2</v>
      </c>
      <c r="G442" s="5813">
        <v>0.17569444444444443</v>
      </c>
      <c r="H442" s="21" t="s">
        <v>10</v>
      </c>
      <c r="I442" s="21" t="s">
        <v>23</v>
      </c>
      <c r="J442" s="21" t="s">
        <v>3425</v>
      </c>
      <c r="K442" s="5814" t="s">
        <v>3426</v>
      </c>
    </row>
    <row r="443" spans="1:11">
      <c r="A443" s="21" t="s">
        <v>3427</v>
      </c>
      <c r="B443" s="21" t="s">
        <v>3428</v>
      </c>
      <c r="C443" s="21" t="s">
        <v>8</v>
      </c>
      <c r="D443" s="21" t="s">
        <v>2</v>
      </c>
      <c r="E443" s="21" t="s">
        <v>61</v>
      </c>
      <c r="F443" s="5812">
        <v>2</v>
      </c>
      <c r="G443" s="5813">
        <v>0.17916666666666667</v>
      </c>
      <c r="H443" s="21" t="s">
        <v>10</v>
      </c>
      <c r="I443" s="21" t="s">
        <v>47</v>
      </c>
      <c r="J443" s="21" t="s">
        <v>3313</v>
      </c>
      <c r="K443" s="5814" t="s">
        <v>3429</v>
      </c>
    </row>
    <row r="444" spans="1:11">
      <c r="A444" s="21" t="s">
        <v>3430</v>
      </c>
      <c r="B444" s="21" t="s">
        <v>3431</v>
      </c>
      <c r="C444" s="21" t="s">
        <v>8</v>
      </c>
      <c r="D444" s="21" t="s">
        <v>2</v>
      </c>
      <c r="E444" s="21" t="s">
        <v>61</v>
      </c>
      <c r="F444" s="5812">
        <v>2</v>
      </c>
      <c r="G444" s="5813">
        <v>0.19166666666666668</v>
      </c>
      <c r="H444" s="21" t="s">
        <v>10</v>
      </c>
      <c r="I444" s="21" t="s">
        <v>39</v>
      </c>
      <c r="J444" s="21" t="s">
        <v>3432</v>
      </c>
      <c r="K444" s="5814" t="s">
        <v>3433</v>
      </c>
    </row>
    <row r="445" spans="1:11">
      <c r="A445" s="21" t="s">
        <v>79</v>
      </c>
      <c r="B445" s="21" t="s">
        <v>109</v>
      </c>
      <c r="C445" s="21" t="s">
        <v>22</v>
      </c>
      <c r="D445" s="21" t="s">
        <v>2</v>
      </c>
      <c r="E445" s="21" t="s">
        <v>61</v>
      </c>
      <c r="F445" s="5812">
        <v>2</v>
      </c>
      <c r="G445" s="5813">
        <v>0.2076388888888889</v>
      </c>
      <c r="H445" s="21" t="s">
        <v>10</v>
      </c>
      <c r="I445" s="21" t="s">
        <v>96</v>
      </c>
      <c r="J445" s="21" t="s">
        <v>110</v>
      </c>
      <c r="K445" s="5814" t="s">
        <v>111</v>
      </c>
    </row>
    <row r="446" spans="1:11">
      <c r="A446" s="21" t="s">
        <v>65</v>
      </c>
      <c r="B446" s="21" t="s">
        <v>213</v>
      </c>
      <c r="C446" s="21" t="s">
        <v>8</v>
      </c>
      <c r="D446" s="21" t="s">
        <v>2</v>
      </c>
      <c r="E446" s="21" t="s">
        <v>61</v>
      </c>
      <c r="F446" s="5812">
        <v>3</v>
      </c>
      <c r="G446" s="5813">
        <v>4.027777777777778E-2</v>
      </c>
      <c r="H446" s="21" t="s">
        <v>10</v>
      </c>
      <c r="I446" s="21" t="s">
        <v>39</v>
      </c>
      <c r="J446" s="21" t="s">
        <v>67</v>
      </c>
      <c r="K446" s="5814" t="s">
        <v>214</v>
      </c>
    </row>
    <row r="447" spans="1:11">
      <c r="A447" s="21" t="s">
        <v>3434</v>
      </c>
      <c r="B447" s="21" t="s">
        <v>3435</v>
      </c>
      <c r="C447" s="21" t="s">
        <v>22</v>
      </c>
      <c r="D447" s="21" t="s">
        <v>2</v>
      </c>
      <c r="E447" s="21" t="s">
        <v>61</v>
      </c>
      <c r="F447" s="5812">
        <v>3</v>
      </c>
      <c r="G447" s="5813">
        <v>6.805555555555555E-2</v>
      </c>
      <c r="H447" s="21" t="s">
        <v>10</v>
      </c>
      <c r="I447" s="21" t="s">
        <v>89</v>
      </c>
      <c r="J447" s="21" t="s">
        <v>505</v>
      </c>
      <c r="K447" s="5814" t="s">
        <v>3436</v>
      </c>
    </row>
    <row r="448" spans="1:11">
      <c r="A448" s="21" t="s">
        <v>2450</v>
      </c>
      <c r="B448" s="21" t="s">
        <v>3437</v>
      </c>
      <c r="C448" s="21" t="s">
        <v>8</v>
      </c>
      <c r="D448" s="21" t="s">
        <v>2</v>
      </c>
      <c r="E448" s="21" t="s">
        <v>61</v>
      </c>
      <c r="F448" s="5812">
        <v>3</v>
      </c>
      <c r="G448" s="5813">
        <v>7.4999999999999997E-2</v>
      </c>
      <c r="H448" s="21" t="s">
        <v>10</v>
      </c>
      <c r="I448" s="21" t="s">
        <v>226</v>
      </c>
      <c r="J448" s="21" t="s">
        <v>3383</v>
      </c>
      <c r="K448" s="5814" t="s">
        <v>3438</v>
      </c>
    </row>
    <row r="449" spans="1:11">
      <c r="A449" s="21" t="s">
        <v>160</v>
      </c>
      <c r="B449" s="21" t="s">
        <v>161</v>
      </c>
      <c r="C449" s="21" t="s">
        <v>22</v>
      </c>
      <c r="D449" s="21" t="s">
        <v>2</v>
      </c>
      <c r="E449" s="21" t="s">
        <v>61</v>
      </c>
      <c r="F449" s="5812">
        <v>3</v>
      </c>
      <c r="G449" s="5813">
        <v>8.611111111111111E-2</v>
      </c>
      <c r="H449" s="21" t="s">
        <v>10</v>
      </c>
      <c r="I449" s="21" t="s">
        <v>162</v>
      </c>
      <c r="J449" s="21" t="s">
        <v>67</v>
      </c>
      <c r="K449" s="5814" t="s">
        <v>163</v>
      </c>
    </row>
    <row r="450" spans="1:11">
      <c r="A450" s="21" t="s">
        <v>3439</v>
      </c>
      <c r="B450" s="21" t="s">
        <v>3440</v>
      </c>
      <c r="C450" s="21" t="s">
        <v>22</v>
      </c>
      <c r="D450" s="21" t="s">
        <v>2</v>
      </c>
      <c r="E450" s="21" t="s">
        <v>61</v>
      </c>
      <c r="F450" s="5812">
        <v>3</v>
      </c>
      <c r="G450" s="5813">
        <v>9.0972222222222218E-2</v>
      </c>
      <c r="H450" s="21" t="s">
        <v>10</v>
      </c>
      <c r="I450" s="21" t="s">
        <v>3441</v>
      </c>
      <c r="J450" s="21" t="s">
        <v>3442</v>
      </c>
      <c r="K450" s="5814" t="s">
        <v>3443</v>
      </c>
    </row>
    <row r="451" spans="1:11">
      <c r="A451" s="21" t="s">
        <v>2737</v>
      </c>
      <c r="B451" s="21" t="s">
        <v>3444</v>
      </c>
      <c r="C451" s="21" t="s">
        <v>8</v>
      </c>
      <c r="D451" s="21" t="s">
        <v>2</v>
      </c>
      <c r="E451" s="21" t="s">
        <v>61</v>
      </c>
      <c r="F451" s="5812">
        <v>3</v>
      </c>
      <c r="G451" s="5813">
        <v>0.10555555555555556</v>
      </c>
      <c r="H451" s="21" t="s">
        <v>10</v>
      </c>
      <c r="I451" s="21" t="s">
        <v>187</v>
      </c>
      <c r="J451" s="21" t="s">
        <v>62</v>
      </c>
      <c r="K451" s="5814" t="s">
        <v>3445</v>
      </c>
    </row>
    <row r="452" spans="1:11">
      <c r="A452" s="21" t="s">
        <v>3446</v>
      </c>
      <c r="B452" s="21" t="s">
        <v>3447</v>
      </c>
      <c r="C452" s="21" t="s">
        <v>8</v>
      </c>
      <c r="D452" s="21" t="s">
        <v>2</v>
      </c>
      <c r="E452" s="21" t="s">
        <v>61</v>
      </c>
      <c r="F452" s="5812">
        <v>3</v>
      </c>
      <c r="G452" s="5813">
        <v>0.11874999999999999</v>
      </c>
      <c r="H452" s="21" t="s">
        <v>10</v>
      </c>
      <c r="I452" s="21" t="s">
        <v>3448</v>
      </c>
      <c r="J452" s="21" t="s">
        <v>67</v>
      </c>
      <c r="K452" s="5814" t="s">
        <v>3449</v>
      </c>
    </row>
    <row r="453" spans="1:11">
      <c r="A453" s="21" t="s">
        <v>2560</v>
      </c>
      <c r="B453" s="21" t="s">
        <v>3450</v>
      </c>
      <c r="C453" s="21" t="s">
        <v>8</v>
      </c>
      <c r="D453" s="21" t="s">
        <v>2</v>
      </c>
      <c r="E453" s="21" t="s">
        <v>61</v>
      </c>
      <c r="F453" s="5812">
        <v>3</v>
      </c>
      <c r="G453" s="5813">
        <v>0.12013888888888889</v>
      </c>
      <c r="H453" s="21" t="s">
        <v>10</v>
      </c>
      <c r="I453" s="21" t="s">
        <v>3451</v>
      </c>
      <c r="J453" s="21" t="s">
        <v>67</v>
      </c>
      <c r="K453" s="5814" t="s">
        <v>3452</v>
      </c>
    </row>
    <row r="454" spans="1:11">
      <c r="A454" s="21" t="s">
        <v>3286</v>
      </c>
      <c r="B454" s="21" t="s">
        <v>3453</v>
      </c>
      <c r="C454" s="21" t="s">
        <v>22</v>
      </c>
      <c r="D454" s="21" t="s">
        <v>2</v>
      </c>
      <c r="E454" s="21" t="s">
        <v>61</v>
      </c>
      <c r="F454" s="5812">
        <v>3</v>
      </c>
      <c r="G454" s="5813">
        <v>0.12222222222222222</v>
      </c>
      <c r="H454" s="21" t="s">
        <v>10</v>
      </c>
      <c r="I454" s="21" t="s">
        <v>2523</v>
      </c>
      <c r="J454" s="21" t="s">
        <v>928</v>
      </c>
      <c r="K454" s="5814" t="s">
        <v>3454</v>
      </c>
    </row>
    <row r="455" spans="1:11">
      <c r="A455" s="21" t="s">
        <v>2272</v>
      </c>
      <c r="B455" s="21" t="s">
        <v>3455</v>
      </c>
      <c r="C455" s="21" t="s">
        <v>22</v>
      </c>
      <c r="D455" s="21" t="s">
        <v>2</v>
      </c>
      <c r="E455" s="21" t="s">
        <v>61</v>
      </c>
      <c r="F455" s="5812">
        <v>3</v>
      </c>
      <c r="G455" s="5813">
        <v>0.14374999999999999</v>
      </c>
      <c r="H455" s="21" t="s">
        <v>10</v>
      </c>
      <c r="I455" s="21" t="s">
        <v>2176</v>
      </c>
      <c r="J455" s="21" t="s">
        <v>3456</v>
      </c>
      <c r="K455" s="5814" t="s">
        <v>3457</v>
      </c>
    </row>
    <row r="456" spans="1:11">
      <c r="A456" s="21" t="s">
        <v>3458</v>
      </c>
      <c r="B456" s="21" t="s">
        <v>3459</v>
      </c>
      <c r="C456" s="21" t="s">
        <v>22</v>
      </c>
      <c r="D456" s="21" t="s">
        <v>2</v>
      </c>
      <c r="E456" s="21" t="s">
        <v>61</v>
      </c>
      <c r="F456" s="5812">
        <v>3</v>
      </c>
      <c r="G456" s="5813">
        <v>0.15208333333333332</v>
      </c>
      <c r="H456" s="21" t="s">
        <v>10</v>
      </c>
      <c r="I456" s="21" t="s">
        <v>400</v>
      </c>
      <c r="J456" s="21" t="s">
        <v>67</v>
      </c>
      <c r="K456" s="5814" t="s">
        <v>3460</v>
      </c>
    </row>
    <row r="457" spans="1:11">
      <c r="A457" s="21" t="s">
        <v>3173</v>
      </c>
      <c r="B457" s="21" t="s">
        <v>3461</v>
      </c>
      <c r="C457" s="21" t="s">
        <v>8</v>
      </c>
      <c r="D457" s="21" t="s">
        <v>2</v>
      </c>
      <c r="E457" s="21" t="s">
        <v>61</v>
      </c>
      <c r="F457" s="5812">
        <v>3</v>
      </c>
      <c r="G457" s="5813">
        <v>0.17499999999999999</v>
      </c>
      <c r="H457" s="21" t="s">
        <v>10</v>
      </c>
      <c r="I457" s="21" t="s">
        <v>39</v>
      </c>
      <c r="J457" s="21" t="s">
        <v>67</v>
      </c>
      <c r="K457" s="5814" t="s">
        <v>3462</v>
      </c>
    </row>
    <row r="458" spans="1:11">
      <c r="A458" s="21" t="s">
        <v>3006</v>
      </c>
      <c r="B458" s="21" t="s">
        <v>3463</v>
      </c>
      <c r="C458" s="21" t="s">
        <v>8</v>
      </c>
      <c r="D458" s="21" t="s">
        <v>2</v>
      </c>
      <c r="E458" s="21" t="s">
        <v>61</v>
      </c>
      <c r="F458" s="5812">
        <v>3</v>
      </c>
      <c r="G458" s="5813">
        <v>0.17986111111111111</v>
      </c>
      <c r="H458" s="21" t="s">
        <v>10</v>
      </c>
      <c r="I458" s="21" t="s">
        <v>3464</v>
      </c>
      <c r="J458" s="21" t="s">
        <v>62</v>
      </c>
      <c r="K458" s="5814" t="s">
        <v>3465</v>
      </c>
    </row>
    <row r="459" spans="1:11">
      <c r="A459" s="21" t="s">
        <v>2481</v>
      </c>
      <c r="B459" s="21" t="s">
        <v>3466</v>
      </c>
      <c r="C459" s="21" t="s">
        <v>22</v>
      </c>
      <c r="D459" s="21" t="s">
        <v>2</v>
      </c>
      <c r="E459" s="21" t="s">
        <v>61</v>
      </c>
      <c r="F459" s="5812">
        <v>3</v>
      </c>
      <c r="G459" s="5813">
        <v>0.19375000000000001</v>
      </c>
      <c r="H459" s="21" t="s">
        <v>10</v>
      </c>
      <c r="I459" s="21" t="s">
        <v>55</v>
      </c>
      <c r="J459" s="21" t="s">
        <v>324</v>
      </c>
      <c r="K459" s="5814" t="s">
        <v>3467</v>
      </c>
    </row>
    <row r="460" spans="1:11">
      <c r="A460" s="21" t="s">
        <v>2088</v>
      </c>
      <c r="B460" s="21" t="s">
        <v>3468</v>
      </c>
      <c r="C460" s="21" t="s">
        <v>22</v>
      </c>
      <c r="D460" s="21" t="s">
        <v>2</v>
      </c>
      <c r="E460" s="21" t="s">
        <v>61</v>
      </c>
      <c r="F460" s="5812">
        <v>3</v>
      </c>
      <c r="G460" s="5813">
        <v>0.19652777777777777</v>
      </c>
      <c r="H460" s="21" t="s">
        <v>10</v>
      </c>
      <c r="I460" s="21" t="s">
        <v>11</v>
      </c>
      <c r="J460" s="21" t="s">
        <v>3469</v>
      </c>
      <c r="K460" s="5814" t="s">
        <v>3470</v>
      </c>
    </row>
    <row r="461" spans="1:11">
      <c r="A461" s="21" t="s">
        <v>65</v>
      </c>
      <c r="B461" s="21" t="s">
        <v>66</v>
      </c>
      <c r="C461" s="21" t="s">
        <v>22</v>
      </c>
      <c r="D461" s="21" t="s">
        <v>2</v>
      </c>
      <c r="E461" s="21" t="s">
        <v>61</v>
      </c>
      <c r="F461" s="5812">
        <v>3</v>
      </c>
      <c r="G461" s="5813">
        <v>0.20069444444444445</v>
      </c>
      <c r="H461" s="21" t="s">
        <v>10</v>
      </c>
      <c r="I461" s="21" t="s">
        <v>23</v>
      </c>
      <c r="J461" s="21" t="s">
        <v>67</v>
      </c>
      <c r="K461" s="5814" t="s">
        <v>68</v>
      </c>
    </row>
    <row r="462" spans="1:11">
      <c r="A462" s="21" t="s">
        <v>2387</v>
      </c>
      <c r="B462" s="21" t="s">
        <v>3471</v>
      </c>
      <c r="C462" s="21" t="s">
        <v>8</v>
      </c>
      <c r="D462" s="21" t="s">
        <v>2</v>
      </c>
      <c r="E462" s="21" t="s">
        <v>244</v>
      </c>
      <c r="F462" s="5812">
        <v>4</v>
      </c>
      <c r="G462" s="5813">
        <v>0.20833333333333334</v>
      </c>
      <c r="H462" s="21" t="s">
        <v>54</v>
      </c>
      <c r="I462" s="21" t="s">
        <v>55</v>
      </c>
      <c r="J462" s="21" t="s">
        <v>3472</v>
      </c>
      <c r="K462" s="5814" t="s">
        <v>3473</v>
      </c>
    </row>
    <row r="463" spans="1:11">
      <c r="A463" s="21" t="s">
        <v>3872</v>
      </c>
      <c r="B463" s="21" t="s">
        <v>9549</v>
      </c>
      <c r="C463" s="21" t="s">
        <v>8</v>
      </c>
      <c r="D463" s="21" t="s">
        <v>1085</v>
      </c>
      <c r="E463" s="21" t="s">
        <v>193</v>
      </c>
      <c r="F463" s="5812">
        <v>5</v>
      </c>
      <c r="G463" s="5813">
        <v>0.20833333333333334</v>
      </c>
      <c r="H463" s="21" t="s">
        <v>54</v>
      </c>
      <c r="I463" s="21" t="s">
        <v>55</v>
      </c>
      <c r="J463" s="21" t="s">
        <v>9550</v>
      </c>
      <c r="K463" s="5814" t="s">
        <v>9551</v>
      </c>
    </row>
    <row r="464" spans="1:11">
      <c r="A464" s="21" t="s">
        <v>2433</v>
      </c>
      <c r="B464" s="21" t="s">
        <v>9552</v>
      </c>
      <c r="C464" s="21" t="s">
        <v>8</v>
      </c>
      <c r="D464" s="21" t="s">
        <v>1085</v>
      </c>
      <c r="E464" s="21" t="s">
        <v>193</v>
      </c>
      <c r="F464" s="5812">
        <v>5</v>
      </c>
      <c r="G464" s="5813">
        <v>0.20833333333333334</v>
      </c>
      <c r="H464" s="21" t="s">
        <v>54</v>
      </c>
      <c r="I464" s="21" t="s">
        <v>11</v>
      </c>
      <c r="J464" s="21" t="s">
        <v>9553</v>
      </c>
      <c r="K464" s="5814" t="s">
        <v>9554</v>
      </c>
    </row>
    <row r="465" spans="1:11">
      <c r="A465" s="21" t="s">
        <v>3144</v>
      </c>
      <c r="B465" s="21" t="s">
        <v>9555</v>
      </c>
      <c r="C465" s="21" t="s">
        <v>22</v>
      </c>
      <c r="D465" s="21" t="s">
        <v>1085</v>
      </c>
      <c r="E465" s="21" t="s">
        <v>193</v>
      </c>
      <c r="F465" s="5812">
        <v>5</v>
      </c>
      <c r="G465" s="5813">
        <v>0.20833333333333334</v>
      </c>
      <c r="H465" s="21" t="s">
        <v>54</v>
      </c>
      <c r="I465" s="21" t="s">
        <v>55</v>
      </c>
      <c r="J465" s="21" t="s">
        <v>9556</v>
      </c>
      <c r="K465" s="5814" t="s">
        <v>9557</v>
      </c>
    </row>
    <row r="466" spans="1:11">
      <c r="A466" s="21" t="s">
        <v>135</v>
      </c>
      <c r="B466" s="21" t="s">
        <v>1084</v>
      </c>
      <c r="C466" s="21" t="s">
        <v>8</v>
      </c>
      <c r="D466" s="21" t="s">
        <v>1085</v>
      </c>
      <c r="E466" s="21" t="s">
        <v>9</v>
      </c>
      <c r="F466" s="5812">
        <v>5</v>
      </c>
      <c r="G466" s="5813">
        <v>0.20833333333333334</v>
      </c>
      <c r="H466" s="21" t="s">
        <v>54</v>
      </c>
      <c r="I466" s="21" t="s">
        <v>11</v>
      </c>
      <c r="J466" s="21" t="s">
        <v>1086</v>
      </c>
      <c r="K466" s="5814" t="s">
        <v>1087</v>
      </c>
    </row>
    <row r="467" spans="1:11">
      <c r="A467" s="21" t="s">
        <v>2800</v>
      </c>
      <c r="B467" s="21" t="s">
        <v>9558</v>
      </c>
      <c r="C467" s="21" t="s">
        <v>22</v>
      </c>
      <c r="D467" s="21" t="s">
        <v>1085</v>
      </c>
      <c r="E467" s="21" t="s">
        <v>9</v>
      </c>
      <c r="F467" s="5812">
        <v>5</v>
      </c>
      <c r="G467" s="5813">
        <v>0.20833333333333334</v>
      </c>
      <c r="H467" s="21" t="s">
        <v>54</v>
      </c>
      <c r="I467" s="21" t="s">
        <v>2297</v>
      </c>
      <c r="J467" s="21" t="s">
        <v>9559</v>
      </c>
      <c r="K467" s="5814" t="s">
        <v>9560</v>
      </c>
    </row>
    <row r="468" spans="1:11">
      <c r="A468" s="21" t="s">
        <v>4383</v>
      </c>
      <c r="B468" s="21" t="s">
        <v>9561</v>
      </c>
      <c r="C468" s="21" t="s">
        <v>8</v>
      </c>
      <c r="D468" s="21" t="s">
        <v>1085</v>
      </c>
      <c r="E468" s="21" t="s">
        <v>9</v>
      </c>
      <c r="F468" s="5812">
        <v>5</v>
      </c>
      <c r="G468" s="5813">
        <v>0.20833333333333334</v>
      </c>
      <c r="H468" s="21" t="s">
        <v>54</v>
      </c>
      <c r="I468" s="21" t="s">
        <v>55</v>
      </c>
      <c r="J468" s="21" t="s">
        <v>9562</v>
      </c>
      <c r="K468" s="5814" t="s">
        <v>9563</v>
      </c>
    </row>
    <row r="469" spans="1:11">
      <c r="A469" s="21" t="s">
        <v>2123</v>
      </c>
      <c r="B469" s="21" t="s">
        <v>9564</v>
      </c>
      <c r="C469" s="21" t="s">
        <v>22</v>
      </c>
      <c r="D469" s="21" t="s">
        <v>1085</v>
      </c>
      <c r="E469" s="21" t="s">
        <v>466</v>
      </c>
      <c r="F469" s="5812">
        <v>4</v>
      </c>
      <c r="G469" s="5813">
        <v>0.18680555555555556</v>
      </c>
      <c r="H469" s="21" t="s">
        <v>54</v>
      </c>
      <c r="I469" s="21" t="s">
        <v>39</v>
      </c>
      <c r="J469" s="21" t="s">
        <v>9565</v>
      </c>
      <c r="K469" s="5814" t="s">
        <v>9566</v>
      </c>
    </row>
    <row r="470" spans="1:11">
      <c r="A470" s="21" t="s">
        <v>2201</v>
      </c>
      <c r="B470" s="21" t="s">
        <v>9567</v>
      </c>
      <c r="C470" s="21" t="s">
        <v>8</v>
      </c>
      <c r="D470" s="21" t="s">
        <v>1085</v>
      </c>
      <c r="E470" s="21" t="s">
        <v>46</v>
      </c>
      <c r="F470" s="5812">
        <v>1</v>
      </c>
      <c r="G470" s="5813">
        <v>0.1736111111111111</v>
      </c>
      <c r="H470" s="21" t="s">
        <v>54</v>
      </c>
      <c r="I470" s="21" t="s">
        <v>55</v>
      </c>
      <c r="J470" s="21" t="s">
        <v>97</v>
      </c>
      <c r="K470" s="5814" t="s">
        <v>9568</v>
      </c>
    </row>
    <row r="471" spans="1:11">
      <c r="A471" s="21" t="s">
        <v>2300</v>
      </c>
      <c r="B471" s="21" t="s">
        <v>9569</v>
      </c>
      <c r="C471" s="21" t="s">
        <v>22</v>
      </c>
      <c r="D471" s="21" t="s">
        <v>1085</v>
      </c>
      <c r="E471" s="21" t="s">
        <v>46</v>
      </c>
      <c r="F471" s="5812">
        <v>2</v>
      </c>
      <c r="G471" s="5813">
        <v>3.5416666666666666E-2</v>
      </c>
      <c r="H471" s="21" t="s">
        <v>54</v>
      </c>
      <c r="I471" s="21" t="s">
        <v>47</v>
      </c>
      <c r="J471" s="21" t="s">
        <v>127</v>
      </c>
      <c r="K471" s="5814" t="s">
        <v>9570</v>
      </c>
    </row>
    <row r="472" spans="1:11">
      <c r="A472" s="21" t="s">
        <v>3195</v>
      </c>
      <c r="B472" s="21" t="s">
        <v>9571</v>
      </c>
      <c r="C472" s="21" t="s">
        <v>22</v>
      </c>
      <c r="D472" s="21" t="s">
        <v>1085</v>
      </c>
      <c r="E472" s="21" t="s">
        <v>46</v>
      </c>
      <c r="F472" s="5812">
        <v>2</v>
      </c>
      <c r="G472" s="5813">
        <v>0.11180555555555556</v>
      </c>
      <c r="H472" s="21" t="s">
        <v>54</v>
      </c>
      <c r="I472" s="21" t="s">
        <v>226</v>
      </c>
      <c r="J472" s="21" t="s">
        <v>48</v>
      </c>
      <c r="K472" s="5814" t="s">
        <v>9572</v>
      </c>
    </row>
    <row r="473" spans="1:11">
      <c r="A473" s="21" t="s">
        <v>2096</v>
      </c>
      <c r="B473" s="21" t="s">
        <v>9573</v>
      </c>
      <c r="C473" s="21" t="s">
        <v>8</v>
      </c>
      <c r="D473" s="21" t="s">
        <v>1085</v>
      </c>
      <c r="E473" s="21" t="s">
        <v>46</v>
      </c>
      <c r="F473" s="5812">
        <v>2</v>
      </c>
      <c r="G473" s="5813">
        <v>0.15555555555555556</v>
      </c>
      <c r="H473" s="21" t="s">
        <v>54</v>
      </c>
      <c r="I473" s="21" t="s">
        <v>47</v>
      </c>
      <c r="J473" s="21" t="s">
        <v>258</v>
      </c>
      <c r="K473" s="5814" t="s">
        <v>9574</v>
      </c>
    </row>
    <row r="474" spans="1:11">
      <c r="A474" s="21" t="s">
        <v>4116</v>
      </c>
      <c r="B474" s="21" t="s">
        <v>9575</v>
      </c>
      <c r="C474" s="21" t="s">
        <v>8</v>
      </c>
      <c r="D474" s="21" t="s">
        <v>1085</v>
      </c>
      <c r="E474" s="21" t="s">
        <v>46</v>
      </c>
      <c r="F474" s="5812">
        <v>2</v>
      </c>
      <c r="G474" s="5813">
        <v>0.20694444444444443</v>
      </c>
      <c r="H474" s="21" t="s">
        <v>54</v>
      </c>
      <c r="I474" s="21" t="s">
        <v>11</v>
      </c>
      <c r="J474" s="21" t="s">
        <v>2953</v>
      </c>
      <c r="K474" s="5814" t="s">
        <v>9576</v>
      </c>
    </row>
    <row r="475" spans="1:11">
      <c r="A475" s="21" t="s">
        <v>2609</v>
      </c>
      <c r="B475" s="21" t="s">
        <v>9577</v>
      </c>
      <c r="C475" s="21" t="s">
        <v>8</v>
      </c>
      <c r="D475" s="21" t="s">
        <v>1085</v>
      </c>
      <c r="E475" s="21" t="s">
        <v>46</v>
      </c>
      <c r="F475" s="5812">
        <v>3</v>
      </c>
      <c r="G475" s="5813">
        <v>0.20208333333333334</v>
      </c>
      <c r="H475" s="21" t="s">
        <v>54</v>
      </c>
      <c r="I475" s="21" t="s">
        <v>47</v>
      </c>
      <c r="J475" s="21" t="s">
        <v>127</v>
      </c>
      <c r="K475" s="5814" t="s">
        <v>9578</v>
      </c>
    </row>
    <row r="476" spans="1:11">
      <c r="A476" s="21" t="s">
        <v>2870</v>
      </c>
      <c r="B476" s="21" t="s">
        <v>9579</v>
      </c>
      <c r="C476" s="21" t="s">
        <v>8</v>
      </c>
      <c r="D476" s="21" t="s">
        <v>1085</v>
      </c>
      <c r="E476" s="21" t="s">
        <v>46</v>
      </c>
      <c r="F476" s="5812">
        <v>4</v>
      </c>
      <c r="G476" s="5813">
        <v>2.4305555555555556E-2</v>
      </c>
      <c r="H476" s="21" t="s">
        <v>54</v>
      </c>
      <c r="I476" s="21" t="s">
        <v>55</v>
      </c>
      <c r="J476" s="21" t="s">
        <v>97</v>
      </c>
      <c r="K476" s="5814" t="s">
        <v>9580</v>
      </c>
    </row>
    <row r="477" spans="1:11">
      <c r="A477" s="21" t="s">
        <v>3203</v>
      </c>
      <c r="B477" s="21" t="s">
        <v>9581</v>
      </c>
      <c r="C477" s="21" t="s">
        <v>8</v>
      </c>
      <c r="D477" s="21" t="s">
        <v>1085</v>
      </c>
      <c r="E477" s="21" t="s">
        <v>46</v>
      </c>
      <c r="F477" s="5812">
        <v>5</v>
      </c>
      <c r="G477" s="5813">
        <v>0.14166666666666666</v>
      </c>
      <c r="H477" s="21" t="s">
        <v>54</v>
      </c>
      <c r="I477" s="21" t="s">
        <v>2713</v>
      </c>
      <c r="J477" s="21" t="s">
        <v>127</v>
      </c>
      <c r="K477" s="5814" t="s">
        <v>9582</v>
      </c>
    </row>
    <row r="478" spans="1:11">
      <c r="A478" s="21" t="s">
        <v>3974</v>
      </c>
      <c r="B478" s="21" t="s">
        <v>9667</v>
      </c>
      <c r="C478" s="21" t="s">
        <v>8</v>
      </c>
      <c r="D478" s="21" t="s">
        <v>9668</v>
      </c>
      <c r="E478" s="21" t="s">
        <v>9</v>
      </c>
      <c r="F478" s="5812">
        <v>5</v>
      </c>
      <c r="G478" s="5813">
        <v>0.20833333333333334</v>
      </c>
      <c r="H478" s="21" t="s">
        <v>54</v>
      </c>
      <c r="I478" s="21" t="s">
        <v>96</v>
      </c>
      <c r="J478" s="21" t="s">
        <v>9669</v>
      </c>
      <c r="K478" s="5814" t="s">
        <v>9670</v>
      </c>
    </row>
    <row r="479" spans="1:11">
      <c r="A479" s="21" t="s">
        <v>2863</v>
      </c>
      <c r="B479" s="21" t="s">
        <v>9988</v>
      </c>
      <c r="C479" s="21" t="s">
        <v>8</v>
      </c>
      <c r="D479" s="21" t="s">
        <v>9989</v>
      </c>
      <c r="E479" s="21" t="s">
        <v>9</v>
      </c>
      <c r="F479" s="5812">
        <v>3</v>
      </c>
      <c r="G479" s="5813">
        <v>0.20833333333333334</v>
      </c>
      <c r="H479" s="21" t="s">
        <v>2081</v>
      </c>
      <c r="I479" s="21" t="s">
        <v>233</v>
      </c>
      <c r="J479" s="21" t="s">
        <v>9990</v>
      </c>
      <c r="K479" s="5814" t="s">
        <v>9991</v>
      </c>
    </row>
  </sheetData>
  <hyperlinks>
    <hyperlink ref="K4" r:id="rId1" xr:uid="{00000000-0004-0000-1500-000000000000}"/>
    <hyperlink ref="K5" r:id="rId2" xr:uid="{00000000-0004-0000-1500-000001000000}"/>
    <hyperlink ref="K6" r:id="rId3" xr:uid="{00000000-0004-0000-1500-000002000000}"/>
    <hyperlink ref="K7" r:id="rId4" xr:uid="{00000000-0004-0000-1500-000003000000}"/>
    <hyperlink ref="K8" r:id="rId5" xr:uid="{00000000-0004-0000-1500-000004000000}"/>
    <hyperlink ref="K9" r:id="rId6" xr:uid="{00000000-0004-0000-1500-000005000000}"/>
    <hyperlink ref="K10" r:id="rId7" xr:uid="{00000000-0004-0000-1500-000006000000}"/>
    <hyperlink ref="K11" r:id="rId8" xr:uid="{00000000-0004-0000-1500-000007000000}"/>
    <hyperlink ref="K12" r:id="rId9" xr:uid="{00000000-0004-0000-1500-000008000000}"/>
    <hyperlink ref="K13" r:id="rId10" xr:uid="{00000000-0004-0000-1500-000009000000}"/>
    <hyperlink ref="K14" r:id="rId11" xr:uid="{00000000-0004-0000-1500-00000A000000}"/>
    <hyperlink ref="K15" r:id="rId12" xr:uid="{00000000-0004-0000-1500-00000B000000}"/>
    <hyperlink ref="K16" r:id="rId13" xr:uid="{00000000-0004-0000-1500-00000C000000}"/>
    <hyperlink ref="K17" r:id="rId14" xr:uid="{00000000-0004-0000-1500-00000D000000}"/>
    <hyperlink ref="K18" r:id="rId15" xr:uid="{00000000-0004-0000-1500-00000E000000}"/>
    <hyperlink ref="K19" r:id="rId16" xr:uid="{00000000-0004-0000-1500-00000F000000}"/>
    <hyperlink ref="K20" r:id="rId17" xr:uid="{00000000-0004-0000-1500-000010000000}"/>
    <hyperlink ref="K21" r:id="rId18" xr:uid="{00000000-0004-0000-1500-000011000000}"/>
    <hyperlink ref="K22" r:id="rId19" xr:uid="{00000000-0004-0000-1500-000012000000}"/>
    <hyperlink ref="K23" r:id="rId20" xr:uid="{00000000-0004-0000-1500-000013000000}"/>
    <hyperlink ref="K24" r:id="rId21" xr:uid="{00000000-0004-0000-1500-000014000000}"/>
    <hyperlink ref="K25" r:id="rId22" xr:uid="{00000000-0004-0000-1500-000015000000}"/>
    <hyperlink ref="K26" r:id="rId23" xr:uid="{00000000-0004-0000-1500-000016000000}"/>
    <hyperlink ref="K27" r:id="rId24" xr:uid="{00000000-0004-0000-1500-000017000000}"/>
    <hyperlink ref="K28" r:id="rId25" xr:uid="{00000000-0004-0000-1500-000018000000}"/>
    <hyperlink ref="K29" r:id="rId26" xr:uid="{00000000-0004-0000-1500-000019000000}"/>
    <hyperlink ref="K30" r:id="rId27" xr:uid="{00000000-0004-0000-1500-00001A000000}"/>
    <hyperlink ref="K31" r:id="rId28" xr:uid="{00000000-0004-0000-1500-00001B000000}"/>
    <hyperlink ref="K32" r:id="rId29" xr:uid="{00000000-0004-0000-1500-00001C000000}"/>
    <hyperlink ref="K33" r:id="rId30" xr:uid="{00000000-0004-0000-1500-00001D000000}"/>
    <hyperlink ref="K34" r:id="rId31" xr:uid="{00000000-0004-0000-1500-00001E000000}"/>
    <hyperlink ref="K35" r:id="rId32" xr:uid="{00000000-0004-0000-1500-00001F000000}"/>
    <hyperlink ref="K36" r:id="rId33" xr:uid="{00000000-0004-0000-1500-000020000000}"/>
    <hyperlink ref="K37" r:id="rId34" xr:uid="{00000000-0004-0000-1500-000021000000}"/>
    <hyperlink ref="K38" r:id="rId35" xr:uid="{00000000-0004-0000-1500-000022000000}"/>
    <hyperlink ref="K39" r:id="rId36" xr:uid="{00000000-0004-0000-1500-000023000000}"/>
    <hyperlink ref="K40" r:id="rId37" xr:uid="{00000000-0004-0000-1500-000024000000}"/>
    <hyperlink ref="K41" r:id="rId38" xr:uid="{00000000-0004-0000-1500-000025000000}"/>
    <hyperlink ref="K42" r:id="rId39" xr:uid="{00000000-0004-0000-1500-000026000000}"/>
    <hyperlink ref="K43" r:id="rId40" xr:uid="{00000000-0004-0000-1500-000027000000}"/>
    <hyperlink ref="K44" r:id="rId41" xr:uid="{00000000-0004-0000-1500-000028000000}"/>
    <hyperlink ref="K45" r:id="rId42" xr:uid="{00000000-0004-0000-1500-000029000000}"/>
    <hyperlink ref="K46" r:id="rId43" xr:uid="{00000000-0004-0000-1500-00002A000000}"/>
    <hyperlink ref="K47" r:id="rId44" xr:uid="{00000000-0004-0000-1500-00002B000000}"/>
    <hyperlink ref="K48" r:id="rId45" xr:uid="{00000000-0004-0000-1500-00002C000000}"/>
    <hyperlink ref="K49" r:id="rId46" xr:uid="{00000000-0004-0000-1500-00002D000000}"/>
    <hyperlink ref="K50" r:id="rId47" xr:uid="{00000000-0004-0000-1500-00002E000000}"/>
    <hyperlink ref="K51" r:id="rId48" xr:uid="{00000000-0004-0000-1500-00002F000000}"/>
    <hyperlink ref="K52" r:id="rId49" xr:uid="{00000000-0004-0000-1500-000030000000}"/>
    <hyperlink ref="K53" r:id="rId50" xr:uid="{00000000-0004-0000-1500-000031000000}"/>
    <hyperlink ref="K54" r:id="rId51" xr:uid="{00000000-0004-0000-1500-000032000000}"/>
    <hyperlink ref="K55" r:id="rId52" xr:uid="{00000000-0004-0000-1500-000033000000}"/>
    <hyperlink ref="K56" r:id="rId53" xr:uid="{00000000-0004-0000-1500-000034000000}"/>
    <hyperlink ref="K57" r:id="rId54" xr:uid="{00000000-0004-0000-1500-000035000000}"/>
    <hyperlink ref="K58" r:id="rId55" xr:uid="{00000000-0004-0000-1500-000036000000}"/>
    <hyperlink ref="K59" r:id="rId56" xr:uid="{00000000-0004-0000-1500-000037000000}"/>
    <hyperlink ref="K60" r:id="rId57" xr:uid="{00000000-0004-0000-1500-000038000000}"/>
    <hyperlink ref="K61" r:id="rId58" xr:uid="{00000000-0004-0000-1500-000039000000}"/>
    <hyperlink ref="K62" r:id="rId59" xr:uid="{00000000-0004-0000-1500-00003A000000}"/>
    <hyperlink ref="K63" r:id="rId60" xr:uid="{00000000-0004-0000-1500-00003B000000}"/>
    <hyperlink ref="K64" r:id="rId61" xr:uid="{00000000-0004-0000-1500-00003C000000}"/>
    <hyperlink ref="K65" r:id="rId62" xr:uid="{00000000-0004-0000-1500-00003D000000}"/>
    <hyperlink ref="K66" r:id="rId63" xr:uid="{00000000-0004-0000-1500-00003E000000}"/>
    <hyperlink ref="K67" r:id="rId64" xr:uid="{00000000-0004-0000-1500-00003F000000}"/>
    <hyperlink ref="K68" r:id="rId65" xr:uid="{00000000-0004-0000-1500-000040000000}"/>
    <hyperlink ref="K69" r:id="rId66" xr:uid="{00000000-0004-0000-1500-000041000000}"/>
    <hyperlink ref="K70" r:id="rId67" xr:uid="{00000000-0004-0000-1500-000042000000}"/>
    <hyperlink ref="K71" r:id="rId68" xr:uid="{00000000-0004-0000-1500-000043000000}"/>
    <hyperlink ref="K72" r:id="rId69" xr:uid="{00000000-0004-0000-1500-000044000000}"/>
    <hyperlink ref="K73" r:id="rId70" xr:uid="{00000000-0004-0000-1500-000045000000}"/>
    <hyperlink ref="K74" r:id="rId71" xr:uid="{00000000-0004-0000-1500-000046000000}"/>
    <hyperlink ref="K75" r:id="rId72" xr:uid="{00000000-0004-0000-1500-000047000000}"/>
    <hyperlink ref="K76" r:id="rId73" xr:uid="{00000000-0004-0000-1500-000048000000}"/>
    <hyperlink ref="K77" r:id="rId74" xr:uid="{00000000-0004-0000-1500-000049000000}"/>
    <hyperlink ref="K78" r:id="rId75" xr:uid="{00000000-0004-0000-1500-00004A000000}"/>
    <hyperlink ref="K79" r:id="rId76" xr:uid="{00000000-0004-0000-1500-00004B000000}"/>
    <hyperlink ref="K80" r:id="rId77" xr:uid="{00000000-0004-0000-1500-00004C000000}"/>
    <hyperlink ref="K81" r:id="rId78" xr:uid="{00000000-0004-0000-1500-00004D000000}"/>
    <hyperlink ref="K82" r:id="rId79" xr:uid="{00000000-0004-0000-1500-00004E000000}"/>
    <hyperlink ref="K83" r:id="rId80" xr:uid="{00000000-0004-0000-1500-00004F000000}"/>
    <hyperlink ref="K84" r:id="rId81" xr:uid="{00000000-0004-0000-1500-000050000000}"/>
    <hyperlink ref="K85" r:id="rId82" xr:uid="{00000000-0004-0000-1500-000051000000}"/>
    <hyperlink ref="K86" r:id="rId83" xr:uid="{00000000-0004-0000-1500-000052000000}"/>
    <hyperlink ref="K87" r:id="rId84" xr:uid="{00000000-0004-0000-1500-000053000000}"/>
    <hyperlink ref="K88" r:id="rId85" xr:uid="{00000000-0004-0000-1500-000054000000}"/>
    <hyperlink ref="K89" r:id="rId86" xr:uid="{00000000-0004-0000-1500-000055000000}"/>
    <hyperlink ref="K90" r:id="rId87" xr:uid="{00000000-0004-0000-1500-000056000000}"/>
    <hyperlink ref="K91" r:id="rId88" xr:uid="{00000000-0004-0000-1500-000057000000}"/>
    <hyperlink ref="K92" r:id="rId89" xr:uid="{00000000-0004-0000-1500-000058000000}"/>
    <hyperlink ref="K93" r:id="rId90" xr:uid="{00000000-0004-0000-1500-000059000000}"/>
    <hyperlink ref="K94" r:id="rId91" xr:uid="{00000000-0004-0000-1500-00005A000000}"/>
    <hyperlink ref="K95" r:id="rId92" xr:uid="{00000000-0004-0000-1500-00005B000000}"/>
    <hyperlink ref="K96" r:id="rId93" xr:uid="{00000000-0004-0000-1500-00005C000000}"/>
    <hyperlink ref="K97" r:id="rId94" xr:uid="{00000000-0004-0000-1500-00005D000000}"/>
    <hyperlink ref="K98" r:id="rId95" xr:uid="{00000000-0004-0000-1500-00005E000000}"/>
    <hyperlink ref="K99" r:id="rId96" xr:uid="{00000000-0004-0000-1500-00005F000000}"/>
    <hyperlink ref="K100" r:id="rId97" xr:uid="{00000000-0004-0000-1500-000060000000}"/>
    <hyperlink ref="K101" r:id="rId98" xr:uid="{00000000-0004-0000-1500-000061000000}"/>
    <hyperlink ref="K102" r:id="rId99" xr:uid="{00000000-0004-0000-1500-000062000000}"/>
    <hyperlink ref="K103" r:id="rId100" xr:uid="{00000000-0004-0000-1500-000063000000}"/>
    <hyperlink ref="K104" r:id="rId101" xr:uid="{00000000-0004-0000-1500-000064000000}"/>
    <hyperlink ref="K105" r:id="rId102" xr:uid="{00000000-0004-0000-1500-000065000000}"/>
    <hyperlink ref="K106" r:id="rId103" xr:uid="{00000000-0004-0000-1500-000066000000}"/>
    <hyperlink ref="K107" r:id="rId104" xr:uid="{00000000-0004-0000-1500-000067000000}"/>
    <hyperlink ref="K108" r:id="rId105" xr:uid="{00000000-0004-0000-1500-000068000000}"/>
    <hyperlink ref="K109" r:id="rId106" xr:uid="{00000000-0004-0000-1500-000069000000}"/>
    <hyperlink ref="K110" r:id="rId107" xr:uid="{00000000-0004-0000-1500-00006A000000}"/>
    <hyperlink ref="K111" r:id="rId108" xr:uid="{00000000-0004-0000-1500-00006B000000}"/>
    <hyperlink ref="K112" r:id="rId109" xr:uid="{00000000-0004-0000-1500-00006C000000}"/>
    <hyperlink ref="K113" r:id="rId110" xr:uid="{00000000-0004-0000-1500-00006D000000}"/>
    <hyperlink ref="K114" r:id="rId111" xr:uid="{00000000-0004-0000-1500-00006E000000}"/>
    <hyperlink ref="K115" r:id="rId112" xr:uid="{00000000-0004-0000-1500-00006F000000}"/>
    <hyperlink ref="K116" r:id="rId113" xr:uid="{00000000-0004-0000-1500-000070000000}"/>
    <hyperlink ref="K117" r:id="rId114" xr:uid="{00000000-0004-0000-1500-000071000000}"/>
    <hyperlink ref="K118" r:id="rId115" xr:uid="{00000000-0004-0000-1500-000072000000}"/>
    <hyperlink ref="K119" r:id="rId116" xr:uid="{00000000-0004-0000-1500-000073000000}"/>
    <hyperlink ref="K120" r:id="rId117" xr:uid="{00000000-0004-0000-1500-000074000000}"/>
    <hyperlink ref="K121" r:id="rId118" xr:uid="{00000000-0004-0000-1500-000075000000}"/>
    <hyperlink ref="K122" r:id="rId119" xr:uid="{00000000-0004-0000-1500-000076000000}"/>
    <hyperlink ref="K123" r:id="rId120" xr:uid="{00000000-0004-0000-1500-000077000000}"/>
    <hyperlink ref="K124" r:id="rId121" xr:uid="{00000000-0004-0000-1500-000078000000}"/>
    <hyperlink ref="K125" r:id="rId122" xr:uid="{00000000-0004-0000-1500-000079000000}"/>
    <hyperlink ref="K126" r:id="rId123" xr:uid="{00000000-0004-0000-1500-00007A000000}"/>
    <hyperlink ref="K127" r:id="rId124" xr:uid="{00000000-0004-0000-1500-00007B000000}"/>
    <hyperlink ref="K128" r:id="rId125" xr:uid="{00000000-0004-0000-1500-00007C000000}"/>
    <hyperlink ref="K129" r:id="rId126" xr:uid="{00000000-0004-0000-1500-00007D000000}"/>
    <hyperlink ref="K130" r:id="rId127" xr:uid="{00000000-0004-0000-1500-00007E000000}"/>
    <hyperlink ref="K131" r:id="rId128" xr:uid="{00000000-0004-0000-1500-00007F000000}"/>
    <hyperlink ref="K132" r:id="rId129" xr:uid="{00000000-0004-0000-1500-000080000000}"/>
    <hyperlink ref="K133" r:id="rId130" xr:uid="{00000000-0004-0000-1500-000081000000}"/>
    <hyperlink ref="K134" r:id="rId131" xr:uid="{00000000-0004-0000-1500-000082000000}"/>
    <hyperlink ref="K135" r:id="rId132" xr:uid="{00000000-0004-0000-1500-000083000000}"/>
    <hyperlink ref="K136" r:id="rId133" xr:uid="{00000000-0004-0000-1500-000084000000}"/>
    <hyperlink ref="K137" r:id="rId134" xr:uid="{00000000-0004-0000-1500-000085000000}"/>
    <hyperlink ref="K138" r:id="rId135" xr:uid="{00000000-0004-0000-1500-000086000000}"/>
    <hyperlink ref="K139" r:id="rId136" xr:uid="{00000000-0004-0000-1500-000087000000}"/>
    <hyperlink ref="K140" r:id="rId137" xr:uid="{00000000-0004-0000-1500-000088000000}"/>
    <hyperlink ref="K141" r:id="rId138" xr:uid="{00000000-0004-0000-1500-000089000000}"/>
    <hyperlink ref="K142" r:id="rId139" xr:uid="{00000000-0004-0000-1500-00008A000000}"/>
    <hyperlink ref="K143" r:id="rId140" xr:uid="{00000000-0004-0000-1500-00008B000000}"/>
    <hyperlink ref="K144" r:id="rId141" xr:uid="{00000000-0004-0000-1500-00008C000000}"/>
    <hyperlink ref="K145" r:id="rId142" xr:uid="{00000000-0004-0000-1500-00008D000000}"/>
    <hyperlink ref="K146" r:id="rId143" xr:uid="{00000000-0004-0000-1500-00008E000000}"/>
    <hyperlink ref="K147" r:id="rId144" xr:uid="{00000000-0004-0000-1500-00008F000000}"/>
    <hyperlink ref="K148" r:id="rId145" xr:uid="{00000000-0004-0000-1500-000090000000}"/>
    <hyperlink ref="K149" r:id="rId146" xr:uid="{00000000-0004-0000-1500-000091000000}"/>
    <hyperlink ref="K150" r:id="rId147" xr:uid="{00000000-0004-0000-1500-000092000000}"/>
    <hyperlink ref="K151" r:id="rId148" xr:uid="{00000000-0004-0000-1500-000093000000}"/>
    <hyperlink ref="K152" r:id="rId149" xr:uid="{00000000-0004-0000-1500-000094000000}"/>
    <hyperlink ref="K153" r:id="rId150" xr:uid="{00000000-0004-0000-1500-000095000000}"/>
    <hyperlink ref="K154" r:id="rId151" xr:uid="{00000000-0004-0000-1500-000096000000}"/>
    <hyperlink ref="K155" r:id="rId152" xr:uid="{00000000-0004-0000-1500-000097000000}"/>
    <hyperlink ref="K156" r:id="rId153" xr:uid="{00000000-0004-0000-1500-000098000000}"/>
    <hyperlink ref="K157" r:id="rId154" xr:uid="{00000000-0004-0000-1500-000099000000}"/>
    <hyperlink ref="K158" r:id="rId155" xr:uid="{00000000-0004-0000-1500-00009A000000}"/>
    <hyperlink ref="K159" r:id="rId156" xr:uid="{00000000-0004-0000-1500-00009B000000}"/>
    <hyperlink ref="K160" r:id="rId157" xr:uid="{00000000-0004-0000-1500-00009C000000}"/>
    <hyperlink ref="K161" r:id="rId158" xr:uid="{00000000-0004-0000-1500-00009D000000}"/>
    <hyperlink ref="K162" r:id="rId159" xr:uid="{00000000-0004-0000-1500-00009E000000}"/>
    <hyperlink ref="K163" r:id="rId160" xr:uid="{00000000-0004-0000-1500-00009F000000}"/>
    <hyperlink ref="K164" r:id="rId161" xr:uid="{00000000-0004-0000-1500-0000A0000000}"/>
    <hyperlink ref="K165" r:id="rId162" xr:uid="{00000000-0004-0000-1500-0000A1000000}"/>
    <hyperlink ref="K166" r:id="rId163" xr:uid="{00000000-0004-0000-1500-0000A2000000}"/>
    <hyperlink ref="K167" r:id="rId164" xr:uid="{00000000-0004-0000-1500-0000A3000000}"/>
    <hyperlink ref="K168" r:id="rId165" xr:uid="{00000000-0004-0000-1500-0000A4000000}"/>
    <hyperlink ref="K169" r:id="rId166" xr:uid="{00000000-0004-0000-1500-0000A5000000}"/>
    <hyperlink ref="K170" r:id="rId167" xr:uid="{00000000-0004-0000-1500-0000A6000000}"/>
    <hyperlink ref="K171" r:id="rId168" xr:uid="{00000000-0004-0000-1500-0000A7000000}"/>
    <hyperlink ref="K172" r:id="rId169" xr:uid="{00000000-0004-0000-1500-0000A8000000}"/>
    <hyperlink ref="K173" r:id="rId170" xr:uid="{00000000-0004-0000-1500-0000A9000000}"/>
    <hyperlink ref="K174" r:id="rId171" xr:uid="{00000000-0004-0000-1500-0000AA000000}"/>
    <hyperlink ref="K175" r:id="rId172" xr:uid="{00000000-0004-0000-1500-0000AB000000}"/>
    <hyperlink ref="K176" r:id="rId173" xr:uid="{00000000-0004-0000-1500-0000AC000000}"/>
    <hyperlink ref="K177" r:id="rId174" xr:uid="{00000000-0004-0000-1500-0000AD000000}"/>
    <hyperlink ref="K178" r:id="rId175" xr:uid="{00000000-0004-0000-1500-0000AE000000}"/>
    <hyperlink ref="K179" r:id="rId176" xr:uid="{00000000-0004-0000-1500-0000AF000000}"/>
    <hyperlink ref="K180" r:id="rId177" xr:uid="{00000000-0004-0000-1500-0000B0000000}"/>
    <hyperlink ref="K181" r:id="rId178" xr:uid="{00000000-0004-0000-1500-0000B1000000}"/>
    <hyperlink ref="K182" r:id="rId179" xr:uid="{00000000-0004-0000-1500-0000B2000000}"/>
    <hyperlink ref="K183" r:id="rId180" xr:uid="{00000000-0004-0000-1500-0000B3000000}"/>
    <hyperlink ref="K184" r:id="rId181" xr:uid="{00000000-0004-0000-1500-0000B4000000}"/>
    <hyperlink ref="K185" r:id="rId182" xr:uid="{00000000-0004-0000-1500-0000B5000000}"/>
    <hyperlink ref="K186" r:id="rId183" xr:uid="{00000000-0004-0000-1500-0000B6000000}"/>
    <hyperlink ref="K187" r:id="rId184" xr:uid="{00000000-0004-0000-1500-0000B7000000}"/>
    <hyperlink ref="K188" r:id="rId185" xr:uid="{00000000-0004-0000-1500-0000B8000000}"/>
    <hyperlink ref="K189" r:id="rId186" xr:uid="{00000000-0004-0000-1500-0000B9000000}"/>
    <hyperlink ref="K190" r:id="rId187" xr:uid="{00000000-0004-0000-1500-0000BA000000}"/>
    <hyperlink ref="K191" r:id="rId188" xr:uid="{00000000-0004-0000-1500-0000BB000000}"/>
    <hyperlink ref="K192" r:id="rId189" xr:uid="{00000000-0004-0000-1500-0000BC000000}"/>
    <hyperlink ref="K193" r:id="rId190" xr:uid="{00000000-0004-0000-1500-0000BD000000}"/>
    <hyperlink ref="K194" r:id="rId191" xr:uid="{00000000-0004-0000-1500-0000BE000000}"/>
    <hyperlink ref="K195" r:id="rId192" xr:uid="{00000000-0004-0000-1500-0000BF000000}"/>
    <hyperlink ref="K196" r:id="rId193" xr:uid="{00000000-0004-0000-1500-0000C0000000}"/>
    <hyperlink ref="K197" r:id="rId194" xr:uid="{00000000-0004-0000-1500-0000C1000000}"/>
    <hyperlink ref="K198" r:id="rId195" xr:uid="{00000000-0004-0000-1500-0000C2000000}"/>
    <hyperlink ref="K199" r:id="rId196" xr:uid="{00000000-0004-0000-1500-0000C3000000}"/>
    <hyperlink ref="K200" r:id="rId197" xr:uid="{00000000-0004-0000-1500-0000C4000000}"/>
    <hyperlink ref="K201" r:id="rId198" xr:uid="{00000000-0004-0000-1500-0000C5000000}"/>
    <hyperlink ref="K202" r:id="rId199" xr:uid="{00000000-0004-0000-1500-0000C6000000}"/>
    <hyperlink ref="K203" r:id="rId200" xr:uid="{00000000-0004-0000-1500-0000C7000000}"/>
    <hyperlink ref="K204" r:id="rId201" xr:uid="{00000000-0004-0000-1500-0000C8000000}"/>
    <hyperlink ref="K205" r:id="rId202" xr:uid="{00000000-0004-0000-1500-0000C9000000}"/>
    <hyperlink ref="K206" r:id="rId203" xr:uid="{00000000-0004-0000-1500-0000CA000000}"/>
    <hyperlink ref="K207" r:id="rId204" xr:uid="{00000000-0004-0000-1500-0000CB000000}"/>
    <hyperlink ref="K208" r:id="rId205" xr:uid="{00000000-0004-0000-1500-0000CC000000}"/>
    <hyperlink ref="K209" r:id="rId206" xr:uid="{00000000-0004-0000-1500-0000CD000000}"/>
    <hyperlink ref="K210" r:id="rId207" xr:uid="{00000000-0004-0000-1500-0000CE000000}"/>
    <hyperlink ref="K211" r:id="rId208" xr:uid="{00000000-0004-0000-1500-0000CF000000}"/>
    <hyperlink ref="K212" r:id="rId209" xr:uid="{00000000-0004-0000-1500-0000D0000000}"/>
    <hyperlink ref="K213" r:id="rId210" xr:uid="{00000000-0004-0000-1500-0000D1000000}"/>
    <hyperlink ref="K214" r:id="rId211" xr:uid="{00000000-0004-0000-1500-0000D2000000}"/>
    <hyperlink ref="K215" r:id="rId212" xr:uid="{00000000-0004-0000-1500-0000D3000000}"/>
    <hyperlink ref="K216" r:id="rId213" xr:uid="{00000000-0004-0000-1500-0000D4000000}"/>
    <hyperlink ref="K217" r:id="rId214" xr:uid="{00000000-0004-0000-1500-0000D5000000}"/>
    <hyperlink ref="K218" r:id="rId215" xr:uid="{00000000-0004-0000-1500-0000D6000000}"/>
    <hyperlink ref="K219" r:id="rId216" xr:uid="{00000000-0004-0000-1500-0000D7000000}"/>
    <hyperlink ref="K220" r:id="rId217" xr:uid="{00000000-0004-0000-1500-0000D8000000}"/>
    <hyperlink ref="K221" r:id="rId218" xr:uid="{00000000-0004-0000-1500-0000D9000000}"/>
    <hyperlink ref="K222" r:id="rId219" xr:uid="{00000000-0004-0000-1500-0000DA000000}"/>
    <hyperlink ref="K223" r:id="rId220" xr:uid="{00000000-0004-0000-1500-0000DB000000}"/>
    <hyperlink ref="K224" r:id="rId221" xr:uid="{00000000-0004-0000-1500-0000DC000000}"/>
    <hyperlink ref="K225" r:id="rId222" xr:uid="{00000000-0004-0000-1500-0000DD000000}"/>
    <hyperlink ref="K226" r:id="rId223" xr:uid="{00000000-0004-0000-1500-0000DE000000}"/>
    <hyperlink ref="K227" r:id="rId224" xr:uid="{00000000-0004-0000-1500-0000DF000000}"/>
    <hyperlink ref="K228" r:id="rId225" xr:uid="{00000000-0004-0000-1500-0000E0000000}"/>
    <hyperlink ref="K229" r:id="rId226" xr:uid="{00000000-0004-0000-1500-0000E1000000}"/>
    <hyperlink ref="K230" r:id="rId227" xr:uid="{00000000-0004-0000-1500-0000E2000000}"/>
    <hyperlink ref="K231" r:id="rId228" xr:uid="{00000000-0004-0000-1500-0000E3000000}"/>
    <hyperlink ref="K232" r:id="rId229" xr:uid="{00000000-0004-0000-1500-0000E4000000}"/>
    <hyperlink ref="K233" r:id="rId230" xr:uid="{00000000-0004-0000-1500-0000E5000000}"/>
    <hyperlink ref="K234" r:id="rId231" xr:uid="{00000000-0004-0000-1500-0000E6000000}"/>
    <hyperlink ref="K235" r:id="rId232" xr:uid="{00000000-0004-0000-1500-0000E7000000}"/>
    <hyperlink ref="K236" r:id="rId233" xr:uid="{00000000-0004-0000-1500-0000E8000000}"/>
    <hyperlink ref="K237" r:id="rId234" xr:uid="{00000000-0004-0000-1500-0000E9000000}"/>
    <hyperlink ref="K238" r:id="rId235" xr:uid="{00000000-0004-0000-1500-0000EA000000}"/>
    <hyperlink ref="K239" r:id="rId236" xr:uid="{00000000-0004-0000-1500-0000EB000000}"/>
    <hyperlink ref="K240" r:id="rId237" xr:uid="{00000000-0004-0000-1500-0000EC000000}"/>
    <hyperlink ref="K241" r:id="rId238" xr:uid="{00000000-0004-0000-1500-0000ED000000}"/>
    <hyperlink ref="K242" r:id="rId239" xr:uid="{00000000-0004-0000-1500-0000EE000000}"/>
    <hyperlink ref="K243" r:id="rId240" xr:uid="{00000000-0004-0000-1500-0000EF000000}"/>
    <hyperlink ref="K244" r:id="rId241" xr:uid="{00000000-0004-0000-1500-0000F0000000}"/>
    <hyperlink ref="K245" r:id="rId242" xr:uid="{00000000-0004-0000-1500-0000F1000000}"/>
    <hyperlink ref="K246" r:id="rId243" xr:uid="{00000000-0004-0000-1500-0000F2000000}"/>
    <hyperlink ref="K247" r:id="rId244" xr:uid="{00000000-0004-0000-1500-0000F3000000}"/>
    <hyperlink ref="K248" r:id="rId245" xr:uid="{00000000-0004-0000-1500-0000F4000000}"/>
    <hyperlink ref="K249" r:id="rId246" xr:uid="{00000000-0004-0000-1500-0000F5000000}"/>
    <hyperlink ref="K250" r:id="rId247" xr:uid="{00000000-0004-0000-1500-0000F6000000}"/>
    <hyperlink ref="K251" r:id="rId248" xr:uid="{00000000-0004-0000-1500-0000F7000000}"/>
    <hyperlink ref="K252" r:id="rId249" xr:uid="{00000000-0004-0000-1500-0000F8000000}"/>
    <hyperlink ref="K253" r:id="rId250" xr:uid="{00000000-0004-0000-1500-0000F9000000}"/>
    <hyperlink ref="K254" r:id="rId251" xr:uid="{00000000-0004-0000-1500-0000FA000000}"/>
    <hyperlink ref="K255" r:id="rId252" xr:uid="{00000000-0004-0000-1500-0000FB000000}"/>
    <hyperlink ref="K256" r:id="rId253" xr:uid="{00000000-0004-0000-1500-0000FC000000}"/>
    <hyperlink ref="K257" r:id="rId254" xr:uid="{00000000-0004-0000-1500-0000FD000000}"/>
    <hyperlink ref="K258" r:id="rId255" xr:uid="{00000000-0004-0000-1500-0000FE000000}"/>
    <hyperlink ref="K259" r:id="rId256" xr:uid="{00000000-0004-0000-1500-0000FF000000}"/>
    <hyperlink ref="K260" r:id="rId257" xr:uid="{00000000-0004-0000-1500-000000010000}"/>
    <hyperlink ref="K261" r:id="rId258" xr:uid="{00000000-0004-0000-1500-000001010000}"/>
    <hyperlink ref="K262" r:id="rId259" xr:uid="{00000000-0004-0000-1500-000002010000}"/>
    <hyperlink ref="K263" r:id="rId260" xr:uid="{00000000-0004-0000-1500-000003010000}"/>
    <hyperlink ref="K264" r:id="rId261" xr:uid="{00000000-0004-0000-1500-000004010000}"/>
    <hyperlink ref="K265" r:id="rId262" xr:uid="{00000000-0004-0000-1500-000005010000}"/>
    <hyperlink ref="K266" r:id="rId263" xr:uid="{00000000-0004-0000-1500-000006010000}"/>
    <hyperlink ref="K267" r:id="rId264" xr:uid="{00000000-0004-0000-1500-000007010000}"/>
    <hyperlink ref="K268" r:id="rId265" xr:uid="{00000000-0004-0000-1500-000008010000}"/>
    <hyperlink ref="K269" r:id="rId266" xr:uid="{00000000-0004-0000-1500-000009010000}"/>
    <hyperlink ref="K270" r:id="rId267" xr:uid="{00000000-0004-0000-1500-00000A010000}"/>
    <hyperlink ref="K271" r:id="rId268" xr:uid="{00000000-0004-0000-1500-00000B010000}"/>
    <hyperlink ref="K272" r:id="rId269" xr:uid="{00000000-0004-0000-1500-00000C010000}"/>
    <hyperlink ref="K273" r:id="rId270" xr:uid="{00000000-0004-0000-1500-00000D010000}"/>
    <hyperlink ref="K274" r:id="rId271" xr:uid="{00000000-0004-0000-1500-00000E010000}"/>
    <hyperlink ref="K275" r:id="rId272" xr:uid="{00000000-0004-0000-1500-00000F010000}"/>
    <hyperlink ref="K276" r:id="rId273" xr:uid="{00000000-0004-0000-1500-000010010000}"/>
    <hyperlink ref="K277" r:id="rId274" xr:uid="{00000000-0004-0000-1500-000011010000}"/>
    <hyperlink ref="K278" r:id="rId275" xr:uid="{00000000-0004-0000-1500-000012010000}"/>
    <hyperlink ref="K279" r:id="rId276" xr:uid="{00000000-0004-0000-1500-000013010000}"/>
    <hyperlink ref="K280" r:id="rId277" xr:uid="{00000000-0004-0000-1500-000014010000}"/>
    <hyperlink ref="K281" r:id="rId278" xr:uid="{00000000-0004-0000-1500-000015010000}"/>
    <hyperlink ref="K282" r:id="rId279" xr:uid="{00000000-0004-0000-1500-000016010000}"/>
    <hyperlink ref="K283" r:id="rId280" xr:uid="{00000000-0004-0000-1500-000017010000}"/>
    <hyperlink ref="K284" r:id="rId281" xr:uid="{00000000-0004-0000-1500-000018010000}"/>
    <hyperlink ref="K285" r:id="rId282" xr:uid="{00000000-0004-0000-1500-000019010000}"/>
    <hyperlink ref="K286" r:id="rId283" xr:uid="{00000000-0004-0000-1500-00001A010000}"/>
    <hyperlink ref="K287" r:id="rId284" xr:uid="{00000000-0004-0000-1500-00001B010000}"/>
    <hyperlink ref="K288" r:id="rId285" xr:uid="{00000000-0004-0000-1500-00001C010000}"/>
    <hyperlink ref="K289" r:id="rId286" xr:uid="{00000000-0004-0000-1500-00001D010000}"/>
    <hyperlink ref="K290" r:id="rId287" xr:uid="{00000000-0004-0000-1500-00001E010000}"/>
    <hyperlink ref="K291" r:id="rId288" xr:uid="{00000000-0004-0000-1500-00001F010000}"/>
    <hyperlink ref="K292" r:id="rId289" xr:uid="{00000000-0004-0000-1500-000020010000}"/>
    <hyperlink ref="K293" r:id="rId290" xr:uid="{00000000-0004-0000-1500-000021010000}"/>
    <hyperlink ref="K294" r:id="rId291" xr:uid="{00000000-0004-0000-1500-000022010000}"/>
    <hyperlink ref="K295" r:id="rId292" xr:uid="{00000000-0004-0000-1500-000023010000}"/>
    <hyperlink ref="K296" r:id="rId293" xr:uid="{00000000-0004-0000-1500-000024010000}"/>
    <hyperlink ref="K297" r:id="rId294" xr:uid="{00000000-0004-0000-1500-000025010000}"/>
    <hyperlink ref="K298" r:id="rId295" xr:uid="{00000000-0004-0000-1500-000026010000}"/>
    <hyperlink ref="K299" r:id="rId296" xr:uid="{00000000-0004-0000-1500-000027010000}"/>
    <hyperlink ref="K300" r:id="rId297" xr:uid="{00000000-0004-0000-1500-000028010000}"/>
    <hyperlink ref="K301" r:id="rId298" xr:uid="{00000000-0004-0000-1500-000029010000}"/>
    <hyperlink ref="K302" r:id="rId299" xr:uid="{00000000-0004-0000-1500-00002A010000}"/>
    <hyperlink ref="K303" r:id="rId300" xr:uid="{00000000-0004-0000-1500-00002B010000}"/>
    <hyperlink ref="K304" r:id="rId301" xr:uid="{00000000-0004-0000-1500-00002C010000}"/>
    <hyperlink ref="K305" r:id="rId302" xr:uid="{00000000-0004-0000-1500-00002D010000}"/>
    <hyperlink ref="K306" r:id="rId303" xr:uid="{00000000-0004-0000-1500-00002E010000}"/>
    <hyperlink ref="K307" r:id="rId304" xr:uid="{00000000-0004-0000-1500-00002F010000}"/>
    <hyperlink ref="K308" r:id="rId305" xr:uid="{00000000-0004-0000-1500-000030010000}"/>
    <hyperlink ref="K309" r:id="rId306" xr:uid="{00000000-0004-0000-1500-000031010000}"/>
    <hyperlink ref="K310" r:id="rId307" xr:uid="{00000000-0004-0000-1500-000032010000}"/>
    <hyperlink ref="K311" r:id="rId308" xr:uid="{00000000-0004-0000-1500-000033010000}"/>
    <hyperlink ref="K312" r:id="rId309" xr:uid="{00000000-0004-0000-1500-000034010000}"/>
    <hyperlink ref="K313" r:id="rId310" xr:uid="{00000000-0004-0000-1500-000035010000}"/>
    <hyperlink ref="K314" r:id="rId311" xr:uid="{00000000-0004-0000-1500-000036010000}"/>
    <hyperlink ref="K315" r:id="rId312" xr:uid="{00000000-0004-0000-1500-000037010000}"/>
    <hyperlink ref="K316" r:id="rId313" xr:uid="{00000000-0004-0000-1500-000038010000}"/>
    <hyperlink ref="K317" r:id="rId314" xr:uid="{00000000-0004-0000-1500-000039010000}"/>
    <hyperlink ref="K318" r:id="rId315" xr:uid="{00000000-0004-0000-1500-00003A010000}"/>
    <hyperlink ref="K319" r:id="rId316" xr:uid="{00000000-0004-0000-1500-00003B010000}"/>
    <hyperlink ref="K320" r:id="rId317" xr:uid="{00000000-0004-0000-1500-00003C010000}"/>
    <hyperlink ref="K321" r:id="rId318" xr:uid="{00000000-0004-0000-1500-00003D010000}"/>
    <hyperlink ref="K322" r:id="rId319" xr:uid="{00000000-0004-0000-1500-00003E010000}"/>
    <hyperlink ref="K323" r:id="rId320" xr:uid="{00000000-0004-0000-1500-00003F010000}"/>
    <hyperlink ref="K324" r:id="rId321" xr:uid="{00000000-0004-0000-1500-000040010000}"/>
    <hyperlink ref="K325" r:id="rId322" xr:uid="{00000000-0004-0000-1500-000041010000}"/>
    <hyperlink ref="K326" r:id="rId323" xr:uid="{00000000-0004-0000-1500-000042010000}"/>
    <hyperlink ref="K327" r:id="rId324" xr:uid="{00000000-0004-0000-1500-000043010000}"/>
    <hyperlink ref="K328" r:id="rId325" xr:uid="{00000000-0004-0000-1500-000044010000}"/>
    <hyperlink ref="K329" r:id="rId326" xr:uid="{00000000-0004-0000-1500-000045010000}"/>
    <hyperlink ref="K330" r:id="rId327" xr:uid="{00000000-0004-0000-1500-000046010000}"/>
    <hyperlink ref="K331" r:id="rId328" xr:uid="{00000000-0004-0000-1500-000047010000}"/>
    <hyperlink ref="K332" r:id="rId329" xr:uid="{00000000-0004-0000-1500-000048010000}"/>
    <hyperlink ref="K333" r:id="rId330" xr:uid="{00000000-0004-0000-1500-000049010000}"/>
    <hyperlink ref="K334" r:id="rId331" xr:uid="{00000000-0004-0000-1500-00004A010000}"/>
    <hyperlink ref="K335" r:id="rId332" xr:uid="{00000000-0004-0000-1500-00004B010000}"/>
    <hyperlink ref="K336" r:id="rId333" xr:uid="{00000000-0004-0000-1500-00004C010000}"/>
    <hyperlink ref="K337" r:id="rId334" xr:uid="{00000000-0004-0000-1500-00004D010000}"/>
    <hyperlink ref="K338" r:id="rId335" xr:uid="{00000000-0004-0000-1500-00004E010000}"/>
    <hyperlink ref="K339" r:id="rId336" xr:uid="{00000000-0004-0000-1500-00004F010000}"/>
    <hyperlink ref="K340" r:id="rId337" xr:uid="{00000000-0004-0000-1500-000050010000}"/>
    <hyperlink ref="K341" r:id="rId338" xr:uid="{00000000-0004-0000-1500-000051010000}"/>
    <hyperlink ref="K342" r:id="rId339" xr:uid="{00000000-0004-0000-1500-000052010000}"/>
    <hyperlink ref="K343" r:id="rId340" xr:uid="{00000000-0004-0000-1500-000053010000}"/>
    <hyperlink ref="K344" r:id="rId341" xr:uid="{00000000-0004-0000-1500-000054010000}"/>
    <hyperlink ref="K345" r:id="rId342" xr:uid="{00000000-0004-0000-1500-000055010000}"/>
    <hyperlink ref="K346" r:id="rId343" xr:uid="{00000000-0004-0000-1500-000056010000}"/>
    <hyperlink ref="K347" r:id="rId344" xr:uid="{00000000-0004-0000-1500-000057010000}"/>
    <hyperlink ref="K348" r:id="rId345" xr:uid="{00000000-0004-0000-1500-000058010000}"/>
    <hyperlink ref="K349" r:id="rId346" xr:uid="{00000000-0004-0000-1500-000059010000}"/>
    <hyperlink ref="K350" r:id="rId347" xr:uid="{00000000-0004-0000-1500-00005A010000}"/>
    <hyperlink ref="K351" r:id="rId348" xr:uid="{00000000-0004-0000-1500-00005B010000}"/>
    <hyperlink ref="K352" r:id="rId349" xr:uid="{00000000-0004-0000-1500-00005C010000}"/>
    <hyperlink ref="K353" r:id="rId350" xr:uid="{00000000-0004-0000-1500-00005D010000}"/>
    <hyperlink ref="K354" r:id="rId351" xr:uid="{00000000-0004-0000-1500-00005E010000}"/>
    <hyperlink ref="K355" r:id="rId352" xr:uid="{00000000-0004-0000-1500-00005F010000}"/>
    <hyperlink ref="K356" r:id="rId353" xr:uid="{00000000-0004-0000-1500-000060010000}"/>
    <hyperlink ref="K357" r:id="rId354" xr:uid="{00000000-0004-0000-1500-000061010000}"/>
    <hyperlink ref="K358" r:id="rId355" xr:uid="{00000000-0004-0000-1500-000062010000}"/>
    <hyperlink ref="K359" r:id="rId356" xr:uid="{00000000-0004-0000-1500-000063010000}"/>
    <hyperlink ref="K360" r:id="rId357" xr:uid="{00000000-0004-0000-1500-000064010000}"/>
    <hyperlink ref="K361" r:id="rId358" xr:uid="{00000000-0004-0000-1500-000065010000}"/>
    <hyperlink ref="K362" r:id="rId359" xr:uid="{00000000-0004-0000-1500-000066010000}"/>
    <hyperlink ref="K363" r:id="rId360" xr:uid="{00000000-0004-0000-1500-000067010000}"/>
    <hyperlink ref="K364" r:id="rId361" xr:uid="{00000000-0004-0000-1500-000068010000}"/>
    <hyperlink ref="K365" r:id="rId362" xr:uid="{00000000-0004-0000-1500-000069010000}"/>
    <hyperlink ref="K366" r:id="rId363" xr:uid="{00000000-0004-0000-1500-00006A010000}"/>
    <hyperlink ref="K367" r:id="rId364" xr:uid="{00000000-0004-0000-1500-00006B010000}"/>
    <hyperlink ref="K368" r:id="rId365" xr:uid="{00000000-0004-0000-1500-00006C010000}"/>
    <hyperlink ref="K369" r:id="rId366" xr:uid="{00000000-0004-0000-1500-00006D010000}"/>
    <hyperlink ref="K370" r:id="rId367" xr:uid="{00000000-0004-0000-1500-00006E010000}"/>
    <hyperlink ref="K371" r:id="rId368" xr:uid="{00000000-0004-0000-1500-00006F010000}"/>
    <hyperlink ref="K372" r:id="rId369" xr:uid="{00000000-0004-0000-1500-000070010000}"/>
    <hyperlink ref="K373" r:id="rId370" xr:uid="{00000000-0004-0000-1500-000071010000}"/>
    <hyperlink ref="K374" r:id="rId371" xr:uid="{00000000-0004-0000-1500-000072010000}"/>
    <hyperlink ref="K375" r:id="rId372" xr:uid="{00000000-0004-0000-1500-000073010000}"/>
    <hyperlink ref="K376" r:id="rId373" xr:uid="{00000000-0004-0000-1500-000074010000}"/>
    <hyperlink ref="K377" r:id="rId374" xr:uid="{00000000-0004-0000-1500-000075010000}"/>
    <hyperlink ref="K378" r:id="rId375" xr:uid="{00000000-0004-0000-1500-000076010000}"/>
    <hyperlink ref="K379" r:id="rId376" xr:uid="{00000000-0004-0000-1500-000077010000}"/>
    <hyperlink ref="K380" r:id="rId377" xr:uid="{00000000-0004-0000-1500-000078010000}"/>
    <hyperlink ref="K381" r:id="rId378" xr:uid="{00000000-0004-0000-1500-000079010000}"/>
    <hyperlink ref="K382" r:id="rId379" xr:uid="{00000000-0004-0000-1500-00007A010000}"/>
    <hyperlink ref="K383" r:id="rId380" xr:uid="{00000000-0004-0000-1500-00007B010000}"/>
    <hyperlink ref="K384" r:id="rId381" xr:uid="{00000000-0004-0000-1500-00007C010000}"/>
    <hyperlink ref="K385" r:id="rId382" xr:uid="{00000000-0004-0000-1500-00007D010000}"/>
    <hyperlink ref="K386" r:id="rId383" xr:uid="{00000000-0004-0000-1500-00007E010000}"/>
    <hyperlink ref="K387" r:id="rId384" xr:uid="{00000000-0004-0000-1500-00007F010000}"/>
    <hyperlink ref="K388" r:id="rId385" xr:uid="{00000000-0004-0000-1500-000080010000}"/>
    <hyperlink ref="K389" r:id="rId386" xr:uid="{00000000-0004-0000-1500-000081010000}"/>
    <hyperlink ref="K390" r:id="rId387" xr:uid="{00000000-0004-0000-1500-000082010000}"/>
    <hyperlink ref="K391" r:id="rId388" xr:uid="{00000000-0004-0000-1500-000083010000}"/>
    <hyperlink ref="K392" r:id="rId389" xr:uid="{00000000-0004-0000-1500-000084010000}"/>
    <hyperlink ref="K393" r:id="rId390" xr:uid="{00000000-0004-0000-1500-000085010000}"/>
    <hyperlink ref="K394" r:id="rId391" xr:uid="{00000000-0004-0000-1500-000086010000}"/>
    <hyperlink ref="K395" r:id="rId392" xr:uid="{00000000-0004-0000-1500-000087010000}"/>
    <hyperlink ref="K396" r:id="rId393" xr:uid="{00000000-0004-0000-1500-000088010000}"/>
    <hyperlink ref="K397" r:id="rId394" xr:uid="{00000000-0004-0000-1500-000089010000}"/>
    <hyperlink ref="K398" r:id="rId395" xr:uid="{00000000-0004-0000-1500-00008A010000}"/>
    <hyperlink ref="K399" r:id="rId396" xr:uid="{00000000-0004-0000-1500-00008B010000}"/>
    <hyperlink ref="K400" r:id="rId397" xr:uid="{00000000-0004-0000-1500-00008C010000}"/>
    <hyperlink ref="K401" r:id="rId398" xr:uid="{00000000-0004-0000-1500-00008D010000}"/>
    <hyperlink ref="K402" r:id="rId399" xr:uid="{00000000-0004-0000-1500-00008E010000}"/>
    <hyperlink ref="K403" r:id="rId400" xr:uid="{00000000-0004-0000-1500-00008F010000}"/>
    <hyperlink ref="K404" r:id="rId401" xr:uid="{00000000-0004-0000-1500-000090010000}"/>
    <hyperlink ref="K405" r:id="rId402" xr:uid="{00000000-0004-0000-1500-000091010000}"/>
    <hyperlink ref="K406" r:id="rId403" xr:uid="{00000000-0004-0000-1500-000092010000}"/>
    <hyperlink ref="K407" r:id="rId404" xr:uid="{00000000-0004-0000-1500-000093010000}"/>
    <hyperlink ref="K408" r:id="rId405" xr:uid="{00000000-0004-0000-1500-000094010000}"/>
    <hyperlink ref="K409" r:id="rId406" xr:uid="{00000000-0004-0000-1500-000095010000}"/>
    <hyperlink ref="K410" r:id="rId407" xr:uid="{00000000-0004-0000-1500-000096010000}"/>
    <hyperlink ref="K411" r:id="rId408" xr:uid="{00000000-0004-0000-1500-000097010000}"/>
    <hyperlink ref="K412" r:id="rId409" xr:uid="{00000000-0004-0000-1500-000098010000}"/>
    <hyperlink ref="K413" r:id="rId410" xr:uid="{00000000-0004-0000-1500-000099010000}"/>
    <hyperlink ref="K414" r:id="rId411" xr:uid="{00000000-0004-0000-1500-00009A010000}"/>
    <hyperlink ref="K415" r:id="rId412" xr:uid="{00000000-0004-0000-1500-00009B010000}"/>
    <hyperlink ref="K416" r:id="rId413" xr:uid="{00000000-0004-0000-1500-00009C010000}"/>
    <hyperlink ref="K417" r:id="rId414" xr:uid="{00000000-0004-0000-1500-00009D010000}"/>
    <hyperlink ref="K418" r:id="rId415" xr:uid="{00000000-0004-0000-1500-00009E010000}"/>
    <hyperlink ref="K419" r:id="rId416" xr:uid="{00000000-0004-0000-1500-00009F010000}"/>
    <hyperlink ref="K420" r:id="rId417" xr:uid="{00000000-0004-0000-1500-0000A0010000}"/>
    <hyperlink ref="K421" r:id="rId418" xr:uid="{00000000-0004-0000-1500-0000A1010000}"/>
    <hyperlink ref="K422" r:id="rId419" xr:uid="{00000000-0004-0000-1500-0000A2010000}"/>
    <hyperlink ref="K423" r:id="rId420" xr:uid="{00000000-0004-0000-1500-0000A3010000}"/>
    <hyperlink ref="K424" r:id="rId421" xr:uid="{00000000-0004-0000-1500-0000A4010000}"/>
    <hyperlink ref="K425" r:id="rId422" xr:uid="{00000000-0004-0000-1500-0000A5010000}"/>
    <hyperlink ref="K426" r:id="rId423" xr:uid="{00000000-0004-0000-1500-0000A6010000}"/>
    <hyperlink ref="K427" r:id="rId424" xr:uid="{00000000-0004-0000-1500-0000A7010000}"/>
    <hyperlink ref="K428" r:id="rId425" xr:uid="{00000000-0004-0000-1500-0000A8010000}"/>
    <hyperlink ref="K429" r:id="rId426" xr:uid="{00000000-0004-0000-1500-0000A9010000}"/>
    <hyperlink ref="K430" r:id="rId427" xr:uid="{00000000-0004-0000-1500-0000AA010000}"/>
    <hyperlink ref="K431" r:id="rId428" xr:uid="{00000000-0004-0000-1500-0000AB010000}"/>
    <hyperlink ref="K432" r:id="rId429" xr:uid="{00000000-0004-0000-1500-0000AC010000}"/>
    <hyperlink ref="K433" r:id="rId430" xr:uid="{00000000-0004-0000-1500-0000AD010000}"/>
    <hyperlink ref="K434" r:id="rId431" xr:uid="{00000000-0004-0000-1500-0000AE010000}"/>
    <hyperlink ref="K435" r:id="rId432" xr:uid="{00000000-0004-0000-1500-0000AF010000}"/>
    <hyperlink ref="K436" r:id="rId433" xr:uid="{00000000-0004-0000-1500-0000B0010000}"/>
    <hyperlink ref="K437" r:id="rId434" xr:uid="{00000000-0004-0000-1500-0000B1010000}"/>
    <hyperlink ref="K438" r:id="rId435" xr:uid="{00000000-0004-0000-1500-0000B2010000}"/>
    <hyperlink ref="K439" r:id="rId436" xr:uid="{00000000-0004-0000-1500-0000B3010000}"/>
    <hyperlink ref="K440" r:id="rId437" xr:uid="{00000000-0004-0000-1500-0000B4010000}"/>
    <hyperlink ref="K441" r:id="rId438" xr:uid="{00000000-0004-0000-1500-0000B5010000}"/>
    <hyperlink ref="K442" r:id="rId439" xr:uid="{00000000-0004-0000-1500-0000B6010000}"/>
    <hyperlink ref="K443" r:id="rId440" xr:uid="{00000000-0004-0000-1500-0000B7010000}"/>
    <hyperlink ref="K444" r:id="rId441" xr:uid="{00000000-0004-0000-1500-0000B8010000}"/>
    <hyperlink ref="K445" r:id="rId442" xr:uid="{00000000-0004-0000-1500-0000B9010000}"/>
    <hyperlink ref="K446" r:id="rId443" xr:uid="{00000000-0004-0000-1500-0000BA010000}"/>
    <hyperlink ref="K447" r:id="rId444" xr:uid="{00000000-0004-0000-1500-0000BB010000}"/>
    <hyperlink ref="K448" r:id="rId445" xr:uid="{00000000-0004-0000-1500-0000BC010000}"/>
    <hyperlink ref="K449" r:id="rId446" xr:uid="{00000000-0004-0000-1500-0000BD010000}"/>
    <hyperlink ref="K450" r:id="rId447" xr:uid="{00000000-0004-0000-1500-0000BE010000}"/>
    <hyperlink ref="K451" r:id="rId448" xr:uid="{00000000-0004-0000-1500-0000BF010000}"/>
    <hyperlink ref="K452" r:id="rId449" xr:uid="{00000000-0004-0000-1500-0000C0010000}"/>
    <hyperlink ref="K453" r:id="rId450" xr:uid="{00000000-0004-0000-1500-0000C1010000}"/>
    <hyperlink ref="K454" r:id="rId451" xr:uid="{00000000-0004-0000-1500-0000C2010000}"/>
    <hyperlink ref="K455" r:id="rId452" xr:uid="{00000000-0004-0000-1500-0000C3010000}"/>
    <hyperlink ref="K456" r:id="rId453" xr:uid="{00000000-0004-0000-1500-0000C4010000}"/>
    <hyperlink ref="K457" r:id="rId454" xr:uid="{00000000-0004-0000-1500-0000C5010000}"/>
    <hyperlink ref="K458" r:id="rId455" xr:uid="{00000000-0004-0000-1500-0000C6010000}"/>
    <hyperlink ref="K459" r:id="rId456" xr:uid="{00000000-0004-0000-1500-0000C7010000}"/>
    <hyperlink ref="K460" r:id="rId457" xr:uid="{00000000-0004-0000-1500-0000C8010000}"/>
    <hyperlink ref="K461" r:id="rId458" xr:uid="{00000000-0004-0000-1500-0000C9010000}"/>
    <hyperlink ref="K462" r:id="rId459" xr:uid="{00000000-0004-0000-1500-0000CA010000}"/>
    <hyperlink ref="K463" r:id="rId460" xr:uid="{00000000-0004-0000-1500-0000CB010000}"/>
    <hyperlink ref="K464" r:id="rId461" xr:uid="{00000000-0004-0000-1500-0000CC010000}"/>
    <hyperlink ref="K465" r:id="rId462" xr:uid="{00000000-0004-0000-1500-0000CD010000}"/>
    <hyperlink ref="K466" r:id="rId463" xr:uid="{00000000-0004-0000-1500-0000CE010000}"/>
    <hyperlink ref="K467" r:id="rId464" xr:uid="{00000000-0004-0000-1500-0000CF010000}"/>
    <hyperlink ref="K468" r:id="rId465" xr:uid="{00000000-0004-0000-1500-0000D0010000}"/>
    <hyperlink ref="K469" r:id="rId466" xr:uid="{00000000-0004-0000-1500-0000D1010000}"/>
    <hyperlink ref="K470" r:id="rId467" xr:uid="{00000000-0004-0000-1500-0000D2010000}"/>
    <hyperlink ref="K471" r:id="rId468" xr:uid="{00000000-0004-0000-1500-0000D3010000}"/>
    <hyperlink ref="K472" r:id="rId469" xr:uid="{00000000-0004-0000-1500-0000D4010000}"/>
    <hyperlink ref="K473" r:id="rId470" xr:uid="{00000000-0004-0000-1500-0000D5010000}"/>
    <hyperlink ref="K474" r:id="rId471" xr:uid="{00000000-0004-0000-1500-0000D6010000}"/>
    <hyperlink ref="K475" r:id="rId472" xr:uid="{00000000-0004-0000-1500-0000D7010000}"/>
    <hyperlink ref="K476" r:id="rId473" xr:uid="{00000000-0004-0000-1500-0000D8010000}"/>
    <hyperlink ref="K477" r:id="rId474" xr:uid="{00000000-0004-0000-1500-0000D9010000}"/>
    <hyperlink ref="K478" r:id="rId475" xr:uid="{00000000-0004-0000-1500-0000DA010000}"/>
    <hyperlink ref="K479" r:id="rId476" xr:uid="{00000000-0004-0000-1500-0000DB01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BC256"/>
  <sheetViews>
    <sheetView workbookViewId="0"/>
  </sheetViews>
  <sheetFormatPr defaultColWidth="12.5703125" defaultRowHeight="15.75" customHeight="1"/>
  <cols>
    <col min="2" max="2" width="37" customWidth="1"/>
    <col min="4" max="4" width="27.28515625" customWidth="1"/>
  </cols>
  <sheetData>
    <row r="1" spans="1:55">
      <c r="A1" s="5815" t="s">
        <v>13059</v>
      </c>
      <c r="B1" s="5815" t="s">
        <v>13060</v>
      </c>
      <c r="C1" s="5815" t="s">
        <v>13063</v>
      </c>
      <c r="D1" s="5815" t="s">
        <v>13064</v>
      </c>
      <c r="E1" s="5815" t="s">
        <v>13065</v>
      </c>
      <c r="F1" s="5815" t="s">
        <v>13060</v>
      </c>
      <c r="G1" s="5815" t="s">
        <v>1523</v>
      </c>
      <c r="H1" s="5815" t="s">
        <v>46</v>
      </c>
      <c r="I1" s="5815" t="s">
        <v>1522</v>
      </c>
      <c r="J1" s="5815" t="s">
        <v>13062</v>
      </c>
      <c r="K1" s="5815"/>
      <c r="L1" s="5815"/>
      <c r="M1" s="5815"/>
      <c r="N1" s="5815"/>
      <c r="O1" s="5815"/>
      <c r="P1" s="5815"/>
      <c r="Q1" s="5815"/>
      <c r="R1" s="5815"/>
      <c r="S1" s="5815"/>
      <c r="T1" s="5816"/>
      <c r="U1" s="5815"/>
      <c r="V1" s="5815"/>
      <c r="W1" s="5815"/>
      <c r="X1" s="5815"/>
      <c r="Y1" s="5815"/>
      <c r="Z1" s="5815"/>
      <c r="AA1" s="5815"/>
      <c r="AB1" s="5815"/>
      <c r="AC1" s="5815"/>
      <c r="AD1" s="5815"/>
      <c r="AE1" s="5815"/>
      <c r="AF1" s="5815"/>
      <c r="AG1" s="5815"/>
      <c r="AH1" s="5815"/>
      <c r="AI1" s="5815"/>
      <c r="AJ1" s="5815"/>
      <c r="AK1" s="5815"/>
      <c r="AL1" s="5815"/>
      <c r="AM1" s="5815"/>
      <c r="AN1" s="5815"/>
      <c r="AO1" s="5815"/>
      <c r="AP1" s="5815"/>
      <c r="AQ1" s="5815"/>
      <c r="AR1" s="5815"/>
      <c r="AS1" s="5815"/>
      <c r="AT1" s="5815"/>
      <c r="AU1" s="5815"/>
      <c r="AV1" s="5815"/>
      <c r="AW1" s="5815"/>
      <c r="AX1" s="5815"/>
      <c r="AY1" s="5815"/>
      <c r="AZ1" s="5815"/>
      <c r="BA1" s="5815"/>
      <c r="BB1" s="5815"/>
      <c r="BC1" s="620"/>
    </row>
    <row r="2" spans="1:55">
      <c r="A2" s="5817">
        <f>COUNTA(A4:A999)</f>
        <v>253</v>
      </c>
      <c r="B2" s="5822">
        <f>COUNTIF($E$3:$E$800, "Decision*")</f>
        <v>136</v>
      </c>
      <c r="C2" s="5818">
        <f>SUM(B2/$A$2)</f>
        <v>0.53754940711462451</v>
      </c>
      <c r="D2" s="5818">
        <f t="shared" ref="D2:E2" si="0">SUM(G2/$A$2)</f>
        <v>0.22134387351778656</v>
      </c>
      <c r="E2" s="5818">
        <f t="shared" si="0"/>
        <v>0.22529644268774704</v>
      </c>
      <c r="F2" s="5822">
        <f>COUNTIF($E$3:$E$999, "Decision*")</f>
        <v>136</v>
      </c>
      <c r="G2" s="5823">
        <f>COUNTIF($E$3:$E$999, "Submission")</f>
        <v>56</v>
      </c>
      <c r="H2" s="5817">
        <f>COUNTIF($E$3:$E$1000, "KO/TKO")</f>
        <v>57</v>
      </c>
      <c r="I2" s="5823">
        <f>COUNTIF($E$3:$E$999, "Decision - Unanimous")</f>
        <v>100</v>
      </c>
      <c r="J2" s="5819">
        <f>COUNTIF($E$3:$E$999, "Decision - Split")</f>
        <v>35</v>
      </c>
      <c r="K2" s="5824"/>
      <c r="L2" s="5820"/>
      <c r="M2" s="5820"/>
      <c r="N2" s="5820"/>
      <c r="O2" s="5820"/>
      <c r="P2" s="5820"/>
      <c r="Q2" s="5820"/>
      <c r="R2" s="5820"/>
      <c r="S2" s="5820"/>
      <c r="T2" s="5821"/>
      <c r="U2" s="5820"/>
      <c r="V2" s="5820"/>
      <c r="W2" s="5820"/>
      <c r="X2" s="5820"/>
      <c r="Y2" s="5820"/>
      <c r="Z2" s="5820"/>
      <c r="AA2" s="5820"/>
      <c r="AB2" s="5820"/>
      <c r="AC2" s="5820"/>
      <c r="AD2" s="5820"/>
      <c r="AE2" s="5820"/>
      <c r="AF2" s="5820"/>
      <c r="AG2" s="5820"/>
      <c r="AH2" s="5820"/>
      <c r="AI2" s="5820"/>
      <c r="AJ2" s="5820"/>
      <c r="AK2" s="5820"/>
      <c r="AL2" s="5820"/>
      <c r="AM2" s="5820"/>
      <c r="AN2" s="5820"/>
      <c r="AO2" s="5820"/>
      <c r="AP2" s="5820"/>
      <c r="AQ2" s="5820"/>
      <c r="AR2" s="5820"/>
      <c r="AS2" s="5820"/>
      <c r="AT2" s="5820"/>
      <c r="AU2" s="5820"/>
      <c r="AV2" s="5820"/>
      <c r="AW2" s="5820"/>
      <c r="AX2" s="5820"/>
      <c r="AY2" s="5820"/>
      <c r="AZ2" s="5820"/>
      <c r="BA2" s="5820"/>
      <c r="BB2" s="5820"/>
      <c r="BC2" s="620"/>
    </row>
    <row r="3" spans="1:55">
      <c r="A3" s="21" t="s">
        <v>2034</v>
      </c>
      <c r="B3" s="21" t="s">
        <v>2035</v>
      </c>
      <c r="C3" s="21" t="s">
        <v>2036</v>
      </c>
      <c r="D3" s="21" t="s">
        <v>2037</v>
      </c>
      <c r="E3" s="21" t="s">
        <v>2038</v>
      </c>
      <c r="F3" s="21" t="s">
        <v>2039</v>
      </c>
      <c r="G3" s="21" t="s">
        <v>2040</v>
      </c>
      <c r="H3" s="21" t="s">
        <v>2041</v>
      </c>
      <c r="I3" s="21" t="s">
        <v>2042</v>
      </c>
      <c r="J3" s="21" t="s">
        <v>2043</v>
      </c>
      <c r="K3" s="21" t="s">
        <v>2044</v>
      </c>
    </row>
    <row r="4" spans="1:55">
      <c r="A4" s="21" t="s">
        <v>160</v>
      </c>
      <c r="B4" s="21" t="s">
        <v>486</v>
      </c>
      <c r="C4" s="21" t="s">
        <v>8</v>
      </c>
      <c r="D4" s="21" t="s">
        <v>416</v>
      </c>
      <c r="E4" s="21" t="s">
        <v>193</v>
      </c>
      <c r="F4" s="5812">
        <v>3</v>
      </c>
      <c r="G4" s="5813">
        <v>0.20833333333333334</v>
      </c>
      <c r="H4" s="21" t="s">
        <v>10</v>
      </c>
      <c r="I4" s="21" t="s">
        <v>306</v>
      </c>
      <c r="J4" s="21" t="s">
        <v>487</v>
      </c>
      <c r="K4" s="5814" t="s">
        <v>488</v>
      </c>
    </row>
    <row r="5" spans="1:55">
      <c r="A5" s="21" t="s">
        <v>160</v>
      </c>
      <c r="B5" s="21" t="s">
        <v>458</v>
      </c>
      <c r="C5" s="21" t="s">
        <v>22</v>
      </c>
      <c r="D5" s="21" t="s">
        <v>416</v>
      </c>
      <c r="E5" s="21" t="s">
        <v>193</v>
      </c>
      <c r="F5" s="5812">
        <v>3</v>
      </c>
      <c r="G5" s="5813">
        <v>0.20833333333333334</v>
      </c>
      <c r="H5" s="21" t="s">
        <v>10</v>
      </c>
      <c r="I5" s="21" t="s">
        <v>162</v>
      </c>
      <c r="J5" s="21" t="s">
        <v>459</v>
      </c>
      <c r="K5" s="5814" t="s">
        <v>460</v>
      </c>
    </row>
    <row r="6" spans="1:55">
      <c r="A6" s="21" t="s">
        <v>3855</v>
      </c>
      <c r="B6" s="21" t="s">
        <v>4914</v>
      </c>
      <c r="C6" s="21" t="s">
        <v>22</v>
      </c>
      <c r="D6" s="21" t="s">
        <v>416</v>
      </c>
      <c r="E6" s="21" t="s">
        <v>193</v>
      </c>
      <c r="F6" s="5812">
        <v>3</v>
      </c>
      <c r="G6" s="5813">
        <v>0.20833333333333334</v>
      </c>
      <c r="H6" s="21" t="s">
        <v>10</v>
      </c>
      <c r="I6" s="21" t="s">
        <v>11</v>
      </c>
      <c r="J6" s="21" t="s">
        <v>4915</v>
      </c>
      <c r="K6" s="5814" t="s">
        <v>4916</v>
      </c>
    </row>
    <row r="7" spans="1:55">
      <c r="A7" s="21" t="s">
        <v>3664</v>
      </c>
      <c r="B7" s="21" t="s">
        <v>4917</v>
      </c>
      <c r="C7" s="21" t="s">
        <v>22</v>
      </c>
      <c r="D7" s="21" t="s">
        <v>416</v>
      </c>
      <c r="E7" s="21" t="s">
        <v>193</v>
      </c>
      <c r="F7" s="5812">
        <v>3</v>
      </c>
      <c r="G7" s="5813">
        <v>0.20833333333333334</v>
      </c>
      <c r="H7" s="21" t="s">
        <v>10</v>
      </c>
      <c r="I7" s="21" t="s">
        <v>609</v>
      </c>
      <c r="J7" s="21" t="s">
        <v>4918</v>
      </c>
      <c r="K7" s="5814" t="s">
        <v>4919</v>
      </c>
    </row>
    <row r="8" spans="1:55">
      <c r="A8" s="21" t="s">
        <v>2092</v>
      </c>
      <c r="B8" s="21" t="s">
        <v>4920</v>
      </c>
      <c r="C8" s="21" t="s">
        <v>8</v>
      </c>
      <c r="D8" s="21" t="s">
        <v>416</v>
      </c>
      <c r="E8" s="21" t="s">
        <v>193</v>
      </c>
      <c r="F8" s="5812">
        <v>3</v>
      </c>
      <c r="G8" s="5813">
        <v>0.20833333333333334</v>
      </c>
      <c r="H8" s="21" t="s">
        <v>10</v>
      </c>
      <c r="I8" s="21" t="s">
        <v>11</v>
      </c>
      <c r="J8" s="21" t="s">
        <v>4921</v>
      </c>
      <c r="K8" s="5814" t="s">
        <v>4922</v>
      </c>
    </row>
    <row r="9" spans="1:55">
      <c r="A9" s="21" t="s">
        <v>2955</v>
      </c>
      <c r="B9" s="21" t="s">
        <v>4923</v>
      </c>
      <c r="C9" s="21" t="s">
        <v>8</v>
      </c>
      <c r="D9" s="21" t="s">
        <v>416</v>
      </c>
      <c r="E9" s="21" t="s">
        <v>193</v>
      </c>
      <c r="F9" s="5812">
        <v>3</v>
      </c>
      <c r="G9" s="5813">
        <v>0.20833333333333334</v>
      </c>
      <c r="H9" s="21" t="s">
        <v>10</v>
      </c>
      <c r="I9" s="21" t="s">
        <v>55</v>
      </c>
      <c r="J9" s="21" t="s">
        <v>4924</v>
      </c>
      <c r="K9" s="5814" t="s">
        <v>4925</v>
      </c>
    </row>
    <row r="10" spans="1:55">
      <c r="A10" s="21" t="s">
        <v>2428</v>
      </c>
      <c r="B10" s="21" t="s">
        <v>4926</v>
      </c>
      <c r="C10" s="21" t="s">
        <v>22</v>
      </c>
      <c r="D10" s="21" t="s">
        <v>416</v>
      </c>
      <c r="E10" s="21" t="s">
        <v>193</v>
      </c>
      <c r="F10" s="5812">
        <v>3</v>
      </c>
      <c r="G10" s="5813">
        <v>0.20833333333333334</v>
      </c>
      <c r="H10" s="21" t="s">
        <v>10</v>
      </c>
      <c r="I10" s="21" t="s">
        <v>11</v>
      </c>
      <c r="J10" s="21" t="s">
        <v>4927</v>
      </c>
      <c r="K10" s="5814" t="s">
        <v>4928</v>
      </c>
    </row>
    <row r="11" spans="1:55">
      <c r="A11" s="21" t="s">
        <v>3559</v>
      </c>
      <c r="B11" s="21" t="s">
        <v>4929</v>
      </c>
      <c r="C11" s="21" t="s">
        <v>22</v>
      </c>
      <c r="D11" s="21" t="s">
        <v>416</v>
      </c>
      <c r="E11" s="21" t="s">
        <v>193</v>
      </c>
      <c r="F11" s="5812">
        <v>3</v>
      </c>
      <c r="G11" s="5813">
        <v>0.20833333333333334</v>
      </c>
      <c r="H11" s="21" t="s">
        <v>10</v>
      </c>
      <c r="I11" s="21" t="s">
        <v>23</v>
      </c>
      <c r="J11" s="21" t="s">
        <v>4930</v>
      </c>
      <c r="K11" s="5814" t="s">
        <v>4931</v>
      </c>
    </row>
    <row r="12" spans="1:55">
      <c r="A12" s="21" t="s">
        <v>3946</v>
      </c>
      <c r="B12" s="21" t="s">
        <v>4932</v>
      </c>
      <c r="C12" s="21" t="s">
        <v>8</v>
      </c>
      <c r="D12" s="21" t="s">
        <v>416</v>
      </c>
      <c r="E12" s="21" t="s">
        <v>193</v>
      </c>
      <c r="F12" s="5812">
        <v>3</v>
      </c>
      <c r="G12" s="5813">
        <v>0.20833333333333334</v>
      </c>
      <c r="H12" s="21" t="s">
        <v>10</v>
      </c>
      <c r="I12" s="21" t="s">
        <v>39</v>
      </c>
      <c r="J12" s="21" t="s">
        <v>4933</v>
      </c>
      <c r="K12" s="5814" t="s">
        <v>4934</v>
      </c>
    </row>
    <row r="13" spans="1:55">
      <c r="A13" s="21" t="s">
        <v>3974</v>
      </c>
      <c r="B13" s="21" t="s">
        <v>4935</v>
      </c>
      <c r="C13" s="21" t="s">
        <v>8</v>
      </c>
      <c r="D13" s="21" t="s">
        <v>416</v>
      </c>
      <c r="E13" s="21" t="s">
        <v>193</v>
      </c>
      <c r="F13" s="5812">
        <v>3</v>
      </c>
      <c r="G13" s="5813">
        <v>0.20833333333333334</v>
      </c>
      <c r="H13" s="21" t="s">
        <v>10</v>
      </c>
      <c r="I13" s="21" t="s">
        <v>2544</v>
      </c>
      <c r="J13" s="21" t="s">
        <v>4936</v>
      </c>
      <c r="K13" s="5814" t="s">
        <v>4937</v>
      </c>
    </row>
    <row r="14" spans="1:55">
      <c r="A14" s="21" t="s">
        <v>3134</v>
      </c>
      <c r="B14" s="21" t="s">
        <v>4938</v>
      </c>
      <c r="C14" s="21" t="s">
        <v>22</v>
      </c>
      <c r="D14" s="21" t="s">
        <v>416</v>
      </c>
      <c r="E14" s="21" t="s">
        <v>193</v>
      </c>
      <c r="F14" s="5812">
        <v>3</v>
      </c>
      <c r="G14" s="5813">
        <v>0.20833333333333334</v>
      </c>
      <c r="H14" s="21" t="s">
        <v>10</v>
      </c>
      <c r="I14" s="21"/>
      <c r="J14" s="21" t="s">
        <v>4939</v>
      </c>
      <c r="K14" s="5814" t="s">
        <v>4940</v>
      </c>
    </row>
    <row r="15" spans="1:55">
      <c r="A15" s="21" t="s">
        <v>3412</v>
      </c>
      <c r="B15" s="21" t="s">
        <v>4941</v>
      </c>
      <c r="C15" s="21" t="s">
        <v>8</v>
      </c>
      <c r="D15" s="21" t="s">
        <v>416</v>
      </c>
      <c r="E15" s="21" t="s">
        <v>193</v>
      </c>
      <c r="F15" s="5812">
        <v>3</v>
      </c>
      <c r="G15" s="5813">
        <v>0.20833333333333334</v>
      </c>
      <c r="H15" s="21" t="s">
        <v>10</v>
      </c>
      <c r="I15" s="21" t="s">
        <v>55</v>
      </c>
      <c r="J15" s="21" t="s">
        <v>4942</v>
      </c>
      <c r="K15" s="5814" t="s">
        <v>4943</v>
      </c>
    </row>
    <row r="16" spans="1:55">
      <c r="A16" s="21" t="s">
        <v>2571</v>
      </c>
      <c r="B16" s="21" t="s">
        <v>4944</v>
      </c>
      <c r="C16" s="21" t="s">
        <v>709</v>
      </c>
      <c r="D16" s="21" t="s">
        <v>416</v>
      </c>
      <c r="E16" s="21" t="s">
        <v>193</v>
      </c>
      <c r="F16" s="5812">
        <v>3</v>
      </c>
      <c r="G16" s="5813">
        <v>0.20833333333333334</v>
      </c>
      <c r="H16" s="21" t="s">
        <v>10</v>
      </c>
      <c r="I16" s="21" t="s">
        <v>226</v>
      </c>
      <c r="J16" s="21" t="s">
        <v>4945</v>
      </c>
      <c r="K16" s="5814" t="s">
        <v>4946</v>
      </c>
    </row>
    <row r="17" spans="1:11">
      <c r="A17" s="21" t="s">
        <v>2655</v>
      </c>
      <c r="B17" s="21" t="s">
        <v>4947</v>
      </c>
      <c r="C17" s="21" t="s">
        <v>8</v>
      </c>
      <c r="D17" s="21" t="s">
        <v>416</v>
      </c>
      <c r="E17" s="21" t="s">
        <v>193</v>
      </c>
      <c r="F17" s="5812">
        <v>3</v>
      </c>
      <c r="G17" s="5813">
        <v>0.20833333333333334</v>
      </c>
      <c r="H17" s="21" t="s">
        <v>10</v>
      </c>
      <c r="I17" s="21" t="s">
        <v>47</v>
      </c>
      <c r="J17" s="21" t="s">
        <v>4948</v>
      </c>
      <c r="K17" s="5814" t="s">
        <v>4949</v>
      </c>
    </row>
    <row r="18" spans="1:11">
      <c r="A18" s="21" t="s">
        <v>2998</v>
      </c>
      <c r="B18" s="21" t="s">
        <v>4950</v>
      </c>
      <c r="C18" s="21" t="s">
        <v>22</v>
      </c>
      <c r="D18" s="21" t="s">
        <v>416</v>
      </c>
      <c r="E18" s="21" t="s">
        <v>193</v>
      </c>
      <c r="F18" s="5812">
        <v>3</v>
      </c>
      <c r="G18" s="5813">
        <v>0.20833333333333334</v>
      </c>
      <c r="H18" s="21" t="s">
        <v>10</v>
      </c>
      <c r="I18" s="21" t="s">
        <v>400</v>
      </c>
      <c r="J18" s="21" t="s">
        <v>4951</v>
      </c>
      <c r="K18" s="5814" t="s">
        <v>4952</v>
      </c>
    </row>
    <row r="19" spans="1:11">
      <c r="A19" s="21" t="s">
        <v>2192</v>
      </c>
      <c r="B19" s="21" t="s">
        <v>4953</v>
      </c>
      <c r="C19" s="21" t="s">
        <v>22</v>
      </c>
      <c r="D19" s="21" t="s">
        <v>416</v>
      </c>
      <c r="E19" s="21" t="s">
        <v>193</v>
      </c>
      <c r="F19" s="5812">
        <v>3</v>
      </c>
      <c r="G19" s="5813">
        <v>0.20833333333333334</v>
      </c>
      <c r="H19" s="21" t="s">
        <v>10</v>
      </c>
      <c r="I19" s="21" t="s">
        <v>4861</v>
      </c>
      <c r="J19" s="21" t="s">
        <v>4954</v>
      </c>
      <c r="K19" s="5814" t="s">
        <v>4955</v>
      </c>
    </row>
    <row r="20" spans="1:11">
      <c r="A20" s="21" t="s">
        <v>2687</v>
      </c>
      <c r="B20" s="21" t="s">
        <v>4956</v>
      </c>
      <c r="C20" s="21" t="s">
        <v>22</v>
      </c>
      <c r="D20" s="21" t="s">
        <v>416</v>
      </c>
      <c r="E20" s="21" t="s">
        <v>193</v>
      </c>
      <c r="F20" s="5812">
        <v>3</v>
      </c>
      <c r="G20" s="5813">
        <v>0.20833333333333334</v>
      </c>
      <c r="H20" s="21" t="s">
        <v>10</v>
      </c>
      <c r="I20" s="21" t="s">
        <v>654</v>
      </c>
      <c r="J20" s="21" t="s">
        <v>4957</v>
      </c>
      <c r="K20" s="5814" t="s">
        <v>4958</v>
      </c>
    </row>
    <row r="21" spans="1:11">
      <c r="A21" s="21" t="s">
        <v>2702</v>
      </c>
      <c r="B21" s="21" t="s">
        <v>4959</v>
      </c>
      <c r="C21" s="21" t="s">
        <v>22</v>
      </c>
      <c r="D21" s="21" t="s">
        <v>416</v>
      </c>
      <c r="E21" s="21" t="s">
        <v>193</v>
      </c>
      <c r="F21" s="5812">
        <v>3</v>
      </c>
      <c r="G21" s="5813">
        <v>0.20833333333333334</v>
      </c>
      <c r="H21" s="21" t="s">
        <v>10</v>
      </c>
      <c r="I21" s="21" t="s">
        <v>4960</v>
      </c>
      <c r="J21" s="21" t="s">
        <v>4961</v>
      </c>
      <c r="K21" s="5814" t="s">
        <v>4962</v>
      </c>
    </row>
    <row r="22" spans="1:11">
      <c r="A22" s="21" t="s">
        <v>3036</v>
      </c>
      <c r="B22" s="21" t="s">
        <v>4963</v>
      </c>
      <c r="C22" s="21" t="s">
        <v>8</v>
      </c>
      <c r="D22" s="21" t="s">
        <v>416</v>
      </c>
      <c r="E22" s="21" t="s">
        <v>193</v>
      </c>
      <c r="F22" s="5812">
        <v>3</v>
      </c>
      <c r="G22" s="5813">
        <v>0.20833333333333334</v>
      </c>
      <c r="H22" s="21" t="s">
        <v>10</v>
      </c>
      <c r="I22" s="21" t="s">
        <v>2269</v>
      </c>
      <c r="J22" s="21" t="s">
        <v>4964</v>
      </c>
      <c r="K22" s="5814" t="s">
        <v>4965</v>
      </c>
    </row>
    <row r="23" spans="1:11">
      <c r="A23" s="21" t="s">
        <v>3757</v>
      </c>
      <c r="B23" s="21" t="s">
        <v>4966</v>
      </c>
      <c r="C23" s="21" t="s">
        <v>22</v>
      </c>
      <c r="D23" s="21" t="s">
        <v>416</v>
      </c>
      <c r="E23" s="21" t="s">
        <v>193</v>
      </c>
      <c r="F23" s="5812">
        <v>3</v>
      </c>
      <c r="G23" s="5813">
        <v>0.20833333333333334</v>
      </c>
      <c r="H23" s="21" t="s">
        <v>10</v>
      </c>
      <c r="I23" s="21" t="s">
        <v>2665</v>
      </c>
      <c r="J23" s="21" t="s">
        <v>4967</v>
      </c>
      <c r="K23" s="5814" t="s">
        <v>4968</v>
      </c>
    </row>
    <row r="24" spans="1:11">
      <c r="A24" s="21" t="s">
        <v>2761</v>
      </c>
      <c r="B24" s="21" t="s">
        <v>4969</v>
      </c>
      <c r="C24" s="21" t="s">
        <v>8</v>
      </c>
      <c r="D24" s="21" t="s">
        <v>416</v>
      </c>
      <c r="E24" s="21" t="s">
        <v>193</v>
      </c>
      <c r="F24" s="5812">
        <v>3</v>
      </c>
      <c r="G24" s="5813">
        <v>0.20833333333333334</v>
      </c>
      <c r="H24" s="21" t="s">
        <v>10</v>
      </c>
      <c r="I24" s="21" t="s">
        <v>2247</v>
      </c>
      <c r="J24" s="21" t="s">
        <v>4970</v>
      </c>
      <c r="K24" s="5814" t="s">
        <v>4971</v>
      </c>
    </row>
    <row r="25" spans="1:11">
      <c r="A25" s="21" t="s">
        <v>3537</v>
      </c>
      <c r="B25" s="21" t="s">
        <v>4972</v>
      </c>
      <c r="C25" s="21" t="s">
        <v>22</v>
      </c>
      <c r="D25" s="21" t="s">
        <v>416</v>
      </c>
      <c r="E25" s="21" t="s">
        <v>193</v>
      </c>
      <c r="F25" s="5812">
        <v>3</v>
      </c>
      <c r="G25" s="5813">
        <v>0.20833333333333334</v>
      </c>
      <c r="H25" s="21" t="s">
        <v>10</v>
      </c>
      <c r="I25" s="21" t="s">
        <v>89</v>
      </c>
      <c r="J25" s="21" t="s">
        <v>4973</v>
      </c>
      <c r="K25" s="5814" t="s">
        <v>4974</v>
      </c>
    </row>
    <row r="26" spans="1:11">
      <c r="A26" s="21" t="s">
        <v>2237</v>
      </c>
      <c r="B26" s="21" t="s">
        <v>4975</v>
      </c>
      <c r="C26" s="21" t="s">
        <v>8</v>
      </c>
      <c r="D26" s="21" t="s">
        <v>416</v>
      </c>
      <c r="E26" s="21" t="s">
        <v>193</v>
      </c>
      <c r="F26" s="5812">
        <v>3</v>
      </c>
      <c r="G26" s="5813">
        <v>0.20833333333333334</v>
      </c>
      <c r="H26" s="21" t="s">
        <v>10</v>
      </c>
      <c r="I26" s="21" t="s">
        <v>4861</v>
      </c>
      <c r="J26" s="21" t="s">
        <v>4976</v>
      </c>
      <c r="K26" s="5814" t="s">
        <v>4977</v>
      </c>
    </row>
    <row r="27" spans="1:11">
      <c r="A27" s="21" t="s">
        <v>2808</v>
      </c>
      <c r="B27" s="21" t="s">
        <v>4978</v>
      </c>
      <c r="C27" s="21" t="s">
        <v>22</v>
      </c>
      <c r="D27" s="21" t="s">
        <v>416</v>
      </c>
      <c r="E27" s="21" t="s">
        <v>193</v>
      </c>
      <c r="F27" s="5812">
        <v>3</v>
      </c>
      <c r="G27" s="5813">
        <v>0.20833333333333334</v>
      </c>
      <c r="H27" s="21" t="s">
        <v>10</v>
      </c>
      <c r="I27" s="21" t="s">
        <v>400</v>
      </c>
      <c r="J27" s="21" t="s">
        <v>4979</v>
      </c>
      <c r="K27" s="5814" t="s">
        <v>4980</v>
      </c>
    </row>
    <row r="28" spans="1:11">
      <c r="A28" s="21" t="s">
        <v>3044</v>
      </c>
      <c r="B28" s="21" t="s">
        <v>4981</v>
      </c>
      <c r="C28" s="21" t="s">
        <v>8</v>
      </c>
      <c r="D28" s="21" t="s">
        <v>416</v>
      </c>
      <c r="E28" s="21" t="s">
        <v>193</v>
      </c>
      <c r="F28" s="5812">
        <v>3</v>
      </c>
      <c r="G28" s="5813">
        <v>0.20833333333333334</v>
      </c>
      <c r="H28" s="21" t="s">
        <v>10</v>
      </c>
      <c r="I28" s="21" t="s">
        <v>2872</v>
      </c>
      <c r="J28" s="21" t="s">
        <v>4982</v>
      </c>
      <c r="K28" s="5814" t="s">
        <v>4983</v>
      </c>
    </row>
    <row r="29" spans="1:11">
      <c r="A29" s="21" t="s">
        <v>3044</v>
      </c>
      <c r="B29" s="21" t="s">
        <v>4984</v>
      </c>
      <c r="C29" s="21" t="s">
        <v>8</v>
      </c>
      <c r="D29" s="21" t="s">
        <v>416</v>
      </c>
      <c r="E29" s="21" t="s">
        <v>193</v>
      </c>
      <c r="F29" s="5812">
        <v>3</v>
      </c>
      <c r="G29" s="5813">
        <v>0.20833333333333334</v>
      </c>
      <c r="H29" s="21" t="s">
        <v>10</v>
      </c>
      <c r="I29" s="21" t="s">
        <v>39</v>
      </c>
      <c r="J29" s="21" t="s">
        <v>4985</v>
      </c>
      <c r="K29" s="5814" t="s">
        <v>4986</v>
      </c>
    </row>
    <row r="30" spans="1:11">
      <c r="A30" s="21" t="s">
        <v>2831</v>
      </c>
      <c r="B30" s="21" t="s">
        <v>4987</v>
      </c>
      <c r="C30" s="21" t="s">
        <v>8</v>
      </c>
      <c r="D30" s="21" t="s">
        <v>416</v>
      </c>
      <c r="E30" s="21" t="s">
        <v>193</v>
      </c>
      <c r="F30" s="5812">
        <v>3</v>
      </c>
      <c r="G30" s="5813">
        <v>0.20833333333333334</v>
      </c>
      <c r="H30" s="21" t="s">
        <v>10</v>
      </c>
      <c r="I30" s="21" t="s">
        <v>2692</v>
      </c>
      <c r="J30" s="21" t="s">
        <v>4988</v>
      </c>
      <c r="K30" s="5814" t="s">
        <v>4989</v>
      </c>
    </row>
    <row r="31" spans="1:11">
      <c r="A31" s="21" t="s">
        <v>4379</v>
      </c>
      <c r="B31" s="21" t="s">
        <v>4990</v>
      </c>
      <c r="C31" s="21" t="s">
        <v>22</v>
      </c>
      <c r="D31" s="21" t="s">
        <v>416</v>
      </c>
      <c r="E31" s="21" t="s">
        <v>193</v>
      </c>
      <c r="F31" s="5812">
        <v>3</v>
      </c>
      <c r="G31" s="5813">
        <v>0.20833333333333334</v>
      </c>
      <c r="H31" s="21" t="s">
        <v>10</v>
      </c>
      <c r="I31" s="21" t="s">
        <v>23</v>
      </c>
      <c r="J31" s="21" t="s">
        <v>4991</v>
      </c>
      <c r="K31" s="5814" t="s">
        <v>4992</v>
      </c>
    </row>
    <row r="32" spans="1:11">
      <c r="A32" s="21" t="s">
        <v>2854</v>
      </c>
      <c r="B32" s="21" t="s">
        <v>4993</v>
      </c>
      <c r="C32" s="21" t="s">
        <v>22</v>
      </c>
      <c r="D32" s="21" t="s">
        <v>416</v>
      </c>
      <c r="E32" s="21" t="s">
        <v>193</v>
      </c>
      <c r="F32" s="5812">
        <v>3</v>
      </c>
      <c r="G32" s="5813">
        <v>0.20833333333333334</v>
      </c>
      <c r="H32" s="21" t="s">
        <v>10</v>
      </c>
      <c r="I32" s="21" t="s">
        <v>2247</v>
      </c>
      <c r="J32" s="21" t="s">
        <v>4994</v>
      </c>
      <c r="K32" s="5814" t="s">
        <v>4995</v>
      </c>
    </row>
    <row r="33" spans="1:11">
      <c r="A33" s="21" t="s">
        <v>3345</v>
      </c>
      <c r="B33" s="21" t="s">
        <v>4996</v>
      </c>
      <c r="C33" s="21" t="s">
        <v>8</v>
      </c>
      <c r="D33" s="21" t="s">
        <v>416</v>
      </c>
      <c r="E33" s="21" t="s">
        <v>193</v>
      </c>
      <c r="F33" s="5812">
        <v>3</v>
      </c>
      <c r="G33" s="5813">
        <v>0.20833333333333334</v>
      </c>
      <c r="H33" s="21" t="s">
        <v>10</v>
      </c>
      <c r="I33" s="21" t="s">
        <v>4997</v>
      </c>
      <c r="J33" s="21" t="s">
        <v>4998</v>
      </c>
      <c r="K33" s="5814" t="s">
        <v>4999</v>
      </c>
    </row>
    <row r="34" spans="1:11">
      <c r="A34" s="21" t="s">
        <v>3170</v>
      </c>
      <c r="B34" s="21" t="s">
        <v>5000</v>
      </c>
      <c r="C34" s="21" t="s">
        <v>22</v>
      </c>
      <c r="D34" s="21" t="s">
        <v>416</v>
      </c>
      <c r="E34" s="21" t="s">
        <v>193</v>
      </c>
      <c r="F34" s="5812">
        <v>3</v>
      </c>
      <c r="G34" s="5813">
        <v>0.20833333333333334</v>
      </c>
      <c r="H34" s="21" t="s">
        <v>10</v>
      </c>
      <c r="I34" s="21" t="s">
        <v>3822</v>
      </c>
      <c r="J34" s="21" t="s">
        <v>5001</v>
      </c>
      <c r="K34" s="5814" t="s">
        <v>5002</v>
      </c>
    </row>
    <row r="35" spans="1:11">
      <c r="A35" s="21" t="s">
        <v>160</v>
      </c>
      <c r="B35" s="21" t="s">
        <v>448</v>
      </c>
      <c r="C35" s="21" t="s">
        <v>22</v>
      </c>
      <c r="D35" s="21" t="s">
        <v>416</v>
      </c>
      <c r="E35" s="21" t="s">
        <v>193</v>
      </c>
      <c r="F35" s="5812">
        <v>5</v>
      </c>
      <c r="G35" s="5813">
        <v>0.20833333333333334</v>
      </c>
      <c r="H35" s="21" t="s">
        <v>54</v>
      </c>
      <c r="I35" s="21" t="s">
        <v>55</v>
      </c>
      <c r="J35" s="21" t="s">
        <v>449</v>
      </c>
      <c r="K35" s="5814" t="s">
        <v>450</v>
      </c>
    </row>
    <row r="36" spans="1:11">
      <c r="A36" s="21" t="s">
        <v>2327</v>
      </c>
      <c r="B36" s="21" t="s">
        <v>5003</v>
      </c>
      <c r="C36" s="21" t="s">
        <v>22</v>
      </c>
      <c r="D36" s="21" t="s">
        <v>416</v>
      </c>
      <c r="E36" s="21" t="s">
        <v>193</v>
      </c>
      <c r="F36" s="5812">
        <v>5</v>
      </c>
      <c r="G36" s="5813">
        <v>0.20833333333333334</v>
      </c>
      <c r="H36" s="21" t="s">
        <v>54</v>
      </c>
      <c r="I36" s="21" t="s">
        <v>55</v>
      </c>
      <c r="J36" s="21" t="s">
        <v>5004</v>
      </c>
      <c r="K36" s="5814" t="s">
        <v>5005</v>
      </c>
    </row>
    <row r="37" spans="1:11">
      <c r="A37" s="21" t="s">
        <v>3249</v>
      </c>
      <c r="B37" s="21" t="s">
        <v>5006</v>
      </c>
      <c r="C37" s="21" t="s">
        <v>8</v>
      </c>
      <c r="D37" s="21" t="s">
        <v>416</v>
      </c>
      <c r="E37" s="21" t="s">
        <v>9</v>
      </c>
      <c r="F37" s="5812">
        <v>3</v>
      </c>
      <c r="G37" s="5813">
        <v>0.2076388888888889</v>
      </c>
      <c r="H37" s="21" t="s">
        <v>10</v>
      </c>
      <c r="I37" s="21" t="s">
        <v>400</v>
      </c>
      <c r="J37" s="21" t="s">
        <v>5007</v>
      </c>
      <c r="K37" s="5814" t="s">
        <v>5008</v>
      </c>
    </row>
    <row r="38" spans="1:11">
      <c r="A38" s="21" t="s">
        <v>339</v>
      </c>
      <c r="B38" s="21" t="s">
        <v>421</v>
      </c>
      <c r="C38" s="21" t="s">
        <v>8</v>
      </c>
      <c r="D38" s="21" t="s">
        <v>416</v>
      </c>
      <c r="E38" s="21" t="s">
        <v>9</v>
      </c>
      <c r="F38" s="5812">
        <v>3</v>
      </c>
      <c r="G38" s="5813">
        <v>0.20833333333333334</v>
      </c>
      <c r="H38" s="21" t="s">
        <v>10</v>
      </c>
      <c r="I38" s="21" t="s">
        <v>263</v>
      </c>
      <c r="J38" s="21" t="s">
        <v>422</v>
      </c>
      <c r="K38" s="5814" t="s">
        <v>423</v>
      </c>
    </row>
    <row r="39" spans="1:11">
      <c r="A39" s="21" t="s">
        <v>135</v>
      </c>
      <c r="B39" s="21" t="s">
        <v>472</v>
      </c>
      <c r="C39" s="21" t="s">
        <v>22</v>
      </c>
      <c r="D39" s="21" t="s">
        <v>416</v>
      </c>
      <c r="E39" s="21" t="s">
        <v>9</v>
      </c>
      <c r="F39" s="5812">
        <v>3</v>
      </c>
      <c r="G39" s="5813">
        <v>0.20833333333333334</v>
      </c>
      <c r="H39" s="21" t="s">
        <v>10</v>
      </c>
      <c r="I39" s="21" t="s">
        <v>11</v>
      </c>
      <c r="J39" s="21" t="s">
        <v>473</v>
      </c>
      <c r="K39" s="5814" t="s">
        <v>474</v>
      </c>
    </row>
    <row r="40" spans="1:11">
      <c r="A40" s="21" t="s">
        <v>31</v>
      </c>
      <c r="B40" s="21" t="s">
        <v>476</v>
      </c>
      <c r="C40" s="21" t="s">
        <v>22</v>
      </c>
      <c r="D40" s="21" t="s">
        <v>416</v>
      </c>
      <c r="E40" s="21" t="s">
        <v>9</v>
      </c>
      <c r="F40" s="5812">
        <v>3</v>
      </c>
      <c r="G40" s="5813">
        <v>0.20833333333333334</v>
      </c>
      <c r="H40" s="21" t="s">
        <v>10</v>
      </c>
      <c r="I40" s="21" t="s">
        <v>11</v>
      </c>
      <c r="J40" s="21" t="s">
        <v>477</v>
      </c>
      <c r="K40" s="5814" t="s">
        <v>478</v>
      </c>
    </row>
    <row r="41" spans="1:11">
      <c r="A41" s="21" t="s">
        <v>311</v>
      </c>
      <c r="B41" s="21" t="s">
        <v>498</v>
      </c>
      <c r="C41" s="21" t="s">
        <v>22</v>
      </c>
      <c r="D41" s="21" t="s">
        <v>416</v>
      </c>
      <c r="E41" s="21" t="s">
        <v>9</v>
      </c>
      <c r="F41" s="5812">
        <v>3</v>
      </c>
      <c r="G41" s="5813">
        <v>0.20833333333333334</v>
      </c>
      <c r="H41" s="21" t="s">
        <v>10</v>
      </c>
      <c r="I41" s="21" t="s">
        <v>499</v>
      </c>
      <c r="J41" s="21" t="s">
        <v>500</v>
      </c>
      <c r="K41" s="5814" t="s">
        <v>501</v>
      </c>
    </row>
    <row r="42" spans="1:11">
      <c r="A42" s="21" t="s">
        <v>65</v>
      </c>
      <c r="B42" s="21" t="s">
        <v>525</v>
      </c>
      <c r="C42" s="21" t="s">
        <v>22</v>
      </c>
      <c r="D42" s="21" t="s">
        <v>416</v>
      </c>
      <c r="E42" s="21" t="s">
        <v>9</v>
      </c>
      <c r="F42" s="5812">
        <v>3</v>
      </c>
      <c r="G42" s="5813">
        <v>0.20833333333333334</v>
      </c>
      <c r="H42" s="21" t="s">
        <v>10</v>
      </c>
      <c r="I42" s="21" t="s">
        <v>23</v>
      </c>
      <c r="J42" s="21" t="s">
        <v>526</v>
      </c>
      <c r="K42" s="5814" t="s">
        <v>527</v>
      </c>
    </row>
    <row r="43" spans="1:11">
      <c r="A43" s="21" t="s">
        <v>223</v>
      </c>
      <c r="B43" s="21" t="s">
        <v>528</v>
      </c>
      <c r="C43" s="21" t="s">
        <v>8</v>
      </c>
      <c r="D43" s="21" t="s">
        <v>416</v>
      </c>
      <c r="E43" s="21" t="s">
        <v>9</v>
      </c>
      <c r="F43" s="5812">
        <v>3</v>
      </c>
      <c r="G43" s="5813">
        <v>0.20833333333333334</v>
      </c>
      <c r="H43" s="21" t="s">
        <v>10</v>
      </c>
      <c r="I43" s="21" t="s">
        <v>47</v>
      </c>
      <c r="J43" s="21" t="s">
        <v>529</v>
      </c>
      <c r="K43" s="5814" t="s">
        <v>530</v>
      </c>
    </row>
    <row r="44" spans="1:11">
      <c r="A44" s="21" t="s">
        <v>223</v>
      </c>
      <c r="B44" s="21" t="s">
        <v>531</v>
      </c>
      <c r="C44" s="21" t="s">
        <v>8</v>
      </c>
      <c r="D44" s="21" t="s">
        <v>416</v>
      </c>
      <c r="E44" s="21" t="s">
        <v>9</v>
      </c>
      <c r="F44" s="5812">
        <v>3</v>
      </c>
      <c r="G44" s="5813">
        <v>0.20833333333333334</v>
      </c>
      <c r="H44" s="21" t="s">
        <v>10</v>
      </c>
      <c r="I44" s="21" t="s">
        <v>89</v>
      </c>
      <c r="J44" s="21" t="s">
        <v>532</v>
      </c>
      <c r="K44" s="5814" t="s">
        <v>533</v>
      </c>
    </row>
    <row r="45" spans="1:11">
      <c r="A45" s="21" t="s">
        <v>4654</v>
      </c>
      <c r="B45" s="21" t="s">
        <v>5009</v>
      </c>
      <c r="C45" s="21" t="s">
        <v>8</v>
      </c>
      <c r="D45" s="21" t="s">
        <v>416</v>
      </c>
      <c r="E45" s="21" t="s">
        <v>9</v>
      </c>
      <c r="F45" s="5812">
        <v>3</v>
      </c>
      <c r="G45" s="5813">
        <v>0.20833333333333334</v>
      </c>
      <c r="H45" s="21" t="s">
        <v>10</v>
      </c>
      <c r="I45" s="21" t="s">
        <v>2660</v>
      </c>
      <c r="J45" s="21" t="s">
        <v>5010</v>
      </c>
      <c r="K45" s="5814" t="s">
        <v>5011</v>
      </c>
    </row>
    <row r="46" spans="1:11">
      <c r="A46" s="21" t="s">
        <v>2323</v>
      </c>
      <c r="B46" s="21" t="s">
        <v>5012</v>
      </c>
      <c r="C46" s="21" t="s">
        <v>8</v>
      </c>
      <c r="D46" s="21" t="s">
        <v>416</v>
      </c>
      <c r="E46" s="21" t="s">
        <v>9</v>
      </c>
      <c r="F46" s="5812">
        <v>3</v>
      </c>
      <c r="G46" s="5813">
        <v>0.20833333333333334</v>
      </c>
      <c r="H46" s="21" t="s">
        <v>10</v>
      </c>
      <c r="I46" s="21" t="s">
        <v>2959</v>
      </c>
      <c r="J46" s="21" t="s">
        <v>5013</v>
      </c>
      <c r="K46" s="5814" t="s">
        <v>5014</v>
      </c>
    </row>
    <row r="47" spans="1:11">
      <c r="A47" s="21" t="s">
        <v>5015</v>
      </c>
      <c r="B47" s="21" t="s">
        <v>5016</v>
      </c>
      <c r="C47" s="21" t="s">
        <v>8</v>
      </c>
      <c r="D47" s="21" t="s">
        <v>416</v>
      </c>
      <c r="E47" s="21" t="s">
        <v>9</v>
      </c>
      <c r="F47" s="5812">
        <v>3</v>
      </c>
      <c r="G47" s="5813">
        <v>0.20833333333333334</v>
      </c>
      <c r="H47" s="21" t="s">
        <v>10</v>
      </c>
      <c r="I47" s="21" t="s">
        <v>4535</v>
      </c>
      <c r="J47" s="21" t="s">
        <v>5017</v>
      </c>
      <c r="K47" s="5814" t="s">
        <v>5018</v>
      </c>
    </row>
    <row r="48" spans="1:11">
      <c r="A48" s="21" t="s">
        <v>2947</v>
      </c>
      <c r="B48" s="21" t="s">
        <v>5019</v>
      </c>
      <c r="C48" s="21" t="s">
        <v>22</v>
      </c>
      <c r="D48" s="21" t="s">
        <v>416</v>
      </c>
      <c r="E48" s="21" t="s">
        <v>9</v>
      </c>
      <c r="F48" s="5812">
        <v>3</v>
      </c>
      <c r="G48" s="5813">
        <v>0.20833333333333334</v>
      </c>
      <c r="H48" s="21" t="s">
        <v>10</v>
      </c>
      <c r="I48" s="21" t="s">
        <v>5020</v>
      </c>
      <c r="J48" s="21" t="s">
        <v>5021</v>
      </c>
      <c r="K48" s="5814" t="s">
        <v>5022</v>
      </c>
    </row>
    <row r="49" spans="1:11">
      <c r="A49" s="21" t="s">
        <v>2327</v>
      </c>
      <c r="B49" s="21" t="s">
        <v>5023</v>
      </c>
      <c r="C49" s="21" t="s">
        <v>8</v>
      </c>
      <c r="D49" s="21" t="s">
        <v>416</v>
      </c>
      <c r="E49" s="21" t="s">
        <v>9</v>
      </c>
      <c r="F49" s="5812">
        <v>3</v>
      </c>
      <c r="G49" s="5813">
        <v>0.20833333333333334</v>
      </c>
      <c r="H49" s="21" t="s">
        <v>10</v>
      </c>
      <c r="I49" s="21" t="s">
        <v>39</v>
      </c>
      <c r="J49" s="21" t="s">
        <v>5024</v>
      </c>
      <c r="K49" s="5814" t="s">
        <v>5025</v>
      </c>
    </row>
    <row r="50" spans="1:11">
      <c r="A50" s="21" t="s">
        <v>3243</v>
      </c>
      <c r="B50" s="21" t="s">
        <v>5026</v>
      </c>
      <c r="C50" s="21" t="s">
        <v>8</v>
      </c>
      <c r="D50" s="21" t="s">
        <v>416</v>
      </c>
      <c r="E50" s="21" t="s">
        <v>9</v>
      </c>
      <c r="F50" s="5812">
        <v>3</v>
      </c>
      <c r="G50" s="5813">
        <v>0.20833333333333334</v>
      </c>
      <c r="H50" s="21" t="s">
        <v>10</v>
      </c>
      <c r="I50" s="21" t="s">
        <v>23</v>
      </c>
      <c r="J50" s="21" t="s">
        <v>5027</v>
      </c>
      <c r="K50" s="5814" t="s">
        <v>5028</v>
      </c>
    </row>
    <row r="51" spans="1:11">
      <c r="A51" s="21" t="s">
        <v>2284</v>
      </c>
      <c r="B51" s="21" t="s">
        <v>5029</v>
      </c>
      <c r="C51" s="21" t="s">
        <v>8</v>
      </c>
      <c r="D51" s="21" t="s">
        <v>416</v>
      </c>
      <c r="E51" s="21" t="s">
        <v>9</v>
      </c>
      <c r="F51" s="5812">
        <v>3</v>
      </c>
      <c r="G51" s="5813">
        <v>0.20833333333333334</v>
      </c>
      <c r="H51" s="21" t="s">
        <v>10</v>
      </c>
      <c r="I51" s="21" t="s">
        <v>73</v>
      </c>
      <c r="J51" s="21" t="s">
        <v>917</v>
      </c>
      <c r="K51" s="5814" t="s">
        <v>5030</v>
      </c>
    </row>
    <row r="52" spans="1:11">
      <c r="A52" s="21" t="s">
        <v>2362</v>
      </c>
      <c r="B52" s="21" t="s">
        <v>5031</v>
      </c>
      <c r="C52" s="21" t="s">
        <v>22</v>
      </c>
      <c r="D52" s="21" t="s">
        <v>416</v>
      </c>
      <c r="E52" s="21" t="s">
        <v>9</v>
      </c>
      <c r="F52" s="5812">
        <v>3</v>
      </c>
      <c r="G52" s="5813">
        <v>0.20833333333333334</v>
      </c>
      <c r="H52" s="21" t="s">
        <v>10</v>
      </c>
      <c r="I52" s="21" t="s">
        <v>11</v>
      </c>
      <c r="J52" s="21" t="s">
        <v>5032</v>
      </c>
      <c r="K52" s="5814" t="s">
        <v>5033</v>
      </c>
    </row>
    <row r="53" spans="1:11">
      <c r="A53" s="21" t="s">
        <v>3338</v>
      </c>
      <c r="B53" s="21" t="s">
        <v>5034</v>
      </c>
      <c r="C53" s="21" t="s">
        <v>8</v>
      </c>
      <c r="D53" s="21" t="s">
        <v>416</v>
      </c>
      <c r="E53" s="21" t="s">
        <v>9</v>
      </c>
      <c r="F53" s="5812">
        <v>3</v>
      </c>
      <c r="G53" s="5813">
        <v>0.20833333333333334</v>
      </c>
      <c r="H53" s="21" t="s">
        <v>10</v>
      </c>
      <c r="I53" s="21" t="s">
        <v>39</v>
      </c>
      <c r="J53" s="21" t="s">
        <v>5035</v>
      </c>
      <c r="K53" s="5814" t="s">
        <v>5036</v>
      </c>
    </row>
    <row r="54" spans="1:11">
      <c r="A54" s="21" t="s">
        <v>3909</v>
      </c>
      <c r="B54" s="21" t="s">
        <v>5037</v>
      </c>
      <c r="C54" s="21" t="s">
        <v>8</v>
      </c>
      <c r="D54" s="21" t="s">
        <v>416</v>
      </c>
      <c r="E54" s="21" t="s">
        <v>9</v>
      </c>
      <c r="F54" s="5812">
        <v>3</v>
      </c>
      <c r="G54" s="5813">
        <v>0.20833333333333334</v>
      </c>
      <c r="H54" s="21" t="s">
        <v>10</v>
      </c>
      <c r="I54" s="21" t="s">
        <v>47</v>
      </c>
      <c r="J54" s="21" t="s">
        <v>5038</v>
      </c>
      <c r="K54" s="5814" t="s">
        <v>5039</v>
      </c>
    </row>
    <row r="55" spans="1:11">
      <c r="A55" s="21" t="s">
        <v>3183</v>
      </c>
      <c r="B55" s="21" t="s">
        <v>5040</v>
      </c>
      <c r="C55" s="21" t="s">
        <v>22</v>
      </c>
      <c r="D55" s="21" t="s">
        <v>416</v>
      </c>
      <c r="E55" s="21" t="s">
        <v>9</v>
      </c>
      <c r="F55" s="5812">
        <v>3</v>
      </c>
      <c r="G55" s="5813">
        <v>0.20833333333333334</v>
      </c>
      <c r="H55" s="21" t="s">
        <v>10</v>
      </c>
      <c r="I55" s="21" t="s">
        <v>89</v>
      </c>
      <c r="J55" s="21" t="s">
        <v>5041</v>
      </c>
      <c r="K55" s="5814" t="s">
        <v>5042</v>
      </c>
    </row>
    <row r="56" spans="1:11">
      <c r="A56" s="21" t="s">
        <v>3183</v>
      </c>
      <c r="B56" s="21" t="s">
        <v>5043</v>
      </c>
      <c r="C56" s="21" t="s">
        <v>8</v>
      </c>
      <c r="D56" s="21" t="s">
        <v>416</v>
      </c>
      <c r="E56" s="21" t="s">
        <v>9</v>
      </c>
      <c r="F56" s="5812">
        <v>3</v>
      </c>
      <c r="G56" s="5813">
        <v>0.20833333333333334</v>
      </c>
      <c r="H56" s="21" t="s">
        <v>10</v>
      </c>
      <c r="I56" s="21" t="s">
        <v>89</v>
      </c>
      <c r="J56" s="21" t="s">
        <v>5044</v>
      </c>
      <c r="K56" s="5814" t="s">
        <v>5045</v>
      </c>
    </row>
    <row r="57" spans="1:11">
      <c r="A57" s="21" t="s">
        <v>3130</v>
      </c>
      <c r="B57" s="21" t="s">
        <v>5046</v>
      </c>
      <c r="C57" s="21" t="s">
        <v>22</v>
      </c>
      <c r="D57" s="21" t="s">
        <v>416</v>
      </c>
      <c r="E57" s="21" t="s">
        <v>9</v>
      </c>
      <c r="F57" s="5812">
        <v>3</v>
      </c>
      <c r="G57" s="5813">
        <v>0.20833333333333334</v>
      </c>
      <c r="H57" s="21" t="s">
        <v>10</v>
      </c>
      <c r="I57" s="21" t="s">
        <v>5047</v>
      </c>
      <c r="J57" s="21" t="s">
        <v>5048</v>
      </c>
      <c r="K57" s="5814" t="s">
        <v>5049</v>
      </c>
    </row>
    <row r="58" spans="1:11">
      <c r="A58" s="21" t="s">
        <v>3130</v>
      </c>
      <c r="B58" s="21" t="s">
        <v>5050</v>
      </c>
      <c r="C58" s="21" t="s">
        <v>8</v>
      </c>
      <c r="D58" s="21" t="s">
        <v>416</v>
      </c>
      <c r="E58" s="21" t="s">
        <v>9</v>
      </c>
      <c r="F58" s="5812">
        <v>3</v>
      </c>
      <c r="G58" s="5813">
        <v>0.20833333333333334</v>
      </c>
      <c r="H58" s="21" t="s">
        <v>10</v>
      </c>
      <c r="I58" s="21" t="s">
        <v>5047</v>
      </c>
      <c r="J58" s="21" t="s">
        <v>5051</v>
      </c>
      <c r="K58" s="5814" t="s">
        <v>5052</v>
      </c>
    </row>
    <row r="59" spans="1:11">
      <c r="A59" s="21" t="s">
        <v>3551</v>
      </c>
      <c r="B59" s="21" t="s">
        <v>5053</v>
      </c>
      <c r="C59" s="21" t="s">
        <v>8</v>
      </c>
      <c r="D59" s="21" t="s">
        <v>416</v>
      </c>
      <c r="E59" s="21" t="s">
        <v>9</v>
      </c>
      <c r="F59" s="5812">
        <v>3</v>
      </c>
      <c r="G59" s="5813">
        <v>0.20833333333333334</v>
      </c>
      <c r="H59" s="21" t="s">
        <v>10</v>
      </c>
      <c r="I59" s="21" t="s">
        <v>23</v>
      </c>
      <c r="J59" s="21" t="s">
        <v>5054</v>
      </c>
      <c r="K59" s="5814" t="s">
        <v>5055</v>
      </c>
    </row>
    <row r="60" spans="1:11">
      <c r="A60" s="21" t="s">
        <v>2104</v>
      </c>
      <c r="B60" s="21" t="s">
        <v>5056</v>
      </c>
      <c r="C60" s="21" t="s">
        <v>8</v>
      </c>
      <c r="D60" s="21" t="s">
        <v>416</v>
      </c>
      <c r="E60" s="21" t="s">
        <v>9</v>
      </c>
      <c r="F60" s="5812">
        <v>3</v>
      </c>
      <c r="G60" s="5813">
        <v>0.20833333333333334</v>
      </c>
      <c r="H60" s="21" t="s">
        <v>10</v>
      </c>
      <c r="I60" s="21" t="s">
        <v>96</v>
      </c>
      <c r="J60" s="21" t="s">
        <v>5057</v>
      </c>
      <c r="K60" s="5814" t="s">
        <v>5058</v>
      </c>
    </row>
    <row r="61" spans="1:11">
      <c r="A61" s="21" t="s">
        <v>3220</v>
      </c>
      <c r="B61" s="21" t="s">
        <v>5059</v>
      </c>
      <c r="C61" s="21" t="s">
        <v>22</v>
      </c>
      <c r="D61" s="21" t="s">
        <v>416</v>
      </c>
      <c r="E61" s="21" t="s">
        <v>9</v>
      </c>
      <c r="F61" s="5812">
        <v>3</v>
      </c>
      <c r="G61" s="5813">
        <v>0.20833333333333334</v>
      </c>
      <c r="H61" s="21" t="s">
        <v>10</v>
      </c>
      <c r="I61" s="21" t="s">
        <v>89</v>
      </c>
      <c r="J61" s="21" t="s">
        <v>5060</v>
      </c>
      <c r="K61" s="5814" t="s">
        <v>5061</v>
      </c>
    </row>
    <row r="62" spans="1:11">
      <c r="A62" s="21" t="s">
        <v>2108</v>
      </c>
      <c r="B62" s="21" t="s">
        <v>5062</v>
      </c>
      <c r="C62" s="21" t="s">
        <v>22</v>
      </c>
      <c r="D62" s="21" t="s">
        <v>416</v>
      </c>
      <c r="E62" s="21" t="s">
        <v>9</v>
      </c>
      <c r="F62" s="5812">
        <v>3</v>
      </c>
      <c r="G62" s="5813">
        <v>0.20833333333333334</v>
      </c>
      <c r="H62" s="21" t="s">
        <v>10</v>
      </c>
      <c r="I62" s="21" t="s">
        <v>96</v>
      </c>
      <c r="J62" s="21" t="s">
        <v>5063</v>
      </c>
      <c r="K62" s="5814" t="s">
        <v>5064</v>
      </c>
    </row>
    <row r="63" spans="1:11">
      <c r="A63" s="21" t="s">
        <v>3643</v>
      </c>
      <c r="B63" s="21" t="s">
        <v>5065</v>
      </c>
      <c r="C63" s="21" t="s">
        <v>22</v>
      </c>
      <c r="D63" s="21" t="s">
        <v>416</v>
      </c>
      <c r="E63" s="21" t="s">
        <v>9</v>
      </c>
      <c r="F63" s="5812">
        <v>3</v>
      </c>
      <c r="G63" s="5813">
        <v>0.20833333333333334</v>
      </c>
      <c r="H63" s="21" t="s">
        <v>10</v>
      </c>
      <c r="I63" s="21" t="s">
        <v>39</v>
      </c>
      <c r="J63" s="21" t="s">
        <v>5066</v>
      </c>
      <c r="K63" s="5814" t="s">
        <v>5067</v>
      </c>
    </row>
    <row r="64" spans="1:11">
      <c r="A64" s="21" t="s">
        <v>2491</v>
      </c>
      <c r="B64" s="21" t="s">
        <v>5068</v>
      </c>
      <c r="C64" s="21" t="s">
        <v>22</v>
      </c>
      <c r="D64" s="21" t="s">
        <v>416</v>
      </c>
      <c r="E64" s="21" t="s">
        <v>9</v>
      </c>
      <c r="F64" s="5812">
        <v>3</v>
      </c>
      <c r="G64" s="5813">
        <v>0.20833333333333334</v>
      </c>
      <c r="H64" s="21" t="s">
        <v>10</v>
      </c>
      <c r="I64" s="21" t="s">
        <v>89</v>
      </c>
      <c r="J64" s="21" t="s">
        <v>5069</v>
      </c>
      <c r="K64" s="5814" t="s">
        <v>5070</v>
      </c>
    </row>
    <row r="65" spans="1:11">
      <c r="A65" s="21" t="s">
        <v>2935</v>
      </c>
      <c r="B65" s="21" t="s">
        <v>5071</v>
      </c>
      <c r="C65" s="21" t="s">
        <v>22</v>
      </c>
      <c r="D65" s="21" t="s">
        <v>416</v>
      </c>
      <c r="E65" s="21" t="s">
        <v>9</v>
      </c>
      <c r="F65" s="5812">
        <v>3</v>
      </c>
      <c r="G65" s="5813">
        <v>0.20833333333333334</v>
      </c>
      <c r="H65" s="21" t="s">
        <v>10</v>
      </c>
      <c r="I65" s="21" t="s">
        <v>4010</v>
      </c>
      <c r="J65" s="21" t="s">
        <v>5072</v>
      </c>
      <c r="K65" s="5814" t="s">
        <v>5073</v>
      </c>
    </row>
    <row r="66" spans="1:11">
      <c r="A66" s="21" t="s">
        <v>2123</v>
      </c>
      <c r="B66" s="21" t="s">
        <v>5074</v>
      </c>
      <c r="C66" s="21" t="s">
        <v>22</v>
      </c>
      <c r="D66" s="21" t="s">
        <v>416</v>
      </c>
      <c r="E66" s="21" t="s">
        <v>9</v>
      </c>
      <c r="F66" s="5812">
        <v>3</v>
      </c>
      <c r="G66" s="5813">
        <v>0.20833333333333334</v>
      </c>
      <c r="H66" s="21" t="s">
        <v>10</v>
      </c>
      <c r="I66" s="21" t="s">
        <v>96</v>
      </c>
      <c r="J66" s="21" t="s">
        <v>5075</v>
      </c>
      <c r="K66" s="5814" t="s">
        <v>5076</v>
      </c>
    </row>
    <row r="67" spans="1:11">
      <c r="A67" s="21" t="s">
        <v>2123</v>
      </c>
      <c r="B67" s="21" t="s">
        <v>5077</v>
      </c>
      <c r="C67" s="21" t="s">
        <v>8</v>
      </c>
      <c r="D67" s="21" t="s">
        <v>416</v>
      </c>
      <c r="E67" s="21" t="s">
        <v>9</v>
      </c>
      <c r="F67" s="5812">
        <v>3</v>
      </c>
      <c r="G67" s="5813">
        <v>0.20833333333333334</v>
      </c>
      <c r="H67" s="21" t="s">
        <v>10</v>
      </c>
      <c r="I67" s="21" t="s">
        <v>39</v>
      </c>
      <c r="J67" s="21" t="s">
        <v>5078</v>
      </c>
      <c r="K67" s="5814" t="s">
        <v>5079</v>
      </c>
    </row>
    <row r="68" spans="1:11">
      <c r="A68" s="21" t="s">
        <v>2910</v>
      </c>
      <c r="B68" s="21" t="s">
        <v>5080</v>
      </c>
      <c r="C68" s="21" t="s">
        <v>8</v>
      </c>
      <c r="D68" s="21" t="s">
        <v>416</v>
      </c>
      <c r="E68" s="21" t="s">
        <v>9</v>
      </c>
      <c r="F68" s="5812">
        <v>3</v>
      </c>
      <c r="G68" s="5813">
        <v>0.20833333333333334</v>
      </c>
      <c r="H68" s="21" t="s">
        <v>10</v>
      </c>
      <c r="I68" s="21" t="s">
        <v>11</v>
      </c>
      <c r="J68" s="21" t="s">
        <v>5081</v>
      </c>
      <c r="K68" s="5814" t="s">
        <v>5082</v>
      </c>
    </row>
    <row r="69" spans="1:11">
      <c r="A69" s="21" t="s">
        <v>3481</v>
      </c>
      <c r="B69" s="21" t="s">
        <v>5083</v>
      </c>
      <c r="C69" s="21" t="s">
        <v>8</v>
      </c>
      <c r="D69" s="21" t="s">
        <v>416</v>
      </c>
      <c r="E69" s="21" t="s">
        <v>9</v>
      </c>
      <c r="F69" s="5812">
        <v>3</v>
      </c>
      <c r="G69" s="5813">
        <v>0.20833333333333334</v>
      </c>
      <c r="H69" s="21" t="s">
        <v>10</v>
      </c>
      <c r="I69" s="21" t="s">
        <v>96</v>
      </c>
      <c r="J69" s="21" t="s">
        <v>5084</v>
      </c>
      <c r="K69" s="5814" t="s">
        <v>5085</v>
      </c>
    </row>
    <row r="70" spans="1:11">
      <c r="A70" s="21" t="s">
        <v>3412</v>
      </c>
      <c r="B70" s="21" t="s">
        <v>5086</v>
      </c>
      <c r="C70" s="21" t="s">
        <v>8</v>
      </c>
      <c r="D70" s="21" t="s">
        <v>416</v>
      </c>
      <c r="E70" s="21" t="s">
        <v>9</v>
      </c>
      <c r="F70" s="5812">
        <v>3</v>
      </c>
      <c r="G70" s="5813">
        <v>0.20833333333333334</v>
      </c>
      <c r="H70" s="21" t="s">
        <v>10</v>
      </c>
      <c r="I70" s="21" t="s">
        <v>96</v>
      </c>
      <c r="J70" s="21" t="s">
        <v>5087</v>
      </c>
      <c r="K70" s="5814" t="s">
        <v>5088</v>
      </c>
    </row>
    <row r="71" spans="1:11">
      <c r="A71" s="21" t="s">
        <v>3412</v>
      </c>
      <c r="B71" s="21" t="s">
        <v>5089</v>
      </c>
      <c r="C71" s="21" t="s">
        <v>8</v>
      </c>
      <c r="D71" s="21" t="s">
        <v>416</v>
      </c>
      <c r="E71" s="21" t="s">
        <v>9</v>
      </c>
      <c r="F71" s="5812">
        <v>3</v>
      </c>
      <c r="G71" s="5813">
        <v>0.20833333333333334</v>
      </c>
      <c r="H71" s="21" t="s">
        <v>10</v>
      </c>
      <c r="I71" s="21" t="s">
        <v>47</v>
      </c>
      <c r="J71" s="21" t="s">
        <v>5090</v>
      </c>
      <c r="K71" s="5814" t="s">
        <v>5091</v>
      </c>
    </row>
    <row r="72" spans="1:11">
      <c r="A72" s="21" t="s">
        <v>2517</v>
      </c>
      <c r="B72" s="21" t="s">
        <v>5092</v>
      </c>
      <c r="C72" s="21" t="s">
        <v>22</v>
      </c>
      <c r="D72" s="21" t="s">
        <v>416</v>
      </c>
      <c r="E72" s="21" t="s">
        <v>9</v>
      </c>
      <c r="F72" s="5812">
        <v>3</v>
      </c>
      <c r="G72" s="5813">
        <v>0.20833333333333334</v>
      </c>
      <c r="H72" s="21" t="s">
        <v>10</v>
      </c>
      <c r="I72" s="21" t="s">
        <v>2313</v>
      </c>
      <c r="J72" s="21" t="s">
        <v>5093</v>
      </c>
      <c r="K72" s="5814" t="s">
        <v>5094</v>
      </c>
    </row>
    <row r="73" spans="1:11">
      <c r="A73" s="21" t="s">
        <v>2131</v>
      </c>
      <c r="B73" s="21" t="s">
        <v>5095</v>
      </c>
      <c r="C73" s="21" t="s">
        <v>22</v>
      </c>
      <c r="D73" s="21" t="s">
        <v>416</v>
      </c>
      <c r="E73" s="21" t="s">
        <v>9</v>
      </c>
      <c r="F73" s="5812">
        <v>3</v>
      </c>
      <c r="G73" s="5813">
        <v>0.20833333333333334</v>
      </c>
      <c r="H73" s="21" t="s">
        <v>10</v>
      </c>
      <c r="I73" s="21" t="s">
        <v>96</v>
      </c>
      <c r="J73" s="21" t="s">
        <v>5096</v>
      </c>
      <c r="K73" s="5814" t="s">
        <v>5097</v>
      </c>
    </row>
    <row r="74" spans="1:11">
      <c r="A74" s="21" t="s">
        <v>2542</v>
      </c>
      <c r="B74" s="21" t="s">
        <v>5098</v>
      </c>
      <c r="C74" s="21" t="s">
        <v>22</v>
      </c>
      <c r="D74" s="21" t="s">
        <v>416</v>
      </c>
      <c r="E74" s="21" t="s">
        <v>9</v>
      </c>
      <c r="F74" s="5812">
        <v>3</v>
      </c>
      <c r="G74" s="5813">
        <v>0.20833333333333334</v>
      </c>
      <c r="H74" s="21" t="s">
        <v>10</v>
      </c>
      <c r="I74" s="21" t="s">
        <v>47</v>
      </c>
      <c r="J74" s="21" t="s">
        <v>5099</v>
      </c>
      <c r="K74" s="5814" t="s">
        <v>5100</v>
      </c>
    </row>
    <row r="75" spans="1:11">
      <c r="A75" s="21" t="s">
        <v>3387</v>
      </c>
      <c r="B75" s="21" t="s">
        <v>5101</v>
      </c>
      <c r="C75" s="21" t="s">
        <v>8</v>
      </c>
      <c r="D75" s="21" t="s">
        <v>416</v>
      </c>
      <c r="E75" s="21" t="s">
        <v>9</v>
      </c>
      <c r="F75" s="5812">
        <v>3</v>
      </c>
      <c r="G75" s="5813">
        <v>0.20833333333333334</v>
      </c>
      <c r="H75" s="21" t="s">
        <v>10</v>
      </c>
      <c r="I75" s="21" t="s">
        <v>47</v>
      </c>
      <c r="J75" s="21" t="s">
        <v>5090</v>
      </c>
      <c r="K75" s="5814" t="s">
        <v>5102</v>
      </c>
    </row>
    <row r="76" spans="1:11">
      <c r="A76" s="21" t="s">
        <v>3203</v>
      </c>
      <c r="B76" s="21" t="s">
        <v>5103</v>
      </c>
      <c r="C76" s="21" t="s">
        <v>8</v>
      </c>
      <c r="D76" s="21" t="s">
        <v>416</v>
      </c>
      <c r="E76" s="21" t="s">
        <v>9</v>
      </c>
      <c r="F76" s="5812">
        <v>3</v>
      </c>
      <c r="G76" s="5813">
        <v>0.20833333333333334</v>
      </c>
      <c r="H76" s="21" t="s">
        <v>10</v>
      </c>
      <c r="I76" s="21" t="s">
        <v>2713</v>
      </c>
      <c r="J76" s="21" t="s">
        <v>5104</v>
      </c>
      <c r="K76" s="5814" t="s">
        <v>5105</v>
      </c>
    </row>
    <row r="77" spans="1:11">
      <c r="A77" s="21" t="s">
        <v>2065</v>
      </c>
      <c r="B77" s="21" t="s">
        <v>5106</v>
      </c>
      <c r="C77" s="21" t="s">
        <v>22</v>
      </c>
      <c r="D77" s="21" t="s">
        <v>416</v>
      </c>
      <c r="E77" s="21" t="s">
        <v>9</v>
      </c>
      <c r="F77" s="5812">
        <v>3</v>
      </c>
      <c r="G77" s="5813">
        <v>0.20833333333333334</v>
      </c>
      <c r="H77" s="21" t="s">
        <v>10</v>
      </c>
      <c r="I77" s="21" t="s">
        <v>2176</v>
      </c>
      <c r="J77" s="21" t="s">
        <v>5107</v>
      </c>
      <c r="K77" s="5814" t="s">
        <v>5108</v>
      </c>
    </row>
    <row r="78" spans="1:11">
      <c r="A78" s="21" t="s">
        <v>2065</v>
      </c>
      <c r="B78" s="21" t="s">
        <v>5109</v>
      </c>
      <c r="C78" s="21" t="s">
        <v>22</v>
      </c>
      <c r="D78" s="21" t="s">
        <v>416</v>
      </c>
      <c r="E78" s="21" t="s">
        <v>9</v>
      </c>
      <c r="F78" s="5812">
        <v>3</v>
      </c>
      <c r="G78" s="5813">
        <v>0.20833333333333334</v>
      </c>
      <c r="H78" s="21" t="s">
        <v>10</v>
      </c>
      <c r="I78" s="21" t="s">
        <v>2067</v>
      </c>
      <c r="J78" s="21" t="s">
        <v>5110</v>
      </c>
      <c r="K78" s="5814" t="s">
        <v>5111</v>
      </c>
    </row>
    <row r="79" spans="1:11">
      <c r="A79" s="21" t="s">
        <v>4565</v>
      </c>
      <c r="B79" s="21" t="s">
        <v>5112</v>
      </c>
      <c r="C79" s="21" t="s">
        <v>8</v>
      </c>
      <c r="D79" s="21" t="s">
        <v>416</v>
      </c>
      <c r="E79" s="21" t="s">
        <v>9</v>
      </c>
      <c r="F79" s="5812">
        <v>3</v>
      </c>
      <c r="G79" s="5813">
        <v>0.20833333333333334</v>
      </c>
      <c r="H79" s="21" t="s">
        <v>10</v>
      </c>
      <c r="I79" s="21" t="s">
        <v>47</v>
      </c>
      <c r="J79" s="21" t="s">
        <v>5113</v>
      </c>
      <c r="K79" s="5814" t="s">
        <v>5114</v>
      </c>
    </row>
    <row r="80" spans="1:11">
      <c r="A80" s="21" t="s">
        <v>2555</v>
      </c>
      <c r="B80" s="21" t="s">
        <v>5115</v>
      </c>
      <c r="C80" s="21" t="s">
        <v>22</v>
      </c>
      <c r="D80" s="21" t="s">
        <v>416</v>
      </c>
      <c r="E80" s="21" t="s">
        <v>9</v>
      </c>
      <c r="F80" s="5812">
        <v>3</v>
      </c>
      <c r="G80" s="5813">
        <v>0.20833333333333334</v>
      </c>
      <c r="H80" s="21" t="s">
        <v>10</v>
      </c>
      <c r="I80" s="21" t="s">
        <v>55</v>
      </c>
      <c r="J80" s="21" t="s">
        <v>5116</v>
      </c>
      <c r="K80" s="5814" t="s">
        <v>5117</v>
      </c>
    </row>
    <row r="81" spans="1:11">
      <c r="A81" s="21" t="s">
        <v>3311</v>
      </c>
      <c r="B81" s="21" t="s">
        <v>5118</v>
      </c>
      <c r="C81" s="21" t="s">
        <v>22</v>
      </c>
      <c r="D81" s="21" t="s">
        <v>416</v>
      </c>
      <c r="E81" s="21" t="s">
        <v>9</v>
      </c>
      <c r="F81" s="5812">
        <v>3</v>
      </c>
      <c r="G81" s="5813">
        <v>0.20833333333333334</v>
      </c>
      <c r="H81" s="21" t="s">
        <v>10</v>
      </c>
      <c r="I81" s="21" t="s">
        <v>11</v>
      </c>
      <c r="J81" s="21" t="s">
        <v>5119</v>
      </c>
      <c r="K81" s="5814" t="s">
        <v>5120</v>
      </c>
    </row>
    <row r="82" spans="1:11">
      <c r="A82" s="21" t="s">
        <v>2156</v>
      </c>
      <c r="B82" s="21" t="s">
        <v>5121</v>
      </c>
      <c r="C82" s="21" t="s">
        <v>8</v>
      </c>
      <c r="D82" s="21" t="s">
        <v>416</v>
      </c>
      <c r="E82" s="21" t="s">
        <v>9</v>
      </c>
      <c r="F82" s="5812">
        <v>3</v>
      </c>
      <c r="G82" s="5813">
        <v>0.20833333333333334</v>
      </c>
      <c r="H82" s="21" t="s">
        <v>10</v>
      </c>
      <c r="I82" s="21" t="s">
        <v>23</v>
      </c>
      <c r="J82" s="21" t="s">
        <v>5122</v>
      </c>
      <c r="K82" s="5814" t="s">
        <v>5123</v>
      </c>
    </row>
    <row r="83" spans="1:11">
      <c r="A83" s="21" t="s">
        <v>2571</v>
      </c>
      <c r="B83" s="21" t="s">
        <v>5124</v>
      </c>
      <c r="C83" s="21" t="s">
        <v>8</v>
      </c>
      <c r="D83" s="21" t="s">
        <v>416</v>
      </c>
      <c r="E83" s="21" t="s">
        <v>9</v>
      </c>
      <c r="F83" s="5812">
        <v>3</v>
      </c>
      <c r="G83" s="5813">
        <v>0.20833333333333334</v>
      </c>
      <c r="H83" s="21" t="s">
        <v>10</v>
      </c>
      <c r="I83" s="21" t="s">
        <v>55</v>
      </c>
      <c r="J83" s="21" t="s">
        <v>5125</v>
      </c>
      <c r="K83" s="5814" t="s">
        <v>5126</v>
      </c>
    </row>
    <row r="84" spans="1:11">
      <c r="A84" s="21" t="s">
        <v>2579</v>
      </c>
      <c r="B84" s="21" t="s">
        <v>5127</v>
      </c>
      <c r="C84" s="21" t="s">
        <v>8</v>
      </c>
      <c r="D84" s="21" t="s">
        <v>416</v>
      </c>
      <c r="E84" s="21" t="s">
        <v>9</v>
      </c>
      <c r="F84" s="5812">
        <v>3</v>
      </c>
      <c r="G84" s="5813">
        <v>0.20833333333333334</v>
      </c>
      <c r="H84" s="21" t="s">
        <v>10</v>
      </c>
      <c r="I84" s="21" t="s">
        <v>2269</v>
      </c>
      <c r="J84" s="21" t="s">
        <v>5128</v>
      </c>
      <c r="K84" s="5814" t="s">
        <v>5129</v>
      </c>
    </row>
    <row r="85" spans="1:11">
      <c r="A85" s="21" t="s">
        <v>4724</v>
      </c>
      <c r="B85" s="21" t="s">
        <v>5130</v>
      </c>
      <c r="C85" s="21" t="s">
        <v>22</v>
      </c>
      <c r="D85" s="21" t="s">
        <v>416</v>
      </c>
      <c r="E85" s="21" t="s">
        <v>9</v>
      </c>
      <c r="F85" s="5812">
        <v>3</v>
      </c>
      <c r="G85" s="5813">
        <v>0.20833333333333334</v>
      </c>
      <c r="H85" s="21" t="s">
        <v>10</v>
      </c>
      <c r="I85" s="21" t="s">
        <v>226</v>
      </c>
      <c r="J85" s="21" t="s">
        <v>5131</v>
      </c>
      <c r="K85" s="5814" t="s">
        <v>5132</v>
      </c>
    </row>
    <row r="86" spans="1:11">
      <c r="A86" s="21" t="s">
        <v>2638</v>
      </c>
      <c r="B86" s="21" t="s">
        <v>5133</v>
      </c>
      <c r="C86" s="21" t="s">
        <v>8</v>
      </c>
      <c r="D86" s="21" t="s">
        <v>416</v>
      </c>
      <c r="E86" s="21" t="s">
        <v>9</v>
      </c>
      <c r="F86" s="5812">
        <v>3</v>
      </c>
      <c r="G86" s="5813">
        <v>0.20833333333333334</v>
      </c>
      <c r="H86" s="21" t="s">
        <v>10</v>
      </c>
      <c r="I86" s="21" t="s">
        <v>11</v>
      </c>
      <c r="J86" s="21" t="s">
        <v>5134</v>
      </c>
      <c r="K86" s="5814" t="s">
        <v>5135</v>
      </c>
    </row>
    <row r="87" spans="1:11">
      <c r="A87" s="21" t="s">
        <v>2638</v>
      </c>
      <c r="B87" s="21" t="s">
        <v>5136</v>
      </c>
      <c r="C87" s="21" t="s">
        <v>22</v>
      </c>
      <c r="D87" s="21" t="s">
        <v>416</v>
      </c>
      <c r="E87" s="21" t="s">
        <v>9</v>
      </c>
      <c r="F87" s="5812">
        <v>3</v>
      </c>
      <c r="G87" s="5813">
        <v>0.20833333333333334</v>
      </c>
      <c r="H87" s="21" t="s">
        <v>10</v>
      </c>
      <c r="I87" s="21" t="s">
        <v>2959</v>
      </c>
      <c r="J87" s="21" t="s">
        <v>5137</v>
      </c>
      <c r="K87" s="5814" t="s">
        <v>5138</v>
      </c>
    </row>
    <row r="88" spans="1:11">
      <c r="A88" s="21" t="s">
        <v>3328</v>
      </c>
      <c r="B88" s="21" t="s">
        <v>5139</v>
      </c>
      <c r="C88" s="21" t="s">
        <v>8</v>
      </c>
      <c r="D88" s="21" t="s">
        <v>416</v>
      </c>
      <c r="E88" s="21" t="s">
        <v>9</v>
      </c>
      <c r="F88" s="5812">
        <v>3</v>
      </c>
      <c r="G88" s="5813">
        <v>0.20833333333333334</v>
      </c>
      <c r="H88" s="21" t="s">
        <v>10</v>
      </c>
      <c r="I88" s="21" t="s">
        <v>2692</v>
      </c>
      <c r="J88" s="21" t="s">
        <v>5140</v>
      </c>
      <c r="K88" s="5814" t="s">
        <v>5141</v>
      </c>
    </row>
    <row r="89" spans="1:11">
      <c r="A89" s="21" t="s">
        <v>4527</v>
      </c>
      <c r="B89" s="21" t="s">
        <v>5142</v>
      </c>
      <c r="C89" s="21" t="s">
        <v>8</v>
      </c>
      <c r="D89" s="21" t="s">
        <v>416</v>
      </c>
      <c r="E89" s="21" t="s">
        <v>9</v>
      </c>
      <c r="F89" s="5812">
        <v>3</v>
      </c>
      <c r="G89" s="5813">
        <v>0.20833333333333334</v>
      </c>
      <c r="H89" s="21" t="s">
        <v>10</v>
      </c>
      <c r="I89" s="21" t="s">
        <v>55</v>
      </c>
      <c r="J89" s="21" t="s">
        <v>5143</v>
      </c>
      <c r="K89" s="5814" t="s">
        <v>5144</v>
      </c>
    </row>
    <row r="90" spans="1:11">
      <c r="A90" s="21" t="s">
        <v>4527</v>
      </c>
      <c r="B90" s="21" t="s">
        <v>5145</v>
      </c>
      <c r="C90" s="21" t="s">
        <v>22</v>
      </c>
      <c r="D90" s="21" t="s">
        <v>416</v>
      </c>
      <c r="E90" s="21" t="s">
        <v>9</v>
      </c>
      <c r="F90" s="5812">
        <v>3</v>
      </c>
      <c r="G90" s="5813">
        <v>0.20833333333333334</v>
      </c>
      <c r="H90" s="21" t="s">
        <v>10</v>
      </c>
      <c r="I90" s="21" t="s">
        <v>2660</v>
      </c>
      <c r="J90" s="21" t="s">
        <v>5146</v>
      </c>
      <c r="K90" s="5814" t="s">
        <v>5147</v>
      </c>
    </row>
    <row r="91" spans="1:11">
      <c r="A91" s="21" t="s">
        <v>5148</v>
      </c>
      <c r="B91" s="21" t="s">
        <v>5149</v>
      </c>
      <c r="C91" s="21" t="s">
        <v>22</v>
      </c>
      <c r="D91" s="21" t="s">
        <v>416</v>
      </c>
      <c r="E91" s="21" t="s">
        <v>9</v>
      </c>
      <c r="F91" s="5812">
        <v>3</v>
      </c>
      <c r="G91" s="5813">
        <v>0.20833333333333334</v>
      </c>
      <c r="H91" s="21" t="s">
        <v>10</v>
      </c>
      <c r="I91" s="21" t="s">
        <v>55</v>
      </c>
      <c r="J91" s="21" t="s">
        <v>5150</v>
      </c>
      <c r="K91" s="5814" t="s">
        <v>5151</v>
      </c>
    </row>
    <row r="92" spans="1:11">
      <c r="A92" s="21" t="s">
        <v>2711</v>
      </c>
      <c r="B92" s="21" t="s">
        <v>5152</v>
      </c>
      <c r="C92" s="21" t="s">
        <v>22</v>
      </c>
      <c r="D92" s="21" t="s">
        <v>416</v>
      </c>
      <c r="E92" s="21" t="s">
        <v>9</v>
      </c>
      <c r="F92" s="5812">
        <v>3</v>
      </c>
      <c r="G92" s="5813">
        <v>0.20833333333333334</v>
      </c>
      <c r="H92" s="21" t="s">
        <v>10</v>
      </c>
      <c r="I92" s="21" t="s">
        <v>47</v>
      </c>
      <c r="J92" s="21" t="s">
        <v>5153</v>
      </c>
      <c r="K92" s="5814" t="s">
        <v>5154</v>
      </c>
    </row>
    <row r="93" spans="1:11">
      <c r="A93" s="21" t="s">
        <v>2724</v>
      </c>
      <c r="B93" s="21" t="s">
        <v>5155</v>
      </c>
      <c r="C93" s="21" t="s">
        <v>22</v>
      </c>
      <c r="D93" s="21" t="s">
        <v>416</v>
      </c>
      <c r="E93" s="21" t="s">
        <v>9</v>
      </c>
      <c r="F93" s="5812">
        <v>3</v>
      </c>
      <c r="G93" s="5813">
        <v>0.20833333333333334</v>
      </c>
      <c r="H93" s="21" t="s">
        <v>10</v>
      </c>
      <c r="I93" s="21" t="s">
        <v>3138</v>
      </c>
      <c r="J93" s="21" t="s">
        <v>5156</v>
      </c>
      <c r="K93" s="5814" t="s">
        <v>5157</v>
      </c>
    </row>
    <row r="94" spans="1:11">
      <c r="A94" s="21" t="s">
        <v>2737</v>
      </c>
      <c r="B94" s="21" t="s">
        <v>5158</v>
      </c>
      <c r="C94" s="21" t="s">
        <v>22</v>
      </c>
      <c r="D94" s="21" t="s">
        <v>416</v>
      </c>
      <c r="E94" s="21" t="s">
        <v>9</v>
      </c>
      <c r="F94" s="5812">
        <v>3</v>
      </c>
      <c r="G94" s="5813">
        <v>0.20833333333333334</v>
      </c>
      <c r="H94" s="21" t="s">
        <v>10</v>
      </c>
      <c r="I94" s="21" t="s">
        <v>5159</v>
      </c>
      <c r="J94" s="21" t="s">
        <v>5160</v>
      </c>
      <c r="K94" s="5814" t="s">
        <v>5161</v>
      </c>
    </row>
    <row r="95" spans="1:11">
      <c r="A95" s="21" t="s">
        <v>3125</v>
      </c>
      <c r="B95" s="21" t="s">
        <v>5162</v>
      </c>
      <c r="C95" s="21" t="s">
        <v>8</v>
      </c>
      <c r="D95" s="21" t="s">
        <v>416</v>
      </c>
      <c r="E95" s="21" t="s">
        <v>9</v>
      </c>
      <c r="F95" s="5812">
        <v>3</v>
      </c>
      <c r="G95" s="5813">
        <v>0.20833333333333334</v>
      </c>
      <c r="H95" s="21" t="s">
        <v>10</v>
      </c>
      <c r="I95" s="21" t="s">
        <v>226</v>
      </c>
      <c r="J95" s="21" t="s">
        <v>5163</v>
      </c>
      <c r="K95" s="5814" t="s">
        <v>5164</v>
      </c>
    </row>
    <row r="96" spans="1:11">
      <c r="A96" s="21" t="s">
        <v>3369</v>
      </c>
      <c r="B96" s="21" t="s">
        <v>5165</v>
      </c>
      <c r="C96" s="21" t="s">
        <v>22</v>
      </c>
      <c r="D96" s="21" t="s">
        <v>416</v>
      </c>
      <c r="E96" s="21" t="s">
        <v>9</v>
      </c>
      <c r="F96" s="5812">
        <v>3</v>
      </c>
      <c r="G96" s="5813">
        <v>0.20833333333333334</v>
      </c>
      <c r="H96" s="21" t="s">
        <v>10</v>
      </c>
      <c r="I96" s="21" t="s">
        <v>2297</v>
      </c>
      <c r="J96" s="21" t="s">
        <v>5166</v>
      </c>
      <c r="K96" s="5814" t="s">
        <v>5167</v>
      </c>
    </row>
    <row r="97" spans="1:11">
      <c r="A97" s="21" t="s">
        <v>5168</v>
      </c>
      <c r="B97" s="21" t="s">
        <v>5169</v>
      </c>
      <c r="C97" s="21" t="s">
        <v>8</v>
      </c>
      <c r="D97" s="21" t="s">
        <v>416</v>
      </c>
      <c r="E97" s="21" t="s">
        <v>9</v>
      </c>
      <c r="F97" s="5812">
        <v>3</v>
      </c>
      <c r="G97" s="5813">
        <v>0.20833333333333334</v>
      </c>
      <c r="H97" s="21" t="s">
        <v>10</v>
      </c>
      <c r="I97" s="21" t="s">
        <v>11</v>
      </c>
      <c r="J97" s="21" t="s">
        <v>5170</v>
      </c>
      <c r="K97" s="5814" t="s">
        <v>5171</v>
      </c>
    </row>
    <row r="98" spans="1:11">
      <c r="A98" s="21" t="s">
        <v>3532</v>
      </c>
      <c r="B98" s="21" t="s">
        <v>5172</v>
      </c>
      <c r="C98" s="21" t="s">
        <v>22</v>
      </c>
      <c r="D98" s="21" t="s">
        <v>416</v>
      </c>
      <c r="E98" s="21" t="s">
        <v>9</v>
      </c>
      <c r="F98" s="5812">
        <v>3</v>
      </c>
      <c r="G98" s="5813">
        <v>0.20833333333333334</v>
      </c>
      <c r="H98" s="21" t="s">
        <v>10</v>
      </c>
      <c r="I98" s="21" t="s">
        <v>2269</v>
      </c>
      <c r="J98" s="21" t="s">
        <v>5173</v>
      </c>
      <c r="K98" s="5814" t="s">
        <v>5174</v>
      </c>
    </row>
    <row r="99" spans="1:11">
      <c r="A99" s="21" t="s">
        <v>2221</v>
      </c>
      <c r="B99" s="21" t="s">
        <v>5175</v>
      </c>
      <c r="C99" s="21" t="s">
        <v>8</v>
      </c>
      <c r="D99" s="21" t="s">
        <v>416</v>
      </c>
      <c r="E99" s="21" t="s">
        <v>9</v>
      </c>
      <c r="F99" s="5812">
        <v>3</v>
      </c>
      <c r="G99" s="5813">
        <v>0.20833333333333334</v>
      </c>
      <c r="H99" s="21" t="s">
        <v>10</v>
      </c>
      <c r="I99" s="21" t="s">
        <v>23</v>
      </c>
      <c r="J99" s="21" t="s">
        <v>5176</v>
      </c>
      <c r="K99" s="5814" t="s">
        <v>5177</v>
      </c>
    </row>
    <row r="100" spans="1:11">
      <c r="A100" s="21" t="s">
        <v>3053</v>
      </c>
      <c r="B100" s="21" t="s">
        <v>5178</v>
      </c>
      <c r="C100" s="21" t="s">
        <v>8</v>
      </c>
      <c r="D100" s="21" t="s">
        <v>416</v>
      </c>
      <c r="E100" s="21" t="s">
        <v>9</v>
      </c>
      <c r="F100" s="5812">
        <v>3</v>
      </c>
      <c r="G100" s="5813">
        <v>0.20833333333333334</v>
      </c>
      <c r="H100" s="21" t="s">
        <v>10</v>
      </c>
      <c r="I100" s="21" t="s">
        <v>2860</v>
      </c>
      <c r="J100" s="21" t="s">
        <v>5179</v>
      </c>
      <c r="K100" s="5814" t="s">
        <v>5180</v>
      </c>
    </row>
    <row r="101" spans="1:11">
      <c r="A101" s="21" t="s">
        <v>4317</v>
      </c>
      <c r="B101" s="21" t="s">
        <v>5181</v>
      </c>
      <c r="C101" s="21" t="s">
        <v>8</v>
      </c>
      <c r="D101" s="21" t="s">
        <v>416</v>
      </c>
      <c r="E101" s="21" t="s">
        <v>9</v>
      </c>
      <c r="F101" s="5812">
        <v>3</v>
      </c>
      <c r="G101" s="5813">
        <v>0.20833333333333334</v>
      </c>
      <c r="H101" s="21" t="s">
        <v>10</v>
      </c>
      <c r="I101" s="21" t="s">
        <v>47</v>
      </c>
      <c r="J101" s="21" t="s">
        <v>5182</v>
      </c>
      <c r="K101" s="5814" t="s">
        <v>5183</v>
      </c>
    </row>
    <row r="102" spans="1:11">
      <c r="A102" s="21" t="s">
        <v>2784</v>
      </c>
      <c r="B102" s="21" t="s">
        <v>5184</v>
      </c>
      <c r="C102" s="21" t="s">
        <v>22</v>
      </c>
      <c r="D102" s="21" t="s">
        <v>416</v>
      </c>
      <c r="E102" s="21" t="s">
        <v>9</v>
      </c>
      <c r="F102" s="5812">
        <v>3</v>
      </c>
      <c r="G102" s="5813">
        <v>0.20833333333333334</v>
      </c>
      <c r="H102" s="21" t="s">
        <v>10</v>
      </c>
      <c r="I102" s="21" t="s">
        <v>3777</v>
      </c>
      <c r="J102" s="21" t="s">
        <v>5185</v>
      </c>
      <c r="K102" s="5814" t="s">
        <v>5186</v>
      </c>
    </row>
    <row r="103" spans="1:11">
      <c r="A103" s="21" t="s">
        <v>4568</v>
      </c>
      <c r="B103" s="21" t="s">
        <v>5187</v>
      </c>
      <c r="C103" s="21" t="s">
        <v>22</v>
      </c>
      <c r="D103" s="21" t="s">
        <v>416</v>
      </c>
      <c r="E103" s="21" t="s">
        <v>9</v>
      </c>
      <c r="F103" s="5812">
        <v>3</v>
      </c>
      <c r="G103" s="5813">
        <v>0.20833333333333334</v>
      </c>
      <c r="H103" s="21" t="s">
        <v>10</v>
      </c>
      <c r="I103" s="21" t="s">
        <v>2297</v>
      </c>
      <c r="J103" s="21" t="s">
        <v>5188</v>
      </c>
      <c r="K103" s="5814" t="s">
        <v>5189</v>
      </c>
    </row>
    <row r="104" spans="1:11">
      <c r="A104" s="21" t="s">
        <v>2788</v>
      </c>
      <c r="B104" s="21" t="s">
        <v>5190</v>
      </c>
      <c r="C104" s="21" t="s">
        <v>22</v>
      </c>
      <c r="D104" s="21" t="s">
        <v>416</v>
      </c>
      <c r="E104" s="21" t="s">
        <v>9</v>
      </c>
      <c r="F104" s="5812">
        <v>3</v>
      </c>
      <c r="G104" s="5813">
        <v>0.20833333333333334</v>
      </c>
      <c r="H104" s="21" t="s">
        <v>10</v>
      </c>
      <c r="I104" s="21" t="s">
        <v>2247</v>
      </c>
      <c r="J104" s="21" t="s">
        <v>5191</v>
      </c>
      <c r="K104" s="5814" t="s">
        <v>5192</v>
      </c>
    </row>
    <row r="105" spans="1:11">
      <c r="A105" s="21" t="s">
        <v>3783</v>
      </c>
      <c r="B105" s="21" t="s">
        <v>5193</v>
      </c>
      <c r="C105" s="21" t="s">
        <v>8</v>
      </c>
      <c r="D105" s="21" t="s">
        <v>416</v>
      </c>
      <c r="E105" s="21" t="s">
        <v>9</v>
      </c>
      <c r="F105" s="5812">
        <v>3</v>
      </c>
      <c r="G105" s="5813">
        <v>0.20833333333333334</v>
      </c>
      <c r="H105" s="21" t="s">
        <v>10</v>
      </c>
      <c r="I105" s="21" t="s">
        <v>226</v>
      </c>
      <c r="J105" s="21" t="s">
        <v>5194</v>
      </c>
      <c r="K105" s="5814" t="s">
        <v>5195</v>
      </c>
    </row>
    <row r="106" spans="1:11">
      <c r="A106" s="21" t="s">
        <v>2241</v>
      </c>
      <c r="B106" s="21" t="s">
        <v>5196</v>
      </c>
      <c r="C106" s="21" t="s">
        <v>22</v>
      </c>
      <c r="D106" s="21" t="s">
        <v>416</v>
      </c>
      <c r="E106" s="21" t="s">
        <v>9</v>
      </c>
      <c r="F106" s="5812">
        <v>3</v>
      </c>
      <c r="G106" s="5813">
        <v>0.20833333333333334</v>
      </c>
      <c r="H106" s="21" t="s">
        <v>10</v>
      </c>
      <c r="I106" s="21" t="s">
        <v>55</v>
      </c>
      <c r="J106" s="21" t="s">
        <v>5197</v>
      </c>
      <c r="K106" s="5814" t="s">
        <v>5198</v>
      </c>
    </row>
    <row r="107" spans="1:11">
      <c r="A107" s="21" t="s">
        <v>2800</v>
      </c>
      <c r="B107" s="21" t="s">
        <v>5199</v>
      </c>
      <c r="C107" s="21" t="s">
        <v>22</v>
      </c>
      <c r="D107" s="21" t="s">
        <v>416</v>
      </c>
      <c r="E107" s="21" t="s">
        <v>9</v>
      </c>
      <c r="F107" s="5812">
        <v>3</v>
      </c>
      <c r="G107" s="5813">
        <v>0.20833333333333334</v>
      </c>
      <c r="H107" s="21" t="s">
        <v>10</v>
      </c>
      <c r="I107" s="21" t="s">
        <v>226</v>
      </c>
      <c r="J107" s="21" t="s">
        <v>5200</v>
      </c>
      <c r="K107" s="5814" t="s">
        <v>5201</v>
      </c>
    </row>
    <row r="108" spans="1:11">
      <c r="A108" s="21" t="s">
        <v>2804</v>
      </c>
      <c r="B108" s="21" t="s">
        <v>5202</v>
      </c>
      <c r="C108" s="21" t="s">
        <v>8</v>
      </c>
      <c r="D108" s="21" t="s">
        <v>416</v>
      </c>
      <c r="E108" s="21" t="s">
        <v>9</v>
      </c>
      <c r="F108" s="5812">
        <v>3</v>
      </c>
      <c r="G108" s="5813">
        <v>0.20833333333333334</v>
      </c>
      <c r="H108" s="21" t="s">
        <v>10</v>
      </c>
      <c r="I108" s="21" t="s">
        <v>89</v>
      </c>
      <c r="J108" s="21" t="s">
        <v>5203</v>
      </c>
      <c r="K108" s="5814" t="s">
        <v>5204</v>
      </c>
    </row>
    <row r="109" spans="1:11">
      <c r="A109" s="21" t="s">
        <v>4345</v>
      </c>
      <c r="B109" s="21" t="s">
        <v>5205</v>
      </c>
      <c r="C109" s="21" t="s">
        <v>8</v>
      </c>
      <c r="D109" s="21" t="s">
        <v>416</v>
      </c>
      <c r="E109" s="21" t="s">
        <v>9</v>
      </c>
      <c r="F109" s="5812">
        <v>3</v>
      </c>
      <c r="G109" s="5813">
        <v>0.20833333333333334</v>
      </c>
      <c r="H109" s="21" t="s">
        <v>10</v>
      </c>
      <c r="I109" s="21" t="s">
        <v>55</v>
      </c>
      <c r="J109" s="21" t="s">
        <v>5206</v>
      </c>
      <c r="K109" s="5814" t="s">
        <v>5207</v>
      </c>
    </row>
    <row r="110" spans="1:11">
      <c r="A110" s="21" t="s">
        <v>4345</v>
      </c>
      <c r="B110" s="21" t="s">
        <v>5208</v>
      </c>
      <c r="C110" s="21" t="s">
        <v>22</v>
      </c>
      <c r="D110" s="21" t="s">
        <v>416</v>
      </c>
      <c r="E110" s="21" t="s">
        <v>9</v>
      </c>
      <c r="F110" s="5812">
        <v>3</v>
      </c>
      <c r="G110" s="5813">
        <v>0.20833333333333334</v>
      </c>
      <c r="H110" s="21" t="s">
        <v>10</v>
      </c>
      <c r="I110" s="21" t="s">
        <v>2660</v>
      </c>
      <c r="J110" s="21" t="s">
        <v>5209</v>
      </c>
      <c r="K110" s="5814" t="s">
        <v>5210</v>
      </c>
    </row>
    <row r="111" spans="1:11">
      <c r="A111" s="21" t="s">
        <v>2812</v>
      </c>
      <c r="B111" s="21" t="s">
        <v>5211</v>
      </c>
      <c r="C111" s="21" t="s">
        <v>8</v>
      </c>
      <c r="D111" s="21" t="s">
        <v>416</v>
      </c>
      <c r="E111" s="21" t="s">
        <v>9</v>
      </c>
      <c r="F111" s="5812">
        <v>3</v>
      </c>
      <c r="G111" s="5813">
        <v>0.20833333333333334</v>
      </c>
      <c r="H111" s="21" t="s">
        <v>10</v>
      </c>
      <c r="I111" s="21" t="s">
        <v>2731</v>
      </c>
      <c r="J111" s="21" t="s">
        <v>5212</v>
      </c>
      <c r="K111" s="5814" t="s">
        <v>5213</v>
      </c>
    </row>
    <row r="112" spans="1:11">
      <c r="A112" s="21" t="s">
        <v>2817</v>
      </c>
      <c r="B112" s="21" t="s">
        <v>5214</v>
      </c>
      <c r="C112" s="21" t="s">
        <v>8</v>
      </c>
      <c r="D112" s="21" t="s">
        <v>416</v>
      </c>
      <c r="E112" s="21" t="s">
        <v>9</v>
      </c>
      <c r="F112" s="5812">
        <v>3</v>
      </c>
      <c r="G112" s="5813">
        <v>0.20833333333333334</v>
      </c>
      <c r="H112" s="21" t="s">
        <v>10</v>
      </c>
      <c r="I112" s="21" t="s">
        <v>2747</v>
      </c>
      <c r="J112" s="21" t="s">
        <v>5215</v>
      </c>
      <c r="K112" s="5814" t="s">
        <v>5216</v>
      </c>
    </row>
    <row r="113" spans="1:11">
      <c r="A113" s="21" t="s">
        <v>3458</v>
      </c>
      <c r="B113" s="21" t="s">
        <v>5217</v>
      </c>
      <c r="C113" s="21" t="s">
        <v>8</v>
      </c>
      <c r="D113" s="21" t="s">
        <v>416</v>
      </c>
      <c r="E113" s="21" t="s">
        <v>9</v>
      </c>
      <c r="F113" s="5812">
        <v>3</v>
      </c>
      <c r="G113" s="5813">
        <v>0.20833333333333334</v>
      </c>
      <c r="H113" s="21" t="s">
        <v>10</v>
      </c>
      <c r="I113" s="21" t="s">
        <v>400</v>
      </c>
      <c r="J113" s="21" t="s">
        <v>5218</v>
      </c>
      <c r="K113" s="5814" t="s">
        <v>5219</v>
      </c>
    </row>
    <row r="114" spans="1:11">
      <c r="A114" s="21" t="s">
        <v>5220</v>
      </c>
      <c r="B114" s="21" t="s">
        <v>5221</v>
      </c>
      <c r="C114" s="21" t="s">
        <v>8</v>
      </c>
      <c r="D114" s="21" t="s">
        <v>416</v>
      </c>
      <c r="E114" s="21" t="s">
        <v>9</v>
      </c>
      <c r="F114" s="5812">
        <v>3</v>
      </c>
      <c r="G114" s="5813">
        <v>0.20833333333333334</v>
      </c>
      <c r="H114" s="21" t="s">
        <v>10</v>
      </c>
      <c r="I114" s="21" t="s">
        <v>47</v>
      </c>
      <c r="J114" s="21" t="s">
        <v>5222</v>
      </c>
      <c r="K114" s="5814" t="s">
        <v>5223</v>
      </c>
    </row>
    <row r="115" spans="1:11">
      <c r="A115" s="21" t="s">
        <v>4645</v>
      </c>
      <c r="B115" s="21" t="s">
        <v>5224</v>
      </c>
      <c r="C115" s="21" t="s">
        <v>8</v>
      </c>
      <c r="D115" s="21" t="s">
        <v>416</v>
      </c>
      <c r="E115" s="21" t="s">
        <v>9</v>
      </c>
      <c r="F115" s="5812">
        <v>3</v>
      </c>
      <c r="G115" s="5813">
        <v>0.20833333333333334</v>
      </c>
      <c r="H115" s="21" t="s">
        <v>10</v>
      </c>
      <c r="I115" s="21" t="s">
        <v>39</v>
      </c>
      <c r="J115" s="21" t="s">
        <v>5225</v>
      </c>
      <c r="K115" s="5814" t="s">
        <v>5226</v>
      </c>
    </row>
    <row r="116" spans="1:11">
      <c r="A116" s="21" t="s">
        <v>4409</v>
      </c>
      <c r="B116" s="21" t="s">
        <v>5227</v>
      </c>
      <c r="C116" s="21" t="s">
        <v>8</v>
      </c>
      <c r="D116" s="21" t="s">
        <v>416</v>
      </c>
      <c r="E116" s="21" t="s">
        <v>9</v>
      </c>
      <c r="F116" s="5812">
        <v>3</v>
      </c>
      <c r="G116" s="5813">
        <v>0.20833333333333334</v>
      </c>
      <c r="H116" s="21" t="s">
        <v>10</v>
      </c>
      <c r="I116" s="21" t="s">
        <v>2297</v>
      </c>
      <c r="J116" s="21" t="s">
        <v>2743</v>
      </c>
      <c r="K116" s="5814" t="s">
        <v>5228</v>
      </c>
    </row>
    <row r="117" spans="1:11">
      <c r="A117" s="21" t="s">
        <v>4409</v>
      </c>
      <c r="B117" s="21" t="s">
        <v>5229</v>
      </c>
      <c r="C117" s="21" t="s">
        <v>22</v>
      </c>
      <c r="D117" s="21" t="s">
        <v>416</v>
      </c>
      <c r="E117" s="21" t="s">
        <v>9</v>
      </c>
      <c r="F117" s="5812">
        <v>3</v>
      </c>
      <c r="G117" s="5813">
        <v>0.20833333333333334</v>
      </c>
      <c r="H117" s="21" t="s">
        <v>10</v>
      </c>
      <c r="I117" s="21" t="s">
        <v>55</v>
      </c>
      <c r="J117" s="21" t="s">
        <v>5230</v>
      </c>
      <c r="K117" s="5814" t="s">
        <v>5231</v>
      </c>
    </row>
    <row r="118" spans="1:11">
      <c r="A118" s="21" t="s">
        <v>2846</v>
      </c>
      <c r="B118" s="21" t="s">
        <v>5232</v>
      </c>
      <c r="C118" s="21" t="s">
        <v>22</v>
      </c>
      <c r="D118" s="21" t="s">
        <v>416</v>
      </c>
      <c r="E118" s="21" t="s">
        <v>9</v>
      </c>
      <c r="F118" s="5812">
        <v>3</v>
      </c>
      <c r="G118" s="5813">
        <v>0.20833333333333334</v>
      </c>
      <c r="H118" s="21" t="s">
        <v>10</v>
      </c>
      <c r="I118" s="21" t="s">
        <v>117</v>
      </c>
      <c r="J118" s="21" t="s">
        <v>5233</v>
      </c>
      <c r="K118" s="5814" t="s">
        <v>5234</v>
      </c>
    </row>
    <row r="119" spans="1:11">
      <c r="A119" s="21" t="s">
        <v>5235</v>
      </c>
      <c r="B119" s="21" t="s">
        <v>5236</v>
      </c>
      <c r="C119" s="21" t="s">
        <v>22</v>
      </c>
      <c r="D119" s="21" t="s">
        <v>416</v>
      </c>
      <c r="E119" s="21" t="s">
        <v>9</v>
      </c>
      <c r="F119" s="5812">
        <v>3</v>
      </c>
      <c r="G119" s="5813">
        <v>0.20833333333333334</v>
      </c>
      <c r="H119" s="21" t="s">
        <v>10</v>
      </c>
      <c r="I119" s="21" t="s">
        <v>3534</v>
      </c>
      <c r="J119" s="21" t="s">
        <v>5237</v>
      </c>
      <c r="K119" s="5814" t="s">
        <v>5238</v>
      </c>
    </row>
    <row r="120" spans="1:11">
      <c r="A120" s="21" t="s">
        <v>4434</v>
      </c>
      <c r="B120" s="21" t="s">
        <v>5239</v>
      </c>
      <c r="C120" s="21" t="s">
        <v>8</v>
      </c>
      <c r="D120" s="21" t="s">
        <v>416</v>
      </c>
      <c r="E120" s="21" t="s">
        <v>9</v>
      </c>
      <c r="F120" s="5812">
        <v>3</v>
      </c>
      <c r="G120" s="5813">
        <v>0.20833333333333334</v>
      </c>
      <c r="H120" s="21" t="s">
        <v>10</v>
      </c>
      <c r="I120" s="21" t="s">
        <v>73</v>
      </c>
      <c r="J120" s="21" t="s">
        <v>5240</v>
      </c>
      <c r="K120" s="5814" t="s">
        <v>5241</v>
      </c>
    </row>
    <row r="121" spans="1:11">
      <c r="A121" s="21" t="s">
        <v>4434</v>
      </c>
      <c r="B121" s="21" t="s">
        <v>5242</v>
      </c>
      <c r="C121" s="21" t="s">
        <v>22</v>
      </c>
      <c r="D121" s="21" t="s">
        <v>416</v>
      </c>
      <c r="E121" s="21" t="s">
        <v>9</v>
      </c>
      <c r="F121" s="5812">
        <v>3</v>
      </c>
      <c r="G121" s="5813">
        <v>0.20833333333333334</v>
      </c>
      <c r="H121" s="21" t="s">
        <v>10</v>
      </c>
      <c r="I121" s="21" t="s">
        <v>5243</v>
      </c>
      <c r="J121" s="21" t="s">
        <v>5244</v>
      </c>
      <c r="K121" s="5814" t="s">
        <v>5245</v>
      </c>
    </row>
    <row r="122" spans="1:11">
      <c r="A122" s="21" t="s">
        <v>2858</v>
      </c>
      <c r="B122" s="21" t="s">
        <v>5246</v>
      </c>
      <c r="C122" s="21" t="s">
        <v>8</v>
      </c>
      <c r="D122" s="21" t="s">
        <v>416</v>
      </c>
      <c r="E122" s="21" t="s">
        <v>9</v>
      </c>
      <c r="F122" s="5812">
        <v>3</v>
      </c>
      <c r="G122" s="5813">
        <v>0.20833333333333334</v>
      </c>
      <c r="H122" s="21" t="s">
        <v>10</v>
      </c>
      <c r="I122" s="21" t="s">
        <v>2269</v>
      </c>
      <c r="J122" s="21" t="s">
        <v>5247</v>
      </c>
      <c r="K122" s="5814" t="s">
        <v>5248</v>
      </c>
    </row>
    <row r="123" spans="1:11">
      <c r="A123" s="21" t="s">
        <v>2276</v>
      </c>
      <c r="B123" s="21" t="s">
        <v>5249</v>
      </c>
      <c r="C123" s="21" t="s">
        <v>8</v>
      </c>
      <c r="D123" s="21" t="s">
        <v>416</v>
      </c>
      <c r="E123" s="21" t="s">
        <v>9</v>
      </c>
      <c r="F123" s="5812">
        <v>3</v>
      </c>
      <c r="G123" s="5813">
        <v>0.20833333333333334</v>
      </c>
      <c r="H123" s="21" t="s">
        <v>10</v>
      </c>
      <c r="I123" s="21" t="s">
        <v>2247</v>
      </c>
      <c r="J123" s="21" t="s">
        <v>5250</v>
      </c>
      <c r="K123" s="5814" t="s">
        <v>5251</v>
      </c>
    </row>
    <row r="124" spans="1:11">
      <c r="A124" s="21" t="s">
        <v>2961</v>
      </c>
      <c r="B124" s="21" t="s">
        <v>5252</v>
      </c>
      <c r="C124" s="21" t="s">
        <v>8</v>
      </c>
      <c r="D124" s="21" t="s">
        <v>416</v>
      </c>
      <c r="E124" s="21" t="s">
        <v>9</v>
      </c>
      <c r="F124" s="5812">
        <v>3</v>
      </c>
      <c r="G124" s="5813">
        <v>0.20833333333333334</v>
      </c>
      <c r="H124" s="21" t="s">
        <v>10</v>
      </c>
      <c r="I124" s="21" t="s">
        <v>2260</v>
      </c>
      <c r="J124" s="21" t="s">
        <v>5253</v>
      </c>
      <c r="K124" s="5814" t="s">
        <v>5254</v>
      </c>
    </row>
    <row r="125" spans="1:11">
      <c r="A125" s="21" t="s">
        <v>2882</v>
      </c>
      <c r="B125" s="21" t="s">
        <v>5255</v>
      </c>
      <c r="C125" s="21" t="s">
        <v>22</v>
      </c>
      <c r="D125" s="21" t="s">
        <v>416</v>
      </c>
      <c r="E125" s="21" t="s">
        <v>9</v>
      </c>
      <c r="F125" s="5812">
        <v>3</v>
      </c>
      <c r="G125" s="5813">
        <v>0.20833333333333334</v>
      </c>
      <c r="H125" s="21" t="s">
        <v>10</v>
      </c>
      <c r="I125" s="21" t="s">
        <v>47</v>
      </c>
      <c r="J125" s="21" t="s">
        <v>5256</v>
      </c>
      <c r="K125" s="5814" t="s">
        <v>5257</v>
      </c>
    </row>
    <row r="126" spans="1:11">
      <c r="A126" s="21" t="s">
        <v>3260</v>
      </c>
      <c r="B126" s="21" t="s">
        <v>5258</v>
      </c>
      <c r="C126" s="21" t="s">
        <v>8</v>
      </c>
      <c r="D126" s="21" t="s">
        <v>416</v>
      </c>
      <c r="E126" s="21" t="s">
        <v>9</v>
      </c>
      <c r="F126" s="5812">
        <v>3</v>
      </c>
      <c r="G126" s="5813">
        <v>0.20833333333333334</v>
      </c>
      <c r="H126" s="21" t="s">
        <v>10</v>
      </c>
      <c r="I126" s="21" t="s">
        <v>2247</v>
      </c>
      <c r="J126" s="21" t="s">
        <v>5259</v>
      </c>
      <c r="K126" s="5814" t="s">
        <v>5260</v>
      </c>
    </row>
    <row r="127" spans="1:11">
      <c r="A127" s="21" t="s">
        <v>4621</v>
      </c>
      <c r="B127" s="21" t="s">
        <v>5261</v>
      </c>
      <c r="C127" s="21" t="s">
        <v>8</v>
      </c>
      <c r="D127" s="21" t="s">
        <v>416</v>
      </c>
      <c r="E127" s="21" t="s">
        <v>9</v>
      </c>
      <c r="F127" s="5812">
        <v>3</v>
      </c>
      <c r="G127" s="5813">
        <v>0.20833333333333334</v>
      </c>
      <c r="H127" s="21" t="s">
        <v>10</v>
      </c>
      <c r="I127" s="21" t="s">
        <v>2747</v>
      </c>
      <c r="J127" s="21" t="s">
        <v>5262</v>
      </c>
      <c r="K127" s="5814" t="s">
        <v>5263</v>
      </c>
    </row>
    <row r="128" spans="1:11">
      <c r="A128" s="21" t="s">
        <v>5264</v>
      </c>
      <c r="B128" s="21" t="s">
        <v>5265</v>
      </c>
      <c r="C128" s="21" t="s">
        <v>8</v>
      </c>
      <c r="D128" s="21" t="s">
        <v>416</v>
      </c>
      <c r="E128" s="21" t="s">
        <v>9</v>
      </c>
      <c r="F128" s="5812">
        <v>3</v>
      </c>
      <c r="G128" s="5813">
        <v>0.20833333333333334</v>
      </c>
      <c r="H128" s="21" t="s">
        <v>10</v>
      </c>
      <c r="I128" s="21" t="s">
        <v>2297</v>
      </c>
      <c r="J128" s="21" t="s">
        <v>5266</v>
      </c>
      <c r="K128" s="5814" t="s">
        <v>5267</v>
      </c>
    </row>
    <row r="129" spans="1:11">
      <c r="A129" s="21" t="s">
        <v>5264</v>
      </c>
      <c r="B129" s="21" t="s">
        <v>5268</v>
      </c>
      <c r="C129" s="21" t="s">
        <v>8</v>
      </c>
      <c r="D129" s="21" t="s">
        <v>416</v>
      </c>
      <c r="E129" s="21" t="s">
        <v>9</v>
      </c>
      <c r="F129" s="5812">
        <v>3</v>
      </c>
      <c r="G129" s="5813">
        <v>0.20833333333333334</v>
      </c>
      <c r="H129" s="21" t="s">
        <v>10</v>
      </c>
      <c r="I129" s="21" t="s">
        <v>55</v>
      </c>
      <c r="J129" s="21" t="s">
        <v>5269</v>
      </c>
      <c r="K129" s="5814" t="s">
        <v>5270</v>
      </c>
    </row>
    <row r="130" spans="1:11">
      <c r="A130" s="21" t="s">
        <v>5264</v>
      </c>
      <c r="B130" s="21" t="s">
        <v>5271</v>
      </c>
      <c r="C130" s="21" t="s">
        <v>8</v>
      </c>
      <c r="D130" s="21" t="s">
        <v>416</v>
      </c>
      <c r="E130" s="21" t="s">
        <v>9</v>
      </c>
      <c r="F130" s="5812">
        <v>3</v>
      </c>
      <c r="G130" s="5813">
        <v>0.20833333333333334</v>
      </c>
      <c r="H130" s="21" t="s">
        <v>10</v>
      </c>
      <c r="I130" s="21" t="s">
        <v>39</v>
      </c>
      <c r="J130" s="21" t="s">
        <v>5272</v>
      </c>
      <c r="K130" s="5814" t="s">
        <v>5273</v>
      </c>
    </row>
    <row r="131" spans="1:11">
      <c r="A131" s="21" t="s">
        <v>2225</v>
      </c>
      <c r="B131" s="21" t="s">
        <v>5274</v>
      </c>
      <c r="C131" s="21" t="s">
        <v>8</v>
      </c>
      <c r="D131" s="21" t="s">
        <v>416</v>
      </c>
      <c r="E131" s="21" t="s">
        <v>9</v>
      </c>
      <c r="F131" s="5812">
        <v>5</v>
      </c>
      <c r="G131" s="5813">
        <v>0.20833333333333334</v>
      </c>
      <c r="H131" s="21" t="s">
        <v>54</v>
      </c>
      <c r="I131" s="21" t="s">
        <v>2297</v>
      </c>
      <c r="J131" s="21" t="s">
        <v>5275</v>
      </c>
      <c r="K131" s="5814" t="s">
        <v>5276</v>
      </c>
    </row>
    <row r="132" spans="1:11">
      <c r="A132" s="21" t="s">
        <v>125</v>
      </c>
      <c r="B132" s="21" t="s">
        <v>465</v>
      </c>
      <c r="C132" s="21" t="s">
        <v>22</v>
      </c>
      <c r="D132" s="21" t="s">
        <v>416</v>
      </c>
      <c r="E132" s="21" t="s">
        <v>466</v>
      </c>
      <c r="F132" s="5812">
        <v>2</v>
      </c>
      <c r="G132" s="5813">
        <v>0.11944444444444445</v>
      </c>
      <c r="H132" s="21" t="s">
        <v>10</v>
      </c>
      <c r="I132" s="21" t="s">
        <v>23</v>
      </c>
      <c r="J132" s="21" t="s">
        <v>467</v>
      </c>
      <c r="K132" s="5814" t="s">
        <v>468</v>
      </c>
    </row>
    <row r="133" spans="1:11">
      <c r="A133" s="21" t="s">
        <v>2225</v>
      </c>
      <c r="B133" s="21" t="s">
        <v>5277</v>
      </c>
      <c r="C133" s="21" t="s">
        <v>8</v>
      </c>
      <c r="D133" s="21" t="s">
        <v>416</v>
      </c>
      <c r="E133" s="21" t="s">
        <v>46</v>
      </c>
      <c r="F133" s="5812">
        <v>1</v>
      </c>
      <c r="G133" s="5813">
        <v>1.0416666666666666E-2</v>
      </c>
      <c r="H133" s="21" t="s">
        <v>10</v>
      </c>
      <c r="I133" s="21" t="s">
        <v>400</v>
      </c>
      <c r="J133" s="21" t="s">
        <v>406</v>
      </c>
      <c r="K133" s="5814" t="s">
        <v>5278</v>
      </c>
    </row>
    <row r="134" spans="1:11">
      <c r="A134" s="21" t="s">
        <v>3029</v>
      </c>
      <c r="B134" s="21" t="s">
        <v>5279</v>
      </c>
      <c r="C134" s="21" t="s">
        <v>22</v>
      </c>
      <c r="D134" s="21" t="s">
        <v>416</v>
      </c>
      <c r="E134" s="21" t="s">
        <v>46</v>
      </c>
      <c r="F134" s="5812">
        <v>1</v>
      </c>
      <c r="G134" s="5813">
        <v>1.1805555555555555E-2</v>
      </c>
      <c r="H134" s="21" t="s">
        <v>10</v>
      </c>
      <c r="I134" s="21" t="s">
        <v>96</v>
      </c>
      <c r="J134" s="21" t="s">
        <v>48</v>
      </c>
      <c r="K134" s="5814" t="s">
        <v>5280</v>
      </c>
    </row>
    <row r="135" spans="1:11">
      <c r="A135" s="21" t="s">
        <v>3348</v>
      </c>
      <c r="B135" s="21" t="s">
        <v>5281</v>
      </c>
      <c r="C135" s="21" t="s">
        <v>8</v>
      </c>
      <c r="D135" s="21" t="s">
        <v>416</v>
      </c>
      <c r="E135" s="21" t="s">
        <v>46</v>
      </c>
      <c r="F135" s="5812">
        <v>1</v>
      </c>
      <c r="G135" s="5813">
        <v>3.0555555555555555E-2</v>
      </c>
      <c r="H135" s="21" t="s">
        <v>10</v>
      </c>
      <c r="I135" s="21" t="s">
        <v>226</v>
      </c>
      <c r="J135" s="21" t="s">
        <v>97</v>
      </c>
      <c r="K135" s="5814" t="s">
        <v>5282</v>
      </c>
    </row>
    <row r="136" spans="1:11">
      <c r="A136" s="21" t="s">
        <v>2267</v>
      </c>
      <c r="B136" s="21" t="s">
        <v>5283</v>
      </c>
      <c r="C136" s="21" t="s">
        <v>22</v>
      </c>
      <c r="D136" s="21" t="s">
        <v>416</v>
      </c>
      <c r="E136" s="21" t="s">
        <v>46</v>
      </c>
      <c r="F136" s="5812">
        <v>1</v>
      </c>
      <c r="G136" s="5813">
        <v>3.0555555555555555E-2</v>
      </c>
      <c r="H136" s="21" t="s">
        <v>10</v>
      </c>
      <c r="I136" s="21" t="s">
        <v>2660</v>
      </c>
      <c r="J136" s="21" t="s">
        <v>4656</v>
      </c>
      <c r="K136" s="5814" t="s">
        <v>5284</v>
      </c>
    </row>
    <row r="137" spans="1:11">
      <c r="A137" s="21" t="s">
        <v>3886</v>
      </c>
      <c r="B137" s="21" t="s">
        <v>5285</v>
      </c>
      <c r="C137" s="21" t="s">
        <v>22</v>
      </c>
      <c r="D137" s="21" t="s">
        <v>416</v>
      </c>
      <c r="E137" s="21" t="s">
        <v>46</v>
      </c>
      <c r="F137" s="5812">
        <v>1</v>
      </c>
      <c r="G137" s="5813">
        <v>4.0972222222222222E-2</v>
      </c>
      <c r="H137" s="21" t="s">
        <v>10</v>
      </c>
      <c r="I137" s="21" t="s">
        <v>5286</v>
      </c>
      <c r="J137" s="21" t="s">
        <v>4589</v>
      </c>
      <c r="K137" s="5814" t="s">
        <v>5287</v>
      </c>
    </row>
    <row r="138" spans="1:11">
      <c r="A138" s="21" t="s">
        <v>2901</v>
      </c>
      <c r="B138" s="21" t="s">
        <v>5288</v>
      </c>
      <c r="C138" s="21" t="s">
        <v>8</v>
      </c>
      <c r="D138" s="21" t="s">
        <v>416</v>
      </c>
      <c r="E138" s="21" t="s">
        <v>46</v>
      </c>
      <c r="F138" s="5812">
        <v>1</v>
      </c>
      <c r="G138" s="5813">
        <v>4.1666666666666664E-2</v>
      </c>
      <c r="H138" s="21" t="s">
        <v>10</v>
      </c>
      <c r="I138" s="21" t="s">
        <v>23</v>
      </c>
      <c r="J138" s="21" t="s">
        <v>48</v>
      </c>
      <c r="K138" s="5814" t="s">
        <v>5289</v>
      </c>
    </row>
    <row r="139" spans="1:11">
      <c r="A139" s="21" t="s">
        <v>3671</v>
      </c>
      <c r="B139" s="21" t="s">
        <v>5290</v>
      </c>
      <c r="C139" s="21" t="s">
        <v>8</v>
      </c>
      <c r="D139" s="21" t="s">
        <v>416</v>
      </c>
      <c r="E139" s="21" t="s">
        <v>46</v>
      </c>
      <c r="F139" s="5812">
        <v>1</v>
      </c>
      <c r="G139" s="5813">
        <v>4.2361111111111113E-2</v>
      </c>
      <c r="H139" s="21" t="s">
        <v>10</v>
      </c>
      <c r="I139" s="21" t="s">
        <v>47</v>
      </c>
      <c r="J139" s="21" t="s">
        <v>518</v>
      </c>
      <c r="K139" s="5814" t="s">
        <v>5291</v>
      </c>
    </row>
    <row r="140" spans="1:11">
      <c r="A140" s="21" t="s">
        <v>2955</v>
      </c>
      <c r="B140" s="21" t="s">
        <v>5292</v>
      </c>
      <c r="C140" s="21" t="s">
        <v>8</v>
      </c>
      <c r="D140" s="21" t="s">
        <v>416</v>
      </c>
      <c r="E140" s="21" t="s">
        <v>46</v>
      </c>
      <c r="F140" s="5812">
        <v>1</v>
      </c>
      <c r="G140" s="5813">
        <v>4.2361111111111113E-2</v>
      </c>
      <c r="H140" s="21" t="s">
        <v>10</v>
      </c>
      <c r="I140" s="21" t="s">
        <v>11</v>
      </c>
      <c r="J140" s="21" t="s">
        <v>48</v>
      </c>
      <c r="K140" s="5814" t="s">
        <v>5293</v>
      </c>
    </row>
    <row r="141" spans="1:11">
      <c r="A141" s="21" t="s">
        <v>2413</v>
      </c>
      <c r="B141" s="21" t="s">
        <v>5294</v>
      </c>
      <c r="C141" s="21" t="s">
        <v>22</v>
      </c>
      <c r="D141" s="21" t="s">
        <v>416</v>
      </c>
      <c r="E141" s="21" t="s">
        <v>46</v>
      </c>
      <c r="F141" s="5812">
        <v>1</v>
      </c>
      <c r="G141" s="5813">
        <v>4.7222222222222221E-2</v>
      </c>
      <c r="H141" s="21" t="s">
        <v>10</v>
      </c>
      <c r="I141" s="21" t="s">
        <v>39</v>
      </c>
      <c r="J141" s="21" t="s">
        <v>48</v>
      </c>
      <c r="K141" s="5814" t="s">
        <v>5295</v>
      </c>
    </row>
    <row r="142" spans="1:11">
      <c r="A142" s="21" t="s">
        <v>3434</v>
      </c>
      <c r="B142" s="21" t="s">
        <v>5296</v>
      </c>
      <c r="C142" s="21" t="s">
        <v>8</v>
      </c>
      <c r="D142" s="21" t="s">
        <v>416</v>
      </c>
      <c r="E142" s="21" t="s">
        <v>46</v>
      </c>
      <c r="F142" s="5812">
        <v>1</v>
      </c>
      <c r="G142" s="5813">
        <v>5.6944444444444443E-2</v>
      </c>
      <c r="H142" s="21" t="s">
        <v>10</v>
      </c>
      <c r="I142" s="21" t="s">
        <v>39</v>
      </c>
      <c r="J142" s="21" t="s">
        <v>4656</v>
      </c>
      <c r="K142" s="5814" t="s">
        <v>5297</v>
      </c>
    </row>
    <row r="143" spans="1:11">
      <c r="A143" s="21" t="s">
        <v>2878</v>
      </c>
      <c r="B143" s="21" t="s">
        <v>5298</v>
      </c>
      <c r="C143" s="21" t="s">
        <v>22</v>
      </c>
      <c r="D143" s="21" t="s">
        <v>416</v>
      </c>
      <c r="E143" s="21" t="s">
        <v>46</v>
      </c>
      <c r="F143" s="5812">
        <v>1</v>
      </c>
      <c r="G143" s="5813">
        <v>6.6666666666666666E-2</v>
      </c>
      <c r="H143" s="21" t="s">
        <v>10</v>
      </c>
      <c r="I143" s="21" t="s">
        <v>5299</v>
      </c>
      <c r="J143" s="21" t="s">
        <v>97</v>
      </c>
      <c r="K143" s="5814" t="s">
        <v>5300</v>
      </c>
    </row>
    <row r="144" spans="1:11">
      <c r="A144" s="21" t="s">
        <v>2221</v>
      </c>
      <c r="B144" s="21" t="s">
        <v>5301</v>
      </c>
      <c r="C144" s="21" t="s">
        <v>8</v>
      </c>
      <c r="D144" s="21" t="s">
        <v>416</v>
      </c>
      <c r="E144" s="21" t="s">
        <v>46</v>
      </c>
      <c r="F144" s="5812">
        <v>1</v>
      </c>
      <c r="G144" s="5813">
        <v>6.805555555555555E-2</v>
      </c>
      <c r="H144" s="21" t="s">
        <v>10</v>
      </c>
      <c r="I144" s="21" t="s">
        <v>96</v>
      </c>
      <c r="J144" s="21" t="s">
        <v>48</v>
      </c>
      <c r="K144" s="5814" t="s">
        <v>5302</v>
      </c>
    </row>
    <row r="145" spans="1:11">
      <c r="A145" s="21" t="s">
        <v>2334</v>
      </c>
      <c r="B145" s="21" t="s">
        <v>5303</v>
      </c>
      <c r="C145" s="21" t="s">
        <v>8</v>
      </c>
      <c r="D145" s="21" t="s">
        <v>416</v>
      </c>
      <c r="E145" s="21" t="s">
        <v>46</v>
      </c>
      <c r="F145" s="5812">
        <v>1</v>
      </c>
      <c r="G145" s="5813">
        <v>8.9583333333333334E-2</v>
      </c>
      <c r="H145" s="21" t="s">
        <v>10</v>
      </c>
      <c r="I145" s="21" t="s">
        <v>660</v>
      </c>
      <c r="J145" s="21" t="s">
        <v>2953</v>
      </c>
      <c r="K145" s="5814" t="s">
        <v>5304</v>
      </c>
    </row>
    <row r="146" spans="1:11">
      <c r="A146" s="21" t="s">
        <v>2626</v>
      </c>
      <c r="B146" s="21" t="s">
        <v>5305</v>
      </c>
      <c r="C146" s="21" t="s">
        <v>22</v>
      </c>
      <c r="D146" s="21" t="s">
        <v>416</v>
      </c>
      <c r="E146" s="21" t="s">
        <v>46</v>
      </c>
      <c r="F146" s="5812">
        <v>1</v>
      </c>
      <c r="G146" s="5813">
        <v>0.12361111111111112</v>
      </c>
      <c r="H146" s="21" t="s">
        <v>10</v>
      </c>
      <c r="I146" s="21" t="s">
        <v>96</v>
      </c>
      <c r="J146" s="21" t="s">
        <v>48</v>
      </c>
      <c r="K146" s="5814" t="s">
        <v>5306</v>
      </c>
    </row>
    <row r="147" spans="1:11">
      <c r="A147" s="21" t="s">
        <v>2053</v>
      </c>
      <c r="B147" s="21" t="s">
        <v>5307</v>
      </c>
      <c r="C147" s="21" t="s">
        <v>22</v>
      </c>
      <c r="D147" s="21" t="s">
        <v>416</v>
      </c>
      <c r="E147" s="21" t="s">
        <v>46</v>
      </c>
      <c r="F147" s="5812">
        <v>1</v>
      </c>
      <c r="G147" s="5813">
        <v>0.12430555555555556</v>
      </c>
      <c r="H147" s="21" t="s">
        <v>10</v>
      </c>
      <c r="I147" s="21" t="s">
        <v>96</v>
      </c>
      <c r="J147" s="21" t="s">
        <v>48</v>
      </c>
      <c r="K147" s="5814" t="s">
        <v>5308</v>
      </c>
    </row>
    <row r="148" spans="1:11">
      <c r="A148" s="21" t="s">
        <v>2461</v>
      </c>
      <c r="B148" s="21" t="s">
        <v>5309</v>
      </c>
      <c r="C148" s="21" t="s">
        <v>8</v>
      </c>
      <c r="D148" s="21" t="s">
        <v>416</v>
      </c>
      <c r="E148" s="21" t="s">
        <v>46</v>
      </c>
      <c r="F148" s="5812">
        <v>1</v>
      </c>
      <c r="G148" s="5813">
        <v>0.13958333333333334</v>
      </c>
      <c r="H148" s="21" t="s">
        <v>10</v>
      </c>
      <c r="I148" s="21" t="s">
        <v>55</v>
      </c>
      <c r="J148" s="21" t="s">
        <v>97</v>
      </c>
      <c r="K148" s="5814" t="s">
        <v>5310</v>
      </c>
    </row>
    <row r="149" spans="1:11">
      <c r="A149" s="21" t="s">
        <v>2395</v>
      </c>
      <c r="B149" s="21" t="s">
        <v>5311</v>
      </c>
      <c r="C149" s="21" t="s">
        <v>22</v>
      </c>
      <c r="D149" s="21" t="s">
        <v>416</v>
      </c>
      <c r="E149" s="21" t="s">
        <v>46</v>
      </c>
      <c r="F149" s="5812">
        <v>1</v>
      </c>
      <c r="G149" s="5813">
        <v>0.15208333333333332</v>
      </c>
      <c r="H149" s="21" t="s">
        <v>10</v>
      </c>
      <c r="I149" s="21" t="s">
        <v>4535</v>
      </c>
      <c r="J149" s="21" t="s">
        <v>417</v>
      </c>
      <c r="K149" s="5814" t="s">
        <v>5312</v>
      </c>
    </row>
    <row r="150" spans="1:11">
      <c r="A150" s="21" t="s">
        <v>2201</v>
      </c>
      <c r="B150" s="21" t="s">
        <v>5313</v>
      </c>
      <c r="C150" s="21" t="s">
        <v>8</v>
      </c>
      <c r="D150" s="21" t="s">
        <v>416</v>
      </c>
      <c r="E150" s="21" t="s">
        <v>46</v>
      </c>
      <c r="F150" s="5812">
        <v>1</v>
      </c>
      <c r="G150" s="5813">
        <v>0.15694444444444444</v>
      </c>
      <c r="H150" s="21" t="s">
        <v>10</v>
      </c>
      <c r="I150" s="21" t="s">
        <v>615</v>
      </c>
      <c r="J150" s="21" t="s">
        <v>97</v>
      </c>
      <c r="K150" s="5814" t="s">
        <v>5314</v>
      </c>
    </row>
    <row r="151" spans="1:11">
      <c r="A151" s="21" t="s">
        <v>4233</v>
      </c>
      <c r="B151" s="21" t="s">
        <v>5315</v>
      </c>
      <c r="C151" s="21" t="s">
        <v>8</v>
      </c>
      <c r="D151" s="21" t="s">
        <v>416</v>
      </c>
      <c r="E151" s="21" t="s">
        <v>46</v>
      </c>
      <c r="F151" s="5812">
        <v>1</v>
      </c>
      <c r="G151" s="5813">
        <v>0.15902777777777777</v>
      </c>
      <c r="H151" s="21" t="s">
        <v>10</v>
      </c>
      <c r="I151" s="21" t="s">
        <v>11</v>
      </c>
      <c r="J151" s="21" t="s">
        <v>722</v>
      </c>
      <c r="K151" s="5814" t="s">
        <v>5316</v>
      </c>
    </row>
    <row r="152" spans="1:11">
      <c r="A152" s="21" t="s">
        <v>2897</v>
      </c>
      <c r="B152" s="21" t="s">
        <v>5317</v>
      </c>
      <c r="C152" s="21" t="s">
        <v>8</v>
      </c>
      <c r="D152" s="21" t="s">
        <v>416</v>
      </c>
      <c r="E152" s="21" t="s">
        <v>46</v>
      </c>
      <c r="F152" s="5812">
        <v>1</v>
      </c>
      <c r="G152" s="5813">
        <v>0.16805555555555557</v>
      </c>
      <c r="H152" s="21" t="s">
        <v>10</v>
      </c>
      <c r="I152" s="21" t="s">
        <v>11</v>
      </c>
      <c r="J152" s="21" t="s">
        <v>97</v>
      </c>
      <c r="K152" s="5814" t="s">
        <v>5318</v>
      </c>
    </row>
    <row r="153" spans="1:11">
      <c r="A153" s="21" t="s">
        <v>2966</v>
      </c>
      <c r="B153" s="21" t="s">
        <v>5319</v>
      </c>
      <c r="C153" s="21" t="s">
        <v>22</v>
      </c>
      <c r="D153" s="21" t="s">
        <v>416</v>
      </c>
      <c r="E153" s="21" t="s">
        <v>46</v>
      </c>
      <c r="F153" s="5812">
        <v>1</v>
      </c>
      <c r="G153" s="5813">
        <v>0.17083333333333334</v>
      </c>
      <c r="H153" s="21" t="s">
        <v>10</v>
      </c>
      <c r="I153" s="21" t="s">
        <v>11</v>
      </c>
      <c r="J153" s="21" t="s">
        <v>616</v>
      </c>
      <c r="K153" s="5814" t="s">
        <v>5320</v>
      </c>
    </row>
    <row r="154" spans="1:11">
      <c r="A154" s="21" t="s">
        <v>2147</v>
      </c>
      <c r="B154" s="21" t="s">
        <v>5321</v>
      </c>
      <c r="C154" s="21" t="s">
        <v>8</v>
      </c>
      <c r="D154" s="21" t="s">
        <v>416</v>
      </c>
      <c r="E154" s="21" t="s">
        <v>46</v>
      </c>
      <c r="F154" s="5812">
        <v>1</v>
      </c>
      <c r="G154" s="5813">
        <v>0.17847222222222223</v>
      </c>
      <c r="H154" s="21" t="s">
        <v>10</v>
      </c>
      <c r="I154" s="21" t="s">
        <v>47</v>
      </c>
      <c r="J154" s="21" t="s">
        <v>48</v>
      </c>
      <c r="K154" s="5814" t="s">
        <v>5322</v>
      </c>
    </row>
    <row r="155" spans="1:11">
      <c r="A155" s="21" t="s">
        <v>3002</v>
      </c>
      <c r="B155" s="21" t="s">
        <v>5323</v>
      </c>
      <c r="C155" s="21" t="s">
        <v>8</v>
      </c>
      <c r="D155" s="21" t="s">
        <v>416</v>
      </c>
      <c r="E155" s="21" t="s">
        <v>46</v>
      </c>
      <c r="F155" s="5812">
        <v>1</v>
      </c>
      <c r="G155" s="5813">
        <v>0.17986111111111111</v>
      </c>
      <c r="H155" s="21" t="s">
        <v>10</v>
      </c>
      <c r="I155" s="21" t="s">
        <v>2872</v>
      </c>
      <c r="J155" s="21" t="s">
        <v>127</v>
      </c>
      <c r="K155" s="5814" t="s">
        <v>5324</v>
      </c>
    </row>
    <row r="156" spans="1:11">
      <c r="A156" s="21" t="s">
        <v>2780</v>
      </c>
      <c r="B156" s="21" t="s">
        <v>5325</v>
      </c>
      <c r="C156" s="21" t="s">
        <v>8</v>
      </c>
      <c r="D156" s="21" t="s">
        <v>416</v>
      </c>
      <c r="E156" s="21" t="s">
        <v>46</v>
      </c>
      <c r="F156" s="5812">
        <v>1</v>
      </c>
      <c r="G156" s="5813">
        <v>0.18333333333333332</v>
      </c>
      <c r="H156" s="21" t="s">
        <v>10</v>
      </c>
      <c r="I156" s="21" t="s">
        <v>3382</v>
      </c>
      <c r="J156" s="21" t="s">
        <v>5326</v>
      </c>
      <c r="K156" s="5814" t="s">
        <v>5327</v>
      </c>
    </row>
    <row r="157" spans="1:11">
      <c r="A157" s="21" t="s">
        <v>2358</v>
      </c>
      <c r="B157" s="21" t="s">
        <v>5328</v>
      </c>
      <c r="C157" s="21" t="s">
        <v>8</v>
      </c>
      <c r="D157" s="21" t="s">
        <v>416</v>
      </c>
      <c r="E157" s="21" t="s">
        <v>46</v>
      </c>
      <c r="F157" s="5812">
        <v>1</v>
      </c>
      <c r="G157" s="5813">
        <v>0.18958333333333333</v>
      </c>
      <c r="H157" s="21" t="s">
        <v>10</v>
      </c>
      <c r="I157" s="21" t="s">
        <v>73</v>
      </c>
      <c r="J157" s="21" t="s">
        <v>417</v>
      </c>
      <c r="K157" s="5814" t="s">
        <v>5329</v>
      </c>
    </row>
    <row r="158" spans="1:11">
      <c r="A158" s="21" t="s">
        <v>6</v>
      </c>
      <c r="B158" s="21" t="s">
        <v>415</v>
      </c>
      <c r="C158" s="21" t="s">
        <v>8</v>
      </c>
      <c r="D158" s="21" t="s">
        <v>416</v>
      </c>
      <c r="E158" s="21" t="s">
        <v>46</v>
      </c>
      <c r="F158" s="5812">
        <v>1</v>
      </c>
      <c r="G158" s="5813">
        <v>0.19444444444444445</v>
      </c>
      <c r="H158" s="21" t="s">
        <v>10</v>
      </c>
      <c r="I158" s="21" t="s">
        <v>23</v>
      </c>
      <c r="J158" s="21" t="s">
        <v>417</v>
      </c>
      <c r="K158" s="5814" t="s">
        <v>5330</v>
      </c>
    </row>
    <row r="159" spans="1:11">
      <c r="A159" s="21" t="s">
        <v>2115</v>
      </c>
      <c r="B159" s="21" t="s">
        <v>5331</v>
      </c>
      <c r="C159" s="21" t="s">
        <v>8</v>
      </c>
      <c r="D159" s="21" t="s">
        <v>416</v>
      </c>
      <c r="E159" s="21" t="s">
        <v>46</v>
      </c>
      <c r="F159" s="5812">
        <v>1</v>
      </c>
      <c r="G159" s="5813">
        <v>0.19722222222222222</v>
      </c>
      <c r="H159" s="21" t="s">
        <v>10</v>
      </c>
      <c r="I159" s="21" t="s">
        <v>209</v>
      </c>
      <c r="J159" s="21" t="s">
        <v>154</v>
      </c>
      <c r="K159" s="5814" t="s">
        <v>5332</v>
      </c>
    </row>
    <row r="160" spans="1:11">
      <c r="A160" s="21" t="s">
        <v>2123</v>
      </c>
      <c r="B160" s="21" t="s">
        <v>5333</v>
      </c>
      <c r="C160" s="21" t="s">
        <v>22</v>
      </c>
      <c r="D160" s="21" t="s">
        <v>416</v>
      </c>
      <c r="E160" s="21" t="s">
        <v>46</v>
      </c>
      <c r="F160" s="5812">
        <v>1</v>
      </c>
      <c r="G160" s="5813">
        <v>0.2048611111111111</v>
      </c>
      <c r="H160" s="21" t="s">
        <v>10</v>
      </c>
      <c r="I160" s="21" t="s">
        <v>55</v>
      </c>
      <c r="J160" s="21" t="s">
        <v>406</v>
      </c>
      <c r="K160" s="5814" t="s">
        <v>5334</v>
      </c>
    </row>
    <row r="161" spans="1:11">
      <c r="A161" s="21" t="s">
        <v>5335</v>
      </c>
      <c r="B161" s="21" t="s">
        <v>448</v>
      </c>
      <c r="C161" s="21" t="s">
        <v>8</v>
      </c>
      <c r="D161" s="21" t="s">
        <v>416</v>
      </c>
      <c r="E161" s="21" t="s">
        <v>46</v>
      </c>
      <c r="F161" s="5812">
        <v>1</v>
      </c>
      <c r="G161" s="5813">
        <v>0.2076388888888889</v>
      </c>
      <c r="H161" s="21" t="s">
        <v>10</v>
      </c>
      <c r="I161" s="21" t="s">
        <v>47</v>
      </c>
      <c r="J161" s="21" t="s">
        <v>127</v>
      </c>
      <c r="K161" s="5814" t="s">
        <v>5336</v>
      </c>
    </row>
    <row r="162" spans="1:11">
      <c r="A162" s="21" t="s">
        <v>4671</v>
      </c>
      <c r="B162" s="21" t="s">
        <v>5337</v>
      </c>
      <c r="C162" s="21" t="s">
        <v>22</v>
      </c>
      <c r="D162" s="21" t="s">
        <v>416</v>
      </c>
      <c r="E162" s="21" t="s">
        <v>46</v>
      </c>
      <c r="F162" s="5812">
        <v>1</v>
      </c>
      <c r="G162" s="5813">
        <v>0.2076388888888889</v>
      </c>
      <c r="H162" s="21" t="s">
        <v>10</v>
      </c>
      <c r="I162" s="21" t="s">
        <v>2660</v>
      </c>
      <c r="J162" s="21" t="s">
        <v>406</v>
      </c>
      <c r="K162" s="5814" t="s">
        <v>5338</v>
      </c>
    </row>
    <row r="163" spans="1:11">
      <c r="A163" s="21" t="s">
        <v>4293</v>
      </c>
      <c r="B163" s="21" t="s">
        <v>5339</v>
      </c>
      <c r="C163" s="21" t="s">
        <v>8</v>
      </c>
      <c r="D163" s="21" t="s">
        <v>416</v>
      </c>
      <c r="E163" s="21" t="s">
        <v>46</v>
      </c>
      <c r="F163" s="5812">
        <v>2</v>
      </c>
      <c r="G163" s="5813">
        <v>1.7361111111111112E-2</v>
      </c>
      <c r="H163" s="21" t="s">
        <v>10</v>
      </c>
      <c r="I163" s="21" t="s">
        <v>400</v>
      </c>
      <c r="J163" s="21" t="s">
        <v>48</v>
      </c>
      <c r="K163" s="5814" t="s">
        <v>5340</v>
      </c>
    </row>
    <row r="164" spans="1:11">
      <c r="A164" s="21" t="s">
        <v>31</v>
      </c>
      <c r="B164" s="21" t="s">
        <v>483</v>
      </c>
      <c r="C164" s="21" t="s">
        <v>22</v>
      </c>
      <c r="D164" s="21" t="s">
        <v>416</v>
      </c>
      <c r="E164" s="21" t="s">
        <v>46</v>
      </c>
      <c r="F164" s="5812">
        <v>2</v>
      </c>
      <c r="G164" s="5813">
        <v>1.8055555555555554E-2</v>
      </c>
      <c r="H164" s="21" t="s">
        <v>10</v>
      </c>
      <c r="I164" s="21" t="s">
        <v>23</v>
      </c>
      <c r="J164" s="21" t="s">
        <v>48</v>
      </c>
      <c r="K164" s="5814" t="s">
        <v>484</v>
      </c>
    </row>
    <row r="165" spans="1:11">
      <c r="A165" s="21" t="s">
        <v>2467</v>
      </c>
      <c r="B165" s="21" t="s">
        <v>5341</v>
      </c>
      <c r="C165" s="21" t="s">
        <v>8</v>
      </c>
      <c r="D165" s="21" t="s">
        <v>416</v>
      </c>
      <c r="E165" s="21" t="s">
        <v>46</v>
      </c>
      <c r="F165" s="5812">
        <v>2</v>
      </c>
      <c r="G165" s="5813">
        <v>3.1944444444444442E-2</v>
      </c>
      <c r="H165" s="21" t="s">
        <v>10</v>
      </c>
      <c r="I165" s="21" t="s">
        <v>11</v>
      </c>
      <c r="J165" s="21" t="s">
        <v>258</v>
      </c>
      <c r="K165" s="5814" t="s">
        <v>5342</v>
      </c>
    </row>
    <row r="166" spans="1:11">
      <c r="A166" s="21" t="s">
        <v>52</v>
      </c>
      <c r="B166" s="21" t="s">
        <v>522</v>
      </c>
      <c r="C166" s="21" t="s">
        <v>8</v>
      </c>
      <c r="D166" s="21" t="s">
        <v>416</v>
      </c>
      <c r="E166" s="21" t="s">
        <v>46</v>
      </c>
      <c r="F166" s="5812">
        <v>2</v>
      </c>
      <c r="G166" s="5813">
        <v>3.8194444444444448E-2</v>
      </c>
      <c r="H166" s="21" t="s">
        <v>10</v>
      </c>
      <c r="I166" s="21" t="s">
        <v>39</v>
      </c>
      <c r="J166" s="21" t="s">
        <v>127</v>
      </c>
      <c r="K166" s="5814" t="s">
        <v>523</v>
      </c>
    </row>
    <row r="167" spans="1:11">
      <c r="A167" s="21" t="s">
        <v>3249</v>
      </c>
      <c r="B167" s="21" t="s">
        <v>5343</v>
      </c>
      <c r="C167" s="21" t="s">
        <v>22</v>
      </c>
      <c r="D167" s="21" t="s">
        <v>416</v>
      </c>
      <c r="E167" s="21" t="s">
        <v>46</v>
      </c>
      <c r="F167" s="5812">
        <v>2</v>
      </c>
      <c r="G167" s="5813">
        <v>4.3749999999999997E-2</v>
      </c>
      <c r="H167" s="21" t="s">
        <v>10</v>
      </c>
      <c r="I167" s="21" t="s">
        <v>11</v>
      </c>
      <c r="J167" s="21" t="s">
        <v>3148</v>
      </c>
      <c r="K167" s="5814" t="s">
        <v>5344</v>
      </c>
    </row>
    <row r="168" spans="1:11">
      <c r="A168" s="21" t="s">
        <v>87</v>
      </c>
      <c r="B168" s="21" t="s">
        <v>429</v>
      </c>
      <c r="C168" s="21" t="s">
        <v>8</v>
      </c>
      <c r="D168" s="21" t="s">
        <v>416</v>
      </c>
      <c r="E168" s="21" t="s">
        <v>46</v>
      </c>
      <c r="F168" s="5812">
        <v>2</v>
      </c>
      <c r="G168" s="5813">
        <v>6.5972222222222224E-2</v>
      </c>
      <c r="H168" s="21" t="s">
        <v>10</v>
      </c>
      <c r="I168" s="21" t="s">
        <v>245</v>
      </c>
      <c r="J168" s="21" t="s">
        <v>430</v>
      </c>
      <c r="K168" s="5814" t="s">
        <v>431</v>
      </c>
    </row>
    <row r="169" spans="1:11">
      <c r="A169" s="21" t="s">
        <v>3896</v>
      </c>
      <c r="B169" s="21" t="s">
        <v>5345</v>
      </c>
      <c r="C169" s="21" t="s">
        <v>8</v>
      </c>
      <c r="D169" s="21" t="s">
        <v>416</v>
      </c>
      <c r="E169" s="21" t="s">
        <v>46</v>
      </c>
      <c r="F169" s="5812">
        <v>2</v>
      </c>
      <c r="G169" s="5813">
        <v>7.2222222222222215E-2</v>
      </c>
      <c r="H169" s="21" t="s">
        <v>10</v>
      </c>
      <c r="I169" s="21" t="s">
        <v>11</v>
      </c>
      <c r="J169" s="21" t="s">
        <v>48</v>
      </c>
      <c r="K169" s="5814" t="s">
        <v>5346</v>
      </c>
    </row>
    <row r="170" spans="1:11">
      <c r="A170" s="21" t="s">
        <v>2551</v>
      </c>
      <c r="B170" s="21" t="s">
        <v>5347</v>
      </c>
      <c r="C170" s="21" t="s">
        <v>22</v>
      </c>
      <c r="D170" s="21" t="s">
        <v>416</v>
      </c>
      <c r="E170" s="21" t="s">
        <v>46</v>
      </c>
      <c r="F170" s="5812">
        <v>2</v>
      </c>
      <c r="G170" s="5813">
        <v>7.9166666666666663E-2</v>
      </c>
      <c r="H170" s="21" t="s">
        <v>54</v>
      </c>
      <c r="I170" s="21" t="s">
        <v>226</v>
      </c>
      <c r="J170" s="21" t="s">
        <v>5348</v>
      </c>
      <c r="K170" s="5814" t="s">
        <v>5349</v>
      </c>
    </row>
    <row r="171" spans="1:11">
      <c r="A171" s="21" t="s">
        <v>94</v>
      </c>
      <c r="B171" s="21" t="s">
        <v>434</v>
      </c>
      <c r="C171" s="21" t="s">
        <v>22</v>
      </c>
      <c r="D171" s="21" t="s">
        <v>416</v>
      </c>
      <c r="E171" s="21" t="s">
        <v>46</v>
      </c>
      <c r="F171" s="5812">
        <v>2</v>
      </c>
      <c r="G171" s="5813">
        <v>9.4444444444444442E-2</v>
      </c>
      <c r="H171" s="21" t="s">
        <v>54</v>
      </c>
      <c r="I171" s="21" t="s">
        <v>39</v>
      </c>
      <c r="J171" s="21" t="s">
        <v>48</v>
      </c>
      <c r="K171" s="5814" t="s">
        <v>435</v>
      </c>
    </row>
    <row r="172" spans="1:11">
      <c r="A172" s="21" t="s">
        <v>2915</v>
      </c>
      <c r="B172" s="21" t="s">
        <v>5350</v>
      </c>
      <c r="C172" s="21" t="s">
        <v>22</v>
      </c>
      <c r="D172" s="21" t="s">
        <v>416</v>
      </c>
      <c r="E172" s="21" t="s">
        <v>46</v>
      </c>
      <c r="F172" s="5812">
        <v>2</v>
      </c>
      <c r="G172" s="5813">
        <v>0.12152777777777778</v>
      </c>
      <c r="H172" s="21" t="s">
        <v>10</v>
      </c>
      <c r="I172" s="21" t="s">
        <v>226</v>
      </c>
      <c r="J172" s="21" t="s">
        <v>127</v>
      </c>
      <c r="K172" s="5814" t="s">
        <v>5351</v>
      </c>
    </row>
    <row r="173" spans="1:11">
      <c r="A173" s="21" t="s">
        <v>2969</v>
      </c>
      <c r="B173" s="21" t="s">
        <v>5352</v>
      </c>
      <c r="C173" s="21" t="s">
        <v>8</v>
      </c>
      <c r="D173" s="21" t="s">
        <v>416</v>
      </c>
      <c r="E173" s="21" t="s">
        <v>46</v>
      </c>
      <c r="F173" s="5812">
        <v>2</v>
      </c>
      <c r="G173" s="5813">
        <v>0.12222222222222222</v>
      </c>
      <c r="H173" s="21" t="s">
        <v>10</v>
      </c>
      <c r="I173" s="21" t="s">
        <v>39</v>
      </c>
      <c r="J173" s="21" t="s">
        <v>48</v>
      </c>
      <c r="K173" s="5814" t="s">
        <v>5353</v>
      </c>
    </row>
    <row r="174" spans="1:11">
      <c r="A174" s="21" t="s">
        <v>3089</v>
      </c>
      <c r="B174" s="21" t="s">
        <v>5354</v>
      </c>
      <c r="C174" s="21" t="s">
        <v>22</v>
      </c>
      <c r="D174" s="21" t="s">
        <v>416</v>
      </c>
      <c r="E174" s="21" t="s">
        <v>46</v>
      </c>
      <c r="F174" s="5812">
        <v>2</v>
      </c>
      <c r="G174" s="5813">
        <v>0.13055555555555556</v>
      </c>
      <c r="H174" s="21" t="s">
        <v>10</v>
      </c>
      <c r="I174" s="21" t="s">
        <v>3278</v>
      </c>
      <c r="J174" s="21" t="s">
        <v>4734</v>
      </c>
      <c r="K174" s="5814" t="s">
        <v>5355</v>
      </c>
    </row>
    <row r="175" spans="1:11">
      <c r="A175" s="21" t="s">
        <v>52</v>
      </c>
      <c r="B175" s="21" t="s">
        <v>517</v>
      </c>
      <c r="C175" s="21" t="s">
        <v>8</v>
      </c>
      <c r="D175" s="21" t="s">
        <v>416</v>
      </c>
      <c r="E175" s="21" t="s">
        <v>46</v>
      </c>
      <c r="F175" s="5812">
        <v>2</v>
      </c>
      <c r="G175" s="5813">
        <v>0.16597222222222222</v>
      </c>
      <c r="H175" s="21" t="s">
        <v>10</v>
      </c>
      <c r="I175" s="21" t="s">
        <v>11</v>
      </c>
      <c r="J175" s="21" t="s">
        <v>518</v>
      </c>
      <c r="K175" s="5814" t="s">
        <v>519</v>
      </c>
    </row>
    <row r="176" spans="1:11">
      <c r="A176" s="21" t="s">
        <v>2284</v>
      </c>
      <c r="B176" s="21" t="s">
        <v>5356</v>
      </c>
      <c r="C176" s="21" t="s">
        <v>8</v>
      </c>
      <c r="D176" s="21" t="s">
        <v>416</v>
      </c>
      <c r="E176" s="21" t="s">
        <v>46</v>
      </c>
      <c r="F176" s="5812">
        <v>2</v>
      </c>
      <c r="G176" s="5813">
        <v>0.16944444444444445</v>
      </c>
      <c r="H176" s="21" t="s">
        <v>10</v>
      </c>
      <c r="I176" s="21" t="s">
        <v>96</v>
      </c>
      <c r="J176" s="21" t="s">
        <v>1117</v>
      </c>
      <c r="K176" s="5814" t="s">
        <v>5357</v>
      </c>
    </row>
    <row r="177" spans="1:11">
      <c r="A177" s="21" t="s">
        <v>4423</v>
      </c>
      <c r="B177" s="21" t="s">
        <v>5358</v>
      </c>
      <c r="C177" s="21" t="s">
        <v>22</v>
      </c>
      <c r="D177" s="21" t="s">
        <v>416</v>
      </c>
      <c r="E177" s="21" t="s">
        <v>46</v>
      </c>
      <c r="F177" s="5812">
        <v>2</v>
      </c>
      <c r="G177" s="5813">
        <v>0.18611111111111112</v>
      </c>
      <c r="H177" s="21" t="s">
        <v>10</v>
      </c>
      <c r="I177" s="21" t="s">
        <v>23</v>
      </c>
      <c r="J177" s="21" t="s">
        <v>406</v>
      </c>
      <c r="K177" s="5814" t="s">
        <v>5359</v>
      </c>
    </row>
    <row r="178" spans="1:11">
      <c r="A178" s="21" t="s">
        <v>37</v>
      </c>
      <c r="B178" s="21" t="s">
        <v>509</v>
      </c>
      <c r="C178" s="21" t="s">
        <v>8</v>
      </c>
      <c r="D178" s="21" t="s">
        <v>416</v>
      </c>
      <c r="E178" s="21" t="s">
        <v>46</v>
      </c>
      <c r="F178" s="5812">
        <v>2</v>
      </c>
      <c r="G178" s="5813">
        <v>0.18819444444444444</v>
      </c>
      <c r="H178" s="21" t="s">
        <v>10</v>
      </c>
      <c r="I178" s="21" t="s">
        <v>39</v>
      </c>
      <c r="J178" s="21" t="s">
        <v>417</v>
      </c>
      <c r="K178" s="5814" t="s">
        <v>510</v>
      </c>
    </row>
    <row r="179" spans="1:11">
      <c r="A179" s="21" t="s">
        <v>2745</v>
      </c>
      <c r="B179" s="21" t="s">
        <v>5360</v>
      </c>
      <c r="C179" s="21" t="s">
        <v>8</v>
      </c>
      <c r="D179" s="21" t="s">
        <v>416</v>
      </c>
      <c r="E179" s="21" t="s">
        <v>46</v>
      </c>
      <c r="F179" s="5812">
        <v>2</v>
      </c>
      <c r="G179" s="5813">
        <v>0.19027777777777777</v>
      </c>
      <c r="H179" s="21" t="s">
        <v>10</v>
      </c>
      <c r="I179" s="21" t="s">
        <v>2176</v>
      </c>
      <c r="J179" s="21" t="s">
        <v>97</v>
      </c>
      <c r="K179" s="5814" t="s">
        <v>5361</v>
      </c>
    </row>
    <row r="180" spans="1:11">
      <c r="A180" s="21" t="s">
        <v>3006</v>
      </c>
      <c r="B180" s="21" t="s">
        <v>5362</v>
      </c>
      <c r="C180" s="21" t="s">
        <v>8</v>
      </c>
      <c r="D180" s="21" t="s">
        <v>416</v>
      </c>
      <c r="E180" s="21" t="s">
        <v>46</v>
      </c>
      <c r="F180" s="5812">
        <v>2</v>
      </c>
      <c r="G180" s="5813">
        <v>0.19513888888888889</v>
      </c>
      <c r="H180" s="21" t="s">
        <v>10</v>
      </c>
      <c r="I180" s="21" t="s">
        <v>55</v>
      </c>
      <c r="J180" s="21" t="s">
        <v>907</v>
      </c>
      <c r="K180" s="5814" t="s">
        <v>5363</v>
      </c>
    </row>
    <row r="181" spans="1:11">
      <c r="A181" s="21" t="s">
        <v>2555</v>
      </c>
      <c r="B181" s="21" t="s">
        <v>5364</v>
      </c>
      <c r="C181" s="21" t="s">
        <v>22</v>
      </c>
      <c r="D181" s="21" t="s">
        <v>416</v>
      </c>
      <c r="E181" s="21" t="s">
        <v>46</v>
      </c>
      <c r="F181" s="5812">
        <v>2</v>
      </c>
      <c r="G181" s="5813">
        <v>0.19583333333333333</v>
      </c>
      <c r="H181" s="21" t="s">
        <v>10</v>
      </c>
      <c r="I181" s="21" t="s">
        <v>5365</v>
      </c>
      <c r="J181" s="21" t="s">
        <v>48</v>
      </c>
      <c r="K181" s="5814" t="s">
        <v>5366</v>
      </c>
    </row>
    <row r="182" spans="1:11">
      <c r="A182" s="21" t="s">
        <v>2600</v>
      </c>
      <c r="B182" s="21" t="s">
        <v>5367</v>
      </c>
      <c r="C182" s="21" t="s">
        <v>22</v>
      </c>
      <c r="D182" s="21" t="s">
        <v>416</v>
      </c>
      <c r="E182" s="21" t="s">
        <v>46</v>
      </c>
      <c r="F182" s="5812">
        <v>2</v>
      </c>
      <c r="G182" s="5813">
        <v>0.19930555555555557</v>
      </c>
      <c r="H182" s="21" t="s">
        <v>10</v>
      </c>
      <c r="I182" s="21" t="s">
        <v>96</v>
      </c>
      <c r="J182" s="21" t="s">
        <v>97</v>
      </c>
      <c r="K182" s="5814" t="s">
        <v>5368</v>
      </c>
    </row>
    <row r="183" spans="1:11">
      <c r="A183" s="21" t="s">
        <v>2229</v>
      </c>
      <c r="B183" s="21" t="s">
        <v>5369</v>
      </c>
      <c r="C183" s="21" t="s">
        <v>22</v>
      </c>
      <c r="D183" s="21" t="s">
        <v>416</v>
      </c>
      <c r="E183" s="21" t="s">
        <v>46</v>
      </c>
      <c r="F183" s="5812">
        <v>2</v>
      </c>
      <c r="G183" s="5813">
        <v>0.20833333333333334</v>
      </c>
      <c r="H183" s="21" t="s">
        <v>10</v>
      </c>
      <c r="I183" s="21" t="s">
        <v>233</v>
      </c>
      <c r="J183" s="21" t="s">
        <v>5370</v>
      </c>
      <c r="K183" s="5814" t="s">
        <v>5371</v>
      </c>
    </row>
    <row r="184" spans="1:11">
      <c r="A184" s="21" t="s">
        <v>2362</v>
      </c>
      <c r="B184" s="21" t="s">
        <v>5372</v>
      </c>
      <c r="C184" s="21" t="s">
        <v>8</v>
      </c>
      <c r="D184" s="21" t="s">
        <v>416</v>
      </c>
      <c r="E184" s="21" t="s">
        <v>46</v>
      </c>
      <c r="F184" s="5812">
        <v>3</v>
      </c>
      <c r="G184" s="5813">
        <v>9.2361111111111116E-2</v>
      </c>
      <c r="H184" s="21" t="s">
        <v>10</v>
      </c>
      <c r="I184" s="21" t="s">
        <v>11</v>
      </c>
      <c r="J184" s="21" t="s">
        <v>48</v>
      </c>
      <c r="K184" s="5814" t="s">
        <v>5373</v>
      </c>
    </row>
    <row r="185" spans="1:11">
      <c r="A185" s="21" t="s">
        <v>3532</v>
      </c>
      <c r="B185" s="21" t="s">
        <v>5374</v>
      </c>
      <c r="C185" s="21" t="s">
        <v>8</v>
      </c>
      <c r="D185" s="21" t="s">
        <v>416</v>
      </c>
      <c r="E185" s="21" t="s">
        <v>46</v>
      </c>
      <c r="F185" s="5812">
        <v>3</v>
      </c>
      <c r="G185" s="5813">
        <v>0.10972222222222222</v>
      </c>
      <c r="H185" s="21" t="s">
        <v>10</v>
      </c>
      <c r="I185" s="21" t="s">
        <v>2269</v>
      </c>
      <c r="J185" s="21" t="s">
        <v>722</v>
      </c>
      <c r="K185" s="5814" t="s">
        <v>5375</v>
      </c>
    </row>
    <row r="186" spans="1:11">
      <c r="A186" s="21" t="s">
        <v>2276</v>
      </c>
      <c r="B186" s="21" t="s">
        <v>5376</v>
      </c>
      <c r="C186" s="21" t="s">
        <v>8</v>
      </c>
      <c r="D186" s="21" t="s">
        <v>416</v>
      </c>
      <c r="E186" s="21" t="s">
        <v>46</v>
      </c>
      <c r="F186" s="5812">
        <v>3</v>
      </c>
      <c r="G186" s="5813">
        <v>0.12361111111111112</v>
      </c>
      <c r="H186" s="21" t="s">
        <v>10</v>
      </c>
      <c r="I186" s="21" t="s">
        <v>2247</v>
      </c>
      <c r="J186" s="21" t="s">
        <v>430</v>
      </c>
      <c r="K186" s="5814" t="s">
        <v>5377</v>
      </c>
    </row>
    <row r="187" spans="1:11">
      <c r="A187" s="21" t="s">
        <v>2941</v>
      </c>
      <c r="B187" s="21" t="s">
        <v>494</v>
      </c>
      <c r="C187" s="21" t="s">
        <v>179</v>
      </c>
      <c r="D187" s="21" t="s">
        <v>416</v>
      </c>
      <c r="E187" s="21" t="s">
        <v>920</v>
      </c>
      <c r="F187" s="5812">
        <v>1</v>
      </c>
      <c r="G187" s="5813">
        <v>0.15763888888888888</v>
      </c>
      <c r="H187" s="21" t="s">
        <v>10</v>
      </c>
      <c r="I187" s="21" t="s">
        <v>23</v>
      </c>
      <c r="J187" s="21" t="s">
        <v>5378</v>
      </c>
      <c r="K187" s="5814" t="s">
        <v>5379</v>
      </c>
    </row>
    <row r="188" spans="1:11">
      <c r="A188" s="21" t="s">
        <v>4317</v>
      </c>
      <c r="B188" s="21" t="s">
        <v>5380</v>
      </c>
      <c r="C188" s="21" t="s">
        <v>22</v>
      </c>
      <c r="D188" s="21" t="s">
        <v>416</v>
      </c>
      <c r="E188" s="21" t="s">
        <v>61</v>
      </c>
      <c r="F188" s="5812">
        <v>1</v>
      </c>
      <c r="G188" s="5813">
        <v>3.4027777777777775E-2</v>
      </c>
      <c r="H188" s="21" t="s">
        <v>10</v>
      </c>
      <c r="I188" s="21" t="s">
        <v>47</v>
      </c>
      <c r="J188" s="21" t="s">
        <v>67</v>
      </c>
      <c r="K188" s="5814" t="s">
        <v>5381</v>
      </c>
    </row>
    <row r="189" spans="1:11">
      <c r="A189" s="21" t="s">
        <v>2438</v>
      </c>
      <c r="B189" s="21" t="s">
        <v>5382</v>
      </c>
      <c r="C189" s="21" t="s">
        <v>8</v>
      </c>
      <c r="D189" s="21" t="s">
        <v>416</v>
      </c>
      <c r="E189" s="21" t="s">
        <v>61</v>
      </c>
      <c r="F189" s="5812">
        <v>1</v>
      </c>
      <c r="G189" s="5813">
        <v>4.027777777777778E-2</v>
      </c>
      <c r="H189" s="21" t="s">
        <v>10</v>
      </c>
      <c r="I189" s="21" t="s">
        <v>2544</v>
      </c>
      <c r="J189" s="21" t="s">
        <v>3313</v>
      </c>
      <c r="K189" s="5814" t="s">
        <v>5383</v>
      </c>
    </row>
    <row r="190" spans="1:11">
      <c r="A190" s="21" t="s">
        <v>2893</v>
      </c>
      <c r="B190" s="21" t="s">
        <v>5384</v>
      </c>
      <c r="C190" s="21" t="s">
        <v>22</v>
      </c>
      <c r="D190" s="21" t="s">
        <v>416</v>
      </c>
      <c r="E190" s="21" t="s">
        <v>61</v>
      </c>
      <c r="F190" s="5812">
        <v>1</v>
      </c>
      <c r="G190" s="5813">
        <v>5.4166666666666669E-2</v>
      </c>
      <c r="H190" s="21" t="s">
        <v>10</v>
      </c>
      <c r="I190" s="21" t="s">
        <v>11</v>
      </c>
      <c r="J190" s="21" t="s">
        <v>5385</v>
      </c>
      <c r="K190" s="5814" t="s">
        <v>5386</v>
      </c>
    </row>
    <row r="191" spans="1:11">
      <c r="A191" s="21" t="s">
        <v>5387</v>
      </c>
      <c r="B191" s="21" t="s">
        <v>5388</v>
      </c>
      <c r="C191" s="21" t="s">
        <v>22</v>
      </c>
      <c r="D191" s="21" t="s">
        <v>416</v>
      </c>
      <c r="E191" s="21" t="s">
        <v>61</v>
      </c>
      <c r="F191" s="5812">
        <v>1</v>
      </c>
      <c r="G191" s="5813">
        <v>5.7638888888888892E-2</v>
      </c>
      <c r="H191" s="21" t="s">
        <v>10</v>
      </c>
      <c r="I191" s="21" t="s">
        <v>3441</v>
      </c>
      <c r="J191" s="21" t="s">
        <v>3326</v>
      </c>
      <c r="K191" s="5814" t="s">
        <v>5389</v>
      </c>
    </row>
    <row r="192" spans="1:11">
      <c r="A192" s="21" t="s">
        <v>5390</v>
      </c>
      <c r="B192" s="21" t="s">
        <v>5391</v>
      </c>
      <c r="C192" s="21" t="s">
        <v>8</v>
      </c>
      <c r="D192" s="21" t="s">
        <v>416</v>
      </c>
      <c r="E192" s="21" t="s">
        <v>61</v>
      </c>
      <c r="F192" s="5812">
        <v>1</v>
      </c>
      <c r="G192" s="5813">
        <v>6.3194444444444442E-2</v>
      </c>
      <c r="H192" s="21" t="s">
        <v>10</v>
      </c>
      <c r="I192" s="21" t="s">
        <v>73</v>
      </c>
      <c r="J192" s="21" t="s">
        <v>5392</v>
      </c>
      <c r="K192" s="5814" t="s">
        <v>5393</v>
      </c>
    </row>
    <row r="193" spans="1:11">
      <c r="A193" s="21" t="s">
        <v>2831</v>
      </c>
      <c r="B193" s="21" t="s">
        <v>5394</v>
      </c>
      <c r="C193" s="21" t="s">
        <v>8</v>
      </c>
      <c r="D193" s="21" t="s">
        <v>416</v>
      </c>
      <c r="E193" s="21" t="s">
        <v>61</v>
      </c>
      <c r="F193" s="5812">
        <v>1</v>
      </c>
      <c r="G193" s="5813">
        <v>7.5694444444444439E-2</v>
      </c>
      <c r="H193" s="21" t="s">
        <v>10</v>
      </c>
      <c r="I193" s="21" t="s">
        <v>226</v>
      </c>
      <c r="J193" s="21" t="s">
        <v>67</v>
      </c>
      <c r="K193" s="5814" t="s">
        <v>5395</v>
      </c>
    </row>
    <row r="194" spans="1:11">
      <c r="A194" s="21" t="s">
        <v>4257</v>
      </c>
      <c r="B194" s="21" t="s">
        <v>5396</v>
      </c>
      <c r="C194" s="21" t="s">
        <v>8</v>
      </c>
      <c r="D194" s="21" t="s">
        <v>416</v>
      </c>
      <c r="E194" s="21" t="s">
        <v>61</v>
      </c>
      <c r="F194" s="5812">
        <v>1</v>
      </c>
      <c r="G194" s="5813">
        <v>7.6388888888888895E-2</v>
      </c>
      <c r="H194" s="21" t="s">
        <v>10</v>
      </c>
      <c r="I194" s="21" t="s">
        <v>55</v>
      </c>
      <c r="J194" s="21" t="s">
        <v>67</v>
      </c>
      <c r="K194" s="5814" t="s">
        <v>5397</v>
      </c>
    </row>
    <row r="195" spans="1:11">
      <c r="A195" s="21" t="s">
        <v>3235</v>
      </c>
      <c r="B195" s="21" t="s">
        <v>5398</v>
      </c>
      <c r="C195" s="21" t="s">
        <v>8</v>
      </c>
      <c r="D195" s="21" t="s">
        <v>416</v>
      </c>
      <c r="E195" s="21" t="s">
        <v>61</v>
      </c>
      <c r="F195" s="5812">
        <v>1</v>
      </c>
      <c r="G195" s="5813">
        <v>8.4722222222222227E-2</v>
      </c>
      <c r="H195" s="21" t="s">
        <v>10</v>
      </c>
      <c r="I195" s="21" t="s">
        <v>23</v>
      </c>
      <c r="J195" s="21" t="s">
        <v>324</v>
      </c>
      <c r="K195" s="5814" t="s">
        <v>5399</v>
      </c>
    </row>
    <row r="196" spans="1:11">
      <c r="A196" s="21" t="s">
        <v>2376</v>
      </c>
      <c r="B196" s="21" t="s">
        <v>5400</v>
      </c>
      <c r="C196" s="21" t="s">
        <v>8</v>
      </c>
      <c r="D196" s="21" t="s">
        <v>416</v>
      </c>
      <c r="E196" s="21" t="s">
        <v>61</v>
      </c>
      <c r="F196" s="5812">
        <v>1</v>
      </c>
      <c r="G196" s="5813">
        <v>9.0972222222222218E-2</v>
      </c>
      <c r="H196" s="21" t="s">
        <v>10</v>
      </c>
      <c r="I196" s="21" t="s">
        <v>23</v>
      </c>
      <c r="J196" s="21" t="s">
        <v>324</v>
      </c>
      <c r="K196" s="5814" t="s">
        <v>5401</v>
      </c>
    </row>
    <row r="197" spans="1:11">
      <c r="A197" s="21" t="s">
        <v>2428</v>
      </c>
      <c r="B197" s="21" t="s">
        <v>5402</v>
      </c>
      <c r="C197" s="21" t="s">
        <v>8</v>
      </c>
      <c r="D197" s="21" t="s">
        <v>416</v>
      </c>
      <c r="E197" s="21" t="s">
        <v>61</v>
      </c>
      <c r="F197" s="5812">
        <v>1</v>
      </c>
      <c r="G197" s="5813">
        <v>9.3055555555555558E-2</v>
      </c>
      <c r="H197" s="21" t="s">
        <v>10</v>
      </c>
      <c r="I197" s="21" t="s">
        <v>2430</v>
      </c>
      <c r="J197" s="21" t="s">
        <v>3350</v>
      </c>
      <c r="K197" s="5814" t="s">
        <v>5403</v>
      </c>
    </row>
    <row r="198" spans="1:11">
      <c r="A198" s="21" t="s">
        <v>160</v>
      </c>
      <c r="B198" s="21" t="s">
        <v>494</v>
      </c>
      <c r="C198" s="21" t="s">
        <v>8</v>
      </c>
      <c r="D198" s="21" t="s">
        <v>416</v>
      </c>
      <c r="E198" s="21" t="s">
        <v>61</v>
      </c>
      <c r="F198" s="5812">
        <v>1</v>
      </c>
      <c r="G198" s="5813">
        <v>9.5138888888888884E-2</v>
      </c>
      <c r="H198" s="21" t="s">
        <v>10</v>
      </c>
      <c r="I198" s="21" t="s">
        <v>47</v>
      </c>
      <c r="J198" s="21" t="s">
        <v>495</v>
      </c>
      <c r="K198" s="5814" t="s">
        <v>496</v>
      </c>
    </row>
    <row r="199" spans="1:11">
      <c r="A199" s="21" t="s">
        <v>2901</v>
      </c>
      <c r="B199" s="21" t="s">
        <v>5404</v>
      </c>
      <c r="C199" s="21" t="s">
        <v>8</v>
      </c>
      <c r="D199" s="21" t="s">
        <v>416</v>
      </c>
      <c r="E199" s="21" t="s">
        <v>61</v>
      </c>
      <c r="F199" s="5812">
        <v>1</v>
      </c>
      <c r="G199" s="5813">
        <v>9.583333333333334E-2</v>
      </c>
      <c r="H199" s="21" t="s">
        <v>10</v>
      </c>
      <c r="I199" s="21" t="s">
        <v>11</v>
      </c>
      <c r="J199" s="21" t="s">
        <v>67</v>
      </c>
      <c r="K199" s="5814" t="s">
        <v>5405</v>
      </c>
    </row>
    <row r="200" spans="1:11">
      <c r="A200" s="21" t="s">
        <v>3364</v>
      </c>
      <c r="B200" s="21" t="s">
        <v>5406</v>
      </c>
      <c r="C200" s="21" t="s">
        <v>8</v>
      </c>
      <c r="D200" s="21" t="s">
        <v>416</v>
      </c>
      <c r="E200" s="21" t="s">
        <v>61</v>
      </c>
      <c r="F200" s="5812">
        <v>1</v>
      </c>
      <c r="G200" s="5813">
        <v>9.583333333333334E-2</v>
      </c>
      <c r="H200" s="21" t="s">
        <v>10</v>
      </c>
      <c r="I200" s="21" t="s">
        <v>55</v>
      </c>
      <c r="J200" s="21" t="s">
        <v>67</v>
      </c>
      <c r="K200" s="5814" t="s">
        <v>5407</v>
      </c>
    </row>
    <row r="201" spans="1:11">
      <c r="A201" s="21" t="s">
        <v>2295</v>
      </c>
      <c r="B201" s="21" t="s">
        <v>5408</v>
      </c>
      <c r="C201" s="21" t="s">
        <v>22</v>
      </c>
      <c r="D201" s="21" t="s">
        <v>416</v>
      </c>
      <c r="E201" s="21" t="s">
        <v>61</v>
      </c>
      <c r="F201" s="5812">
        <v>1</v>
      </c>
      <c r="G201" s="5813">
        <v>9.930555555555555E-2</v>
      </c>
      <c r="H201" s="21" t="s">
        <v>10</v>
      </c>
      <c r="I201" s="21" t="s">
        <v>226</v>
      </c>
      <c r="J201" s="21" t="s">
        <v>110</v>
      </c>
      <c r="K201" s="5814" t="s">
        <v>5409</v>
      </c>
    </row>
    <row r="202" spans="1:11">
      <c r="A202" s="21" t="s">
        <v>2560</v>
      </c>
      <c r="B202" s="21" t="s">
        <v>5410</v>
      </c>
      <c r="C202" s="21" t="s">
        <v>22</v>
      </c>
      <c r="D202" s="21" t="s">
        <v>416</v>
      </c>
      <c r="E202" s="21" t="s">
        <v>61</v>
      </c>
      <c r="F202" s="5812">
        <v>1</v>
      </c>
      <c r="G202" s="5813">
        <v>0.10625</v>
      </c>
      <c r="H202" s="21" t="s">
        <v>10</v>
      </c>
      <c r="I202" s="21" t="s">
        <v>226</v>
      </c>
      <c r="J202" s="21" t="s">
        <v>505</v>
      </c>
      <c r="K202" s="5814" t="s">
        <v>5411</v>
      </c>
    </row>
    <row r="203" spans="1:11">
      <c r="A203" s="21" t="s">
        <v>5235</v>
      </c>
      <c r="B203" s="21" t="s">
        <v>5412</v>
      </c>
      <c r="C203" s="21" t="s">
        <v>8</v>
      </c>
      <c r="D203" s="21" t="s">
        <v>416</v>
      </c>
      <c r="E203" s="21" t="s">
        <v>61</v>
      </c>
      <c r="F203" s="5812">
        <v>1</v>
      </c>
      <c r="G203" s="5813">
        <v>0.1076388888888889</v>
      </c>
      <c r="H203" s="21" t="s">
        <v>10</v>
      </c>
      <c r="I203" s="21" t="s">
        <v>2660</v>
      </c>
      <c r="J203" s="21" t="s">
        <v>67</v>
      </c>
      <c r="K203" s="5814" t="s">
        <v>5413</v>
      </c>
    </row>
    <row r="204" spans="1:11">
      <c r="A204" s="21" t="s">
        <v>3208</v>
      </c>
      <c r="B204" s="21" t="s">
        <v>5414</v>
      </c>
      <c r="C204" s="21" t="s">
        <v>8</v>
      </c>
      <c r="D204" s="21" t="s">
        <v>416</v>
      </c>
      <c r="E204" s="21" t="s">
        <v>61</v>
      </c>
      <c r="F204" s="5812">
        <v>1</v>
      </c>
      <c r="G204" s="5813">
        <v>0.13055555555555556</v>
      </c>
      <c r="H204" s="21" t="s">
        <v>10</v>
      </c>
      <c r="I204" s="21" t="s">
        <v>187</v>
      </c>
      <c r="J204" s="21" t="s">
        <v>3350</v>
      </c>
      <c r="K204" s="5814" t="s">
        <v>5415</v>
      </c>
    </row>
    <row r="205" spans="1:11">
      <c r="A205" s="21" t="s">
        <v>3882</v>
      </c>
      <c r="B205" s="21" t="s">
        <v>5416</v>
      </c>
      <c r="C205" s="21" t="s">
        <v>8</v>
      </c>
      <c r="D205" s="21" t="s">
        <v>416</v>
      </c>
      <c r="E205" s="21" t="s">
        <v>61</v>
      </c>
      <c r="F205" s="5812">
        <v>1</v>
      </c>
      <c r="G205" s="5813">
        <v>0.13402777777777777</v>
      </c>
      <c r="H205" s="21" t="s">
        <v>10</v>
      </c>
      <c r="I205" s="21" t="s">
        <v>23</v>
      </c>
      <c r="J205" s="21" t="s">
        <v>67</v>
      </c>
      <c r="K205" s="5814" t="s">
        <v>5417</v>
      </c>
    </row>
    <row r="206" spans="1:11">
      <c r="A206" s="21" t="s">
        <v>2358</v>
      </c>
      <c r="B206" s="21" t="s">
        <v>5418</v>
      </c>
      <c r="C206" s="21" t="s">
        <v>8</v>
      </c>
      <c r="D206" s="21" t="s">
        <v>416</v>
      </c>
      <c r="E206" s="21" t="s">
        <v>61</v>
      </c>
      <c r="F206" s="5812">
        <v>1</v>
      </c>
      <c r="G206" s="5813">
        <v>0.1361111111111111</v>
      </c>
      <c r="H206" s="21" t="s">
        <v>10</v>
      </c>
      <c r="I206" s="21" t="s">
        <v>96</v>
      </c>
      <c r="J206" s="21" t="s">
        <v>67</v>
      </c>
      <c r="K206" s="5814" t="s">
        <v>5419</v>
      </c>
    </row>
    <row r="207" spans="1:11">
      <c r="A207" s="21" t="s">
        <v>2509</v>
      </c>
      <c r="B207" s="21" t="s">
        <v>5420</v>
      </c>
      <c r="C207" s="21" t="s">
        <v>8</v>
      </c>
      <c r="D207" s="21" t="s">
        <v>416</v>
      </c>
      <c r="E207" s="21" t="s">
        <v>61</v>
      </c>
      <c r="F207" s="5812">
        <v>1</v>
      </c>
      <c r="G207" s="5813">
        <v>0.13750000000000001</v>
      </c>
      <c r="H207" s="21" t="s">
        <v>10</v>
      </c>
      <c r="I207" s="21" t="s">
        <v>400</v>
      </c>
      <c r="J207" s="21" t="s">
        <v>5421</v>
      </c>
      <c r="K207" s="5814" t="s">
        <v>5422</v>
      </c>
    </row>
    <row r="208" spans="1:11">
      <c r="A208" s="21" t="s">
        <v>2084</v>
      </c>
      <c r="B208" s="21" t="s">
        <v>5423</v>
      </c>
      <c r="C208" s="21" t="s">
        <v>8</v>
      </c>
      <c r="D208" s="21" t="s">
        <v>416</v>
      </c>
      <c r="E208" s="21" t="s">
        <v>61</v>
      </c>
      <c r="F208" s="5812">
        <v>1</v>
      </c>
      <c r="G208" s="5813">
        <v>0.14305555555555555</v>
      </c>
      <c r="H208" s="21" t="s">
        <v>10</v>
      </c>
      <c r="I208" s="21" t="s">
        <v>47</v>
      </c>
      <c r="J208" s="21" t="s">
        <v>836</v>
      </c>
      <c r="K208" s="5814" t="s">
        <v>5424</v>
      </c>
    </row>
    <row r="209" spans="1:11">
      <c r="A209" s="21" t="s">
        <v>2225</v>
      </c>
      <c r="B209" s="21" t="s">
        <v>5425</v>
      </c>
      <c r="C209" s="21" t="s">
        <v>8</v>
      </c>
      <c r="D209" s="21" t="s">
        <v>416</v>
      </c>
      <c r="E209" s="21" t="s">
        <v>61</v>
      </c>
      <c r="F209" s="5812">
        <v>1</v>
      </c>
      <c r="G209" s="5813">
        <v>0.16388888888888889</v>
      </c>
      <c r="H209" s="21" t="s">
        <v>10</v>
      </c>
      <c r="I209" s="21" t="s">
        <v>162</v>
      </c>
      <c r="J209" s="21" t="s">
        <v>67</v>
      </c>
      <c r="K209" s="5814" t="s">
        <v>5426</v>
      </c>
    </row>
    <row r="210" spans="1:11">
      <c r="A210" s="21" t="s">
        <v>2918</v>
      </c>
      <c r="B210" s="21" t="s">
        <v>5427</v>
      </c>
      <c r="C210" s="21" t="s">
        <v>8</v>
      </c>
      <c r="D210" s="21" t="s">
        <v>416</v>
      </c>
      <c r="E210" s="21" t="s">
        <v>61</v>
      </c>
      <c r="F210" s="5812">
        <v>1</v>
      </c>
      <c r="G210" s="5813">
        <v>0.18055555555555555</v>
      </c>
      <c r="H210" s="21" t="s">
        <v>10</v>
      </c>
      <c r="I210" s="21" t="s">
        <v>23</v>
      </c>
      <c r="J210" s="21" t="s">
        <v>3383</v>
      </c>
      <c r="K210" s="5814" t="s">
        <v>5428</v>
      </c>
    </row>
    <row r="211" spans="1:11">
      <c r="A211" s="21" t="s">
        <v>20</v>
      </c>
      <c r="B211" s="21" t="s">
        <v>441</v>
      </c>
      <c r="C211" s="21" t="s">
        <v>8</v>
      </c>
      <c r="D211" s="21" t="s">
        <v>416</v>
      </c>
      <c r="E211" s="21" t="s">
        <v>61</v>
      </c>
      <c r="F211" s="5812">
        <v>1</v>
      </c>
      <c r="G211" s="5813">
        <v>0.18541666666666667</v>
      </c>
      <c r="H211" s="21" t="s">
        <v>10</v>
      </c>
      <c r="I211" s="21" t="s">
        <v>55</v>
      </c>
      <c r="J211" s="21" t="s">
        <v>67</v>
      </c>
      <c r="K211" s="5814" t="s">
        <v>442</v>
      </c>
    </row>
    <row r="212" spans="1:11">
      <c r="A212" s="21" t="s">
        <v>4289</v>
      </c>
      <c r="B212" s="21" t="s">
        <v>5429</v>
      </c>
      <c r="C212" s="21" t="s">
        <v>8</v>
      </c>
      <c r="D212" s="21" t="s">
        <v>416</v>
      </c>
      <c r="E212" s="21" t="s">
        <v>61</v>
      </c>
      <c r="F212" s="5812">
        <v>1</v>
      </c>
      <c r="G212" s="5813">
        <v>0.1875</v>
      </c>
      <c r="H212" s="21" t="s">
        <v>10</v>
      </c>
      <c r="I212" s="21" t="s">
        <v>2713</v>
      </c>
      <c r="J212" s="21" t="s">
        <v>67</v>
      </c>
      <c r="K212" s="5814" t="s">
        <v>5430</v>
      </c>
    </row>
    <row r="213" spans="1:11">
      <c r="A213" s="21" t="s">
        <v>2395</v>
      </c>
      <c r="B213" s="21" t="s">
        <v>5431</v>
      </c>
      <c r="C213" s="21" t="s">
        <v>8</v>
      </c>
      <c r="D213" s="21" t="s">
        <v>416</v>
      </c>
      <c r="E213" s="21" t="s">
        <v>61</v>
      </c>
      <c r="F213" s="5812">
        <v>1</v>
      </c>
      <c r="G213" s="5813">
        <v>0.19027777777777777</v>
      </c>
      <c r="H213" s="21" t="s">
        <v>10</v>
      </c>
      <c r="I213" s="21" t="s">
        <v>4535</v>
      </c>
      <c r="J213" s="21" t="s">
        <v>67</v>
      </c>
      <c r="K213" s="5814" t="s">
        <v>5432</v>
      </c>
    </row>
    <row r="214" spans="1:11">
      <c r="A214" s="21" t="s">
        <v>3703</v>
      </c>
      <c r="B214" s="21" t="s">
        <v>5433</v>
      </c>
      <c r="C214" s="21" t="s">
        <v>22</v>
      </c>
      <c r="D214" s="21" t="s">
        <v>416</v>
      </c>
      <c r="E214" s="21" t="s">
        <v>61</v>
      </c>
      <c r="F214" s="5812">
        <v>2</v>
      </c>
      <c r="G214" s="5813">
        <v>3.3333333333333333E-2</v>
      </c>
      <c r="H214" s="21" t="s">
        <v>10</v>
      </c>
      <c r="I214" s="21" t="s">
        <v>2313</v>
      </c>
      <c r="J214" s="21" t="s">
        <v>324</v>
      </c>
      <c r="K214" s="5814" t="s">
        <v>5434</v>
      </c>
    </row>
    <row r="215" spans="1:11">
      <c r="A215" s="21" t="s">
        <v>185</v>
      </c>
      <c r="B215" s="21" t="s">
        <v>504</v>
      </c>
      <c r="C215" s="21" t="s">
        <v>22</v>
      </c>
      <c r="D215" s="21" t="s">
        <v>416</v>
      </c>
      <c r="E215" s="21" t="s">
        <v>61</v>
      </c>
      <c r="F215" s="5812">
        <v>2</v>
      </c>
      <c r="G215" s="5813">
        <v>5.347222222222222E-2</v>
      </c>
      <c r="H215" s="21" t="s">
        <v>10</v>
      </c>
      <c r="I215" s="21" t="s">
        <v>194</v>
      </c>
      <c r="J215" s="21" t="s">
        <v>505</v>
      </c>
      <c r="K215" s="5814" t="s">
        <v>506</v>
      </c>
    </row>
    <row r="216" spans="1:11">
      <c r="A216" s="21" t="s">
        <v>2088</v>
      </c>
      <c r="B216" s="21" t="s">
        <v>5435</v>
      </c>
      <c r="C216" s="21" t="s">
        <v>22</v>
      </c>
      <c r="D216" s="21" t="s">
        <v>416</v>
      </c>
      <c r="E216" s="21" t="s">
        <v>61</v>
      </c>
      <c r="F216" s="5812">
        <v>2</v>
      </c>
      <c r="G216" s="5813">
        <v>5.7638888888888892E-2</v>
      </c>
      <c r="H216" s="21" t="s">
        <v>10</v>
      </c>
      <c r="I216" s="21" t="s">
        <v>23</v>
      </c>
      <c r="J216" s="21" t="s">
        <v>67</v>
      </c>
      <c r="K216" s="5814" t="s">
        <v>5436</v>
      </c>
    </row>
    <row r="217" spans="1:11">
      <c r="A217" s="21" t="s">
        <v>2481</v>
      </c>
      <c r="B217" s="21" t="s">
        <v>1101</v>
      </c>
      <c r="C217" s="21" t="s">
        <v>8</v>
      </c>
      <c r="D217" s="21" t="s">
        <v>416</v>
      </c>
      <c r="E217" s="21" t="s">
        <v>61</v>
      </c>
      <c r="F217" s="5812">
        <v>2</v>
      </c>
      <c r="G217" s="5813">
        <v>7.3611111111111113E-2</v>
      </c>
      <c r="H217" s="21" t="s">
        <v>10</v>
      </c>
      <c r="I217" s="21" t="s">
        <v>39</v>
      </c>
      <c r="J217" s="21" t="s">
        <v>67</v>
      </c>
      <c r="K217" s="5814" t="s">
        <v>5437</v>
      </c>
    </row>
    <row r="218" spans="1:11">
      <c r="A218" s="21" t="s">
        <v>2702</v>
      </c>
      <c r="B218" s="21" t="s">
        <v>5438</v>
      </c>
      <c r="C218" s="21" t="s">
        <v>8</v>
      </c>
      <c r="D218" s="21" t="s">
        <v>416</v>
      </c>
      <c r="E218" s="21" t="s">
        <v>61</v>
      </c>
      <c r="F218" s="5812">
        <v>2</v>
      </c>
      <c r="G218" s="5813">
        <v>8.3333333333333329E-2</v>
      </c>
      <c r="H218" s="21" t="s">
        <v>10</v>
      </c>
      <c r="I218" s="21" t="s">
        <v>4960</v>
      </c>
      <c r="J218" s="21" t="s">
        <v>67</v>
      </c>
      <c r="K218" s="5814" t="s">
        <v>5439</v>
      </c>
    </row>
    <row r="219" spans="1:11">
      <c r="A219" s="21" t="s">
        <v>2376</v>
      </c>
      <c r="B219" s="21" t="s">
        <v>5440</v>
      </c>
      <c r="C219" s="21" t="s">
        <v>22</v>
      </c>
      <c r="D219" s="21" t="s">
        <v>416</v>
      </c>
      <c r="E219" s="21" t="s">
        <v>61</v>
      </c>
      <c r="F219" s="5812">
        <v>2</v>
      </c>
      <c r="G219" s="5813">
        <v>0.11041666666666666</v>
      </c>
      <c r="H219" s="21" t="s">
        <v>10</v>
      </c>
      <c r="I219" s="21" t="s">
        <v>96</v>
      </c>
      <c r="J219" s="21" t="s">
        <v>3326</v>
      </c>
      <c r="K219" s="5814" t="s">
        <v>5441</v>
      </c>
    </row>
    <row r="220" spans="1:11">
      <c r="A220" s="21" t="s">
        <v>2323</v>
      </c>
      <c r="B220" s="21" t="s">
        <v>5442</v>
      </c>
      <c r="C220" s="21" t="s">
        <v>22</v>
      </c>
      <c r="D220" s="21" t="s">
        <v>416</v>
      </c>
      <c r="E220" s="21" t="s">
        <v>61</v>
      </c>
      <c r="F220" s="5812">
        <v>2</v>
      </c>
      <c r="G220" s="5813">
        <v>0.13263888888888889</v>
      </c>
      <c r="H220" s="21" t="s">
        <v>10</v>
      </c>
      <c r="I220" s="21" t="s">
        <v>263</v>
      </c>
      <c r="J220" s="21" t="s">
        <v>67</v>
      </c>
      <c r="K220" s="5814" t="s">
        <v>5443</v>
      </c>
    </row>
    <row r="221" spans="1:11">
      <c r="A221" s="21" t="s">
        <v>3170</v>
      </c>
      <c r="B221" s="21" t="s">
        <v>5444</v>
      </c>
      <c r="C221" s="21" t="s">
        <v>22</v>
      </c>
      <c r="D221" s="21" t="s">
        <v>416</v>
      </c>
      <c r="E221" s="21" t="s">
        <v>61</v>
      </c>
      <c r="F221" s="5812">
        <v>2</v>
      </c>
      <c r="G221" s="5813">
        <v>0.13402777777777777</v>
      </c>
      <c r="H221" s="21" t="s">
        <v>10</v>
      </c>
      <c r="I221" s="21" t="s">
        <v>2660</v>
      </c>
      <c r="J221" s="21" t="s">
        <v>67</v>
      </c>
      <c r="K221" s="5814" t="s">
        <v>5445</v>
      </c>
    </row>
    <row r="222" spans="1:11">
      <c r="A222" s="21" t="s">
        <v>3315</v>
      </c>
      <c r="B222" s="21" t="s">
        <v>5446</v>
      </c>
      <c r="C222" s="21" t="s">
        <v>22</v>
      </c>
      <c r="D222" s="21" t="s">
        <v>416</v>
      </c>
      <c r="E222" s="21" t="s">
        <v>61</v>
      </c>
      <c r="F222" s="5812">
        <v>2</v>
      </c>
      <c r="G222" s="5813">
        <v>0.13750000000000001</v>
      </c>
      <c r="H222" s="21" t="s">
        <v>10</v>
      </c>
      <c r="I222" s="21" t="s">
        <v>39</v>
      </c>
      <c r="J222" s="21" t="s">
        <v>62</v>
      </c>
      <c r="K222" s="5814" t="s">
        <v>5447</v>
      </c>
    </row>
    <row r="223" spans="1:11">
      <c r="A223" s="21" t="s">
        <v>3053</v>
      </c>
      <c r="B223" s="21" t="s">
        <v>5448</v>
      </c>
      <c r="C223" s="21" t="s">
        <v>22</v>
      </c>
      <c r="D223" s="21" t="s">
        <v>416</v>
      </c>
      <c r="E223" s="21" t="s">
        <v>61</v>
      </c>
      <c r="F223" s="5812">
        <v>2</v>
      </c>
      <c r="G223" s="5813">
        <v>0.13819444444444445</v>
      </c>
      <c r="H223" s="21" t="s">
        <v>10</v>
      </c>
      <c r="I223" s="21" t="s">
        <v>47</v>
      </c>
      <c r="J223" s="21" t="s">
        <v>67</v>
      </c>
      <c r="K223" s="5814" t="s">
        <v>5449</v>
      </c>
    </row>
    <row r="224" spans="1:11">
      <c r="A224" s="21" t="s">
        <v>5220</v>
      </c>
      <c r="B224" s="21" t="s">
        <v>5450</v>
      </c>
      <c r="C224" s="21" t="s">
        <v>8</v>
      </c>
      <c r="D224" s="21" t="s">
        <v>416</v>
      </c>
      <c r="E224" s="21" t="s">
        <v>61</v>
      </c>
      <c r="F224" s="5812">
        <v>2</v>
      </c>
      <c r="G224" s="5813">
        <v>0.14583333333333334</v>
      </c>
      <c r="H224" s="21" t="s">
        <v>10</v>
      </c>
      <c r="I224" s="21" t="s">
        <v>2814</v>
      </c>
      <c r="J224" s="21" t="s">
        <v>67</v>
      </c>
      <c r="K224" s="5814" t="s">
        <v>5451</v>
      </c>
    </row>
    <row r="225" spans="1:11">
      <c r="A225" s="21" t="s">
        <v>3036</v>
      </c>
      <c r="B225" s="21" t="s">
        <v>5452</v>
      </c>
      <c r="C225" s="21" t="s">
        <v>22</v>
      </c>
      <c r="D225" s="21" t="s">
        <v>416</v>
      </c>
      <c r="E225" s="21" t="s">
        <v>61</v>
      </c>
      <c r="F225" s="5812">
        <v>2</v>
      </c>
      <c r="G225" s="5813">
        <v>0.16944444444444445</v>
      </c>
      <c r="H225" s="21" t="s">
        <v>10</v>
      </c>
      <c r="I225" s="21" t="s">
        <v>3534</v>
      </c>
      <c r="J225" s="21" t="s">
        <v>67</v>
      </c>
      <c r="K225" s="5814" t="s">
        <v>5453</v>
      </c>
    </row>
    <row r="226" spans="1:11">
      <c r="A226" s="21" t="s">
        <v>2780</v>
      </c>
      <c r="B226" s="21" t="s">
        <v>5454</v>
      </c>
      <c r="C226" s="21" t="s">
        <v>22</v>
      </c>
      <c r="D226" s="21" t="s">
        <v>416</v>
      </c>
      <c r="E226" s="21" t="s">
        <v>61</v>
      </c>
      <c r="F226" s="5812">
        <v>2</v>
      </c>
      <c r="G226" s="5813">
        <v>0.17083333333333334</v>
      </c>
      <c r="H226" s="21" t="s">
        <v>10</v>
      </c>
      <c r="I226" s="21" t="s">
        <v>226</v>
      </c>
      <c r="J226" s="21" t="s">
        <v>67</v>
      </c>
      <c r="K226" s="5814" t="s">
        <v>5455</v>
      </c>
    </row>
    <row r="227" spans="1:11">
      <c r="A227" s="21" t="s">
        <v>4430</v>
      </c>
      <c r="B227" s="21" t="s">
        <v>5456</v>
      </c>
      <c r="C227" s="21" t="s">
        <v>22</v>
      </c>
      <c r="D227" s="21" t="s">
        <v>416</v>
      </c>
      <c r="E227" s="21" t="s">
        <v>61</v>
      </c>
      <c r="F227" s="5812">
        <v>2</v>
      </c>
      <c r="G227" s="5813">
        <v>0.17291666666666666</v>
      </c>
      <c r="H227" s="21" t="s">
        <v>10</v>
      </c>
      <c r="I227" s="21" t="s">
        <v>47</v>
      </c>
      <c r="J227" s="21" t="s">
        <v>67</v>
      </c>
      <c r="K227" s="5814" t="s">
        <v>5457</v>
      </c>
    </row>
    <row r="228" spans="1:11">
      <c r="A228" s="21" t="s">
        <v>4430</v>
      </c>
      <c r="B228" s="21" t="s">
        <v>5458</v>
      </c>
      <c r="C228" s="21" t="s">
        <v>8</v>
      </c>
      <c r="D228" s="21" t="s">
        <v>416</v>
      </c>
      <c r="E228" s="21" t="s">
        <v>61</v>
      </c>
      <c r="F228" s="5812">
        <v>2</v>
      </c>
      <c r="G228" s="5813">
        <v>0.17499999999999999</v>
      </c>
      <c r="H228" s="21" t="s">
        <v>10</v>
      </c>
      <c r="I228" s="21" t="s">
        <v>2523</v>
      </c>
      <c r="J228" s="21" t="s">
        <v>376</v>
      </c>
      <c r="K228" s="5814" t="s">
        <v>5459</v>
      </c>
    </row>
    <row r="229" spans="1:11">
      <c r="A229" s="21" t="s">
        <v>2100</v>
      </c>
      <c r="B229" s="21" t="s">
        <v>5460</v>
      </c>
      <c r="C229" s="21" t="s">
        <v>8</v>
      </c>
      <c r="D229" s="21" t="s">
        <v>416</v>
      </c>
      <c r="E229" s="21" t="s">
        <v>61</v>
      </c>
      <c r="F229" s="5812">
        <v>2</v>
      </c>
      <c r="G229" s="5813">
        <v>0.17986111111111111</v>
      </c>
      <c r="H229" s="21" t="s">
        <v>10</v>
      </c>
      <c r="I229" s="21" t="s">
        <v>73</v>
      </c>
      <c r="J229" s="21" t="s">
        <v>5461</v>
      </c>
      <c r="K229" s="5814" t="s">
        <v>5462</v>
      </c>
    </row>
    <row r="230" spans="1:11">
      <c r="A230" s="21" t="s">
        <v>3409</v>
      </c>
      <c r="B230" s="21" t="s">
        <v>5463</v>
      </c>
      <c r="C230" s="21" t="s">
        <v>8</v>
      </c>
      <c r="D230" s="21" t="s">
        <v>416</v>
      </c>
      <c r="E230" s="21" t="s">
        <v>61</v>
      </c>
      <c r="F230" s="5812">
        <v>2</v>
      </c>
      <c r="G230" s="5813">
        <v>0.18333333333333332</v>
      </c>
      <c r="H230" s="21" t="s">
        <v>10</v>
      </c>
      <c r="I230" s="21" t="s">
        <v>654</v>
      </c>
      <c r="J230" s="21" t="s">
        <v>495</v>
      </c>
      <c r="K230" s="5814" t="s">
        <v>5464</v>
      </c>
    </row>
    <row r="231" spans="1:11">
      <c r="A231" s="21" t="s">
        <v>44</v>
      </c>
      <c r="B231" s="21" t="s">
        <v>513</v>
      </c>
      <c r="C231" s="21" t="s">
        <v>8</v>
      </c>
      <c r="D231" s="21" t="s">
        <v>416</v>
      </c>
      <c r="E231" s="21" t="s">
        <v>61</v>
      </c>
      <c r="F231" s="5812">
        <v>2</v>
      </c>
      <c r="G231" s="5813">
        <v>0.18402777777777779</v>
      </c>
      <c r="H231" s="21" t="s">
        <v>10</v>
      </c>
      <c r="I231" s="21" t="s">
        <v>23</v>
      </c>
      <c r="J231" s="21" t="s">
        <v>67</v>
      </c>
      <c r="K231" s="5814" t="s">
        <v>514</v>
      </c>
    </row>
    <row r="232" spans="1:11">
      <c r="A232" s="21" t="s">
        <v>160</v>
      </c>
      <c r="B232" s="21" t="s">
        <v>454</v>
      </c>
      <c r="C232" s="21" t="s">
        <v>8</v>
      </c>
      <c r="D232" s="21" t="s">
        <v>416</v>
      </c>
      <c r="E232" s="21" t="s">
        <v>61</v>
      </c>
      <c r="F232" s="5812">
        <v>2</v>
      </c>
      <c r="G232" s="5813">
        <v>0.2076388888888889</v>
      </c>
      <c r="H232" s="21" t="s">
        <v>10</v>
      </c>
      <c r="I232" s="21" t="s">
        <v>89</v>
      </c>
      <c r="J232" s="21" t="s">
        <v>67</v>
      </c>
      <c r="K232" s="5814" t="s">
        <v>455</v>
      </c>
    </row>
    <row r="233" spans="1:11">
      <c r="A233" s="21" t="s">
        <v>2741</v>
      </c>
      <c r="B233" s="21" t="s">
        <v>5465</v>
      </c>
      <c r="C233" s="21" t="s">
        <v>8</v>
      </c>
      <c r="D233" s="21" t="s">
        <v>416</v>
      </c>
      <c r="E233" s="21" t="s">
        <v>61</v>
      </c>
      <c r="F233" s="5812">
        <v>3</v>
      </c>
      <c r="G233" s="5813">
        <v>7.1527777777777773E-2</v>
      </c>
      <c r="H233" s="21" t="s">
        <v>10</v>
      </c>
      <c r="I233" s="21" t="s">
        <v>2149</v>
      </c>
      <c r="J233" s="21" t="s">
        <v>5466</v>
      </c>
      <c r="K233" s="5814" t="s">
        <v>5467</v>
      </c>
    </row>
    <row r="234" spans="1:11">
      <c r="A234" s="21" t="s">
        <v>2772</v>
      </c>
      <c r="B234" s="21" t="s">
        <v>5468</v>
      </c>
      <c r="C234" s="21" t="s">
        <v>8</v>
      </c>
      <c r="D234" s="21" t="s">
        <v>416</v>
      </c>
      <c r="E234" s="21" t="s">
        <v>61</v>
      </c>
      <c r="F234" s="5812">
        <v>3</v>
      </c>
      <c r="G234" s="5813">
        <v>0.10486111111111111</v>
      </c>
      <c r="H234" s="21" t="s">
        <v>10</v>
      </c>
      <c r="I234" s="21" t="s">
        <v>2731</v>
      </c>
      <c r="J234" s="21" t="s">
        <v>67</v>
      </c>
      <c r="K234" s="5814" t="s">
        <v>5469</v>
      </c>
    </row>
    <row r="235" spans="1:11">
      <c r="A235" s="21" t="s">
        <v>2918</v>
      </c>
      <c r="B235" s="21" t="s">
        <v>5470</v>
      </c>
      <c r="C235" s="21" t="s">
        <v>22</v>
      </c>
      <c r="D235" s="21" t="s">
        <v>416</v>
      </c>
      <c r="E235" s="21" t="s">
        <v>61</v>
      </c>
      <c r="F235" s="5812">
        <v>3</v>
      </c>
      <c r="G235" s="5813">
        <v>0.13263888888888889</v>
      </c>
      <c r="H235" s="21" t="s">
        <v>2081</v>
      </c>
      <c r="I235" s="21" t="s">
        <v>47</v>
      </c>
      <c r="J235" s="21" t="s">
        <v>67</v>
      </c>
      <c r="K235" s="5814" t="s">
        <v>5471</v>
      </c>
    </row>
    <row r="236" spans="1:11">
      <c r="A236" s="21" t="s">
        <v>2096</v>
      </c>
      <c r="B236" s="21" t="s">
        <v>5472</v>
      </c>
      <c r="C236" s="21" t="s">
        <v>8</v>
      </c>
      <c r="D236" s="21" t="s">
        <v>416</v>
      </c>
      <c r="E236" s="21" t="s">
        <v>61</v>
      </c>
      <c r="F236" s="5812">
        <v>3</v>
      </c>
      <c r="G236" s="5813">
        <v>0.18472222222222223</v>
      </c>
      <c r="H236" s="21" t="s">
        <v>10</v>
      </c>
      <c r="I236" s="21" t="s">
        <v>2544</v>
      </c>
      <c r="J236" s="21" t="s">
        <v>5461</v>
      </c>
      <c r="K236" s="5814" t="s">
        <v>5473</v>
      </c>
    </row>
    <row r="237" spans="1:11">
      <c r="A237" s="21" t="s">
        <v>3671</v>
      </c>
      <c r="B237" s="21" t="s">
        <v>5474</v>
      </c>
      <c r="C237" s="21" t="s">
        <v>8</v>
      </c>
      <c r="D237" s="21" t="s">
        <v>416</v>
      </c>
      <c r="E237" s="21" t="s">
        <v>61</v>
      </c>
      <c r="F237" s="5812">
        <v>3</v>
      </c>
      <c r="G237" s="5813">
        <v>0.18888888888888888</v>
      </c>
      <c r="H237" s="21" t="s">
        <v>10</v>
      </c>
      <c r="I237" s="21" t="s">
        <v>55</v>
      </c>
      <c r="J237" s="21" t="s">
        <v>897</v>
      </c>
      <c r="K237" s="5814" t="s">
        <v>5475</v>
      </c>
    </row>
    <row r="238" spans="1:11">
      <c r="A238" s="21" t="s">
        <v>2174</v>
      </c>
      <c r="B238" s="21" t="s">
        <v>5476</v>
      </c>
      <c r="C238" s="21" t="s">
        <v>8</v>
      </c>
      <c r="D238" s="21" t="s">
        <v>416</v>
      </c>
      <c r="E238" s="21" t="s">
        <v>244</v>
      </c>
      <c r="F238" s="5812">
        <v>1</v>
      </c>
      <c r="G238" s="5813">
        <v>0.12222222222222222</v>
      </c>
      <c r="H238" s="21" t="s">
        <v>10</v>
      </c>
      <c r="I238" s="21" t="s">
        <v>233</v>
      </c>
      <c r="J238" s="21"/>
      <c r="K238" s="5814" t="s">
        <v>5477</v>
      </c>
    </row>
    <row r="239" spans="1:11">
      <c r="A239" s="21" t="s">
        <v>4047</v>
      </c>
      <c r="B239" s="21" t="s">
        <v>9609</v>
      </c>
      <c r="C239" s="21" t="s">
        <v>709</v>
      </c>
      <c r="D239" s="21" t="s">
        <v>1098</v>
      </c>
      <c r="E239" s="21" t="s">
        <v>710</v>
      </c>
      <c r="F239" s="5812">
        <v>5</v>
      </c>
      <c r="G239" s="5813">
        <v>0.20833333333333334</v>
      </c>
      <c r="H239" s="21" t="s">
        <v>54</v>
      </c>
      <c r="I239" s="21" t="s">
        <v>96</v>
      </c>
      <c r="J239" s="21" t="s">
        <v>9610</v>
      </c>
      <c r="K239" s="5814" t="s">
        <v>9611</v>
      </c>
    </row>
    <row r="240" spans="1:11">
      <c r="A240" s="21" t="s">
        <v>3029</v>
      </c>
      <c r="B240" s="21" t="s">
        <v>5152</v>
      </c>
      <c r="C240" s="21" t="s">
        <v>22</v>
      </c>
      <c r="D240" s="21" t="s">
        <v>1098</v>
      </c>
      <c r="E240" s="21" t="s">
        <v>193</v>
      </c>
      <c r="F240" s="5812">
        <v>5</v>
      </c>
      <c r="G240" s="5813">
        <v>0.20833333333333334</v>
      </c>
      <c r="H240" s="21" t="s">
        <v>54</v>
      </c>
      <c r="I240" s="21" t="s">
        <v>96</v>
      </c>
      <c r="J240" s="21" t="s">
        <v>9612</v>
      </c>
      <c r="K240" s="5814" t="s">
        <v>9613</v>
      </c>
    </row>
    <row r="241" spans="1:11">
      <c r="A241" s="21" t="s">
        <v>2201</v>
      </c>
      <c r="B241" s="21" t="s">
        <v>9614</v>
      </c>
      <c r="C241" s="21" t="s">
        <v>22</v>
      </c>
      <c r="D241" s="21" t="s">
        <v>1098</v>
      </c>
      <c r="E241" s="21" t="s">
        <v>193</v>
      </c>
      <c r="F241" s="5812">
        <v>5</v>
      </c>
      <c r="G241" s="5813">
        <v>0.20833333333333334</v>
      </c>
      <c r="H241" s="21" t="s">
        <v>54</v>
      </c>
      <c r="I241" s="21" t="s">
        <v>89</v>
      </c>
      <c r="J241" s="21" t="s">
        <v>9615</v>
      </c>
      <c r="K241" s="5814" t="s">
        <v>9616</v>
      </c>
    </row>
    <row r="242" spans="1:11">
      <c r="A242" s="21" t="s">
        <v>87</v>
      </c>
      <c r="B242" s="21" t="s">
        <v>1097</v>
      </c>
      <c r="C242" s="21" t="s">
        <v>8</v>
      </c>
      <c r="D242" s="21" t="s">
        <v>1098</v>
      </c>
      <c r="E242" s="21" t="s">
        <v>9</v>
      </c>
      <c r="F242" s="5812">
        <v>5</v>
      </c>
      <c r="G242" s="5813">
        <v>0.20833333333333334</v>
      </c>
      <c r="H242" s="21" t="s">
        <v>54</v>
      </c>
      <c r="I242" s="21" t="s">
        <v>47</v>
      </c>
      <c r="J242" s="21" t="s">
        <v>1099</v>
      </c>
      <c r="K242" s="5814" t="s">
        <v>1100</v>
      </c>
    </row>
    <row r="243" spans="1:11">
      <c r="A243" s="21" t="s">
        <v>44</v>
      </c>
      <c r="B243" s="21" t="s">
        <v>1101</v>
      </c>
      <c r="C243" s="21" t="s">
        <v>8</v>
      </c>
      <c r="D243" s="21" t="s">
        <v>1098</v>
      </c>
      <c r="E243" s="21" t="s">
        <v>9</v>
      </c>
      <c r="F243" s="5812">
        <v>5</v>
      </c>
      <c r="G243" s="5813">
        <v>0.20833333333333334</v>
      </c>
      <c r="H243" s="21" t="s">
        <v>54</v>
      </c>
      <c r="I243" s="21" t="s">
        <v>47</v>
      </c>
      <c r="J243" s="21" t="s">
        <v>1102</v>
      </c>
      <c r="K243" s="5814" t="s">
        <v>1103</v>
      </c>
    </row>
    <row r="244" spans="1:11">
      <c r="A244" s="21" t="s">
        <v>2454</v>
      </c>
      <c r="B244" s="21" t="s">
        <v>9617</v>
      </c>
      <c r="C244" s="21" t="s">
        <v>22</v>
      </c>
      <c r="D244" s="21" t="s">
        <v>1098</v>
      </c>
      <c r="E244" s="21" t="s">
        <v>9</v>
      </c>
      <c r="F244" s="5812">
        <v>5</v>
      </c>
      <c r="G244" s="5813">
        <v>0.20833333333333334</v>
      </c>
      <c r="H244" s="21" t="s">
        <v>54</v>
      </c>
      <c r="I244" s="21" t="s">
        <v>96</v>
      </c>
      <c r="J244" s="21" t="s">
        <v>9618</v>
      </c>
      <c r="K244" s="5814" t="s">
        <v>9619</v>
      </c>
    </row>
    <row r="245" spans="1:11">
      <c r="A245" s="21" t="s">
        <v>3044</v>
      </c>
      <c r="B245" s="21" t="s">
        <v>9620</v>
      </c>
      <c r="C245" s="21" t="s">
        <v>8</v>
      </c>
      <c r="D245" s="21" t="s">
        <v>1098</v>
      </c>
      <c r="E245" s="21" t="s">
        <v>9</v>
      </c>
      <c r="F245" s="5812">
        <v>5</v>
      </c>
      <c r="G245" s="5813">
        <v>0.20833333333333334</v>
      </c>
      <c r="H245" s="21" t="s">
        <v>54</v>
      </c>
      <c r="I245" s="21" t="s">
        <v>55</v>
      </c>
      <c r="J245" s="21" t="s">
        <v>9621</v>
      </c>
      <c r="K245" s="5814" t="s">
        <v>9622</v>
      </c>
    </row>
    <row r="246" spans="1:11">
      <c r="A246" s="21" t="s">
        <v>3293</v>
      </c>
      <c r="B246" s="21" t="s">
        <v>9623</v>
      </c>
      <c r="C246" s="21" t="s">
        <v>8</v>
      </c>
      <c r="D246" s="21" t="s">
        <v>1098</v>
      </c>
      <c r="E246" s="21" t="s">
        <v>9</v>
      </c>
      <c r="F246" s="5812">
        <v>5</v>
      </c>
      <c r="G246" s="5813">
        <v>0.20833333333333334</v>
      </c>
      <c r="H246" s="21" t="s">
        <v>54</v>
      </c>
      <c r="I246" s="21" t="s">
        <v>55</v>
      </c>
      <c r="J246" s="21" t="s">
        <v>9624</v>
      </c>
      <c r="K246" s="5814" t="s">
        <v>9625</v>
      </c>
    </row>
    <row r="247" spans="1:11">
      <c r="A247" s="21" t="s">
        <v>3328</v>
      </c>
      <c r="B247" s="21" t="s">
        <v>9626</v>
      </c>
      <c r="C247" s="21" t="s">
        <v>8</v>
      </c>
      <c r="D247" s="21" t="s">
        <v>1098</v>
      </c>
      <c r="E247" s="21" t="s">
        <v>46</v>
      </c>
      <c r="F247" s="5812">
        <v>1</v>
      </c>
      <c r="G247" s="5813">
        <v>2.2222222222222223E-2</v>
      </c>
      <c r="H247" s="21" t="s">
        <v>54</v>
      </c>
      <c r="I247" s="21" t="s">
        <v>187</v>
      </c>
      <c r="J247" s="21" t="s">
        <v>127</v>
      </c>
      <c r="K247" s="5814" t="s">
        <v>9627</v>
      </c>
    </row>
    <row r="248" spans="1:11">
      <c r="A248" s="21" t="s">
        <v>4645</v>
      </c>
      <c r="B248" s="21" t="s">
        <v>9614</v>
      </c>
      <c r="C248" s="21" t="s">
        <v>8</v>
      </c>
      <c r="D248" s="21" t="s">
        <v>1098</v>
      </c>
      <c r="E248" s="21" t="s">
        <v>46</v>
      </c>
      <c r="F248" s="5812">
        <v>1</v>
      </c>
      <c r="G248" s="5813">
        <v>0.11736111111111111</v>
      </c>
      <c r="H248" s="21" t="s">
        <v>54</v>
      </c>
      <c r="I248" s="21" t="s">
        <v>2297</v>
      </c>
      <c r="J248" s="21" t="s">
        <v>7866</v>
      </c>
      <c r="K248" s="5814" t="s">
        <v>9628</v>
      </c>
    </row>
    <row r="249" spans="1:11">
      <c r="A249" s="21" t="s">
        <v>5335</v>
      </c>
      <c r="B249" s="21" t="s">
        <v>9629</v>
      </c>
      <c r="C249" s="21" t="s">
        <v>8</v>
      </c>
      <c r="D249" s="21" t="s">
        <v>1098</v>
      </c>
      <c r="E249" s="21" t="s">
        <v>61</v>
      </c>
      <c r="F249" s="5812">
        <v>1</v>
      </c>
      <c r="G249" s="5813">
        <v>8.1250000000000003E-2</v>
      </c>
      <c r="H249" s="21" t="s">
        <v>54</v>
      </c>
      <c r="I249" s="21" t="s">
        <v>47</v>
      </c>
      <c r="J249" s="21" t="s">
        <v>3350</v>
      </c>
      <c r="K249" s="5814" t="s">
        <v>9630</v>
      </c>
    </row>
    <row r="250" spans="1:11">
      <c r="A250" s="21" t="s">
        <v>2542</v>
      </c>
      <c r="B250" s="21" t="s">
        <v>9631</v>
      </c>
      <c r="C250" s="21" t="s">
        <v>8</v>
      </c>
      <c r="D250" s="21" t="s">
        <v>1098</v>
      </c>
      <c r="E250" s="21" t="s">
        <v>61</v>
      </c>
      <c r="F250" s="5812">
        <v>1</v>
      </c>
      <c r="G250" s="5813">
        <v>0.2</v>
      </c>
      <c r="H250" s="21" t="s">
        <v>54</v>
      </c>
      <c r="I250" s="21" t="s">
        <v>47</v>
      </c>
      <c r="J250" s="21" t="s">
        <v>67</v>
      </c>
      <c r="K250" s="5814" t="s">
        <v>9632</v>
      </c>
    </row>
    <row r="251" spans="1:11">
      <c r="A251" s="21" t="s">
        <v>3984</v>
      </c>
      <c r="B251" s="21" t="s">
        <v>9609</v>
      </c>
      <c r="C251" s="21" t="s">
        <v>22</v>
      </c>
      <c r="D251" s="21" t="s">
        <v>1098</v>
      </c>
      <c r="E251" s="21" t="s">
        <v>61</v>
      </c>
      <c r="F251" s="5812">
        <v>3</v>
      </c>
      <c r="G251" s="5813">
        <v>0.10138888888888889</v>
      </c>
      <c r="H251" s="21" t="s">
        <v>54</v>
      </c>
      <c r="I251" s="21" t="s">
        <v>89</v>
      </c>
      <c r="J251" s="21" t="s">
        <v>67</v>
      </c>
      <c r="K251" s="5814" t="s">
        <v>9633</v>
      </c>
    </row>
    <row r="252" spans="1:11">
      <c r="A252" s="21" t="s">
        <v>2784</v>
      </c>
      <c r="B252" s="21" t="s">
        <v>9634</v>
      </c>
      <c r="C252" s="21" t="s">
        <v>8</v>
      </c>
      <c r="D252" s="21" t="s">
        <v>1098</v>
      </c>
      <c r="E252" s="21" t="s">
        <v>61</v>
      </c>
      <c r="F252" s="5812">
        <v>3</v>
      </c>
      <c r="G252" s="5813">
        <v>0.20069444444444445</v>
      </c>
      <c r="H252" s="21" t="s">
        <v>54</v>
      </c>
      <c r="I252" s="21" t="s">
        <v>226</v>
      </c>
      <c r="J252" s="21" t="s">
        <v>1444</v>
      </c>
      <c r="K252" s="5814" t="s">
        <v>9635</v>
      </c>
    </row>
    <row r="253" spans="1:11">
      <c r="A253" s="21" t="s">
        <v>2221</v>
      </c>
      <c r="B253" s="21" t="s">
        <v>9636</v>
      </c>
      <c r="C253" s="21" t="s">
        <v>8</v>
      </c>
      <c r="D253" s="21" t="s">
        <v>1098</v>
      </c>
      <c r="E253" s="21" t="s">
        <v>61</v>
      </c>
      <c r="F253" s="5812">
        <v>5</v>
      </c>
      <c r="G253" s="5813">
        <v>0.13541666666666666</v>
      </c>
      <c r="H253" s="21" t="s">
        <v>54</v>
      </c>
      <c r="I253" s="21" t="s">
        <v>226</v>
      </c>
      <c r="J253" s="21" t="s">
        <v>1379</v>
      </c>
      <c r="K253" s="5814" t="s">
        <v>9637</v>
      </c>
    </row>
    <row r="254" spans="1:11">
      <c r="A254" s="21" t="s">
        <v>3056</v>
      </c>
      <c r="B254" s="21" t="s">
        <v>9638</v>
      </c>
      <c r="C254" s="21" t="s">
        <v>8</v>
      </c>
      <c r="D254" s="21" t="s">
        <v>1098</v>
      </c>
      <c r="E254" s="21" t="s">
        <v>61</v>
      </c>
      <c r="F254" s="5812">
        <v>5</v>
      </c>
      <c r="G254" s="5813">
        <v>0.2076388888888889</v>
      </c>
      <c r="H254" s="21" t="s">
        <v>54</v>
      </c>
      <c r="I254" s="21" t="s">
        <v>2872</v>
      </c>
      <c r="J254" s="21" t="s">
        <v>1444</v>
      </c>
      <c r="K254" s="5814" t="s">
        <v>9639</v>
      </c>
    </row>
    <row r="255" spans="1:11">
      <c r="A255" s="21" t="s">
        <v>2354</v>
      </c>
      <c r="B255" s="21" t="s">
        <v>9609</v>
      </c>
      <c r="C255" s="21" t="s">
        <v>22</v>
      </c>
      <c r="D255" s="21" t="s">
        <v>1098</v>
      </c>
      <c r="E255" s="21" t="s">
        <v>244</v>
      </c>
      <c r="F255" s="5812">
        <v>3</v>
      </c>
      <c r="G255" s="5813">
        <v>0.20833333333333334</v>
      </c>
      <c r="H255" s="21" t="s">
        <v>54</v>
      </c>
      <c r="I255" s="21" t="s">
        <v>55</v>
      </c>
      <c r="J255" s="21" t="s">
        <v>3622</v>
      </c>
      <c r="K255" s="5814" t="s">
        <v>9640</v>
      </c>
    </row>
    <row r="256" spans="1:11">
      <c r="A256" s="21" t="s">
        <v>5390</v>
      </c>
      <c r="B256" s="21" t="s">
        <v>5121</v>
      </c>
      <c r="C256" s="21" t="s">
        <v>8</v>
      </c>
      <c r="D256" s="21" t="s">
        <v>9681</v>
      </c>
      <c r="E256" s="21" t="s">
        <v>46</v>
      </c>
      <c r="F256" s="5812">
        <v>3</v>
      </c>
      <c r="G256" s="5813">
        <v>0.19027777777777777</v>
      </c>
      <c r="H256" s="21" t="s">
        <v>54</v>
      </c>
      <c r="I256" s="21" t="s">
        <v>55</v>
      </c>
      <c r="J256" s="21" t="s">
        <v>3004</v>
      </c>
      <c r="K256" s="5814" t="s">
        <v>9682</v>
      </c>
    </row>
  </sheetData>
  <hyperlinks>
    <hyperlink ref="K4" r:id="rId1" xr:uid="{00000000-0004-0000-1600-000000000000}"/>
    <hyperlink ref="K5" r:id="rId2" xr:uid="{00000000-0004-0000-1600-000001000000}"/>
    <hyperlink ref="K6" r:id="rId3" xr:uid="{00000000-0004-0000-1600-000002000000}"/>
    <hyperlink ref="K7" r:id="rId4" xr:uid="{00000000-0004-0000-1600-000003000000}"/>
    <hyperlink ref="K8" r:id="rId5" xr:uid="{00000000-0004-0000-1600-000004000000}"/>
    <hyperlink ref="K9" r:id="rId6" xr:uid="{00000000-0004-0000-1600-000005000000}"/>
    <hyperlink ref="K10" r:id="rId7" xr:uid="{00000000-0004-0000-1600-000006000000}"/>
    <hyperlink ref="K11" r:id="rId8" xr:uid="{00000000-0004-0000-1600-000007000000}"/>
    <hyperlink ref="K12" r:id="rId9" xr:uid="{00000000-0004-0000-1600-000008000000}"/>
    <hyperlink ref="K13" r:id="rId10" xr:uid="{00000000-0004-0000-1600-000009000000}"/>
    <hyperlink ref="K14" r:id="rId11" xr:uid="{00000000-0004-0000-1600-00000A000000}"/>
    <hyperlink ref="K15" r:id="rId12" xr:uid="{00000000-0004-0000-1600-00000B000000}"/>
    <hyperlink ref="K16" r:id="rId13" xr:uid="{00000000-0004-0000-1600-00000C000000}"/>
    <hyperlink ref="K17" r:id="rId14" xr:uid="{00000000-0004-0000-1600-00000D000000}"/>
    <hyperlink ref="K18" r:id="rId15" xr:uid="{00000000-0004-0000-1600-00000E000000}"/>
    <hyperlink ref="K19" r:id="rId16" xr:uid="{00000000-0004-0000-1600-00000F000000}"/>
    <hyperlink ref="K20" r:id="rId17" xr:uid="{00000000-0004-0000-1600-000010000000}"/>
    <hyperlink ref="K21" r:id="rId18" xr:uid="{00000000-0004-0000-1600-000011000000}"/>
    <hyperlink ref="K22" r:id="rId19" xr:uid="{00000000-0004-0000-1600-000012000000}"/>
    <hyperlink ref="K23" r:id="rId20" xr:uid="{00000000-0004-0000-1600-000013000000}"/>
    <hyperlink ref="K24" r:id="rId21" xr:uid="{00000000-0004-0000-1600-000014000000}"/>
    <hyperlink ref="K25" r:id="rId22" xr:uid="{00000000-0004-0000-1600-000015000000}"/>
    <hyperlink ref="K26" r:id="rId23" xr:uid="{00000000-0004-0000-1600-000016000000}"/>
    <hyperlink ref="K27" r:id="rId24" xr:uid="{00000000-0004-0000-1600-000017000000}"/>
    <hyperlink ref="K28" r:id="rId25" xr:uid="{00000000-0004-0000-1600-000018000000}"/>
    <hyperlink ref="K29" r:id="rId26" xr:uid="{00000000-0004-0000-1600-000019000000}"/>
    <hyperlink ref="K30" r:id="rId27" xr:uid="{00000000-0004-0000-1600-00001A000000}"/>
    <hyperlink ref="K31" r:id="rId28" xr:uid="{00000000-0004-0000-1600-00001B000000}"/>
    <hyperlink ref="K32" r:id="rId29" xr:uid="{00000000-0004-0000-1600-00001C000000}"/>
    <hyperlink ref="K33" r:id="rId30" xr:uid="{00000000-0004-0000-1600-00001D000000}"/>
    <hyperlink ref="K34" r:id="rId31" xr:uid="{00000000-0004-0000-1600-00001E000000}"/>
    <hyperlink ref="K35" r:id="rId32" xr:uid="{00000000-0004-0000-1600-00001F000000}"/>
    <hyperlink ref="K36" r:id="rId33" xr:uid="{00000000-0004-0000-1600-000020000000}"/>
    <hyperlink ref="K37" r:id="rId34" xr:uid="{00000000-0004-0000-1600-000021000000}"/>
    <hyperlink ref="K38" r:id="rId35" xr:uid="{00000000-0004-0000-1600-000022000000}"/>
    <hyperlink ref="K39" r:id="rId36" xr:uid="{00000000-0004-0000-1600-000023000000}"/>
    <hyperlink ref="K40" r:id="rId37" xr:uid="{00000000-0004-0000-1600-000024000000}"/>
    <hyperlink ref="K41" r:id="rId38" xr:uid="{00000000-0004-0000-1600-000025000000}"/>
    <hyperlink ref="K42" r:id="rId39" xr:uid="{00000000-0004-0000-1600-000026000000}"/>
    <hyperlink ref="K43" r:id="rId40" xr:uid="{00000000-0004-0000-1600-000027000000}"/>
    <hyperlink ref="K44" r:id="rId41" xr:uid="{00000000-0004-0000-1600-000028000000}"/>
    <hyperlink ref="K45" r:id="rId42" xr:uid="{00000000-0004-0000-1600-000029000000}"/>
    <hyperlink ref="K46" r:id="rId43" xr:uid="{00000000-0004-0000-1600-00002A000000}"/>
    <hyperlink ref="K47" r:id="rId44" xr:uid="{00000000-0004-0000-1600-00002B000000}"/>
    <hyperlink ref="K48" r:id="rId45" xr:uid="{00000000-0004-0000-1600-00002C000000}"/>
    <hyperlink ref="K49" r:id="rId46" xr:uid="{00000000-0004-0000-1600-00002D000000}"/>
    <hyperlink ref="K50" r:id="rId47" xr:uid="{00000000-0004-0000-1600-00002E000000}"/>
    <hyperlink ref="K51" r:id="rId48" xr:uid="{00000000-0004-0000-1600-00002F000000}"/>
    <hyperlink ref="K52" r:id="rId49" xr:uid="{00000000-0004-0000-1600-000030000000}"/>
    <hyperlink ref="K53" r:id="rId50" xr:uid="{00000000-0004-0000-1600-000031000000}"/>
    <hyperlink ref="K54" r:id="rId51" xr:uid="{00000000-0004-0000-1600-000032000000}"/>
    <hyperlink ref="K55" r:id="rId52" xr:uid="{00000000-0004-0000-1600-000033000000}"/>
    <hyperlink ref="K56" r:id="rId53" xr:uid="{00000000-0004-0000-1600-000034000000}"/>
    <hyperlink ref="K57" r:id="rId54" xr:uid="{00000000-0004-0000-1600-000035000000}"/>
    <hyperlink ref="K58" r:id="rId55" xr:uid="{00000000-0004-0000-1600-000036000000}"/>
    <hyperlink ref="K59" r:id="rId56" xr:uid="{00000000-0004-0000-1600-000037000000}"/>
    <hyperlink ref="K60" r:id="rId57" xr:uid="{00000000-0004-0000-1600-000038000000}"/>
    <hyperlink ref="K61" r:id="rId58" xr:uid="{00000000-0004-0000-1600-000039000000}"/>
    <hyperlink ref="K62" r:id="rId59" xr:uid="{00000000-0004-0000-1600-00003A000000}"/>
    <hyperlink ref="K63" r:id="rId60" xr:uid="{00000000-0004-0000-1600-00003B000000}"/>
    <hyperlink ref="K64" r:id="rId61" xr:uid="{00000000-0004-0000-1600-00003C000000}"/>
    <hyperlink ref="K65" r:id="rId62" xr:uid="{00000000-0004-0000-1600-00003D000000}"/>
    <hyperlink ref="K66" r:id="rId63" xr:uid="{00000000-0004-0000-1600-00003E000000}"/>
    <hyperlink ref="K67" r:id="rId64" xr:uid="{00000000-0004-0000-1600-00003F000000}"/>
    <hyperlink ref="K68" r:id="rId65" xr:uid="{00000000-0004-0000-1600-000040000000}"/>
    <hyperlink ref="K69" r:id="rId66" xr:uid="{00000000-0004-0000-1600-000041000000}"/>
    <hyperlink ref="K70" r:id="rId67" xr:uid="{00000000-0004-0000-1600-000042000000}"/>
    <hyperlink ref="K71" r:id="rId68" xr:uid="{00000000-0004-0000-1600-000043000000}"/>
    <hyperlink ref="K72" r:id="rId69" xr:uid="{00000000-0004-0000-1600-000044000000}"/>
    <hyperlink ref="K73" r:id="rId70" xr:uid="{00000000-0004-0000-1600-000045000000}"/>
    <hyperlink ref="K74" r:id="rId71" xr:uid="{00000000-0004-0000-1600-000046000000}"/>
    <hyperlink ref="K75" r:id="rId72" xr:uid="{00000000-0004-0000-1600-000047000000}"/>
    <hyperlink ref="K76" r:id="rId73" xr:uid="{00000000-0004-0000-1600-000048000000}"/>
    <hyperlink ref="K77" r:id="rId74" xr:uid="{00000000-0004-0000-1600-000049000000}"/>
    <hyperlink ref="K78" r:id="rId75" xr:uid="{00000000-0004-0000-1600-00004A000000}"/>
    <hyperlink ref="K79" r:id="rId76" xr:uid="{00000000-0004-0000-1600-00004B000000}"/>
    <hyperlink ref="K80" r:id="rId77" xr:uid="{00000000-0004-0000-1600-00004C000000}"/>
    <hyperlink ref="K81" r:id="rId78" xr:uid="{00000000-0004-0000-1600-00004D000000}"/>
    <hyperlink ref="K82" r:id="rId79" xr:uid="{00000000-0004-0000-1600-00004E000000}"/>
    <hyperlink ref="K83" r:id="rId80" xr:uid="{00000000-0004-0000-1600-00004F000000}"/>
    <hyperlink ref="K84" r:id="rId81" xr:uid="{00000000-0004-0000-1600-000050000000}"/>
    <hyperlink ref="K85" r:id="rId82" xr:uid="{00000000-0004-0000-1600-000051000000}"/>
    <hyperlink ref="K86" r:id="rId83" xr:uid="{00000000-0004-0000-1600-000052000000}"/>
    <hyperlink ref="K87" r:id="rId84" xr:uid="{00000000-0004-0000-1600-000053000000}"/>
    <hyperlink ref="K88" r:id="rId85" xr:uid="{00000000-0004-0000-1600-000054000000}"/>
    <hyperlink ref="K89" r:id="rId86" xr:uid="{00000000-0004-0000-1600-000055000000}"/>
    <hyperlink ref="K90" r:id="rId87" xr:uid="{00000000-0004-0000-1600-000056000000}"/>
    <hyperlink ref="K91" r:id="rId88" xr:uid="{00000000-0004-0000-1600-000057000000}"/>
    <hyperlink ref="K92" r:id="rId89" xr:uid="{00000000-0004-0000-1600-000058000000}"/>
    <hyperlink ref="K93" r:id="rId90" xr:uid="{00000000-0004-0000-1600-000059000000}"/>
    <hyperlink ref="K94" r:id="rId91" xr:uid="{00000000-0004-0000-1600-00005A000000}"/>
    <hyperlink ref="K95" r:id="rId92" xr:uid="{00000000-0004-0000-1600-00005B000000}"/>
    <hyperlink ref="K96" r:id="rId93" xr:uid="{00000000-0004-0000-1600-00005C000000}"/>
    <hyperlink ref="K97" r:id="rId94" xr:uid="{00000000-0004-0000-1600-00005D000000}"/>
    <hyperlink ref="K98" r:id="rId95" xr:uid="{00000000-0004-0000-1600-00005E000000}"/>
    <hyperlink ref="K99" r:id="rId96" xr:uid="{00000000-0004-0000-1600-00005F000000}"/>
    <hyperlink ref="K100" r:id="rId97" xr:uid="{00000000-0004-0000-1600-000060000000}"/>
    <hyperlink ref="K101" r:id="rId98" xr:uid="{00000000-0004-0000-1600-000061000000}"/>
    <hyperlink ref="K102" r:id="rId99" xr:uid="{00000000-0004-0000-1600-000062000000}"/>
    <hyperlink ref="K103" r:id="rId100" xr:uid="{00000000-0004-0000-1600-000063000000}"/>
    <hyperlink ref="K104" r:id="rId101" xr:uid="{00000000-0004-0000-1600-000064000000}"/>
    <hyperlink ref="K105" r:id="rId102" xr:uid="{00000000-0004-0000-1600-000065000000}"/>
    <hyperlink ref="K106" r:id="rId103" xr:uid="{00000000-0004-0000-1600-000066000000}"/>
    <hyperlink ref="K107" r:id="rId104" xr:uid="{00000000-0004-0000-1600-000067000000}"/>
    <hyperlink ref="K108" r:id="rId105" xr:uid="{00000000-0004-0000-1600-000068000000}"/>
    <hyperlink ref="K109" r:id="rId106" xr:uid="{00000000-0004-0000-1600-000069000000}"/>
    <hyperlink ref="K110" r:id="rId107" xr:uid="{00000000-0004-0000-1600-00006A000000}"/>
    <hyperlink ref="K111" r:id="rId108" xr:uid="{00000000-0004-0000-1600-00006B000000}"/>
    <hyperlink ref="K112" r:id="rId109" xr:uid="{00000000-0004-0000-1600-00006C000000}"/>
    <hyperlink ref="K113" r:id="rId110" xr:uid="{00000000-0004-0000-1600-00006D000000}"/>
    <hyperlink ref="K114" r:id="rId111" xr:uid="{00000000-0004-0000-1600-00006E000000}"/>
    <hyperlink ref="K115" r:id="rId112" xr:uid="{00000000-0004-0000-1600-00006F000000}"/>
    <hyperlink ref="K116" r:id="rId113" xr:uid="{00000000-0004-0000-1600-000070000000}"/>
    <hyperlink ref="K117" r:id="rId114" xr:uid="{00000000-0004-0000-1600-000071000000}"/>
    <hyperlink ref="K118" r:id="rId115" xr:uid="{00000000-0004-0000-1600-000072000000}"/>
    <hyperlink ref="K119" r:id="rId116" xr:uid="{00000000-0004-0000-1600-000073000000}"/>
    <hyperlink ref="K120" r:id="rId117" xr:uid="{00000000-0004-0000-1600-000074000000}"/>
    <hyperlink ref="K121" r:id="rId118" xr:uid="{00000000-0004-0000-1600-000075000000}"/>
    <hyperlink ref="K122" r:id="rId119" xr:uid="{00000000-0004-0000-1600-000076000000}"/>
    <hyperlink ref="K123" r:id="rId120" xr:uid="{00000000-0004-0000-1600-000077000000}"/>
    <hyperlink ref="K124" r:id="rId121" xr:uid="{00000000-0004-0000-1600-000078000000}"/>
    <hyperlink ref="K125" r:id="rId122" xr:uid="{00000000-0004-0000-1600-000079000000}"/>
    <hyperlink ref="K126" r:id="rId123" xr:uid="{00000000-0004-0000-1600-00007A000000}"/>
    <hyperlink ref="K127" r:id="rId124" xr:uid="{00000000-0004-0000-1600-00007B000000}"/>
    <hyperlink ref="K128" r:id="rId125" xr:uid="{00000000-0004-0000-1600-00007C000000}"/>
    <hyperlink ref="K129" r:id="rId126" xr:uid="{00000000-0004-0000-1600-00007D000000}"/>
    <hyperlink ref="K130" r:id="rId127" xr:uid="{00000000-0004-0000-1600-00007E000000}"/>
    <hyperlink ref="K131" r:id="rId128" xr:uid="{00000000-0004-0000-1600-00007F000000}"/>
    <hyperlink ref="K132" r:id="rId129" xr:uid="{00000000-0004-0000-1600-000080000000}"/>
    <hyperlink ref="K133" r:id="rId130" xr:uid="{00000000-0004-0000-1600-000081000000}"/>
    <hyperlink ref="K134" r:id="rId131" xr:uid="{00000000-0004-0000-1600-000082000000}"/>
    <hyperlink ref="K135" r:id="rId132" xr:uid="{00000000-0004-0000-1600-000083000000}"/>
    <hyperlink ref="K136" r:id="rId133" xr:uid="{00000000-0004-0000-1600-000084000000}"/>
    <hyperlink ref="K137" r:id="rId134" xr:uid="{00000000-0004-0000-1600-000085000000}"/>
    <hyperlink ref="K138" r:id="rId135" xr:uid="{00000000-0004-0000-1600-000086000000}"/>
    <hyperlink ref="K139" r:id="rId136" xr:uid="{00000000-0004-0000-1600-000087000000}"/>
    <hyperlink ref="K140" r:id="rId137" xr:uid="{00000000-0004-0000-1600-000088000000}"/>
    <hyperlink ref="K141" r:id="rId138" xr:uid="{00000000-0004-0000-1600-000089000000}"/>
    <hyperlink ref="K142" r:id="rId139" xr:uid="{00000000-0004-0000-1600-00008A000000}"/>
    <hyperlink ref="K143" r:id="rId140" xr:uid="{00000000-0004-0000-1600-00008B000000}"/>
    <hyperlink ref="K144" r:id="rId141" xr:uid="{00000000-0004-0000-1600-00008C000000}"/>
    <hyperlink ref="K145" r:id="rId142" xr:uid="{00000000-0004-0000-1600-00008D000000}"/>
    <hyperlink ref="K146" r:id="rId143" xr:uid="{00000000-0004-0000-1600-00008E000000}"/>
    <hyperlink ref="K147" r:id="rId144" xr:uid="{00000000-0004-0000-1600-00008F000000}"/>
    <hyperlink ref="K148" r:id="rId145" xr:uid="{00000000-0004-0000-1600-000090000000}"/>
    <hyperlink ref="K149" r:id="rId146" xr:uid="{00000000-0004-0000-1600-000091000000}"/>
    <hyperlink ref="K150" r:id="rId147" xr:uid="{00000000-0004-0000-1600-000092000000}"/>
    <hyperlink ref="K151" r:id="rId148" xr:uid="{00000000-0004-0000-1600-000093000000}"/>
    <hyperlink ref="K152" r:id="rId149" xr:uid="{00000000-0004-0000-1600-000094000000}"/>
    <hyperlink ref="K153" r:id="rId150" xr:uid="{00000000-0004-0000-1600-000095000000}"/>
    <hyperlink ref="K154" r:id="rId151" xr:uid="{00000000-0004-0000-1600-000096000000}"/>
    <hyperlink ref="K155" r:id="rId152" xr:uid="{00000000-0004-0000-1600-000097000000}"/>
    <hyperlink ref="K156" r:id="rId153" xr:uid="{00000000-0004-0000-1600-000098000000}"/>
    <hyperlink ref="K157" r:id="rId154" xr:uid="{00000000-0004-0000-1600-000099000000}"/>
    <hyperlink ref="K158" r:id="rId155" xr:uid="{00000000-0004-0000-1600-00009A000000}"/>
    <hyperlink ref="K159" r:id="rId156" xr:uid="{00000000-0004-0000-1600-00009B000000}"/>
    <hyperlink ref="K160" r:id="rId157" xr:uid="{00000000-0004-0000-1600-00009C000000}"/>
    <hyperlink ref="K161" r:id="rId158" xr:uid="{00000000-0004-0000-1600-00009D000000}"/>
    <hyperlink ref="K162" r:id="rId159" xr:uid="{00000000-0004-0000-1600-00009E000000}"/>
    <hyperlink ref="K163" r:id="rId160" xr:uid="{00000000-0004-0000-1600-00009F000000}"/>
    <hyperlink ref="K164" r:id="rId161" xr:uid="{00000000-0004-0000-1600-0000A0000000}"/>
    <hyperlink ref="K165" r:id="rId162" xr:uid="{00000000-0004-0000-1600-0000A1000000}"/>
    <hyperlink ref="K166" r:id="rId163" xr:uid="{00000000-0004-0000-1600-0000A2000000}"/>
    <hyperlink ref="K167" r:id="rId164" xr:uid="{00000000-0004-0000-1600-0000A3000000}"/>
    <hyperlink ref="K168" r:id="rId165" xr:uid="{00000000-0004-0000-1600-0000A4000000}"/>
    <hyperlink ref="K169" r:id="rId166" xr:uid="{00000000-0004-0000-1600-0000A5000000}"/>
    <hyperlink ref="K170" r:id="rId167" xr:uid="{00000000-0004-0000-1600-0000A6000000}"/>
    <hyperlink ref="K171" r:id="rId168" xr:uid="{00000000-0004-0000-1600-0000A7000000}"/>
    <hyperlink ref="K172" r:id="rId169" xr:uid="{00000000-0004-0000-1600-0000A8000000}"/>
    <hyperlink ref="K173" r:id="rId170" xr:uid="{00000000-0004-0000-1600-0000A9000000}"/>
    <hyperlink ref="K174" r:id="rId171" xr:uid="{00000000-0004-0000-1600-0000AA000000}"/>
    <hyperlink ref="K175" r:id="rId172" xr:uid="{00000000-0004-0000-1600-0000AB000000}"/>
    <hyperlink ref="K176" r:id="rId173" xr:uid="{00000000-0004-0000-1600-0000AC000000}"/>
    <hyperlink ref="K177" r:id="rId174" xr:uid="{00000000-0004-0000-1600-0000AD000000}"/>
    <hyperlink ref="K178" r:id="rId175" xr:uid="{00000000-0004-0000-1600-0000AE000000}"/>
    <hyperlink ref="K179" r:id="rId176" xr:uid="{00000000-0004-0000-1600-0000AF000000}"/>
    <hyperlink ref="K180" r:id="rId177" xr:uid="{00000000-0004-0000-1600-0000B0000000}"/>
    <hyperlink ref="K181" r:id="rId178" xr:uid="{00000000-0004-0000-1600-0000B1000000}"/>
    <hyperlink ref="K182" r:id="rId179" xr:uid="{00000000-0004-0000-1600-0000B2000000}"/>
    <hyperlink ref="K183" r:id="rId180" xr:uid="{00000000-0004-0000-1600-0000B3000000}"/>
    <hyperlink ref="K184" r:id="rId181" xr:uid="{00000000-0004-0000-1600-0000B4000000}"/>
    <hyperlink ref="K185" r:id="rId182" xr:uid="{00000000-0004-0000-1600-0000B5000000}"/>
    <hyperlink ref="K186" r:id="rId183" xr:uid="{00000000-0004-0000-1600-0000B6000000}"/>
    <hyperlink ref="K187" r:id="rId184" xr:uid="{00000000-0004-0000-1600-0000B7000000}"/>
    <hyperlink ref="K188" r:id="rId185" xr:uid="{00000000-0004-0000-1600-0000B8000000}"/>
    <hyperlink ref="K189" r:id="rId186" xr:uid="{00000000-0004-0000-1600-0000B9000000}"/>
    <hyperlink ref="K190" r:id="rId187" xr:uid="{00000000-0004-0000-1600-0000BA000000}"/>
    <hyperlink ref="K191" r:id="rId188" xr:uid="{00000000-0004-0000-1600-0000BB000000}"/>
    <hyperlink ref="K192" r:id="rId189" xr:uid="{00000000-0004-0000-1600-0000BC000000}"/>
    <hyperlink ref="K193" r:id="rId190" xr:uid="{00000000-0004-0000-1600-0000BD000000}"/>
    <hyperlink ref="K194" r:id="rId191" xr:uid="{00000000-0004-0000-1600-0000BE000000}"/>
    <hyperlink ref="K195" r:id="rId192" xr:uid="{00000000-0004-0000-1600-0000BF000000}"/>
    <hyperlink ref="K196" r:id="rId193" xr:uid="{00000000-0004-0000-1600-0000C0000000}"/>
    <hyperlink ref="K197" r:id="rId194" xr:uid="{00000000-0004-0000-1600-0000C1000000}"/>
    <hyperlink ref="K198" r:id="rId195" xr:uid="{00000000-0004-0000-1600-0000C2000000}"/>
    <hyperlink ref="K199" r:id="rId196" xr:uid="{00000000-0004-0000-1600-0000C3000000}"/>
    <hyperlink ref="K200" r:id="rId197" xr:uid="{00000000-0004-0000-1600-0000C4000000}"/>
    <hyperlink ref="K201" r:id="rId198" xr:uid="{00000000-0004-0000-1600-0000C5000000}"/>
    <hyperlink ref="K202" r:id="rId199" xr:uid="{00000000-0004-0000-1600-0000C6000000}"/>
    <hyperlink ref="K203" r:id="rId200" xr:uid="{00000000-0004-0000-1600-0000C7000000}"/>
    <hyperlink ref="K204" r:id="rId201" xr:uid="{00000000-0004-0000-1600-0000C8000000}"/>
    <hyperlink ref="K205" r:id="rId202" xr:uid="{00000000-0004-0000-1600-0000C9000000}"/>
    <hyperlink ref="K206" r:id="rId203" xr:uid="{00000000-0004-0000-1600-0000CA000000}"/>
    <hyperlink ref="K207" r:id="rId204" xr:uid="{00000000-0004-0000-1600-0000CB000000}"/>
    <hyperlink ref="K208" r:id="rId205" xr:uid="{00000000-0004-0000-1600-0000CC000000}"/>
    <hyperlink ref="K209" r:id="rId206" xr:uid="{00000000-0004-0000-1600-0000CD000000}"/>
    <hyperlink ref="K210" r:id="rId207" xr:uid="{00000000-0004-0000-1600-0000CE000000}"/>
    <hyperlink ref="K211" r:id="rId208" xr:uid="{00000000-0004-0000-1600-0000CF000000}"/>
    <hyperlink ref="K212" r:id="rId209" xr:uid="{00000000-0004-0000-1600-0000D0000000}"/>
    <hyperlink ref="K213" r:id="rId210" xr:uid="{00000000-0004-0000-1600-0000D1000000}"/>
    <hyperlink ref="K214" r:id="rId211" xr:uid="{00000000-0004-0000-1600-0000D2000000}"/>
    <hyperlink ref="K215" r:id="rId212" xr:uid="{00000000-0004-0000-1600-0000D3000000}"/>
    <hyperlink ref="K216" r:id="rId213" xr:uid="{00000000-0004-0000-1600-0000D4000000}"/>
    <hyperlink ref="K217" r:id="rId214" xr:uid="{00000000-0004-0000-1600-0000D5000000}"/>
    <hyperlink ref="K218" r:id="rId215" xr:uid="{00000000-0004-0000-1600-0000D6000000}"/>
    <hyperlink ref="K219" r:id="rId216" xr:uid="{00000000-0004-0000-1600-0000D7000000}"/>
    <hyperlink ref="K220" r:id="rId217" xr:uid="{00000000-0004-0000-1600-0000D8000000}"/>
    <hyperlink ref="K221" r:id="rId218" xr:uid="{00000000-0004-0000-1600-0000D9000000}"/>
    <hyperlink ref="K222" r:id="rId219" xr:uid="{00000000-0004-0000-1600-0000DA000000}"/>
    <hyperlink ref="K223" r:id="rId220" xr:uid="{00000000-0004-0000-1600-0000DB000000}"/>
    <hyperlink ref="K224" r:id="rId221" xr:uid="{00000000-0004-0000-1600-0000DC000000}"/>
    <hyperlink ref="K225" r:id="rId222" xr:uid="{00000000-0004-0000-1600-0000DD000000}"/>
    <hyperlink ref="K226" r:id="rId223" xr:uid="{00000000-0004-0000-1600-0000DE000000}"/>
    <hyperlink ref="K227" r:id="rId224" xr:uid="{00000000-0004-0000-1600-0000DF000000}"/>
    <hyperlink ref="K228" r:id="rId225" xr:uid="{00000000-0004-0000-1600-0000E0000000}"/>
    <hyperlink ref="K229" r:id="rId226" xr:uid="{00000000-0004-0000-1600-0000E1000000}"/>
    <hyperlink ref="K230" r:id="rId227" xr:uid="{00000000-0004-0000-1600-0000E2000000}"/>
    <hyperlink ref="K231" r:id="rId228" xr:uid="{00000000-0004-0000-1600-0000E3000000}"/>
    <hyperlink ref="K232" r:id="rId229" xr:uid="{00000000-0004-0000-1600-0000E4000000}"/>
    <hyperlink ref="K233" r:id="rId230" xr:uid="{00000000-0004-0000-1600-0000E5000000}"/>
    <hyperlink ref="K234" r:id="rId231" xr:uid="{00000000-0004-0000-1600-0000E6000000}"/>
    <hyperlink ref="K235" r:id="rId232" xr:uid="{00000000-0004-0000-1600-0000E7000000}"/>
    <hyperlink ref="K236" r:id="rId233" xr:uid="{00000000-0004-0000-1600-0000E8000000}"/>
    <hyperlink ref="K237" r:id="rId234" xr:uid="{00000000-0004-0000-1600-0000E9000000}"/>
    <hyperlink ref="K238" r:id="rId235" xr:uid="{00000000-0004-0000-1600-0000EA000000}"/>
    <hyperlink ref="K239" r:id="rId236" xr:uid="{00000000-0004-0000-1600-0000EB000000}"/>
    <hyperlink ref="K240" r:id="rId237" xr:uid="{00000000-0004-0000-1600-0000EC000000}"/>
    <hyperlink ref="K241" r:id="rId238" xr:uid="{00000000-0004-0000-1600-0000ED000000}"/>
    <hyperlink ref="K242" r:id="rId239" xr:uid="{00000000-0004-0000-1600-0000EE000000}"/>
    <hyperlink ref="K243" r:id="rId240" xr:uid="{00000000-0004-0000-1600-0000EF000000}"/>
    <hyperlink ref="K244" r:id="rId241" xr:uid="{00000000-0004-0000-1600-0000F0000000}"/>
    <hyperlink ref="K245" r:id="rId242" xr:uid="{00000000-0004-0000-1600-0000F1000000}"/>
    <hyperlink ref="K246" r:id="rId243" xr:uid="{00000000-0004-0000-1600-0000F2000000}"/>
    <hyperlink ref="K247" r:id="rId244" xr:uid="{00000000-0004-0000-1600-0000F3000000}"/>
    <hyperlink ref="K248" r:id="rId245" xr:uid="{00000000-0004-0000-1600-0000F4000000}"/>
    <hyperlink ref="K249" r:id="rId246" xr:uid="{00000000-0004-0000-1600-0000F5000000}"/>
    <hyperlink ref="K250" r:id="rId247" xr:uid="{00000000-0004-0000-1600-0000F6000000}"/>
    <hyperlink ref="K251" r:id="rId248" xr:uid="{00000000-0004-0000-1600-0000F7000000}"/>
    <hyperlink ref="K252" r:id="rId249" xr:uid="{00000000-0004-0000-1600-0000F8000000}"/>
    <hyperlink ref="K253" r:id="rId250" xr:uid="{00000000-0004-0000-1600-0000F9000000}"/>
    <hyperlink ref="K254" r:id="rId251" xr:uid="{00000000-0004-0000-1600-0000FA000000}"/>
    <hyperlink ref="K255" r:id="rId252" xr:uid="{00000000-0004-0000-1600-0000FB000000}"/>
    <hyperlink ref="K256" r:id="rId253" xr:uid="{00000000-0004-0000-1600-0000FC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BC56"/>
  <sheetViews>
    <sheetView workbookViewId="0">
      <selection activeCell="B7" sqref="B7"/>
    </sheetView>
  </sheetViews>
  <sheetFormatPr defaultColWidth="12.5703125" defaultRowHeight="15.75" customHeight="1"/>
  <cols>
    <col min="4" max="4" width="16.28515625" customWidth="1"/>
  </cols>
  <sheetData>
    <row r="1" spans="1:55">
      <c r="A1" s="5815" t="s">
        <v>13059</v>
      </c>
      <c r="B1" s="5815" t="s">
        <v>13060</v>
      </c>
      <c r="C1" s="5815" t="s">
        <v>13063</v>
      </c>
      <c r="D1" s="5815" t="s">
        <v>13064</v>
      </c>
      <c r="E1" s="5815" t="s">
        <v>13065</v>
      </c>
      <c r="F1" s="5815" t="s">
        <v>13060</v>
      </c>
      <c r="G1" s="5815" t="s">
        <v>1523</v>
      </c>
      <c r="H1" s="5815" t="s">
        <v>46</v>
      </c>
      <c r="I1" s="5815" t="s">
        <v>1522</v>
      </c>
      <c r="J1" s="5815" t="s">
        <v>13062</v>
      </c>
      <c r="K1" s="5815"/>
      <c r="L1" s="5815"/>
      <c r="M1" s="5815"/>
      <c r="N1" s="5815"/>
      <c r="O1" s="5815"/>
      <c r="P1" s="5815"/>
      <c r="Q1" s="5815"/>
      <c r="R1" s="5815"/>
      <c r="S1" s="5815"/>
      <c r="T1" s="5816"/>
      <c r="U1" s="5815"/>
      <c r="V1" s="5815"/>
      <c r="W1" s="5815"/>
      <c r="X1" s="5815"/>
      <c r="Y1" s="5815"/>
      <c r="Z1" s="5815"/>
      <c r="AA1" s="5815"/>
      <c r="AB1" s="5815"/>
      <c r="AC1" s="5815"/>
      <c r="AD1" s="5815"/>
      <c r="AE1" s="5815"/>
      <c r="AF1" s="5815"/>
      <c r="AG1" s="5815"/>
      <c r="AH1" s="5815"/>
      <c r="AI1" s="5815"/>
      <c r="AJ1" s="5815"/>
      <c r="AK1" s="5815"/>
      <c r="AL1" s="5815"/>
      <c r="AM1" s="5815"/>
      <c r="AN1" s="5815"/>
      <c r="AO1" s="5815"/>
      <c r="AP1" s="5815"/>
      <c r="AQ1" s="5815"/>
      <c r="AR1" s="5815"/>
      <c r="AS1" s="5815"/>
      <c r="AT1" s="5815"/>
      <c r="AU1" s="5815"/>
      <c r="AV1" s="5815"/>
      <c r="AW1" s="5815"/>
      <c r="AX1" s="5815"/>
      <c r="AY1" s="5815"/>
      <c r="AZ1" s="5815"/>
      <c r="BA1" s="5815"/>
      <c r="BB1" s="5815"/>
      <c r="BC1" s="620"/>
    </row>
    <row r="2" spans="1:55">
      <c r="A2" s="5817">
        <f>COUNTA(A4:A999)</f>
        <v>53</v>
      </c>
      <c r="B2" s="5822">
        <f>COUNTIF($E$3:$E$800, "Decision*")</f>
        <v>24</v>
      </c>
      <c r="C2" s="5818">
        <f>SUM(B2/$A$2)</f>
        <v>0.45283018867924529</v>
      </c>
      <c r="D2" s="5818">
        <f t="shared" ref="D2:E2" si="0">SUM(G2/$A$2)</f>
        <v>0.24528301886792453</v>
      </c>
      <c r="E2" s="5818">
        <f t="shared" si="0"/>
        <v>0.26415094339622641</v>
      </c>
      <c r="F2" s="5822">
        <f>COUNTIF($E$3:$E$999, "Decision*")</f>
        <v>24</v>
      </c>
      <c r="G2" s="5823">
        <f>COUNTIF($E$3:$E$999, "Submission")</f>
        <v>13</v>
      </c>
      <c r="H2" s="5817">
        <f>COUNTIF($E$3:$E$1000, "KO/TKO")</f>
        <v>14</v>
      </c>
      <c r="I2" s="5823">
        <f>COUNTIF($E$3:$E$999, "Decision - Unanimous")</f>
        <v>21</v>
      </c>
      <c r="J2" s="5819">
        <f>COUNTIF($E$3:$E$999, "Decision - Split")</f>
        <v>3</v>
      </c>
      <c r="K2" s="5824"/>
      <c r="L2" s="5820"/>
      <c r="M2" s="5820"/>
      <c r="N2" s="5820"/>
      <c r="O2" s="5820"/>
      <c r="P2" s="5820"/>
      <c r="Q2" s="5820"/>
      <c r="R2" s="5820"/>
      <c r="S2" s="5820"/>
      <c r="T2" s="5821"/>
      <c r="U2" s="5820"/>
      <c r="V2" s="5820"/>
      <c r="W2" s="5820"/>
      <c r="X2" s="5820"/>
      <c r="Y2" s="5820"/>
      <c r="Z2" s="5820"/>
      <c r="AA2" s="5820"/>
      <c r="AB2" s="5820"/>
      <c r="AC2" s="5820"/>
      <c r="AD2" s="5820"/>
      <c r="AE2" s="5820"/>
      <c r="AF2" s="5820"/>
      <c r="AG2" s="5820"/>
      <c r="AH2" s="5820"/>
      <c r="AI2" s="5820"/>
      <c r="AJ2" s="5820"/>
      <c r="AK2" s="5820"/>
      <c r="AL2" s="5820"/>
      <c r="AM2" s="5820"/>
      <c r="AN2" s="5820"/>
      <c r="AO2" s="5820"/>
      <c r="AP2" s="5820"/>
      <c r="AQ2" s="5820"/>
      <c r="AR2" s="5820"/>
      <c r="AS2" s="5820"/>
      <c r="AT2" s="5820"/>
      <c r="AU2" s="5820"/>
      <c r="AV2" s="5820"/>
      <c r="AW2" s="5820"/>
      <c r="AX2" s="5820"/>
      <c r="AY2" s="5820"/>
      <c r="AZ2" s="5820"/>
      <c r="BA2" s="5820"/>
      <c r="BB2" s="5820"/>
      <c r="BC2" s="620"/>
    </row>
    <row r="3" spans="1:55">
      <c r="A3" s="21" t="s">
        <v>2034</v>
      </c>
      <c r="B3" s="21" t="s">
        <v>2035</v>
      </c>
      <c r="C3" s="21" t="s">
        <v>2036</v>
      </c>
      <c r="D3" s="21" t="s">
        <v>2037</v>
      </c>
      <c r="E3" s="21" t="s">
        <v>2038</v>
      </c>
      <c r="F3" s="21" t="s">
        <v>2039</v>
      </c>
      <c r="G3" s="21" t="s">
        <v>2040</v>
      </c>
      <c r="H3" s="21" t="s">
        <v>2041</v>
      </c>
      <c r="I3" s="21" t="s">
        <v>2042</v>
      </c>
      <c r="J3" s="21" t="s">
        <v>2043</v>
      </c>
      <c r="K3" s="21" t="s">
        <v>2044</v>
      </c>
    </row>
    <row r="4" spans="1:55">
      <c r="A4" s="21" t="s">
        <v>3474</v>
      </c>
      <c r="B4" s="21" t="s">
        <v>3475</v>
      </c>
      <c r="C4" s="21" t="s">
        <v>8</v>
      </c>
      <c r="D4" s="21" t="s">
        <v>225</v>
      </c>
      <c r="E4" s="21" t="s">
        <v>193</v>
      </c>
      <c r="F4" s="5812">
        <v>3</v>
      </c>
      <c r="G4" s="5813">
        <v>0.20833333333333334</v>
      </c>
      <c r="H4" s="21" t="s">
        <v>10</v>
      </c>
      <c r="I4" s="21" t="s">
        <v>73</v>
      </c>
      <c r="J4" s="21" t="s">
        <v>3476</v>
      </c>
      <c r="K4" s="5814" t="s">
        <v>3477</v>
      </c>
    </row>
    <row r="5" spans="1:55">
      <c r="A5" s="21" t="s">
        <v>2391</v>
      </c>
      <c r="B5" s="21" t="s">
        <v>3478</v>
      </c>
      <c r="C5" s="21" t="s">
        <v>22</v>
      </c>
      <c r="D5" s="21" t="s">
        <v>225</v>
      </c>
      <c r="E5" s="21" t="s">
        <v>193</v>
      </c>
      <c r="F5" s="5812">
        <v>3</v>
      </c>
      <c r="G5" s="5813">
        <v>0.20833333333333334</v>
      </c>
      <c r="H5" s="21" t="s">
        <v>10</v>
      </c>
      <c r="I5" s="21" t="s">
        <v>39</v>
      </c>
      <c r="J5" s="21" t="s">
        <v>3479</v>
      </c>
      <c r="K5" s="5814" t="s">
        <v>3480</v>
      </c>
    </row>
    <row r="6" spans="1:55">
      <c r="A6" s="21" t="s">
        <v>3481</v>
      </c>
      <c r="B6" s="21" t="s">
        <v>3482</v>
      </c>
      <c r="C6" s="21" t="s">
        <v>22</v>
      </c>
      <c r="D6" s="21" t="s">
        <v>225</v>
      </c>
      <c r="E6" s="21" t="s">
        <v>193</v>
      </c>
      <c r="F6" s="5812">
        <v>3</v>
      </c>
      <c r="G6" s="5813">
        <v>0.20833333333333334</v>
      </c>
      <c r="H6" s="21" t="s">
        <v>10</v>
      </c>
      <c r="I6" s="21" t="s">
        <v>2313</v>
      </c>
      <c r="J6" s="21" t="s">
        <v>3483</v>
      </c>
      <c r="K6" s="5814" t="s">
        <v>3484</v>
      </c>
    </row>
    <row r="7" spans="1:55">
      <c r="A7" s="21" t="s">
        <v>223</v>
      </c>
      <c r="B7" s="21" t="s">
        <v>224</v>
      </c>
      <c r="C7" s="21" t="s">
        <v>8</v>
      </c>
      <c r="D7" s="21" t="s">
        <v>225</v>
      </c>
      <c r="E7" s="21" t="s">
        <v>9</v>
      </c>
      <c r="F7" s="5812">
        <v>3</v>
      </c>
      <c r="G7" s="5813">
        <v>0.20833333333333334</v>
      </c>
      <c r="H7" s="21" t="s">
        <v>10</v>
      </c>
      <c r="I7" s="21" t="s">
        <v>226</v>
      </c>
      <c r="J7" s="21" t="s">
        <v>227</v>
      </c>
      <c r="K7" s="5814" t="s">
        <v>228</v>
      </c>
    </row>
    <row r="8" spans="1:55">
      <c r="A8" s="21" t="s">
        <v>2311</v>
      </c>
      <c r="B8" s="21" t="s">
        <v>3485</v>
      </c>
      <c r="C8" s="21" t="s">
        <v>22</v>
      </c>
      <c r="D8" s="21" t="s">
        <v>225</v>
      </c>
      <c r="E8" s="21" t="s">
        <v>9</v>
      </c>
      <c r="F8" s="5812">
        <v>3</v>
      </c>
      <c r="G8" s="5813">
        <v>0.20833333333333334</v>
      </c>
      <c r="H8" s="21" t="s">
        <v>10</v>
      </c>
      <c r="I8" s="21" t="s">
        <v>2814</v>
      </c>
      <c r="J8" s="21" t="s">
        <v>3486</v>
      </c>
      <c r="K8" s="5814" t="s">
        <v>3487</v>
      </c>
    </row>
    <row r="9" spans="1:55">
      <c r="A9" s="21" t="s">
        <v>3029</v>
      </c>
      <c r="B9" s="21" t="s">
        <v>3488</v>
      </c>
      <c r="C9" s="21" t="s">
        <v>8</v>
      </c>
      <c r="D9" s="21" t="s">
        <v>225</v>
      </c>
      <c r="E9" s="21" t="s">
        <v>9</v>
      </c>
      <c r="F9" s="5812">
        <v>3</v>
      </c>
      <c r="G9" s="5813">
        <v>0.20833333333333334</v>
      </c>
      <c r="H9" s="21" t="s">
        <v>10</v>
      </c>
      <c r="I9" s="21" t="s">
        <v>55</v>
      </c>
      <c r="J9" s="21" t="s">
        <v>3489</v>
      </c>
      <c r="K9" s="5814" t="s">
        <v>3490</v>
      </c>
    </row>
    <row r="10" spans="1:55">
      <c r="A10" s="21" t="s">
        <v>3491</v>
      </c>
      <c r="B10" s="21" t="s">
        <v>3492</v>
      </c>
      <c r="C10" s="21" t="s">
        <v>22</v>
      </c>
      <c r="D10" s="21" t="s">
        <v>225</v>
      </c>
      <c r="E10" s="21" t="s">
        <v>9</v>
      </c>
      <c r="F10" s="5812">
        <v>3</v>
      </c>
      <c r="G10" s="5813">
        <v>0.20833333333333334</v>
      </c>
      <c r="H10" s="21" t="s">
        <v>10</v>
      </c>
      <c r="I10" s="21" t="s">
        <v>23</v>
      </c>
      <c r="J10" s="21" t="s">
        <v>3493</v>
      </c>
      <c r="K10" s="5814" t="s">
        <v>3494</v>
      </c>
    </row>
    <row r="11" spans="1:55">
      <c r="A11" s="21" t="s">
        <v>3495</v>
      </c>
      <c r="B11" s="21" t="s">
        <v>3496</v>
      </c>
      <c r="C11" s="21" t="s">
        <v>22</v>
      </c>
      <c r="D11" s="21" t="s">
        <v>225</v>
      </c>
      <c r="E11" s="21" t="s">
        <v>9</v>
      </c>
      <c r="F11" s="5812">
        <v>3</v>
      </c>
      <c r="G11" s="5813">
        <v>0.20833333333333334</v>
      </c>
      <c r="H11" s="21" t="s">
        <v>10</v>
      </c>
      <c r="I11" s="21" t="s">
        <v>3451</v>
      </c>
      <c r="J11" s="21" t="s">
        <v>3497</v>
      </c>
      <c r="K11" s="5814" t="s">
        <v>3498</v>
      </c>
    </row>
    <row r="12" spans="1:55">
      <c r="A12" s="21" t="s">
        <v>2341</v>
      </c>
      <c r="B12" s="21" t="s">
        <v>3499</v>
      </c>
      <c r="C12" s="21" t="s">
        <v>8</v>
      </c>
      <c r="D12" s="21" t="s">
        <v>225</v>
      </c>
      <c r="E12" s="21" t="s">
        <v>9</v>
      </c>
      <c r="F12" s="5812">
        <v>3</v>
      </c>
      <c r="G12" s="5813">
        <v>0.20833333333333334</v>
      </c>
      <c r="H12" s="21" t="s">
        <v>10</v>
      </c>
      <c r="I12" s="21" t="s">
        <v>609</v>
      </c>
      <c r="J12" s="21" t="s">
        <v>3500</v>
      </c>
      <c r="K12" s="5814" t="s">
        <v>3501</v>
      </c>
    </row>
    <row r="13" spans="1:55">
      <c r="A13" s="21" t="s">
        <v>2053</v>
      </c>
      <c r="B13" s="21" t="s">
        <v>3502</v>
      </c>
      <c r="C13" s="21" t="s">
        <v>8</v>
      </c>
      <c r="D13" s="21" t="s">
        <v>225</v>
      </c>
      <c r="E13" s="21" t="s">
        <v>9</v>
      </c>
      <c r="F13" s="5812">
        <v>3</v>
      </c>
      <c r="G13" s="5813">
        <v>0.20833333333333334</v>
      </c>
      <c r="H13" s="21" t="s">
        <v>10</v>
      </c>
      <c r="I13" s="21" t="s">
        <v>96</v>
      </c>
      <c r="J13" s="21" t="s">
        <v>3503</v>
      </c>
      <c r="K13" s="5814" t="s">
        <v>3504</v>
      </c>
    </row>
    <row r="14" spans="1:55">
      <c r="A14" s="21" t="s">
        <v>3505</v>
      </c>
      <c r="B14" s="21" t="s">
        <v>3506</v>
      </c>
      <c r="C14" s="21" t="s">
        <v>22</v>
      </c>
      <c r="D14" s="21" t="s">
        <v>225</v>
      </c>
      <c r="E14" s="21" t="s">
        <v>9</v>
      </c>
      <c r="F14" s="5812">
        <v>3</v>
      </c>
      <c r="G14" s="5813">
        <v>0.20833333333333334</v>
      </c>
      <c r="H14" s="21" t="s">
        <v>10</v>
      </c>
      <c r="I14" s="21" t="s">
        <v>23</v>
      </c>
      <c r="J14" s="21" t="s">
        <v>3507</v>
      </c>
      <c r="K14" s="5814" t="s">
        <v>3508</v>
      </c>
    </row>
    <row r="15" spans="1:55">
      <c r="A15" s="21" t="s">
        <v>2509</v>
      </c>
      <c r="B15" s="21" t="s">
        <v>3509</v>
      </c>
      <c r="C15" s="21" t="s">
        <v>8</v>
      </c>
      <c r="D15" s="21" t="s">
        <v>225</v>
      </c>
      <c r="E15" s="21" t="s">
        <v>9</v>
      </c>
      <c r="F15" s="5812">
        <v>3</v>
      </c>
      <c r="G15" s="5813">
        <v>0.20833333333333334</v>
      </c>
      <c r="H15" s="21" t="s">
        <v>10</v>
      </c>
      <c r="I15" s="21" t="s">
        <v>226</v>
      </c>
      <c r="J15" s="21" t="s">
        <v>3510</v>
      </c>
      <c r="K15" s="5814" t="s">
        <v>3511</v>
      </c>
    </row>
    <row r="16" spans="1:55">
      <c r="A16" s="21" t="s">
        <v>2509</v>
      </c>
      <c r="B16" s="21" t="s">
        <v>3512</v>
      </c>
      <c r="C16" s="21" t="s">
        <v>8</v>
      </c>
      <c r="D16" s="21" t="s">
        <v>225</v>
      </c>
      <c r="E16" s="21" t="s">
        <v>9</v>
      </c>
      <c r="F16" s="5812">
        <v>3</v>
      </c>
      <c r="G16" s="5813">
        <v>0.20833333333333334</v>
      </c>
      <c r="H16" s="21" t="s">
        <v>10</v>
      </c>
      <c r="I16" s="21" t="s">
        <v>23</v>
      </c>
      <c r="J16" s="21" t="s">
        <v>3513</v>
      </c>
      <c r="K16" s="5814" t="s">
        <v>3514</v>
      </c>
    </row>
    <row r="17" spans="1:11">
      <c r="A17" s="21" t="s">
        <v>3515</v>
      </c>
      <c r="B17" s="21" t="s">
        <v>3516</v>
      </c>
      <c r="C17" s="21" t="s">
        <v>22</v>
      </c>
      <c r="D17" s="21" t="s">
        <v>225</v>
      </c>
      <c r="E17" s="21" t="s">
        <v>9</v>
      </c>
      <c r="F17" s="5812">
        <v>3</v>
      </c>
      <c r="G17" s="5813">
        <v>0.20833333333333334</v>
      </c>
      <c r="H17" s="21" t="s">
        <v>10</v>
      </c>
      <c r="I17" s="21" t="s">
        <v>3517</v>
      </c>
      <c r="J17" s="21" t="s">
        <v>3518</v>
      </c>
      <c r="K17" s="5814" t="s">
        <v>3519</v>
      </c>
    </row>
    <row r="18" spans="1:11">
      <c r="A18" s="21" t="s">
        <v>2542</v>
      </c>
      <c r="B18" s="21" t="s">
        <v>3520</v>
      </c>
      <c r="C18" s="21" t="s">
        <v>8</v>
      </c>
      <c r="D18" s="21" t="s">
        <v>225</v>
      </c>
      <c r="E18" s="21" t="s">
        <v>9</v>
      </c>
      <c r="F18" s="5812">
        <v>3</v>
      </c>
      <c r="G18" s="5813">
        <v>0.20833333333333334</v>
      </c>
      <c r="H18" s="21" t="s">
        <v>10</v>
      </c>
      <c r="I18" s="21" t="s">
        <v>2544</v>
      </c>
      <c r="J18" s="21" t="s">
        <v>3521</v>
      </c>
      <c r="K18" s="5814" t="s">
        <v>3522</v>
      </c>
    </row>
    <row r="19" spans="1:11">
      <c r="A19" s="21" t="s">
        <v>2547</v>
      </c>
      <c r="B19" s="21" t="s">
        <v>3523</v>
      </c>
      <c r="C19" s="21" t="s">
        <v>8</v>
      </c>
      <c r="D19" s="21" t="s">
        <v>225</v>
      </c>
      <c r="E19" s="21" t="s">
        <v>9</v>
      </c>
      <c r="F19" s="5812">
        <v>3</v>
      </c>
      <c r="G19" s="5813">
        <v>0.20833333333333334</v>
      </c>
      <c r="H19" s="21" t="s">
        <v>10</v>
      </c>
      <c r="I19" s="21" t="s">
        <v>39</v>
      </c>
      <c r="J19" s="21" t="s">
        <v>3524</v>
      </c>
      <c r="K19" s="5814" t="s">
        <v>3525</v>
      </c>
    </row>
    <row r="20" spans="1:11">
      <c r="A20" s="21" t="s">
        <v>3315</v>
      </c>
      <c r="B20" s="21" t="s">
        <v>3526</v>
      </c>
      <c r="C20" s="21" t="s">
        <v>8</v>
      </c>
      <c r="D20" s="21" t="s">
        <v>225</v>
      </c>
      <c r="E20" s="21" t="s">
        <v>9</v>
      </c>
      <c r="F20" s="5812">
        <v>3</v>
      </c>
      <c r="G20" s="5813">
        <v>0.20833333333333334</v>
      </c>
      <c r="H20" s="21" t="s">
        <v>10</v>
      </c>
      <c r="I20" s="21" t="s">
        <v>39</v>
      </c>
      <c r="J20" s="21" t="s">
        <v>3527</v>
      </c>
      <c r="K20" s="5814" t="s">
        <v>3528</v>
      </c>
    </row>
    <row r="21" spans="1:11">
      <c r="A21" s="21" t="s">
        <v>2169</v>
      </c>
      <c r="B21" s="21" t="s">
        <v>3529</v>
      </c>
      <c r="C21" s="21" t="s">
        <v>22</v>
      </c>
      <c r="D21" s="21" t="s">
        <v>225</v>
      </c>
      <c r="E21" s="21" t="s">
        <v>9</v>
      </c>
      <c r="F21" s="5812">
        <v>3</v>
      </c>
      <c r="G21" s="5813">
        <v>0.20833333333333334</v>
      </c>
      <c r="H21" s="21" t="s">
        <v>10</v>
      </c>
      <c r="I21" s="21" t="s">
        <v>615</v>
      </c>
      <c r="J21" s="21" t="s">
        <v>3530</v>
      </c>
      <c r="K21" s="5814" t="s">
        <v>3531</v>
      </c>
    </row>
    <row r="22" spans="1:11">
      <c r="A22" s="21" t="s">
        <v>3532</v>
      </c>
      <c r="B22" s="21" t="s">
        <v>3533</v>
      </c>
      <c r="C22" s="21" t="s">
        <v>8</v>
      </c>
      <c r="D22" s="21" t="s">
        <v>225</v>
      </c>
      <c r="E22" s="21" t="s">
        <v>9</v>
      </c>
      <c r="F22" s="5812">
        <v>3</v>
      </c>
      <c r="G22" s="5813">
        <v>0.20833333333333334</v>
      </c>
      <c r="H22" s="21" t="s">
        <v>10</v>
      </c>
      <c r="I22" s="21" t="s">
        <v>3534</v>
      </c>
      <c r="J22" s="21" t="s">
        <v>3535</v>
      </c>
      <c r="K22" s="5814" t="s">
        <v>3536</v>
      </c>
    </row>
    <row r="23" spans="1:11">
      <c r="A23" s="21" t="s">
        <v>3537</v>
      </c>
      <c r="B23" s="21" t="s">
        <v>3538</v>
      </c>
      <c r="C23" s="21" t="s">
        <v>8</v>
      </c>
      <c r="D23" s="21" t="s">
        <v>225</v>
      </c>
      <c r="E23" s="21" t="s">
        <v>9</v>
      </c>
      <c r="F23" s="5812">
        <v>3</v>
      </c>
      <c r="G23" s="5813">
        <v>0.20833333333333334</v>
      </c>
      <c r="H23" s="21" t="s">
        <v>10</v>
      </c>
      <c r="I23" s="21" t="s">
        <v>55</v>
      </c>
      <c r="J23" s="21" t="s">
        <v>3539</v>
      </c>
      <c r="K23" s="5814" t="s">
        <v>3540</v>
      </c>
    </row>
    <row r="24" spans="1:11">
      <c r="A24" s="21" t="s">
        <v>3541</v>
      </c>
      <c r="B24" s="21" t="s">
        <v>3542</v>
      </c>
      <c r="C24" s="21" t="s">
        <v>8</v>
      </c>
      <c r="D24" s="21" t="s">
        <v>225</v>
      </c>
      <c r="E24" s="21" t="s">
        <v>9</v>
      </c>
      <c r="F24" s="5812">
        <v>3</v>
      </c>
      <c r="G24" s="5813">
        <v>0.20833333333333334</v>
      </c>
      <c r="H24" s="21" t="s">
        <v>10</v>
      </c>
      <c r="I24" s="21" t="s">
        <v>11</v>
      </c>
      <c r="J24" s="21" t="s">
        <v>3543</v>
      </c>
      <c r="K24" s="5814" t="s">
        <v>3544</v>
      </c>
    </row>
    <row r="25" spans="1:11">
      <c r="A25" s="21" t="s">
        <v>3056</v>
      </c>
      <c r="B25" s="21" t="s">
        <v>3545</v>
      </c>
      <c r="C25" s="21" t="s">
        <v>8</v>
      </c>
      <c r="D25" s="21" t="s">
        <v>225</v>
      </c>
      <c r="E25" s="21" t="s">
        <v>9</v>
      </c>
      <c r="F25" s="5812">
        <v>3</v>
      </c>
      <c r="G25" s="5813">
        <v>0.20833333333333334</v>
      </c>
      <c r="H25" s="21" t="s">
        <v>10</v>
      </c>
      <c r="I25" s="21" t="s">
        <v>47</v>
      </c>
      <c r="J25" s="21" t="s">
        <v>3546</v>
      </c>
      <c r="K25" s="5814" t="s">
        <v>3547</v>
      </c>
    </row>
    <row r="26" spans="1:11">
      <c r="A26" s="21" t="s">
        <v>2323</v>
      </c>
      <c r="B26" s="21" t="s">
        <v>3548</v>
      </c>
      <c r="C26" s="21" t="s">
        <v>8</v>
      </c>
      <c r="D26" s="21" t="s">
        <v>225</v>
      </c>
      <c r="E26" s="21" t="s">
        <v>9</v>
      </c>
      <c r="F26" s="5812">
        <v>5</v>
      </c>
      <c r="G26" s="5813">
        <v>0.20833333333333334</v>
      </c>
      <c r="H26" s="21" t="s">
        <v>54</v>
      </c>
      <c r="I26" s="21" t="s">
        <v>96</v>
      </c>
      <c r="J26" s="21" t="s">
        <v>3549</v>
      </c>
      <c r="K26" s="5814" t="s">
        <v>3550</v>
      </c>
    </row>
    <row r="27" spans="1:11">
      <c r="A27" s="21" t="s">
        <v>3551</v>
      </c>
      <c r="B27" s="21" t="s">
        <v>3552</v>
      </c>
      <c r="C27" s="21" t="s">
        <v>8</v>
      </c>
      <c r="D27" s="21" t="s">
        <v>225</v>
      </c>
      <c r="E27" s="21" t="s">
        <v>9</v>
      </c>
      <c r="F27" s="5812">
        <v>5</v>
      </c>
      <c r="G27" s="5813">
        <v>0.20833333333333334</v>
      </c>
      <c r="H27" s="21" t="s">
        <v>54</v>
      </c>
      <c r="I27" s="21" t="s">
        <v>47</v>
      </c>
      <c r="J27" s="21" t="s">
        <v>3553</v>
      </c>
      <c r="K27" s="5814" t="s">
        <v>3554</v>
      </c>
    </row>
    <row r="28" spans="1:11">
      <c r="A28" s="21" t="s">
        <v>2839</v>
      </c>
      <c r="B28" s="21" t="s">
        <v>3555</v>
      </c>
      <c r="C28" s="21" t="s">
        <v>8</v>
      </c>
      <c r="D28" s="21" t="s">
        <v>225</v>
      </c>
      <c r="E28" s="21" t="s">
        <v>46</v>
      </c>
      <c r="F28" s="5812">
        <v>1</v>
      </c>
      <c r="G28" s="5813">
        <v>5.6250000000000001E-2</v>
      </c>
      <c r="H28" s="21" t="s">
        <v>10</v>
      </c>
      <c r="I28" s="21" t="s">
        <v>2176</v>
      </c>
      <c r="J28" s="21" t="s">
        <v>406</v>
      </c>
      <c r="K28" s="5814" t="s">
        <v>3556</v>
      </c>
    </row>
    <row r="29" spans="1:11">
      <c r="A29" s="21" t="s">
        <v>2053</v>
      </c>
      <c r="B29" s="21" t="s">
        <v>3557</v>
      </c>
      <c r="C29" s="21" t="s">
        <v>22</v>
      </c>
      <c r="D29" s="21" t="s">
        <v>225</v>
      </c>
      <c r="E29" s="21" t="s">
        <v>46</v>
      </c>
      <c r="F29" s="5812">
        <v>1</v>
      </c>
      <c r="G29" s="5813">
        <v>8.9583333333333334E-2</v>
      </c>
      <c r="H29" s="21" t="s">
        <v>10</v>
      </c>
      <c r="I29" s="21" t="s">
        <v>615</v>
      </c>
      <c r="J29" s="21" t="s">
        <v>48</v>
      </c>
      <c r="K29" s="5814" t="s">
        <v>3558</v>
      </c>
    </row>
    <row r="30" spans="1:11">
      <c r="A30" s="21" t="s">
        <v>3559</v>
      </c>
      <c r="B30" s="21" t="s">
        <v>3560</v>
      </c>
      <c r="C30" s="21" t="s">
        <v>8</v>
      </c>
      <c r="D30" s="21" t="s">
        <v>225</v>
      </c>
      <c r="E30" s="21" t="s">
        <v>46</v>
      </c>
      <c r="F30" s="5812">
        <v>1</v>
      </c>
      <c r="G30" s="5813">
        <v>0.14097222222222222</v>
      </c>
      <c r="H30" s="21" t="s">
        <v>54</v>
      </c>
      <c r="I30" s="21" t="s">
        <v>55</v>
      </c>
      <c r="J30" s="21" t="s">
        <v>258</v>
      </c>
      <c r="K30" s="5814" t="s">
        <v>3561</v>
      </c>
    </row>
    <row r="31" spans="1:11">
      <c r="A31" s="21" t="s">
        <v>231</v>
      </c>
      <c r="B31" s="21" t="s">
        <v>232</v>
      </c>
      <c r="C31" s="21" t="s">
        <v>8</v>
      </c>
      <c r="D31" s="21" t="s">
        <v>225</v>
      </c>
      <c r="E31" s="21" t="s">
        <v>46</v>
      </c>
      <c r="F31" s="5812">
        <v>1</v>
      </c>
      <c r="G31" s="5813">
        <v>0.1673611111111111</v>
      </c>
      <c r="H31" s="21" t="s">
        <v>10</v>
      </c>
      <c r="I31" s="21" t="s">
        <v>233</v>
      </c>
      <c r="J31" s="21" t="s">
        <v>48</v>
      </c>
      <c r="K31" s="5814" t="s">
        <v>3562</v>
      </c>
    </row>
    <row r="32" spans="1:11">
      <c r="A32" s="21" t="s">
        <v>2383</v>
      </c>
      <c r="B32" s="21" t="s">
        <v>3563</v>
      </c>
      <c r="C32" s="21" t="s">
        <v>22</v>
      </c>
      <c r="D32" s="21" t="s">
        <v>225</v>
      </c>
      <c r="E32" s="21" t="s">
        <v>46</v>
      </c>
      <c r="F32" s="5812">
        <v>1</v>
      </c>
      <c r="G32" s="5813">
        <v>0.17708333333333334</v>
      </c>
      <c r="H32" s="21" t="s">
        <v>10</v>
      </c>
      <c r="I32" s="21" t="s">
        <v>654</v>
      </c>
      <c r="J32" s="21" t="s">
        <v>430</v>
      </c>
      <c r="K32" s="5814" t="s">
        <v>3564</v>
      </c>
    </row>
    <row r="33" spans="1:11">
      <c r="A33" s="21" t="s">
        <v>3565</v>
      </c>
      <c r="B33" s="21" t="s">
        <v>3566</v>
      </c>
      <c r="C33" s="21" t="s">
        <v>8</v>
      </c>
      <c r="D33" s="21" t="s">
        <v>225</v>
      </c>
      <c r="E33" s="21" t="s">
        <v>46</v>
      </c>
      <c r="F33" s="5812">
        <v>1</v>
      </c>
      <c r="G33" s="5813">
        <v>0.17916666666666667</v>
      </c>
      <c r="H33" s="21" t="s">
        <v>10</v>
      </c>
      <c r="I33" s="21" t="s">
        <v>2247</v>
      </c>
      <c r="J33" s="21" t="s">
        <v>97</v>
      </c>
      <c r="K33" s="5814" t="s">
        <v>3567</v>
      </c>
    </row>
    <row r="34" spans="1:11">
      <c r="A34" s="21" t="s">
        <v>3056</v>
      </c>
      <c r="B34" s="21" t="s">
        <v>3568</v>
      </c>
      <c r="C34" s="21" t="s">
        <v>8</v>
      </c>
      <c r="D34" s="21" t="s">
        <v>225</v>
      </c>
      <c r="E34" s="21" t="s">
        <v>46</v>
      </c>
      <c r="F34" s="5812">
        <v>1</v>
      </c>
      <c r="G34" s="5813">
        <v>0.20347222222222222</v>
      </c>
      <c r="H34" s="21" t="s">
        <v>10</v>
      </c>
      <c r="I34" s="21" t="s">
        <v>3569</v>
      </c>
      <c r="J34" s="21" t="s">
        <v>48</v>
      </c>
      <c r="K34" s="5814" t="s">
        <v>3570</v>
      </c>
    </row>
    <row r="35" spans="1:11">
      <c r="A35" s="21" t="s">
        <v>2127</v>
      </c>
      <c r="B35" s="21" t="s">
        <v>3571</v>
      </c>
      <c r="C35" s="21" t="s">
        <v>22</v>
      </c>
      <c r="D35" s="21" t="s">
        <v>225</v>
      </c>
      <c r="E35" s="21" t="s">
        <v>46</v>
      </c>
      <c r="F35" s="5812">
        <v>2</v>
      </c>
      <c r="G35" s="5813">
        <v>6.3888888888888884E-2</v>
      </c>
      <c r="H35" s="21" t="s">
        <v>10</v>
      </c>
      <c r="I35" s="21" t="s">
        <v>55</v>
      </c>
      <c r="J35" s="21" t="s">
        <v>1076</v>
      </c>
      <c r="K35" s="5814" t="s">
        <v>3572</v>
      </c>
    </row>
    <row r="36" spans="1:11">
      <c r="A36" s="21" t="s">
        <v>2817</v>
      </c>
      <c r="B36" s="21" t="s">
        <v>3573</v>
      </c>
      <c r="C36" s="21" t="s">
        <v>8</v>
      </c>
      <c r="D36" s="21" t="s">
        <v>225</v>
      </c>
      <c r="E36" s="21" t="s">
        <v>46</v>
      </c>
      <c r="F36" s="5812">
        <v>2</v>
      </c>
      <c r="G36" s="5813">
        <v>0.10347222222222222</v>
      </c>
      <c r="H36" s="21" t="s">
        <v>54</v>
      </c>
      <c r="I36" s="21" t="s">
        <v>2247</v>
      </c>
      <c r="J36" s="21" t="s">
        <v>127</v>
      </c>
      <c r="K36" s="5814" t="s">
        <v>3574</v>
      </c>
    </row>
    <row r="37" spans="1:11">
      <c r="A37" s="21" t="s">
        <v>2921</v>
      </c>
      <c r="B37" s="21" t="s">
        <v>3575</v>
      </c>
      <c r="C37" s="21" t="s">
        <v>8</v>
      </c>
      <c r="D37" s="21" t="s">
        <v>225</v>
      </c>
      <c r="E37" s="21" t="s">
        <v>46</v>
      </c>
      <c r="F37" s="5812">
        <v>2</v>
      </c>
      <c r="G37" s="5813">
        <v>0.15138888888888888</v>
      </c>
      <c r="H37" s="21" t="s">
        <v>10</v>
      </c>
      <c r="I37" s="21" t="s">
        <v>2923</v>
      </c>
      <c r="J37" s="21" t="s">
        <v>258</v>
      </c>
      <c r="K37" s="5814" t="s">
        <v>3576</v>
      </c>
    </row>
    <row r="38" spans="1:11">
      <c r="A38" s="21" t="s">
        <v>2383</v>
      </c>
      <c r="B38" s="21" t="s">
        <v>3577</v>
      </c>
      <c r="C38" s="21" t="s">
        <v>22</v>
      </c>
      <c r="D38" s="21" t="s">
        <v>225</v>
      </c>
      <c r="E38" s="21" t="s">
        <v>46</v>
      </c>
      <c r="F38" s="5812">
        <v>2</v>
      </c>
      <c r="G38" s="5813">
        <v>0.18611111111111112</v>
      </c>
      <c r="H38" s="21" t="s">
        <v>10</v>
      </c>
      <c r="I38" s="21" t="s">
        <v>11</v>
      </c>
      <c r="J38" s="21" t="s">
        <v>940</v>
      </c>
      <c r="K38" s="5814" t="s">
        <v>3578</v>
      </c>
    </row>
    <row r="39" spans="1:11">
      <c r="A39" s="21" t="s">
        <v>2391</v>
      </c>
      <c r="B39" s="21" t="s">
        <v>3579</v>
      </c>
      <c r="C39" s="21" t="s">
        <v>8</v>
      </c>
      <c r="D39" s="21" t="s">
        <v>225</v>
      </c>
      <c r="E39" s="21" t="s">
        <v>46</v>
      </c>
      <c r="F39" s="5812">
        <v>3</v>
      </c>
      <c r="G39" s="5813">
        <v>9.7916666666666666E-2</v>
      </c>
      <c r="H39" s="21" t="s">
        <v>10</v>
      </c>
      <c r="I39" s="21" t="s">
        <v>96</v>
      </c>
      <c r="J39" s="21" t="s">
        <v>3580</v>
      </c>
      <c r="K39" s="5814" t="s">
        <v>3581</v>
      </c>
    </row>
    <row r="40" spans="1:11">
      <c r="A40" s="21" t="s">
        <v>3230</v>
      </c>
      <c r="B40" s="21" t="s">
        <v>3582</v>
      </c>
      <c r="C40" s="21" t="s">
        <v>8</v>
      </c>
      <c r="D40" s="21" t="s">
        <v>225</v>
      </c>
      <c r="E40" s="21" t="s">
        <v>46</v>
      </c>
      <c r="F40" s="5812">
        <v>3</v>
      </c>
      <c r="G40" s="5813">
        <v>0.10347222222222222</v>
      </c>
      <c r="H40" s="21" t="s">
        <v>10</v>
      </c>
      <c r="I40" s="21" t="s">
        <v>96</v>
      </c>
      <c r="J40" s="21" t="s">
        <v>97</v>
      </c>
      <c r="K40" s="5814" t="s">
        <v>3583</v>
      </c>
    </row>
    <row r="41" spans="1:11">
      <c r="A41" s="21" t="s">
        <v>3584</v>
      </c>
      <c r="B41" s="21" t="s">
        <v>3585</v>
      </c>
      <c r="C41" s="21" t="s">
        <v>22</v>
      </c>
      <c r="D41" s="21" t="s">
        <v>225</v>
      </c>
      <c r="E41" s="21" t="s">
        <v>46</v>
      </c>
      <c r="F41" s="5812">
        <v>3</v>
      </c>
      <c r="G41" s="5813">
        <v>0.15972222222222221</v>
      </c>
      <c r="H41" s="21" t="s">
        <v>10</v>
      </c>
      <c r="I41" s="21" t="s">
        <v>2731</v>
      </c>
      <c r="J41" s="21" t="s">
        <v>722</v>
      </c>
      <c r="K41" s="5814" t="s">
        <v>3586</v>
      </c>
    </row>
    <row r="42" spans="1:11">
      <c r="A42" s="21" t="s">
        <v>2291</v>
      </c>
      <c r="B42" s="21" t="s">
        <v>3587</v>
      </c>
      <c r="C42" s="21" t="s">
        <v>179</v>
      </c>
      <c r="D42" s="21" t="s">
        <v>225</v>
      </c>
      <c r="E42" s="21" t="s">
        <v>920</v>
      </c>
      <c r="F42" s="5812">
        <v>2</v>
      </c>
      <c r="G42" s="5813">
        <v>8.2638888888888887E-2</v>
      </c>
      <c r="H42" s="21" t="s">
        <v>10</v>
      </c>
      <c r="I42" s="21" t="s">
        <v>23</v>
      </c>
      <c r="J42" s="21" t="s">
        <v>3588</v>
      </c>
      <c r="K42" s="5814" t="s">
        <v>3589</v>
      </c>
    </row>
    <row r="43" spans="1:11">
      <c r="A43" s="21" t="s">
        <v>2966</v>
      </c>
      <c r="B43" s="21" t="s">
        <v>3590</v>
      </c>
      <c r="C43" s="21" t="s">
        <v>22</v>
      </c>
      <c r="D43" s="21" t="s">
        <v>225</v>
      </c>
      <c r="E43" s="21" t="s">
        <v>61</v>
      </c>
      <c r="F43" s="5812">
        <v>1</v>
      </c>
      <c r="G43" s="5813">
        <v>5.5555555555555552E-2</v>
      </c>
      <c r="H43" s="21" t="s">
        <v>10</v>
      </c>
      <c r="I43" s="21" t="s">
        <v>23</v>
      </c>
      <c r="J43" s="21" t="s">
        <v>67</v>
      </c>
      <c r="K43" s="5814" t="s">
        <v>3591</v>
      </c>
    </row>
    <row r="44" spans="1:11">
      <c r="A44" s="21" t="s">
        <v>2245</v>
      </c>
      <c r="B44" s="21" t="s">
        <v>3592</v>
      </c>
      <c r="C44" s="21" t="s">
        <v>22</v>
      </c>
      <c r="D44" s="21" t="s">
        <v>225</v>
      </c>
      <c r="E44" s="21" t="s">
        <v>61</v>
      </c>
      <c r="F44" s="5812">
        <v>1</v>
      </c>
      <c r="G44" s="5813">
        <v>6.7361111111111108E-2</v>
      </c>
      <c r="H44" s="21" t="s">
        <v>10</v>
      </c>
      <c r="I44" s="21" t="s">
        <v>3593</v>
      </c>
      <c r="J44" s="21" t="s">
        <v>3279</v>
      </c>
      <c r="K44" s="5814" t="s">
        <v>3594</v>
      </c>
    </row>
    <row r="45" spans="1:11">
      <c r="A45" s="21" t="s">
        <v>2391</v>
      </c>
      <c r="B45" s="21" t="s">
        <v>3595</v>
      </c>
      <c r="C45" s="21" t="s">
        <v>8</v>
      </c>
      <c r="D45" s="21" t="s">
        <v>225</v>
      </c>
      <c r="E45" s="21" t="s">
        <v>61</v>
      </c>
      <c r="F45" s="5812">
        <v>1</v>
      </c>
      <c r="G45" s="5813">
        <v>9.2361111111111116E-2</v>
      </c>
      <c r="H45" s="21" t="s">
        <v>54</v>
      </c>
      <c r="I45" s="21" t="s">
        <v>55</v>
      </c>
      <c r="J45" s="21" t="s">
        <v>782</v>
      </c>
      <c r="K45" s="5814" t="s">
        <v>3596</v>
      </c>
    </row>
    <row r="46" spans="1:11">
      <c r="A46" s="21" t="s">
        <v>3597</v>
      </c>
      <c r="B46" s="21" t="s">
        <v>3598</v>
      </c>
      <c r="C46" s="21" t="s">
        <v>8</v>
      </c>
      <c r="D46" s="21" t="s">
        <v>225</v>
      </c>
      <c r="E46" s="21" t="s">
        <v>61</v>
      </c>
      <c r="F46" s="5812">
        <v>1</v>
      </c>
      <c r="G46" s="5813">
        <v>0.10069444444444445</v>
      </c>
      <c r="H46" s="21" t="s">
        <v>10</v>
      </c>
      <c r="I46" s="21" t="s">
        <v>55</v>
      </c>
      <c r="J46" s="21" t="s">
        <v>928</v>
      </c>
      <c r="K46" s="5814" t="s">
        <v>3599</v>
      </c>
    </row>
    <row r="47" spans="1:11">
      <c r="A47" s="21" t="s">
        <v>3012</v>
      </c>
      <c r="B47" s="21" t="s">
        <v>3600</v>
      </c>
      <c r="C47" s="21" t="s">
        <v>22</v>
      </c>
      <c r="D47" s="21" t="s">
        <v>225</v>
      </c>
      <c r="E47" s="21" t="s">
        <v>61</v>
      </c>
      <c r="F47" s="5812">
        <v>1</v>
      </c>
      <c r="G47" s="5813">
        <v>0.10833333333333334</v>
      </c>
      <c r="H47" s="21" t="s">
        <v>10</v>
      </c>
      <c r="I47" s="21" t="s">
        <v>55</v>
      </c>
      <c r="J47" s="21" t="s">
        <v>3350</v>
      </c>
      <c r="K47" s="5814" t="s">
        <v>3601</v>
      </c>
    </row>
    <row r="48" spans="1:11">
      <c r="A48" s="21" t="s">
        <v>2088</v>
      </c>
      <c r="B48" s="21" t="s">
        <v>3602</v>
      </c>
      <c r="C48" s="21" t="s">
        <v>8</v>
      </c>
      <c r="D48" s="21" t="s">
        <v>225</v>
      </c>
      <c r="E48" s="21" t="s">
        <v>61</v>
      </c>
      <c r="F48" s="5812">
        <v>1</v>
      </c>
      <c r="G48" s="5813">
        <v>0.15138888888888888</v>
      </c>
      <c r="H48" s="21" t="s">
        <v>10</v>
      </c>
      <c r="I48" s="21" t="s">
        <v>55</v>
      </c>
      <c r="J48" s="21" t="s">
        <v>3326</v>
      </c>
      <c r="K48" s="5814" t="s">
        <v>3603</v>
      </c>
    </row>
    <row r="49" spans="1:11">
      <c r="A49" s="21" t="s">
        <v>2391</v>
      </c>
      <c r="B49" s="21" t="s">
        <v>3604</v>
      </c>
      <c r="C49" s="21" t="s">
        <v>8</v>
      </c>
      <c r="D49" s="21" t="s">
        <v>225</v>
      </c>
      <c r="E49" s="21" t="s">
        <v>61</v>
      </c>
      <c r="F49" s="5812">
        <v>1</v>
      </c>
      <c r="G49" s="5813">
        <v>0.18541666666666667</v>
      </c>
      <c r="H49" s="21" t="s">
        <v>10</v>
      </c>
      <c r="I49" s="21" t="s">
        <v>47</v>
      </c>
      <c r="J49" s="21" t="s">
        <v>67</v>
      </c>
      <c r="K49" s="5814" t="s">
        <v>3605</v>
      </c>
    </row>
    <row r="50" spans="1:11">
      <c r="A50" s="21" t="s">
        <v>2446</v>
      </c>
      <c r="B50" s="21" t="s">
        <v>3606</v>
      </c>
      <c r="C50" s="21" t="s">
        <v>8</v>
      </c>
      <c r="D50" s="21" t="s">
        <v>225</v>
      </c>
      <c r="E50" s="21" t="s">
        <v>61</v>
      </c>
      <c r="F50" s="5812">
        <v>1</v>
      </c>
      <c r="G50" s="5813">
        <v>0.2076388888888889</v>
      </c>
      <c r="H50" s="21" t="s">
        <v>10</v>
      </c>
      <c r="I50" s="21" t="s">
        <v>55</v>
      </c>
      <c r="J50" s="21" t="s">
        <v>3607</v>
      </c>
      <c r="K50" s="5814" t="s">
        <v>3608</v>
      </c>
    </row>
    <row r="51" spans="1:11">
      <c r="A51" s="21" t="s">
        <v>3243</v>
      </c>
      <c r="B51" s="21" t="s">
        <v>3609</v>
      </c>
      <c r="C51" s="21" t="s">
        <v>22</v>
      </c>
      <c r="D51" s="21" t="s">
        <v>225</v>
      </c>
      <c r="E51" s="21" t="s">
        <v>61</v>
      </c>
      <c r="F51" s="5812">
        <v>2</v>
      </c>
      <c r="G51" s="5813">
        <v>8.5416666666666669E-2</v>
      </c>
      <c r="H51" s="21" t="s">
        <v>10</v>
      </c>
      <c r="I51" s="21" t="s">
        <v>39</v>
      </c>
      <c r="J51" s="21" t="s">
        <v>67</v>
      </c>
      <c r="K51" s="5814" t="s">
        <v>3610</v>
      </c>
    </row>
    <row r="52" spans="1:11">
      <c r="A52" s="21" t="s">
        <v>3348</v>
      </c>
      <c r="B52" s="21" t="s">
        <v>3611</v>
      </c>
      <c r="C52" s="21" t="s">
        <v>22</v>
      </c>
      <c r="D52" s="21" t="s">
        <v>225</v>
      </c>
      <c r="E52" s="21" t="s">
        <v>61</v>
      </c>
      <c r="F52" s="5812">
        <v>2</v>
      </c>
      <c r="G52" s="5813">
        <v>0.10347222222222222</v>
      </c>
      <c r="H52" s="21" t="s">
        <v>10</v>
      </c>
      <c r="I52" s="21" t="s">
        <v>96</v>
      </c>
      <c r="J52" s="21" t="s">
        <v>67</v>
      </c>
      <c r="K52" s="5814" t="s">
        <v>3612</v>
      </c>
    </row>
    <row r="53" spans="1:11">
      <c r="A53" s="21" t="s">
        <v>3613</v>
      </c>
      <c r="B53" s="21" t="s">
        <v>3614</v>
      </c>
      <c r="C53" s="21" t="s">
        <v>22</v>
      </c>
      <c r="D53" s="21" t="s">
        <v>225</v>
      </c>
      <c r="E53" s="21" t="s">
        <v>61</v>
      </c>
      <c r="F53" s="5812">
        <v>2</v>
      </c>
      <c r="G53" s="5813">
        <v>0.18055555555555555</v>
      </c>
      <c r="H53" s="21" t="s">
        <v>10</v>
      </c>
      <c r="I53" s="21" t="s">
        <v>55</v>
      </c>
      <c r="J53" s="21" t="s">
        <v>67</v>
      </c>
      <c r="K53" s="5814" t="s">
        <v>3615</v>
      </c>
    </row>
    <row r="54" spans="1:11">
      <c r="A54" s="21" t="s">
        <v>3616</v>
      </c>
      <c r="B54" s="21" t="s">
        <v>3617</v>
      </c>
      <c r="C54" s="21" t="s">
        <v>22</v>
      </c>
      <c r="D54" s="21" t="s">
        <v>225</v>
      </c>
      <c r="E54" s="21" t="s">
        <v>61</v>
      </c>
      <c r="F54" s="5812">
        <v>3</v>
      </c>
      <c r="G54" s="5813">
        <v>0.11388888888888889</v>
      </c>
      <c r="H54" s="21" t="s">
        <v>10</v>
      </c>
      <c r="I54" s="21" t="s">
        <v>11</v>
      </c>
      <c r="J54" s="21" t="s">
        <v>782</v>
      </c>
      <c r="K54" s="5814" t="s">
        <v>3618</v>
      </c>
    </row>
    <row r="55" spans="1:11">
      <c r="A55" s="21" t="s">
        <v>2478</v>
      </c>
      <c r="B55" s="21" t="s">
        <v>3619</v>
      </c>
      <c r="C55" s="21" t="s">
        <v>8</v>
      </c>
      <c r="D55" s="21" t="s">
        <v>225</v>
      </c>
      <c r="E55" s="21" t="s">
        <v>61</v>
      </c>
      <c r="F55" s="5812">
        <v>3</v>
      </c>
      <c r="G55" s="5813">
        <v>0.12222222222222222</v>
      </c>
      <c r="H55" s="21" t="s">
        <v>10</v>
      </c>
      <c r="I55" s="21" t="s">
        <v>96</v>
      </c>
      <c r="J55" s="21" t="s">
        <v>282</v>
      </c>
      <c r="K55" s="5814" t="s">
        <v>3620</v>
      </c>
    </row>
    <row r="56" spans="1:11">
      <c r="A56" s="21" t="s">
        <v>2910</v>
      </c>
      <c r="B56" s="21" t="s">
        <v>3621</v>
      </c>
      <c r="C56" s="21" t="s">
        <v>8</v>
      </c>
      <c r="D56" s="21" t="s">
        <v>225</v>
      </c>
      <c r="E56" s="21" t="s">
        <v>244</v>
      </c>
      <c r="F56" s="5812">
        <v>2</v>
      </c>
      <c r="G56" s="5813">
        <v>0.15138888888888888</v>
      </c>
      <c r="H56" s="21" t="s">
        <v>10</v>
      </c>
      <c r="I56" s="21" t="s">
        <v>11</v>
      </c>
      <c r="J56" s="21" t="s">
        <v>3622</v>
      </c>
      <c r="K56" s="5814" t="s">
        <v>3623</v>
      </c>
    </row>
  </sheetData>
  <hyperlinks>
    <hyperlink ref="K4" r:id="rId1" xr:uid="{00000000-0004-0000-1700-000000000000}"/>
    <hyperlink ref="K5" r:id="rId2" xr:uid="{00000000-0004-0000-1700-000001000000}"/>
    <hyperlink ref="K6" r:id="rId3" xr:uid="{00000000-0004-0000-1700-000002000000}"/>
    <hyperlink ref="K7" r:id="rId4" xr:uid="{00000000-0004-0000-1700-000003000000}"/>
    <hyperlink ref="K8" r:id="rId5" xr:uid="{00000000-0004-0000-1700-000004000000}"/>
    <hyperlink ref="K9" r:id="rId6" xr:uid="{00000000-0004-0000-1700-000005000000}"/>
    <hyperlink ref="K10" r:id="rId7" xr:uid="{00000000-0004-0000-1700-000006000000}"/>
    <hyperlink ref="K11" r:id="rId8" xr:uid="{00000000-0004-0000-1700-000007000000}"/>
    <hyperlink ref="K12" r:id="rId9" xr:uid="{00000000-0004-0000-1700-000008000000}"/>
    <hyperlink ref="K13" r:id="rId10" xr:uid="{00000000-0004-0000-1700-000009000000}"/>
    <hyperlink ref="K14" r:id="rId11" xr:uid="{00000000-0004-0000-1700-00000A000000}"/>
    <hyperlink ref="K15" r:id="rId12" xr:uid="{00000000-0004-0000-1700-00000B000000}"/>
    <hyperlink ref="K16" r:id="rId13" xr:uid="{00000000-0004-0000-1700-00000C000000}"/>
    <hyperlink ref="K17" r:id="rId14" xr:uid="{00000000-0004-0000-1700-00000D000000}"/>
    <hyperlink ref="K18" r:id="rId15" xr:uid="{00000000-0004-0000-1700-00000E000000}"/>
    <hyperlink ref="K19" r:id="rId16" xr:uid="{00000000-0004-0000-1700-00000F000000}"/>
    <hyperlink ref="K20" r:id="rId17" xr:uid="{00000000-0004-0000-1700-000010000000}"/>
    <hyperlink ref="K21" r:id="rId18" xr:uid="{00000000-0004-0000-1700-000011000000}"/>
    <hyperlink ref="K22" r:id="rId19" xr:uid="{00000000-0004-0000-1700-000012000000}"/>
    <hyperlink ref="K23" r:id="rId20" xr:uid="{00000000-0004-0000-1700-000013000000}"/>
    <hyperlink ref="K24" r:id="rId21" xr:uid="{00000000-0004-0000-1700-000014000000}"/>
    <hyperlink ref="K25" r:id="rId22" xr:uid="{00000000-0004-0000-1700-000015000000}"/>
    <hyperlink ref="K26" r:id="rId23" xr:uid="{00000000-0004-0000-1700-000016000000}"/>
    <hyperlink ref="K27" r:id="rId24" xr:uid="{00000000-0004-0000-1700-000017000000}"/>
    <hyperlink ref="K28" r:id="rId25" xr:uid="{00000000-0004-0000-1700-000018000000}"/>
    <hyperlink ref="K29" r:id="rId26" xr:uid="{00000000-0004-0000-1700-000019000000}"/>
    <hyperlink ref="K30" r:id="rId27" xr:uid="{00000000-0004-0000-1700-00001A000000}"/>
    <hyperlink ref="K31" r:id="rId28" xr:uid="{00000000-0004-0000-1700-00001B000000}"/>
    <hyperlink ref="K32" r:id="rId29" xr:uid="{00000000-0004-0000-1700-00001C000000}"/>
    <hyperlink ref="K33" r:id="rId30" xr:uid="{00000000-0004-0000-1700-00001D000000}"/>
    <hyperlink ref="K34" r:id="rId31" xr:uid="{00000000-0004-0000-1700-00001E000000}"/>
    <hyperlink ref="K35" r:id="rId32" xr:uid="{00000000-0004-0000-1700-00001F000000}"/>
    <hyperlink ref="K36" r:id="rId33" xr:uid="{00000000-0004-0000-1700-000020000000}"/>
    <hyperlink ref="K37" r:id="rId34" xr:uid="{00000000-0004-0000-1700-000021000000}"/>
    <hyperlink ref="K38" r:id="rId35" xr:uid="{00000000-0004-0000-1700-000022000000}"/>
    <hyperlink ref="K39" r:id="rId36" xr:uid="{00000000-0004-0000-1700-000023000000}"/>
    <hyperlink ref="K40" r:id="rId37" xr:uid="{00000000-0004-0000-1700-000024000000}"/>
    <hyperlink ref="K41" r:id="rId38" xr:uid="{00000000-0004-0000-1700-000025000000}"/>
    <hyperlink ref="K42" r:id="rId39" xr:uid="{00000000-0004-0000-1700-000026000000}"/>
    <hyperlink ref="K43" r:id="rId40" xr:uid="{00000000-0004-0000-1700-000027000000}"/>
    <hyperlink ref="K44" r:id="rId41" xr:uid="{00000000-0004-0000-1700-000028000000}"/>
    <hyperlink ref="K45" r:id="rId42" xr:uid="{00000000-0004-0000-1700-000029000000}"/>
    <hyperlink ref="K46" r:id="rId43" xr:uid="{00000000-0004-0000-1700-00002A000000}"/>
    <hyperlink ref="K47" r:id="rId44" xr:uid="{00000000-0004-0000-1700-00002B000000}"/>
    <hyperlink ref="K48" r:id="rId45" xr:uid="{00000000-0004-0000-1700-00002C000000}"/>
    <hyperlink ref="K49" r:id="rId46" xr:uid="{00000000-0004-0000-1700-00002D000000}"/>
    <hyperlink ref="K50" r:id="rId47" xr:uid="{00000000-0004-0000-1700-00002E000000}"/>
    <hyperlink ref="K51" r:id="rId48" xr:uid="{00000000-0004-0000-1700-00002F000000}"/>
    <hyperlink ref="K52" r:id="rId49" xr:uid="{00000000-0004-0000-1700-000030000000}"/>
    <hyperlink ref="K53" r:id="rId50" xr:uid="{00000000-0004-0000-1700-000031000000}"/>
    <hyperlink ref="K54" r:id="rId51" xr:uid="{00000000-0004-0000-1700-000032000000}"/>
    <hyperlink ref="K55" r:id="rId52" xr:uid="{00000000-0004-0000-1700-000033000000}"/>
    <hyperlink ref="K56" r:id="rId53" xr:uid="{00000000-0004-0000-1700-000034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BC32"/>
  <sheetViews>
    <sheetView workbookViewId="0"/>
  </sheetViews>
  <sheetFormatPr defaultColWidth="12.5703125" defaultRowHeight="15.75" customHeight="1"/>
  <cols>
    <col min="1" max="1" width="20.140625" customWidth="1"/>
    <col min="2" max="2" width="25.7109375" customWidth="1"/>
    <col min="4" max="4" width="33.140625" customWidth="1"/>
  </cols>
  <sheetData>
    <row r="1" spans="1:55">
      <c r="A1" s="5815" t="s">
        <v>13059</v>
      </c>
      <c r="B1" s="5815" t="s">
        <v>13060</v>
      </c>
      <c r="C1" s="5815" t="s">
        <v>13063</v>
      </c>
      <c r="D1" s="5815" t="s">
        <v>13064</v>
      </c>
      <c r="E1" s="5815" t="s">
        <v>13065</v>
      </c>
      <c r="F1" s="5815" t="s">
        <v>13060</v>
      </c>
      <c r="G1" s="5815" t="s">
        <v>1523</v>
      </c>
      <c r="H1" s="5815" t="s">
        <v>46</v>
      </c>
      <c r="I1" s="5815" t="s">
        <v>1522</v>
      </c>
      <c r="J1" s="5815" t="s">
        <v>13062</v>
      </c>
      <c r="K1" s="5815"/>
      <c r="L1" s="5815"/>
      <c r="M1" s="5815"/>
      <c r="N1" s="5815"/>
      <c r="O1" s="5815"/>
      <c r="P1" s="5815"/>
      <c r="Q1" s="5815"/>
      <c r="R1" s="5815"/>
      <c r="S1" s="5815"/>
      <c r="T1" s="5816"/>
      <c r="U1" s="5815"/>
      <c r="V1" s="5815"/>
      <c r="W1" s="5815"/>
      <c r="X1" s="5815"/>
      <c r="Y1" s="5815"/>
      <c r="Z1" s="5815"/>
      <c r="AA1" s="5815"/>
      <c r="AB1" s="5815"/>
      <c r="AC1" s="5815"/>
      <c r="AD1" s="5815"/>
      <c r="AE1" s="5815"/>
      <c r="AF1" s="5815"/>
      <c r="AG1" s="5815"/>
      <c r="AH1" s="5815"/>
      <c r="AI1" s="5815"/>
      <c r="AJ1" s="5815"/>
      <c r="AK1" s="5815"/>
      <c r="AL1" s="5815"/>
      <c r="AM1" s="5815"/>
      <c r="AN1" s="5815"/>
      <c r="AO1" s="5815"/>
      <c r="AP1" s="5815"/>
      <c r="AQ1" s="5815"/>
      <c r="AR1" s="5815"/>
      <c r="AS1" s="5815"/>
      <c r="AT1" s="5815"/>
      <c r="AU1" s="5815"/>
      <c r="AV1" s="5815"/>
      <c r="AW1" s="5815"/>
      <c r="AX1" s="5815"/>
      <c r="AY1" s="5815"/>
      <c r="AZ1" s="5815"/>
      <c r="BA1" s="5815"/>
      <c r="BB1" s="5815"/>
      <c r="BC1" s="620"/>
    </row>
    <row r="2" spans="1:55">
      <c r="A2" s="5817">
        <f>COUNTA(A4:A999)</f>
        <v>29</v>
      </c>
      <c r="B2" s="5822">
        <f>COUNTIF($E$3:$E$800, "Decision*")</f>
        <v>16</v>
      </c>
      <c r="C2" s="5818">
        <f>SUM(B2/$A$2)</f>
        <v>0.55172413793103448</v>
      </c>
      <c r="D2" s="5818">
        <f t="shared" ref="D2:E2" si="0">SUM(G2/$A$2)</f>
        <v>0.20689655172413793</v>
      </c>
      <c r="E2" s="5818">
        <f t="shared" si="0"/>
        <v>0.2413793103448276</v>
      </c>
      <c r="F2" s="5822">
        <f>COUNTIF($E$3:$E$999, "Decision*")</f>
        <v>16</v>
      </c>
      <c r="G2" s="5823">
        <f>COUNTIF($E$3:$E$999, "Submission")</f>
        <v>6</v>
      </c>
      <c r="H2" s="5817">
        <f>COUNTIF($E$3:$E$1000, "KO/TKO")</f>
        <v>7</v>
      </c>
      <c r="I2" s="5823">
        <f>COUNTIF($E$3:$E$999, "Decision - Unanimous")</f>
        <v>12</v>
      </c>
      <c r="J2" s="5819">
        <f>COUNTIF($E$3:$E$999, "Decision - Split")</f>
        <v>4</v>
      </c>
      <c r="K2" s="5824"/>
      <c r="L2" s="5820"/>
      <c r="M2" s="5820"/>
      <c r="N2" s="5820"/>
      <c r="O2" s="5820"/>
      <c r="P2" s="5820"/>
      <c r="Q2" s="5820"/>
      <c r="R2" s="5820"/>
      <c r="S2" s="5820"/>
      <c r="T2" s="5821"/>
      <c r="U2" s="5820"/>
      <c r="V2" s="5820"/>
      <c r="W2" s="5820"/>
      <c r="X2" s="5820"/>
      <c r="Y2" s="5820"/>
      <c r="Z2" s="5820"/>
      <c r="AA2" s="5820"/>
      <c r="AB2" s="5820"/>
      <c r="AC2" s="5820"/>
      <c r="AD2" s="5820"/>
      <c r="AE2" s="5820"/>
      <c r="AF2" s="5820"/>
      <c r="AG2" s="5820"/>
      <c r="AH2" s="5820"/>
      <c r="AI2" s="5820"/>
      <c r="AJ2" s="5820"/>
      <c r="AK2" s="5820"/>
      <c r="AL2" s="5820"/>
      <c r="AM2" s="5820"/>
      <c r="AN2" s="5820"/>
      <c r="AO2" s="5820"/>
      <c r="AP2" s="5820"/>
      <c r="AQ2" s="5820"/>
      <c r="AR2" s="5820"/>
      <c r="AS2" s="5820"/>
      <c r="AT2" s="5820"/>
      <c r="AU2" s="5820"/>
      <c r="AV2" s="5820"/>
      <c r="AW2" s="5820"/>
      <c r="AX2" s="5820"/>
      <c r="AY2" s="5820"/>
      <c r="AZ2" s="5820"/>
      <c r="BA2" s="5820"/>
      <c r="BB2" s="5820"/>
      <c r="BC2" s="620"/>
    </row>
    <row r="3" spans="1:55">
      <c r="A3" s="21" t="s">
        <v>2034</v>
      </c>
      <c r="B3" s="21" t="s">
        <v>2035</v>
      </c>
      <c r="C3" s="21" t="s">
        <v>2036</v>
      </c>
      <c r="D3" s="21" t="s">
        <v>2037</v>
      </c>
      <c r="E3" s="21" t="s">
        <v>2038</v>
      </c>
      <c r="F3" s="21" t="s">
        <v>2039</v>
      </c>
      <c r="G3" s="21" t="s">
        <v>2040</v>
      </c>
      <c r="H3" s="21" t="s">
        <v>2041</v>
      </c>
      <c r="I3" s="21" t="s">
        <v>2042</v>
      </c>
      <c r="J3" s="21" t="s">
        <v>2043</v>
      </c>
      <c r="K3" s="21" t="s">
        <v>2044</v>
      </c>
    </row>
    <row r="4" spans="1:55">
      <c r="A4" s="21" t="s">
        <v>4552</v>
      </c>
      <c r="B4" s="21" t="s">
        <v>11854</v>
      </c>
      <c r="C4" s="21" t="s">
        <v>22</v>
      </c>
      <c r="D4" s="21" t="s">
        <v>11855</v>
      </c>
      <c r="E4" s="21" t="s">
        <v>193</v>
      </c>
      <c r="F4" s="5812">
        <v>3</v>
      </c>
      <c r="G4" s="5813">
        <v>0.20833333333333334</v>
      </c>
      <c r="H4" s="21" t="s">
        <v>10</v>
      </c>
      <c r="I4" s="21" t="s">
        <v>73</v>
      </c>
      <c r="J4" s="21" t="s">
        <v>11856</v>
      </c>
      <c r="K4" s="5814" t="s">
        <v>11857</v>
      </c>
    </row>
    <row r="5" spans="1:55">
      <c r="A5" s="21" t="s">
        <v>2428</v>
      </c>
      <c r="B5" s="21" t="s">
        <v>11858</v>
      </c>
      <c r="C5" s="21" t="s">
        <v>8</v>
      </c>
      <c r="D5" s="21" t="s">
        <v>11855</v>
      </c>
      <c r="E5" s="21" t="s">
        <v>193</v>
      </c>
      <c r="F5" s="5812">
        <v>3</v>
      </c>
      <c r="G5" s="5813">
        <v>0.20833333333333334</v>
      </c>
      <c r="H5" s="21" t="s">
        <v>10</v>
      </c>
      <c r="I5" s="21" t="s">
        <v>11</v>
      </c>
      <c r="J5" s="21" t="s">
        <v>11859</v>
      </c>
      <c r="K5" s="5814" t="s">
        <v>11860</v>
      </c>
    </row>
    <row r="6" spans="1:55">
      <c r="A6" s="21" t="s">
        <v>2901</v>
      </c>
      <c r="B6" s="21" t="s">
        <v>11861</v>
      </c>
      <c r="C6" s="21" t="s">
        <v>22</v>
      </c>
      <c r="D6" s="21" t="s">
        <v>11855</v>
      </c>
      <c r="E6" s="21" t="s">
        <v>193</v>
      </c>
      <c r="F6" s="5812">
        <v>3</v>
      </c>
      <c r="G6" s="5813">
        <v>0.20833333333333334</v>
      </c>
      <c r="H6" s="21" t="s">
        <v>10</v>
      </c>
      <c r="I6" s="21" t="s">
        <v>23</v>
      </c>
      <c r="J6" s="21" t="s">
        <v>11862</v>
      </c>
      <c r="K6" s="5814" t="s">
        <v>11863</v>
      </c>
    </row>
    <row r="7" spans="1:55">
      <c r="A7" s="21" t="s">
        <v>3002</v>
      </c>
      <c r="B7" s="21" t="s">
        <v>11864</v>
      </c>
      <c r="C7" s="21" t="s">
        <v>22</v>
      </c>
      <c r="D7" s="21" t="s">
        <v>11855</v>
      </c>
      <c r="E7" s="21" t="s">
        <v>193</v>
      </c>
      <c r="F7" s="5812">
        <v>3</v>
      </c>
      <c r="G7" s="5813">
        <v>0.20833333333333334</v>
      </c>
      <c r="H7" s="21" t="s">
        <v>10</v>
      </c>
      <c r="I7" s="21" t="s">
        <v>23</v>
      </c>
      <c r="J7" s="21" t="s">
        <v>11865</v>
      </c>
      <c r="K7" s="5814" t="s">
        <v>11866</v>
      </c>
    </row>
    <row r="8" spans="1:55">
      <c r="A8" s="21" t="s">
        <v>3855</v>
      </c>
      <c r="B8" s="21" t="s">
        <v>11867</v>
      </c>
      <c r="C8" s="21" t="s">
        <v>8</v>
      </c>
      <c r="D8" s="21" t="s">
        <v>11855</v>
      </c>
      <c r="E8" s="21" t="s">
        <v>9</v>
      </c>
      <c r="F8" s="5812">
        <v>3</v>
      </c>
      <c r="G8" s="5813">
        <v>0.20833333333333334</v>
      </c>
      <c r="H8" s="21" t="s">
        <v>10</v>
      </c>
      <c r="I8" s="21" t="s">
        <v>654</v>
      </c>
      <c r="J8" s="21" t="s">
        <v>11868</v>
      </c>
      <c r="K8" s="5814" t="s">
        <v>11869</v>
      </c>
    </row>
    <row r="9" spans="1:55">
      <c r="A9" s="21" t="s">
        <v>3039</v>
      </c>
      <c r="B9" s="21" t="s">
        <v>11870</v>
      </c>
      <c r="C9" s="21" t="s">
        <v>22</v>
      </c>
      <c r="D9" s="21" t="s">
        <v>11855</v>
      </c>
      <c r="E9" s="21" t="s">
        <v>9</v>
      </c>
      <c r="F9" s="5812">
        <v>3</v>
      </c>
      <c r="G9" s="5813">
        <v>0.20833333333333334</v>
      </c>
      <c r="H9" s="21" t="s">
        <v>10</v>
      </c>
      <c r="I9" s="21" t="s">
        <v>23</v>
      </c>
      <c r="J9" s="21" t="s">
        <v>11871</v>
      </c>
      <c r="K9" s="5814" t="s">
        <v>11872</v>
      </c>
    </row>
    <row r="10" spans="1:55">
      <c r="A10" s="21" t="s">
        <v>2354</v>
      </c>
      <c r="B10" s="21" t="s">
        <v>11873</v>
      </c>
      <c r="C10" s="21" t="s">
        <v>8</v>
      </c>
      <c r="D10" s="21" t="s">
        <v>11855</v>
      </c>
      <c r="E10" s="21" t="s">
        <v>9</v>
      </c>
      <c r="F10" s="5812">
        <v>3</v>
      </c>
      <c r="G10" s="5813">
        <v>0.20833333333333334</v>
      </c>
      <c r="H10" s="21" t="s">
        <v>10</v>
      </c>
      <c r="I10" s="21" t="s">
        <v>47</v>
      </c>
      <c r="J10" s="21" t="s">
        <v>11874</v>
      </c>
      <c r="K10" s="5814" t="s">
        <v>11875</v>
      </c>
    </row>
    <row r="11" spans="1:55">
      <c r="A11" s="21" t="s">
        <v>2391</v>
      </c>
      <c r="B11" s="21" t="s">
        <v>11876</v>
      </c>
      <c r="C11" s="21" t="s">
        <v>8</v>
      </c>
      <c r="D11" s="21" t="s">
        <v>11855</v>
      </c>
      <c r="E11" s="21" t="s">
        <v>9</v>
      </c>
      <c r="F11" s="5812">
        <v>3</v>
      </c>
      <c r="G11" s="5813">
        <v>0.20833333333333334</v>
      </c>
      <c r="H11" s="21" t="s">
        <v>10</v>
      </c>
      <c r="I11" s="21" t="s">
        <v>96</v>
      </c>
      <c r="J11" s="21" t="s">
        <v>11877</v>
      </c>
      <c r="K11" s="5814" t="s">
        <v>11878</v>
      </c>
    </row>
    <row r="12" spans="1:55">
      <c r="A12" s="21" t="s">
        <v>2420</v>
      </c>
      <c r="B12" s="21" t="s">
        <v>11879</v>
      </c>
      <c r="C12" s="21" t="s">
        <v>22</v>
      </c>
      <c r="D12" s="21" t="s">
        <v>11855</v>
      </c>
      <c r="E12" s="21" t="s">
        <v>9</v>
      </c>
      <c r="F12" s="5812">
        <v>3</v>
      </c>
      <c r="G12" s="5813">
        <v>0.20833333333333334</v>
      </c>
      <c r="H12" s="21" t="s">
        <v>10</v>
      </c>
      <c r="I12" s="21" t="s">
        <v>3534</v>
      </c>
      <c r="J12" s="21" t="s">
        <v>11880</v>
      </c>
      <c r="K12" s="5814" t="s">
        <v>11881</v>
      </c>
    </row>
    <row r="13" spans="1:55">
      <c r="A13" s="21" t="s">
        <v>3559</v>
      </c>
      <c r="B13" s="21" t="s">
        <v>11882</v>
      </c>
      <c r="C13" s="21" t="s">
        <v>8</v>
      </c>
      <c r="D13" s="21" t="s">
        <v>11855</v>
      </c>
      <c r="E13" s="21" t="s">
        <v>9</v>
      </c>
      <c r="F13" s="5812">
        <v>3</v>
      </c>
      <c r="G13" s="5813">
        <v>0.20833333333333334</v>
      </c>
      <c r="H13" s="21" t="s">
        <v>10</v>
      </c>
      <c r="I13" s="21" t="s">
        <v>39</v>
      </c>
      <c r="J13" s="21" t="s">
        <v>11883</v>
      </c>
      <c r="K13" s="5814" t="s">
        <v>11884</v>
      </c>
    </row>
    <row r="14" spans="1:55">
      <c r="A14" s="21" t="s">
        <v>4724</v>
      </c>
      <c r="B14" s="21" t="s">
        <v>11885</v>
      </c>
      <c r="C14" s="21" t="s">
        <v>8</v>
      </c>
      <c r="D14" s="21" t="s">
        <v>11855</v>
      </c>
      <c r="E14" s="21" t="s">
        <v>9</v>
      </c>
      <c r="F14" s="5812">
        <v>3</v>
      </c>
      <c r="G14" s="5813">
        <v>0.20833333333333334</v>
      </c>
      <c r="H14" s="21" t="s">
        <v>10</v>
      </c>
      <c r="I14" s="21" t="s">
        <v>2872</v>
      </c>
      <c r="J14" s="21" t="s">
        <v>11886</v>
      </c>
      <c r="K14" s="5814" t="s">
        <v>11887</v>
      </c>
    </row>
    <row r="15" spans="1:55">
      <c r="A15" s="21" t="s">
        <v>3757</v>
      </c>
      <c r="B15" s="21" t="s">
        <v>11888</v>
      </c>
      <c r="C15" s="21" t="s">
        <v>8</v>
      </c>
      <c r="D15" s="21" t="s">
        <v>11855</v>
      </c>
      <c r="E15" s="21" t="s">
        <v>9</v>
      </c>
      <c r="F15" s="5812">
        <v>3</v>
      </c>
      <c r="G15" s="5813">
        <v>0.20833333333333334</v>
      </c>
      <c r="H15" s="21" t="s">
        <v>10</v>
      </c>
      <c r="I15" s="21" t="s">
        <v>187</v>
      </c>
      <c r="J15" s="21" t="s">
        <v>11889</v>
      </c>
      <c r="K15" s="5814" t="s">
        <v>11890</v>
      </c>
    </row>
    <row r="16" spans="1:55">
      <c r="A16" s="21" t="s">
        <v>2974</v>
      </c>
      <c r="B16" s="21" t="s">
        <v>11891</v>
      </c>
      <c r="C16" s="21" t="s">
        <v>22</v>
      </c>
      <c r="D16" s="21" t="s">
        <v>11855</v>
      </c>
      <c r="E16" s="21" t="s">
        <v>9</v>
      </c>
      <c r="F16" s="5812">
        <v>5</v>
      </c>
      <c r="G16" s="5813">
        <v>0.20833333333333334</v>
      </c>
      <c r="H16" s="21" t="s">
        <v>54</v>
      </c>
      <c r="I16" s="21" t="s">
        <v>11</v>
      </c>
      <c r="J16" s="21" t="s">
        <v>11892</v>
      </c>
      <c r="K16" s="5814" t="s">
        <v>11893</v>
      </c>
    </row>
    <row r="17" spans="1:11">
      <c r="A17" s="21" t="s">
        <v>3173</v>
      </c>
      <c r="B17" s="21" t="s">
        <v>11894</v>
      </c>
      <c r="C17" s="21" t="s">
        <v>22</v>
      </c>
      <c r="D17" s="21" t="s">
        <v>11855</v>
      </c>
      <c r="E17" s="21" t="s">
        <v>46</v>
      </c>
      <c r="F17" s="5812">
        <v>1</v>
      </c>
      <c r="G17" s="5813">
        <v>4.2361111111111113E-2</v>
      </c>
      <c r="H17" s="21" t="s">
        <v>10</v>
      </c>
      <c r="I17" s="21" t="s">
        <v>47</v>
      </c>
      <c r="J17" s="21" t="s">
        <v>11895</v>
      </c>
      <c r="K17" s="5814" t="s">
        <v>11896</v>
      </c>
    </row>
    <row r="18" spans="1:11">
      <c r="A18" s="21" t="s">
        <v>2551</v>
      </c>
      <c r="B18" s="21" t="s">
        <v>11897</v>
      </c>
      <c r="C18" s="21" t="s">
        <v>8</v>
      </c>
      <c r="D18" s="21" t="s">
        <v>11855</v>
      </c>
      <c r="E18" s="21" t="s">
        <v>46</v>
      </c>
      <c r="F18" s="5812">
        <v>1</v>
      </c>
      <c r="G18" s="5813">
        <v>0.14652777777777778</v>
      </c>
      <c r="H18" s="21" t="s">
        <v>10</v>
      </c>
      <c r="I18" s="21" t="s">
        <v>187</v>
      </c>
      <c r="J18" s="21" t="s">
        <v>48</v>
      </c>
      <c r="K18" s="5814" t="s">
        <v>11898</v>
      </c>
    </row>
    <row r="19" spans="1:11">
      <c r="A19" s="21" t="s">
        <v>2551</v>
      </c>
      <c r="B19" s="21" t="s">
        <v>11899</v>
      </c>
      <c r="C19" s="21" t="s">
        <v>8</v>
      </c>
      <c r="D19" s="21" t="s">
        <v>11855</v>
      </c>
      <c r="E19" s="21" t="s">
        <v>46</v>
      </c>
      <c r="F19" s="5812">
        <v>1</v>
      </c>
      <c r="G19" s="5813">
        <v>0.15069444444444444</v>
      </c>
      <c r="H19" s="21" t="s">
        <v>10</v>
      </c>
      <c r="I19" s="21" t="s">
        <v>226</v>
      </c>
      <c r="J19" s="21" t="s">
        <v>430</v>
      </c>
      <c r="K19" s="5814" t="s">
        <v>11900</v>
      </c>
    </row>
    <row r="20" spans="1:11">
      <c r="A20" s="21" t="s">
        <v>3105</v>
      </c>
      <c r="B20" s="21" t="s">
        <v>11901</v>
      </c>
      <c r="C20" s="21" t="s">
        <v>8</v>
      </c>
      <c r="D20" s="21" t="s">
        <v>11855</v>
      </c>
      <c r="E20" s="21" t="s">
        <v>46</v>
      </c>
      <c r="F20" s="5812">
        <v>3</v>
      </c>
      <c r="G20" s="5813">
        <v>0.18402777777777779</v>
      </c>
      <c r="H20" s="21" t="s">
        <v>10</v>
      </c>
      <c r="I20" s="21" t="s">
        <v>39</v>
      </c>
      <c r="J20" s="21" t="s">
        <v>3148</v>
      </c>
      <c r="K20" s="5814" t="s">
        <v>11902</v>
      </c>
    </row>
    <row r="21" spans="1:11">
      <c r="A21" s="21" t="s">
        <v>4711</v>
      </c>
      <c r="B21" s="21" t="s">
        <v>11903</v>
      </c>
      <c r="C21" s="21" t="s">
        <v>22</v>
      </c>
      <c r="D21" s="21" t="s">
        <v>11855</v>
      </c>
      <c r="E21" s="21" t="s">
        <v>61</v>
      </c>
      <c r="F21" s="5812">
        <v>1</v>
      </c>
      <c r="G21" s="5813">
        <v>0.14166666666666666</v>
      </c>
      <c r="H21" s="21" t="s">
        <v>10</v>
      </c>
      <c r="I21" s="21" t="s">
        <v>11</v>
      </c>
      <c r="J21" s="21" t="s">
        <v>67</v>
      </c>
      <c r="K21" s="5814" t="s">
        <v>11904</v>
      </c>
    </row>
    <row r="22" spans="1:11">
      <c r="A22" s="21" t="s">
        <v>3252</v>
      </c>
      <c r="B22" s="21" t="s">
        <v>11905</v>
      </c>
      <c r="C22" s="21" t="s">
        <v>8</v>
      </c>
      <c r="D22" s="21" t="s">
        <v>11855</v>
      </c>
      <c r="E22" s="21" t="s">
        <v>61</v>
      </c>
      <c r="F22" s="5812">
        <v>1</v>
      </c>
      <c r="G22" s="5813">
        <v>0.16458333333333333</v>
      </c>
      <c r="H22" s="21" t="s">
        <v>10</v>
      </c>
      <c r="I22" s="21" t="s">
        <v>3534</v>
      </c>
      <c r="J22" s="21" t="s">
        <v>3326</v>
      </c>
      <c r="K22" s="5814" t="s">
        <v>11906</v>
      </c>
    </row>
    <row r="23" spans="1:11">
      <c r="A23" s="21" t="s">
        <v>3116</v>
      </c>
      <c r="B23" s="21" t="s">
        <v>11907</v>
      </c>
      <c r="C23" s="21" t="s">
        <v>8</v>
      </c>
      <c r="D23" s="21" t="s">
        <v>11855</v>
      </c>
      <c r="E23" s="21" t="s">
        <v>61</v>
      </c>
      <c r="F23" s="5812">
        <v>2</v>
      </c>
      <c r="G23" s="5813">
        <v>0.12986111111111112</v>
      </c>
      <c r="H23" s="21" t="s">
        <v>10</v>
      </c>
      <c r="I23" s="21" t="s">
        <v>96</v>
      </c>
      <c r="J23" s="21" t="s">
        <v>324</v>
      </c>
      <c r="K23" s="5814" t="s">
        <v>11908</v>
      </c>
    </row>
    <row r="24" spans="1:11">
      <c r="A24" s="21" t="s">
        <v>3033</v>
      </c>
      <c r="B24" s="21" t="s">
        <v>11909</v>
      </c>
      <c r="C24" s="21" t="s">
        <v>8</v>
      </c>
      <c r="D24" s="21" t="s">
        <v>11855</v>
      </c>
      <c r="E24" s="21" t="s">
        <v>61</v>
      </c>
      <c r="F24" s="5812">
        <v>2</v>
      </c>
      <c r="G24" s="5813">
        <v>0.20416666666666666</v>
      </c>
      <c r="H24" s="21" t="s">
        <v>10</v>
      </c>
      <c r="I24" s="21" t="s">
        <v>3343</v>
      </c>
      <c r="J24" s="21" t="s">
        <v>67</v>
      </c>
      <c r="K24" s="5814" t="s">
        <v>11910</v>
      </c>
    </row>
    <row r="25" spans="1:11">
      <c r="A25" s="21" t="s">
        <v>2966</v>
      </c>
      <c r="B25" s="21" t="s">
        <v>9870</v>
      </c>
      <c r="C25" s="21" t="s">
        <v>8</v>
      </c>
      <c r="D25" s="21" t="s">
        <v>9871</v>
      </c>
      <c r="E25" s="21" t="s">
        <v>9</v>
      </c>
      <c r="F25" s="5812">
        <v>5</v>
      </c>
      <c r="G25" s="5813">
        <v>0.20833333333333334</v>
      </c>
      <c r="H25" s="21" t="s">
        <v>54</v>
      </c>
      <c r="I25" s="21" t="s">
        <v>55</v>
      </c>
      <c r="J25" s="21" t="s">
        <v>9872</v>
      </c>
      <c r="K25" s="5814" t="s">
        <v>9873</v>
      </c>
    </row>
    <row r="26" spans="1:11">
      <c r="A26" s="21" t="s">
        <v>3369</v>
      </c>
      <c r="B26" s="21" t="s">
        <v>9874</v>
      </c>
      <c r="C26" s="21" t="s">
        <v>8</v>
      </c>
      <c r="D26" s="21" t="s">
        <v>9871</v>
      </c>
      <c r="E26" s="21" t="s">
        <v>9</v>
      </c>
      <c r="F26" s="5812">
        <v>5</v>
      </c>
      <c r="G26" s="5813">
        <v>0.20833333333333334</v>
      </c>
      <c r="H26" s="21" t="s">
        <v>54</v>
      </c>
      <c r="I26" s="21" t="s">
        <v>55</v>
      </c>
      <c r="J26" s="21" t="s">
        <v>9875</v>
      </c>
      <c r="K26" s="5814" t="s">
        <v>9876</v>
      </c>
    </row>
    <row r="27" spans="1:11">
      <c r="A27" s="21" t="s">
        <v>3783</v>
      </c>
      <c r="B27" s="21" t="s">
        <v>9877</v>
      </c>
      <c r="C27" s="21" t="s">
        <v>22</v>
      </c>
      <c r="D27" s="21" t="s">
        <v>9871</v>
      </c>
      <c r="E27" s="21" t="s">
        <v>9</v>
      </c>
      <c r="F27" s="5812">
        <v>5</v>
      </c>
      <c r="G27" s="5813">
        <v>0.20833333333333334</v>
      </c>
      <c r="H27" s="21" t="s">
        <v>54</v>
      </c>
      <c r="I27" s="21" t="s">
        <v>194</v>
      </c>
      <c r="J27" s="21" t="s">
        <v>9878</v>
      </c>
      <c r="K27" s="5814" t="s">
        <v>9879</v>
      </c>
    </row>
    <row r="28" spans="1:11">
      <c r="A28" s="21" t="s">
        <v>3173</v>
      </c>
      <c r="B28" s="21" t="s">
        <v>9880</v>
      </c>
      <c r="C28" s="21" t="s">
        <v>22</v>
      </c>
      <c r="D28" s="21" t="s">
        <v>9871</v>
      </c>
      <c r="E28" s="21" t="s">
        <v>46</v>
      </c>
      <c r="F28" s="5812">
        <v>1</v>
      </c>
      <c r="G28" s="5813">
        <v>3.5416666666666666E-2</v>
      </c>
      <c r="H28" s="21" t="s">
        <v>54</v>
      </c>
      <c r="I28" s="21" t="s">
        <v>47</v>
      </c>
      <c r="J28" s="21" t="s">
        <v>97</v>
      </c>
      <c r="K28" s="5814" t="s">
        <v>9881</v>
      </c>
    </row>
    <row r="29" spans="1:11">
      <c r="A29" s="21" t="s">
        <v>2205</v>
      </c>
      <c r="B29" s="21" t="s">
        <v>9882</v>
      </c>
      <c r="C29" s="21" t="s">
        <v>8</v>
      </c>
      <c r="D29" s="21" t="s">
        <v>9871</v>
      </c>
      <c r="E29" s="21" t="s">
        <v>46</v>
      </c>
      <c r="F29" s="5812">
        <v>1</v>
      </c>
      <c r="G29" s="5813">
        <v>0.1423611111111111</v>
      </c>
      <c r="H29" s="21" t="s">
        <v>54</v>
      </c>
      <c r="I29" s="21" t="s">
        <v>55</v>
      </c>
      <c r="J29" s="21" t="s">
        <v>127</v>
      </c>
      <c r="K29" s="5814" t="s">
        <v>9883</v>
      </c>
    </row>
    <row r="30" spans="1:11">
      <c r="A30" s="21" t="s">
        <v>3537</v>
      </c>
      <c r="B30" s="21" t="s">
        <v>9884</v>
      </c>
      <c r="C30" s="21" t="s">
        <v>8</v>
      </c>
      <c r="D30" s="21" t="s">
        <v>9871</v>
      </c>
      <c r="E30" s="21" t="s">
        <v>46</v>
      </c>
      <c r="F30" s="5812">
        <v>3</v>
      </c>
      <c r="G30" s="5813">
        <v>8.0555555555555561E-2</v>
      </c>
      <c r="H30" s="21" t="s">
        <v>54</v>
      </c>
      <c r="I30" s="21" t="s">
        <v>89</v>
      </c>
      <c r="J30" s="21" t="s">
        <v>1203</v>
      </c>
      <c r="K30" s="5814" t="s">
        <v>9885</v>
      </c>
    </row>
    <row r="31" spans="1:11">
      <c r="A31" s="21" t="s">
        <v>2123</v>
      </c>
      <c r="B31" s="21" t="s">
        <v>9886</v>
      </c>
      <c r="C31" s="21" t="s">
        <v>8</v>
      </c>
      <c r="D31" s="21" t="s">
        <v>9871</v>
      </c>
      <c r="E31" s="21" t="s">
        <v>61</v>
      </c>
      <c r="F31" s="5812">
        <v>1</v>
      </c>
      <c r="G31" s="5813">
        <v>8.5416666666666669E-2</v>
      </c>
      <c r="H31" s="21" t="s">
        <v>54</v>
      </c>
      <c r="I31" s="21" t="s">
        <v>96</v>
      </c>
      <c r="J31" s="21" t="s">
        <v>3360</v>
      </c>
      <c r="K31" s="5814" t="s">
        <v>9887</v>
      </c>
    </row>
    <row r="32" spans="1:11">
      <c r="A32" s="21" t="s">
        <v>3002</v>
      </c>
      <c r="B32" s="21" t="s">
        <v>1302</v>
      </c>
      <c r="C32" s="21" t="s">
        <v>22</v>
      </c>
      <c r="D32" s="21" t="s">
        <v>9986</v>
      </c>
      <c r="E32" s="21" t="s">
        <v>61</v>
      </c>
      <c r="F32" s="5812">
        <v>2</v>
      </c>
      <c r="G32" s="5813">
        <v>9.0972222222222218E-2</v>
      </c>
      <c r="H32" s="21" t="s">
        <v>2081</v>
      </c>
      <c r="I32" s="21" t="s">
        <v>2872</v>
      </c>
      <c r="J32" s="21" t="s">
        <v>67</v>
      </c>
      <c r="K32" s="5814" t="s">
        <v>9987</v>
      </c>
    </row>
  </sheetData>
  <hyperlinks>
    <hyperlink ref="K4" r:id="rId1" xr:uid="{00000000-0004-0000-1800-000000000000}"/>
    <hyperlink ref="K5" r:id="rId2" xr:uid="{00000000-0004-0000-1800-000001000000}"/>
    <hyperlink ref="K6" r:id="rId3" xr:uid="{00000000-0004-0000-1800-000002000000}"/>
    <hyperlink ref="K7" r:id="rId4" xr:uid="{00000000-0004-0000-1800-000003000000}"/>
    <hyperlink ref="K8" r:id="rId5" xr:uid="{00000000-0004-0000-1800-000004000000}"/>
    <hyperlink ref="K9" r:id="rId6" xr:uid="{00000000-0004-0000-1800-000005000000}"/>
    <hyperlink ref="K10" r:id="rId7" xr:uid="{00000000-0004-0000-1800-000006000000}"/>
    <hyperlink ref="K11" r:id="rId8" xr:uid="{00000000-0004-0000-1800-000007000000}"/>
    <hyperlink ref="K12" r:id="rId9" xr:uid="{00000000-0004-0000-1800-000008000000}"/>
    <hyperlink ref="K13" r:id="rId10" xr:uid="{00000000-0004-0000-1800-000009000000}"/>
    <hyperlink ref="K14" r:id="rId11" xr:uid="{00000000-0004-0000-1800-00000A000000}"/>
    <hyperlink ref="K15" r:id="rId12" xr:uid="{00000000-0004-0000-1800-00000B000000}"/>
    <hyperlink ref="K16" r:id="rId13" xr:uid="{00000000-0004-0000-1800-00000C000000}"/>
    <hyperlink ref="K17" r:id="rId14" xr:uid="{00000000-0004-0000-1800-00000D000000}"/>
    <hyperlink ref="K18" r:id="rId15" xr:uid="{00000000-0004-0000-1800-00000E000000}"/>
    <hyperlink ref="K19" r:id="rId16" xr:uid="{00000000-0004-0000-1800-00000F000000}"/>
    <hyperlink ref="K20" r:id="rId17" xr:uid="{00000000-0004-0000-1800-000010000000}"/>
    <hyperlink ref="K21" r:id="rId18" xr:uid="{00000000-0004-0000-1800-000011000000}"/>
    <hyperlink ref="K22" r:id="rId19" xr:uid="{00000000-0004-0000-1800-000012000000}"/>
    <hyperlink ref="K23" r:id="rId20" xr:uid="{00000000-0004-0000-1800-000013000000}"/>
    <hyperlink ref="K24" r:id="rId21" xr:uid="{00000000-0004-0000-1800-000014000000}"/>
    <hyperlink ref="K25" r:id="rId22" xr:uid="{00000000-0004-0000-1800-000015000000}"/>
    <hyperlink ref="K26" r:id="rId23" xr:uid="{00000000-0004-0000-1800-000016000000}"/>
    <hyperlink ref="K27" r:id="rId24" xr:uid="{00000000-0004-0000-1800-000017000000}"/>
    <hyperlink ref="K28" r:id="rId25" xr:uid="{00000000-0004-0000-1800-000018000000}"/>
    <hyperlink ref="K29" r:id="rId26" xr:uid="{00000000-0004-0000-1800-000019000000}"/>
    <hyperlink ref="K30" r:id="rId27" xr:uid="{00000000-0004-0000-1800-00001A000000}"/>
    <hyperlink ref="K31" r:id="rId28" xr:uid="{00000000-0004-0000-1800-00001B000000}"/>
    <hyperlink ref="K32" r:id="rId29" xr:uid="{00000000-0004-0000-1800-00001C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BC165"/>
  <sheetViews>
    <sheetView workbookViewId="0"/>
  </sheetViews>
  <sheetFormatPr defaultColWidth="12.5703125" defaultRowHeight="15.75" customHeight="1"/>
  <cols>
    <col min="4" max="4" width="33.140625" customWidth="1"/>
  </cols>
  <sheetData>
    <row r="1" spans="1:55">
      <c r="A1" s="5815" t="s">
        <v>13059</v>
      </c>
      <c r="B1" s="5815" t="s">
        <v>13060</v>
      </c>
      <c r="C1" s="5815" t="s">
        <v>13063</v>
      </c>
      <c r="D1" s="5815" t="s">
        <v>13064</v>
      </c>
      <c r="E1" s="5815" t="s">
        <v>13065</v>
      </c>
      <c r="F1" s="5815" t="s">
        <v>13060</v>
      </c>
      <c r="G1" s="5815" t="s">
        <v>1523</v>
      </c>
      <c r="H1" s="5815" t="s">
        <v>46</v>
      </c>
      <c r="I1" s="5815" t="s">
        <v>1522</v>
      </c>
      <c r="J1" s="5815" t="s">
        <v>13062</v>
      </c>
      <c r="K1" s="5815"/>
      <c r="L1" s="5815"/>
      <c r="M1" s="5815"/>
      <c r="N1" s="5815"/>
      <c r="O1" s="5815"/>
      <c r="P1" s="5815"/>
      <c r="Q1" s="5815"/>
      <c r="R1" s="5815"/>
      <c r="S1" s="5815"/>
      <c r="T1" s="5816"/>
      <c r="U1" s="5815"/>
      <c r="V1" s="5815"/>
      <c r="W1" s="5815"/>
      <c r="X1" s="5815"/>
      <c r="Y1" s="5815"/>
      <c r="Z1" s="5815"/>
      <c r="AA1" s="5815"/>
      <c r="AB1" s="5815"/>
      <c r="AC1" s="5815"/>
      <c r="AD1" s="5815"/>
      <c r="AE1" s="5815"/>
      <c r="AF1" s="5815"/>
      <c r="AG1" s="5815"/>
      <c r="AH1" s="5815"/>
      <c r="AI1" s="5815"/>
      <c r="AJ1" s="5815"/>
      <c r="AK1" s="5815"/>
      <c r="AL1" s="5815"/>
      <c r="AM1" s="5815"/>
      <c r="AN1" s="5815"/>
      <c r="AO1" s="5815"/>
      <c r="AP1" s="5815"/>
      <c r="AQ1" s="5815"/>
      <c r="AR1" s="5815"/>
      <c r="AS1" s="5815"/>
      <c r="AT1" s="5815"/>
      <c r="AU1" s="5815"/>
      <c r="AV1" s="5815"/>
      <c r="AW1" s="5815"/>
      <c r="AX1" s="5815"/>
      <c r="AY1" s="5815"/>
      <c r="AZ1" s="5815"/>
      <c r="BA1" s="5815"/>
      <c r="BB1" s="5815"/>
      <c r="BC1" s="620"/>
    </row>
    <row r="2" spans="1:55">
      <c r="A2" s="5817">
        <f>COUNTA(A4:A999)</f>
        <v>162</v>
      </c>
      <c r="B2" s="5822">
        <f>COUNTIF($E$3:$E$800, "Decision*")</f>
        <v>103</v>
      </c>
      <c r="C2" s="5818">
        <f>SUM(B2/$A$2)</f>
        <v>0.63580246913580252</v>
      </c>
      <c r="D2" s="5818">
        <f t="shared" ref="D2:E2" si="0">SUM(G2/$A$2)</f>
        <v>0.1728395061728395</v>
      </c>
      <c r="E2" s="5818">
        <f t="shared" si="0"/>
        <v>0.19135802469135801</v>
      </c>
      <c r="F2" s="5822">
        <f>COUNTIF($E$3:$E$999, "Decision*")</f>
        <v>103</v>
      </c>
      <c r="G2" s="5823">
        <f>COUNTIF($E$3:$E$999, "Submission")</f>
        <v>28</v>
      </c>
      <c r="H2" s="5817">
        <f>COUNTIF($E$3:$E$1000, "KO/TKO")</f>
        <v>31</v>
      </c>
      <c r="I2" s="5823">
        <f>COUNTIF($E$3:$E$999, "Decision - Unanimous")</f>
        <v>84</v>
      </c>
      <c r="J2" s="5819">
        <f>COUNTIF($E$3:$E$999, "Decision - Split")</f>
        <v>17</v>
      </c>
      <c r="K2" s="5824"/>
      <c r="L2" s="5820"/>
      <c r="M2" s="5820"/>
      <c r="N2" s="5820"/>
      <c r="O2" s="5820"/>
      <c r="P2" s="5820"/>
      <c r="Q2" s="5820"/>
      <c r="R2" s="5820"/>
      <c r="S2" s="5820"/>
      <c r="T2" s="5821"/>
      <c r="U2" s="5820"/>
      <c r="V2" s="5820"/>
      <c r="W2" s="5820"/>
      <c r="X2" s="5820"/>
      <c r="Y2" s="5820"/>
      <c r="Z2" s="5820"/>
      <c r="AA2" s="5820"/>
      <c r="AB2" s="5820"/>
      <c r="AC2" s="5820"/>
      <c r="AD2" s="5820"/>
      <c r="AE2" s="5820"/>
      <c r="AF2" s="5820"/>
      <c r="AG2" s="5820"/>
      <c r="AH2" s="5820"/>
      <c r="AI2" s="5820"/>
      <c r="AJ2" s="5820"/>
      <c r="AK2" s="5820"/>
      <c r="AL2" s="5820"/>
      <c r="AM2" s="5820"/>
      <c r="AN2" s="5820"/>
      <c r="AO2" s="5820"/>
      <c r="AP2" s="5820"/>
      <c r="AQ2" s="5820"/>
      <c r="AR2" s="5820"/>
      <c r="AS2" s="5820"/>
      <c r="AT2" s="5820"/>
      <c r="AU2" s="5820"/>
      <c r="AV2" s="5820"/>
      <c r="AW2" s="5820"/>
      <c r="AX2" s="5820"/>
      <c r="AY2" s="5820"/>
      <c r="AZ2" s="5820"/>
      <c r="BA2" s="5820"/>
      <c r="BB2" s="5820"/>
      <c r="BC2" s="620"/>
    </row>
    <row r="3" spans="1:55">
      <c r="A3" s="21" t="s">
        <v>2034</v>
      </c>
      <c r="B3" s="21" t="s">
        <v>2035</v>
      </c>
      <c r="C3" s="21" t="s">
        <v>2036</v>
      </c>
      <c r="D3" s="21" t="s">
        <v>2037</v>
      </c>
      <c r="E3" s="21" t="s">
        <v>2038</v>
      </c>
      <c r="F3" s="21" t="s">
        <v>2039</v>
      </c>
      <c r="G3" s="21" t="s">
        <v>2040</v>
      </c>
      <c r="H3" s="21" t="s">
        <v>2041</v>
      </c>
      <c r="I3" s="21" t="s">
        <v>2042</v>
      </c>
      <c r="J3" s="21" t="s">
        <v>2043</v>
      </c>
      <c r="K3" s="21" t="s">
        <v>2044</v>
      </c>
    </row>
    <row r="4" spans="1:55">
      <c r="A4" s="21" t="s">
        <v>2096</v>
      </c>
      <c r="B4" s="21" t="s">
        <v>11496</v>
      </c>
      <c r="C4" s="21" t="s">
        <v>8</v>
      </c>
      <c r="D4" s="21" t="s">
        <v>1288</v>
      </c>
      <c r="E4" s="21" t="s">
        <v>710</v>
      </c>
      <c r="F4" s="5812">
        <v>3</v>
      </c>
      <c r="G4" s="5813">
        <v>0.20833333333333334</v>
      </c>
      <c r="H4" s="21" t="s">
        <v>10</v>
      </c>
      <c r="I4" s="21" t="s">
        <v>2313</v>
      </c>
      <c r="J4" s="21" t="s">
        <v>11497</v>
      </c>
      <c r="K4" s="5814" t="s">
        <v>11498</v>
      </c>
    </row>
    <row r="5" spans="1:55">
      <c r="A5" s="21" t="s">
        <v>2788</v>
      </c>
      <c r="B5" s="21" t="s">
        <v>11499</v>
      </c>
      <c r="C5" s="21" t="s">
        <v>709</v>
      </c>
      <c r="D5" s="21" t="s">
        <v>1288</v>
      </c>
      <c r="E5" s="21" t="s">
        <v>710</v>
      </c>
      <c r="F5" s="5812">
        <v>3</v>
      </c>
      <c r="G5" s="5813">
        <v>0.20833333333333334</v>
      </c>
      <c r="H5" s="21" t="s">
        <v>10</v>
      </c>
      <c r="I5" s="21" t="s">
        <v>2747</v>
      </c>
      <c r="J5" s="21" t="s">
        <v>11500</v>
      </c>
      <c r="K5" s="5814" t="s">
        <v>11501</v>
      </c>
    </row>
    <row r="6" spans="1:55">
      <c r="A6" s="21" t="s">
        <v>2307</v>
      </c>
      <c r="B6" s="21" t="s">
        <v>11502</v>
      </c>
      <c r="C6" s="21" t="s">
        <v>22</v>
      </c>
      <c r="D6" s="21" t="s">
        <v>1288</v>
      </c>
      <c r="E6" s="21" t="s">
        <v>193</v>
      </c>
      <c r="F6" s="5812">
        <v>3</v>
      </c>
      <c r="G6" s="5813">
        <v>0.20833333333333334</v>
      </c>
      <c r="H6" s="21" t="s">
        <v>10</v>
      </c>
      <c r="I6" s="21" t="s">
        <v>73</v>
      </c>
      <c r="J6" s="21" t="s">
        <v>11503</v>
      </c>
      <c r="K6" s="5814" t="s">
        <v>11504</v>
      </c>
    </row>
    <row r="7" spans="1:55">
      <c r="A7" s="21" t="s">
        <v>2334</v>
      </c>
      <c r="B7" s="21" t="s">
        <v>11505</v>
      </c>
      <c r="C7" s="21" t="s">
        <v>8</v>
      </c>
      <c r="D7" s="21" t="s">
        <v>1288</v>
      </c>
      <c r="E7" s="21" t="s">
        <v>193</v>
      </c>
      <c r="F7" s="5812">
        <v>3</v>
      </c>
      <c r="G7" s="5813">
        <v>0.20833333333333334</v>
      </c>
      <c r="H7" s="21" t="s">
        <v>10</v>
      </c>
      <c r="I7" s="21" t="s">
        <v>6824</v>
      </c>
      <c r="J7" s="21" t="s">
        <v>11506</v>
      </c>
      <c r="K7" s="5814" t="s">
        <v>11507</v>
      </c>
    </row>
    <row r="8" spans="1:55">
      <c r="A8" s="21" t="s">
        <v>2358</v>
      </c>
      <c r="B8" s="21" t="s">
        <v>11508</v>
      </c>
      <c r="C8" s="21" t="s">
        <v>22</v>
      </c>
      <c r="D8" s="21" t="s">
        <v>1288</v>
      </c>
      <c r="E8" s="21" t="s">
        <v>193</v>
      </c>
      <c r="F8" s="5812">
        <v>3</v>
      </c>
      <c r="G8" s="5813">
        <v>0.20833333333333334</v>
      </c>
      <c r="H8" s="21" t="s">
        <v>10</v>
      </c>
      <c r="I8" s="21" t="s">
        <v>23</v>
      </c>
      <c r="J8" s="21" t="s">
        <v>11509</v>
      </c>
      <c r="K8" s="5814" t="s">
        <v>11510</v>
      </c>
    </row>
    <row r="9" spans="1:55">
      <c r="A9" s="21" t="s">
        <v>5390</v>
      </c>
      <c r="B9" s="21" t="s">
        <v>11511</v>
      </c>
      <c r="C9" s="21" t="s">
        <v>8</v>
      </c>
      <c r="D9" s="21" t="s">
        <v>1288</v>
      </c>
      <c r="E9" s="21" t="s">
        <v>193</v>
      </c>
      <c r="F9" s="5812">
        <v>3</v>
      </c>
      <c r="G9" s="5813">
        <v>0.20833333333333334</v>
      </c>
      <c r="H9" s="21" t="s">
        <v>10</v>
      </c>
      <c r="I9" s="21" t="s">
        <v>89</v>
      </c>
      <c r="J9" s="21" t="s">
        <v>11512</v>
      </c>
      <c r="K9" s="5814" t="s">
        <v>11513</v>
      </c>
    </row>
    <row r="10" spans="1:55">
      <c r="A10" s="21" t="s">
        <v>2579</v>
      </c>
      <c r="B10" s="21" t="s">
        <v>11514</v>
      </c>
      <c r="C10" s="21" t="s">
        <v>8</v>
      </c>
      <c r="D10" s="21" t="s">
        <v>1288</v>
      </c>
      <c r="E10" s="21" t="s">
        <v>193</v>
      </c>
      <c r="F10" s="5812">
        <v>3</v>
      </c>
      <c r="G10" s="5813">
        <v>0.20833333333333334</v>
      </c>
      <c r="H10" s="21" t="s">
        <v>10</v>
      </c>
      <c r="I10" s="21" t="s">
        <v>2153</v>
      </c>
      <c r="J10" s="21" t="s">
        <v>11515</v>
      </c>
      <c r="K10" s="5814" t="s">
        <v>11516</v>
      </c>
    </row>
    <row r="11" spans="1:55">
      <c r="A11" s="21" t="s">
        <v>2179</v>
      </c>
      <c r="B11" s="21" t="s">
        <v>11517</v>
      </c>
      <c r="C11" s="21" t="s">
        <v>8</v>
      </c>
      <c r="D11" s="21" t="s">
        <v>1288</v>
      </c>
      <c r="E11" s="21" t="s">
        <v>193</v>
      </c>
      <c r="F11" s="5812">
        <v>3</v>
      </c>
      <c r="G11" s="5813">
        <v>0.20833333333333334</v>
      </c>
      <c r="H11" s="21" t="s">
        <v>10</v>
      </c>
      <c r="I11" s="21" t="s">
        <v>2181</v>
      </c>
      <c r="J11" s="21" t="s">
        <v>11518</v>
      </c>
      <c r="K11" s="5814" t="s">
        <v>11519</v>
      </c>
    </row>
    <row r="12" spans="1:55">
      <c r="A12" s="21" t="s">
        <v>2687</v>
      </c>
      <c r="B12" s="21" t="s">
        <v>11520</v>
      </c>
      <c r="C12" s="21" t="s">
        <v>8</v>
      </c>
      <c r="D12" s="21" t="s">
        <v>1288</v>
      </c>
      <c r="E12" s="21" t="s">
        <v>193</v>
      </c>
      <c r="F12" s="5812">
        <v>3</v>
      </c>
      <c r="G12" s="5813">
        <v>0.20833333333333334</v>
      </c>
      <c r="H12" s="21" t="s">
        <v>10</v>
      </c>
      <c r="I12" s="21" t="s">
        <v>226</v>
      </c>
      <c r="J12" s="21" t="s">
        <v>4957</v>
      </c>
      <c r="K12" s="5814" t="s">
        <v>11521</v>
      </c>
    </row>
    <row r="13" spans="1:55">
      <c r="A13" s="21" t="s">
        <v>2205</v>
      </c>
      <c r="B13" s="21" t="s">
        <v>11522</v>
      </c>
      <c r="C13" s="21" t="s">
        <v>22</v>
      </c>
      <c r="D13" s="21" t="s">
        <v>1288</v>
      </c>
      <c r="E13" s="21" t="s">
        <v>193</v>
      </c>
      <c r="F13" s="5812">
        <v>3</v>
      </c>
      <c r="G13" s="5813">
        <v>0.20833333333333334</v>
      </c>
      <c r="H13" s="21" t="s">
        <v>10</v>
      </c>
      <c r="I13" s="21" t="s">
        <v>96</v>
      </c>
      <c r="J13" s="21" t="s">
        <v>11523</v>
      </c>
      <c r="K13" s="5814" t="s">
        <v>11524</v>
      </c>
    </row>
    <row r="14" spans="1:55">
      <c r="A14" s="21" t="s">
        <v>4568</v>
      </c>
      <c r="B14" s="21" t="s">
        <v>11525</v>
      </c>
      <c r="C14" s="21" t="s">
        <v>8</v>
      </c>
      <c r="D14" s="21" t="s">
        <v>1288</v>
      </c>
      <c r="E14" s="21" t="s">
        <v>193</v>
      </c>
      <c r="F14" s="5812">
        <v>3</v>
      </c>
      <c r="G14" s="5813">
        <v>0.20833333333333334</v>
      </c>
      <c r="H14" s="21" t="s">
        <v>10</v>
      </c>
      <c r="I14" s="21" t="s">
        <v>194</v>
      </c>
      <c r="J14" s="21" t="s">
        <v>11526</v>
      </c>
      <c r="K14" s="5814" t="s">
        <v>11527</v>
      </c>
    </row>
    <row r="15" spans="1:55">
      <c r="A15" s="21" t="s">
        <v>3541</v>
      </c>
      <c r="B15" s="21" t="s">
        <v>11528</v>
      </c>
      <c r="C15" s="21" t="s">
        <v>8</v>
      </c>
      <c r="D15" s="21" t="s">
        <v>1288</v>
      </c>
      <c r="E15" s="21" t="s">
        <v>193</v>
      </c>
      <c r="F15" s="5812">
        <v>3</v>
      </c>
      <c r="G15" s="5813">
        <v>0.20833333333333334</v>
      </c>
      <c r="H15" s="21" t="s">
        <v>10</v>
      </c>
      <c r="I15" s="21" t="s">
        <v>2247</v>
      </c>
      <c r="J15" s="21" t="s">
        <v>11529</v>
      </c>
      <c r="K15" s="5814" t="s">
        <v>11530</v>
      </c>
    </row>
    <row r="16" spans="1:55">
      <c r="A16" s="21" t="s">
        <v>2295</v>
      </c>
      <c r="B16" s="21" t="s">
        <v>11531</v>
      </c>
      <c r="C16" s="21" t="s">
        <v>22</v>
      </c>
      <c r="D16" s="21" t="s">
        <v>1288</v>
      </c>
      <c r="E16" s="21" t="s">
        <v>193</v>
      </c>
      <c r="F16" s="5812">
        <v>3</v>
      </c>
      <c r="G16" s="5813">
        <v>0.20833333333333334</v>
      </c>
      <c r="H16" s="21" t="s">
        <v>10</v>
      </c>
      <c r="I16" s="21" t="s">
        <v>226</v>
      </c>
      <c r="J16" s="21" t="s">
        <v>11532</v>
      </c>
      <c r="K16" s="5814" t="s">
        <v>11533</v>
      </c>
    </row>
    <row r="17" spans="1:11">
      <c r="A17" s="21" t="s">
        <v>2824</v>
      </c>
      <c r="B17" s="21" t="s">
        <v>11534</v>
      </c>
      <c r="C17" s="21" t="s">
        <v>22</v>
      </c>
      <c r="D17" s="21" t="s">
        <v>1288</v>
      </c>
      <c r="E17" s="21" t="s">
        <v>193</v>
      </c>
      <c r="F17" s="5812">
        <v>3</v>
      </c>
      <c r="G17" s="5813">
        <v>0.20833333333333334</v>
      </c>
      <c r="H17" s="21" t="s">
        <v>10</v>
      </c>
      <c r="I17" s="21" t="s">
        <v>47</v>
      </c>
      <c r="J17" s="21" t="s">
        <v>11535</v>
      </c>
      <c r="K17" s="5814" t="s">
        <v>11536</v>
      </c>
    </row>
    <row r="18" spans="1:11">
      <c r="A18" s="21" t="s">
        <v>2921</v>
      </c>
      <c r="B18" s="21" t="s">
        <v>11537</v>
      </c>
      <c r="C18" s="21" t="s">
        <v>22</v>
      </c>
      <c r="D18" s="21" t="s">
        <v>1288</v>
      </c>
      <c r="E18" s="21" t="s">
        <v>193</v>
      </c>
      <c r="F18" s="5812">
        <v>3</v>
      </c>
      <c r="G18" s="5813">
        <v>0.20833333333333334</v>
      </c>
      <c r="H18" s="21" t="s">
        <v>10</v>
      </c>
      <c r="I18" s="21" t="s">
        <v>2923</v>
      </c>
      <c r="J18" s="21" t="s">
        <v>11538</v>
      </c>
      <c r="K18" s="5814" t="s">
        <v>11539</v>
      </c>
    </row>
    <row r="19" spans="1:11">
      <c r="A19" s="21" t="s">
        <v>3565</v>
      </c>
      <c r="B19" s="21" t="s">
        <v>11540</v>
      </c>
      <c r="C19" s="21" t="s">
        <v>22</v>
      </c>
      <c r="D19" s="21" t="s">
        <v>1288</v>
      </c>
      <c r="E19" s="21" t="s">
        <v>193</v>
      </c>
      <c r="F19" s="5812">
        <v>3</v>
      </c>
      <c r="G19" s="5813">
        <v>0.20833333333333334</v>
      </c>
      <c r="H19" s="21" t="s">
        <v>10</v>
      </c>
      <c r="I19" s="21" t="s">
        <v>2632</v>
      </c>
      <c r="J19" s="21" t="s">
        <v>11541</v>
      </c>
      <c r="K19" s="5814" t="s">
        <v>11542</v>
      </c>
    </row>
    <row r="20" spans="1:11">
      <c r="A20" s="21" t="s">
        <v>3630</v>
      </c>
      <c r="B20" s="21" t="s">
        <v>11543</v>
      </c>
      <c r="C20" s="21" t="s">
        <v>22</v>
      </c>
      <c r="D20" s="21" t="s">
        <v>1288</v>
      </c>
      <c r="E20" s="21" t="s">
        <v>193</v>
      </c>
      <c r="F20" s="5812">
        <v>3</v>
      </c>
      <c r="G20" s="5813">
        <v>0.20833333333333334</v>
      </c>
      <c r="H20" s="21" t="s">
        <v>10</v>
      </c>
      <c r="I20" s="21" t="s">
        <v>226</v>
      </c>
      <c r="J20" s="21" t="s">
        <v>11544</v>
      </c>
      <c r="K20" s="5814" t="s">
        <v>11545</v>
      </c>
    </row>
    <row r="21" spans="1:11">
      <c r="A21" s="21" t="s">
        <v>2424</v>
      </c>
      <c r="B21" s="21" t="s">
        <v>11546</v>
      </c>
      <c r="C21" s="21" t="s">
        <v>22</v>
      </c>
      <c r="D21" s="21" t="s">
        <v>1288</v>
      </c>
      <c r="E21" s="21" t="s">
        <v>193</v>
      </c>
      <c r="F21" s="5812">
        <v>5</v>
      </c>
      <c r="G21" s="5813">
        <v>0.20833333333333334</v>
      </c>
      <c r="H21" s="21" t="s">
        <v>54</v>
      </c>
      <c r="I21" s="21" t="s">
        <v>96</v>
      </c>
      <c r="J21" s="21" t="s">
        <v>11547</v>
      </c>
      <c r="K21" s="5814" t="s">
        <v>11548</v>
      </c>
    </row>
    <row r="22" spans="1:11">
      <c r="A22" s="21" t="s">
        <v>79</v>
      </c>
      <c r="B22" s="21" t="s">
        <v>1287</v>
      </c>
      <c r="C22" s="21" t="s">
        <v>8</v>
      </c>
      <c r="D22" s="21" t="s">
        <v>1288</v>
      </c>
      <c r="E22" s="21" t="s">
        <v>9</v>
      </c>
      <c r="F22" s="5812">
        <v>3</v>
      </c>
      <c r="G22" s="5813">
        <v>0.20833333333333334</v>
      </c>
      <c r="H22" s="21" t="s">
        <v>10</v>
      </c>
      <c r="I22" s="21" t="s">
        <v>11</v>
      </c>
      <c r="J22" s="21" t="s">
        <v>1289</v>
      </c>
      <c r="K22" s="5814" t="s">
        <v>1290</v>
      </c>
    </row>
    <row r="23" spans="1:11">
      <c r="A23" s="21" t="s">
        <v>125</v>
      </c>
      <c r="B23" s="21" t="s">
        <v>1294</v>
      </c>
      <c r="C23" s="21" t="s">
        <v>22</v>
      </c>
      <c r="D23" s="21" t="s">
        <v>1288</v>
      </c>
      <c r="E23" s="21" t="s">
        <v>9</v>
      </c>
      <c r="F23" s="5812">
        <v>3</v>
      </c>
      <c r="G23" s="5813">
        <v>0.20833333333333334</v>
      </c>
      <c r="H23" s="21" t="s">
        <v>10</v>
      </c>
      <c r="I23" s="21" t="s">
        <v>96</v>
      </c>
      <c r="J23" s="21" t="s">
        <v>1295</v>
      </c>
      <c r="K23" s="5814" t="s">
        <v>1296</v>
      </c>
    </row>
    <row r="24" spans="1:11">
      <c r="A24" s="21" t="s">
        <v>20</v>
      </c>
      <c r="B24" s="21" t="s">
        <v>1307</v>
      </c>
      <c r="C24" s="21" t="s">
        <v>22</v>
      </c>
      <c r="D24" s="21" t="s">
        <v>1288</v>
      </c>
      <c r="E24" s="21" t="s">
        <v>9</v>
      </c>
      <c r="F24" s="5812">
        <v>3</v>
      </c>
      <c r="G24" s="5813">
        <v>0.20833333333333334</v>
      </c>
      <c r="H24" s="21" t="s">
        <v>10</v>
      </c>
      <c r="I24" s="21" t="s">
        <v>23</v>
      </c>
      <c r="J24" s="21" t="s">
        <v>1218</v>
      </c>
      <c r="K24" s="5814" t="s">
        <v>1308</v>
      </c>
    </row>
    <row r="25" spans="1:11">
      <c r="A25" s="21" t="s">
        <v>44</v>
      </c>
      <c r="B25" s="21" t="s">
        <v>1330</v>
      </c>
      <c r="C25" s="21" t="s">
        <v>8</v>
      </c>
      <c r="D25" s="21" t="s">
        <v>1288</v>
      </c>
      <c r="E25" s="21" t="s">
        <v>9</v>
      </c>
      <c r="F25" s="5812">
        <v>3</v>
      </c>
      <c r="G25" s="5813">
        <v>0.20833333333333334</v>
      </c>
      <c r="H25" s="21" t="s">
        <v>10</v>
      </c>
      <c r="I25" s="21" t="s">
        <v>96</v>
      </c>
      <c r="J25" s="21" t="s">
        <v>1331</v>
      </c>
      <c r="K25" s="5814" t="s">
        <v>1332</v>
      </c>
    </row>
    <row r="26" spans="1:11">
      <c r="A26" s="21" t="s">
        <v>52</v>
      </c>
      <c r="B26" s="21" t="s">
        <v>1335</v>
      </c>
      <c r="C26" s="21" t="s">
        <v>8</v>
      </c>
      <c r="D26" s="21" t="s">
        <v>1288</v>
      </c>
      <c r="E26" s="21" t="s">
        <v>9</v>
      </c>
      <c r="F26" s="5812">
        <v>3</v>
      </c>
      <c r="G26" s="5813">
        <v>0.20833333333333334</v>
      </c>
      <c r="H26" s="21" t="s">
        <v>10</v>
      </c>
      <c r="I26" s="21" t="s">
        <v>55</v>
      </c>
      <c r="J26" s="21" t="s">
        <v>1336</v>
      </c>
      <c r="K26" s="5814" t="s">
        <v>1337</v>
      </c>
    </row>
    <row r="27" spans="1:11">
      <c r="A27" s="21" t="s">
        <v>65</v>
      </c>
      <c r="B27" s="21" t="s">
        <v>1340</v>
      </c>
      <c r="C27" s="21" t="s">
        <v>22</v>
      </c>
      <c r="D27" s="21" t="s">
        <v>1288</v>
      </c>
      <c r="E27" s="21" t="s">
        <v>9</v>
      </c>
      <c r="F27" s="5812">
        <v>3</v>
      </c>
      <c r="G27" s="5813">
        <v>0.20833333333333334</v>
      </c>
      <c r="H27" s="21" t="s">
        <v>10</v>
      </c>
      <c r="I27" s="21" t="s">
        <v>23</v>
      </c>
      <c r="J27" s="21" t="s">
        <v>1341</v>
      </c>
      <c r="K27" s="5814" t="s">
        <v>1342</v>
      </c>
    </row>
    <row r="28" spans="1:11">
      <c r="A28" s="21" t="s">
        <v>71</v>
      </c>
      <c r="B28" s="21" t="s">
        <v>1345</v>
      </c>
      <c r="C28" s="21" t="s">
        <v>8</v>
      </c>
      <c r="D28" s="21" t="s">
        <v>1288</v>
      </c>
      <c r="E28" s="21" t="s">
        <v>9</v>
      </c>
      <c r="F28" s="5812">
        <v>3</v>
      </c>
      <c r="G28" s="5813">
        <v>0.20833333333333334</v>
      </c>
      <c r="H28" s="21" t="s">
        <v>10</v>
      </c>
      <c r="I28" s="21" t="s">
        <v>23</v>
      </c>
      <c r="J28" s="21" t="s">
        <v>1346</v>
      </c>
      <c r="K28" s="5814" t="s">
        <v>11549</v>
      </c>
    </row>
    <row r="29" spans="1:11">
      <c r="A29" s="21" t="s">
        <v>71</v>
      </c>
      <c r="B29" s="21" t="s">
        <v>1315</v>
      </c>
      <c r="C29" s="21" t="s">
        <v>22</v>
      </c>
      <c r="D29" s="21" t="s">
        <v>1288</v>
      </c>
      <c r="E29" s="21" t="s">
        <v>9</v>
      </c>
      <c r="F29" s="5812">
        <v>3</v>
      </c>
      <c r="G29" s="5813">
        <v>0.20833333333333334</v>
      </c>
      <c r="H29" s="21" t="s">
        <v>10</v>
      </c>
      <c r="I29" s="21" t="s">
        <v>39</v>
      </c>
      <c r="J29" s="21" t="s">
        <v>1316</v>
      </c>
      <c r="K29" s="5814" t="s">
        <v>11550</v>
      </c>
    </row>
    <row r="30" spans="1:11">
      <c r="A30" s="21" t="s">
        <v>2311</v>
      </c>
      <c r="B30" s="21" t="s">
        <v>11551</v>
      </c>
      <c r="C30" s="21" t="s">
        <v>8</v>
      </c>
      <c r="D30" s="21" t="s">
        <v>1288</v>
      </c>
      <c r="E30" s="21" t="s">
        <v>9</v>
      </c>
      <c r="F30" s="5812">
        <v>3</v>
      </c>
      <c r="G30" s="5813">
        <v>0.20833333333333334</v>
      </c>
      <c r="H30" s="21" t="s">
        <v>10</v>
      </c>
      <c r="I30" s="21" t="s">
        <v>2313</v>
      </c>
      <c r="J30" s="21" t="s">
        <v>11552</v>
      </c>
      <c r="K30" s="5814" t="s">
        <v>11553</v>
      </c>
    </row>
    <row r="31" spans="1:11">
      <c r="A31" s="21" t="s">
        <v>2084</v>
      </c>
      <c r="B31" s="21" t="s">
        <v>11554</v>
      </c>
      <c r="C31" s="21" t="s">
        <v>8</v>
      </c>
      <c r="D31" s="21" t="s">
        <v>1288</v>
      </c>
      <c r="E31" s="21" t="s">
        <v>9</v>
      </c>
      <c r="F31" s="5812">
        <v>3</v>
      </c>
      <c r="G31" s="5813">
        <v>0.20833333333333334</v>
      </c>
      <c r="H31" s="21" t="s">
        <v>10</v>
      </c>
      <c r="I31" s="21" t="s">
        <v>96</v>
      </c>
      <c r="J31" s="21" t="s">
        <v>11555</v>
      </c>
      <c r="K31" s="5814" t="s">
        <v>11556</v>
      </c>
    </row>
    <row r="32" spans="1:11">
      <c r="A32" s="21" t="s">
        <v>3855</v>
      </c>
      <c r="B32" s="21" t="s">
        <v>11557</v>
      </c>
      <c r="C32" s="21" t="s">
        <v>22</v>
      </c>
      <c r="D32" s="21" t="s">
        <v>1288</v>
      </c>
      <c r="E32" s="21" t="s">
        <v>9</v>
      </c>
      <c r="F32" s="5812">
        <v>3</v>
      </c>
      <c r="G32" s="5813">
        <v>0.20833333333333334</v>
      </c>
      <c r="H32" s="21" t="s">
        <v>10</v>
      </c>
      <c r="I32" s="21" t="s">
        <v>23</v>
      </c>
      <c r="J32" s="21" t="s">
        <v>11558</v>
      </c>
      <c r="K32" s="5814" t="s">
        <v>11559</v>
      </c>
    </row>
    <row r="33" spans="1:11">
      <c r="A33" s="21" t="s">
        <v>3243</v>
      </c>
      <c r="B33" s="21" t="s">
        <v>11560</v>
      </c>
      <c r="C33" s="21" t="s">
        <v>22</v>
      </c>
      <c r="D33" s="21" t="s">
        <v>1288</v>
      </c>
      <c r="E33" s="21" t="s">
        <v>9</v>
      </c>
      <c r="F33" s="5812">
        <v>3</v>
      </c>
      <c r="G33" s="5813">
        <v>0.20833333333333334</v>
      </c>
      <c r="H33" s="21" t="s">
        <v>10</v>
      </c>
      <c r="I33" s="21" t="s">
        <v>23</v>
      </c>
      <c r="J33" s="21" t="s">
        <v>11561</v>
      </c>
      <c r="K33" s="5814" t="s">
        <v>11562</v>
      </c>
    </row>
    <row r="34" spans="1:11">
      <c r="A34" s="21" t="s">
        <v>2284</v>
      </c>
      <c r="B34" s="21" t="s">
        <v>11563</v>
      </c>
      <c r="C34" s="21" t="s">
        <v>8</v>
      </c>
      <c r="D34" s="21" t="s">
        <v>1288</v>
      </c>
      <c r="E34" s="21" t="s">
        <v>9</v>
      </c>
      <c r="F34" s="5812">
        <v>3</v>
      </c>
      <c r="G34" s="5813">
        <v>0.20833333333333334</v>
      </c>
      <c r="H34" s="21" t="s">
        <v>10</v>
      </c>
      <c r="I34" s="21" t="s">
        <v>654</v>
      </c>
      <c r="J34" s="21" t="s">
        <v>11564</v>
      </c>
      <c r="K34" s="5814" t="s">
        <v>11565</v>
      </c>
    </row>
    <row r="35" spans="1:11">
      <c r="A35" s="21" t="s">
        <v>2929</v>
      </c>
      <c r="B35" s="21" t="s">
        <v>11566</v>
      </c>
      <c r="C35" s="21" t="s">
        <v>8</v>
      </c>
      <c r="D35" s="21" t="s">
        <v>1288</v>
      </c>
      <c r="E35" s="21" t="s">
        <v>9</v>
      </c>
      <c r="F35" s="5812">
        <v>3</v>
      </c>
      <c r="G35" s="5813">
        <v>0.20833333333333334</v>
      </c>
      <c r="H35" s="21" t="s">
        <v>10</v>
      </c>
      <c r="I35" s="21" t="s">
        <v>23</v>
      </c>
      <c r="J35" s="21" t="s">
        <v>11567</v>
      </c>
      <c r="K35" s="5814" t="s">
        <v>11568</v>
      </c>
    </row>
    <row r="36" spans="1:11">
      <c r="A36" s="21" t="s">
        <v>2929</v>
      </c>
      <c r="B36" s="21" t="s">
        <v>11569</v>
      </c>
      <c r="C36" s="21" t="s">
        <v>22</v>
      </c>
      <c r="D36" s="21" t="s">
        <v>1288</v>
      </c>
      <c r="E36" s="21" t="s">
        <v>9</v>
      </c>
      <c r="F36" s="5812">
        <v>3</v>
      </c>
      <c r="G36" s="5813">
        <v>0.20833333333333334</v>
      </c>
      <c r="H36" s="21" t="s">
        <v>10</v>
      </c>
      <c r="I36" s="21" t="s">
        <v>23</v>
      </c>
      <c r="J36" s="21" t="s">
        <v>11570</v>
      </c>
      <c r="K36" s="5814" t="s">
        <v>11571</v>
      </c>
    </row>
    <row r="37" spans="1:11">
      <c r="A37" s="21" t="s">
        <v>2433</v>
      </c>
      <c r="B37" s="21" t="s">
        <v>11572</v>
      </c>
      <c r="C37" s="21" t="s">
        <v>22</v>
      </c>
      <c r="D37" s="21" t="s">
        <v>1288</v>
      </c>
      <c r="E37" s="21" t="s">
        <v>9</v>
      </c>
      <c r="F37" s="5812">
        <v>3</v>
      </c>
      <c r="G37" s="5813">
        <v>0.20833333333333334</v>
      </c>
      <c r="H37" s="21" t="s">
        <v>10</v>
      </c>
      <c r="I37" s="21" t="s">
        <v>11</v>
      </c>
      <c r="J37" s="21" t="s">
        <v>11573</v>
      </c>
      <c r="K37" s="5814" t="s">
        <v>11574</v>
      </c>
    </row>
    <row r="38" spans="1:11">
      <c r="A38" s="21" t="s">
        <v>3130</v>
      </c>
      <c r="B38" s="21" t="s">
        <v>11575</v>
      </c>
      <c r="C38" s="21" t="s">
        <v>8</v>
      </c>
      <c r="D38" s="21" t="s">
        <v>1288</v>
      </c>
      <c r="E38" s="21" t="s">
        <v>9</v>
      </c>
      <c r="F38" s="5812">
        <v>3</v>
      </c>
      <c r="G38" s="5813">
        <v>0.20833333333333334</v>
      </c>
      <c r="H38" s="21" t="s">
        <v>10</v>
      </c>
      <c r="I38" s="21" t="s">
        <v>5047</v>
      </c>
      <c r="J38" s="21" t="s">
        <v>3929</v>
      </c>
      <c r="K38" s="5814" t="s">
        <v>11576</v>
      </c>
    </row>
    <row r="39" spans="1:11">
      <c r="A39" s="21" t="s">
        <v>3434</v>
      </c>
      <c r="B39" s="21" t="s">
        <v>11577</v>
      </c>
      <c r="C39" s="21" t="s">
        <v>8</v>
      </c>
      <c r="D39" s="21" t="s">
        <v>1288</v>
      </c>
      <c r="E39" s="21" t="s">
        <v>9</v>
      </c>
      <c r="F39" s="5812">
        <v>3</v>
      </c>
      <c r="G39" s="5813">
        <v>0.20833333333333334</v>
      </c>
      <c r="H39" s="21" t="s">
        <v>10</v>
      </c>
      <c r="I39" s="21" t="s">
        <v>39</v>
      </c>
      <c r="J39" s="21" t="s">
        <v>11578</v>
      </c>
      <c r="K39" s="5814" t="s">
        <v>11579</v>
      </c>
    </row>
    <row r="40" spans="1:11">
      <c r="A40" s="21" t="s">
        <v>2467</v>
      </c>
      <c r="B40" s="21" t="s">
        <v>11580</v>
      </c>
      <c r="C40" s="21" t="s">
        <v>8</v>
      </c>
      <c r="D40" s="21" t="s">
        <v>1288</v>
      </c>
      <c r="E40" s="21" t="s">
        <v>9</v>
      </c>
      <c r="F40" s="5812">
        <v>3</v>
      </c>
      <c r="G40" s="5813">
        <v>0.20833333333333334</v>
      </c>
      <c r="H40" s="21" t="s">
        <v>10</v>
      </c>
      <c r="I40" s="21" t="s">
        <v>11</v>
      </c>
      <c r="J40" s="21" t="s">
        <v>11581</v>
      </c>
      <c r="K40" s="5814" t="s">
        <v>11582</v>
      </c>
    </row>
    <row r="41" spans="1:11">
      <c r="A41" s="21" t="s">
        <v>2982</v>
      </c>
      <c r="B41" s="21" t="s">
        <v>11583</v>
      </c>
      <c r="C41" s="21" t="s">
        <v>22</v>
      </c>
      <c r="D41" s="21" t="s">
        <v>1288</v>
      </c>
      <c r="E41" s="21" t="s">
        <v>9</v>
      </c>
      <c r="F41" s="5812">
        <v>3</v>
      </c>
      <c r="G41" s="5813">
        <v>0.20833333333333334</v>
      </c>
      <c r="H41" s="21" t="s">
        <v>10</v>
      </c>
      <c r="I41" s="21" t="s">
        <v>55</v>
      </c>
      <c r="J41" s="21" t="s">
        <v>11584</v>
      </c>
      <c r="K41" s="5814" t="s">
        <v>11585</v>
      </c>
    </row>
    <row r="42" spans="1:11">
      <c r="A42" s="21" t="s">
        <v>2471</v>
      </c>
      <c r="B42" s="21" t="s">
        <v>11586</v>
      </c>
      <c r="C42" s="21" t="s">
        <v>22</v>
      </c>
      <c r="D42" s="21" t="s">
        <v>1288</v>
      </c>
      <c r="E42" s="21" t="s">
        <v>9</v>
      </c>
      <c r="F42" s="5812">
        <v>3</v>
      </c>
      <c r="G42" s="5813">
        <v>0.20833333333333334</v>
      </c>
      <c r="H42" s="21" t="s">
        <v>10</v>
      </c>
      <c r="I42" s="21" t="s">
        <v>39</v>
      </c>
      <c r="J42" s="21" t="s">
        <v>3857</v>
      </c>
      <c r="K42" s="5814" t="s">
        <v>11587</v>
      </c>
    </row>
    <row r="43" spans="1:11">
      <c r="A43" s="21" t="s">
        <v>3984</v>
      </c>
      <c r="B43" s="21" t="s">
        <v>11588</v>
      </c>
      <c r="C43" s="21" t="s">
        <v>8</v>
      </c>
      <c r="D43" s="21" t="s">
        <v>1288</v>
      </c>
      <c r="E43" s="21" t="s">
        <v>9</v>
      </c>
      <c r="F43" s="5812">
        <v>3</v>
      </c>
      <c r="G43" s="5813">
        <v>0.20833333333333334</v>
      </c>
      <c r="H43" s="21" t="s">
        <v>10</v>
      </c>
      <c r="I43" s="21" t="s">
        <v>47</v>
      </c>
      <c r="J43" s="21" t="s">
        <v>11589</v>
      </c>
      <c r="K43" s="5814" t="s">
        <v>11590</v>
      </c>
    </row>
    <row r="44" spans="1:11">
      <c r="A44" s="21" t="s">
        <v>2969</v>
      </c>
      <c r="B44" s="21" t="s">
        <v>11591</v>
      </c>
      <c r="C44" s="21" t="s">
        <v>22</v>
      </c>
      <c r="D44" s="21" t="s">
        <v>1288</v>
      </c>
      <c r="E44" s="21" t="s">
        <v>9</v>
      </c>
      <c r="F44" s="5812">
        <v>3</v>
      </c>
      <c r="G44" s="5813">
        <v>0.20833333333333334</v>
      </c>
      <c r="H44" s="21" t="s">
        <v>10</v>
      </c>
      <c r="I44" s="21" t="s">
        <v>39</v>
      </c>
      <c r="J44" s="21" t="s">
        <v>4014</v>
      </c>
      <c r="K44" s="5814" t="s">
        <v>11592</v>
      </c>
    </row>
    <row r="45" spans="1:11">
      <c r="A45" s="21" t="s">
        <v>2506</v>
      </c>
      <c r="B45" s="21" t="s">
        <v>11593</v>
      </c>
      <c r="C45" s="21" t="s">
        <v>8</v>
      </c>
      <c r="D45" s="21" t="s">
        <v>1288</v>
      </c>
      <c r="E45" s="21" t="s">
        <v>9</v>
      </c>
      <c r="F45" s="5812">
        <v>3</v>
      </c>
      <c r="G45" s="5813">
        <v>0.20833333333333334</v>
      </c>
      <c r="H45" s="21" t="s">
        <v>10</v>
      </c>
      <c r="I45" s="21" t="s">
        <v>23</v>
      </c>
      <c r="J45" s="21" t="s">
        <v>11594</v>
      </c>
      <c r="K45" s="5814" t="s">
        <v>11595</v>
      </c>
    </row>
    <row r="46" spans="1:11">
      <c r="A46" s="21" t="s">
        <v>3026</v>
      </c>
      <c r="B46" s="21" t="s">
        <v>11596</v>
      </c>
      <c r="C46" s="21" t="s">
        <v>22</v>
      </c>
      <c r="D46" s="21" t="s">
        <v>1288</v>
      </c>
      <c r="E46" s="21" t="s">
        <v>9</v>
      </c>
      <c r="F46" s="5812">
        <v>3</v>
      </c>
      <c r="G46" s="5813">
        <v>0.20833333333333334</v>
      </c>
      <c r="H46" s="21" t="s">
        <v>10</v>
      </c>
      <c r="I46" s="21" t="s">
        <v>96</v>
      </c>
      <c r="J46" s="21" t="s">
        <v>1497</v>
      </c>
      <c r="K46" s="5814" t="s">
        <v>11597</v>
      </c>
    </row>
    <row r="47" spans="1:11">
      <c r="A47" s="21" t="s">
        <v>2910</v>
      </c>
      <c r="B47" s="21" t="s">
        <v>11598</v>
      </c>
      <c r="C47" s="21" t="s">
        <v>8</v>
      </c>
      <c r="D47" s="21" t="s">
        <v>1288</v>
      </c>
      <c r="E47" s="21" t="s">
        <v>9</v>
      </c>
      <c r="F47" s="5812">
        <v>3</v>
      </c>
      <c r="G47" s="5813">
        <v>0.20833333333333334</v>
      </c>
      <c r="H47" s="21" t="s">
        <v>10</v>
      </c>
      <c r="I47" s="21" t="s">
        <v>39</v>
      </c>
      <c r="J47" s="21" t="s">
        <v>8732</v>
      </c>
      <c r="K47" s="5814" t="s">
        <v>11599</v>
      </c>
    </row>
    <row r="48" spans="1:11">
      <c r="A48" s="21" t="s">
        <v>4043</v>
      </c>
      <c r="B48" s="21" t="s">
        <v>11600</v>
      </c>
      <c r="C48" s="21" t="s">
        <v>22</v>
      </c>
      <c r="D48" s="21" t="s">
        <v>1288</v>
      </c>
      <c r="E48" s="21" t="s">
        <v>9</v>
      </c>
      <c r="F48" s="5812">
        <v>3</v>
      </c>
      <c r="G48" s="5813">
        <v>0.20833333333333334</v>
      </c>
      <c r="H48" s="21" t="s">
        <v>10</v>
      </c>
      <c r="I48" s="21" t="s">
        <v>96</v>
      </c>
      <c r="J48" s="21" t="s">
        <v>11601</v>
      </c>
      <c r="K48" s="5814" t="s">
        <v>11602</v>
      </c>
    </row>
    <row r="49" spans="1:11">
      <c r="A49" s="21" t="s">
        <v>4043</v>
      </c>
      <c r="B49" s="21" t="s">
        <v>11603</v>
      </c>
      <c r="C49" s="21" t="s">
        <v>22</v>
      </c>
      <c r="D49" s="21" t="s">
        <v>1288</v>
      </c>
      <c r="E49" s="21" t="s">
        <v>9</v>
      </c>
      <c r="F49" s="5812">
        <v>3</v>
      </c>
      <c r="G49" s="5813">
        <v>0.20833333333333334</v>
      </c>
      <c r="H49" s="21" t="s">
        <v>10</v>
      </c>
      <c r="I49" s="21" t="s">
        <v>11</v>
      </c>
      <c r="J49" s="21" t="s">
        <v>11604</v>
      </c>
      <c r="K49" s="5814" t="s">
        <v>11605</v>
      </c>
    </row>
    <row r="50" spans="1:11">
      <c r="A50" s="21" t="s">
        <v>2509</v>
      </c>
      <c r="B50" s="21" t="s">
        <v>11606</v>
      </c>
      <c r="C50" s="21" t="s">
        <v>22</v>
      </c>
      <c r="D50" s="21" t="s">
        <v>1288</v>
      </c>
      <c r="E50" s="21" t="s">
        <v>9</v>
      </c>
      <c r="F50" s="5812">
        <v>3</v>
      </c>
      <c r="G50" s="5813">
        <v>0.20833333333333334</v>
      </c>
      <c r="H50" s="21" t="s">
        <v>10</v>
      </c>
      <c r="I50" s="21" t="s">
        <v>39</v>
      </c>
      <c r="J50" s="21" t="s">
        <v>11607</v>
      </c>
      <c r="K50" s="5814" t="s">
        <v>11608</v>
      </c>
    </row>
    <row r="51" spans="1:11">
      <c r="A51" s="21" t="s">
        <v>3348</v>
      </c>
      <c r="B51" s="21" t="s">
        <v>11609</v>
      </c>
      <c r="C51" s="21" t="s">
        <v>22</v>
      </c>
      <c r="D51" s="21" t="s">
        <v>1288</v>
      </c>
      <c r="E51" s="21" t="s">
        <v>9</v>
      </c>
      <c r="F51" s="5812">
        <v>3</v>
      </c>
      <c r="G51" s="5813">
        <v>0.20833333333333334</v>
      </c>
      <c r="H51" s="21" t="s">
        <v>10</v>
      </c>
      <c r="I51" s="21" t="s">
        <v>96</v>
      </c>
      <c r="J51" s="21" t="s">
        <v>11610</v>
      </c>
      <c r="K51" s="5814" t="s">
        <v>11611</v>
      </c>
    </row>
    <row r="52" spans="1:11">
      <c r="A52" s="21" t="s">
        <v>2517</v>
      </c>
      <c r="B52" s="21" t="s">
        <v>11612</v>
      </c>
      <c r="C52" s="21" t="s">
        <v>8</v>
      </c>
      <c r="D52" s="21" t="s">
        <v>1288</v>
      </c>
      <c r="E52" s="21" t="s">
        <v>9</v>
      </c>
      <c r="F52" s="5812">
        <v>3</v>
      </c>
      <c r="G52" s="5813">
        <v>0.20833333333333334</v>
      </c>
      <c r="H52" s="21" t="s">
        <v>10</v>
      </c>
      <c r="I52" s="21" t="s">
        <v>2523</v>
      </c>
      <c r="J52" s="21" t="s">
        <v>11613</v>
      </c>
      <c r="K52" s="5814" t="s">
        <v>11614</v>
      </c>
    </row>
    <row r="53" spans="1:11">
      <c r="A53" s="21" t="s">
        <v>3703</v>
      </c>
      <c r="B53" s="21" t="s">
        <v>11615</v>
      </c>
      <c r="C53" s="21" t="s">
        <v>8</v>
      </c>
      <c r="D53" s="21" t="s">
        <v>1288</v>
      </c>
      <c r="E53" s="21" t="s">
        <v>9</v>
      </c>
      <c r="F53" s="5812">
        <v>3</v>
      </c>
      <c r="G53" s="5813">
        <v>0.20833333333333334</v>
      </c>
      <c r="H53" s="21" t="s">
        <v>10</v>
      </c>
      <c r="I53" s="21" t="s">
        <v>96</v>
      </c>
      <c r="J53" s="21" t="s">
        <v>11616</v>
      </c>
      <c r="K53" s="5814" t="s">
        <v>11617</v>
      </c>
    </row>
    <row r="54" spans="1:11">
      <c r="A54" s="21" t="s">
        <v>3613</v>
      </c>
      <c r="B54" s="21" t="s">
        <v>11618</v>
      </c>
      <c r="C54" s="21" t="s">
        <v>22</v>
      </c>
      <c r="D54" s="21" t="s">
        <v>1288</v>
      </c>
      <c r="E54" s="21" t="s">
        <v>9</v>
      </c>
      <c r="F54" s="5812">
        <v>3</v>
      </c>
      <c r="G54" s="5813">
        <v>0.20833333333333334</v>
      </c>
      <c r="H54" s="21" t="s">
        <v>10</v>
      </c>
      <c r="I54" s="21" t="s">
        <v>39</v>
      </c>
      <c r="J54" s="21" t="s">
        <v>11619</v>
      </c>
      <c r="K54" s="5814" t="s">
        <v>11620</v>
      </c>
    </row>
    <row r="55" spans="1:11">
      <c r="A55" s="21" t="s">
        <v>2135</v>
      </c>
      <c r="B55" s="21" t="s">
        <v>11621</v>
      </c>
      <c r="C55" s="21" t="s">
        <v>8</v>
      </c>
      <c r="D55" s="21" t="s">
        <v>1288</v>
      </c>
      <c r="E55" s="21" t="s">
        <v>9</v>
      </c>
      <c r="F55" s="5812">
        <v>3</v>
      </c>
      <c r="G55" s="5813">
        <v>0.20833333333333334</v>
      </c>
      <c r="H55" s="21" t="s">
        <v>10</v>
      </c>
      <c r="I55" s="21" t="s">
        <v>39</v>
      </c>
      <c r="J55" s="21" t="s">
        <v>11622</v>
      </c>
      <c r="K55" s="5814" t="s">
        <v>11623</v>
      </c>
    </row>
    <row r="56" spans="1:11">
      <c r="A56" s="21" t="s">
        <v>2538</v>
      </c>
      <c r="B56" s="21" t="s">
        <v>11624</v>
      </c>
      <c r="C56" s="21" t="s">
        <v>22</v>
      </c>
      <c r="D56" s="21" t="s">
        <v>1288</v>
      </c>
      <c r="E56" s="21" t="s">
        <v>9</v>
      </c>
      <c r="F56" s="5812">
        <v>3</v>
      </c>
      <c r="G56" s="5813">
        <v>0.20833333333333334</v>
      </c>
      <c r="H56" s="21" t="s">
        <v>10</v>
      </c>
      <c r="I56" s="21" t="s">
        <v>2814</v>
      </c>
      <c r="J56" s="21" t="s">
        <v>11625</v>
      </c>
      <c r="K56" s="5814" t="s">
        <v>11626</v>
      </c>
    </row>
    <row r="57" spans="1:11">
      <c r="A57" s="21" t="s">
        <v>3203</v>
      </c>
      <c r="B57" s="21" t="s">
        <v>11627</v>
      </c>
      <c r="C57" s="21" t="s">
        <v>8</v>
      </c>
      <c r="D57" s="21" t="s">
        <v>1288</v>
      </c>
      <c r="E57" s="21" t="s">
        <v>9</v>
      </c>
      <c r="F57" s="5812">
        <v>3</v>
      </c>
      <c r="G57" s="5813">
        <v>0.20833333333333334</v>
      </c>
      <c r="H57" s="21" t="s">
        <v>10</v>
      </c>
      <c r="I57" s="21" t="s">
        <v>2544</v>
      </c>
      <c r="J57" s="21" t="s">
        <v>11628</v>
      </c>
      <c r="K57" s="5814" t="s">
        <v>11629</v>
      </c>
    </row>
    <row r="58" spans="1:11">
      <c r="A58" s="21" t="s">
        <v>3597</v>
      </c>
      <c r="B58" s="21" t="s">
        <v>11630</v>
      </c>
      <c r="C58" s="21" t="s">
        <v>8</v>
      </c>
      <c r="D58" s="21" t="s">
        <v>1288</v>
      </c>
      <c r="E58" s="21" t="s">
        <v>9</v>
      </c>
      <c r="F58" s="5812">
        <v>3</v>
      </c>
      <c r="G58" s="5813">
        <v>0.20833333333333334</v>
      </c>
      <c r="H58" s="21" t="s">
        <v>10</v>
      </c>
      <c r="I58" s="21" t="s">
        <v>39</v>
      </c>
      <c r="J58" s="21" t="s">
        <v>11631</v>
      </c>
      <c r="K58" s="5814" t="s">
        <v>11632</v>
      </c>
    </row>
    <row r="59" spans="1:11">
      <c r="A59" s="21" t="s">
        <v>2139</v>
      </c>
      <c r="B59" s="21" t="s">
        <v>11633</v>
      </c>
      <c r="C59" s="21" t="s">
        <v>8</v>
      </c>
      <c r="D59" s="21" t="s">
        <v>1288</v>
      </c>
      <c r="E59" s="21" t="s">
        <v>9</v>
      </c>
      <c r="F59" s="5812">
        <v>3</v>
      </c>
      <c r="G59" s="5813">
        <v>0.20833333333333334</v>
      </c>
      <c r="H59" s="21" t="s">
        <v>10</v>
      </c>
      <c r="I59" s="21" t="s">
        <v>5994</v>
      </c>
      <c r="J59" s="21" t="s">
        <v>11634</v>
      </c>
      <c r="K59" s="5814" t="s">
        <v>11635</v>
      </c>
    </row>
    <row r="60" spans="1:11">
      <c r="A60" s="21" t="s">
        <v>2065</v>
      </c>
      <c r="B60" s="21" t="s">
        <v>11636</v>
      </c>
      <c r="C60" s="21" t="s">
        <v>22</v>
      </c>
      <c r="D60" s="21" t="s">
        <v>1288</v>
      </c>
      <c r="E60" s="21" t="s">
        <v>9</v>
      </c>
      <c r="F60" s="5812">
        <v>3</v>
      </c>
      <c r="G60" s="5813">
        <v>0.20833333333333334</v>
      </c>
      <c r="H60" s="21" t="s">
        <v>10</v>
      </c>
      <c r="I60" s="21" t="s">
        <v>89</v>
      </c>
      <c r="J60" s="21" t="s">
        <v>11637</v>
      </c>
      <c r="K60" s="5814" t="s">
        <v>11638</v>
      </c>
    </row>
    <row r="61" spans="1:11">
      <c r="A61" s="21" t="s">
        <v>2555</v>
      </c>
      <c r="B61" s="21" t="s">
        <v>11639</v>
      </c>
      <c r="C61" s="21" t="s">
        <v>8</v>
      </c>
      <c r="D61" s="21" t="s">
        <v>1288</v>
      </c>
      <c r="E61" s="21" t="s">
        <v>9</v>
      </c>
      <c r="F61" s="5812">
        <v>3</v>
      </c>
      <c r="G61" s="5813">
        <v>0.20833333333333334</v>
      </c>
      <c r="H61" s="21" t="s">
        <v>10</v>
      </c>
      <c r="I61" s="21" t="s">
        <v>55</v>
      </c>
      <c r="J61" s="21" t="s">
        <v>11640</v>
      </c>
      <c r="K61" s="5814" t="s">
        <v>11641</v>
      </c>
    </row>
    <row r="62" spans="1:11">
      <c r="A62" s="21" t="s">
        <v>2560</v>
      </c>
      <c r="B62" s="21" t="s">
        <v>11642</v>
      </c>
      <c r="C62" s="21" t="s">
        <v>8</v>
      </c>
      <c r="D62" s="21" t="s">
        <v>1288</v>
      </c>
      <c r="E62" s="21" t="s">
        <v>9</v>
      </c>
      <c r="F62" s="5812">
        <v>3</v>
      </c>
      <c r="G62" s="5813">
        <v>0.20833333333333334</v>
      </c>
      <c r="H62" s="21" t="s">
        <v>10</v>
      </c>
      <c r="I62" s="21" t="s">
        <v>4546</v>
      </c>
      <c r="J62" s="21" t="s">
        <v>11643</v>
      </c>
      <c r="K62" s="5814" t="s">
        <v>11644</v>
      </c>
    </row>
    <row r="63" spans="1:11">
      <c r="A63" s="21" t="s">
        <v>3311</v>
      </c>
      <c r="B63" s="21" t="s">
        <v>11645</v>
      </c>
      <c r="C63" s="21" t="s">
        <v>8</v>
      </c>
      <c r="D63" s="21" t="s">
        <v>1288</v>
      </c>
      <c r="E63" s="21" t="s">
        <v>9</v>
      </c>
      <c r="F63" s="5812">
        <v>3</v>
      </c>
      <c r="G63" s="5813">
        <v>0.20833333333333334</v>
      </c>
      <c r="H63" s="21" t="s">
        <v>10</v>
      </c>
      <c r="I63" s="21" t="s">
        <v>96</v>
      </c>
      <c r="J63" s="21" t="s">
        <v>11646</v>
      </c>
      <c r="K63" s="5814" t="s">
        <v>11647</v>
      </c>
    </row>
    <row r="64" spans="1:11">
      <c r="A64" s="21" t="s">
        <v>4132</v>
      </c>
      <c r="B64" s="21" t="s">
        <v>11648</v>
      </c>
      <c r="C64" s="21" t="s">
        <v>22</v>
      </c>
      <c r="D64" s="21" t="s">
        <v>1288</v>
      </c>
      <c r="E64" s="21" t="s">
        <v>9</v>
      </c>
      <c r="F64" s="5812">
        <v>3</v>
      </c>
      <c r="G64" s="5813">
        <v>0.20833333333333334</v>
      </c>
      <c r="H64" s="21" t="s">
        <v>10</v>
      </c>
      <c r="I64" s="21" t="s">
        <v>400</v>
      </c>
      <c r="J64" s="21" t="s">
        <v>11649</v>
      </c>
      <c r="K64" s="5814" t="s">
        <v>11650</v>
      </c>
    </row>
    <row r="65" spans="1:11">
      <c r="A65" s="21" t="s">
        <v>2160</v>
      </c>
      <c r="B65" s="21" t="s">
        <v>11651</v>
      </c>
      <c r="C65" s="21" t="s">
        <v>22</v>
      </c>
      <c r="D65" s="21" t="s">
        <v>1288</v>
      </c>
      <c r="E65" s="21" t="s">
        <v>9</v>
      </c>
      <c r="F65" s="5812">
        <v>3</v>
      </c>
      <c r="G65" s="5813">
        <v>0.20833333333333334</v>
      </c>
      <c r="H65" s="21" t="s">
        <v>10</v>
      </c>
      <c r="I65" s="21" t="s">
        <v>2814</v>
      </c>
      <c r="J65" s="21" t="s">
        <v>11652</v>
      </c>
      <c r="K65" s="5814" t="s">
        <v>11653</v>
      </c>
    </row>
    <row r="66" spans="1:11">
      <c r="A66" s="21" t="s">
        <v>3446</v>
      </c>
      <c r="B66" s="21" t="s">
        <v>11654</v>
      </c>
      <c r="C66" s="21" t="s">
        <v>22</v>
      </c>
      <c r="D66" s="21" t="s">
        <v>1288</v>
      </c>
      <c r="E66" s="21" t="s">
        <v>9</v>
      </c>
      <c r="F66" s="5812">
        <v>3</v>
      </c>
      <c r="G66" s="5813">
        <v>0.20833333333333334</v>
      </c>
      <c r="H66" s="21" t="s">
        <v>10</v>
      </c>
      <c r="I66" s="21" t="s">
        <v>2713</v>
      </c>
      <c r="J66" s="21" t="s">
        <v>11655</v>
      </c>
      <c r="K66" s="5814" t="s">
        <v>11656</v>
      </c>
    </row>
    <row r="67" spans="1:11">
      <c r="A67" s="21" t="s">
        <v>2571</v>
      </c>
      <c r="B67" s="21" t="s">
        <v>11657</v>
      </c>
      <c r="C67" s="21" t="s">
        <v>8</v>
      </c>
      <c r="D67" s="21" t="s">
        <v>1288</v>
      </c>
      <c r="E67" s="21" t="s">
        <v>9</v>
      </c>
      <c r="F67" s="5812">
        <v>3</v>
      </c>
      <c r="G67" s="5813">
        <v>0.20833333333333334</v>
      </c>
      <c r="H67" s="21" t="s">
        <v>10</v>
      </c>
      <c r="I67" s="21" t="s">
        <v>306</v>
      </c>
      <c r="J67" s="21" t="s">
        <v>11658</v>
      </c>
      <c r="K67" s="5814" t="s">
        <v>11659</v>
      </c>
    </row>
    <row r="68" spans="1:11">
      <c r="A68" s="21" t="s">
        <v>2571</v>
      </c>
      <c r="B68" s="21" t="s">
        <v>11660</v>
      </c>
      <c r="C68" s="21" t="s">
        <v>22</v>
      </c>
      <c r="D68" s="21" t="s">
        <v>1288</v>
      </c>
      <c r="E68" s="21" t="s">
        <v>9</v>
      </c>
      <c r="F68" s="5812">
        <v>3</v>
      </c>
      <c r="G68" s="5813">
        <v>0.20833333333333334</v>
      </c>
      <c r="H68" s="21" t="s">
        <v>10</v>
      </c>
      <c r="I68" s="21" t="s">
        <v>96</v>
      </c>
      <c r="J68" s="21" t="s">
        <v>11661</v>
      </c>
      <c r="K68" s="5814" t="s">
        <v>11662</v>
      </c>
    </row>
    <row r="69" spans="1:11">
      <c r="A69" s="21" t="s">
        <v>2595</v>
      </c>
      <c r="B69" s="21" t="s">
        <v>11663</v>
      </c>
      <c r="C69" s="21" t="s">
        <v>8</v>
      </c>
      <c r="D69" s="21" t="s">
        <v>1288</v>
      </c>
      <c r="E69" s="21" t="s">
        <v>9</v>
      </c>
      <c r="F69" s="5812">
        <v>3</v>
      </c>
      <c r="G69" s="5813">
        <v>0.20833333333333334</v>
      </c>
      <c r="H69" s="21" t="s">
        <v>10</v>
      </c>
      <c r="I69" s="21" t="s">
        <v>2597</v>
      </c>
      <c r="J69" s="21" t="s">
        <v>11664</v>
      </c>
      <c r="K69" s="5814" t="s">
        <v>11665</v>
      </c>
    </row>
    <row r="70" spans="1:11">
      <c r="A70" s="21" t="s">
        <v>2985</v>
      </c>
      <c r="B70" s="21" t="s">
        <v>11666</v>
      </c>
      <c r="C70" s="21" t="s">
        <v>8</v>
      </c>
      <c r="D70" s="21" t="s">
        <v>1288</v>
      </c>
      <c r="E70" s="21" t="s">
        <v>9</v>
      </c>
      <c r="F70" s="5812">
        <v>3</v>
      </c>
      <c r="G70" s="5813">
        <v>0.20833333333333334</v>
      </c>
      <c r="H70" s="21" t="s">
        <v>10</v>
      </c>
      <c r="I70" s="21" t="s">
        <v>23</v>
      </c>
      <c r="J70" s="21" t="s">
        <v>11667</v>
      </c>
      <c r="K70" s="5814" t="s">
        <v>11668</v>
      </c>
    </row>
    <row r="71" spans="1:11">
      <c r="A71" s="21" t="s">
        <v>4170</v>
      </c>
      <c r="B71" s="21" t="s">
        <v>11669</v>
      </c>
      <c r="C71" s="21" t="s">
        <v>22</v>
      </c>
      <c r="D71" s="21" t="s">
        <v>1288</v>
      </c>
      <c r="E71" s="21" t="s">
        <v>9</v>
      </c>
      <c r="F71" s="5812">
        <v>3</v>
      </c>
      <c r="G71" s="5813">
        <v>0.20833333333333334</v>
      </c>
      <c r="H71" s="21" t="s">
        <v>10</v>
      </c>
      <c r="I71" s="21" t="s">
        <v>2523</v>
      </c>
      <c r="J71" s="21" t="s">
        <v>11670</v>
      </c>
      <c r="K71" s="5814" t="s">
        <v>11671</v>
      </c>
    </row>
    <row r="72" spans="1:11">
      <c r="A72" s="21" t="s">
        <v>4711</v>
      </c>
      <c r="B72" s="21" t="s">
        <v>11672</v>
      </c>
      <c r="C72" s="21" t="s">
        <v>8</v>
      </c>
      <c r="D72" s="21" t="s">
        <v>1288</v>
      </c>
      <c r="E72" s="21" t="s">
        <v>9</v>
      </c>
      <c r="F72" s="5812">
        <v>3</v>
      </c>
      <c r="G72" s="5813">
        <v>0.20833333333333334</v>
      </c>
      <c r="H72" s="21" t="s">
        <v>10</v>
      </c>
      <c r="I72" s="21" t="s">
        <v>11</v>
      </c>
      <c r="J72" s="21" t="s">
        <v>11673</v>
      </c>
      <c r="K72" s="5814" t="s">
        <v>11674</v>
      </c>
    </row>
    <row r="73" spans="1:11">
      <c r="A73" s="21" t="s">
        <v>3323</v>
      </c>
      <c r="B73" s="21" t="s">
        <v>11675</v>
      </c>
      <c r="C73" s="21" t="s">
        <v>22</v>
      </c>
      <c r="D73" s="21" t="s">
        <v>1288</v>
      </c>
      <c r="E73" s="21" t="s">
        <v>9</v>
      </c>
      <c r="F73" s="5812">
        <v>3</v>
      </c>
      <c r="G73" s="5813">
        <v>0.20833333333333334</v>
      </c>
      <c r="H73" s="21" t="s">
        <v>10</v>
      </c>
      <c r="I73" s="21" t="s">
        <v>660</v>
      </c>
      <c r="J73" s="21" t="s">
        <v>11676</v>
      </c>
      <c r="K73" s="5814" t="s">
        <v>11677</v>
      </c>
    </row>
    <row r="74" spans="1:11">
      <c r="A74" s="21" t="s">
        <v>2192</v>
      </c>
      <c r="B74" s="21" t="s">
        <v>11678</v>
      </c>
      <c r="C74" s="21" t="s">
        <v>22</v>
      </c>
      <c r="D74" s="21" t="s">
        <v>1288</v>
      </c>
      <c r="E74" s="21" t="s">
        <v>9</v>
      </c>
      <c r="F74" s="5812">
        <v>3</v>
      </c>
      <c r="G74" s="5813">
        <v>0.20833333333333334</v>
      </c>
      <c r="H74" s="21" t="s">
        <v>10</v>
      </c>
      <c r="I74" s="21" t="s">
        <v>187</v>
      </c>
      <c r="J74" s="21" t="s">
        <v>11679</v>
      </c>
      <c r="K74" s="5814" t="s">
        <v>11680</v>
      </c>
    </row>
    <row r="75" spans="1:11">
      <c r="A75" s="21" t="s">
        <v>2675</v>
      </c>
      <c r="B75" s="21" t="s">
        <v>11681</v>
      </c>
      <c r="C75" s="21" t="s">
        <v>22</v>
      </c>
      <c r="D75" s="21" t="s">
        <v>1288</v>
      </c>
      <c r="E75" s="21" t="s">
        <v>9</v>
      </c>
      <c r="F75" s="5812">
        <v>3</v>
      </c>
      <c r="G75" s="5813">
        <v>0.20833333333333334</v>
      </c>
      <c r="H75" s="21" t="s">
        <v>10</v>
      </c>
      <c r="I75" s="21" t="s">
        <v>5712</v>
      </c>
      <c r="J75" s="21" t="s">
        <v>11682</v>
      </c>
      <c r="K75" s="5814" t="s">
        <v>11683</v>
      </c>
    </row>
    <row r="76" spans="1:11">
      <c r="A76" s="21" t="s">
        <v>5148</v>
      </c>
      <c r="B76" s="21" t="s">
        <v>11684</v>
      </c>
      <c r="C76" s="21" t="s">
        <v>22</v>
      </c>
      <c r="D76" s="21" t="s">
        <v>1288</v>
      </c>
      <c r="E76" s="21" t="s">
        <v>9</v>
      </c>
      <c r="F76" s="5812">
        <v>3</v>
      </c>
      <c r="G76" s="5813">
        <v>0.20833333333333334</v>
      </c>
      <c r="H76" s="21" t="s">
        <v>10</v>
      </c>
      <c r="I76" s="21" t="s">
        <v>23</v>
      </c>
      <c r="J76" s="21" t="s">
        <v>11685</v>
      </c>
      <c r="K76" s="5814" t="s">
        <v>11686</v>
      </c>
    </row>
    <row r="77" spans="1:11">
      <c r="A77" s="21" t="s">
        <v>2702</v>
      </c>
      <c r="B77" s="21" t="s">
        <v>11687</v>
      </c>
      <c r="C77" s="21" t="s">
        <v>8</v>
      </c>
      <c r="D77" s="21" t="s">
        <v>1288</v>
      </c>
      <c r="E77" s="21" t="s">
        <v>9</v>
      </c>
      <c r="F77" s="5812">
        <v>3</v>
      </c>
      <c r="G77" s="5813">
        <v>0.20833333333333334</v>
      </c>
      <c r="H77" s="21" t="s">
        <v>10</v>
      </c>
      <c r="I77" s="21" t="s">
        <v>4960</v>
      </c>
      <c r="J77" s="21" t="s">
        <v>11688</v>
      </c>
      <c r="K77" s="5814" t="s">
        <v>11689</v>
      </c>
    </row>
    <row r="78" spans="1:11">
      <c r="A78" s="21" t="s">
        <v>3761</v>
      </c>
      <c r="B78" s="21" t="s">
        <v>11690</v>
      </c>
      <c r="C78" s="21" t="s">
        <v>8</v>
      </c>
      <c r="D78" s="21" t="s">
        <v>1288</v>
      </c>
      <c r="E78" s="21" t="s">
        <v>9</v>
      </c>
      <c r="F78" s="5812">
        <v>3</v>
      </c>
      <c r="G78" s="5813">
        <v>0.20833333333333334</v>
      </c>
      <c r="H78" s="21" t="s">
        <v>10</v>
      </c>
      <c r="I78" s="21" t="s">
        <v>47</v>
      </c>
      <c r="J78" s="21" t="s">
        <v>11691</v>
      </c>
      <c r="K78" s="5814" t="s">
        <v>11692</v>
      </c>
    </row>
    <row r="79" spans="1:11">
      <c r="A79" s="21" t="s">
        <v>4257</v>
      </c>
      <c r="B79" s="21" t="s">
        <v>11693</v>
      </c>
      <c r="C79" s="21" t="s">
        <v>22</v>
      </c>
      <c r="D79" s="21" t="s">
        <v>1288</v>
      </c>
      <c r="E79" s="21" t="s">
        <v>9</v>
      </c>
      <c r="F79" s="5812">
        <v>3</v>
      </c>
      <c r="G79" s="5813">
        <v>0.20833333333333334</v>
      </c>
      <c r="H79" s="21" t="s">
        <v>10</v>
      </c>
      <c r="I79" s="21" t="s">
        <v>654</v>
      </c>
      <c r="J79" s="21" t="s">
        <v>11694</v>
      </c>
      <c r="K79" s="5814" t="s">
        <v>11695</v>
      </c>
    </row>
    <row r="80" spans="1:11">
      <c r="A80" s="21" t="s">
        <v>3354</v>
      </c>
      <c r="B80" s="21" t="s">
        <v>11696</v>
      </c>
      <c r="C80" s="21" t="s">
        <v>22</v>
      </c>
      <c r="D80" s="21" t="s">
        <v>1288</v>
      </c>
      <c r="E80" s="21" t="s">
        <v>9</v>
      </c>
      <c r="F80" s="5812">
        <v>3</v>
      </c>
      <c r="G80" s="5813">
        <v>0.20833333333333334</v>
      </c>
      <c r="H80" s="21" t="s">
        <v>10</v>
      </c>
      <c r="I80" s="21" t="s">
        <v>2247</v>
      </c>
      <c r="J80" s="21" t="s">
        <v>11697</v>
      </c>
      <c r="K80" s="5814" t="s">
        <v>11698</v>
      </c>
    </row>
    <row r="81" spans="1:11">
      <c r="A81" s="21" t="s">
        <v>3769</v>
      </c>
      <c r="B81" s="21" t="s">
        <v>11699</v>
      </c>
      <c r="C81" s="21" t="s">
        <v>22</v>
      </c>
      <c r="D81" s="21" t="s">
        <v>1288</v>
      </c>
      <c r="E81" s="21" t="s">
        <v>9</v>
      </c>
      <c r="F81" s="5812">
        <v>3</v>
      </c>
      <c r="G81" s="5813">
        <v>0.20833333333333334</v>
      </c>
      <c r="H81" s="21" t="s">
        <v>10</v>
      </c>
      <c r="I81" s="21" t="s">
        <v>47</v>
      </c>
      <c r="J81" s="21" t="s">
        <v>11700</v>
      </c>
      <c r="K81" s="5814" t="s">
        <v>11701</v>
      </c>
    </row>
    <row r="82" spans="1:11">
      <c r="A82" s="21" t="s">
        <v>3053</v>
      </c>
      <c r="B82" s="21" t="s">
        <v>11702</v>
      </c>
      <c r="C82" s="21" t="s">
        <v>22</v>
      </c>
      <c r="D82" s="21" t="s">
        <v>1288</v>
      </c>
      <c r="E82" s="21" t="s">
        <v>9</v>
      </c>
      <c r="F82" s="5812">
        <v>3</v>
      </c>
      <c r="G82" s="5813">
        <v>0.20833333333333334</v>
      </c>
      <c r="H82" s="21" t="s">
        <v>10</v>
      </c>
      <c r="I82" s="21" t="s">
        <v>2660</v>
      </c>
      <c r="J82" s="21" t="s">
        <v>5706</v>
      </c>
      <c r="K82" s="5814" t="s">
        <v>11703</v>
      </c>
    </row>
    <row r="83" spans="1:11">
      <c r="A83" s="21" t="s">
        <v>2780</v>
      </c>
      <c r="B83" s="21" t="s">
        <v>11704</v>
      </c>
      <c r="C83" s="21" t="s">
        <v>8</v>
      </c>
      <c r="D83" s="21" t="s">
        <v>1288</v>
      </c>
      <c r="E83" s="21" t="s">
        <v>9</v>
      </c>
      <c r="F83" s="5812">
        <v>3</v>
      </c>
      <c r="G83" s="5813">
        <v>0.20833333333333334</v>
      </c>
      <c r="H83" s="21" t="s">
        <v>10</v>
      </c>
      <c r="I83" s="21" t="s">
        <v>55</v>
      </c>
      <c r="J83" s="21" t="s">
        <v>11705</v>
      </c>
      <c r="K83" s="5814" t="s">
        <v>11706</v>
      </c>
    </row>
    <row r="84" spans="1:11">
      <c r="A84" s="21" t="s">
        <v>2784</v>
      </c>
      <c r="B84" s="21" t="s">
        <v>11707</v>
      </c>
      <c r="C84" s="21" t="s">
        <v>22</v>
      </c>
      <c r="D84" s="21" t="s">
        <v>1288</v>
      </c>
      <c r="E84" s="21" t="s">
        <v>9</v>
      </c>
      <c r="F84" s="5812">
        <v>3</v>
      </c>
      <c r="G84" s="5813">
        <v>0.20833333333333334</v>
      </c>
      <c r="H84" s="21" t="s">
        <v>10</v>
      </c>
      <c r="I84" s="21" t="s">
        <v>11</v>
      </c>
      <c r="J84" s="21" t="s">
        <v>2852</v>
      </c>
      <c r="K84" s="5814" t="s">
        <v>11708</v>
      </c>
    </row>
    <row r="85" spans="1:11">
      <c r="A85" s="21" t="s">
        <v>3584</v>
      </c>
      <c r="B85" s="21" t="s">
        <v>11709</v>
      </c>
      <c r="C85" s="21" t="s">
        <v>8</v>
      </c>
      <c r="D85" s="21" t="s">
        <v>1288</v>
      </c>
      <c r="E85" s="21" t="s">
        <v>9</v>
      </c>
      <c r="F85" s="5812">
        <v>3</v>
      </c>
      <c r="G85" s="5813">
        <v>0.20833333333333334</v>
      </c>
      <c r="H85" s="21" t="s">
        <v>10</v>
      </c>
      <c r="I85" s="21" t="s">
        <v>2260</v>
      </c>
      <c r="J85" s="21" t="s">
        <v>11710</v>
      </c>
      <c r="K85" s="5814" t="s">
        <v>11711</v>
      </c>
    </row>
    <row r="86" spans="1:11">
      <c r="A86" s="21" t="s">
        <v>2804</v>
      </c>
      <c r="B86" s="21" t="s">
        <v>11712</v>
      </c>
      <c r="C86" s="21" t="s">
        <v>8</v>
      </c>
      <c r="D86" s="21" t="s">
        <v>1288</v>
      </c>
      <c r="E86" s="21" t="s">
        <v>9</v>
      </c>
      <c r="F86" s="5812">
        <v>3</v>
      </c>
      <c r="G86" s="5813">
        <v>0.20833333333333334</v>
      </c>
      <c r="H86" s="21" t="s">
        <v>10</v>
      </c>
      <c r="I86" s="21" t="s">
        <v>89</v>
      </c>
      <c r="J86" s="21" t="s">
        <v>11713</v>
      </c>
      <c r="K86" s="5814" t="s">
        <v>11714</v>
      </c>
    </row>
    <row r="87" spans="1:11">
      <c r="A87" s="21" t="s">
        <v>3541</v>
      </c>
      <c r="B87" s="21" t="s">
        <v>11715</v>
      </c>
      <c r="C87" s="21" t="s">
        <v>22</v>
      </c>
      <c r="D87" s="21" t="s">
        <v>1288</v>
      </c>
      <c r="E87" s="21" t="s">
        <v>9</v>
      </c>
      <c r="F87" s="5812">
        <v>3</v>
      </c>
      <c r="G87" s="5813">
        <v>0.20833333333333334</v>
      </c>
      <c r="H87" s="21" t="s">
        <v>10</v>
      </c>
      <c r="I87" s="21" t="s">
        <v>226</v>
      </c>
      <c r="J87" s="21" t="s">
        <v>11716</v>
      </c>
      <c r="K87" s="5814" t="s">
        <v>11717</v>
      </c>
    </row>
    <row r="88" spans="1:11">
      <c r="A88" s="21" t="s">
        <v>2932</v>
      </c>
      <c r="B88" s="21" t="s">
        <v>11718</v>
      </c>
      <c r="C88" s="21" t="s">
        <v>8</v>
      </c>
      <c r="D88" s="21" t="s">
        <v>1288</v>
      </c>
      <c r="E88" s="21" t="s">
        <v>9</v>
      </c>
      <c r="F88" s="5812">
        <v>3</v>
      </c>
      <c r="G88" s="5813">
        <v>0.20833333333333334</v>
      </c>
      <c r="H88" s="21" t="s">
        <v>10</v>
      </c>
      <c r="I88" s="21" t="s">
        <v>55</v>
      </c>
      <c r="J88" s="21" t="s">
        <v>11719</v>
      </c>
      <c r="K88" s="5814" t="s">
        <v>11720</v>
      </c>
    </row>
    <row r="89" spans="1:11">
      <c r="A89" s="21" t="s">
        <v>3006</v>
      </c>
      <c r="B89" s="21" t="s">
        <v>11721</v>
      </c>
      <c r="C89" s="21" t="s">
        <v>22</v>
      </c>
      <c r="D89" s="21" t="s">
        <v>1288</v>
      </c>
      <c r="E89" s="21" t="s">
        <v>9</v>
      </c>
      <c r="F89" s="5812">
        <v>3</v>
      </c>
      <c r="G89" s="5813">
        <v>0.20833333333333334</v>
      </c>
      <c r="H89" s="21" t="s">
        <v>10</v>
      </c>
      <c r="I89" s="21" t="s">
        <v>187</v>
      </c>
      <c r="J89" s="21" t="s">
        <v>11722</v>
      </c>
      <c r="K89" s="5814" t="s">
        <v>11723</v>
      </c>
    </row>
    <row r="90" spans="1:11">
      <c r="A90" s="21" t="s">
        <v>2835</v>
      </c>
      <c r="B90" s="21" t="s">
        <v>11724</v>
      </c>
      <c r="C90" s="21" t="s">
        <v>22</v>
      </c>
      <c r="D90" s="21" t="s">
        <v>1288</v>
      </c>
      <c r="E90" s="21" t="s">
        <v>9</v>
      </c>
      <c r="F90" s="5812">
        <v>3</v>
      </c>
      <c r="G90" s="5813">
        <v>0.20833333333333334</v>
      </c>
      <c r="H90" s="21" t="s">
        <v>10</v>
      </c>
      <c r="I90" s="21" t="s">
        <v>55</v>
      </c>
      <c r="J90" s="21" t="s">
        <v>11725</v>
      </c>
      <c r="K90" s="5814" t="s">
        <v>11726</v>
      </c>
    </row>
    <row r="91" spans="1:11">
      <c r="A91" s="21" t="s">
        <v>2254</v>
      </c>
      <c r="B91" s="21" t="s">
        <v>11727</v>
      </c>
      <c r="C91" s="21" t="s">
        <v>8</v>
      </c>
      <c r="D91" s="21" t="s">
        <v>1288</v>
      </c>
      <c r="E91" s="21" t="s">
        <v>9</v>
      </c>
      <c r="F91" s="5812">
        <v>3</v>
      </c>
      <c r="G91" s="5813">
        <v>0.20833333333333334</v>
      </c>
      <c r="H91" s="21" t="s">
        <v>10</v>
      </c>
      <c r="I91" s="21" t="s">
        <v>2297</v>
      </c>
      <c r="J91" s="21" t="s">
        <v>11728</v>
      </c>
      <c r="K91" s="5814" t="s">
        <v>11729</v>
      </c>
    </row>
    <row r="92" spans="1:11">
      <c r="A92" s="21" t="s">
        <v>4768</v>
      </c>
      <c r="B92" s="21" t="s">
        <v>11730</v>
      </c>
      <c r="C92" s="21" t="s">
        <v>8</v>
      </c>
      <c r="D92" s="21" t="s">
        <v>1288</v>
      </c>
      <c r="E92" s="21" t="s">
        <v>9</v>
      </c>
      <c r="F92" s="5812">
        <v>3</v>
      </c>
      <c r="G92" s="5813">
        <v>0.20833333333333334</v>
      </c>
      <c r="H92" s="21" t="s">
        <v>10</v>
      </c>
      <c r="I92" s="21" t="s">
        <v>3534</v>
      </c>
      <c r="J92" s="21" t="s">
        <v>11731</v>
      </c>
      <c r="K92" s="5814" t="s">
        <v>11732</v>
      </c>
    </row>
    <row r="93" spans="1:11">
      <c r="A93" s="21" t="s">
        <v>4396</v>
      </c>
      <c r="B93" s="21" t="s">
        <v>9842</v>
      </c>
      <c r="C93" s="21" t="s">
        <v>8</v>
      </c>
      <c r="D93" s="21" t="s">
        <v>1288</v>
      </c>
      <c r="E93" s="21" t="s">
        <v>9</v>
      </c>
      <c r="F93" s="5812">
        <v>3</v>
      </c>
      <c r="G93" s="5813">
        <v>0.20833333333333334</v>
      </c>
      <c r="H93" s="21" t="s">
        <v>10</v>
      </c>
      <c r="I93" s="21" t="s">
        <v>55</v>
      </c>
      <c r="J93" s="21" t="s">
        <v>11733</v>
      </c>
      <c r="K93" s="5814" t="s">
        <v>11734</v>
      </c>
    </row>
    <row r="94" spans="1:11">
      <c r="A94" s="21" t="s">
        <v>4434</v>
      </c>
      <c r="B94" s="21" t="s">
        <v>11735</v>
      </c>
      <c r="C94" s="21" t="s">
        <v>22</v>
      </c>
      <c r="D94" s="21" t="s">
        <v>1288</v>
      </c>
      <c r="E94" s="21" t="s">
        <v>9</v>
      </c>
      <c r="F94" s="5812">
        <v>3</v>
      </c>
      <c r="G94" s="5813">
        <v>0.20833333333333334</v>
      </c>
      <c r="H94" s="21" t="s">
        <v>10</v>
      </c>
      <c r="I94" s="21" t="s">
        <v>2181</v>
      </c>
      <c r="J94" s="21" t="s">
        <v>11736</v>
      </c>
      <c r="K94" s="5814" t="s">
        <v>11737</v>
      </c>
    </row>
    <row r="95" spans="1:11">
      <c r="A95" s="21" t="s">
        <v>2870</v>
      </c>
      <c r="B95" s="21" t="s">
        <v>11738</v>
      </c>
      <c r="C95" s="21" t="s">
        <v>8</v>
      </c>
      <c r="D95" s="21" t="s">
        <v>1288</v>
      </c>
      <c r="E95" s="21" t="s">
        <v>9</v>
      </c>
      <c r="F95" s="5812">
        <v>3</v>
      </c>
      <c r="G95" s="5813">
        <v>0.20833333333333334</v>
      </c>
      <c r="H95" s="21" t="s">
        <v>10</v>
      </c>
      <c r="I95" s="21" t="s">
        <v>2872</v>
      </c>
      <c r="J95" s="21" t="s">
        <v>11739</v>
      </c>
      <c r="K95" s="5814" t="s">
        <v>11740</v>
      </c>
    </row>
    <row r="96" spans="1:11">
      <c r="A96" s="21" t="s">
        <v>2870</v>
      </c>
      <c r="B96" s="21" t="s">
        <v>11741</v>
      </c>
      <c r="C96" s="21" t="s">
        <v>22</v>
      </c>
      <c r="D96" s="21" t="s">
        <v>1288</v>
      </c>
      <c r="E96" s="21" t="s">
        <v>9</v>
      </c>
      <c r="F96" s="5812">
        <v>3</v>
      </c>
      <c r="G96" s="5813">
        <v>0.20833333333333334</v>
      </c>
      <c r="H96" s="21" t="s">
        <v>10</v>
      </c>
      <c r="I96" s="21" t="s">
        <v>55</v>
      </c>
      <c r="J96" s="21" t="s">
        <v>11742</v>
      </c>
      <c r="K96" s="5814" t="s">
        <v>11743</v>
      </c>
    </row>
    <row r="97" spans="1:11">
      <c r="A97" s="21" t="s">
        <v>2280</v>
      </c>
      <c r="B97" s="21" t="s">
        <v>11744</v>
      </c>
      <c r="C97" s="21" t="s">
        <v>8</v>
      </c>
      <c r="D97" s="21" t="s">
        <v>1288</v>
      </c>
      <c r="E97" s="21" t="s">
        <v>9</v>
      </c>
      <c r="F97" s="5812">
        <v>3</v>
      </c>
      <c r="G97" s="5813">
        <v>0.20833333333333334</v>
      </c>
      <c r="H97" s="21" t="s">
        <v>10</v>
      </c>
      <c r="I97" s="21" t="s">
        <v>96</v>
      </c>
      <c r="J97" s="21" t="s">
        <v>11745</v>
      </c>
      <c r="K97" s="5814" t="s">
        <v>11746</v>
      </c>
    </row>
    <row r="98" spans="1:11">
      <c r="A98" s="21" t="s">
        <v>2280</v>
      </c>
      <c r="B98" s="21" t="s">
        <v>11747</v>
      </c>
      <c r="C98" s="21" t="s">
        <v>8</v>
      </c>
      <c r="D98" s="21" t="s">
        <v>1288</v>
      </c>
      <c r="E98" s="21" t="s">
        <v>9</v>
      </c>
      <c r="F98" s="5812">
        <v>3</v>
      </c>
      <c r="G98" s="5813">
        <v>0.20833333333333334</v>
      </c>
      <c r="H98" s="21" t="s">
        <v>10</v>
      </c>
      <c r="I98" s="21" t="s">
        <v>2297</v>
      </c>
      <c r="J98" s="21" t="s">
        <v>11748</v>
      </c>
      <c r="K98" s="5814" t="s">
        <v>11749</v>
      </c>
    </row>
    <row r="99" spans="1:11">
      <c r="A99" s="21" t="s">
        <v>2104</v>
      </c>
      <c r="B99" s="21" t="s">
        <v>11750</v>
      </c>
      <c r="C99" s="21" t="s">
        <v>8</v>
      </c>
      <c r="D99" s="21" t="s">
        <v>1288</v>
      </c>
      <c r="E99" s="21" t="s">
        <v>9</v>
      </c>
      <c r="F99" s="5812">
        <v>5</v>
      </c>
      <c r="G99" s="5813">
        <v>0.20833333333333334</v>
      </c>
      <c r="H99" s="21" t="s">
        <v>54</v>
      </c>
      <c r="I99" s="21" t="s">
        <v>96</v>
      </c>
      <c r="J99" s="21" t="s">
        <v>11751</v>
      </c>
      <c r="K99" s="5814" t="s">
        <v>11752</v>
      </c>
    </row>
    <row r="100" spans="1:11">
      <c r="A100" s="21" t="s">
        <v>2521</v>
      </c>
      <c r="B100" s="21" t="s">
        <v>11753</v>
      </c>
      <c r="C100" s="21" t="s">
        <v>8</v>
      </c>
      <c r="D100" s="21" t="s">
        <v>1288</v>
      </c>
      <c r="E100" s="21" t="s">
        <v>9</v>
      </c>
      <c r="F100" s="5812">
        <v>5</v>
      </c>
      <c r="G100" s="5813">
        <v>0.20833333333333334</v>
      </c>
      <c r="H100" s="21" t="s">
        <v>54</v>
      </c>
      <c r="I100" s="21" t="s">
        <v>47</v>
      </c>
      <c r="J100" s="21" t="s">
        <v>11754</v>
      </c>
      <c r="K100" s="5814" t="s">
        <v>11755</v>
      </c>
    </row>
    <row r="101" spans="1:11">
      <c r="A101" s="21" t="s">
        <v>3192</v>
      </c>
      <c r="B101" s="21" t="s">
        <v>11756</v>
      </c>
      <c r="C101" s="21" t="s">
        <v>22</v>
      </c>
      <c r="D101" s="21" t="s">
        <v>1288</v>
      </c>
      <c r="E101" s="21" t="s">
        <v>9</v>
      </c>
      <c r="F101" s="5812">
        <v>5</v>
      </c>
      <c r="G101" s="5813">
        <v>0.20833333333333334</v>
      </c>
      <c r="H101" s="21" t="s">
        <v>54</v>
      </c>
      <c r="I101" s="21" t="s">
        <v>2665</v>
      </c>
      <c r="J101" s="21" t="s">
        <v>11757</v>
      </c>
      <c r="K101" s="5814" t="s">
        <v>11758</v>
      </c>
    </row>
    <row r="102" spans="1:11">
      <c r="A102" s="21" t="s">
        <v>2595</v>
      </c>
      <c r="B102" s="21" t="s">
        <v>11759</v>
      </c>
      <c r="C102" s="21" t="s">
        <v>8</v>
      </c>
      <c r="D102" s="21" t="s">
        <v>1288</v>
      </c>
      <c r="E102" s="21" t="s">
        <v>46</v>
      </c>
      <c r="F102" s="5812">
        <v>1</v>
      </c>
      <c r="G102" s="5813">
        <v>1.1111111111111112E-2</v>
      </c>
      <c r="H102" s="21" t="s">
        <v>54</v>
      </c>
      <c r="I102" s="21" t="s">
        <v>55</v>
      </c>
      <c r="J102" s="21" t="s">
        <v>48</v>
      </c>
      <c r="K102" s="5814" t="s">
        <v>11760</v>
      </c>
    </row>
    <row r="103" spans="1:11">
      <c r="A103" s="21" t="s">
        <v>2547</v>
      </c>
      <c r="B103" s="21" t="s">
        <v>11761</v>
      </c>
      <c r="C103" s="21" t="s">
        <v>8</v>
      </c>
      <c r="D103" s="21" t="s">
        <v>1288</v>
      </c>
      <c r="E103" s="21" t="s">
        <v>46</v>
      </c>
      <c r="F103" s="5812">
        <v>1</v>
      </c>
      <c r="G103" s="5813">
        <v>1.5277777777777777E-2</v>
      </c>
      <c r="H103" s="21" t="s">
        <v>10</v>
      </c>
      <c r="I103" s="21" t="s">
        <v>23</v>
      </c>
      <c r="J103" s="21" t="s">
        <v>1076</v>
      </c>
      <c r="K103" s="5814" t="s">
        <v>11762</v>
      </c>
    </row>
    <row r="104" spans="1:11">
      <c r="A104" s="21" t="s">
        <v>2053</v>
      </c>
      <c r="B104" s="21" t="s">
        <v>11763</v>
      </c>
      <c r="C104" s="21" t="s">
        <v>8</v>
      </c>
      <c r="D104" s="21" t="s">
        <v>1288</v>
      </c>
      <c r="E104" s="21" t="s">
        <v>46</v>
      </c>
      <c r="F104" s="5812">
        <v>1</v>
      </c>
      <c r="G104" s="5813">
        <v>4.5138888888888888E-2</v>
      </c>
      <c r="H104" s="21" t="s">
        <v>10</v>
      </c>
      <c r="I104" s="21" t="s">
        <v>55</v>
      </c>
      <c r="J104" s="21" t="s">
        <v>97</v>
      </c>
      <c r="K104" s="5814" t="s">
        <v>11764</v>
      </c>
    </row>
    <row r="105" spans="1:11">
      <c r="A105" s="21" t="s">
        <v>2643</v>
      </c>
      <c r="B105" s="21" t="s">
        <v>11765</v>
      </c>
      <c r="C105" s="21" t="s">
        <v>22</v>
      </c>
      <c r="D105" s="21" t="s">
        <v>1288</v>
      </c>
      <c r="E105" s="21" t="s">
        <v>46</v>
      </c>
      <c r="F105" s="5812">
        <v>1</v>
      </c>
      <c r="G105" s="5813">
        <v>7.5694444444444439E-2</v>
      </c>
      <c r="H105" s="21" t="s">
        <v>10</v>
      </c>
      <c r="I105" s="21" t="s">
        <v>23</v>
      </c>
      <c r="J105" s="21" t="s">
        <v>48</v>
      </c>
      <c r="K105" s="5814" t="s">
        <v>11766</v>
      </c>
    </row>
    <row r="106" spans="1:11">
      <c r="A106" s="21" t="s">
        <v>2376</v>
      </c>
      <c r="B106" s="21" t="s">
        <v>11767</v>
      </c>
      <c r="C106" s="21" t="s">
        <v>8</v>
      </c>
      <c r="D106" s="21" t="s">
        <v>1288</v>
      </c>
      <c r="E106" s="21" t="s">
        <v>46</v>
      </c>
      <c r="F106" s="5812">
        <v>1</v>
      </c>
      <c r="G106" s="5813">
        <v>0.12916666666666668</v>
      </c>
      <c r="H106" s="21" t="s">
        <v>10</v>
      </c>
      <c r="I106" s="21" t="s">
        <v>23</v>
      </c>
      <c r="J106" s="21" t="s">
        <v>11768</v>
      </c>
      <c r="K106" s="5814" t="s">
        <v>11769</v>
      </c>
    </row>
    <row r="107" spans="1:11">
      <c r="A107" s="21" t="s">
        <v>5148</v>
      </c>
      <c r="B107" s="21" t="s">
        <v>11770</v>
      </c>
      <c r="C107" s="21" t="s">
        <v>8</v>
      </c>
      <c r="D107" s="21" t="s">
        <v>1288</v>
      </c>
      <c r="E107" s="21" t="s">
        <v>46</v>
      </c>
      <c r="F107" s="5812">
        <v>1</v>
      </c>
      <c r="G107" s="5813">
        <v>0.14305555555555555</v>
      </c>
      <c r="H107" s="21" t="s">
        <v>10</v>
      </c>
      <c r="I107" s="21" t="s">
        <v>23</v>
      </c>
      <c r="J107" s="21" t="s">
        <v>258</v>
      </c>
      <c r="K107" s="5814" t="s">
        <v>11771</v>
      </c>
    </row>
    <row r="108" spans="1:11">
      <c r="A108" s="21" t="s">
        <v>5220</v>
      </c>
      <c r="B108" s="21" t="s">
        <v>11772</v>
      </c>
      <c r="C108" s="21" t="s">
        <v>8</v>
      </c>
      <c r="D108" s="21" t="s">
        <v>1288</v>
      </c>
      <c r="E108" s="21" t="s">
        <v>46</v>
      </c>
      <c r="F108" s="5812">
        <v>1</v>
      </c>
      <c r="G108" s="5813">
        <v>0.15694444444444444</v>
      </c>
      <c r="H108" s="21" t="s">
        <v>10</v>
      </c>
      <c r="I108" s="21" t="s">
        <v>2814</v>
      </c>
      <c r="J108" s="21" t="s">
        <v>1321</v>
      </c>
      <c r="K108" s="5814" t="s">
        <v>11773</v>
      </c>
    </row>
    <row r="109" spans="1:11">
      <c r="A109" s="21" t="s">
        <v>3235</v>
      </c>
      <c r="B109" s="21" t="s">
        <v>11774</v>
      </c>
      <c r="C109" s="21" t="s">
        <v>8</v>
      </c>
      <c r="D109" s="21" t="s">
        <v>1288</v>
      </c>
      <c r="E109" s="21" t="s">
        <v>46</v>
      </c>
      <c r="F109" s="5812">
        <v>1</v>
      </c>
      <c r="G109" s="5813">
        <v>0.19097222222222221</v>
      </c>
      <c r="H109" s="21" t="s">
        <v>10</v>
      </c>
      <c r="I109" s="21" t="s">
        <v>96</v>
      </c>
      <c r="J109" s="21" t="s">
        <v>127</v>
      </c>
      <c r="K109" s="5814" t="s">
        <v>11775</v>
      </c>
    </row>
    <row r="110" spans="1:11">
      <c r="A110" s="21" t="s">
        <v>2156</v>
      </c>
      <c r="B110" s="21" t="s">
        <v>11776</v>
      </c>
      <c r="C110" s="21" t="s">
        <v>22</v>
      </c>
      <c r="D110" s="21" t="s">
        <v>1288</v>
      </c>
      <c r="E110" s="21" t="s">
        <v>46</v>
      </c>
      <c r="F110" s="5812">
        <v>1</v>
      </c>
      <c r="G110" s="5813">
        <v>0.20208333333333334</v>
      </c>
      <c r="H110" s="21" t="s">
        <v>10</v>
      </c>
      <c r="I110" s="21" t="s">
        <v>96</v>
      </c>
      <c r="J110" s="21" t="s">
        <v>48</v>
      </c>
      <c r="K110" s="5814" t="s">
        <v>11777</v>
      </c>
    </row>
    <row r="111" spans="1:11">
      <c r="A111" s="21" t="s">
        <v>2481</v>
      </c>
      <c r="B111" s="21" t="s">
        <v>11778</v>
      </c>
      <c r="C111" s="21" t="s">
        <v>22</v>
      </c>
      <c r="D111" s="21" t="s">
        <v>1288</v>
      </c>
      <c r="E111" s="21" t="s">
        <v>46</v>
      </c>
      <c r="F111" s="5812">
        <v>1</v>
      </c>
      <c r="G111" s="5813">
        <v>0.20416666666666666</v>
      </c>
      <c r="H111" s="21" t="s">
        <v>10</v>
      </c>
      <c r="I111" s="21" t="s">
        <v>11</v>
      </c>
      <c r="J111" s="21" t="s">
        <v>48</v>
      </c>
      <c r="K111" s="5814" t="s">
        <v>11779</v>
      </c>
    </row>
    <row r="112" spans="1:11">
      <c r="A112" s="21" t="s">
        <v>2982</v>
      </c>
      <c r="B112" s="21" t="s">
        <v>11780</v>
      </c>
      <c r="C112" s="21" t="s">
        <v>8</v>
      </c>
      <c r="D112" s="21" t="s">
        <v>1288</v>
      </c>
      <c r="E112" s="21" t="s">
        <v>46</v>
      </c>
      <c r="F112" s="5812">
        <v>2</v>
      </c>
      <c r="G112" s="5813">
        <v>9.8611111111111108E-2</v>
      </c>
      <c r="H112" s="21" t="s">
        <v>10</v>
      </c>
      <c r="I112" s="21" t="s">
        <v>39</v>
      </c>
      <c r="J112" s="21" t="s">
        <v>8015</v>
      </c>
      <c r="K112" s="5814" t="s">
        <v>11781</v>
      </c>
    </row>
    <row r="113" spans="1:11">
      <c r="A113" s="21" t="s">
        <v>2616</v>
      </c>
      <c r="B113" s="21" t="s">
        <v>11782</v>
      </c>
      <c r="C113" s="21" t="s">
        <v>8</v>
      </c>
      <c r="D113" s="21" t="s">
        <v>1288</v>
      </c>
      <c r="E113" s="21" t="s">
        <v>46</v>
      </c>
      <c r="F113" s="5812">
        <v>2</v>
      </c>
      <c r="G113" s="5813">
        <v>9.8611111111111108E-2</v>
      </c>
      <c r="H113" s="21" t="s">
        <v>10</v>
      </c>
      <c r="I113" s="21" t="s">
        <v>2872</v>
      </c>
      <c r="J113" s="21" t="s">
        <v>430</v>
      </c>
      <c r="K113" s="5814" t="s">
        <v>11783</v>
      </c>
    </row>
    <row r="114" spans="1:11">
      <c r="A114" s="21" t="s">
        <v>3213</v>
      </c>
      <c r="B114" s="21" t="s">
        <v>11784</v>
      </c>
      <c r="C114" s="21" t="s">
        <v>22</v>
      </c>
      <c r="D114" s="21" t="s">
        <v>1288</v>
      </c>
      <c r="E114" s="21" t="s">
        <v>46</v>
      </c>
      <c r="F114" s="5812">
        <v>2</v>
      </c>
      <c r="G114" s="5813">
        <v>0.10625</v>
      </c>
      <c r="H114" s="21" t="s">
        <v>10</v>
      </c>
      <c r="I114" s="21" t="s">
        <v>2313</v>
      </c>
      <c r="J114" s="21" t="s">
        <v>430</v>
      </c>
      <c r="K114" s="5814" t="s">
        <v>11785</v>
      </c>
    </row>
    <row r="115" spans="1:11">
      <c r="A115" s="21" t="s">
        <v>2772</v>
      </c>
      <c r="B115" s="21" t="s">
        <v>11786</v>
      </c>
      <c r="C115" s="21" t="s">
        <v>8</v>
      </c>
      <c r="D115" s="21" t="s">
        <v>1288</v>
      </c>
      <c r="E115" s="21" t="s">
        <v>46</v>
      </c>
      <c r="F115" s="5812">
        <v>2</v>
      </c>
      <c r="G115" s="5813">
        <v>0.12013888888888889</v>
      </c>
      <c r="H115" s="21" t="s">
        <v>10</v>
      </c>
      <c r="I115" s="21" t="s">
        <v>2814</v>
      </c>
      <c r="J115" s="21" t="s">
        <v>9292</v>
      </c>
      <c r="K115" s="5814" t="s">
        <v>11787</v>
      </c>
    </row>
    <row r="116" spans="1:11">
      <c r="A116" s="21" t="s">
        <v>79</v>
      </c>
      <c r="B116" s="21" t="s">
        <v>1320</v>
      </c>
      <c r="C116" s="21" t="s">
        <v>22</v>
      </c>
      <c r="D116" s="21" t="s">
        <v>1288</v>
      </c>
      <c r="E116" s="21" t="s">
        <v>46</v>
      </c>
      <c r="F116" s="5812">
        <v>2</v>
      </c>
      <c r="G116" s="5813">
        <v>0.12916666666666668</v>
      </c>
      <c r="H116" s="21" t="s">
        <v>10</v>
      </c>
      <c r="I116" s="21" t="s">
        <v>23</v>
      </c>
      <c r="J116" s="21" t="s">
        <v>1321</v>
      </c>
      <c r="K116" s="5814" t="s">
        <v>1322</v>
      </c>
    </row>
    <row r="117" spans="1:11">
      <c r="A117" s="21" t="s">
        <v>2395</v>
      </c>
      <c r="B117" s="21" t="s">
        <v>11788</v>
      </c>
      <c r="C117" s="21" t="s">
        <v>22</v>
      </c>
      <c r="D117" s="21" t="s">
        <v>1288</v>
      </c>
      <c r="E117" s="21" t="s">
        <v>46</v>
      </c>
      <c r="F117" s="5812">
        <v>2</v>
      </c>
      <c r="G117" s="5813">
        <v>0.16944444444444445</v>
      </c>
      <c r="H117" s="21" t="s">
        <v>10</v>
      </c>
      <c r="I117" s="21" t="s">
        <v>55</v>
      </c>
      <c r="J117" s="21" t="s">
        <v>907</v>
      </c>
      <c r="K117" s="5814" t="s">
        <v>11789</v>
      </c>
    </row>
    <row r="118" spans="1:11">
      <c r="A118" s="21" t="s">
        <v>2070</v>
      </c>
      <c r="B118" s="21" t="s">
        <v>11790</v>
      </c>
      <c r="C118" s="21" t="s">
        <v>8</v>
      </c>
      <c r="D118" s="21" t="s">
        <v>1288</v>
      </c>
      <c r="E118" s="21" t="s">
        <v>46</v>
      </c>
      <c r="F118" s="5812">
        <v>3</v>
      </c>
      <c r="G118" s="5813">
        <v>2.2916666666666665E-2</v>
      </c>
      <c r="H118" s="21" t="s">
        <v>10</v>
      </c>
      <c r="I118" s="21" t="s">
        <v>11</v>
      </c>
      <c r="J118" s="21" t="s">
        <v>258</v>
      </c>
      <c r="K118" s="5814" t="s">
        <v>11791</v>
      </c>
    </row>
    <row r="119" spans="1:11">
      <c r="A119" s="21" t="s">
        <v>3160</v>
      </c>
      <c r="B119" s="21" t="s">
        <v>11792</v>
      </c>
      <c r="C119" s="21" t="s">
        <v>22</v>
      </c>
      <c r="D119" s="21" t="s">
        <v>1288</v>
      </c>
      <c r="E119" s="21" t="s">
        <v>46</v>
      </c>
      <c r="F119" s="5812">
        <v>3</v>
      </c>
      <c r="G119" s="5813">
        <v>3.3333333333333333E-2</v>
      </c>
      <c r="H119" s="21" t="s">
        <v>10</v>
      </c>
      <c r="I119" s="21" t="s">
        <v>788</v>
      </c>
      <c r="J119" s="21" t="s">
        <v>48</v>
      </c>
      <c r="K119" s="5814" t="s">
        <v>11793</v>
      </c>
    </row>
    <row r="120" spans="1:11">
      <c r="A120" s="21" t="s">
        <v>3053</v>
      </c>
      <c r="B120" s="21" t="s">
        <v>11794</v>
      </c>
      <c r="C120" s="21" t="s">
        <v>8</v>
      </c>
      <c r="D120" s="21" t="s">
        <v>1288</v>
      </c>
      <c r="E120" s="21" t="s">
        <v>46</v>
      </c>
      <c r="F120" s="5812">
        <v>3</v>
      </c>
      <c r="G120" s="5813">
        <v>4.791666666666667E-2</v>
      </c>
      <c r="H120" s="21" t="s">
        <v>54</v>
      </c>
      <c r="I120" s="21" t="s">
        <v>47</v>
      </c>
      <c r="J120" s="21" t="s">
        <v>722</v>
      </c>
      <c r="K120" s="5814" t="s">
        <v>11795</v>
      </c>
    </row>
    <row r="121" spans="1:11">
      <c r="A121" s="21" t="s">
        <v>2491</v>
      </c>
      <c r="B121" s="21" t="s">
        <v>11796</v>
      </c>
      <c r="C121" s="21" t="s">
        <v>22</v>
      </c>
      <c r="D121" s="21" t="s">
        <v>1288</v>
      </c>
      <c r="E121" s="21" t="s">
        <v>46</v>
      </c>
      <c r="F121" s="5812">
        <v>3</v>
      </c>
      <c r="G121" s="5813">
        <v>7.8472222222222221E-2</v>
      </c>
      <c r="H121" s="21" t="s">
        <v>10</v>
      </c>
      <c r="I121" s="21" t="s">
        <v>39</v>
      </c>
      <c r="J121" s="21" t="s">
        <v>3080</v>
      </c>
      <c r="K121" s="5814" t="s">
        <v>11797</v>
      </c>
    </row>
    <row r="122" spans="1:11">
      <c r="A122" s="21" t="s">
        <v>3728</v>
      </c>
      <c r="B122" s="21" t="s">
        <v>11798</v>
      </c>
      <c r="C122" s="21" t="s">
        <v>22</v>
      </c>
      <c r="D122" s="21" t="s">
        <v>1288</v>
      </c>
      <c r="E122" s="21" t="s">
        <v>46</v>
      </c>
      <c r="F122" s="5812">
        <v>3</v>
      </c>
      <c r="G122" s="5813">
        <v>0.10138888888888889</v>
      </c>
      <c r="H122" s="21" t="s">
        <v>10</v>
      </c>
      <c r="I122" s="21" t="s">
        <v>47</v>
      </c>
      <c r="J122" s="21" t="s">
        <v>907</v>
      </c>
      <c r="K122" s="5814" t="s">
        <v>11799</v>
      </c>
    </row>
    <row r="123" spans="1:11">
      <c r="A123" s="21" t="s">
        <v>2827</v>
      </c>
      <c r="B123" s="21" t="s">
        <v>11800</v>
      </c>
      <c r="C123" s="21" t="s">
        <v>8</v>
      </c>
      <c r="D123" s="21" t="s">
        <v>1288</v>
      </c>
      <c r="E123" s="21" t="s">
        <v>46</v>
      </c>
      <c r="F123" s="5812">
        <v>3</v>
      </c>
      <c r="G123" s="5813">
        <v>0.11527777777777778</v>
      </c>
      <c r="H123" s="21" t="s">
        <v>10</v>
      </c>
      <c r="I123" s="21" t="s">
        <v>2260</v>
      </c>
      <c r="J123" s="21" t="s">
        <v>1117</v>
      </c>
      <c r="K123" s="5814" t="s">
        <v>11801</v>
      </c>
    </row>
    <row r="124" spans="1:11">
      <c r="A124" s="21" t="s">
        <v>2812</v>
      </c>
      <c r="B124" s="21" t="s">
        <v>11802</v>
      </c>
      <c r="C124" s="21" t="s">
        <v>8</v>
      </c>
      <c r="D124" s="21" t="s">
        <v>1288</v>
      </c>
      <c r="E124" s="21" t="s">
        <v>46</v>
      </c>
      <c r="F124" s="5812">
        <v>3</v>
      </c>
      <c r="G124" s="5813">
        <v>0.12708333333333333</v>
      </c>
      <c r="H124" s="21" t="s">
        <v>10</v>
      </c>
      <c r="I124" s="21" t="s">
        <v>2731</v>
      </c>
      <c r="J124" s="21" t="s">
        <v>907</v>
      </c>
      <c r="K124" s="5814" t="s">
        <v>11803</v>
      </c>
    </row>
    <row r="125" spans="1:11">
      <c r="A125" s="21" t="s">
        <v>2131</v>
      </c>
      <c r="B125" s="21" t="s">
        <v>11804</v>
      </c>
      <c r="C125" s="21" t="s">
        <v>8</v>
      </c>
      <c r="D125" s="21" t="s">
        <v>1288</v>
      </c>
      <c r="E125" s="21" t="s">
        <v>46</v>
      </c>
      <c r="F125" s="5812">
        <v>3</v>
      </c>
      <c r="G125" s="5813">
        <v>0.18124999999999999</v>
      </c>
      <c r="H125" s="21" t="s">
        <v>10</v>
      </c>
      <c r="I125" s="21" t="s">
        <v>23</v>
      </c>
      <c r="J125" s="21" t="s">
        <v>940</v>
      </c>
      <c r="K125" s="5814" t="s">
        <v>11805</v>
      </c>
    </row>
    <row r="126" spans="1:11">
      <c r="A126" s="21" t="s">
        <v>4863</v>
      </c>
      <c r="B126" s="21" t="s">
        <v>11806</v>
      </c>
      <c r="C126" s="21" t="s">
        <v>8</v>
      </c>
      <c r="D126" s="21" t="s">
        <v>1288</v>
      </c>
      <c r="E126" s="21" t="s">
        <v>46</v>
      </c>
      <c r="F126" s="5812">
        <v>3</v>
      </c>
      <c r="G126" s="5813">
        <v>0.20416666666666666</v>
      </c>
      <c r="H126" s="21" t="s">
        <v>10</v>
      </c>
      <c r="I126" s="21" t="s">
        <v>2523</v>
      </c>
      <c r="J126" s="21" t="s">
        <v>258</v>
      </c>
      <c r="K126" s="5814" t="s">
        <v>11807</v>
      </c>
    </row>
    <row r="127" spans="1:11">
      <c r="A127" s="21" t="s">
        <v>3565</v>
      </c>
      <c r="B127" s="21" t="s">
        <v>11808</v>
      </c>
      <c r="C127" s="21" t="s">
        <v>8</v>
      </c>
      <c r="D127" s="21" t="s">
        <v>1288</v>
      </c>
      <c r="E127" s="21" t="s">
        <v>46</v>
      </c>
      <c r="F127" s="5812">
        <v>3</v>
      </c>
      <c r="G127" s="5813">
        <v>0.2048611111111111</v>
      </c>
      <c r="H127" s="21" t="s">
        <v>10</v>
      </c>
      <c r="I127" s="21" t="s">
        <v>2218</v>
      </c>
      <c r="J127" s="21" t="s">
        <v>430</v>
      </c>
      <c r="K127" s="5814" t="s">
        <v>11809</v>
      </c>
    </row>
    <row r="128" spans="1:11">
      <c r="A128" s="21" t="s">
        <v>2045</v>
      </c>
      <c r="B128" s="21" t="s">
        <v>11810</v>
      </c>
      <c r="C128" s="21" t="s">
        <v>22</v>
      </c>
      <c r="D128" s="21" t="s">
        <v>1288</v>
      </c>
      <c r="E128" s="21" t="s">
        <v>61</v>
      </c>
      <c r="F128" s="5812">
        <v>1</v>
      </c>
      <c r="G128" s="5813">
        <v>2.9166666666666667E-2</v>
      </c>
      <c r="H128" s="21" t="s">
        <v>10</v>
      </c>
      <c r="I128" s="21" t="s">
        <v>23</v>
      </c>
      <c r="J128" s="21" t="s">
        <v>3425</v>
      </c>
      <c r="K128" s="5814" t="s">
        <v>11811</v>
      </c>
    </row>
    <row r="129" spans="1:11">
      <c r="A129" s="21" t="s">
        <v>2792</v>
      </c>
      <c r="B129" s="21" t="s">
        <v>11812</v>
      </c>
      <c r="C129" s="21" t="s">
        <v>8</v>
      </c>
      <c r="D129" s="21" t="s">
        <v>1288</v>
      </c>
      <c r="E129" s="21" t="s">
        <v>61</v>
      </c>
      <c r="F129" s="5812">
        <v>1</v>
      </c>
      <c r="G129" s="5813">
        <v>5.1388888888888887E-2</v>
      </c>
      <c r="H129" s="21" t="s">
        <v>10</v>
      </c>
      <c r="I129" s="21" t="s">
        <v>2247</v>
      </c>
      <c r="J129" s="21" t="s">
        <v>836</v>
      </c>
      <c r="K129" s="5814" t="s">
        <v>11813</v>
      </c>
    </row>
    <row r="130" spans="1:11">
      <c r="A130" s="21" t="s">
        <v>5984</v>
      </c>
      <c r="B130" s="21" t="s">
        <v>11814</v>
      </c>
      <c r="C130" s="21" t="s">
        <v>8</v>
      </c>
      <c r="D130" s="21" t="s">
        <v>1288</v>
      </c>
      <c r="E130" s="21" t="s">
        <v>61</v>
      </c>
      <c r="F130" s="5812">
        <v>1</v>
      </c>
      <c r="G130" s="5813">
        <v>5.347222222222222E-2</v>
      </c>
      <c r="H130" s="21" t="s">
        <v>10</v>
      </c>
      <c r="I130" s="21" t="s">
        <v>23</v>
      </c>
      <c r="J130" s="21" t="s">
        <v>11815</v>
      </c>
      <c r="K130" s="5814" t="s">
        <v>11816</v>
      </c>
    </row>
    <row r="131" spans="1:11">
      <c r="A131" s="21" t="s">
        <v>3243</v>
      </c>
      <c r="B131" s="21" t="s">
        <v>11817</v>
      </c>
      <c r="C131" s="21" t="s">
        <v>22</v>
      </c>
      <c r="D131" s="21" t="s">
        <v>1288</v>
      </c>
      <c r="E131" s="21" t="s">
        <v>61</v>
      </c>
      <c r="F131" s="5812">
        <v>1</v>
      </c>
      <c r="G131" s="5813">
        <v>9.0972222222222218E-2</v>
      </c>
      <c r="H131" s="21" t="s">
        <v>10</v>
      </c>
      <c r="I131" s="21" t="s">
        <v>96</v>
      </c>
      <c r="J131" s="21" t="s">
        <v>11818</v>
      </c>
      <c r="K131" s="5814" t="s">
        <v>11819</v>
      </c>
    </row>
    <row r="132" spans="1:11">
      <c r="A132" s="21" t="s">
        <v>4293</v>
      </c>
      <c r="B132" s="21" t="s">
        <v>11820</v>
      </c>
      <c r="C132" s="21" t="s">
        <v>8</v>
      </c>
      <c r="D132" s="21" t="s">
        <v>1288</v>
      </c>
      <c r="E132" s="21" t="s">
        <v>61</v>
      </c>
      <c r="F132" s="5812">
        <v>1</v>
      </c>
      <c r="G132" s="5813">
        <v>0.11874999999999999</v>
      </c>
      <c r="H132" s="21" t="s">
        <v>10</v>
      </c>
      <c r="I132" s="21" t="s">
        <v>2872</v>
      </c>
      <c r="J132" s="21" t="s">
        <v>1379</v>
      </c>
      <c r="K132" s="5814" t="s">
        <v>11821</v>
      </c>
    </row>
    <row r="133" spans="1:11">
      <c r="A133" s="21" t="s">
        <v>2276</v>
      </c>
      <c r="B133" s="21" t="s">
        <v>11822</v>
      </c>
      <c r="C133" s="21" t="s">
        <v>22</v>
      </c>
      <c r="D133" s="21" t="s">
        <v>1288</v>
      </c>
      <c r="E133" s="21" t="s">
        <v>61</v>
      </c>
      <c r="F133" s="5812">
        <v>1</v>
      </c>
      <c r="G133" s="5813">
        <v>0.12013888888888889</v>
      </c>
      <c r="H133" s="21" t="s">
        <v>10</v>
      </c>
      <c r="I133" s="21" t="s">
        <v>2297</v>
      </c>
      <c r="J133" s="21" t="s">
        <v>67</v>
      </c>
      <c r="K133" s="5814" t="s">
        <v>11823</v>
      </c>
    </row>
    <row r="134" spans="1:11">
      <c r="A134" s="21" t="s">
        <v>2446</v>
      </c>
      <c r="B134" s="21" t="s">
        <v>11824</v>
      </c>
      <c r="C134" s="21" t="s">
        <v>22</v>
      </c>
      <c r="D134" s="21" t="s">
        <v>1288</v>
      </c>
      <c r="E134" s="21" t="s">
        <v>61</v>
      </c>
      <c r="F134" s="5812">
        <v>1</v>
      </c>
      <c r="G134" s="5813">
        <v>0.15555555555555556</v>
      </c>
      <c r="H134" s="21" t="s">
        <v>10</v>
      </c>
      <c r="I134" s="21" t="s">
        <v>96</v>
      </c>
      <c r="J134" s="21" t="s">
        <v>1379</v>
      </c>
      <c r="K134" s="5814" t="s">
        <v>11825</v>
      </c>
    </row>
    <row r="135" spans="1:11">
      <c r="A135" s="21" t="s">
        <v>20</v>
      </c>
      <c r="B135" s="21" t="s">
        <v>1302</v>
      </c>
      <c r="C135" s="21" t="s">
        <v>22</v>
      </c>
      <c r="D135" s="21" t="s">
        <v>1288</v>
      </c>
      <c r="E135" s="21" t="s">
        <v>61</v>
      </c>
      <c r="F135" s="5812">
        <v>1</v>
      </c>
      <c r="G135" s="5813">
        <v>0.16250000000000001</v>
      </c>
      <c r="H135" s="21" t="s">
        <v>10</v>
      </c>
      <c r="I135" s="21" t="s">
        <v>39</v>
      </c>
      <c r="J135" s="21" t="s">
        <v>67</v>
      </c>
      <c r="K135" s="5814" t="s">
        <v>1303</v>
      </c>
    </row>
    <row r="136" spans="1:11">
      <c r="A136" s="21" t="s">
        <v>3855</v>
      </c>
      <c r="B136" s="21" t="s">
        <v>11826</v>
      </c>
      <c r="C136" s="21" t="s">
        <v>22</v>
      </c>
      <c r="D136" s="21" t="s">
        <v>1288</v>
      </c>
      <c r="E136" s="21" t="s">
        <v>61</v>
      </c>
      <c r="F136" s="5812">
        <v>2</v>
      </c>
      <c r="G136" s="5813">
        <v>2.6388888888888889E-2</v>
      </c>
      <c r="H136" s="21" t="s">
        <v>54</v>
      </c>
      <c r="I136" s="21" t="s">
        <v>11</v>
      </c>
      <c r="J136" s="21" t="s">
        <v>324</v>
      </c>
      <c r="K136" s="5814" t="s">
        <v>11827</v>
      </c>
    </row>
    <row r="137" spans="1:11">
      <c r="A137" s="21" t="s">
        <v>103</v>
      </c>
      <c r="B137" s="21" t="s">
        <v>1352</v>
      </c>
      <c r="C137" s="21" t="s">
        <v>22</v>
      </c>
      <c r="D137" s="21" t="s">
        <v>1288</v>
      </c>
      <c r="E137" s="21" t="s">
        <v>61</v>
      </c>
      <c r="F137" s="5812">
        <v>2</v>
      </c>
      <c r="G137" s="5813">
        <v>7.4305555555555555E-2</v>
      </c>
      <c r="H137" s="21" t="s">
        <v>10</v>
      </c>
      <c r="I137" s="21" t="s">
        <v>47</v>
      </c>
      <c r="J137" s="21" t="s">
        <v>67</v>
      </c>
      <c r="K137" s="5814" t="s">
        <v>1353</v>
      </c>
    </row>
    <row r="138" spans="1:11">
      <c r="A138" s="21" t="s">
        <v>4170</v>
      </c>
      <c r="B138" s="21" t="s">
        <v>11828</v>
      </c>
      <c r="C138" s="21" t="s">
        <v>8</v>
      </c>
      <c r="D138" s="21" t="s">
        <v>1288</v>
      </c>
      <c r="E138" s="21" t="s">
        <v>61</v>
      </c>
      <c r="F138" s="5812">
        <v>2</v>
      </c>
      <c r="G138" s="5813">
        <v>8.2638888888888887E-2</v>
      </c>
      <c r="H138" s="21" t="s">
        <v>10</v>
      </c>
      <c r="I138" s="21"/>
      <c r="J138" s="21" t="s">
        <v>67</v>
      </c>
      <c r="K138" s="5814" t="s">
        <v>11829</v>
      </c>
    </row>
    <row r="139" spans="1:11">
      <c r="A139" s="21" t="s">
        <v>3044</v>
      </c>
      <c r="B139" s="21" t="s">
        <v>11830</v>
      </c>
      <c r="C139" s="21" t="s">
        <v>8</v>
      </c>
      <c r="D139" s="21" t="s">
        <v>1288</v>
      </c>
      <c r="E139" s="21" t="s">
        <v>61</v>
      </c>
      <c r="F139" s="5812">
        <v>2</v>
      </c>
      <c r="G139" s="5813">
        <v>0.11944444444444445</v>
      </c>
      <c r="H139" s="21" t="s">
        <v>10</v>
      </c>
      <c r="I139" s="21" t="s">
        <v>55</v>
      </c>
      <c r="J139" s="21" t="s">
        <v>62</v>
      </c>
      <c r="K139" s="5814" t="s">
        <v>11831</v>
      </c>
    </row>
    <row r="140" spans="1:11">
      <c r="A140" s="21" t="s">
        <v>3056</v>
      </c>
      <c r="B140" s="21" t="s">
        <v>11832</v>
      </c>
      <c r="C140" s="21" t="s">
        <v>8</v>
      </c>
      <c r="D140" s="21" t="s">
        <v>1288</v>
      </c>
      <c r="E140" s="21" t="s">
        <v>61</v>
      </c>
      <c r="F140" s="5812">
        <v>2</v>
      </c>
      <c r="G140" s="5813">
        <v>0.12986111111111112</v>
      </c>
      <c r="H140" s="21" t="s">
        <v>10</v>
      </c>
      <c r="I140" s="21" t="s">
        <v>400</v>
      </c>
      <c r="J140" s="21" t="s">
        <v>9395</v>
      </c>
      <c r="K140" s="5814" t="s">
        <v>11833</v>
      </c>
    </row>
    <row r="141" spans="1:11">
      <c r="A141" s="21" t="s">
        <v>2737</v>
      </c>
      <c r="B141" s="21" t="s">
        <v>11834</v>
      </c>
      <c r="C141" s="21" t="s">
        <v>22</v>
      </c>
      <c r="D141" s="21" t="s">
        <v>1288</v>
      </c>
      <c r="E141" s="21" t="s">
        <v>61</v>
      </c>
      <c r="F141" s="5812">
        <v>2</v>
      </c>
      <c r="G141" s="5813">
        <v>0.15277777777777779</v>
      </c>
      <c r="H141" s="21" t="s">
        <v>10</v>
      </c>
      <c r="I141" s="21" t="s">
        <v>187</v>
      </c>
      <c r="J141" s="21" t="s">
        <v>3271</v>
      </c>
      <c r="K141" s="5814" t="s">
        <v>11835</v>
      </c>
    </row>
    <row r="142" spans="1:11">
      <c r="A142" s="21" t="s">
        <v>4293</v>
      </c>
      <c r="B142" s="21" t="s">
        <v>11836</v>
      </c>
      <c r="C142" s="21" t="s">
        <v>22</v>
      </c>
      <c r="D142" s="21" t="s">
        <v>1288</v>
      </c>
      <c r="E142" s="21" t="s">
        <v>61</v>
      </c>
      <c r="F142" s="5812">
        <v>2</v>
      </c>
      <c r="G142" s="5813">
        <v>0.17777777777777778</v>
      </c>
      <c r="H142" s="21" t="s">
        <v>10</v>
      </c>
      <c r="I142" s="21" t="s">
        <v>2872</v>
      </c>
      <c r="J142" s="21" t="s">
        <v>505</v>
      </c>
      <c r="K142" s="5814" t="s">
        <v>11837</v>
      </c>
    </row>
    <row r="143" spans="1:11">
      <c r="A143" s="21" t="s">
        <v>2237</v>
      </c>
      <c r="B143" s="21" t="s">
        <v>11838</v>
      </c>
      <c r="C143" s="21" t="s">
        <v>8</v>
      </c>
      <c r="D143" s="21" t="s">
        <v>1288</v>
      </c>
      <c r="E143" s="21" t="s">
        <v>61</v>
      </c>
      <c r="F143" s="5812">
        <v>2</v>
      </c>
      <c r="G143" s="5813">
        <v>0.18680555555555556</v>
      </c>
      <c r="H143" s="21" t="s">
        <v>54</v>
      </c>
      <c r="I143" s="21" t="s">
        <v>55</v>
      </c>
      <c r="J143" s="21" t="s">
        <v>928</v>
      </c>
      <c r="K143" s="5814" t="s">
        <v>11839</v>
      </c>
    </row>
    <row r="144" spans="1:11">
      <c r="A144" s="21" t="s">
        <v>3882</v>
      </c>
      <c r="B144" s="21" t="s">
        <v>11840</v>
      </c>
      <c r="C144" s="21" t="s">
        <v>22</v>
      </c>
      <c r="D144" s="21" t="s">
        <v>1288</v>
      </c>
      <c r="E144" s="21" t="s">
        <v>61</v>
      </c>
      <c r="F144" s="5812">
        <v>2</v>
      </c>
      <c r="G144" s="5813">
        <v>0.19791666666666666</v>
      </c>
      <c r="H144" s="21" t="s">
        <v>10</v>
      </c>
      <c r="I144" s="21" t="s">
        <v>654</v>
      </c>
      <c r="J144" s="21" t="s">
        <v>5385</v>
      </c>
      <c r="K144" s="5814" t="s">
        <v>11841</v>
      </c>
    </row>
    <row r="145" spans="1:11">
      <c r="A145" s="21" t="s">
        <v>3293</v>
      </c>
      <c r="B145" s="21" t="s">
        <v>11842</v>
      </c>
      <c r="C145" s="21" t="s">
        <v>22</v>
      </c>
      <c r="D145" s="21" t="s">
        <v>1288</v>
      </c>
      <c r="E145" s="21" t="s">
        <v>61</v>
      </c>
      <c r="F145" s="5812">
        <v>2</v>
      </c>
      <c r="G145" s="5813">
        <v>0.20694444444444443</v>
      </c>
      <c r="H145" s="21" t="s">
        <v>10</v>
      </c>
      <c r="I145" s="21" t="s">
        <v>55</v>
      </c>
      <c r="J145" s="21" t="s">
        <v>67</v>
      </c>
      <c r="K145" s="5814" t="s">
        <v>11843</v>
      </c>
    </row>
    <row r="146" spans="1:11">
      <c r="A146" s="21" t="s">
        <v>207</v>
      </c>
      <c r="B146" s="21" t="s">
        <v>1311</v>
      </c>
      <c r="C146" s="21" t="s">
        <v>8</v>
      </c>
      <c r="D146" s="21" t="s">
        <v>1288</v>
      </c>
      <c r="E146" s="21" t="s">
        <v>61</v>
      </c>
      <c r="F146" s="5812">
        <v>3</v>
      </c>
      <c r="G146" s="5813">
        <v>5.2083333333333336E-2</v>
      </c>
      <c r="H146" s="21" t="s">
        <v>10</v>
      </c>
      <c r="I146" s="21" t="s">
        <v>654</v>
      </c>
      <c r="J146" s="21" t="s">
        <v>67</v>
      </c>
      <c r="K146" s="5814" t="s">
        <v>1312</v>
      </c>
    </row>
    <row r="147" spans="1:11">
      <c r="A147" s="21" t="s">
        <v>3160</v>
      </c>
      <c r="B147" s="21" t="s">
        <v>11844</v>
      </c>
      <c r="C147" s="21" t="s">
        <v>8</v>
      </c>
      <c r="D147" s="21" t="s">
        <v>1288</v>
      </c>
      <c r="E147" s="21" t="s">
        <v>61</v>
      </c>
      <c r="F147" s="5812">
        <v>3</v>
      </c>
      <c r="G147" s="5813">
        <v>0.14166666666666666</v>
      </c>
      <c r="H147" s="21" t="s">
        <v>10</v>
      </c>
      <c r="I147" s="21" t="s">
        <v>2176</v>
      </c>
      <c r="J147" s="21" t="s">
        <v>5461</v>
      </c>
      <c r="K147" s="5814" t="s">
        <v>11845</v>
      </c>
    </row>
    <row r="148" spans="1:11">
      <c r="A148" s="21" t="s">
        <v>2521</v>
      </c>
      <c r="B148" s="21" t="s">
        <v>11846</v>
      </c>
      <c r="C148" s="21" t="s">
        <v>8</v>
      </c>
      <c r="D148" s="21" t="s">
        <v>1288</v>
      </c>
      <c r="E148" s="21" t="s">
        <v>61</v>
      </c>
      <c r="F148" s="5812">
        <v>3</v>
      </c>
      <c r="G148" s="5813">
        <v>0.1423611111111111</v>
      </c>
      <c r="H148" s="21" t="s">
        <v>10</v>
      </c>
      <c r="I148" s="21"/>
      <c r="J148" s="21" t="s">
        <v>324</v>
      </c>
      <c r="K148" s="5814" t="s">
        <v>11847</v>
      </c>
    </row>
    <row r="149" spans="1:11">
      <c r="A149" s="21" t="s">
        <v>3481</v>
      </c>
      <c r="B149" s="21" t="s">
        <v>11848</v>
      </c>
      <c r="C149" s="21" t="s">
        <v>8</v>
      </c>
      <c r="D149" s="21" t="s">
        <v>1288</v>
      </c>
      <c r="E149" s="21" t="s">
        <v>61</v>
      </c>
      <c r="F149" s="5812">
        <v>3</v>
      </c>
      <c r="G149" s="5813">
        <v>0.15208333333333332</v>
      </c>
      <c r="H149" s="21" t="s">
        <v>10</v>
      </c>
      <c r="I149" s="21" t="s">
        <v>11</v>
      </c>
      <c r="J149" s="21" t="s">
        <v>67</v>
      </c>
      <c r="K149" s="5814" t="s">
        <v>11849</v>
      </c>
    </row>
    <row r="150" spans="1:11">
      <c r="A150" s="21" t="s">
        <v>2061</v>
      </c>
      <c r="B150" s="21" t="s">
        <v>11850</v>
      </c>
      <c r="C150" s="21" t="s">
        <v>8</v>
      </c>
      <c r="D150" s="21" t="s">
        <v>1288</v>
      </c>
      <c r="E150" s="21" t="s">
        <v>61</v>
      </c>
      <c r="F150" s="5812">
        <v>3</v>
      </c>
      <c r="G150" s="5813">
        <v>0.17986111111111111</v>
      </c>
      <c r="H150" s="21" t="s">
        <v>10</v>
      </c>
      <c r="I150" s="21" t="s">
        <v>96</v>
      </c>
      <c r="J150" s="21" t="s">
        <v>67</v>
      </c>
      <c r="K150" s="5814" t="s">
        <v>11851</v>
      </c>
    </row>
    <row r="151" spans="1:11">
      <c r="A151" s="21" t="s">
        <v>3495</v>
      </c>
      <c r="B151" s="21" t="s">
        <v>11852</v>
      </c>
      <c r="C151" s="21" t="s">
        <v>22</v>
      </c>
      <c r="D151" s="21" t="s">
        <v>1288</v>
      </c>
      <c r="E151" s="21" t="s">
        <v>61</v>
      </c>
      <c r="F151" s="5812">
        <v>3</v>
      </c>
      <c r="G151" s="5813">
        <v>0.18055555555555555</v>
      </c>
      <c r="H151" s="21" t="s">
        <v>10</v>
      </c>
      <c r="I151" s="21" t="s">
        <v>4546</v>
      </c>
      <c r="J151" s="21" t="s">
        <v>67</v>
      </c>
      <c r="K151" s="5814" t="s">
        <v>11853</v>
      </c>
    </row>
    <row r="152" spans="1:11">
      <c r="A152" s="21" t="s">
        <v>185</v>
      </c>
      <c r="B152" s="21" t="s">
        <v>1325</v>
      </c>
      <c r="C152" s="21" t="s">
        <v>8</v>
      </c>
      <c r="D152" s="21" t="s">
        <v>1288</v>
      </c>
      <c r="E152" s="21" t="s">
        <v>61</v>
      </c>
      <c r="F152" s="5812">
        <v>3</v>
      </c>
      <c r="G152" s="5813">
        <v>0.18124999999999999</v>
      </c>
      <c r="H152" s="21" t="s">
        <v>10</v>
      </c>
      <c r="I152" s="21" t="s">
        <v>1326</v>
      </c>
      <c r="J152" s="21" t="s">
        <v>1327</v>
      </c>
      <c r="K152" s="5814" t="s">
        <v>1328</v>
      </c>
    </row>
    <row r="153" spans="1:11">
      <c r="A153" s="21" t="s">
        <v>4293</v>
      </c>
      <c r="B153" s="21" t="s">
        <v>9842</v>
      </c>
      <c r="C153" s="21" t="s">
        <v>8</v>
      </c>
      <c r="D153" s="21" t="s">
        <v>1134</v>
      </c>
      <c r="E153" s="21" t="s">
        <v>193</v>
      </c>
      <c r="F153" s="5812">
        <v>5</v>
      </c>
      <c r="G153" s="5813">
        <v>0.20833333333333334</v>
      </c>
      <c r="H153" s="21" t="s">
        <v>54</v>
      </c>
      <c r="I153" s="21" t="s">
        <v>2297</v>
      </c>
      <c r="J153" s="21" t="s">
        <v>9843</v>
      </c>
      <c r="K153" s="5814" t="s">
        <v>9844</v>
      </c>
    </row>
    <row r="154" spans="1:11">
      <c r="A154" s="21" t="s">
        <v>185</v>
      </c>
      <c r="B154" s="21" t="s">
        <v>1133</v>
      </c>
      <c r="C154" s="21" t="s">
        <v>8</v>
      </c>
      <c r="D154" s="21" t="s">
        <v>1134</v>
      </c>
      <c r="E154" s="21" t="s">
        <v>9</v>
      </c>
      <c r="F154" s="5812">
        <v>5</v>
      </c>
      <c r="G154" s="5813">
        <v>0.20833333333333334</v>
      </c>
      <c r="H154" s="21" t="s">
        <v>54</v>
      </c>
      <c r="I154" s="21" t="s">
        <v>400</v>
      </c>
      <c r="J154" s="21" t="s">
        <v>1135</v>
      </c>
      <c r="K154" s="5814" t="s">
        <v>1136</v>
      </c>
    </row>
    <row r="155" spans="1:11">
      <c r="A155" s="21" t="s">
        <v>2947</v>
      </c>
      <c r="B155" s="21" t="s">
        <v>9845</v>
      </c>
      <c r="C155" s="21" t="s">
        <v>8</v>
      </c>
      <c r="D155" s="21" t="s">
        <v>1134</v>
      </c>
      <c r="E155" s="21" t="s">
        <v>9</v>
      </c>
      <c r="F155" s="5812">
        <v>5</v>
      </c>
      <c r="G155" s="5813">
        <v>0.20833333333333334</v>
      </c>
      <c r="H155" s="21" t="s">
        <v>54</v>
      </c>
      <c r="I155" s="21" t="s">
        <v>226</v>
      </c>
      <c r="J155" s="21" t="s">
        <v>9846</v>
      </c>
      <c r="K155" s="5814" t="s">
        <v>9847</v>
      </c>
    </row>
    <row r="156" spans="1:11">
      <c r="A156" s="21" t="s">
        <v>5390</v>
      </c>
      <c r="B156" s="21" t="s">
        <v>9848</v>
      </c>
      <c r="C156" s="21" t="s">
        <v>22</v>
      </c>
      <c r="D156" s="21" t="s">
        <v>1134</v>
      </c>
      <c r="E156" s="21" t="s">
        <v>9</v>
      </c>
      <c r="F156" s="5812">
        <v>5</v>
      </c>
      <c r="G156" s="5813">
        <v>0.20833333333333334</v>
      </c>
      <c r="H156" s="21" t="s">
        <v>54</v>
      </c>
      <c r="I156" s="21" t="s">
        <v>89</v>
      </c>
      <c r="J156" s="21" t="s">
        <v>9849</v>
      </c>
      <c r="K156" s="5814" t="s">
        <v>9850</v>
      </c>
    </row>
    <row r="157" spans="1:11">
      <c r="A157" s="21" t="s">
        <v>2156</v>
      </c>
      <c r="B157" s="21" t="s">
        <v>9851</v>
      </c>
      <c r="C157" s="21" t="s">
        <v>8</v>
      </c>
      <c r="D157" s="21" t="s">
        <v>1134</v>
      </c>
      <c r="E157" s="21" t="s">
        <v>9</v>
      </c>
      <c r="F157" s="5812">
        <v>5</v>
      </c>
      <c r="G157" s="5813">
        <v>0.20833333333333334</v>
      </c>
      <c r="H157" s="21" t="s">
        <v>54</v>
      </c>
      <c r="I157" s="21" t="s">
        <v>11</v>
      </c>
      <c r="J157" s="21" t="s">
        <v>9852</v>
      </c>
      <c r="K157" s="5814" t="s">
        <v>9853</v>
      </c>
    </row>
    <row r="158" spans="1:11">
      <c r="A158" s="21" t="s">
        <v>2863</v>
      </c>
      <c r="B158" s="21" t="s">
        <v>9854</v>
      </c>
      <c r="C158" s="21" t="s">
        <v>8</v>
      </c>
      <c r="D158" s="21" t="s">
        <v>1134</v>
      </c>
      <c r="E158" s="21" t="s">
        <v>46</v>
      </c>
      <c r="F158" s="5812">
        <v>1</v>
      </c>
      <c r="G158" s="5813">
        <v>2.361111111111111E-2</v>
      </c>
      <c r="H158" s="21" t="s">
        <v>54</v>
      </c>
      <c r="I158" s="21" t="s">
        <v>2297</v>
      </c>
      <c r="J158" s="21" t="s">
        <v>48</v>
      </c>
      <c r="K158" s="5814" t="s">
        <v>9855</v>
      </c>
    </row>
    <row r="159" spans="1:11">
      <c r="A159" s="21" t="s">
        <v>2800</v>
      </c>
      <c r="B159" s="21" t="s">
        <v>9856</v>
      </c>
      <c r="C159" s="21" t="s">
        <v>8</v>
      </c>
      <c r="D159" s="21" t="s">
        <v>1134</v>
      </c>
      <c r="E159" s="21" t="s">
        <v>46</v>
      </c>
      <c r="F159" s="5812">
        <v>1</v>
      </c>
      <c r="G159" s="5813">
        <v>3.3333333333333333E-2</v>
      </c>
      <c r="H159" s="21" t="s">
        <v>54</v>
      </c>
      <c r="I159" s="21" t="s">
        <v>55</v>
      </c>
      <c r="J159" s="21" t="s">
        <v>97</v>
      </c>
      <c r="K159" s="5814" t="s">
        <v>9857</v>
      </c>
    </row>
    <row r="160" spans="1:11">
      <c r="A160" s="21" t="s">
        <v>2985</v>
      </c>
      <c r="B160" s="21" t="s">
        <v>9858</v>
      </c>
      <c r="C160" s="21" t="s">
        <v>8</v>
      </c>
      <c r="D160" s="21" t="s">
        <v>1134</v>
      </c>
      <c r="E160" s="21" t="s">
        <v>46</v>
      </c>
      <c r="F160" s="5812">
        <v>1</v>
      </c>
      <c r="G160" s="5813">
        <v>0.1736111111111111</v>
      </c>
      <c r="H160" s="21" t="s">
        <v>54</v>
      </c>
      <c r="I160" s="21" t="s">
        <v>47</v>
      </c>
      <c r="J160" s="21" t="s">
        <v>722</v>
      </c>
      <c r="K160" s="5814" t="s">
        <v>9859</v>
      </c>
    </row>
    <row r="161" spans="1:11">
      <c r="A161" s="21" t="s">
        <v>5235</v>
      </c>
      <c r="B161" s="21" t="s">
        <v>9860</v>
      </c>
      <c r="C161" s="21" t="s">
        <v>22</v>
      </c>
      <c r="D161" s="21" t="s">
        <v>1134</v>
      </c>
      <c r="E161" s="21" t="s">
        <v>46</v>
      </c>
      <c r="F161" s="5812">
        <v>2</v>
      </c>
      <c r="G161" s="5813">
        <v>4.0972222222222222E-2</v>
      </c>
      <c r="H161" s="21" t="s">
        <v>54</v>
      </c>
      <c r="I161" s="21" t="s">
        <v>55</v>
      </c>
      <c r="J161" s="21" t="s">
        <v>722</v>
      </c>
      <c r="K161" s="5814" t="s">
        <v>9861</v>
      </c>
    </row>
    <row r="162" spans="1:11">
      <c r="A162" s="21" t="s">
        <v>3217</v>
      </c>
      <c r="B162" s="21" t="s">
        <v>9862</v>
      </c>
      <c r="C162" s="21" t="s">
        <v>8</v>
      </c>
      <c r="D162" s="21" t="s">
        <v>1134</v>
      </c>
      <c r="E162" s="21" t="s">
        <v>46</v>
      </c>
      <c r="F162" s="5812">
        <v>5</v>
      </c>
      <c r="G162" s="5813">
        <v>0.10833333333333334</v>
      </c>
      <c r="H162" s="21" t="s">
        <v>54</v>
      </c>
      <c r="I162" s="21" t="s">
        <v>47</v>
      </c>
      <c r="J162" s="21" t="s">
        <v>258</v>
      </c>
      <c r="K162" s="5814" t="s">
        <v>9863</v>
      </c>
    </row>
    <row r="163" spans="1:11">
      <c r="A163" s="21" t="s">
        <v>2835</v>
      </c>
      <c r="B163" s="21" t="s">
        <v>9864</v>
      </c>
      <c r="C163" s="21" t="s">
        <v>22</v>
      </c>
      <c r="D163" s="21" t="s">
        <v>1134</v>
      </c>
      <c r="E163" s="21" t="s">
        <v>61</v>
      </c>
      <c r="F163" s="5812">
        <v>1</v>
      </c>
      <c r="G163" s="5813">
        <v>0.1361111111111111</v>
      </c>
      <c r="H163" s="21" t="s">
        <v>54</v>
      </c>
      <c r="I163" s="21" t="s">
        <v>55</v>
      </c>
      <c r="J163" s="21" t="s">
        <v>67</v>
      </c>
      <c r="K163" s="5814" t="s">
        <v>9865</v>
      </c>
    </row>
    <row r="164" spans="1:11">
      <c r="A164" s="21" t="s">
        <v>2461</v>
      </c>
      <c r="B164" s="21" t="s">
        <v>9866</v>
      </c>
      <c r="C164" s="21" t="s">
        <v>22</v>
      </c>
      <c r="D164" s="21" t="s">
        <v>1134</v>
      </c>
      <c r="E164" s="21" t="s">
        <v>61</v>
      </c>
      <c r="F164" s="5812">
        <v>2</v>
      </c>
      <c r="G164" s="5813">
        <v>0.14305555555555555</v>
      </c>
      <c r="H164" s="21" t="s">
        <v>54</v>
      </c>
      <c r="I164" s="21" t="s">
        <v>47</v>
      </c>
      <c r="J164" s="21" t="s">
        <v>67</v>
      </c>
      <c r="K164" s="5814" t="s">
        <v>9867</v>
      </c>
    </row>
    <row r="165" spans="1:11">
      <c r="A165" s="21" t="s">
        <v>4396</v>
      </c>
      <c r="B165" s="21" t="s">
        <v>9868</v>
      </c>
      <c r="C165" s="21" t="s">
        <v>22</v>
      </c>
      <c r="D165" s="21" t="s">
        <v>1134</v>
      </c>
      <c r="E165" s="21" t="s">
        <v>61</v>
      </c>
      <c r="F165" s="5812">
        <v>5</v>
      </c>
      <c r="G165" s="5813">
        <v>0.14583333333333334</v>
      </c>
      <c r="H165" s="21" t="s">
        <v>54</v>
      </c>
      <c r="I165" s="21" t="s">
        <v>2297</v>
      </c>
      <c r="J165" s="21" t="s">
        <v>5466</v>
      </c>
      <c r="K165" s="5814" t="s">
        <v>9869</v>
      </c>
    </row>
  </sheetData>
  <hyperlinks>
    <hyperlink ref="K4" r:id="rId1" xr:uid="{00000000-0004-0000-1900-000000000000}"/>
    <hyperlink ref="K5" r:id="rId2" xr:uid="{00000000-0004-0000-1900-000001000000}"/>
    <hyperlink ref="K6" r:id="rId3" xr:uid="{00000000-0004-0000-1900-000002000000}"/>
    <hyperlink ref="K7" r:id="rId4" xr:uid="{00000000-0004-0000-1900-000003000000}"/>
    <hyperlink ref="K8" r:id="rId5" xr:uid="{00000000-0004-0000-1900-000004000000}"/>
    <hyperlink ref="K9" r:id="rId6" xr:uid="{00000000-0004-0000-1900-000005000000}"/>
    <hyperlink ref="K10" r:id="rId7" xr:uid="{00000000-0004-0000-1900-000006000000}"/>
    <hyperlink ref="K11" r:id="rId8" xr:uid="{00000000-0004-0000-1900-000007000000}"/>
    <hyperlink ref="K12" r:id="rId9" xr:uid="{00000000-0004-0000-1900-000008000000}"/>
    <hyperlink ref="K13" r:id="rId10" xr:uid="{00000000-0004-0000-1900-000009000000}"/>
    <hyperlink ref="K14" r:id="rId11" xr:uid="{00000000-0004-0000-1900-00000A000000}"/>
    <hyperlink ref="K15" r:id="rId12" xr:uid="{00000000-0004-0000-1900-00000B000000}"/>
    <hyperlink ref="K16" r:id="rId13" xr:uid="{00000000-0004-0000-1900-00000C000000}"/>
    <hyperlink ref="K17" r:id="rId14" xr:uid="{00000000-0004-0000-1900-00000D000000}"/>
    <hyperlink ref="K18" r:id="rId15" xr:uid="{00000000-0004-0000-1900-00000E000000}"/>
    <hyperlink ref="K19" r:id="rId16" xr:uid="{00000000-0004-0000-1900-00000F000000}"/>
    <hyperlink ref="K20" r:id="rId17" xr:uid="{00000000-0004-0000-1900-000010000000}"/>
    <hyperlink ref="K21" r:id="rId18" xr:uid="{00000000-0004-0000-1900-000011000000}"/>
    <hyperlink ref="K22" r:id="rId19" xr:uid="{00000000-0004-0000-1900-000012000000}"/>
    <hyperlink ref="K23" r:id="rId20" xr:uid="{00000000-0004-0000-1900-000013000000}"/>
    <hyperlink ref="K24" r:id="rId21" xr:uid="{00000000-0004-0000-1900-000014000000}"/>
    <hyperlink ref="K25" r:id="rId22" xr:uid="{00000000-0004-0000-1900-000015000000}"/>
    <hyperlink ref="K26" r:id="rId23" xr:uid="{00000000-0004-0000-1900-000016000000}"/>
    <hyperlink ref="K27" r:id="rId24" xr:uid="{00000000-0004-0000-1900-000017000000}"/>
    <hyperlink ref="K28" r:id="rId25" xr:uid="{00000000-0004-0000-1900-000018000000}"/>
    <hyperlink ref="K29" r:id="rId26" xr:uid="{00000000-0004-0000-1900-000019000000}"/>
    <hyperlink ref="K30" r:id="rId27" xr:uid="{00000000-0004-0000-1900-00001A000000}"/>
    <hyperlink ref="K31" r:id="rId28" xr:uid="{00000000-0004-0000-1900-00001B000000}"/>
    <hyperlink ref="K32" r:id="rId29" xr:uid="{00000000-0004-0000-1900-00001C000000}"/>
    <hyperlink ref="K33" r:id="rId30" xr:uid="{00000000-0004-0000-1900-00001D000000}"/>
    <hyperlink ref="K34" r:id="rId31" xr:uid="{00000000-0004-0000-1900-00001E000000}"/>
    <hyperlink ref="K35" r:id="rId32" xr:uid="{00000000-0004-0000-1900-00001F000000}"/>
    <hyperlink ref="K36" r:id="rId33" xr:uid="{00000000-0004-0000-1900-000020000000}"/>
    <hyperlink ref="K37" r:id="rId34" xr:uid="{00000000-0004-0000-1900-000021000000}"/>
    <hyperlink ref="K38" r:id="rId35" xr:uid="{00000000-0004-0000-1900-000022000000}"/>
    <hyperlink ref="K39" r:id="rId36" xr:uid="{00000000-0004-0000-1900-000023000000}"/>
    <hyperlink ref="K40" r:id="rId37" xr:uid="{00000000-0004-0000-1900-000024000000}"/>
    <hyperlink ref="K41" r:id="rId38" xr:uid="{00000000-0004-0000-1900-000025000000}"/>
    <hyperlink ref="K42" r:id="rId39" xr:uid="{00000000-0004-0000-1900-000026000000}"/>
    <hyperlink ref="K43" r:id="rId40" xr:uid="{00000000-0004-0000-1900-000027000000}"/>
    <hyperlink ref="K44" r:id="rId41" xr:uid="{00000000-0004-0000-1900-000028000000}"/>
    <hyperlink ref="K45" r:id="rId42" xr:uid="{00000000-0004-0000-1900-000029000000}"/>
    <hyperlink ref="K46" r:id="rId43" xr:uid="{00000000-0004-0000-1900-00002A000000}"/>
    <hyperlink ref="K47" r:id="rId44" xr:uid="{00000000-0004-0000-1900-00002B000000}"/>
    <hyperlink ref="K48" r:id="rId45" xr:uid="{00000000-0004-0000-1900-00002C000000}"/>
    <hyperlink ref="K49" r:id="rId46" xr:uid="{00000000-0004-0000-1900-00002D000000}"/>
    <hyperlink ref="K50" r:id="rId47" xr:uid="{00000000-0004-0000-1900-00002E000000}"/>
    <hyperlink ref="K51" r:id="rId48" xr:uid="{00000000-0004-0000-1900-00002F000000}"/>
    <hyperlink ref="K52" r:id="rId49" xr:uid="{00000000-0004-0000-1900-000030000000}"/>
    <hyperlink ref="K53" r:id="rId50" xr:uid="{00000000-0004-0000-1900-000031000000}"/>
    <hyperlink ref="K54" r:id="rId51" xr:uid="{00000000-0004-0000-1900-000032000000}"/>
    <hyperlink ref="K55" r:id="rId52" xr:uid="{00000000-0004-0000-1900-000033000000}"/>
    <hyperlink ref="K56" r:id="rId53" xr:uid="{00000000-0004-0000-1900-000034000000}"/>
    <hyperlink ref="K57" r:id="rId54" xr:uid="{00000000-0004-0000-1900-000035000000}"/>
    <hyperlink ref="K58" r:id="rId55" xr:uid="{00000000-0004-0000-1900-000036000000}"/>
    <hyperlink ref="K59" r:id="rId56" xr:uid="{00000000-0004-0000-1900-000037000000}"/>
    <hyperlink ref="K60" r:id="rId57" xr:uid="{00000000-0004-0000-1900-000038000000}"/>
    <hyperlink ref="K61" r:id="rId58" xr:uid="{00000000-0004-0000-1900-000039000000}"/>
    <hyperlink ref="K62" r:id="rId59" xr:uid="{00000000-0004-0000-1900-00003A000000}"/>
    <hyperlink ref="K63" r:id="rId60" xr:uid="{00000000-0004-0000-1900-00003B000000}"/>
    <hyperlink ref="K64" r:id="rId61" xr:uid="{00000000-0004-0000-1900-00003C000000}"/>
    <hyperlink ref="K65" r:id="rId62" xr:uid="{00000000-0004-0000-1900-00003D000000}"/>
    <hyperlink ref="K66" r:id="rId63" xr:uid="{00000000-0004-0000-1900-00003E000000}"/>
    <hyperlink ref="K67" r:id="rId64" xr:uid="{00000000-0004-0000-1900-00003F000000}"/>
    <hyperlink ref="K68" r:id="rId65" xr:uid="{00000000-0004-0000-1900-000040000000}"/>
    <hyperlink ref="K69" r:id="rId66" xr:uid="{00000000-0004-0000-1900-000041000000}"/>
    <hyperlink ref="K70" r:id="rId67" xr:uid="{00000000-0004-0000-1900-000042000000}"/>
    <hyperlink ref="K71" r:id="rId68" xr:uid="{00000000-0004-0000-1900-000043000000}"/>
    <hyperlink ref="K72" r:id="rId69" xr:uid="{00000000-0004-0000-1900-000044000000}"/>
    <hyperlink ref="K73" r:id="rId70" xr:uid="{00000000-0004-0000-1900-000045000000}"/>
    <hyperlink ref="K74" r:id="rId71" xr:uid="{00000000-0004-0000-1900-000046000000}"/>
    <hyperlink ref="K75" r:id="rId72" xr:uid="{00000000-0004-0000-1900-000047000000}"/>
    <hyperlink ref="K76" r:id="rId73" xr:uid="{00000000-0004-0000-1900-000048000000}"/>
    <hyperlink ref="K77" r:id="rId74" xr:uid="{00000000-0004-0000-1900-000049000000}"/>
    <hyperlink ref="K78" r:id="rId75" xr:uid="{00000000-0004-0000-1900-00004A000000}"/>
    <hyperlink ref="K79" r:id="rId76" xr:uid="{00000000-0004-0000-1900-00004B000000}"/>
    <hyperlink ref="K80" r:id="rId77" xr:uid="{00000000-0004-0000-1900-00004C000000}"/>
    <hyperlink ref="K81" r:id="rId78" xr:uid="{00000000-0004-0000-1900-00004D000000}"/>
    <hyperlink ref="K82" r:id="rId79" xr:uid="{00000000-0004-0000-1900-00004E000000}"/>
    <hyperlink ref="K83" r:id="rId80" xr:uid="{00000000-0004-0000-1900-00004F000000}"/>
    <hyperlink ref="K84" r:id="rId81" xr:uid="{00000000-0004-0000-1900-000050000000}"/>
    <hyperlink ref="K85" r:id="rId82" xr:uid="{00000000-0004-0000-1900-000051000000}"/>
    <hyperlink ref="K86" r:id="rId83" xr:uid="{00000000-0004-0000-1900-000052000000}"/>
    <hyperlink ref="K87" r:id="rId84" xr:uid="{00000000-0004-0000-1900-000053000000}"/>
    <hyperlink ref="K88" r:id="rId85" xr:uid="{00000000-0004-0000-1900-000054000000}"/>
    <hyperlink ref="K89" r:id="rId86" xr:uid="{00000000-0004-0000-1900-000055000000}"/>
    <hyperlink ref="K90" r:id="rId87" xr:uid="{00000000-0004-0000-1900-000056000000}"/>
    <hyperlink ref="K91" r:id="rId88" xr:uid="{00000000-0004-0000-1900-000057000000}"/>
    <hyperlink ref="K92" r:id="rId89" xr:uid="{00000000-0004-0000-1900-000058000000}"/>
    <hyperlink ref="K93" r:id="rId90" xr:uid="{00000000-0004-0000-1900-000059000000}"/>
    <hyperlink ref="K94" r:id="rId91" xr:uid="{00000000-0004-0000-1900-00005A000000}"/>
    <hyperlink ref="K95" r:id="rId92" xr:uid="{00000000-0004-0000-1900-00005B000000}"/>
    <hyperlink ref="K96" r:id="rId93" xr:uid="{00000000-0004-0000-1900-00005C000000}"/>
    <hyperlink ref="K97" r:id="rId94" xr:uid="{00000000-0004-0000-1900-00005D000000}"/>
    <hyperlink ref="K98" r:id="rId95" xr:uid="{00000000-0004-0000-1900-00005E000000}"/>
    <hyperlink ref="K99" r:id="rId96" xr:uid="{00000000-0004-0000-1900-00005F000000}"/>
    <hyperlink ref="K100" r:id="rId97" xr:uid="{00000000-0004-0000-1900-000060000000}"/>
    <hyperlink ref="K101" r:id="rId98" xr:uid="{00000000-0004-0000-1900-000061000000}"/>
    <hyperlink ref="K102" r:id="rId99" xr:uid="{00000000-0004-0000-1900-000062000000}"/>
    <hyperlink ref="K103" r:id="rId100" xr:uid="{00000000-0004-0000-1900-000063000000}"/>
    <hyperlink ref="K104" r:id="rId101" xr:uid="{00000000-0004-0000-1900-000064000000}"/>
    <hyperlink ref="K105" r:id="rId102" xr:uid="{00000000-0004-0000-1900-000065000000}"/>
    <hyperlink ref="K106" r:id="rId103" xr:uid="{00000000-0004-0000-1900-000066000000}"/>
    <hyperlink ref="K107" r:id="rId104" xr:uid="{00000000-0004-0000-1900-000067000000}"/>
    <hyperlink ref="K108" r:id="rId105" xr:uid="{00000000-0004-0000-1900-000068000000}"/>
    <hyperlink ref="K109" r:id="rId106" xr:uid="{00000000-0004-0000-1900-000069000000}"/>
    <hyperlink ref="K110" r:id="rId107" xr:uid="{00000000-0004-0000-1900-00006A000000}"/>
    <hyperlink ref="K111" r:id="rId108" xr:uid="{00000000-0004-0000-1900-00006B000000}"/>
    <hyperlink ref="K112" r:id="rId109" xr:uid="{00000000-0004-0000-1900-00006C000000}"/>
    <hyperlink ref="K113" r:id="rId110" xr:uid="{00000000-0004-0000-1900-00006D000000}"/>
    <hyperlink ref="K114" r:id="rId111" xr:uid="{00000000-0004-0000-1900-00006E000000}"/>
    <hyperlink ref="K115" r:id="rId112" xr:uid="{00000000-0004-0000-1900-00006F000000}"/>
    <hyperlink ref="K116" r:id="rId113" xr:uid="{00000000-0004-0000-1900-000070000000}"/>
    <hyperlink ref="K117" r:id="rId114" xr:uid="{00000000-0004-0000-1900-000071000000}"/>
    <hyperlink ref="K118" r:id="rId115" xr:uid="{00000000-0004-0000-1900-000072000000}"/>
    <hyperlink ref="K119" r:id="rId116" xr:uid="{00000000-0004-0000-1900-000073000000}"/>
    <hyperlink ref="K120" r:id="rId117" xr:uid="{00000000-0004-0000-1900-000074000000}"/>
    <hyperlink ref="K121" r:id="rId118" xr:uid="{00000000-0004-0000-1900-000075000000}"/>
    <hyperlink ref="K122" r:id="rId119" xr:uid="{00000000-0004-0000-1900-000076000000}"/>
    <hyperlink ref="K123" r:id="rId120" xr:uid="{00000000-0004-0000-1900-000077000000}"/>
    <hyperlink ref="K124" r:id="rId121" xr:uid="{00000000-0004-0000-1900-000078000000}"/>
    <hyperlink ref="K125" r:id="rId122" xr:uid="{00000000-0004-0000-1900-000079000000}"/>
    <hyperlink ref="K126" r:id="rId123" xr:uid="{00000000-0004-0000-1900-00007A000000}"/>
    <hyperlink ref="K127" r:id="rId124" xr:uid="{00000000-0004-0000-1900-00007B000000}"/>
    <hyperlink ref="K128" r:id="rId125" xr:uid="{00000000-0004-0000-1900-00007C000000}"/>
    <hyperlink ref="K129" r:id="rId126" xr:uid="{00000000-0004-0000-1900-00007D000000}"/>
    <hyperlink ref="K130" r:id="rId127" xr:uid="{00000000-0004-0000-1900-00007E000000}"/>
    <hyperlink ref="K131" r:id="rId128" xr:uid="{00000000-0004-0000-1900-00007F000000}"/>
    <hyperlink ref="K132" r:id="rId129" xr:uid="{00000000-0004-0000-1900-000080000000}"/>
    <hyperlink ref="K133" r:id="rId130" xr:uid="{00000000-0004-0000-1900-000081000000}"/>
    <hyperlink ref="K134" r:id="rId131" xr:uid="{00000000-0004-0000-1900-000082000000}"/>
    <hyperlink ref="K135" r:id="rId132" xr:uid="{00000000-0004-0000-1900-000083000000}"/>
    <hyperlink ref="K136" r:id="rId133" xr:uid="{00000000-0004-0000-1900-000084000000}"/>
    <hyperlink ref="K137" r:id="rId134" xr:uid="{00000000-0004-0000-1900-000085000000}"/>
    <hyperlink ref="K138" r:id="rId135" xr:uid="{00000000-0004-0000-1900-000086000000}"/>
    <hyperlink ref="K139" r:id="rId136" xr:uid="{00000000-0004-0000-1900-000087000000}"/>
    <hyperlink ref="K140" r:id="rId137" xr:uid="{00000000-0004-0000-1900-000088000000}"/>
    <hyperlink ref="K141" r:id="rId138" xr:uid="{00000000-0004-0000-1900-000089000000}"/>
    <hyperlink ref="K142" r:id="rId139" xr:uid="{00000000-0004-0000-1900-00008A000000}"/>
    <hyperlink ref="K143" r:id="rId140" xr:uid="{00000000-0004-0000-1900-00008B000000}"/>
    <hyperlink ref="K144" r:id="rId141" xr:uid="{00000000-0004-0000-1900-00008C000000}"/>
    <hyperlink ref="K145" r:id="rId142" xr:uid="{00000000-0004-0000-1900-00008D000000}"/>
    <hyperlink ref="K146" r:id="rId143" xr:uid="{00000000-0004-0000-1900-00008E000000}"/>
    <hyperlink ref="K147" r:id="rId144" xr:uid="{00000000-0004-0000-1900-00008F000000}"/>
    <hyperlink ref="K148" r:id="rId145" xr:uid="{00000000-0004-0000-1900-000090000000}"/>
    <hyperlink ref="K149" r:id="rId146" xr:uid="{00000000-0004-0000-1900-000091000000}"/>
    <hyperlink ref="K150" r:id="rId147" xr:uid="{00000000-0004-0000-1900-000092000000}"/>
    <hyperlink ref="K151" r:id="rId148" xr:uid="{00000000-0004-0000-1900-000093000000}"/>
    <hyperlink ref="K152" r:id="rId149" xr:uid="{00000000-0004-0000-1900-000094000000}"/>
    <hyperlink ref="K153" r:id="rId150" xr:uid="{00000000-0004-0000-1900-000095000000}"/>
    <hyperlink ref="K154" r:id="rId151" xr:uid="{00000000-0004-0000-1900-000096000000}"/>
    <hyperlink ref="K155" r:id="rId152" xr:uid="{00000000-0004-0000-1900-000097000000}"/>
    <hyperlink ref="K156" r:id="rId153" xr:uid="{00000000-0004-0000-1900-000098000000}"/>
    <hyperlink ref="K157" r:id="rId154" xr:uid="{00000000-0004-0000-1900-000099000000}"/>
    <hyperlink ref="K158" r:id="rId155" xr:uid="{00000000-0004-0000-1900-00009A000000}"/>
    <hyperlink ref="K159" r:id="rId156" xr:uid="{00000000-0004-0000-1900-00009B000000}"/>
    <hyperlink ref="K160" r:id="rId157" xr:uid="{00000000-0004-0000-1900-00009C000000}"/>
    <hyperlink ref="K161" r:id="rId158" xr:uid="{00000000-0004-0000-1900-00009D000000}"/>
    <hyperlink ref="K162" r:id="rId159" xr:uid="{00000000-0004-0000-1900-00009E000000}"/>
    <hyperlink ref="K163" r:id="rId160" xr:uid="{00000000-0004-0000-1900-00009F000000}"/>
    <hyperlink ref="K164" r:id="rId161" xr:uid="{00000000-0004-0000-1900-0000A0000000}"/>
    <hyperlink ref="K165" r:id="rId162" xr:uid="{00000000-0004-0000-1900-0000A1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BC225"/>
  <sheetViews>
    <sheetView workbookViewId="0"/>
  </sheetViews>
  <sheetFormatPr defaultColWidth="12.5703125" defaultRowHeight="15.75" customHeight="1"/>
  <cols>
    <col min="4" max="4" width="29.28515625" customWidth="1"/>
  </cols>
  <sheetData>
    <row r="1" spans="1:55">
      <c r="A1" s="5815" t="s">
        <v>13059</v>
      </c>
      <c r="B1" s="5815" t="s">
        <v>13060</v>
      </c>
      <c r="C1" s="5815" t="s">
        <v>13063</v>
      </c>
      <c r="D1" s="5815" t="s">
        <v>13064</v>
      </c>
      <c r="E1" s="5815" t="s">
        <v>13065</v>
      </c>
      <c r="F1" s="5815" t="s">
        <v>13060</v>
      </c>
      <c r="G1" s="5815" t="s">
        <v>1523</v>
      </c>
      <c r="H1" s="5815" t="s">
        <v>46</v>
      </c>
      <c r="I1" s="5815" t="s">
        <v>1522</v>
      </c>
      <c r="J1" s="5815" t="s">
        <v>13062</v>
      </c>
      <c r="K1" s="5815"/>
      <c r="L1" s="5815"/>
      <c r="M1" s="5815"/>
      <c r="N1" s="5815"/>
      <c r="O1" s="5815"/>
      <c r="P1" s="5815"/>
      <c r="Q1" s="5815"/>
      <c r="R1" s="5815"/>
      <c r="S1" s="5815"/>
      <c r="T1" s="5816"/>
      <c r="U1" s="5815"/>
      <c r="V1" s="5815"/>
      <c r="W1" s="5815"/>
      <c r="X1" s="5815"/>
      <c r="Y1" s="5815"/>
      <c r="Z1" s="5815"/>
      <c r="AA1" s="5815"/>
      <c r="AB1" s="5815"/>
      <c r="AC1" s="5815"/>
      <c r="AD1" s="5815"/>
      <c r="AE1" s="5815"/>
      <c r="AF1" s="5815"/>
      <c r="AG1" s="5815"/>
      <c r="AH1" s="5815"/>
      <c r="AI1" s="5815"/>
      <c r="AJ1" s="5815"/>
      <c r="AK1" s="5815"/>
      <c r="AL1" s="5815"/>
      <c r="AM1" s="5815"/>
      <c r="AN1" s="5815"/>
      <c r="AO1" s="5815"/>
      <c r="AP1" s="5815"/>
      <c r="AQ1" s="5815"/>
      <c r="AR1" s="5815"/>
      <c r="AS1" s="5815"/>
      <c r="AT1" s="5815"/>
      <c r="AU1" s="5815"/>
      <c r="AV1" s="5815"/>
      <c r="AW1" s="5815"/>
      <c r="AX1" s="5815"/>
      <c r="AY1" s="5815"/>
      <c r="AZ1" s="5815"/>
      <c r="BA1" s="5815"/>
      <c r="BB1" s="5815"/>
      <c r="BC1" s="620"/>
    </row>
    <row r="2" spans="1:55">
      <c r="A2" s="5817">
        <f>COUNTA(A4:A999)</f>
        <v>222</v>
      </c>
      <c r="B2" s="5822">
        <f>COUNTIF($E$3:$E$800, "Decision*")</f>
        <v>137</v>
      </c>
      <c r="C2" s="5818">
        <f>SUM(B2/$A$2)</f>
        <v>0.61711711711711714</v>
      </c>
      <c r="D2" s="5818">
        <f t="shared" ref="D2:E2" si="0">SUM(G2/$A$2)</f>
        <v>0.21171171171171171</v>
      </c>
      <c r="E2" s="5818">
        <f t="shared" si="0"/>
        <v>0.16216216216216217</v>
      </c>
      <c r="F2" s="5822">
        <f>COUNTIF($E$3:$E$999, "Decision*")</f>
        <v>137</v>
      </c>
      <c r="G2" s="5823">
        <f>COUNTIF($E$3:$E$999, "Submission")</f>
        <v>47</v>
      </c>
      <c r="H2" s="5817">
        <f>COUNTIF($E$3:$E$1000, "KO/TKO")</f>
        <v>36</v>
      </c>
      <c r="I2" s="5823">
        <f>COUNTIF($E$3:$E$999, "Decision - Unanimous")</f>
        <v>105</v>
      </c>
      <c r="J2" s="5819">
        <f>COUNTIF($E$3:$E$999, "Decision - Split")</f>
        <v>30</v>
      </c>
      <c r="K2" s="5824"/>
      <c r="L2" s="5820"/>
      <c r="M2" s="5820"/>
      <c r="N2" s="5820"/>
      <c r="O2" s="5820"/>
      <c r="P2" s="5820"/>
      <c r="Q2" s="5820"/>
      <c r="R2" s="5820"/>
      <c r="S2" s="5820"/>
      <c r="T2" s="5821"/>
      <c r="U2" s="5820"/>
      <c r="V2" s="5820"/>
      <c r="W2" s="5820"/>
      <c r="X2" s="5820"/>
      <c r="Y2" s="5820"/>
      <c r="Z2" s="5820"/>
      <c r="AA2" s="5820"/>
      <c r="AB2" s="5820"/>
      <c r="AC2" s="5820"/>
      <c r="AD2" s="5820"/>
      <c r="AE2" s="5820"/>
      <c r="AF2" s="5820"/>
      <c r="AG2" s="5820"/>
      <c r="AH2" s="5820"/>
      <c r="AI2" s="5820"/>
      <c r="AJ2" s="5820"/>
      <c r="AK2" s="5820"/>
      <c r="AL2" s="5820"/>
      <c r="AM2" s="5820"/>
      <c r="AN2" s="5820"/>
      <c r="AO2" s="5820"/>
      <c r="AP2" s="5820"/>
      <c r="AQ2" s="5820"/>
      <c r="AR2" s="5820"/>
      <c r="AS2" s="5820"/>
      <c r="AT2" s="5820"/>
      <c r="AU2" s="5820"/>
      <c r="AV2" s="5820"/>
      <c r="AW2" s="5820"/>
      <c r="AX2" s="5820"/>
      <c r="AY2" s="5820"/>
      <c r="AZ2" s="5820"/>
      <c r="BA2" s="5820"/>
      <c r="BB2" s="5820"/>
      <c r="BC2" s="620"/>
    </row>
    <row r="3" spans="1:55">
      <c r="A3" s="21" t="s">
        <v>2034</v>
      </c>
      <c r="B3" s="21" t="s">
        <v>2035</v>
      </c>
      <c r="C3" s="21" t="s">
        <v>2036</v>
      </c>
      <c r="D3" s="21" t="s">
        <v>2037</v>
      </c>
      <c r="E3" s="21" t="s">
        <v>2038</v>
      </c>
      <c r="F3" s="21" t="s">
        <v>2039</v>
      </c>
      <c r="G3" s="21" t="s">
        <v>2040</v>
      </c>
      <c r="H3" s="21" t="s">
        <v>2041</v>
      </c>
      <c r="I3" s="21" t="s">
        <v>2042</v>
      </c>
      <c r="J3" s="21" t="s">
        <v>2043</v>
      </c>
      <c r="K3" s="21" t="s">
        <v>2044</v>
      </c>
    </row>
    <row r="4" spans="1:55">
      <c r="A4" s="21" t="s">
        <v>2506</v>
      </c>
      <c r="B4" s="21" t="s">
        <v>11911</v>
      </c>
      <c r="C4" s="21" t="s">
        <v>709</v>
      </c>
      <c r="D4" s="21" t="s">
        <v>1357</v>
      </c>
      <c r="E4" s="21" t="s">
        <v>710</v>
      </c>
      <c r="F4" s="5812">
        <v>3</v>
      </c>
      <c r="G4" s="5813">
        <v>0.20833333333333334</v>
      </c>
      <c r="H4" s="21" t="s">
        <v>10</v>
      </c>
      <c r="I4" s="21" t="s">
        <v>400</v>
      </c>
      <c r="J4" s="21" t="s">
        <v>11912</v>
      </c>
      <c r="K4" s="5814" t="s">
        <v>11913</v>
      </c>
    </row>
    <row r="5" spans="1:55">
      <c r="A5" s="21" t="s">
        <v>2757</v>
      </c>
      <c r="B5" s="21" t="s">
        <v>11914</v>
      </c>
      <c r="C5" s="21" t="s">
        <v>709</v>
      </c>
      <c r="D5" s="21" t="s">
        <v>1357</v>
      </c>
      <c r="E5" s="21" t="s">
        <v>710</v>
      </c>
      <c r="F5" s="5812">
        <v>3</v>
      </c>
      <c r="G5" s="5813">
        <v>0.20833333333333334</v>
      </c>
      <c r="H5" s="21" t="s">
        <v>10</v>
      </c>
      <c r="I5" s="21" t="s">
        <v>2297</v>
      </c>
      <c r="J5" s="21" t="s">
        <v>11915</v>
      </c>
      <c r="K5" s="5814" t="s">
        <v>11916</v>
      </c>
    </row>
    <row r="6" spans="1:55">
      <c r="A6" s="21" t="s">
        <v>3495</v>
      </c>
      <c r="B6" s="21" t="s">
        <v>11917</v>
      </c>
      <c r="C6" s="21" t="s">
        <v>22</v>
      </c>
      <c r="D6" s="21" t="s">
        <v>1357</v>
      </c>
      <c r="E6" s="21" t="s">
        <v>193</v>
      </c>
      <c r="F6" s="5812">
        <v>3</v>
      </c>
      <c r="G6" s="5813">
        <v>7.9861111111111105E-2</v>
      </c>
      <c r="H6" s="21" t="s">
        <v>10</v>
      </c>
      <c r="I6" s="21" t="s">
        <v>4546</v>
      </c>
      <c r="J6" s="21" t="s">
        <v>11918</v>
      </c>
      <c r="K6" s="5814" t="s">
        <v>11919</v>
      </c>
    </row>
    <row r="7" spans="1:55">
      <c r="A7" s="21" t="s">
        <v>135</v>
      </c>
      <c r="B7" s="21" t="s">
        <v>1410</v>
      </c>
      <c r="C7" s="21" t="s">
        <v>8</v>
      </c>
      <c r="D7" s="21" t="s">
        <v>1357</v>
      </c>
      <c r="E7" s="21" t="s">
        <v>193</v>
      </c>
      <c r="F7" s="5812">
        <v>3</v>
      </c>
      <c r="G7" s="5813">
        <v>0.20833333333333334</v>
      </c>
      <c r="H7" s="21" t="s">
        <v>10</v>
      </c>
      <c r="I7" s="21" t="s">
        <v>89</v>
      </c>
      <c r="J7" s="21" t="s">
        <v>1411</v>
      </c>
      <c r="K7" s="5814" t="s">
        <v>1412</v>
      </c>
    </row>
    <row r="8" spans="1:55">
      <c r="A8" s="21" t="s">
        <v>207</v>
      </c>
      <c r="B8" s="21" t="s">
        <v>1382</v>
      </c>
      <c r="C8" s="21" t="s">
        <v>8</v>
      </c>
      <c r="D8" s="21" t="s">
        <v>1357</v>
      </c>
      <c r="E8" s="21" t="s">
        <v>193</v>
      </c>
      <c r="F8" s="5812">
        <v>3</v>
      </c>
      <c r="G8" s="5813">
        <v>0.20833333333333334</v>
      </c>
      <c r="H8" s="21" t="s">
        <v>10</v>
      </c>
      <c r="I8" s="21" t="s">
        <v>39</v>
      </c>
      <c r="J8" s="21" t="s">
        <v>1383</v>
      </c>
      <c r="K8" s="5814" t="s">
        <v>1384</v>
      </c>
    </row>
    <row r="9" spans="1:55">
      <c r="A9" s="21" t="s">
        <v>4552</v>
      </c>
      <c r="B9" s="21" t="s">
        <v>11920</v>
      </c>
      <c r="C9" s="21" t="s">
        <v>8</v>
      </c>
      <c r="D9" s="21" t="s">
        <v>1357</v>
      </c>
      <c r="E9" s="21" t="s">
        <v>193</v>
      </c>
      <c r="F9" s="5812">
        <v>3</v>
      </c>
      <c r="G9" s="5813">
        <v>0.20833333333333334</v>
      </c>
      <c r="H9" s="21" t="s">
        <v>10</v>
      </c>
      <c r="I9" s="21" t="s">
        <v>23</v>
      </c>
      <c r="J9" s="21" t="s">
        <v>11921</v>
      </c>
      <c r="K9" s="5814" t="s">
        <v>11922</v>
      </c>
    </row>
    <row r="10" spans="1:55">
      <c r="A10" s="21" t="s">
        <v>2284</v>
      </c>
      <c r="B10" s="21" t="s">
        <v>11923</v>
      </c>
      <c r="C10" s="21" t="s">
        <v>22</v>
      </c>
      <c r="D10" s="21" t="s">
        <v>1357</v>
      </c>
      <c r="E10" s="21" t="s">
        <v>193</v>
      </c>
      <c r="F10" s="5812">
        <v>3</v>
      </c>
      <c r="G10" s="5813">
        <v>0.20833333333333334</v>
      </c>
      <c r="H10" s="21" t="s">
        <v>10</v>
      </c>
      <c r="I10" s="21" t="s">
        <v>73</v>
      </c>
      <c r="J10" s="21" t="s">
        <v>11924</v>
      </c>
      <c r="K10" s="5814" t="s">
        <v>11925</v>
      </c>
    </row>
    <row r="11" spans="1:55">
      <c r="A11" s="21" t="s">
        <v>3671</v>
      </c>
      <c r="B11" s="21" t="s">
        <v>11926</v>
      </c>
      <c r="C11" s="21" t="s">
        <v>8</v>
      </c>
      <c r="D11" s="21" t="s">
        <v>1357</v>
      </c>
      <c r="E11" s="21" t="s">
        <v>193</v>
      </c>
      <c r="F11" s="5812">
        <v>3</v>
      </c>
      <c r="G11" s="5813">
        <v>0.20833333333333334</v>
      </c>
      <c r="H11" s="21" t="s">
        <v>10</v>
      </c>
      <c r="I11" s="21" t="s">
        <v>55</v>
      </c>
      <c r="J11" s="21" t="s">
        <v>11927</v>
      </c>
      <c r="K11" s="5814" t="s">
        <v>11928</v>
      </c>
    </row>
    <row r="12" spans="1:55">
      <c r="A12" s="21" t="s">
        <v>2053</v>
      </c>
      <c r="B12" s="21" t="s">
        <v>11929</v>
      </c>
      <c r="C12" s="21" t="s">
        <v>22</v>
      </c>
      <c r="D12" s="21" t="s">
        <v>1357</v>
      </c>
      <c r="E12" s="21" t="s">
        <v>193</v>
      </c>
      <c r="F12" s="5812">
        <v>3</v>
      </c>
      <c r="G12" s="5813">
        <v>0.20833333333333334</v>
      </c>
      <c r="H12" s="21" t="s">
        <v>10</v>
      </c>
      <c r="I12" s="21" t="s">
        <v>55</v>
      </c>
      <c r="J12" s="21" t="s">
        <v>11930</v>
      </c>
      <c r="K12" s="5814" t="s">
        <v>11931</v>
      </c>
    </row>
    <row r="13" spans="1:55">
      <c r="A13" s="21" t="s">
        <v>2403</v>
      </c>
      <c r="B13" s="21" t="s">
        <v>11932</v>
      </c>
      <c r="C13" s="21" t="s">
        <v>8</v>
      </c>
      <c r="D13" s="21" t="s">
        <v>1357</v>
      </c>
      <c r="E13" s="21" t="s">
        <v>193</v>
      </c>
      <c r="F13" s="5812">
        <v>3</v>
      </c>
      <c r="G13" s="5813">
        <v>0.20833333333333334</v>
      </c>
      <c r="H13" s="21" t="s">
        <v>10</v>
      </c>
      <c r="I13" s="21" t="s">
        <v>23</v>
      </c>
      <c r="J13" s="21" t="s">
        <v>11933</v>
      </c>
      <c r="K13" s="5814" t="s">
        <v>11934</v>
      </c>
    </row>
    <row r="14" spans="1:55">
      <c r="A14" s="21" t="s">
        <v>3183</v>
      </c>
      <c r="B14" s="21" t="s">
        <v>11935</v>
      </c>
      <c r="C14" s="21" t="s">
        <v>8</v>
      </c>
      <c r="D14" s="21" t="s">
        <v>1357</v>
      </c>
      <c r="E14" s="21" t="s">
        <v>193</v>
      </c>
      <c r="F14" s="5812">
        <v>3</v>
      </c>
      <c r="G14" s="5813">
        <v>0.20833333333333334</v>
      </c>
      <c r="H14" s="21" t="s">
        <v>10</v>
      </c>
      <c r="I14" s="21" t="s">
        <v>23</v>
      </c>
      <c r="J14" s="21" t="s">
        <v>11936</v>
      </c>
      <c r="K14" s="5814" t="s">
        <v>11937</v>
      </c>
    </row>
    <row r="15" spans="1:55">
      <c r="A15" s="21" t="s">
        <v>2450</v>
      </c>
      <c r="B15" s="21" t="s">
        <v>11938</v>
      </c>
      <c r="C15" s="21" t="s">
        <v>22</v>
      </c>
      <c r="D15" s="21" t="s">
        <v>1357</v>
      </c>
      <c r="E15" s="21" t="s">
        <v>193</v>
      </c>
      <c r="F15" s="5812">
        <v>3</v>
      </c>
      <c r="G15" s="5813">
        <v>0.20833333333333334</v>
      </c>
      <c r="H15" s="21" t="s">
        <v>10</v>
      </c>
      <c r="I15" s="21" t="s">
        <v>654</v>
      </c>
      <c r="J15" s="21" t="s">
        <v>11939</v>
      </c>
      <c r="K15" s="5814" t="s">
        <v>11940</v>
      </c>
    </row>
    <row r="16" spans="1:55">
      <c r="A16" s="21" t="s">
        <v>2057</v>
      </c>
      <c r="B16" s="21" t="s">
        <v>11941</v>
      </c>
      <c r="C16" s="21" t="s">
        <v>22</v>
      </c>
      <c r="D16" s="21" t="s">
        <v>1357</v>
      </c>
      <c r="E16" s="21" t="s">
        <v>193</v>
      </c>
      <c r="F16" s="5812">
        <v>3</v>
      </c>
      <c r="G16" s="5813">
        <v>0.20833333333333334</v>
      </c>
      <c r="H16" s="21" t="s">
        <v>10</v>
      </c>
      <c r="I16" s="21" t="s">
        <v>55</v>
      </c>
      <c r="J16" s="21" t="s">
        <v>11942</v>
      </c>
      <c r="K16" s="5814" t="s">
        <v>11943</v>
      </c>
    </row>
    <row r="17" spans="1:11">
      <c r="A17" s="21" t="s">
        <v>3984</v>
      </c>
      <c r="B17" s="21" t="s">
        <v>11944</v>
      </c>
      <c r="C17" s="21" t="s">
        <v>8</v>
      </c>
      <c r="D17" s="21" t="s">
        <v>1357</v>
      </c>
      <c r="E17" s="21" t="s">
        <v>193</v>
      </c>
      <c r="F17" s="5812">
        <v>3</v>
      </c>
      <c r="G17" s="5813">
        <v>0.20833333333333334</v>
      </c>
      <c r="H17" s="21" t="s">
        <v>10</v>
      </c>
      <c r="I17" s="21" t="s">
        <v>55</v>
      </c>
      <c r="J17" s="21" t="s">
        <v>11945</v>
      </c>
      <c r="K17" s="5814" t="s">
        <v>11946</v>
      </c>
    </row>
    <row r="18" spans="1:11">
      <c r="A18" s="21" t="s">
        <v>2499</v>
      </c>
      <c r="B18" s="21" t="s">
        <v>11947</v>
      </c>
      <c r="C18" s="21" t="s">
        <v>22</v>
      </c>
      <c r="D18" s="21" t="s">
        <v>1357</v>
      </c>
      <c r="E18" s="21" t="s">
        <v>193</v>
      </c>
      <c r="F18" s="5812">
        <v>3</v>
      </c>
      <c r="G18" s="5813">
        <v>0.20833333333333334</v>
      </c>
      <c r="H18" s="21" t="s">
        <v>10</v>
      </c>
      <c r="I18" s="21" t="s">
        <v>55</v>
      </c>
      <c r="J18" s="21" t="s">
        <v>11948</v>
      </c>
      <c r="K18" s="5814" t="s">
        <v>11949</v>
      </c>
    </row>
    <row r="19" spans="1:11">
      <c r="A19" s="21" t="s">
        <v>3102</v>
      </c>
      <c r="B19" s="21" t="s">
        <v>11950</v>
      </c>
      <c r="C19" s="21" t="s">
        <v>8</v>
      </c>
      <c r="D19" s="21" t="s">
        <v>1357</v>
      </c>
      <c r="E19" s="21" t="s">
        <v>193</v>
      </c>
      <c r="F19" s="5812">
        <v>3</v>
      </c>
      <c r="G19" s="5813">
        <v>0.20833333333333334</v>
      </c>
      <c r="H19" s="21" t="s">
        <v>10</v>
      </c>
      <c r="I19" s="21" t="s">
        <v>11</v>
      </c>
      <c r="J19" s="21" t="s">
        <v>11951</v>
      </c>
      <c r="K19" s="5814" t="s">
        <v>11952</v>
      </c>
    </row>
    <row r="20" spans="1:11">
      <c r="A20" s="21" t="s">
        <v>3134</v>
      </c>
      <c r="B20" s="21" t="s">
        <v>11953</v>
      </c>
      <c r="C20" s="21" t="s">
        <v>22</v>
      </c>
      <c r="D20" s="21" t="s">
        <v>1357</v>
      </c>
      <c r="E20" s="21" t="s">
        <v>193</v>
      </c>
      <c r="F20" s="5812">
        <v>3</v>
      </c>
      <c r="G20" s="5813">
        <v>0.20833333333333334</v>
      </c>
      <c r="H20" s="21" t="s">
        <v>10</v>
      </c>
      <c r="I20" s="21" t="s">
        <v>39</v>
      </c>
      <c r="J20" s="21" t="s">
        <v>11954</v>
      </c>
      <c r="K20" s="5814" t="s">
        <v>11955</v>
      </c>
    </row>
    <row r="21" spans="1:11">
      <c r="A21" s="21" t="s">
        <v>2143</v>
      </c>
      <c r="B21" s="21" t="s">
        <v>11956</v>
      </c>
      <c r="C21" s="21" t="s">
        <v>8</v>
      </c>
      <c r="D21" s="21" t="s">
        <v>1357</v>
      </c>
      <c r="E21" s="21" t="s">
        <v>193</v>
      </c>
      <c r="F21" s="5812">
        <v>3</v>
      </c>
      <c r="G21" s="5813">
        <v>0.20833333333333334</v>
      </c>
      <c r="H21" s="21" t="s">
        <v>10</v>
      </c>
      <c r="I21" s="21" t="s">
        <v>209</v>
      </c>
      <c r="J21" s="21" t="s">
        <v>11957</v>
      </c>
      <c r="K21" s="5814" t="s">
        <v>11958</v>
      </c>
    </row>
    <row r="22" spans="1:11">
      <c r="A22" s="21" t="s">
        <v>3311</v>
      </c>
      <c r="B22" s="21" t="s">
        <v>11959</v>
      </c>
      <c r="C22" s="21" t="s">
        <v>8</v>
      </c>
      <c r="D22" s="21" t="s">
        <v>1357</v>
      </c>
      <c r="E22" s="21" t="s">
        <v>193</v>
      </c>
      <c r="F22" s="5812">
        <v>3</v>
      </c>
      <c r="G22" s="5813">
        <v>0.20833333333333334</v>
      </c>
      <c r="H22" s="21" t="s">
        <v>10</v>
      </c>
      <c r="I22" s="21" t="s">
        <v>23</v>
      </c>
      <c r="J22" s="21" t="s">
        <v>11960</v>
      </c>
      <c r="K22" s="5814" t="s">
        <v>11961</v>
      </c>
    </row>
    <row r="23" spans="1:11">
      <c r="A23" s="21" t="s">
        <v>3728</v>
      </c>
      <c r="B23" s="21" t="s">
        <v>11962</v>
      </c>
      <c r="C23" s="21" t="s">
        <v>8</v>
      </c>
      <c r="D23" s="21" t="s">
        <v>1357</v>
      </c>
      <c r="E23" s="21" t="s">
        <v>193</v>
      </c>
      <c r="F23" s="5812">
        <v>3</v>
      </c>
      <c r="G23" s="5813">
        <v>0.20833333333333334</v>
      </c>
      <c r="H23" s="21" t="s">
        <v>10</v>
      </c>
      <c r="I23" s="21" t="s">
        <v>4179</v>
      </c>
      <c r="J23" s="21" t="s">
        <v>11963</v>
      </c>
      <c r="K23" s="5814" t="s">
        <v>11964</v>
      </c>
    </row>
    <row r="24" spans="1:11">
      <c r="A24" s="21" t="s">
        <v>2579</v>
      </c>
      <c r="B24" s="21" t="s">
        <v>11965</v>
      </c>
      <c r="C24" s="21" t="s">
        <v>22</v>
      </c>
      <c r="D24" s="21" t="s">
        <v>1357</v>
      </c>
      <c r="E24" s="21" t="s">
        <v>193</v>
      </c>
      <c r="F24" s="5812">
        <v>3</v>
      </c>
      <c r="G24" s="5813">
        <v>0.20833333333333334</v>
      </c>
      <c r="H24" s="21" t="s">
        <v>10</v>
      </c>
      <c r="I24" s="21" t="s">
        <v>2153</v>
      </c>
      <c r="J24" s="21" t="s">
        <v>11966</v>
      </c>
      <c r="K24" s="5814" t="s">
        <v>11967</v>
      </c>
    </row>
    <row r="25" spans="1:11">
      <c r="A25" s="21" t="s">
        <v>4177</v>
      </c>
      <c r="B25" s="21" t="s">
        <v>11968</v>
      </c>
      <c r="C25" s="21" t="s">
        <v>8</v>
      </c>
      <c r="D25" s="21" t="s">
        <v>1357</v>
      </c>
      <c r="E25" s="21" t="s">
        <v>193</v>
      </c>
      <c r="F25" s="5812">
        <v>3</v>
      </c>
      <c r="G25" s="5813">
        <v>0.20833333333333334</v>
      </c>
      <c r="H25" s="21" t="s">
        <v>10</v>
      </c>
      <c r="I25" s="21" t="s">
        <v>47</v>
      </c>
      <c r="J25" s="21" t="s">
        <v>11969</v>
      </c>
      <c r="K25" s="5814" t="s">
        <v>11970</v>
      </c>
    </row>
    <row r="26" spans="1:11">
      <c r="A26" s="21" t="s">
        <v>2998</v>
      </c>
      <c r="B26" s="21" t="s">
        <v>11971</v>
      </c>
      <c r="C26" s="21" t="s">
        <v>8</v>
      </c>
      <c r="D26" s="21" t="s">
        <v>1357</v>
      </c>
      <c r="E26" s="21" t="s">
        <v>193</v>
      </c>
      <c r="F26" s="5812">
        <v>3</v>
      </c>
      <c r="G26" s="5813">
        <v>0.20833333333333334</v>
      </c>
      <c r="H26" s="21" t="s">
        <v>10</v>
      </c>
      <c r="I26" s="21" t="s">
        <v>2747</v>
      </c>
      <c r="J26" s="21" t="s">
        <v>11972</v>
      </c>
      <c r="K26" s="5814" t="s">
        <v>11973</v>
      </c>
    </row>
    <row r="27" spans="1:11">
      <c r="A27" s="21" t="s">
        <v>2668</v>
      </c>
      <c r="B27" s="21" t="s">
        <v>11974</v>
      </c>
      <c r="C27" s="21" t="s">
        <v>22</v>
      </c>
      <c r="D27" s="21" t="s">
        <v>1357</v>
      </c>
      <c r="E27" s="21" t="s">
        <v>193</v>
      </c>
      <c r="F27" s="5812">
        <v>3</v>
      </c>
      <c r="G27" s="5813">
        <v>0.20833333333333334</v>
      </c>
      <c r="H27" s="21" t="s">
        <v>10</v>
      </c>
      <c r="I27" s="21" t="s">
        <v>194</v>
      </c>
      <c r="J27" s="21" t="s">
        <v>11975</v>
      </c>
      <c r="K27" s="5814" t="s">
        <v>11976</v>
      </c>
    </row>
    <row r="28" spans="1:11">
      <c r="A28" s="21" t="s">
        <v>3036</v>
      </c>
      <c r="B28" s="21" t="s">
        <v>11977</v>
      </c>
      <c r="C28" s="21" t="s">
        <v>8</v>
      </c>
      <c r="D28" s="21" t="s">
        <v>1357</v>
      </c>
      <c r="E28" s="21" t="s">
        <v>193</v>
      </c>
      <c r="F28" s="5812">
        <v>3</v>
      </c>
      <c r="G28" s="5813">
        <v>0.20833333333333334</v>
      </c>
      <c r="H28" s="21" t="s">
        <v>10</v>
      </c>
      <c r="I28" s="21" t="s">
        <v>2153</v>
      </c>
      <c r="J28" s="21" t="s">
        <v>11978</v>
      </c>
      <c r="K28" s="5814" t="s">
        <v>11979</v>
      </c>
    </row>
    <row r="29" spans="1:11">
      <c r="A29" s="21" t="s">
        <v>3765</v>
      </c>
      <c r="B29" s="21" t="s">
        <v>11980</v>
      </c>
      <c r="C29" s="21" t="s">
        <v>22</v>
      </c>
      <c r="D29" s="21" t="s">
        <v>1357</v>
      </c>
      <c r="E29" s="21" t="s">
        <v>193</v>
      </c>
      <c r="F29" s="5812">
        <v>3</v>
      </c>
      <c r="G29" s="5813">
        <v>0.20833333333333334</v>
      </c>
      <c r="H29" s="21" t="s">
        <v>10</v>
      </c>
      <c r="I29" s="21" t="s">
        <v>226</v>
      </c>
      <c r="J29" s="21" t="s">
        <v>11981</v>
      </c>
      <c r="K29" s="5814" t="s">
        <v>11982</v>
      </c>
    </row>
    <row r="30" spans="1:11">
      <c r="A30" s="21" t="s">
        <v>3354</v>
      </c>
      <c r="B30" s="21" t="s">
        <v>11983</v>
      </c>
      <c r="C30" s="21" t="s">
        <v>22</v>
      </c>
      <c r="D30" s="21" t="s">
        <v>1357</v>
      </c>
      <c r="E30" s="21" t="s">
        <v>193</v>
      </c>
      <c r="F30" s="5812">
        <v>3</v>
      </c>
      <c r="G30" s="5813">
        <v>0.20833333333333334</v>
      </c>
      <c r="H30" s="21" t="s">
        <v>10</v>
      </c>
      <c r="I30" s="21" t="s">
        <v>226</v>
      </c>
      <c r="J30" s="21" t="s">
        <v>11984</v>
      </c>
      <c r="K30" s="5814" t="s">
        <v>11985</v>
      </c>
    </row>
    <row r="31" spans="1:11">
      <c r="A31" s="21" t="s">
        <v>2212</v>
      </c>
      <c r="B31" s="21" t="s">
        <v>11986</v>
      </c>
      <c r="C31" s="21" t="s">
        <v>8</v>
      </c>
      <c r="D31" s="21" t="s">
        <v>1357</v>
      </c>
      <c r="E31" s="21" t="s">
        <v>193</v>
      </c>
      <c r="F31" s="5812">
        <v>3</v>
      </c>
      <c r="G31" s="5813">
        <v>0.20833333333333334</v>
      </c>
      <c r="H31" s="21" t="s">
        <v>10</v>
      </c>
      <c r="I31" s="21" t="s">
        <v>615</v>
      </c>
      <c r="J31" s="21" t="s">
        <v>11987</v>
      </c>
      <c r="K31" s="5814" t="s">
        <v>11988</v>
      </c>
    </row>
    <row r="32" spans="1:11">
      <c r="A32" s="21" t="s">
        <v>2757</v>
      </c>
      <c r="B32" s="21" t="s">
        <v>11989</v>
      </c>
      <c r="C32" s="21" t="s">
        <v>22</v>
      </c>
      <c r="D32" s="21" t="s">
        <v>1357</v>
      </c>
      <c r="E32" s="21" t="s">
        <v>193</v>
      </c>
      <c r="F32" s="5812">
        <v>3</v>
      </c>
      <c r="G32" s="5813">
        <v>0.20833333333333334</v>
      </c>
      <c r="H32" s="21" t="s">
        <v>10</v>
      </c>
      <c r="I32" s="21" t="s">
        <v>2297</v>
      </c>
      <c r="J32" s="21" t="s">
        <v>11990</v>
      </c>
      <c r="K32" s="5814" t="s">
        <v>11991</v>
      </c>
    </row>
    <row r="33" spans="1:11">
      <c r="A33" s="21" t="s">
        <v>3532</v>
      </c>
      <c r="B33" s="21" t="s">
        <v>11992</v>
      </c>
      <c r="C33" s="21" t="s">
        <v>22</v>
      </c>
      <c r="D33" s="21" t="s">
        <v>1357</v>
      </c>
      <c r="E33" s="21" t="s">
        <v>193</v>
      </c>
      <c r="F33" s="5812">
        <v>3</v>
      </c>
      <c r="G33" s="5813">
        <v>0.20833333333333334</v>
      </c>
      <c r="H33" s="21" t="s">
        <v>10</v>
      </c>
      <c r="I33" s="21" t="s">
        <v>3534</v>
      </c>
      <c r="J33" s="21" t="s">
        <v>11993</v>
      </c>
      <c r="K33" s="5814" t="s">
        <v>11994</v>
      </c>
    </row>
    <row r="34" spans="1:11">
      <c r="A34" s="21" t="s">
        <v>339</v>
      </c>
      <c r="B34" s="21" t="s">
        <v>1361</v>
      </c>
      <c r="C34" s="21" t="s">
        <v>22</v>
      </c>
      <c r="D34" s="21" t="s">
        <v>1357</v>
      </c>
      <c r="E34" s="21" t="s">
        <v>9</v>
      </c>
      <c r="F34" s="5812">
        <v>3</v>
      </c>
      <c r="G34" s="5813">
        <v>0.20833333333333334</v>
      </c>
      <c r="H34" s="21" t="s">
        <v>10</v>
      </c>
      <c r="I34" s="21" t="s">
        <v>572</v>
      </c>
      <c r="J34" s="21" t="s">
        <v>1362</v>
      </c>
      <c r="K34" s="5814" t="s">
        <v>1363</v>
      </c>
    </row>
    <row r="35" spans="1:11">
      <c r="A35" s="21" t="s">
        <v>87</v>
      </c>
      <c r="B35" s="21" t="s">
        <v>1368</v>
      </c>
      <c r="C35" s="21" t="s">
        <v>8</v>
      </c>
      <c r="D35" s="21" t="s">
        <v>1357</v>
      </c>
      <c r="E35" s="21" t="s">
        <v>9</v>
      </c>
      <c r="F35" s="5812">
        <v>3</v>
      </c>
      <c r="G35" s="5813">
        <v>0.20833333333333334</v>
      </c>
      <c r="H35" s="21" t="s">
        <v>10</v>
      </c>
      <c r="I35" s="21" t="s">
        <v>788</v>
      </c>
      <c r="J35" s="21" t="s">
        <v>1369</v>
      </c>
      <c r="K35" s="5814" t="s">
        <v>1370</v>
      </c>
    </row>
    <row r="36" spans="1:11">
      <c r="A36" s="21" t="s">
        <v>94</v>
      </c>
      <c r="B36" s="21" t="s">
        <v>1390</v>
      </c>
      <c r="C36" s="21" t="s">
        <v>22</v>
      </c>
      <c r="D36" s="21" t="s">
        <v>1357</v>
      </c>
      <c r="E36" s="21" t="s">
        <v>9</v>
      </c>
      <c r="F36" s="5812">
        <v>3</v>
      </c>
      <c r="G36" s="5813">
        <v>0.20833333333333334</v>
      </c>
      <c r="H36" s="21" t="s">
        <v>10</v>
      </c>
      <c r="I36" s="21" t="s">
        <v>96</v>
      </c>
      <c r="J36" s="21" t="s">
        <v>1391</v>
      </c>
      <c r="K36" s="5814" t="s">
        <v>1392</v>
      </c>
    </row>
    <row r="37" spans="1:11">
      <c r="A37" s="21" t="s">
        <v>135</v>
      </c>
      <c r="B37" s="21" t="s">
        <v>1405</v>
      </c>
      <c r="C37" s="21" t="s">
        <v>22</v>
      </c>
      <c r="D37" s="21" t="s">
        <v>1357</v>
      </c>
      <c r="E37" s="21" t="s">
        <v>9</v>
      </c>
      <c r="F37" s="5812">
        <v>3</v>
      </c>
      <c r="G37" s="5813">
        <v>0.20833333333333334</v>
      </c>
      <c r="H37" s="21" t="s">
        <v>10</v>
      </c>
      <c r="I37" s="21" t="s">
        <v>609</v>
      </c>
      <c r="J37" s="21" t="s">
        <v>1406</v>
      </c>
      <c r="K37" s="5814" t="s">
        <v>1407</v>
      </c>
    </row>
    <row r="38" spans="1:11">
      <c r="A38" s="21" t="s">
        <v>166</v>
      </c>
      <c r="B38" s="21" t="s">
        <v>1415</v>
      </c>
      <c r="C38" s="21" t="s">
        <v>22</v>
      </c>
      <c r="D38" s="21" t="s">
        <v>1357</v>
      </c>
      <c r="E38" s="21" t="s">
        <v>9</v>
      </c>
      <c r="F38" s="5812">
        <v>3</v>
      </c>
      <c r="G38" s="5813">
        <v>0.20833333333333334</v>
      </c>
      <c r="H38" s="21" t="s">
        <v>10</v>
      </c>
      <c r="I38" s="21" t="s">
        <v>615</v>
      </c>
      <c r="J38" s="21" t="s">
        <v>1416</v>
      </c>
      <c r="K38" s="5814" t="s">
        <v>1417</v>
      </c>
    </row>
    <row r="39" spans="1:11">
      <c r="A39" s="21" t="s">
        <v>311</v>
      </c>
      <c r="B39" s="21" t="s">
        <v>1419</v>
      </c>
      <c r="C39" s="21" t="s">
        <v>22</v>
      </c>
      <c r="D39" s="21" t="s">
        <v>1357</v>
      </c>
      <c r="E39" s="21" t="s">
        <v>9</v>
      </c>
      <c r="F39" s="5812">
        <v>3</v>
      </c>
      <c r="G39" s="5813">
        <v>0.20833333333333334</v>
      </c>
      <c r="H39" s="21" t="s">
        <v>10</v>
      </c>
      <c r="I39" s="21" t="s">
        <v>39</v>
      </c>
      <c r="J39" s="21" t="s">
        <v>1420</v>
      </c>
      <c r="K39" s="5814" t="s">
        <v>1421</v>
      </c>
    </row>
    <row r="40" spans="1:11">
      <c r="A40" s="21" t="s">
        <v>71</v>
      </c>
      <c r="B40" s="21" t="s">
        <v>1387</v>
      </c>
      <c r="C40" s="21" t="s">
        <v>22</v>
      </c>
      <c r="D40" s="21" t="s">
        <v>1357</v>
      </c>
      <c r="E40" s="21" t="s">
        <v>9</v>
      </c>
      <c r="F40" s="5812">
        <v>3</v>
      </c>
      <c r="G40" s="5813">
        <v>0.20833333333333334</v>
      </c>
      <c r="H40" s="21" t="s">
        <v>10</v>
      </c>
      <c r="I40" s="21" t="s">
        <v>39</v>
      </c>
      <c r="J40" s="21" t="s">
        <v>1388</v>
      </c>
      <c r="K40" s="5814" t="s">
        <v>11995</v>
      </c>
    </row>
    <row r="41" spans="1:11">
      <c r="A41" s="21" t="s">
        <v>6</v>
      </c>
      <c r="B41" s="21" t="s">
        <v>1356</v>
      </c>
      <c r="C41" s="21" t="s">
        <v>22</v>
      </c>
      <c r="D41" s="21" t="s">
        <v>1357</v>
      </c>
      <c r="E41" s="21" t="s">
        <v>9</v>
      </c>
      <c r="F41" s="5812">
        <v>3</v>
      </c>
      <c r="G41" s="5813">
        <v>0.20833333333333334</v>
      </c>
      <c r="H41" s="21" t="s">
        <v>10</v>
      </c>
      <c r="I41" s="21" t="s">
        <v>654</v>
      </c>
      <c r="J41" s="21" t="s">
        <v>1358</v>
      </c>
      <c r="K41" s="5814" t="s">
        <v>11996</v>
      </c>
    </row>
    <row r="42" spans="1:11">
      <c r="A42" s="21" t="s">
        <v>2941</v>
      </c>
      <c r="B42" s="21" t="s">
        <v>11997</v>
      </c>
      <c r="C42" s="21" t="s">
        <v>8</v>
      </c>
      <c r="D42" s="21" t="s">
        <v>1357</v>
      </c>
      <c r="E42" s="21" t="s">
        <v>9</v>
      </c>
      <c r="F42" s="5812">
        <v>3</v>
      </c>
      <c r="G42" s="5813">
        <v>0.20833333333333334</v>
      </c>
      <c r="H42" s="21" t="s">
        <v>10</v>
      </c>
      <c r="I42" s="21" t="s">
        <v>96</v>
      </c>
      <c r="J42" s="21" t="s">
        <v>11998</v>
      </c>
      <c r="K42" s="5814" t="s">
        <v>11999</v>
      </c>
    </row>
    <row r="43" spans="1:11">
      <c r="A43" s="21" t="s">
        <v>2311</v>
      </c>
      <c r="B43" s="21" t="s">
        <v>12000</v>
      </c>
      <c r="C43" s="21" t="s">
        <v>8</v>
      </c>
      <c r="D43" s="21" t="s">
        <v>1357</v>
      </c>
      <c r="E43" s="21" t="s">
        <v>9</v>
      </c>
      <c r="F43" s="5812">
        <v>3</v>
      </c>
      <c r="G43" s="5813">
        <v>0.20833333333333334</v>
      </c>
      <c r="H43" s="21" t="s">
        <v>10</v>
      </c>
      <c r="I43" s="21" t="s">
        <v>2814</v>
      </c>
      <c r="J43" s="21" t="s">
        <v>12001</v>
      </c>
      <c r="K43" s="5814" t="s">
        <v>12002</v>
      </c>
    </row>
    <row r="44" spans="1:11">
      <c r="A44" s="21" t="s">
        <v>2300</v>
      </c>
      <c r="B44" s="21" t="s">
        <v>12003</v>
      </c>
      <c r="C44" s="21" t="s">
        <v>22</v>
      </c>
      <c r="D44" s="21" t="s">
        <v>1357</v>
      </c>
      <c r="E44" s="21" t="s">
        <v>9</v>
      </c>
      <c r="F44" s="5812">
        <v>3</v>
      </c>
      <c r="G44" s="5813">
        <v>0.20833333333333334</v>
      </c>
      <c r="H44" s="21" t="s">
        <v>10</v>
      </c>
      <c r="I44" s="21" t="s">
        <v>187</v>
      </c>
      <c r="J44" s="21" t="s">
        <v>12004</v>
      </c>
      <c r="K44" s="5814" t="s">
        <v>12005</v>
      </c>
    </row>
    <row r="45" spans="1:11">
      <c r="A45" s="21" t="s">
        <v>4552</v>
      </c>
      <c r="B45" s="21" t="s">
        <v>12006</v>
      </c>
      <c r="C45" s="21" t="s">
        <v>22</v>
      </c>
      <c r="D45" s="21" t="s">
        <v>1357</v>
      </c>
      <c r="E45" s="21" t="s">
        <v>9</v>
      </c>
      <c r="F45" s="5812">
        <v>3</v>
      </c>
      <c r="G45" s="5813">
        <v>0.20833333333333334</v>
      </c>
      <c r="H45" s="21" t="s">
        <v>10</v>
      </c>
      <c r="I45" s="21" t="s">
        <v>39</v>
      </c>
      <c r="J45" s="21" t="s">
        <v>12007</v>
      </c>
      <c r="K45" s="5814" t="s">
        <v>12008</v>
      </c>
    </row>
    <row r="46" spans="1:11">
      <c r="A46" s="21" t="s">
        <v>3249</v>
      </c>
      <c r="B46" s="21" t="s">
        <v>12009</v>
      </c>
      <c r="C46" s="21" t="s">
        <v>8</v>
      </c>
      <c r="D46" s="21" t="s">
        <v>1357</v>
      </c>
      <c r="E46" s="21" t="s">
        <v>9</v>
      </c>
      <c r="F46" s="5812">
        <v>3</v>
      </c>
      <c r="G46" s="5813">
        <v>0.20833333333333334</v>
      </c>
      <c r="H46" s="21" t="s">
        <v>10</v>
      </c>
      <c r="I46" s="21" t="s">
        <v>23</v>
      </c>
      <c r="J46" s="21" t="s">
        <v>4051</v>
      </c>
      <c r="K46" s="5814" t="s">
        <v>12010</v>
      </c>
    </row>
    <row r="47" spans="1:11">
      <c r="A47" s="21" t="s">
        <v>2947</v>
      </c>
      <c r="B47" s="21" t="s">
        <v>12011</v>
      </c>
      <c r="C47" s="21" t="s">
        <v>22</v>
      </c>
      <c r="D47" s="21" t="s">
        <v>1357</v>
      </c>
      <c r="E47" s="21" t="s">
        <v>9</v>
      </c>
      <c r="F47" s="5812">
        <v>3</v>
      </c>
      <c r="G47" s="5813">
        <v>0.20833333333333334</v>
      </c>
      <c r="H47" s="21" t="s">
        <v>10</v>
      </c>
      <c r="I47" s="21" t="s">
        <v>400</v>
      </c>
      <c r="J47" s="21" t="s">
        <v>12012</v>
      </c>
      <c r="K47" s="5814" t="s">
        <v>12013</v>
      </c>
    </row>
    <row r="48" spans="1:11">
      <c r="A48" s="21" t="s">
        <v>3039</v>
      </c>
      <c r="B48" s="21" t="s">
        <v>12014</v>
      </c>
      <c r="C48" s="21" t="s">
        <v>8</v>
      </c>
      <c r="D48" s="21" t="s">
        <v>1357</v>
      </c>
      <c r="E48" s="21" t="s">
        <v>9</v>
      </c>
      <c r="F48" s="5812">
        <v>3</v>
      </c>
      <c r="G48" s="5813">
        <v>0.20833333333333334</v>
      </c>
      <c r="H48" s="21" t="s">
        <v>10</v>
      </c>
      <c r="I48" s="21" t="s">
        <v>23</v>
      </c>
      <c r="J48" s="21" t="s">
        <v>12015</v>
      </c>
      <c r="K48" s="5814" t="s">
        <v>12016</v>
      </c>
    </row>
    <row r="49" spans="1:11">
      <c r="A49" s="21" t="s">
        <v>3671</v>
      </c>
      <c r="B49" s="21" t="s">
        <v>12017</v>
      </c>
      <c r="C49" s="21" t="s">
        <v>8</v>
      </c>
      <c r="D49" s="21" t="s">
        <v>1357</v>
      </c>
      <c r="E49" s="21" t="s">
        <v>9</v>
      </c>
      <c r="F49" s="5812">
        <v>3</v>
      </c>
      <c r="G49" s="5813">
        <v>0.20833333333333334</v>
      </c>
      <c r="H49" s="21" t="s">
        <v>10</v>
      </c>
      <c r="I49" s="21" t="s">
        <v>55</v>
      </c>
      <c r="J49" s="21" t="s">
        <v>12018</v>
      </c>
      <c r="K49" s="5814" t="s">
        <v>12019</v>
      </c>
    </row>
    <row r="50" spans="1:11">
      <c r="A50" s="21" t="s">
        <v>3671</v>
      </c>
      <c r="B50" s="21" t="s">
        <v>12020</v>
      </c>
      <c r="C50" s="21" t="s">
        <v>22</v>
      </c>
      <c r="D50" s="21" t="s">
        <v>1357</v>
      </c>
      <c r="E50" s="21" t="s">
        <v>9</v>
      </c>
      <c r="F50" s="5812">
        <v>3</v>
      </c>
      <c r="G50" s="5813">
        <v>0.20833333333333334</v>
      </c>
      <c r="H50" s="21" t="s">
        <v>10</v>
      </c>
      <c r="I50" s="21" t="s">
        <v>2313</v>
      </c>
      <c r="J50" s="21" t="s">
        <v>12021</v>
      </c>
      <c r="K50" s="5814" t="s">
        <v>12022</v>
      </c>
    </row>
    <row r="51" spans="1:11">
      <c r="A51" s="21" t="s">
        <v>2088</v>
      </c>
      <c r="B51" s="21" t="s">
        <v>12023</v>
      </c>
      <c r="C51" s="21" t="s">
        <v>8</v>
      </c>
      <c r="D51" s="21" t="s">
        <v>1357</v>
      </c>
      <c r="E51" s="21" t="s">
        <v>9</v>
      </c>
      <c r="F51" s="5812">
        <v>3</v>
      </c>
      <c r="G51" s="5813">
        <v>0.20833333333333334</v>
      </c>
      <c r="H51" s="21" t="s">
        <v>10</v>
      </c>
      <c r="I51" s="21" t="s">
        <v>11</v>
      </c>
      <c r="J51" s="21" t="s">
        <v>12024</v>
      </c>
      <c r="K51" s="5814" t="s">
        <v>12025</v>
      </c>
    </row>
    <row r="52" spans="1:11">
      <c r="A52" s="21" t="s">
        <v>2049</v>
      </c>
      <c r="B52" s="21" t="s">
        <v>12026</v>
      </c>
      <c r="C52" s="21" t="s">
        <v>22</v>
      </c>
      <c r="D52" s="21" t="s">
        <v>1357</v>
      </c>
      <c r="E52" s="21" t="s">
        <v>9</v>
      </c>
      <c r="F52" s="5812">
        <v>3</v>
      </c>
      <c r="G52" s="5813">
        <v>0.20833333333333334</v>
      </c>
      <c r="H52" s="21" t="s">
        <v>10</v>
      </c>
      <c r="I52" s="21" t="s">
        <v>11</v>
      </c>
      <c r="J52" s="21" t="s">
        <v>12027</v>
      </c>
      <c r="K52" s="5814" t="s">
        <v>12028</v>
      </c>
    </row>
    <row r="53" spans="1:11">
      <c r="A53" s="21" t="s">
        <v>3474</v>
      </c>
      <c r="B53" s="21" t="s">
        <v>12029</v>
      </c>
      <c r="C53" s="21" t="s">
        <v>8</v>
      </c>
      <c r="D53" s="21" t="s">
        <v>1357</v>
      </c>
      <c r="E53" s="21" t="s">
        <v>9</v>
      </c>
      <c r="F53" s="5812">
        <v>3</v>
      </c>
      <c r="G53" s="5813">
        <v>0.20833333333333334</v>
      </c>
      <c r="H53" s="21" t="s">
        <v>10</v>
      </c>
      <c r="I53" s="21" t="s">
        <v>23</v>
      </c>
      <c r="J53" s="21" t="s">
        <v>12030</v>
      </c>
      <c r="K53" s="5814" t="s">
        <v>12031</v>
      </c>
    </row>
    <row r="54" spans="1:11">
      <c r="A54" s="21" t="s">
        <v>2354</v>
      </c>
      <c r="B54" s="21" t="s">
        <v>12032</v>
      </c>
      <c r="C54" s="21" t="s">
        <v>22</v>
      </c>
      <c r="D54" s="21" t="s">
        <v>1357</v>
      </c>
      <c r="E54" s="21" t="s">
        <v>9</v>
      </c>
      <c r="F54" s="5812">
        <v>3</v>
      </c>
      <c r="G54" s="5813">
        <v>0.20833333333333334</v>
      </c>
      <c r="H54" s="21" t="s">
        <v>10</v>
      </c>
      <c r="I54" s="21" t="s">
        <v>233</v>
      </c>
      <c r="J54" s="21" t="s">
        <v>12033</v>
      </c>
      <c r="K54" s="5814" t="s">
        <v>12034</v>
      </c>
    </row>
    <row r="55" spans="1:11">
      <c r="A55" s="21" t="s">
        <v>2092</v>
      </c>
      <c r="B55" s="21" t="s">
        <v>12035</v>
      </c>
      <c r="C55" s="21" t="s">
        <v>8</v>
      </c>
      <c r="D55" s="21" t="s">
        <v>1357</v>
      </c>
      <c r="E55" s="21" t="s">
        <v>9</v>
      </c>
      <c r="F55" s="5812">
        <v>3</v>
      </c>
      <c r="G55" s="5813">
        <v>0.20833333333333334</v>
      </c>
      <c r="H55" s="21" t="s">
        <v>10</v>
      </c>
      <c r="I55" s="21" t="s">
        <v>654</v>
      </c>
      <c r="J55" s="21" t="s">
        <v>12036</v>
      </c>
      <c r="K55" s="5814" t="s">
        <v>12037</v>
      </c>
    </row>
    <row r="56" spans="1:11">
      <c r="A56" s="21" t="s">
        <v>2376</v>
      </c>
      <c r="B56" s="21" t="s">
        <v>12038</v>
      </c>
      <c r="C56" s="21" t="s">
        <v>8</v>
      </c>
      <c r="D56" s="21" t="s">
        <v>1357</v>
      </c>
      <c r="E56" s="21" t="s">
        <v>9</v>
      </c>
      <c r="F56" s="5812">
        <v>3</v>
      </c>
      <c r="G56" s="5813">
        <v>0.20833333333333334</v>
      </c>
      <c r="H56" s="21" t="s">
        <v>10</v>
      </c>
      <c r="I56" s="21" t="s">
        <v>96</v>
      </c>
      <c r="J56" s="21" t="s">
        <v>12039</v>
      </c>
      <c r="K56" s="5814" t="s">
        <v>12040</v>
      </c>
    </row>
    <row r="57" spans="1:11">
      <c r="A57" s="21" t="s">
        <v>2096</v>
      </c>
      <c r="B57" s="21" t="s">
        <v>12041</v>
      </c>
      <c r="C57" s="21" t="s">
        <v>22</v>
      </c>
      <c r="D57" s="21" t="s">
        <v>1357</v>
      </c>
      <c r="E57" s="21" t="s">
        <v>9</v>
      </c>
      <c r="F57" s="5812">
        <v>3</v>
      </c>
      <c r="G57" s="5813">
        <v>0.20833333333333334</v>
      </c>
      <c r="H57" s="21" t="s">
        <v>10</v>
      </c>
      <c r="I57" s="21" t="s">
        <v>96</v>
      </c>
      <c r="J57" s="21" t="s">
        <v>12042</v>
      </c>
      <c r="K57" s="5814" t="s">
        <v>12043</v>
      </c>
    </row>
    <row r="58" spans="1:11">
      <c r="A58" s="21" t="s">
        <v>3909</v>
      </c>
      <c r="B58" s="21" t="s">
        <v>12044</v>
      </c>
      <c r="C58" s="21" t="s">
        <v>22</v>
      </c>
      <c r="D58" s="21" t="s">
        <v>1357</v>
      </c>
      <c r="E58" s="21" t="s">
        <v>9</v>
      </c>
      <c r="F58" s="5812">
        <v>3</v>
      </c>
      <c r="G58" s="5813">
        <v>0.20833333333333334</v>
      </c>
      <c r="H58" s="21" t="s">
        <v>10</v>
      </c>
      <c r="I58" s="21" t="s">
        <v>2544</v>
      </c>
      <c r="J58" s="21" t="s">
        <v>12045</v>
      </c>
      <c r="K58" s="5814" t="s">
        <v>12046</v>
      </c>
    </row>
    <row r="59" spans="1:11">
      <c r="A59" s="21" t="s">
        <v>3409</v>
      </c>
      <c r="B59" s="21" t="s">
        <v>12047</v>
      </c>
      <c r="C59" s="21" t="s">
        <v>8</v>
      </c>
      <c r="D59" s="21" t="s">
        <v>1357</v>
      </c>
      <c r="E59" s="21" t="s">
        <v>9</v>
      </c>
      <c r="F59" s="5812">
        <v>3</v>
      </c>
      <c r="G59" s="5813">
        <v>0.20833333333333334</v>
      </c>
      <c r="H59" s="21" t="s">
        <v>10</v>
      </c>
      <c r="I59" s="21" t="s">
        <v>187</v>
      </c>
      <c r="J59" s="21" t="s">
        <v>12048</v>
      </c>
      <c r="K59" s="5814" t="s">
        <v>12049</v>
      </c>
    </row>
    <row r="60" spans="1:11">
      <c r="A60" s="21" t="s">
        <v>2045</v>
      </c>
      <c r="B60" s="21" t="s">
        <v>12050</v>
      </c>
      <c r="C60" s="21" t="s">
        <v>22</v>
      </c>
      <c r="D60" s="21" t="s">
        <v>1357</v>
      </c>
      <c r="E60" s="21" t="s">
        <v>9</v>
      </c>
      <c r="F60" s="5812">
        <v>3</v>
      </c>
      <c r="G60" s="5813">
        <v>0.20833333333333334</v>
      </c>
      <c r="H60" s="21" t="s">
        <v>10</v>
      </c>
      <c r="I60" s="21" t="s">
        <v>96</v>
      </c>
      <c r="J60" s="21" t="s">
        <v>12051</v>
      </c>
      <c r="K60" s="5814" t="s">
        <v>12052</v>
      </c>
    </row>
    <row r="61" spans="1:11">
      <c r="A61" s="21" t="s">
        <v>2944</v>
      </c>
      <c r="B61" s="21" t="s">
        <v>12053</v>
      </c>
      <c r="C61" s="21" t="s">
        <v>22</v>
      </c>
      <c r="D61" s="21" t="s">
        <v>1357</v>
      </c>
      <c r="E61" s="21" t="s">
        <v>9</v>
      </c>
      <c r="F61" s="5812">
        <v>3</v>
      </c>
      <c r="G61" s="5813">
        <v>0.20833333333333334</v>
      </c>
      <c r="H61" s="21" t="s">
        <v>10</v>
      </c>
      <c r="I61" s="21" t="s">
        <v>654</v>
      </c>
      <c r="J61" s="21" t="s">
        <v>12054</v>
      </c>
      <c r="K61" s="5814" t="s">
        <v>12055</v>
      </c>
    </row>
    <row r="62" spans="1:11">
      <c r="A62" s="21" t="s">
        <v>3183</v>
      </c>
      <c r="B62" s="21" t="s">
        <v>12056</v>
      </c>
      <c r="C62" s="21" t="s">
        <v>8</v>
      </c>
      <c r="D62" s="21" t="s">
        <v>1357</v>
      </c>
      <c r="E62" s="21" t="s">
        <v>9</v>
      </c>
      <c r="F62" s="5812">
        <v>3</v>
      </c>
      <c r="G62" s="5813">
        <v>0.20833333333333334</v>
      </c>
      <c r="H62" s="21" t="s">
        <v>10</v>
      </c>
      <c r="I62" s="21" t="s">
        <v>23</v>
      </c>
      <c r="J62" s="21" t="s">
        <v>12057</v>
      </c>
      <c r="K62" s="5814" t="s">
        <v>12058</v>
      </c>
    </row>
    <row r="63" spans="1:11">
      <c r="A63" s="21" t="s">
        <v>2428</v>
      </c>
      <c r="B63" s="21" t="s">
        <v>12059</v>
      </c>
      <c r="C63" s="21" t="s">
        <v>8</v>
      </c>
      <c r="D63" s="21" t="s">
        <v>1357</v>
      </c>
      <c r="E63" s="21" t="s">
        <v>9</v>
      </c>
      <c r="F63" s="5812">
        <v>3</v>
      </c>
      <c r="G63" s="5813">
        <v>0.20833333333333334</v>
      </c>
      <c r="H63" s="21" t="s">
        <v>10</v>
      </c>
      <c r="I63" s="21" t="s">
        <v>96</v>
      </c>
      <c r="J63" s="21" t="s">
        <v>12060</v>
      </c>
      <c r="K63" s="5814" t="s">
        <v>12061</v>
      </c>
    </row>
    <row r="64" spans="1:11">
      <c r="A64" s="21" t="s">
        <v>3012</v>
      </c>
      <c r="B64" s="21" t="s">
        <v>12062</v>
      </c>
      <c r="C64" s="21" t="s">
        <v>8</v>
      </c>
      <c r="D64" s="21" t="s">
        <v>1357</v>
      </c>
      <c r="E64" s="21" t="s">
        <v>9</v>
      </c>
      <c r="F64" s="5812">
        <v>3</v>
      </c>
      <c r="G64" s="5813">
        <v>0.20833333333333334</v>
      </c>
      <c r="H64" s="21" t="s">
        <v>10</v>
      </c>
      <c r="I64" s="21" t="s">
        <v>23</v>
      </c>
      <c r="J64" s="21" t="s">
        <v>12063</v>
      </c>
      <c r="K64" s="5814" t="s">
        <v>12064</v>
      </c>
    </row>
    <row r="65" spans="1:11">
      <c r="A65" s="21" t="s">
        <v>3130</v>
      </c>
      <c r="B65" s="21" t="s">
        <v>12065</v>
      </c>
      <c r="C65" s="21" t="s">
        <v>22</v>
      </c>
      <c r="D65" s="21" t="s">
        <v>1357</v>
      </c>
      <c r="E65" s="21" t="s">
        <v>9</v>
      </c>
      <c r="F65" s="5812">
        <v>3</v>
      </c>
      <c r="G65" s="5813">
        <v>0.20833333333333334</v>
      </c>
      <c r="H65" s="21" t="s">
        <v>10</v>
      </c>
      <c r="I65" s="21" t="s">
        <v>55</v>
      </c>
      <c r="J65" s="21" t="s">
        <v>7283</v>
      </c>
      <c r="K65" s="5814" t="s">
        <v>12066</v>
      </c>
    </row>
    <row r="66" spans="1:11">
      <c r="A66" s="21" t="s">
        <v>2442</v>
      </c>
      <c r="B66" s="21" t="s">
        <v>12067</v>
      </c>
      <c r="C66" s="21" t="s">
        <v>8</v>
      </c>
      <c r="D66" s="21" t="s">
        <v>1357</v>
      </c>
      <c r="E66" s="21" t="s">
        <v>9</v>
      </c>
      <c r="F66" s="5812">
        <v>3</v>
      </c>
      <c r="G66" s="5813">
        <v>0.20833333333333334</v>
      </c>
      <c r="H66" s="21" t="s">
        <v>10</v>
      </c>
      <c r="I66" s="21" t="s">
        <v>23</v>
      </c>
      <c r="J66" s="21" t="s">
        <v>10266</v>
      </c>
      <c r="K66" s="5814" t="s">
        <v>12068</v>
      </c>
    </row>
    <row r="67" spans="1:11">
      <c r="A67" s="21" t="s">
        <v>3559</v>
      </c>
      <c r="B67" s="21" t="s">
        <v>12069</v>
      </c>
      <c r="C67" s="21" t="s">
        <v>22</v>
      </c>
      <c r="D67" s="21" t="s">
        <v>1357</v>
      </c>
      <c r="E67" s="21" t="s">
        <v>9</v>
      </c>
      <c r="F67" s="5812">
        <v>3</v>
      </c>
      <c r="G67" s="5813">
        <v>0.20833333333333334</v>
      </c>
      <c r="H67" s="21" t="s">
        <v>10</v>
      </c>
      <c r="I67" s="21" t="s">
        <v>11</v>
      </c>
      <c r="J67" s="21" t="s">
        <v>12070</v>
      </c>
      <c r="K67" s="5814" t="s">
        <v>12071</v>
      </c>
    </row>
    <row r="68" spans="1:11">
      <c r="A68" s="21" t="s">
        <v>2454</v>
      </c>
      <c r="B68" s="21" t="s">
        <v>12072</v>
      </c>
      <c r="C68" s="21" t="s">
        <v>22</v>
      </c>
      <c r="D68" s="21" t="s">
        <v>1357</v>
      </c>
      <c r="E68" s="21" t="s">
        <v>9</v>
      </c>
      <c r="F68" s="5812">
        <v>3</v>
      </c>
      <c r="G68" s="5813">
        <v>0.20833333333333334</v>
      </c>
      <c r="H68" s="21" t="s">
        <v>10</v>
      </c>
      <c r="I68" s="21" t="s">
        <v>96</v>
      </c>
      <c r="J68" s="21" t="s">
        <v>12073</v>
      </c>
      <c r="K68" s="5814" t="s">
        <v>12074</v>
      </c>
    </row>
    <row r="69" spans="1:11">
      <c r="A69" s="21" t="s">
        <v>3946</v>
      </c>
      <c r="B69" s="21" t="s">
        <v>12075</v>
      </c>
      <c r="C69" s="21" t="s">
        <v>8</v>
      </c>
      <c r="D69" s="21" t="s">
        <v>1357</v>
      </c>
      <c r="E69" s="21" t="s">
        <v>9</v>
      </c>
      <c r="F69" s="5812">
        <v>3</v>
      </c>
      <c r="G69" s="5813">
        <v>0.20833333333333334</v>
      </c>
      <c r="H69" s="21" t="s">
        <v>10</v>
      </c>
      <c r="I69" s="21" t="s">
        <v>23</v>
      </c>
      <c r="J69" s="21" t="s">
        <v>10301</v>
      </c>
      <c r="K69" s="5814" t="s">
        <v>12076</v>
      </c>
    </row>
    <row r="70" spans="1:11">
      <c r="A70" s="21" t="s">
        <v>2461</v>
      </c>
      <c r="B70" s="21" t="s">
        <v>12077</v>
      </c>
      <c r="C70" s="21" t="s">
        <v>22</v>
      </c>
      <c r="D70" s="21" t="s">
        <v>1357</v>
      </c>
      <c r="E70" s="21" t="s">
        <v>9</v>
      </c>
      <c r="F70" s="5812">
        <v>3</v>
      </c>
      <c r="G70" s="5813">
        <v>0.20833333333333334</v>
      </c>
      <c r="H70" s="21" t="s">
        <v>10</v>
      </c>
      <c r="I70" s="21" t="s">
        <v>23</v>
      </c>
      <c r="J70" s="21" t="s">
        <v>12078</v>
      </c>
      <c r="K70" s="5814" t="s">
        <v>12079</v>
      </c>
    </row>
    <row r="71" spans="1:11">
      <c r="A71" s="21" t="s">
        <v>3105</v>
      </c>
      <c r="B71" s="21" t="s">
        <v>12080</v>
      </c>
      <c r="C71" s="21" t="s">
        <v>8</v>
      </c>
      <c r="D71" s="21" t="s">
        <v>1357</v>
      </c>
      <c r="E71" s="21" t="s">
        <v>9</v>
      </c>
      <c r="F71" s="5812">
        <v>3</v>
      </c>
      <c r="G71" s="5813">
        <v>0.20833333333333334</v>
      </c>
      <c r="H71" s="21" t="s">
        <v>10</v>
      </c>
      <c r="I71" s="21" t="s">
        <v>47</v>
      </c>
      <c r="J71" s="21" t="s">
        <v>12081</v>
      </c>
      <c r="K71" s="5814" t="s">
        <v>12082</v>
      </c>
    </row>
    <row r="72" spans="1:11">
      <c r="A72" s="21" t="s">
        <v>2974</v>
      </c>
      <c r="B72" s="21" t="s">
        <v>12083</v>
      </c>
      <c r="C72" s="21" t="s">
        <v>8</v>
      </c>
      <c r="D72" s="21" t="s">
        <v>1357</v>
      </c>
      <c r="E72" s="21" t="s">
        <v>9</v>
      </c>
      <c r="F72" s="5812">
        <v>3</v>
      </c>
      <c r="G72" s="5813">
        <v>0.20833333333333334</v>
      </c>
      <c r="H72" s="21" t="s">
        <v>10</v>
      </c>
      <c r="I72" s="21" t="s">
        <v>23</v>
      </c>
      <c r="J72" s="21" t="s">
        <v>12084</v>
      </c>
      <c r="K72" s="5814" t="s">
        <v>12085</v>
      </c>
    </row>
    <row r="73" spans="1:11">
      <c r="A73" s="21" t="s">
        <v>2974</v>
      </c>
      <c r="B73" s="21" t="s">
        <v>12086</v>
      </c>
      <c r="C73" s="21" t="s">
        <v>22</v>
      </c>
      <c r="D73" s="21" t="s">
        <v>1357</v>
      </c>
      <c r="E73" s="21" t="s">
        <v>9</v>
      </c>
      <c r="F73" s="5812">
        <v>3</v>
      </c>
      <c r="G73" s="5813">
        <v>0.20833333333333334</v>
      </c>
      <c r="H73" s="21" t="s">
        <v>10</v>
      </c>
      <c r="I73" s="21" t="s">
        <v>23</v>
      </c>
      <c r="J73" s="21" t="s">
        <v>12087</v>
      </c>
      <c r="K73" s="5814" t="s">
        <v>12088</v>
      </c>
    </row>
    <row r="74" spans="1:11">
      <c r="A74" s="21" t="s">
        <v>3152</v>
      </c>
      <c r="B74" s="21" t="s">
        <v>12089</v>
      </c>
      <c r="C74" s="21" t="s">
        <v>22</v>
      </c>
      <c r="D74" s="21" t="s">
        <v>1357</v>
      </c>
      <c r="E74" s="21" t="s">
        <v>9</v>
      </c>
      <c r="F74" s="5812">
        <v>3</v>
      </c>
      <c r="G74" s="5813">
        <v>0.20833333333333334</v>
      </c>
      <c r="H74" s="21" t="s">
        <v>10</v>
      </c>
      <c r="I74" s="21" t="s">
        <v>23</v>
      </c>
      <c r="J74" s="21" t="s">
        <v>12090</v>
      </c>
      <c r="K74" s="5814" t="s">
        <v>12091</v>
      </c>
    </row>
    <row r="75" spans="1:11">
      <c r="A75" s="21" t="s">
        <v>2471</v>
      </c>
      <c r="B75" s="21" t="s">
        <v>12092</v>
      </c>
      <c r="C75" s="21" t="s">
        <v>8</v>
      </c>
      <c r="D75" s="21" t="s">
        <v>1357</v>
      </c>
      <c r="E75" s="21" t="s">
        <v>9</v>
      </c>
      <c r="F75" s="5812">
        <v>3</v>
      </c>
      <c r="G75" s="5813">
        <v>0.20833333333333334</v>
      </c>
      <c r="H75" s="21" t="s">
        <v>10</v>
      </c>
      <c r="I75" s="21" t="s">
        <v>39</v>
      </c>
      <c r="J75" s="21" t="s">
        <v>12093</v>
      </c>
      <c r="K75" s="5814" t="s">
        <v>12094</v>
      </c>
    </row>
    <row r="76" spans="1:11">
      <c r="A76" s="21" t="s">
        <v>2471</v>
      </c>
      <c r="B76" s="21" t="s">
        <v>12095</v>
      </c>
      <c r="C76" s="21" t="s">
        <v>8</v>
      </c>
      <c r="D76" s="21" t="s">
        <v>1357</v>
      </c>
      <c r="E76" s="21" t="s">
        <v>9</v>
      </c>
      <c r="F76" s="5812">
        <v>3</v>
      </c>
      <c r="G76" s="5813">
        <v>0.20833333333333334</v>
      </c>
      <c r="H76" s="21" t="s">
        <v>10</v>
      </c>
      <c r="I76" s="21" t="s">
        <v>23</v>
      </c>
      <c r="J76" s="21" t="s">
        <v>12096</v>
      </c>
      <c r="K76" s="5814" t="s">
        <v>12097</v>
      </c>
    </row>
    <row r="77" spans="1:11">
      <c r="A77" s="21" t="s">
        <v>2478</v>
      </c>
      <c r="B77" s="21" t="s">
        <v>12098</v>
      </c>
      <c r="C77" s="21" t="s">
        <v>8</v>
      </c>
      <c r="D77" s="21" t="s">
        <v>1357</v>
      </c>
      <c r="E77" s="21" t="s">
        <v>9</v>
      </c>
      <c r="F77" s="5812">
        <v>3</v>
      </c>
      <c r="G77" s="5813">
        <v>0.20833333333333334</v>
      </c>
      <c r="H77" s="21" t="s">
        <v>10</v>
      </c>
      <c r="I77" s="21" t="s">
        <v>96</v>
      </c>
      <c r="J77" s="21" t="s">
        <v>11607</v>
      </c>
      <c r="K77" s="5814" t="s">
        <v>12099</v>
      </c>
    </row>
    <row r="78" spans="1:11">
      <c r="A78" s="21" t="s">
        <v>2079</v>
      </c>
      <c r="B78" s="21" t="s">
        <v>12100</v>
      </c>
      <c r="C78" s="21" t="s">
        <v>8</v>
      </c>
      <c r="D78" s="21" t="s">
        <v>1357</v>
      </c>
      <c r="E78" s="21" t="s">
        <v>9</v>
      </c>
      <c r="F78" s="5812">
        <v>3</v>
      </c>
      <c r="G78" s="5813">
        <v>0.20833333333333334</v>
      </c>
      <c r="H78" s="21" t="s">
        <v>10</v>
      </c>
      <c r="I78" s="21" t="s">
        <v>23</v>
      </c>
      <c r="J78" s="21" t="s">
        <v>12101</v>
      </c>
      <c r="K78" s="5814" t="s">
        <v>12102</v>
      </c>
    </row>
    <row r="79" spans="1:11">
      <c r="A79" s="21" t="s">
        <v>3235</v>
      </c>
      <c r="B79" s="21" t="s">
        <v>12103</v>
      </c>
      <c r="C79" s="21" t="s">
        <v>8</v>
      </c>
      <c r="D79" s="21" t="s">
        <v>1357</v>
      </c>
      <c r="E79" s="21" t="s">
        <v>9</v>
      </c>
      <c r="F79" s="5812">
        <v>3</v>
      </c>
      <c r="G79" s="5813">
        <v>0.20833333333333334</v>
      </c>
      <c r="H79" s="21" t="s">
        <v>10</v>
      </c>
      <c r="I79" s="21" t="s">
        <v>55</v>
      </c>
      <c r="J79" s="21" t="s">
        <v>12104</v>
      </c>
      <c r="K79" s="5814" t="s">
        <v>12105</v>
      </c>
    </row>
    <row r="80" spans="1:11">
      <c r="A80" s="21" t="s">
        <v>3256</v>
      </c>
      <c r="B80" s="21" t="s">
        <v>12106</v>
      </c>
      <c r="C80" s="21" t="s">
        <v>8</v>
      </c>
      <c r="D80" s="21" t="s">
        <v>1357</v>
      </c>
      <c r="E80" s="21" t="s">
        <v>9</v>
      </c>
      <c r="F80" s="5812">
        <v>3</v>
      </c>
      <c r="G80" s="5813">
        <v>0.20833333333333334</v>
      </c>
      <c r="H80" s="21" t="s">
        <v>10</v>
      </c>
      <c r="I80" s="21" t="s">
        <v>73</v>
      </c>
      <c r="J80" s="21" t="s">
        <v>12107</v>
      </c>
      <c r="K80" s="5814" t="s">
        <v>12108</v>
      </c>
    </row>
    <row r="81" spans="1:11">
      <c r="A81" s="21" t="s">
        <v>3224</v>
      </c>
      <c r="B81" s="21" t="s">
        <v>12109</v>
      </c>
      <c r="C81" s="21" t="s">
        <v>22</v>
      </c>
      <c r="D81" s="21" t="s">
        <v>1357</v>
      </c>
      <c r="E81" s="21" t="s">
        <v>9</v>
      </c>
      <c r="F81" s="5812">
        <v>3</v>
      </c>
      <c r="G81" s="5813">
        <v>0.20833333333333334</v>
      </c>
      <c r="H81" s="21" t="s">
        <v>10</v>
      </c>
      <c r="I81" s="21" t="s">
        <v>96</v>
      </c>
      <c r="J81" s="21" t="s">
        <v>12110</v>
      </c>
      <c r="K81" s="5814" t="s">
        <v>12111</v>
      </c>
    </row>
    <row r="82" spans="1:11">
      <c r="A82" s="21" t="s">
        <v>3505</v>
      </c>
      <c r="B82" s="21" t="s">
        <v>12112</v>
      </c>
      <c r="C82" s="21" t="s">
        <v>22</v>
      </c>
      <c r="D82" s="21" t="s">
        <v>1357</v>
      </c>
      <c r="E82" s="21" t="s">
        <v>9</v>
      </c>
      <c r="F82" s="5812">
        <v>3</v>
      </c>
      <c r="G82" s="5813">
        <v>0.20833333333333334</v>
      </c>
      <c r="H82" s="21" t="s">
        <v>10</v>
      </c>
      <c r="I82" s="21" t="s">
        <v>11</v>
      </c>
      <c r="J82" s="21" t="s">
        <v>12113</v>
      </c>
      <c r="K82" s="5814" t="s">
        <v>12114</v>
      </c>
    </row>
    <row r="83" spans="1:11">
      <c r="A83" s="21" t="s">
        <v>2910</v>
      </c>
      <c r="B83" s="21" t="s">
        <v>12115</v>
      </c>
      <c r="C83" s="21" t="s">
        <v>22</v>
      </c>
      <c r="D83" s="21" t="s">
        <v>1357</v>
      </c>
      <c r="E83" s="21" t="s">
        <v>9</v>
      </c>
      <c r="F83" s="5812">
        <v>3</v>
      </c>
      <c r="G83" s="5813">
        <v>0.20833333333333334</v>
      </c>
      <c r="H83" s="21" t="s">
        <v>10</v>
      </c>
      <c r="I83" s="21" t="s">
        <v>96</v>
      </c>
      <c r="J83" s="21" t="s">
        <v>12116</v>
      </c>
      <c r="K83" s="5814" t="s">
        <v>12117</v>
      </c>
    </row>
    <row r="84" spans="1:11">
      <c r="A84" s="21" t="s">
        <v>3481</v>
      </c>
      <c r="B84" s="21" t="s">
        <v>12118</v>
      </c>
      <c r="C84" s="21" t="s">
        <v>22</v>
      </c>
      <c r="D84" s="21" t="s">
        <v>1357</v>
      </c>
      <c r="E84" s="21" t="s">
        <v>9</v>
      </c>
      <c r="F84" s="5812">
        <v>3</v>
      </c>
      <c r="G84" s="5813">
        <v>0.20833333333333334</v>
      </c>
      <c r="H84" s="21" t="s">
        <v>10</v>
      </c>
      <c r="I84" s="21" t="s">
        <v>11</v>
      </c>
      <c r="J84" s="21" t="s">
        <v>12119</v>
      </c>
      <c r="K84" s="5814" t="s">
        <v>12120</v>
      </c>
    </row>
    <row r="85" spans="1:11">
      <c r="A85" s="21" t="s">
        <v>3412</v>
      </c>
      <c r="B85" s="21" t="s">
        <v>12121</v>
      </c>
      <c r="C85" s="21" t="s">
        <v>22</v>
      </c>
      <c r="D85" s="21" t="s">
        <v>1357</v>
      </c>
      <c r="E85" s="21" t="s">
        <v>9</v>
      </c>
      <c r="F85" s="5812">
        <v>3</v>
      </c>
      <c r="G85" s="5813">
        <v>0.20833333333333334</v>
      </c>
      <c r="H85" s="21" t="s">
        <v>10</v>
      </c>
      <c r="I85" s="21" t="s">
        <v>11</v>
      </c>
      <c r="J85" s="21" t="s">
        <v>12122</v>
      </c>
      <c r="K85" s="5814" t="s">
        <v>12123</v>
      </c>
    </row>
    <row r="86" spans="1:11">
      <c r="A86" s="21" t="s">
        <v>2509</v>
      </c>
      <c r="B86" s="21" t="s">
        <v>12124</v>
      </c>
      <c r="C86" s="21" t="s">
        <v>22</v>
      </c>
      <c r="D86" s="21" t="s">
        <v>1357</v>
      </c>
      <c r="E86" s="21" t="s">
        <v>9</v>
      </c>
      <c r="F86" s="5812">
        <v>3</v>
      </c>
      <c r="G86" s="5813">
        <v>0.20833333333333334</v>
      </c>
      <c r="H86" s="21" t="s">
        <v>10</v>
      </c>
      <c r="I86" s="21" t="s">
        <v>39</v>
      </c>
      <c r="J86" s="21" t="s">
        <v>12125</v>
      </c>
      <c r="K86" s="5814" t="s">
        <v>12126</v>
      </c>
    </row>
    <row r="87" spans="1:11">
      <c r="A87" s="21" t="s">
        <v>5335</v>
      </c>
      <c r="B87" s="21" t="s">
        <v>12127</v>
      </c>
      <c r="C87" s="21" t="s">
        <v>8</v>
      </c>
      <c r="D87" s="21" t="s">
        <v>1357</v>
      </c>
      <c r="E87" s="21" t="s">
        <v>9</v>
      </c>
      <c r="F87" s="5812">
        <v>3</v>
      </c>
      <c r="G87" s="5813">
        <v>0.20833333333333334</v>
      </c>
      <c r="H87" s="21" t="s">
        <v>10</v>
      </c>
      <c r="I87" s="21" t="s">
        <v>39</v>
      </c>
      <c r="J87" s="21" t="s">
        <v>12128</v>
      </c>
      <c r="K87" s="5814" t="s">
        <v>12129</v>
      </c>
    </row>
    <row r="88" spans="1:11">
      <c r="A88" s="21" t="s">
        <v>2938</v>
      </c>
      <c r="B88" s="21" t="s">
        <v>12130</v>
      </c>
      <c r="C88" s="21" t="s">
        <v>8</v>
      </c>
      <c r="D88" s="21" t="s">
        <v>1357</v>
      </c>
      <c r="E88" s="21" t="s">
        <v>9</v>
      </c>
      <c r="F88" s="5812">
        <v>3</v>
      </c>
      <c r="G88" s="5813">
        <v>0.20833333333333334</v>
      </c>
      <c r="H88" s="21" t="s">
        <v>10</v>
      </c>
      <c r="I88" s="21" t="s">
        <v>3517</v>
      </c>
      <c r="J88" s="21" t="s">
        <v>12131</v>
      </c>
      <c r="K88" s="5814" t="s">
        <v>12132</v>
      </c>
    </row>
    <row r="89" spans="1:11">
      <c r="A89" s="21" t="s">
        <v>3613</v>
      </c>
      <c r="B89" s="21" t="s">
        <v>12133</v>
      </c>
      <c r="C89" s="21" t="s">
        <v>8</v>
      </c>
      <c r="D89" s="21" t="s">
        <v>1357</v>
      </c>
      <c r="E89" s="21" t="s">
        <v>9</v>
      </c>
      <c r="F89" s="5812">
        <v>3</v>
      </c>
      <c r="G89" s="5813">
        <v>0.20833333333333334</v>
      </c>
      <c r="H89" s="21" t="s">
        <v>10</v>
      </c>
      <c r="I89" s="21" t="s">
        <v>39</v>
      </c>
      <c r="J89" s="21" t="s">
        <v>12134</v>
      </c>
      <c r="K89" s="5814" t="s">
        <v>12135</v>
      </c>
    </row>
    <row r="90" spans="1:11">
      <c r="A90" s="21" t="s">
        <v>2526</v>
      </c>
      <c r="B90" s="21" t="s">
        <v>12136</v>
      </c>
      <c r="C90" s="21" t="s">
        <v>8</v>
      </c>
      <c r="D90" s="21" t="s">
        <v>1357</v>
      </c>
      <c r="E90" s="21" t="s">
        <v>9</v>
      </c>
      <c r="F90" s="5812">
        <v>3</v>
      </c>
      <c r="G90" s="5813">
        <v>0.20833333333333334</v>
      </c>
      <c r="H90" s="21" t="s">
        <v>10</v>
      </c>
      <c r="I90" s="21" t="s">
        <v>96</v>
      </c>
      <c r="J90" s="21" t="s">
        <v>12137</v>
      </c>
      <c r="K90" s="5814" t="s">
        <v>12138</v>
      </c>
    </row>
    <row r="91" spans="1:11">
      <c r="A91" s="21" t="s">
        <v>4068</v>
      </c>
      <c r="B91" s="21" t="s">
        <v>12139</v>
      </c>
      <c r="C91" s="21" t="s">
        <v>22</v>
      </c>
      <c r="D91" s="21" t="s">
        <v>1357</v>
      </c>
      <c r="E91" s="21" t="s">
        <v>9</v>
      </c>
      <c r="F91" s="5812">
        <v>3</v>
      </c>
      <c r="G91" s="5813">
        <v>0.20833333333333334</v>
      </c>
      <c r="H91" s="21" t="s">
        <v>10</v>
      </c>
      <c r="I91" s="21" t="s">
        <v>23</v>
      </c>
      <c r="J91" s="21" t="s">
        <v>1358</v>
      </c>
      <c r="K91" s="5814" t="s">
        <v>12140</v>
      </c>
    </row>
    <row r="92" spans="1:11">
      <c r="A92" s="21" t="s">
        <v>3387</v>
      </c>
      <c r="B92" s="21" t="s">
        <v>12141</v>
      </c>
      <c r="C92" s="21" t="s">
        <v>22</v>
      </c>
      <c r="D92" s="21" t="s">
        <v>1357</v>
      </c>
      <c r="E92" s="21" t="s">
        <v>9</v>
      </c>
      <c r="F92" s="5812">
        <v>3</v>
      </c>
      <c r="G92" s="5813">
        <v>0.20833333333333334</v>
      </c>
      <c r="H92" s="21" t="s">
        <v>10</v>
      </c>
      <c r="I92" s="21" t="s">
        <v>2814</v>
      </c>
      <c r="J92" s="21" t="s">
        <v>12142</v>
      </c>
      <c r="K92" s="5814" t="s">
        <v>12143</v>
      </c>
    </row>
    <row r="93" spans="1:11">
      <c r="A93" s="21" t="s">
        <v>3597</v>
      </c>
      <c r="B93" s="21" t="s">
        <v>12144</v>
      </c>
      <c r="C93" s="21" t="s">
        <v>22</v>
      </c>
      <c r="D93" s="21" t="s">
        <v>1357</v>
      </c>
      <c r="E93" s="21" t="s">
        <v>9</v>
      </c>
      <c r="F93" s="5812">
        <v>3</v>
      </c>
      <c r="G93" s="5813">
        <v>0.20833333333333334</v>
      </c>
      <c r="H93" s="21" t="s">
        <v>10</v>
      </c>
      <c r="I93" s="21" t="s">
        <v>23</v>
      </c>
      <c r="J93" s="21" t="s">
        <v>12145</v>
      </c>
      <c r="K93" s="5814" t="s">
        <v>12146</v>
      </c>
    </row>
    <row r="94" spans="1:11">
      <c r="A94" s="21" t="s">
        <v>3315</v>
      </c>
      <c r="B94" s="21" t="s">
        <v>12147</v>
      </c>
      <c r="C94" s="21" t="s">
        <v>8</v>
      </c>
      <c r="D94" s="21" t="s">
        <v>1357</v>
      </c>
      <c r="E94" s="21" t="s">
        <v>9</v>
      </c>
      <c r="F94" s="5812">
        <v>3</v>
      </c>
      <c r="G94" s="5813">
        <v>0.20833333333333334</v>
      </c>
      <c r="H94" s="21" t="s">
        <v>10</v>
      </c>
      <c r="I94" s="21" t="s">
        <v>23</v>
      </c>
      <c r="J94" s="21" t="s">
        <v>12148</v>
      </c>
      <c r="K94" s="5814" t="s">
        <v>12149</v>
      </c>
    </row>
    <row r="95" spans="1:11">
      <c r="A95" s="21" t="s">
        <v>2065</v>
      </c>
      <c r="B95" s="21" t="s">
        <v>12150</v>
      </c>
      <c r="C95" s="21" t="s">
        <v>22</v>
      </c>
      <c r="D95" s="21" t="s">
        <v>1357</v>
      </c>
      <c r="E95" s="21" t="s">
        <v>9</v>
      </c>
      <c r="F95" s="5812">
        <v>3</v>
      </c>
      <c r="G95" s="5813">
        <v>0.20833333333333334</v>
      </c>
      <c r="H95" s="21" t="s">
        <v>10</v>
      </c>
      <c r="I95" s="21" t="s">
        <v>2747</v>
      </c>
      <c r="J95" s="21" t="s">
        <v>12151</v>
      </c>
      <c r="K95" s="5814" t="s">
        <v>12152</v>
      </c>
    </row>
    <row r="96" spans="1:11">
      <c r="A96" s="21" t="s">
        <v>2555</v>
      </c>
      <c r="B96" s="21" t="s">
        <v>12153</v>
      </c>
      <c r="C96" s="21" t="s">
        <v>8</v>
      </c>
      <c r="D96" s="21" t="s">
        <v>1357</v>
      </c>
      <c r="E96" s="21" t="s">
        <v>9</v>
      </c>
      <c r="F96" s="5812">
        <v>3</v>
      </c>
      <c r="G96" s="5813">
        <v>0.20833333333333334</v>
      </c>
      <c r="H96" s="21" t="s">
        <v>10</v>
      </c>
      <c r="I96" s="21" t="s">
        <v>2557</v>
      </c>
      <c r="J96" s="21" t="s">
        <v>12154</v>
      </c>
      <c r="K96" s="5814" t="s">
        <v>12155</v>
      </c>
    </row>
    <row r="97" spans="1:11">
      <c r="A97" s="21" t="s">
        <v>2560</v>
      </c>
      <c r="B97" s="21" t="s">
        <v>12156</v>
      </c>
      <c r="C97" s="21" t="s">
        <v>8</v>
      </c>
      <c r="D97" s="21" t="s">
        <v>1357</v>
      </c>
      <c r="E97" s="21" t="s">
        <v>9</v>
      </c>
      <c r="F97" s="5812">
        <v>3</v>
      </c>
      <c r="G97" s="5813">
        <v>0.20833333333333334</v>
      </c>
      <c r="H97" s="21" t="s">
        <v>10</v>
      </c>
      <c r="I97" s="21" t="s">
        <v>187</v>
      </c>
      <c r="J97" s="21" t="s">
        <v>12157</v>
      </c>
      <c r="K97" s="5814" t="s">
        <v>12158</v>
      </c>
    </row>
    <row r="98" spans="1:11">
      <c r="A98" s="21" t="s">
        <v>3311</v>
      </c>
      <c r="B98" s="21" t="s">
        <v>12159</v>
      </c>
      <c r="C98" s="21" t="s">
        <v>8</v>
      </c>
      <c r="D98" s="21" t="s">
        <v>1357</v>
      </c>
      <c r="E98" s="21" t="s">
        <v>9</v>
      </c>
      <c r="F98" s="5812">
        <v>3</v>
      </c>
      <c r="G98" s="5813">
        <v>0.20833333333333334</v>
      </c>
      <c r="H98" s="21" t="s">
        <v>10</v>
      </c>
      <c r="I98" s="21" t="s">
        <v>96</v>
      </c>
      <c r="J98" s="21" t="s">
        <v>12160</v>
      </c>
      <c r="K98" s="5814" t="s">
        <v>12161</v>
      </c>
    </row>
    <row r="99" spans="1:11">
      <c r="A99" s="21" t="s">
        <v>2156</v>
      </c>
      <c r="B99" s="21" t="s">
        <v>12162</v>
      </c>
      <c r="C99" s="21" t="s">
        <v>8</v>
      </c>
      <c r="D99" s="21" t="s">
        <v>1357</v>
      </c>
      <c r="E99" s="21" t="s">
        <v>9</v>
      </c>
      <c r="F99" s="5812">
        <v>3</v>
      </c>
      <c r="G99" s="5813">
        <v>0.20833333333333334</v>
      </c>
      <c r="H99" s="21" t="s">
        <v>10</v>
      </c>
      <c r="I99" s="21" t="s">
        <v>47</v>
      </c>
      <c r="J99" s="21" t="s">
        <v>12163</v>
      </c>
      <c r="K99" s="5814" t="s">
        <v>12164</v>
      </c>
    </row>
    <row r="100" spans="1:11">
      <c r="A100" s="21" t="s">
        <v>4132</v>
      </c>
      <c r="B100" s="21" t="s">
        <v>12165</v>
      </c>
      <c r="C100" s="21" t="s">
        <v>8</v>
      </c>
      <c r="D100" s="21" t="s">
        <v>1357</v>
      </c>
      <c r="E100" s="21" t="s">
        <v>9</v>
      </c>
      <c r="F100" s="5812">
        <v>3</v>
      </c>
      <c r="G100" s="5813">
        <v>0.20833333333333334</v>
      </c>
      <c r="H100" s="21" t="s">
        <v>10</v>
      </c>
      <c r="I100" s="21" t="s">
        <v>788</v>
      </c>
      <c r="J100" s="21" t="s">
        <v>12166</v>
      </c>
      <c r="K100" s="5814" t="s">
        <v>12167</v>
      </c>
    </row>
    <row r="101" spans="1:11">
      <c r="A101" s="21" t="s">
        <v>3720</v>
      </c>
      <c r="B101" s="21" t="s">
        <v>12075</v>
      </c>
      <c r="C101" s="21" t="s">
        <v>8</v>
      </c>
      <c r="D101" s="21" t="s">
        <v>1357</v>
      </c>
      <c r="E101" s="21" t="s">
        <v>9</v>
      </c>
      <c r="F101" s="5812">
        <v>3</v>
      </c>
      <c r="G101" s="5813">
        <v>0.20833333333333334</v>
      </c>
      <c r="H101" s="21" t="s">
        <v>10</v>
      </c>
      <c r="I101" s="21" t="s">
        <v>187</v>
      </c>
      <c r="J101" s="21" t="s">
        <v>12168</v>
      </c>
      <c r="K101" s="5814" t="s">
        <v>12169</v>
      </c>
    </row>
    <row r="102" spans="1:11">
      <c r="A102" s="21" t="s">
        <v>2992</v>
      </c>
      <c r="B102" s="21" t="s">
        <v>1443</v>
      </c>
      <c r="C102" s="21" t="s">
        <v>8</v>
      </c>
      <c r="D102" s="21" t="s">
        <v>1357</v>
      </c>
      <c r="E102" s="21" t="s">
        <v>9</v>
      </c>
      <c r="F102" s="5812">
        <v>3</v>
      </c>
      <c r="G102" s="5813">
        <v>0.20833333333333334</v>
      </c>
      <c r="H102" s="21" t="s">
        <v>10</v>
      </c>
      <c r="I102" s="21" t="s">
        <v>2317</v>
      </c>
      <c r="J102" s="21" t="s">
        <v>12170</v>
      </c>
      <c r="K102" s="5814" t="s">
        <v>12171</v>
      </c>
    </row>
    <row r="103" spans="1:11">
      <c r="A103" s="21" t="s">
        <v>3208</v>
      </c>
      <c r="B103" s="21" t="s">
        <v>12172</v>
      </c>
      <c r="C103" s="21" t="s">
        <v>8</v>
      </c>
      <c r="D103" s="21" t="s">
        <v>1357</v>
      </c>
      <c r="E103" s="21" t="s">
        <v>9</v>
      </c>
      <c r="F103" s="5812">
        <v>3</v>
      </c>
      <c r="G103" s="5813">
        <v>0.20833333333333334</v>
      </c>
      <c r="H103" s="21" t="s">
        <v>10</v>
      </c>
      <c r="I103" s="21" t="s">
        <v>187</v>
      </c>
      <c r="J103" s="21" t="s">
        <v>12173</v>
      </c>
      <c r="K103" s="5814" t="s">
        <v>12174</v>
      </c>
    </row>
    <row r="104" spans="1:11">
      <c r="A104" s="21" t="s">
        <v>2169</v>
      </c>
      <c r="B104" s="21" t="s">
        <v>12175</v>
      </c>
      <c r="C104" s="21" t="s">
        <v>8</v>
      </c>
      <c r="D104" s="21" t="s">
        <v>1357</v>
      </c>
      <c r="E104" s="21" t="s">
        <v>9</v>
      </c>
      <c r="F104" s="5812">
        <v>3</v>
      </c>
      <c r="G104" s="5813">
        <v>0.20833333333333334</v>
      </c>
      <c r="H104" s="21" t="s">
        <v>10</v>
      </c>
      <c r="I104" s="21" t="s">
        <v>615</v>
      </c>
      <c r="J104" s="21" t="s">
        <v>12176</v>
      </c>
      <c r="K104" s="5814" t="s">
        <v>12177</v>
      </c>
    </row>
    <row r="105" spans="1:11">
      <c r="A105" s="21" t="s">
        <v>5387</v>
      </c>
      <c r="B105" s="21" t="s">
        <v>12178</v>
      </c>
      <c r="C105" s="21" t="s">
        <v>8</v>
      </c>
      <c r="D105" s="21" t="s">
        <v>1357</v>
      </c>
      <c r="E105" s="21" t="s">
        <v>9</v>
      </c>
      <c r="F105" s="5812">
        <v>3</v>
      </c>
      <c r="G105" s="5813">
        <v>0.20833333333333334</v>
      </c>
      <c r="H105" s="21" t="s">
        <v>10</v>
      </c>
      <c r="I105" s="21" t="s">
        <v>55</v>
      </c>
      <c r="J105" s="21" t="s">
        <v>12179</v>
      </c>
      <c r="K105" s="5814" t="s">
        <v>12180</v>
      </c>
    </row>
    <row r="106" spans="1:11">
      <c r="A106" s="21" t="s">
        <v>4724</v>
      </c>
      <c r="B106" s="21" t="s">
        <v>12181</v>
      </c>
      <c r="C106" s="21" t="s">
        <v>22</v>
      </c>
      <c r="D106" s="21" t="s">
        <v>1357</v>
      </c>
      <c r="E106" s="21" t="s">
        <v>9</v>
      </c>
      <c r="F106" s="5812">
        <v>3</v>
      </c>
      <c r="G106" s="5813">
        <v>0.20833333333333334</v>
      </c>
      <c r="H106" s="21" t="s">
        <v>10</v>
      </c>
      <c r="I106" s="21" t="s">
        <v>2872</v>
      </c>
      <c r="J106" s="21" t="s">
        <v>12182</v>
      </c>
      <c r="K106" s="5814" t="s">
        <v>12183</v>
      </c>
    </row>
    <row r="107" spans="1:11">
      <c r="A107" s="21" t="s">
        <v>2179</v>
      </c>
      <c r="B107" s="21" t="s">
        <v>12184</v>
      </c>
      <c r="C107" s="21" t="s">
        <v>22</v>
      </c>
      <c r="D107" s="21" t="s">
        <v>1357</v>
      </c>
      <c r="E107" s="21" t="s">
        <v>9</v>
      </c>
      <c r="F107" s="5812">
        <v>3</v>
      </c>
      <c r="G107" s="5813">
        <v>0.20833333333333334</v>
      </c>
      <c r="H107" s="21" t="s">
        <v>10</v>
      </c>
      <c r="I107" s="21" t="s">
        <v>654</v>
      </c>
      <c r="J107" s="21" t="s">
        <v>12185</v>
      </c>
      <c r="K107" s="5814" t="s">
        <v>12186</v>
      </c>
    </row>
    <row r="108" spans="1:11">
      <c r="A108" s="21" t="s">
        <v>2605</v>
      </c>
      <c r="B108" s="21" t="s">
        <v>12187</v>
      </c>
      <c r="C108" s="21" t="s">
        <v>8</v>
      </c>
      <c r="D108" s="21" t="s">
        <v>1357</v>
      </c>
      <c r="E108" s="21" t="s">
        <v>9</v>
      </c>
      <c r="F108" s="5812">
        <v>3</v>
      </c>
      <c r="G108" s="5813">
        <v>0.20833333333333334</v>
      </c>
      <c r="H108" s="21" t="s">
        <v>10</v>
      </c>
      <c r="I108" s="21" t="s">
        <v>263</v>
      </c>
      <c r="J108" s="21" t="s">
        <v>12188</v>
      </c>
      <c r="K108" s="5814" t="s">
        <v>12189</v>
      </c>
    </row>
    <row r="109" spans="1:11">
      <c r="A109" s="21" t="s">
        <v>2605</v>
      </c>
      <c r="B109" s="21" t="s">
        <v>12190</v>
      </c>
      <c r="C109" s="21" t="s">
        <v>22</v>
      </c>
      <c r="D109" s="21" t="s">
        <v>1357</v>
      </c>
      <c r="E109" s="21" t="s">
        <v>9</v>
      </c>
      <c r="F109" s="5812">
        <v>3</v>
      </c>
      <c r="G109" s="5813">
        <v>0.20833333333333334</v>
      </c>
      <c r="H109" s="21" t="s">
        <v>10</v>
      </c>
      <c r="I109" s="21" t="s">
        <v>2959</v>
      </c>
      <c r="J109" s="21" t="s">
        <v>12191</v>
      </c>
      <c r="K109" s="5814" t="s">
        <v>12192</v>
      </c>
    </row>
    <row r="110" spans="1:11">
      <c r="A110" s="21" t="s">
        <v>2609</v>
      </c>
      <c r="B110" s="21" t="s">
        <v>12193</v>
      </c>
      <c r="C110" s="21" t="s">
        <v>8</v>
      </c>
      <c r="D110" s="21" t="s">
        <v>1357</v>
      </c>
      <c r="E110" s="21" t="s">
        <v>9</v>
      </c>
      <c r="F110" s="5812">
        <v>3</v>
      </c>
      <c r="G110" s="5813">
        <v>0.20833333333333334</v>
      </c>
      <c r="H110" s="21" t="s">
        <v>10</v>
      </c>
      <c r="I110" s="21" t="s">
        <v>226</v>
      </c>
      <c r="J110" s="21" t="s">
        <v>12194</v>
      </c>
      <c r="K110" s="5814" t="s">
        <v>12195</v>
      </c>
    </row>
    <row r="111" spans="1:11">
      <c r="A111" s="21" t="s">
        <v>3160</v>
      </c>
      <c r="B111" s="21" t="s">
        <v>12196</v>
      </c>
      <c r="C111" s="21" t="s">
        <v>8</v>
      </c>
      <c r="D111" s="21" t="s">
        <v>1357</v>
      </c>
      <c r="E111" s="21" t="s">
        <v>9</v>
      </c>
      <c r="F111" s="5812">
        <v>3</v>
      </c>
      <c r="G111" s="5813">
        <v>0.20833333333333334</v>
      </c>
      <c r="H111" s="21" t="s">
        <v>10</v>
      </c>
      <c r="I111" s="21" t="s">
        <v>788</v>
      </c>
      <c r="J111" s="21" t="s">
        <v>12197</v>
      </c>
      <c r="K111" s="5814" t="s">
        <v>12198</v>
      </c>
    </row>
    <row r="112" spans="1:11">
      <c r="A112" s="21" t="s">
        <v>2626</v>
      </c>
      <c r="B112" s="21" t="s">
        <v>12199</v>
      </c>
      <c r="C112" s="21" t="s">
        <v>22</v>
      </c>
      <c r="D112" s="21" t="s">
        <v>1357</v>
      </c>
      <c r="E112" s="21" t="s">
        <v>9</v>
      </c>
      <c r="F112" s="5812">
        <v>3</v>
      </c>
      <c r="G112" s="5813">
        <v>0.20833333333333334</v>
      </c>
      <c r="H112" s="21" t="s">
        <v>10</v>
      </c>
      <c r="I112" s="21" t="s">
        <v>2171</v>
      </c>
      <c r="J112" s="21" t="s">
        <v>12200</v>
      </c>
      <c r="K112" s="5814" t="s">
        <v>12201</v>
      </c>
    </row>
    <row r="113" spans="1:11">
      <c r="A113" s="21" t="s">
        <v>2630</v>
      </c>
      <c r="B113" s="21" t="s">
        <v>12202</v>
      </c>
      <c r="C113" s="21" t="s">
        <v>22</v>
      </c>
      <c r="D113" s="21" t="s">
        <v>1357</v>
      </c>
      <c r="E113" s="21" t="s">
        <v>9</v>
      </c>
      <c r="F113" s="5812">
        <v>3</v>
      </c>
      <c r="G113" s="5813">
        <v>0.20833333333333334</v>
      </c>
      <c r="H113" s="21" t="s">
        <v>10</v>
      </c>
      <c r="I113" s="21" t="s">
        <v>11</v>
      </c>
      <c r="J113" s="21" t="s">
        <v>12203</v>
      </c>
      <c r="K113" s="5814" t="s">
        <v>12204</v>
      </c>
    </row>
    <row r="114" spans="1:11">
      <c r="A114" s="21" t="s">
        <v>2638</v>
      </c>
      <c r="B114" s="21" t="s">
        <v>12205</v>
      </c>
      <c r="C114" s="21" t="s">
        <v>22</v>
      </c>
      <c r="D114" s="21" t="s">
        <v>1357</v>
      </c>
      <c r="E114" s="21" t="s">
        <v>9</v>
      </c>
      <c r="F114" s="5812">
        <v>3</v>
      </c>
      <c r="G114" s="5813">
        <v>0.20833333333333334</v>
      </c>
      <c r="H114" s="21" t="s">
        <v>10</v>
      </c>
      <c r="I114" s="21"/>
      <c r="J114" s="21" t="s">
        <v>12206</v>
      </c>
      <c r="K114" s="5814" t="s">
        <v>12207</v>
      </c>
    </row>
    <row r="115" spans="1:11">
      <c r="A115" s="21" t="s">
        <v>3395</v>
      </c>
      <c r="B115" s="21" t="s">
        <v>12208</v>
      </c>
      <c r="C115" s="21" t="s">
        <v>8</v>
      </c>
      <c r="D115" s="21" t="s">
        <v>1357</v>
      </c>
      <c r="E115" s="21" t="s">
        <v>9</v>
      </c>
      <c r="F115" s="5812">
        <v>3</v>
      </c>
      <c r="G115" s="5813">
        <v>0.20833333333333334</v>
      </c>
      <c r="H115" s="21" t="s">
        <v>10</v>
      </c>
      <c r="I115" s="21" t="s">
        <v>2814</v>
      </c>
      <c r="J115" s="21" t="s">
        <v>11710</v>
      </c>
      <c r="K115" s="5814" t="s">
        <v>12209</v>
      </c>
    </row>
    <row r="116" spans="1:11">
      <c r="A116" s="21" t="s">
        <v>2647</v>
      </c>
      <c r="B116" s="21" t="s">
        <v>12210</v>
      </c>
      <c r="C116" s="21" t="s">
        <v>8</v>
      </c>
      <c r="D116" s="21" t="s">
        <v>1357</v>
      </c>
      <c r="E116" s="21" t="s">
        <v>9</v>
      </c>
      <c r="F116" s="5812">
        <v>3</v>
      </c>
      <c r="G116" s="5813">
        <v>0.20833333333333334</v>
      </c>
      <c r="H116" s="21" t="s">
        <v>10</v>
      </c>
      <c r="I116" s="21" t="s">
        <v>55</v>
      </c>
      <c r="J116" s="21" t="s">
        <v>12211</v>
      </c>
      <c r="K116" s="5814" t="s">
        <v>12212</v>
      </c>
    </row>
    <row r="117" spans="1:11">
      <c r="A117" s="21" t="s">
        <v>2651</v>
      </c>
      <c r="B117" s="21" t="s">
        <v>12213</v>
      </c>
      <c r="C117" s="21" t="s">
        <v>22</v>
      </c>
      <c r="D117" s="21" t="s">
        <v>1357</v>
      </c>
      <c r="E117" s="21" t="s">
        <v>9</v>
      </c>
      <c r="F117" s="5812">
        <v>3</v>
      </c>
      <c r="G117" s="5813">
        <v>0.20833333333333334</v>
      </c>
      <c r="H117" s="21" t="s">
        <v>10</v>
      </c>
      <c r="I117" s="21" t="s">
        <v>2726</v>
      </c>
      <c r="J117" s="21" t="s">
        <v>12214</v>
      </c>
      <c r="K117" s="5814" t="s">
        <v>12215</v>
      </c>
    </row>
    <row r="118" spans="1:11">
      <c r="A118" s="21" t="s">
        <v>3328</v>
      </c>
      <c r="B118" s="21" t="s">
        <v>12216</v>
      </c>
      <c r="C118" s="21" t="s">
        <v>8</v>
      </c>
      <c r="D118" s="21" t="s">
        <v>1357</v>
      </c>
      <c r="E118" s="21" t="s">
        <v>9</v>
      </c>
      <c r="F118" s="5812">
        <v>3</v>
      </c>
      <c r="G118" s="5813">
        <v>0.20833333333333334</v>
      </c>
      <c r="H118" s="21" t="s">
        <v>10</v>
      </c>
      <c r="I118" s="21" t="s">
        <v>2692</v>
      </c>
      <c r="J118" s="21" t="s">
        <v>12217</v>
      </c>
      <c r="K118" s="5814" t="s">
        <v>12218</v>
      </c>
    </row>
    <row r="119" spans="1:11">
      <c r="A119" s="21" t="s">
        <v>3002</v>
      </c>
      <c r="B119" s="21" t="s">
        <v>12219</v>
      </c>
      <c r="C119" s="21" t="s">
        <v>22</v>
      </c>
      <c r="D119" s="21" t="s">
        <v>1357</v>
      </c>
      <c r="E119" s="21" t="s">
        <v>9</v>
      </c>
      <c r="F119" s="5812">
        <v>3</v>
      </c>
      <c r="G119" s="5813">
        <v>0.20833333333333334</v>
      </c>
      <c r="H119" s="21" t="s">
        <v>10</v>
      </c>
      <c r="I119" s="21" t="s">
        <v>2872</v>
      </c>
      <c r="J119" s="21" t="s">
        <v>12220</v>
      </c>
      <c r="K119" s="5814" t="s">
        <v>12221</v>
      </c>
    </row>
    <row r="120" spans="1:11">
      <c r="A120" s="21" t="s">
        <v>3741</v>
      </c>
      <c r="B120" s="21" t="s">
        <v>12222</v>
      </c>
      <c r="C120" s="21" t="s">
        <v>8</v>
      </c>
      <c r="D120" s="21" t="s">
        <v>1357</v>
      </c>
      <c r="E120" s="21" t="s">
        <v>9</v>
      </c>
      <c r="F120" s="5812">
        <v>3</v>
      </c>
      <c r="G120" s="5813">
        <v>0.20833333333333334</v>
      </c>
      <c r="H120" s="21" t="s">
        <v>10</v>
      </c>
      <c r="I120" s="21" t="s">
        <v>11</v>
      </c>
      <c r="J120" s="21" t="s">
        <v>12223</v>
      </c>
      <c r="K120" s="5814" t="s">
        <v>12224</v>
      </c>
    </row>
    <row r="121" spans="1:11">
      <c r="A121" s="21" t="s">
        <v>4233</v>
      </c>
      <c r="B121" s="21" t="s">
        <v>12225</v>
      </c>
      <c r="C121" s="21" t="s">
        <v>22</v>
      </c>
      <c r="D121" s="21" t="s">
        <v>1357</v>
      </c>
      <c r="E121" s="21" t="s">
        <v>9</v>
      </c>
      <c r="F121" s="5812">
        <v>3</v>
      </c>
      <c r="G121" s="5813">
        <v>0.20833333333333334</v>
      </c>
      <c r="H121" s="21" t="s">
        <v>10</v>
      </c>
      <c r="I121" s="21" t="s">
        <v>8310</v>
      </c>
      <c r="J121" s="21" t="s">
        <v>12226</v>
      </c>
      <c r="K121" s="5814" t="s">
        <v>12227</v>
      </c>
    </row>
    <row r="122" spans="1:11">
      <c r="A122" s="21" t="s">
        <v>2702</v>
      </c>
      <c r="B122" s="21" t="s">
        <v>12228</v>
      </c>
      <c r="C122" s="21" t="s">
        <v>8</v>
      </c>
      <c r="D122" s="21" t="s">
        <v>1357</v>
      </c>
      <c r="E122" s="21" t="s">
        <v>9</v>
      </c>
      <c r="F122" s="5812">
        <v>3</v>
      </c>
      <c r="G122" s="5813">
        <v>0.20833333333333334</v>
      </c>
      <c r="H122" s="21" t="s">
        <v>10</v>
      </c>
      <c r="I122" s="21" t="s">
        <v>2704</v>
      </c>
      <c r="J122" s="21" t="s">
        <v>12229</v>
      </c>
      <c r="K122" s="5814" t="s">
        <v>12230</v>
      </c>
    </row>
    <row r="123" spans="1:11">
      <c r="A123" s="21" t="s">
        <v>3036</v>
      </c>
      <c r="B123" s="21" t="s">
        <v>12231</v>
      </c>
      <c r="C123" s="21" t="s">
        <v>22</v>
      </c>
      <c r="D123" s="21" t="s">
        <v>1357</v>
      </c>
      <c r="E123" s="21" t="s">
        <v>9</v>
      </c>
      <c r="F123" s="5812">
        <v>3</v>
      </c>
      <c r="G123" s="5813">
        <v>0.20833333333333334</v>
      </c>
      <c r="H123" s="21" t="s">
        <v>10</v>
      </c>
      <c r="I123" s="21" t="s">
        <v>2269</v>
      </c>
      <c r="J123" s="21" t="s">
        <v>12232</v>
      </c>
      <c r="K123" s="5814" t="s">
        <v>12233</v>
      </c>
    </row>
    <row r="124" spans="1:11">
      <c r="A124" s="21" t="s">
        <v>2915</v>
      </c>
      <c r="B124" s="21" t="s">
        <v>12234</v>
      </c>
      <c r="C124" s="21" t="s">
        <v>8</v>
      </c>
      <c r="D124" s="21" t="s">
        <v>1357</v>
      </c>
      <c r="E124" s="21" t="s">
        <v>9</v>
      </c>
      <c r="F124" s="5812">
        <v>3</v>
      </c>
      <c r="G124" s="5813">
        <v>0.20833333333333334</v>
      </c>
      <c r="H124" s="21" t="s">
        <v>10</v>
      </c>
      <c r="I124" s="21" t="s">
        <v>226</v>
      </c>
      <c r="J124" s="21" t="s">
        <v>12235</v>
      </c>
      <c r="K124" s="5814" t="s">
        <v>12236</v>
      </c>
    </row>
    <row r="125" spans="1:11">
      <c r="A125" s="21" t="s">
        <v>2711</v>
      </c>
      <c r="B125" s="21" t="s">
        <v>12237</v>
      </c>
      <c r="C125" s="21" t="s">
        <v>22</v>
      </c>
      <c r="D125" s="21" t="s">
        <v>1357</v>
      </c>
      <c r="E125" s="21" t="s">
        <v>9</v>
      </c>
      <c r="F125" s="5812">
        <v>3</v>
      </c>
      <c r="G125" s="5813">
        <v>0.20833333333333334</v>
      </c>
      <c r="H125" s="21" t="s">
        <v>10</v>
      </c>
      <c r="I125" s="21" t="s">
        <v>2747</v>
      </c>
      <c r="J125" s="21" t="s">
        <v>12238</v>
      </c>
      <c r="K125" s="5814" t="s">
        <v>12239</v>
      </c>
    </row>
    <row r="126" spans="1:11">
      <c r="A126" s="21" t="s">
        <v>2724</v>
      </c>
      <c r="B126" s="21" t="s">
        <v>12240</v>
      </c>
      <c r="C126" s="21" t="s">
        <v>22</v>
      </c>
      <c r="D126" s="21" t="s">
        <v>1357</v>
      </c>
      <c r="E126" s="21" t="s">
        <v>9</v>
      </c>
      <c r="F126" s="5812">
        <v>3</v>
      </c>
      <c r="G126" s="5813">
        <v>0.20833333333333334</v>
      </c>
      <c r="H126" s="21" t="s">
        <v>10</v>
      </c>
      <c r="I126" s="21"/>
      <c r="J126" s="21" t="s">
        <v>12241</v>
      </c>
      <c r="K126" s="5814" t="s">
        <v>12242</v>
      </c>
    </row>
    <row r="127" spans="1:11">
      <c r="A127" s="21" t="s">
        <v>4249</v>
      </c>
      <c r="B127" s="21" t="s">
        <v>12243</v>
      </c>
      <c r="C127" s="21" t="s">
        <v>22</v>
      </c>
      <c r="D127" s="21" t="s">
        <v>1357</v>
      </c>
      <c r="E127" s="21" t="s">
        <v>9</v>
      </c>
      <c r="F127" s="5812">
        <v>3</v>
      </c>
      <c r="G127" s="5813">
        <v>0.20833333333333334</v>
      </c>
      <c r="H127" s="21" t="s">
        <v>10</v>
      </c>
      <c r="I127" s="21" t="s">
        <v>4254</v>
      </c>
      <c r="J127" s="21" t="s">
        <v>12244</v>
      </c>
      <c r="K127" s="5814" t="s">
        <v>12245</v>
      </c>
    </row>
    <row r="128" spans="1:11">
      <c r="A128" s="21" t="s">
        <v>3765</v>
      </c>
      <c r="B128" s="21" t="s">
        <v>12246</v>
      </c>
      <c r="C128" s="21" t="s">
        <v>8</v>
      </c>
      <c r="D128" s="21" t="s">
        <v>1357</v>
      </c>
      <c r="E128" s="21" t="s">
        <v>9</v>
      </c>
      <c r="F128" s="5812">
        <v>3</v>
      </c>
      <c r="G128" s="5813">
        <v>0.20833333333333334</v>
      </c>
      <c r="H128" s="21" t="s">
        <v>10</v>
      </c>
      <c r="I128" s="21" t="s">
        <v>8047</v>
      </c>
      <c r="J128" s="21" t="s">
        <v>12247</v>
      </c>
      <c r="K128" s="5814" t="s">
        <v>12248</v>
      </c>
    </row>
    <row r="129" spans="1:11">
      <c r="A129" s="21" t="s">
        <v>3354</v>
      </c>
      <c r="B129" s="21" t="s">
        <v>12249</v>
      </c>
      <c r="C129" s="21" t="s">
        <v>22</v>
      </c>
      <c r="D129" s="21" t="s">
        <v>1357</v>
      </c>
      <c r="E129" s="21" t="s">
        <v>9</v>
      </c>
      <c r="F129" s="5812">
        <v>3</v>
      </c>
      <c r="G129" s="5813">
        <v>0.20833333333333334</v>
      </c>
      <c r="H129" s="21" t="s">
        <v>10</v>
      </c>
      <c r="I129" s="21" t="s">
        <v>2247</v>
      </c>
      <c r="J129" s="21" t="s">
        <v>12250</v>
      </c>
      <c r="K129" s="5814" t="s">
        <v>12251</v>
      </c>
    </row>
    <row r="130" spans="1:11">
      <c r="A130" s="21" t="s">
        <v>115</v>
      </c>
      <c r="B130" s="21" t="s">
        <v>1374</v>
      </c>
      <c r="C130" s="21" t="s">
        <v>22</v>
      </c>
      <c r="D130" s="21" t="s">
        <v>1357</v>
      </c>
      <c r="E130" s="21" t="s">
        <v>9</v>
      </c>
      <c r="F130" s="5812">
        <v>5</v>
      </c>
      <c r="G130" s="5813">
        <v>0.20833333333333334</v>
      </c>
      <c r="H130" s="21" t="s">
        <v>54</v>
      </c>
      <c r="I130" s="21" t="s">
        <v>117</v>
      </c>
      <c r="J130" s="21" t="s">
        <v>1375</v>
      </c>
      <c r="K130" s="5814" t="s">
        <v>1376</v>
      </c>
    </row>
    <row r="131" spans="1:11">
      <c r="A131" s="21" t="s">
        <v>125</v>
      </c>
      <c r="B131" s="21" t="s">
        <v>1400</v>
      </c>
      <c r="C131" s="21" t="s">
        <v>22</v>
      </c>
      <c r="D131" s="21" t="s">
        <v>1357</v>
      </c>
      <c r="E131" s="21" t="s">
        <v>9</v>
      </c>
      <c r="F131" s="5812">
        <v>5</v>
      </c>
      <c r="G131" s="5813">
        <v>0.20833333333333334</v>
      </c>
      <c r="H131" s="21" t="s">
        <v>54</v>
      </c>
      <c r="I131" s="21" t="s">
        <v>96</v>
      </c>
      <c r="J131" s="21" t="s">
        <v>1401</v>
      </c>
      <c r="K131" s="5814" t="s">
        <v>1402</v>
      </c>
    </row>
    <row r="132" spans="1:11">
      <c r="A132" s="21" t="s">
        <v>2100</v>
      </c>
      <c r="B132" s="21" t="s">
        <v>12252</v>
      </c>
      <c r="C132" s="21" t="s">
        <v>8</v>
      </c>
      <c r="D132" s="21" t="s">
        <v>1357</v>
      </c>
      <c r="E132" s="21" t="s">
        <v>9</v>
      </c>
      <c r="F132" s="5812">
        <v>5</v>
      </c>
      <c r="G132" s="5813">
        <v>0.20833333333333334</v>
      </c>
      <c r="H132" s="21" t="s">
        <v>54</v>
      </c>
      <c r="I132" s="21" t="s">
        <v>39</v>
      </c>
      <c r="J132" s="21" t="s">
        <v>12253</v>
      </c>
      <c r="K132" s="5814" t="s">
        <v>12254</v>
      </c>
    </row>
    <row r="133" spans="1:11">
      <c r="A133" s="21" t="s">
        <v>4003</v>
      </c>
      <c r="B133" s="21" t="s">
        <v>12255</v>
      </c>
      <c r="C133" s="21" t="s">
        <v>8</v>
      </c>
      <c r="D133" s="21" t="s">
        <v>1357</v>
      </c>
      <c r="E133" s="21" t="s">
        <v>9</v>
      </c>
      <c r="F133" s="5812">
        <v>5</v>
      </c>
      <c r="G133" s="5813">
        <v>0.20833333333333334</v>
      </c>
      <c r="H133" s="21" t="s">
        <v>54</v>
      </c>
      <c r="I133" s="21" t="s">
        <v>55</v>
      </c>
      <c r="J133" s="21" t="s">
        <v>12256</v>
      </c>
      <c r="K133" s="5814" t="s">
        <v>12257</v>
      </c>
    </row>
    <row r="134" spans="1:11">
      <c r="A134" s="21" t="s">
        <v>2547</v>
      </c>
      <c r="B134" s="21" t="s">
        <v>12258</v>
      </c>
      <c r="C134" s="21" t="s">
        <v>22</v>
      </c>
      <c r="D134" s="21" t="s">
        <v>1357</v>
      </c>
      <c r="E134" s="21" t="s">
        <v>9</v>
      </c>
      <c r="F134" s="5812">
        <v>5</v>
      </c>
      <c r="G134" s="5813">
        <v>0.20833333333333334</v>
      </c>
      <c r="H134" s="21" t="s">
        <v>54</v>
      </c>
      <c r="I134" s="21" t="s">
        <v>55</v>
      </c>
      <c r="J134" s="21" t="s">
        <v>12259</v>
      </c>
      <c r="K134" s="5814" t="s">
        <v>12260</v>
      </c>
    </row>
    <row r="135" spans="1:11">
      <c r="A135" s="21" t="s">
        <v>4565</v>
      </c>
      <c r="B135" s="21" t="s">
        <v>12261</v>
      </c>
      <c r="C135" s="21" t="s">
        <v>8</v>
      </c>
      <c r="D135" s="21" t="s">
        <v>1357</v>
      </c>
      <c r="E135" s="21" t="s">
        <v>46</v>
      </c>
      <c r="F135" s="5812">
        <v>1</v>
      </c>
      <c r="G135" s="5813">
        <v>2.7777777777777776E-2</v>
      </c>
      <c r="H135" s="21" t="s">
        <v>10</v>
      </c>
      <c r="I135" s="21" t="s">
        <v>2860</v>
      </c>
      <c r="J135" s="21" t="s">
        <v>48</v>
      </c>
      <c r="K135" s="5814" t="s">
        <v>12262</v>
      </c>
    </row>
    <row r="136" spans="1:11">
      <c r="A136" s="21" t="s">
        <v>3491</v>
      </c>
      <c r="B136" s="21" t="s">
        <v>12263</v>
      </c>
      <c r="C136" s="21" t="s">
        <v>8</v>
      </c>
      <c r="D136" s="21" t="s">
        <v>1357</v>
      </c>
      <c r="E136" s="21" t="s">
        <v>46</v>
      </c>
      <c r="F136" s="5812">
        <v>1</v>
      </c>
      <c r="G136" s="5813">
        <v>0.12361111111111112</v>
      </c>
      <c r="H136" s="21" t="s">
        <v>10</v>
      </c>
      <c r="I136" s="21" t="s">
        <v>73</v>
      </c>
      <c r="J136" s="21" t="s">
        <v>48</v>
      </c>
      <c r="K136" s="5814" t="s">
        <v>12264</v>
      </c>
    </row>
    <row r="137" spans="1:11">
      <c r="A137" s="21" t="s">
        <v>2992</v>
      </c>
      <c r="B137" s="21" t="s">
        <v>12265</v>
      </c>
      <c r="C137" s="21" t="s">
        <v>8</v>
      </c>
      <c r="D137" s="21" t="s">
        <v>1357</v>
      </c>
      <c r="E137" s="21" t="s">
        <v>46</v>
      </c>
      <c r="F137" s="5812">
        <v>1</v>
      </c>
      <c r="G137" s="5813">
        <v>0.12777777777777777</v>
      </c>
      <c r="H137" s="21" t="s">
        <v>10</v>
      </c>
      <c r="I137" s="21" t="s">
        <v>4417</v>
      </c>
      <c r="J137" s="21" t="s">
        <v>97</v>
      </c>
      <c r="K137" s="5814" t="s">
        <v>12266</v>
      </c>
    </row>
    <row r="138" spans="1:11">
      <c r="A138" s="21" t="s">
        <v>2995</v>
      </c>
      <c r="B138" s="21" t="s">
        <v>12267</v>
      </c>
      <c r="C138" s="21" t="s">
        <v>22</v>
      </c>
      <c r="D138" s="21" t="s">
        <v>1357</v>
      </c>
      <c r="E138" s="21" t="s">
        <v>46</v>
      </c>
      <c r="F138" s="5812">
        <v>1</v>
      </c>
      <c r="G138" s="5813">
        <v>0.15347222222222223</v>
      </c>
      <c r="H138" s="21" t="s">
        <v>10</v>
      </c>
      <c r="I138" s="21" t="s">
        <v>96</v>
      </c>
      <c r="J138" s="21" t="s">
        <v>97</v>
      </c>
      <c r="K138" s="5814" t="s">
        <v>12268</v>
      </c>
    </row>
    <row r="139" spans="1:11">
      <c r="A139" s="21" t="s">
        <v>2057</v>
      </c>
      <c r="B139" s="21" t="s">
        <v>12269</v>
      </c>
      <c r="C139" s="21" t="s">
        <v>8</v>
      </c>
      <c r="D139" s="21" t="s">
        <v>1357</v>
      </c>
      <c r="E139" s="21" t="s">
        <v>46</v>
      </c>
      <c r="F139" s="5812">
        <v>1</v>
      </c>
      <c r="G139" s="5813">
        <v>0.15902777777777777</v>
      </c>
      <c r="H139" s="21" t="s">
        <v>10</v>
      </c>
      <c r="I139" s="21" t="s">
        <v>39</v>
      </c>
      <c r="J139" s="21" t="s">
        <v>430</v>
      </c>
      <c r="K139" s="5814" t="s">
        <v>12270</v>
      </c>
    </row>
    <row r="140" spans="1:11">
      <c r="A140" s="21" t="s">
        <v>3909</v>
      </c>
      <c r="B140" s="21" t="s">
        <v>12271</v>
      </c>
      <c r="C140" s="21" t="s">
        <v>8</v>
      </c>
      <c r="D140" s="21" t="s">
        <v>1357</v>
      </c>
      <c r="E140" s="21" t="s">
        <v>46</v>
      </c>
      <c r="F140" s="5812">
        <v>1</v>
      </c>
      <c r="G140" s="5813">
        <v>0.16111111111111112</v>
      </c>
      <c r="H140" s="21" t="s">
        <v>10</v>
      </c>
      <c r="I140" s="21" t="s">
        <v>55</v>
      </c>
      <c r="J140" s="21" t="s">
        <v>4505</v>
      </c>
      <c r="K140" s="5814" t="s">
        <v>12272</v>
      </c>
    </row>
    <row r="141" spans="1:11">
      <c r="A141" s="21" t="s">
        <v>3152</v>
      </c>
      <c r="B141" s="21" t="s">
        <v>12273</v>
      </c>
      <c r="C141" s="21" t="s">
        <v>8</v>
      </c>
      <c r="D141" s="21" t="s">
        <v>1357</v>
      </c>
      <c r="E141" s="21" t="s">
        <v>46</v>
      </c>
      <c r="F141" s="5812">
        <v>1</v>
      </c>
      <c r="G141" s="5813">
        <v>0.20416666666666666</v>
      </c>
      <c r="H141" s="21" t="s">
        <v>10</v>
      </c>
      <c r="I141" s="21" t="s">
        <v>55</v>
      </c>
      <c r="J141" s="21" t="s">
        <v>1076</v>
      </c>
      <c r="K141" s="5814" t="s">
        <v>12274</v>
      </c>
    </row>
    <row r="142" spans="1:11">
      <c r="A142" s="21" t="s">
        <v>2938</v>
      </c>
      <c r="B142" s="21" t="s">
        <v>12275</v>
      </c>
      <c r="C142" s="21" t="s">
        <v>22</v>
      </c>
      <c r="D142" s="21" t="s">
        <v>1357</v>
      </c>
      <c r="E142" s="21" t="s">
        <v>46</v>
      </c>
      <c r="F142" s="5812">
        <v>1</v>
      </c>
      <c r="G142" s="5813">
        <v>0.2048611111111111</v>
      </c>
      <c r="H142" s="21" t="s">
        <v>10</v>
      </c>
      <c r="I142" s="21" t="s">
        <v>2313</v>
      </c>
      <c r="J142" s="21" t="s">
        <v>518</v>
      </c>
      <c r="K142" s="5814" t="s">
        <v>12276</v>
      </c>
    </row>
    <row r="143" spans="1:11">
      <c r="A143" s="21" t="s">
        <v>2291</v>
      </c>
      <c r="B143" s="21" t="s">
        <v>12277</v>
      </c>
      <c r="C143" s="21" t="s">
        <v>22</v>
      </c>
      <c r="D143" s="21" t="s">
        <v>1357</v>
      </c>
      <c r="E143" s="21" t="s">
        <v>46</v>
      </c>
      <c r="F143" s="5812">
        <v>2</v>
      </c>
      <c r="G143" s="5813">
        <v>6.805555555555555E-2</v>
      </c>
      <c r="H143" s="21" t="s">
        <v>10</v>
      </c>
      <c r="I143" s="21"/>
      <c r="J143" s="21" t="s">
        <v>430</v>
      </c>
      <c r="K143" s="5814" t="s">
        <v>12278</v>
      </c>
    </row>
    <row r="144" spans="1:11">
      <c r="A144" s="21" t="s">
        <v>2757</v>
      </c>
      <c r="B144" s="21" t="s">
        <v>12279</v>
      </c>
      <c r="C144" s="21" t="s">
        <v>22</v>
      </c>
      <c r="D144" s="21" t="s">
        <v>1357</v>
      </c>
      <c r="E144" s="21" t="s">
        <v>46</v>
      </c>
      <c r="F144" s="5812">
        <v>2</v>
      </c>
      <c r="G144" s="5813">
        <v>0.12013888888888889</v>
      </c>
      <c r="H144" s="21" t="s">
        <v>10</v>
      </c>
      <c r="I144" s="21" t="s">
        <v>39</v>
      </c>
      <c r="J144" s="21" t="s">
        <v>406</v>
      </c>
      <c r="K144" s="5814" t="s">
        <v>12280</v>
      </c>
    </row>
    <row r="145" spans="1:11">
      <c r="A145" s="21" t="s">
        <v>3690</v>
      </c>
      <c r="B145" s="21" t="s">
        <v>12281</v>
      </c>
      <c r="C145" s="21" t="s">
        <v>8</v>
      </c>
      <c r="D145" s="21" t="s">
        <v>1357</v>
      </c>
      <c r="E145" s="21" t="s">
        <v>46</v>
      </c>
      <c r="F145" s="5812">
        <v>2</v>
      </c>
      <c r="G145" s="5813">
        <v>0.125</v>
      </c>
      <c r="H145" s="21" t="s">
        <v>10</v>
      </c>
      <c r="I145" s="21" t="s">
        <v>55</v>
      </c>
      <c r="J145" s="21" t="s">
        <v>97</v>
      </c>
      <c r="K145" s="5814" t="s">
        <v>12282</v>
      </c>
    </row>
    <row r="146" spans="1:11">
      <c r="A146" s="21" t="s">
        <v>2638</v>
      </c>
      <c r="B146" s="21" t="s">
        <v>12283</v>
      </c>
      <c r="C146" s="21" t="s">
        <v>8</v>
      </c>
      <c r="D146" s="21" t="s">
        <v>1357</v>
      </c>
      <c r="E146" s="21" t="s">
        <v>46</v>
      </c>
      <c r="F146" s="5812">
        <v>2</v>
      </c>
      <c r="G146" s="5813">
        <v>0.12569444444444444</v>
      </c>
      <c r="H146" s="21" t="s">
        <v>10</v>
      </c>
      <c r="I146" s="21" t="s">
        <v>11</v>
      </c>
      <c r="J146" s="21" t="s">
        <v>97</v>
      </c>
      <c r="K146" s="5814" t="s">
        <v>12284</v>
      </c>
    </row>
    <row r="147" spans="1:11">
      <c r="A147" s="21" t="s">
        <v>2893</v>
      </c>
      <c r="B147" s="21" t="s">
        <v>12285</v>
      </c>
      <c r="C147" s="21" t="s">
        <v>22</v>
      </c>
      <c r="D147" s="21" t="s">
        <v>1357</v>
      </c>
      <c r="E147" s="21" t="s">
        <v>46</v>
      </c>
      <c r="F147" s="5812">
        <v>2</v>
      </c>
      <c r="G147" s="5813">
        <v>0.13263888888888889</v>
      </c>
      <c r="H147" s="21" t="s">
        <v>10</v>
      </c>
      <c r="I147" s="21" t="s">
        <v>96</v>
      </c>
      <c r="J147" s="21" t="s">
        <v>258</v>
      </c>
      <c r="K147" s="5814" t="s">
        <v>12286</v>
      </c>
    </row>
    <row r="148" spans="1:11">
      <c r="A148" s="21" t="s">
        <v>3647</v>
      </c>
      <c r="B148" s="21" t="s">
        <v>12287</v>
      </c>
      <c r="C148" s="21" t="s">
        <v>8</v>
      </c>
      <c r="D148" s="21" t="s">
        <v>1357</v>
      </c>
      <c r="E148" s="21" t="s">
        <v>46</v>
      </c>
      <c r="F148" s="5812">
        <v>2</v>
      </c>
      <c r="G148" s="5813">
        <v>0.14722222222222223</v>
      </c>
      <c r="H148" s="21" t="s">
        <v>10</v>
      </c>
      <c r="I148" s="21" t="s">
        <v>47</v>
      </c>
      <c r="J148" s="21" t="s">
        <v>3080</v>
      </c>
      <c r="K148" s="5814" t="s">
        <v>12288</v>
      </c>
    </row>
    <row r="149" spans="1:11">
      <c r="A149" s="21" t="s">
        <v>3026</v>
      </c>
      <c r="B149" s="21" t="s">
        <v>12289</v>
      </c>
      <c r="C149" s="21" t="s">
        <v>22</v>
      </c>
      <c r="D149" s="21" t="s">
        <v>1357</v>
      </c>
      <c r="E149" s="21" t="s">
        <v>46</v>
      </c>
      <c r="F149" s="5812">
        <v>2</v>
      </c>
      <c r="G149" s="5813">
        <v>0.15347222222222223</v>
      </c>
      <c r="H149" s="21" t="s">
        <v>10</v>
      </c>
      <c r="I149" s="21" t="s">
        <v>23</v>
      </c>
      <c r="J149" s="21" t="s">
        <v>430</v>
      </c>
      <c r="K149" s="5814" t="s">
        <v>12290</v>
      </c>
    </row>
    <row r="150" spans="1:11">
      <c r="A150" s="21" t="s">
        <v>3664</v>
      </c>
      <c r="B150" s="21" t="s">
        <v>12291</v>
      </c>
      <c r="C150" s="21" t="s">
        <v>22</v>
      </c>
      <c r="D150" s="21" t="s">
        <v>1357</v>
      </c>
      <c r="E150" s="21" t="s">
        <v>46</v>
      </c>
      <c r="F150" s="5812">
        <v>2</v>
      </c>
      <c r="G150" s="5813">
        <v>0.15416666666666667</v>
      </c>
      <c r="H150" s="21" t="s">
        <v>10</v>
      </c>
      <c r="I150" s="21" t="s">
        <v>11</v>
      </c>
      <c r="J150" s="21" t="s">
        <v>3148</v>
      </c>
      <c r="K150" s="5814" t="s">
        <v>12292</v>
      </c>
    </row>
    <row r="151" spans="1:11">
      <c r="A151" s="21" t="s">
        <v>3412</v>
      </c>
      <c r="B151" s="21" t="s">
        <v>12293</v>
      </c>
      <c r="C151" s="21" t="s">
        <v>22</v>
      </c>
      <c r="D151" s="21" t="s">
        <v>1357</v>
      </c>
      <c r="E151" s="21" t="s">
        <v>46</v>
      </c>
      <c r="F151" s="5812">
        <v>2</v>
      </c>
      <c r="G151" s="5813">
        <v>0.17222222222222222</v>
      </c>
      <c r="H151" s="21" t="s">
        <v>10</v>
      </c>
      <c r="I151" s="21" t="s">
        <v>2313</v>
      </c>
      <c r="J151" s="21" t="s">
        <v>97</v>
      </c>
      <c r="K151" s="5814" t="s">
        <v>12294</v>
      </c>
    </row>
    <row r="152" spans="1:11">
      <c r="A152" s="21" t="s">
        <v>4724</v>
      </c>
      <c r="B152" s="21" t="s">
        <v>12295</v>
      </c>
      <c r="C152" s="21" t="s">
        <v>8</v>
      </c>
      <c r="D152" s="21" t="s">
        <v>1357</v>
      </c>
      <c r="E152" s="21" t="s">
        <v>46</v>
      </c>
      <c r="F152" s="5812">
        <v>2</v>
      </c>
      <c r="G152" s="5813">
        <v>0.17569444444444443</v>
      </c>
      <c r="H152" s="21" t="s">
        <v>10</v>
      </c>
      <c r="I152" s="21" t="s">
        <v>4298</v>
      </c>
      <c r="J152" s="21" t="s">
        <v>907</v>
      </c>
      <c r="K152" s="5814" t="s">
        <v>12296</v>
      </c>
    </row>
    <row r="153" spans="1:11">
      <c r="A153" s="21" t="s">
        <v>3690</v>
      </c>
      <c r="B153" s="21" t="s">
        <v>12297</v>
      </c>
      <c r="C153" s="21" t="s">
        <v>8</v>
      </c>
      <c r="D153" s="21" t="s">
        <v>1357</v>
      </c>
      <c r="E153" s="21" t="s">
        <v>46</v>
      </c>
      <c r="F153" s="5812">
        <v>2</v>
      </c>
      <c r="G153" s="5813">
        <v>0.18541666666666667</v>
      </c>
      <c r="H153" s="21" t="s">
        <v>10</v>
      </c>
      <c r="I153" s="21" t="s">
        <v>11</v>
      </c>
      <c r="J153" s="21" t="s">
        <v>430</v>
      </c>
      <c r="K153" s="5814" t="s">
        <v>12298</v>
      </c>
    </row>
    <row r="154" spans="1:11">
      <c r="A154" s="21" t="s">
        <v>5335</v>
      </c>
      <c r="B154" s="21" t="s">
        <v>12299</v>
      </c>
      <c r="C154" s="21" t="s">
        <v>8</v>
      </c>
      <c r="D154" s="21" t="s">
        <v>1357</v>
      </c>
      <c r="E154" s="21" t="s">
        <v>46</v>
      </c>
      <c r="F154" s="5812">
        <v>2</v>
      </c>
      <c r="G154" s="5813">
        <v>0.18958333333333333</v>
      </c>
      <c r="H154" s="21" t="s">
        <v>10</v>
      </c>
      <c r="I154" s="21" t="s">
        <v>23</v>
      </c>
      <c r="J154" s="21" t="s">
        <v>258</v>
      </c>
      <c r="K154" s="5814" t="s">
        <v>12300</v>
      </c>
    </row>
    <row r="155" spans="1:11">
      <c r="A155" s="21" t="s">
        <v>2982</v>
      </c>
      <c r="B155" s="21" t="s">
        <v>12301</v>
      </c>
      <c r="C155" s="21" t="s">
        <v>22</v>
      </c>
      <c r="D155" s="21" t="s">
        <v>1357</v>
      </c>
      <c r="E155" s="21" t="s">
        <v>46</v>
      </c>
      <c r="F155" s="5812">
        <v>2</v>
      </c>
      <c r="G155" s="5813">
        <v>0.19930555555555557</v>
      </c>
      <c r="H155" s="21" t="s">
        <v>10</v>
      </c>
      <c r="I155" s="21" t="s">
        <v>23</v>
      </c>
      <c r="J155" s="21" t="s">
        <v>430</v>
      </c>
      <c r="K155" s="5814" t="s">
        <v>12302</v>
      </c>
    </row>
    <row r="156" spans="1:11">
      <c r="A156" s="21" t="s">
        <v>3256</v>
      </c>
      <c r="B156" s="21" t="s">
        <v>12303</v>
      </c>
      <c r="C156" s="21" t="s">
        <v>22</v>
      </c>
      <c r="D156" s="21" t="s">
        <v>1357</v>
      </c>
      <c r="E156" s="21" t="s">
        <v>46</v>
      </c>
      <c r="F156" s="5812">
        <v>2</v>
      </c>
      <c r="G156" s="5813">
        <v>0.20208333333333334</v>
      </c>
      <c r="H156" s="21" t="s">
        <v>10</v>
      </c>
      <c r="I156" s="21" t="s">
        <v>89</v>
      </c>
      <c r="J156" s="21" t="s">
        <v>97</v>
      </c>
      <c r="K156" s="5814" t="s">
        <v>12304</v>
      </c>
    </row>
    <row r="157" spans="1:11">
      <c r="A157" s="21" t="s">
        <v>3252</v>
      </c>
      <c r="B157" s="21" t="s">
        <v>12305</v>
      </c>
      <c r="C157" s="21" t="s">
        <v>22</v>
      </c>
      <c r="D157" s="21" t="s">
        <v>1357</v>
      </c>
      <c r="E157" s="21" t="s">
        <v>46</v>
      </c>
      <c r="F157" s="5812">
        <v>2</v>
      </c>
      <c r="G157" s="5813">
        <v>0.2076388888888889</v>
      </c>
      <c r="H157" s="21" t="s">
        <v>10</v>
      </c>
      <c r="I157" s="21" t="s">
        <v>5887</v>
      </c>
      <c r="J157" s="21" t="s">
        <v>518</v>
      </c>
      <c r="K157" s="5814" t="s">
        <v>12306</v>
      </c>
    </row>
    <row r="158" spans="1:11">
      <c r="A158" s="21" t="s">
        <v>3105</v>
      </c>
      <c r="B158" s="21" t="s">
        <v>12307</v>
      </c>
      <c r="C158" s="21" t="s">
        <v>22</v>
      </c>
      <c r="D158" s="21" t="s">
        <v>1357</v>
      </c>
      <c r="E158" s="21" t="s">
        <v>46</v>
      </c>
      <c r="F158" s="5812">
        <v>2</v>
      </c>
      <c r="G158" s="5813">
        <v>0.20833333333333334</v>
      </c>
      <c r="H158" s="21" t="s">
        <v>10</v>
      </c>
      <c r="I158" s="21" t="s">
        <v>39</v>
      </c>
      <c r="J158" s="21" t="s">
        <v>12308</v>
      </c>
      <c r="K158" s="5814" t="s">
        <v>12309</v>
      </c>
    </row>
    <row r="159" spans="1:11">
      <c r="A159" s="21" t="s">
        <v>3116</v>
      </c>
      <c r="B159" s="21" t="s">
        <v>12310</v>
      </c>
      <c r="C159" s="21" t="s">
        <v>22</v>
      </c>
      <c r="D159" s="21" t="s">
        <v>1357</v>
      </c>
      <c r="E159" s="21" t="s">
        <v>46</v>
      </c>
      <c r="F159" s="5812">
        <v>3</v>
      </c>
      <c r="G159" s="5813">
        <v>3.125E-2</v>
      </c>
      <c r="H159" s="21" t="s">
        <v>10</v>
      </c>
      <c r="I159" s="21" t="s">
        <v>23</v>
      </c>
      <c r="J159" s="21" t="s">
        <v>3004</v>
      </c>
      <c r="K159" s="5814" t="s">
        <v>12311</v>
      </c>
    </row>
    <row r="160" spans="1:11">
      <c r="A160" s="21" t="s">
        <v>2092</v>
      </c>
      <c r="B160" s="21" t="s">
        <v>12312</v>
      </c>
      <c r="C160" s="21" t="s">
        <v>8</v>
      </c>
      <c r="D160" s="21" t="s">
        <v>1357</v>
      </c>
      <c r="E160" s="21" t="s">
        <v>46</v>
      </c>
      <c r="F160" s="5812">
        <v>3</v>
      </c>
      <c r="G160" s="5813">
        <v>6.0416666666666667E-2</v>
      </c>
      <c r="H160" s="21" t="s">
        <v>10</v>
      </c>
      <c r="I160" s="21" t="s">
        <v>23</v>
      </c>
      <c r="J160" s="21" t="s">
        <v>7901</v>
      </c>
      <c r="K160" s="5814" t="s">
        <v>12313</v>
      </c>
    </row>
    <row r="161" spans="1:11">
      <c r="A161" s="21" t="s">
        <v>5387</v>
      </c>
      <c r="B161" s="21" t="s">
        <v>12314</v>
      </c>
      <c r="C161" s="21" t="s">
        <v>8</v>
      </c>
      <c r="D161" s="21" t="s">
        <v>1357</v>
      </c>
      <c r="E161" s="21" t="s">
        <v>46</v>
      </c>
      <c r="F161" s="5812">
        <v>3</v>
      </c>
      <c r="G161" s="5813">
        <v>7.3611111111111113E-2</v>
      </c>
      <c r="H161" s="21" t="s">
        <v>10</v>
      </c>
      <c r="I161" s="21" t="s">
        <v>2721</v>
      </c>
      <c r="J161" s="21" t="s">
        <v>940</v>
      </c>
      <c r="K161" s="5814" t="s">
        <v>12315</v>
      </c>
    </row>
    <row r="162" spans="1:11">
      <c r="A162" s="21" t="s">
        <v>2438</v>
      </c>
      <c r="B162" s="21" t="s">
        <v>12316</v>
      </c>
      <c r="C162" s="21" t="s">
        <v>8</v>
      </c>
      <c r="D162" s="21" t="s">
        <v>1357</v>
      </c>
      <c r="E162" s="21" t="s">
        <v>46</v>
      </c>
      <c r="F162" s="5812">
        <v>3</v>
      </c>
      <c r="G162" s="5813">
        <v>7.7777777777777779E-2</v>
      </c>
      <c r="H162" s="21" t="s">
        <v>10</v>
      </c>
      <c r="I162" s="21" t="s">
        <v>2544</v>
      </c>
      <c r="J162" s="21" t="s">
        <v>4505</v>
      </c>
      <c r="K162" s="5814" t="s">
        <v>12317</v>
      </c>
    </row>
    <row r="163" spans="1:11">
      <c r="A163" s="21" t="s">
        <v>3458</v>
      </c>
      <c r="B163" s="21" t="s">
        <v>12318</v>
      </c>
      <c r="C163" s="21" t="s">
        <v>22</v>
      </c>
      <c r="D163" s="21" t="s">
        <v>1357</v>
      </c>
      <c r="E163" s="21" t="s">
        <v>46</v>
      </c>
      <c r="F163" s="5812">
        <v>3</v>
      </c>
      <c r="G163" s="5813">
        <v>0.11388888888888889</v>
      </c>
      <c r="H163" s="21" t="s">
        <v>10</v>
      </c>
      <c r="I163" s="21" t="s">
        <v>400</v>
      </c>
      <c r="J163" s="21" t="s">
        <v>3004</v>
      </c>
      <c r="K163" s="5814" t="s">
        <v>12319</v>
      </c>
    </row>
    <row r="164" spans="1:11">
      <c r="A164" s="21" t="s">
        <v>5984</v>
      </c>
      <c r="B164" s="21" t="s">
        <v>12320</v>
      </c>
      <c r="C164" s="21" t="s">
        <v>22</v>
      </c>
      <c r="D164" s="21" t="s">
        <v>1357</v>
      </c>
      <c r="E164" s="21" t="s">
        <v>46</v>
      </c>
      <c r="F164" s="5812">
        <v>3</v>
      </c>
      <c r="G164" s="5813">
        <v>0.16458333333333333</v>
      </c>
      <c r="H164" s="21" t="s">
        <v>2081</v>
      </c>
      <c r="I164" s="21" t="s">
        <v>11</v>
      </c>
      <c r="J164" s="21" t="s">
        <v>907</v>
      </c>
      <c r="K164" s="5814" t="s">
        <v>12321</v>
      </c>
    </row>
    <row r="165" spans="1:11">
      <c r="A165" s="21" t="s">
        <v>3348</v>
      </c>
      <c r="B165" s="21" t="s">
        <v>12322</v>
      </c>
      <c r="C165" s="21" t="s">
        <v>8</v>
      </c>
      <c r="D165" s="21" t="s">
        <v>1357</v>
      </c>
      <c r="E165" s="21" t="s">
        <v>46</v>
      </c>
      <c r="F165" s="5812">
        <v>3</v>
      </c>
      <c r="G165" s="5813">
        <v>0.1736111111111111</v>
      </c>
      <c r="H165" s="21" t="s">
        <v>10</v>
      </c>
      <c r="I165" s="21" t="s">
        <v>39</v>
      </c>
      <c r="J165" s="21" t="s">
        <v>3004</v>
      </c>
      <c r="K165" s="5814" t="s">
        <v>12323</v>
      </c>
    </row>
    <row r="166" spans="1:11">
      <c r="A166" s="21" t="s">
        <v>311</v>
      </c>
      <c r="B166" s="21" t="s">
        <v>1424</v>
      </c>
      <c r="C166" s="21" t="s">
        <v>8</v>
      </c>
      <c r="D166" s="21" t="s">
        <v>1357</v>
      </c>
      <c r="E166" s="21" t="s">
        <v>46</v>
      </c>
      <c r="F166" s="5812">
        <v>3</v>
      </c>
      <c r="G166" s="5813">
        <v>0.20277777777777778</v>
      </c>
      <c r="H166" s="21" t="s">
        <v>10</v>
      </c>
      <c r="I166" s="21" t="s">
        <v>499</v>
      </c>
      <c r="J166" s="21" t="s">
        <v>1425</v>
      </c>
      <c r="K166" s="5814" t="s">
        <v>1426</v>
      </c>
    </row>
    <row r="167" spans="1:11">
      <c r="A167" s="21" t="s">
        <v>2174</v>
      </c>
      <c r="B167" s="21" t="s">
        <v>12324</v>
      </c>
      <c r="C167" s="21" t="s">
        <v>8</v>
      </c>
      <c r="D167" s="21" t="s">
        <v>1357</v>
      </c>
      <c r="E167" s="21" t="s">
        <v>61</v>
      </c>
      <c r="F167" s="5812">
        <v>1</v>
      </c>
      <c r="G167" s="5813">
        <v>4.791666666666667E-2</v>
      </c>
      <c r="H167" s="21" t="s">
        <v>10</v>
      </c>
      <c r="I167" s="21" t="s">
        <v>11</v>
      </c>
      <c r="J167" s="21" t="s">
        <v>1379</v>
      </c>
      <c r="K167" s="5814" t="s">
        <v>12325</v>
      </c>
    </row>
    <row r="168" spans="1:11">
      <c r="A168" s="21" t="s">
        <v>2542</v>
      </c>
      <c r="B168" s="21" t="s">
        <v>12326</v>
      </c>
      <c r="C168" s="21" t="s">
        <v>8</v>
      </c>
      <c r="D168" s="21" t="s">
        <v>1357</v>
      </c>
      <c r="E168" s="21" t="s">
        <v>61</v>
      </c>
      <c r="F168" s="5812">
        <v>1</v>
      </c>
      <c r="G168" s="5813">
        <v>6.1111111111111109E-2</v>
      </c>
      <c r="H168" s="21" t="s">
        <v>10</v>
      </c>
      <c r="I168" s="21" t="s">
        <v>2544</v>
      </c>
      <c r="J168" s="21" t="s">
        <v>5385</v>
      </c>
      <c r="K168" s="5814" t="s">
        <v>12327</v>
      </c>
    </row>
    <row r="169" spans="1:11">
      <c r="A169" s="21" t="s">
        <v>2757</v>
      </c>
      <c r="B169" s="21" t="s">
        <v>12328</v>
      </c>
      <c r="C169" s="21" t="s">
        <v>22</v>
      </c>
      <c r="D169" s="21" t="s">
        <v>1357</v>
      </c>
      <c r="E169" s="21" t="s">
        <v>61</v>
      </c>
      <c r="F169" s="5812">
        <v>1</v>
      </c>
      <c r="G169" s="5813">
        <v>6.9444444444444448E-2</v>
      </c>
      <c r="H169" s="21" t="s">
        <v>10</v>
      </c>
      <c r="I169" s="21" t="s">
        <v>23</v>
      </c>
      <c r="J169" s="21" t="s">
        <v>928</v>
      </c>
      <c r="K169" s="5814" t="s">
        <v>12329</v>
      </c>
    </row>
    <row r="170" spans="1:11">
      <c r="A170" s="21" t="s">
        <v>2327</v>
      </c>
      <c r="B170" s="21" t="s">
        <v>12330</v>
      </c>
      <c r="C170" s="21" t="s">
        <v>8</v>
      </c>
      <c r="D170" s="21" t="s">
        <v>1357</v>
      </c>
      <c r="E170" s="21" t="s">
        <v>61</v>
      </c>
      <c r="F170" s="5812">
        <v>1</v>
      </c>
      <c r="G170" s="5813">
        <v>7.2916666666666671E-2</v>
      </c>
      <c r="H170" s="21" t="s">
        <v>10</v>
      </c>
      <c r="I170" s="21" t="s">
        <v>23</v>
      </c>
      <c r="J170" s="21" t="s">
        <v>12331</v>
      </c>
      <c r="K170" s="5814" t="s">
        <v>12332</v>
      </c>
    </row>
    <row r="171" spans="1:11">
      <c r="A171" s="21" t="s">
        <v>2084</v>
      </c>
      <c r="B171" s="21" t="s">
        <v>12333</v>
      </c>
      <c r="C171" s="21" t="s">
        <v>22</v>
      </c>
      <c r="D171" s="21" t="s">
        <v>1357</v>
      </c>
      <c r="E171" s="21" t="s">
        <v>61</v>
      </c>
      <c r="F171" s="5812">
        <v>1</v>
      </c>
      <c r="G171" s="5813">
        <v>7.9861111111111105E-2</v>
      </c>
      <c r="H171" s="21" t="s">
        <v>10</v>
      </c>
      <c r="I171" s="21" t="s">
        <v>96</v>
      </c>
      <c r="J171" s="21" t="s">
        <v>11815</v>
      </c>
      <c r="K171" s="5814" t="s">
        <v>12334</v>
      </c>
    </row>
    <row r="172" spans="1:11">
      <c r="A172" s="21" t="s">
        <v>2757</v>
      </c>
      <c r="B172" s="21" t="s">
        <v>12335</v>
      </c>
      <c r="C172" s="21" t="s">
        <v>22</v>
      </c>
      <c r="D172" s="21" t="s">
        <v>1357</v>
      </c>
      <c r="E172" s="21" t="s">
        <v>61</v>
      </c>
      <c r="F172" s="5812">
        <v>1</v>
      </c>
      <c r="G172" s="5813">
        <v>8.3333333333333329E-2</v>
      </c>
      <c r="H172" s="21" t="s">
        <v>10</v>
      </c>
      <c r="I172" s="21" t="s">
        <v>23</v>
      </c>
      <c r="J172" s="21" t="s">
        <v>1379</v>
      </c>
      <c r="K172" s="5814" t="s">
        <v>12336</v>
      </c>
    </row>
    <row r="173" spans="1:11">
      <c r="A173" s="21" t="s">
        <v>2757</v>
      </c>
      <c r="B173" s="21" t="s">
        <v>12337</v>
      </c>
      <c r="C173" s="21" t="s">
        <v>8</v>
      </c>
      <c r="D173" s="21" t="s">
        <v>1357</v>
      </c>
      <c r="E173" s="21" t="s">
        <v>61</v>
      </c>
      <c r="F173" s="5812">
        <v>1</v>
      </c>
      <c r="G173" s="5813">
        <v>9.166666666666666E-2</v>
      </c>
      <c r="H173" s="21" t="s">
        <v>10</v>
      </c>
      <c r="I173" s="21" t="s">
        <v>23</v>
      </c>
      <c r="J173" s="21" t="s">
        <v>1379</v>
      </c>
      <c r="K173" s="5814" t="s">
        <v>12338</v>
      </c>
    </row>
    <row r="174" spans="1:11">
      <c r="A174" s="21" t="s">
        <v>3203</v>
      </c>
      <c r="B174" s="21" t="s">
        <v>12339</v>
      </c>
      <c r="C174" s="21" t="s">
        <v>8</v>
      </c>
      <c r="D174" s="21" t="s">
        <v>1357</v>
      </c>
      <c r="E174" s="21" t="s">
        <v>61</v>
      </c>
      <c r="F174" s="5812">
        <v>1</v>
      </c>
      <c r="G174" s="5813">
        <v>9.7916666666666666E-2</v>
      </c>
      <c r="H174" s="21" t="s">
        <v>10</v>
      </c>
      <c r="I174" s="21" t="s">
        <v>2814</v>
      </c>
      <c r="J174" s="21" t="s">
        <v>5461</v>
      </c>
      <c r="K174" s="5814" t="s">
        <v>12340</v>
      </c>
    </row>
    <row r="175" spans="1:11">
      <c r="A175" s="21" t="s">
        <v>2131</v>
      </c>
      <c r="B175" s="21" t="s">
        <v>12341</v>
      </c>
      <c r="C175" s="21" t="s">
        <v>8</v>
      </c>
      <c r="D175" s="21" t="s">
        <v>1357</v>
      </c>
      <c r="E175" s="21" t="s">
        <v>61</v>
      </c>
      <c r="F175" s="5812">
        <v>1</v>
      </c>
      <c r="G175" s="5813">
        <v>0.10347222222222222</v>
      </c>
      <c r="H175" s="21" t="s">
        <v>10</v>
      </c>
      <c r="I175" s="21" t="s">
        <v>96</v>
      </c>
      <c r="J175" s="21" t="s">
        <v>928</v>
      </c>
      <c r="K175" s="5814" t="s">
        <v>12342</v>
      </c>
    </row>
    <row r="176" spans="1:11">
      <c r="A176" s="21" t="s">
        <v>2547</v>
      </c>
      <c r="B176" s="21" t="s">
        <v>12343</v>
      </c>
      <c r="C176" s="21" t="s">
        <v>8</v>
      </c>
      <c r="D176" s="21" t="s">
        <v>1357</v>
      </c>
      <c r="E176" s="21" t="s">
        <v>61</v>
      </c>
      <c r="F176" s="5812">
        <v>1</v>
      </c>
      <c r="G176" s="5813">
        <v>0.1125</v>
      </c>
      <c r="H176" s="21" t="s">
        <v>10</v>
      </c>
      <c r="I176" s="21" t="s">
        <v>226</v>
      </c>
      <c r="J176" s="21" t="s">
        <v>67</v>
      </c>
      <c r="K176" s="5814" t="s">
        <v>12344</v>
      </c>
    </row>
    <row r="177" spans="1:11">
      <c r="A177" s="21" t="s">
        <v>3387</v>
      </c>
      <c r="B177" s="21" t="s">
        <v>12345</v>
      </c>
      <c r="C177" s="21" t="s">
        <v>22</v>
      </c>
      <c r="D177" s="21" t="s">
        <v>1357</v>
      </c>
      <c r="E177" s="21" t="s">
        <v>61</v>
      </c>
      <c r="F177" s="5812">
        <v>1</v>
      </c>
      <c r="G177" s="5813">
        <v>0.11319444444444444</v>
      </c>
      <c r="H177" s="21" t="s">
        <v>10</v>
      </c>
      <c r="I177" s="21" t="s">
        <v>2814</v>
      </c>
      <c r="J177" s="21" t="s">
        <v>928</v>
      </c>
      <c r="K177" s="5814" t="s">
        <v>12346</v>
      </c>
    </row>
    <row r="178" spans="1:11">
      <c r="A178" s="21" t="s">
        <v>2221</v>
      </c>
      <c r="B178" s="21" t="s">
        <v>12347</v>
      </c>
      <c r="C178" s="21" t="s">
        <v>8</v>
      </c>
      <c r="D178" s="21" t="s">
        <v>1357</v>
      </c>
      <c r="E178" s="21" t="s">
        <v>61</v>
      </c>
      <c r="F178" s="5812">
        <v>1</v>
      </c>
      <c r="G178" s="5813">
        <v>0.12083333333333333</v>
      </c>
      <c r="H178" s="21" t="s">
        <v>10</v>
      </c>
      <c r="I178" s="21" t="s">
        <v>96</v>
      </c>
      <c r="J178" s="21" t="s">
        <v>67</v>
      </c>
      <c r="K178" s="5814" t="s">
        <v>12348</v>
      </c>
    </row>
    <row r="179" spans="1:11">
      <c r="A179" s="21" t="s">
        <v>3710</v>
      </c>
      <c r="B179" s="21" t="s">
        <v>12349</v>
      </c>
      <c r="C179" s="21" t="s">
        <v>8</v>
      </c>
      <c r="D179" s="21" t="s">
        <v>1357</v>
      </c>
      <c r="E179" s="21" t="s">
        <v>61</v>
      </c>
      <c r="F179" s="5812">
        <v>1</v>
      </c>
      <c r="G179" s="5813">
        <v>0.15</v>
      </c>
      <c r="H179" s="21" t="s">
        <v>10</v>
      </c>
      <c r="I179" s="21" t="s">
        <v>5994</v>
      </c>
      <c r="J179" s="21" t="s">
        <v>928</v>
      </c>
      <c r="K179" s="5814" t="s">
        <v>12350</v>
      </c>
    </row>
    <row r="180" spans="1:11">
      <c r="A180" s="21" t="s">
        <v>2372</v>
      </c>
      <c r="B180" s="21" t="s">
        <v>12351</v>
      </c>
      <c r="C180" s="21" t="s">
        <v>8</v>
      </c>
      <c r="D180" s="21" t="s">
        <v>1357</v>
      </c>
      <c r="E180" s="21" t="s">
        <v>61</v>
      </c>
      <c r="F180" s="5812">
        <v>1</v>
      </c>
      <c r="G180" s="5813">
        <v>0.15069444444444444</v>
      </c>
      <c r="H180" s="21" t="s">
        <v>10</v>
      </c>
      <c r="I180" s="21" t="s">
        <v>187</v>
      </c>
      <c r="J180" s="21" t="s">
        <v>1194</v>
      </c>
      <c r="K180" s="5814" t="s">
        <v>12352</v>
      </c>
    </row>
    <row r="181" spans="1:11">
      <c r="A181" s="21" t="s">
        <v>3130</v>
      </c>
      <c r="B181" s="21" t="s">
        <v>12353</v>
      </c>
      <c r="C181" s="21" t="s">
        <v>22</v>
      </c>
      <c r="D181" s="21" t="s">
        <v>1357</v>
      </c>
      <c r="E181" s="21" t="s">
        <v>61</v>
      </c>
      <c r="F181" s="5812">
        <v>1</v>
      </c>
      <c r="G181" s="5813">
        <v>0.16458333333333333</v>
      </c>
      <c r="H181" s="21" t="s">
        <v>10</v>
      </c>
      <c r="I181" s="21" t="s">
        <v>263</v>
      </c>
      <c r="J181" s="21" t="s">
        <v>67</v>
      </c>
      <c r="K181" s="5814" t="s">
        <v>12354</v>
      </c>
    </row>
    <row r="182" spans="1:11">
      <c r="A182" s="21" t="s">
        <v>2188</v>
      </c>
      <c r="B182" s="21" t="s">
        <v>12355</v>
      </c>
      <c r="C182" s="21" t="s">
        <v>8</v>
      </c>
      <c r="D182" s="21" t="s">
        <v>1357</v>
      </c>
      <c r="E182" s="21" t="s">
        <v>61</v>
      </c>
      <c r="F182" s="5812">
        <v>1</v>
      </c>
      <c r="G182" s="5813">
        <v>0.16666666666666666</v>
      </c>
      <c r="H182" s="21" t="s">
        <v>10</v>
      </c>
      <c r="I182" s="21" t="s">
        <v>3534</v>
      </c>
      <c r="J182" s="21" t="s">
        <v>928</v>
      </c>
      <c r="K182" s="5814" t="s">
        <v>12356</v>
      </c>
    </row>
    <row r="183" spans="1:11">
      <c r="A183" s="21" t="s">
        <v>2471</v>
      </c>
      <c r="B183" s="21" t="s">
        <v>12357</v>
      </c>
      <c r="C183" s="21" t="s">
        <v>22</v>
      </c>
      <c r="D183" s="21" t="s">
        <v>1357</v>
      </c>
      <c r="E183" s="21" t="s">
        <v>61</v>
      </c>
      <c r="F183" s="5812">
        <v>1</v>
      </c>
      <c r="G183" s="5813">
        <v>0.17847222222222223</v>
      </c>
      <c r="H183" s="21" t="s">
        <v>10</v>
      </c>
      <c r="I183" s="21" t="s">
        <v>23</v>
      </c>
      <c r="J183" s="21" t="s">
        <v>11815</v>
      </c>
      <c r="K183" s="5814" t="s">
        <v>12358</v>
      </c>
    </row>
    <row r="184" spans="1:11">
      <c r="A184" s="21" t="s">
        <v>2534</v>
      </c>
      <c r="B184" s="21" t="s">
        <v>12359</v>
      </c>
      <c r="C184" s="21" t="s">
        <v>22</v>
      </c>
      <c r="D184" s="21" t="s">
        <v>1357</v>
      </c>
      <c r="E184" s="21" t="s">
        <v>61</v>
      </c>
      <c r="F184" s="5812">
        <v>1</v>
      </c>
      <c r="G184" s="5813">
        <v>0.18680555555555556</v>
      </c>
      <c r="H184" s="21" t="s">
        <v>10</v>
      </c>
      <c r="I184" s="21" t="s">
        <v>96</v>
      </c>
      <c r="J184" s="21" t="s">
        <v>928</v>
      </c>
      <c r="K184" s="5814" t="s">
        <v>12360</v>
      </c>
    </row>
    <row r="185" spans="1:11">
      <c r="A185" s="21" t="s">
        <v>2104</v>
      </c>
      <c r="B185" s="21" t="s">
        <v>12361</v>
      </c>
      <c r="C185" s="21" t="s">
        <v>22</v>
      </c>
      <c r="D185" s="21" t="s">
        <v>1357</v>
      </c>
      <c r="E185" s="21" t="s">
        <v>61</v>
      </c>
      <c r="F185" s="5812">
        <v>1</v>
      </c>
      <c r="G185" s="5813">
        <v>0.20069444444444445</v>
      </c>
      <c r="H185" s="21" t="s">
        <v>10</v>
      </c>
      <c r="I185" s="21" t="s">
        <v>96</v>
      </c>
      <c r="J185" s="21" t="s">
        <v>67</v>
      </c>
      <c r="K185" s="5814" t="s">
        <v>12362</v>
      </c>
    </row>
    <row r="186" spans="1:11">
      <c r="A186" s="21" t="s">
        <v>2955</v>
      </c>
      <c r="B186" s="21" t="s">
        <v>12363</v>
      </c>
      <c r="C186" s="21" t="s">
        <v>8</v>
      </c>
      <c r="D186" s="21" t="s">
        <v>1357</v>
      </c>
      <c r="E186" s="21" t="s">
        <v>61</v>
      </c>
      <c r="F186" s="5812">
        <v>1</v>
      </c>
      <c r="G186" s="5813">
        <v>0.2048611111111111</v>
      </c>
      <c r="H186" s="21" t="s">
        <v>10</v>
      </c>
      <c r="I186" s="21" t="s">
        <v>23</v>
      </c>
      <c r="J186" s="21" t="s">
        <v>782</v>
      </c>
      <c r="K186" s="5814" t="s">
        <v>12364</v>
      </c>
    </row>
    <row r="187" spans="1:11">
      <c r="A187" s="21" t="s">
        <v>2197</v>
      </c>
      <c r="B187" s="21" t="s">
        <v>12365</v>
      </c>
      <c r="C187" s="21" t="s">
        <v>8</v>
      </c>
      <c r="D187" s="21" t="s">
        <v>1357</v>
      </c>
      <c r="E187" s="21" t="s">
        <v>61</v>
      </c>
      <c r="F187" s="5812">
        <v>1</v>
      </c>
      <c r="G187" s="5813">
        <v>0.2048611111111111</v>
      </c>
      <c r="H187" s="21" t="s">
        <v>10</v>
      </c>
      <c r="I187" s="21" t="s">
        <v>2747</v>
      </c>
      <c r="J187" s="21" t="s">
        <v>928</v>
      </c>
      <c r="K187" s="5814" t="s">
        <v>12366</v>
      </c>
    </row>
    <row r="188" spans="1:11">
      <c r="A188" s="21" t="s">
        <v>3089</v>
      </c>
      <c r="B188" s="21" t="s">
        <v>12367</v>
      </c>
      <c r="C188" s="21" t="s">
        <v>8</v>
      </c>
      <c r="D188" s="21" t="s">
        <v>1357</v>
      </c>
      <c r="E188" s="21" t="s">
        <v>61</v>
      </c>
      <c r="F188" s="5812">
        <v>1</v>
      </c>
      <c r="G188" s="5813">
        <v>0.20624999999999999</v>
      </c>
      <c r="H188" s="21" t="s">
        <v>10</v>
      </c>
      <c r="I188" s="21" t="s">
        <v>187</v>
      </c>
      <c r="J188" s="21" t="s">
        <v>928</v>
      </c>
      <c r="K188" s="5814" t="s">
        <v>12368</v>
      </c>
    </row>
    <row r="189" spans="1:11">
      <c r="A189" s="21" t="s">
        <v>2300</v>
      </c>
      <c r="B189" s="21" t="s">
        <v>12369</v>
      </c>
      <c r="C189" s="21" t="s">
        <v>8</v>
      </c>
      <c r="D189" s="21" t="s">
        <v>1357</v>
      </c>
      <c r="E189" s="21" t="s">
        <v>61</v>
      </c>
      <c r="F189" s="5812">
        <v>1</v>
      </c>
      <c r="G189" s="5813">
        <v>0.2076388888888889</v>
      </c>
      <c r="H189" s="21" t="s">
        <v>10</v>
      </c>
      <c r="I189" s="21" t="s">
        <v>8358</v>
      </c>
      <c r="J189" s="21" t="s">
        <v>3350</v>
      </c>
      <c r="K189" s="5814" t="s">
        <v>12370</v>
      </c>
    </row>
    <row r="190" spans="1:11">
      <c r="A190" s="21" t="s">
        <v>2461</v>
      </c>
      <c r="B190" s="21" t="s">
        <v>12371</v>
      </c>
      <c r="C190" s="21" t="s">
        <v>8</v>
      </c>
      <c r="D190" s="21" t="s">
        <v>1357</v>
      </c>
      <c r="E190" s="21" t="s">
        <v>61</v>
      </c>
      <c r="F190" s="5812">
        <v>1</v>
      </c>
      <c r="G190" s="5813">
        <v>0.2076388888888889</v>
      </c>
      <c r="H190" s="21" t="s">
        <v>10</v>
      </c>
      <c r="I190" s="21" t="s">
        <v>23</v>
      </c>
      <c r="J190" s="21" t="s">
        <v>67</v>
      </c>
      <c r="K190" s="5814" t="s">
        <v>12372</v>
      </c>
    </row>
    <row r="191" spans="1:11">
      <c r="A191" s="21" t="s">
        <v>44</v>
      </c>
      <c r="B191" s="21" t="s">
        <v>1378</v>
      </c>
      <c r="C191" s="21" t="s">
        <v>22</v>
      </c>
      <c r="D191" s="21" t="s">
        <v>1357</v>
      </c>
      <c r="E191" s="21" t="s">
        <v>61</v>
      </c>
      <c r="F191" s="5812">
        <v>2</v>
      </c>
      <c r="G191" s="5813">
        <v>5.4166666666666669E-2</v>
      </c>
      <c r="H191" s="21" t="s">
        <v>10</v>
      </c>
      <c r="I191" s="21" t="s">
        <v>39</v>
      </c>
      <c r="J191" s="21" t="s">
        <v>1379</v>
      </c>
      <c r="K191" s="5814" t="s">
        <v>1380</v>
      </c>
    </row>
    <row r="192" spans="1:11">
      <c r="A192" s="21" t="s">
        <v>5387</v>
      </c>
      <c r="B192" s="21" t="s">
        <v>12373</v>
      </c>
      <c r="C192" s="21" t="s">
        <v>8</v>
      </c>
      <c r="D192" s="21" t="s">
        <v>1357</v>
      </c>
      <c r="E192" s="21" t="s">
        <v>61</v>
      </c>
      <c r="F192" s="5812">
        <v>2</v>
      </c>
      <c r="G192" s="5813">
        <v>5.5555555555555552E-2</v>
      </c>
      <c r="H192" s="21" t="s">
        <v>10</v>
      </c>
      <c r="I192" s="21" t="s">
        <v>2721</v>
      </c>
      <c r="J192" s="21" t="s">
        <v>67</v>
      </c>
      <c r="K192" s="5814" t="s">
        <v>12374</v>
      </c>
    </row>
    <row r="193" spans="1:11">
      <c r="A193" s="21" t="s">
        <v>3882</v>
      </c>
      <c r="B193" s="21" t="s">
        <v>12375</v>
      </c>
      <c r="C193" s="21" t="s">
        <v>22</v>
      </c>
      <c r="D193" s="21" t="s">
        <v>1357</v>
      </c>
      <c r="E193" s="21" t="s">
        <v>61</v>
      </c>
      <c r="F193" s="5812">
        <v>2</v>
      </c>
      <c r="G193" s="5813">
        <v>6.7361111111111108E-2</v>
      </c>
      <c r="H193" s="21" t="s">
        <v>54</v>
      </c>
      <c r="I193" s="21" t="s">
        <v>55</v>
      </c>
      <c r="J193" s="21" t="s">
        <v>67</v>
      </c>
      <c r="K193" s="5814" t="s">
        <v>12376</v>
      </c>
    </row>
    <row r="194" spans="1:11">
      <c r="A194" s="21" t="s">
        <v>3328</v>
      </c>
      <c r="B194" s="21" t="s">
        <v>12377</v>
      </c>
      <c r="C194" s="21" t="s">
        <v>8</v>
      </c>
      <c r="D194" s="21" t="s">
        <v>1357</v>
      </c>
      <c r="E194" s="21" t="s">
        <v>61</v>
      </c>
      <c r="F194" s="5812">
        <v>2</v>
      </c>
      <c r="G194" s="5813">
        <v>7.6388888888888895E-2</v>
      </c>
      <c r="H194" s="21" t="s">
        <v>10</v>
      </c>
      <c r="I194" s="21" t="s">
        <v>187</v>
      </c>
      <c r="J194" s="21" t="s">
        <v>1379</v>
      </c>
      <c r="K194" s="5814" t="s">
        <v>12378</v>
      </c>
    </row>
    <row r="195" spans="1:11">
      <c r="A195" s="21" t="s">
        <v>3761</v>
      </c>
      <c r="B195" s="21" t="s">
        <v>12379</v>
      </c>
      <c r="C195" s="21" t="s">
        <v>8</v>
      </c>
      <c r="D195" s="21" t="s">
        <v>1357</v>
      </c>
      <c r="E195" s="21" t="s">
        <v>61</v>
      </c>
      <c r="F195" s="5812">
        <v>2</v>
      </c>
      <c r="G195" s="5813">
        <v>8.6805555555555552E-2</v>
      </c>
      <c r="H195" s="21" t="s">
        <v>10</v>
      </c>
      <c r="I195" s="21" t="s">
        <v>2260</v>
      </c>
      <c r="J195" s="21" t="s">
        <v>5466</v>
      </c>
      <c r="K195" s="5814" t="s">
        <v>12380</v>
      </c>
    </row>
    <row r="196" spans="1:11">
      <c r="A196" s="21" t="s">
        <v>2442</v>
      </c>
      <c r="B196" s="21" t="s">
        <v>12381</v>
      </c>
      <c r="C196" s="21" t="s">
        <v>22</v>
      </c>
      <c r="D196" s="21" t="s">
        <v>1357</v>
      </c>
      <c r="E196" s="21" t="s">
        <v>61</v>
      </c>
      <c r="F196" s="5812">
        <v>2</v>
      </c>
      <c r="G196" s="5813">
        <v>9.375E-2</v>
      </c>
      <c r="H196" s="21" t="s">
        <v>10</v>
      </c>
      <c r="I196" s="21" t="s">
        <v>11</v>
      </c>
      <c r="J196" s="21" t="s">
        <v>67</v>
      </c>
      <c r="K196" s="5814" t="s">
        <v>12382</v>
      </c>
    </row>
    <row r="197" spans="1:11">
      <c r="A197" s="21" t="s">
        <v>2387</v>
      </c>
      <c r="B197" s="21" t="s">
        <v>12383</v>
      </c>
      <c r="C197" s="21" t="s">
        <v>22</v>
      </c>
      <c r="D197" s="21" t="s">
        <v>1357</v>
      </c>
      <c r="E197" s="21" t="s">
        <v>61</v>
      </c>
      <c r="F197" s="5812">
        <v>2</v>
      </c>
      <c r="G197" s="5813">
        <v>9.6527777777777782E-2</v>
      </c>
      <c r="H197" s="21" t="s">
        <v>10</v>
      </c>
      <c r="I197" s="21" t="s">
        <v>39</v>
      </c>
      <c r="J197" s="21" t="s">
        <v>67</v>
      </c>
      <c r="K197" s="5814" t="s">
        <v>12384</v>
      </c>
    </row>
    <row r="198" spans="1:11">
      <c r="A198" s="21" t="s">
        <v>2655</v>
      </c>
      <c r="B198" s="21" t="s">
        <v>12385</v>
      </c>
      <c r="C198" s="21" t="s">
        <v>8</v>
      </c>
      <c r="D198" s="21" t="s">
        <v>1357</v>
      </c>
      <c r="E198" s="21" t="s">
        <v>61</v>
      </c>
      <c r="F198" s="5812">
        <v>2</v>
      </c>
      <c r="G198" s="5813">
        <v>0.10902777777777778</v>
      </c>
      <c r="H198" s="21" t="s">
        <v>10</v>
      </c>
      <c r="I198" s="21" t="s">
        <v>2149</v>
      </c>
      <c r="J198" s="21" t="s">
        <v>1444</v>
      </c>
      <c r="K198" s="5814" t="s">
        <v>12386</v>
      </c>
    </row>
    <row r="199" spans="1:11">
      <c r="A199" s="21" t="s">
        <v>2955</v>
      </c>
      <c r="B199" s="21" t="s">
        <v>12387</v>
      </c>
      <c r="C199" s="21" t="s">
        <v>8</v>
      </c>
      <c r="D199" s="21" t="s">
        <v>1357</v>
      </c>
      <c r="E199" s="21" t="s">
        <v>61</v>
      </c>
      <c r="F199" s="5812">
        <v>2</v>
      </c>
      <c r="G199" s="5813">
        <v>0.10972222222222222</v>
      </c>
      <c r="H199" s="21" t="s">
        <v>10</v>
      </c>
      <c r="I199" s="21" t="s">
        <v>23</v>
      </c>
      <c r="J199" s="21" t="s">
        <v>974</v>
      </c>
      <c r="K199" s="5814" t="s">
        <v>12388</v>
      </c>
    </row>
    <row r="200" spans="1:11">
      <c r="A200" s="21" t="s">
        <v>3474</v>
      </c>
      <c r="B200" s="21" t="s">
        <v>12389</v>
      </c>
      <c r="C200" s="21" t="s">
        <v>8</v>
      </c>
      <c r="D200" s="21" t="s">
        <v>1357</v>
      </c>
      <c r="E200" s="21" t="s">
        <v>61</v>
      </c>
      <c r="F200" s="5812">
        <v>2</v>
      </c>
      <c r="G200" s="5813">
        <v>0.11874999999999999</v>
      </c>
      <c r="H200" s="21" t="s">
        <v>10</v>
      </c>
      <c r="I200" s="21" t="s">
        <v>23</v>
      </c>
      <c r="J200" s="21" t="s">
        <v>110</v>
      </c>
      <c r="K200" s="5814" t="s">
        <v>12390</v>
      </c>
    </row>
    <row r="201" spans="1:11">
      <c r="A201" s="21" t="s">
        <v>3551</v>
      </c>
      <c r="B201" s="21" t="s">
        <v>12391</v>
      </c>
      <c r="C201" s="21" t="s">
        <v>8</v>
      </c>
      <c r="D201" s="21" t="s">
        <v>1357</v>
      </c>
      <c r="E201" s="21" t="s">
        <v>61</v>
      </c>
      <c r="F201" s="5812">
        <v>2</v>
      </c>
      <c r="G201" s="5813">
        <v>0.14374999999999999</v>
      </c>
      <c r="H201" s="21" t="s">
        <v>10</v>
      </c>
      <c r="I201" s="21" t="s">
        <v>55</v>
      </c>
      <c r="J201" s="21" t="s">
        <v>505</v>
      </c>
      <c r="K201" s="5814" t="s">
        <v>12392</v>
      </c>
    </row>
    <row r="202" spans="1:11">
      <c r="A202" s="21" t="s">
        <v>2647</v>
      </c>
      <c r="B202" s="21" t="s">
        <v>12393</v>
      </c>
      <c r="C202" s="21" t="s">
        <v>22</v>
      </c>
      <c r="D202" s="21" t="s">
        <v>1357</v>
      </c>
      <c r="E202" s="21" t="s">
        <v>61</v>
      </c>
      <c r="F202" s="5812">
        <v>2</v>
      </c>
      <c r="G202" s="5813">
        <v>0.14374999999999999</v>
      </c>
      <c r="H202" s="21" t="s">
        <v>10</v>
      </c>
      <c r="I202" s="21" t="s">
        <v>7498</v>
      </c>
      <c r="J202" s="21" t="s">
        <v>67</v>
      </c>
      <c r="K202" s="5814" t="s">
        <v>12394</v>
      </c>
    </row>
    <row r="203" spans="1:11">
      <c r="A203" s="21" t="s">
        <v>3515</v>
      </c>
      <c r="B203" s="21" t="s">
        <v>12395</v>
      </c>
      <c r="C203" s="21" t="s">
        <v>8</v>
      </c>
      <c r="D203" s="21" t="s">
        <v>1357</v>
      </c>
      <c r="E203" s="21" t="s">
        <v>61</v>
      </c>
      <c r="F203" s="5812">
        <v>2</v>
      </c>
      <c r="G203" s="5813">
        <v>0.14652777777777778</v>
      </c>
      <c r="H203" s="21" t="s">
        <v>10</v>
      </c>
      <c r="I203" s="21" t="s">
        <v>2313</v>
      </c>
      <c r="J203" s="21" t="s">
        <v>67</v>
      </c>
      <c r="K203" s="5814" t="s">
        <v>12396</v>
      </c>
    </row>
    <row r="204" spans="1:11">
      <c r="A204" s="21" t="s">
        <v>2745</v>
      </c>
      <c r="B204" s="21" t="s">
        <v>12397</v>
      </c>
      <c r="C204" s="21" t="s">
        <v>8</v>
      </c>
      <c r="D204" s="21" t="s">
        <v>1357</v>
      </c>
      <c r="E204" s="21" t="s">
        <v>61</v>
      </c>
      <c r="F204" s="5812">
        <v>2</v>
      </c>
      <c r="G204" s="5813">
        <v>0.18402777777777779</v>
      </c>
      <c r="H204" s="21" t="s">
        <v>10</v>
      </c>
      <c r="I204" s="21" t="s">
        <v>2247</v>
      </c>
      <c r="J204" s="21" t="s">
        <v>67</v>
      </c>
      <c r="K204" s="5814" t="s">
        <v>12398</v>
      </c>
    </row>
    <row r="205" spans="1:11">
      <c r="A205" s="21" t="s">
        <v>3256</v>
      </c>
      <c r="B205" s="21" t="s">
        <v>12399</v>
      </c>
      <c r="C205" s="21" t="s">
        <v>8</v>
      </c>
      <c r="D205" s="21" t="s">
        <v>1357</v>
      </c>
      <c r="E205" s="21" t="s">
        <v>61</v>
      </c>
      <c r="F205" s="5812">
        <v>2</v>
      </c>
      <c r="G205" s="5813">
        <v>0.20277777777777778</v>
      </c>
      <c r="H205" s="21" t="s">
        <v>10</v>
      </c>
      <c r="I205" s="21" t="s">
        <v>209</v>
      </c>
      <c r="J205" s="21" t="s">
        <v>3383</v>
      </c>
      <c r="K205" s="5814" t="s">
        <v>12400</v>
      </c>
    </row>
    <row r="206" spans="1:11">
      <c r="A206" s="21" t="s">
        <v>2108</v>
      </c>
      <c r="B206" s="21" t="s">
        <v>12401</v>
      </c>
      <c r="C206" s="21" t="s">
        <v>22</v>
      </c>
      <c r="D206" s="21" t="s">
        <v>1357</v>
      </c>
      <c r="E206" s="21" t="s">
        <v>61</v>
      </c>
      <c r="F206" s="5812">
        <v>3</v>
      </c>
      <c r="G206" s="5813">
        <v>3.6805555555555557E-2</v>
      </c>
      <c r="H206" s="21" t="s">
        <v>10</v>
      </c>
      <c r="I206" s="21" t="s">
        <v>23</v>
      </c>
      <c r="J206" s="21" t="s">
        <v>67</v>
      </c>
      <c r="K206" s="5814" t="s">
        <v>12402</v>
      </c>
    </row>
    <row r="207" spans="1:11">
      <c r="A207" s="21" t="s">
        <v>94</v>
      </c>
      <c r="B207" s="21" t="s">
        <v>1395</v>
      </c>
      <c r="C207" s="21" t="s">
        <v>8</v>
      </c>
      <c r="D207" s="21" t="s">
        <v>1357</v>
      </c>
      <c r="E207" s="21" t="s">
        <v>61</v>
      </c>
      <c r="F207" s="5812">
        <v>3</v>
      </c>
      <c r="G207" s="5813">
        <v>6.1805555555555558E-2</v>
      </c>
      <c r="H207" s="21" t="s">
        <v>10</v>
      </c>
      <c r="I207" s="21" t="s">
        <v>23</v>
      </c>
      <c r="J207" s="21" t="s">
        <v>836</v>
      </c>
      <c r="K207" s="5814" t="s">
        <v>1396</v>
      </c>
    </row>
    <row r="208" spans="1:11">
      <c r="A208" s="21" t="s">
        <v>5015</v>
      </c>
      <c r="B208" s="21" t="s">
        <v>12403</v>
      </c>
      <c r="C208" s="21" t="s">
        <v>8</v>
      </c>
      <c r="D208" s="21" t="s">
        <v>1357</v>
      </c>
      <c r="E208" s="21" t="s">
        <v>61</v>
      </c>
      <c r="F208" s="5812">
        <v>3</v>
      </c>
      <c r="G208" s="5813">
        <v>9.0972222222222218E-2</v>
      </c>
      <c r="H208" s="21" t="s">
        <v>10</v>
      </c>
      <c r="I208" s="21" t="s">
        <v>4535</v>
      </c>
      <c r="J208" s="21" t="s">
        <v>1444</v>
      </c>
      <c r="K208" s="5814" t="s">
        <v>12404</v>
      </c>
    </row>
    <row r="209" spans="1:11">
      <c r="A209" s="21" t="s">
        <v>2495</v>
      </c>
      <c r="B209" s="21" t="s">
        <v>12405</v>
      </c>
      <c r="C209" s="21" t="s">
        <v>8</v>
      </c>
      <c r="D209" s="21" t="s">
        <v>1357</v>
      </c>
      <c r="E209" s="21" t="s">
        <v>61</v>
      </c>
      <c r="F209" s="5812">
        <v>3</v>
      </c>
      <c r="G209" s="5813">
        <v>0.12083333333333333</v>
      </c>
      <c r="H209" s="21" t="s">
        <v>10</v>
      </c>
      <c r="I209" s="21" t="s">
        <v>23</v>
      </c>
      <c r="J209" s="21" t="s">
        <v>67</v>
      </c>
      <c r="K209" s="5814" t="s">
        <v>12406</v>
      </c>
    </row>
    <row r="210" spans="1:11">
      <c r="A210" s="21" t="s">
        <v>3613</v>
      </c>
      <c r="B210" s="21" t="s">
        <v>12407</v>
      </c>
      <c r="C210" s="21" t="s">
        <v>8</v>
      </c>
      <c r="D210" s="21" t="s">
        <v>1357</v>
      </c>
      <c r="E210" s="21" t="s">
        <v>61</v>
      </c>
      <c r="F210" s="5812">
        <v>3</v>
      </c>
      <c r="G210" s="5813">
        <v>0.16458333333333333</v>
      </c>
      <c r="H210" s="21" t="s">
        <v>10</v>
      </c>
      <c r="I210" s="21" t="s">
        <v>47</v>
      </c>
      <c r="J210" s="21" t="s">
        <v>67</v>
      </c>
      <c r="K210" s="5814" t="s">
        <v>12408</v>
      </c>
    </row>
    <row r="211" spans="1:11">
      <c r="A211" s="21" t="s">
        <v>3647</v>
      </c>
      <c r="B211" s="21" t="s">
        <v>12409</v>
      </c>
      <c r="C211" s="21" t="s">
        <v>8</v>
      </c>
      <c r="D211" s="21" t="s">
        <v>1357</v>
      </c>
      <c r="E211" s="21" t="s">
        <v>61</v>
      </c>
      <c r="F211" s="5812">
        <v>3</v>
      </c>
      <c r="G211" s="5813">
        <v>0.18124999999999999</v>
      </c>
      <c r="H211" s="21" t="s">
        <v>10</v>
      </c>
      <c r="I211" s="21" t="s">
        <v>39</v>
      </c>
      <c r="J211" s="21" t="s">
        <v>67</v>
      </c>
      <c r="K211" s="5814" t="s">
        <v>12410</v>
      </c>
    </row>
    <row r="212" spans="1:11">
      <c r="A212" s="21" t="s">
        <v>3597</v>
      </c>
      <c r="B212" s="21" t="s">
        <v>12411</v>
      </c>
      <c r="C212" s="21" t="s">
        <v>22</v>
      </c>
      <c r="D212" s="21" t="s">
        <v>1357</v>
      </c>
      <c r="E212" s="21" t="s">
        <v>61</v>
      </c>
      <c r="F212" s="5812">
        <v>3</v>
      </c>
      <c r="G212" s="5813">
        <v>0.19166666666666668</v>
      </c>
      <c r="H212" s="21" t="s">
        <v>10</v>
      </c>
      <c r="I212" s="21" t="s">
        <v>96</v>
      </c>
      <c r="J212" s="21" t="s">
        <v>67</v>
      </c>
      <c r="K212" s="5814" t="s">
        <v>12412</v>
      </c>
    </row>
    <row r="213" spans="1:11">
      <c r="A213" s="21" t="s">
        <v>3515</v>
      </c>
      <c r="B213" s="21" t="s">
        <v>12413</v>
      </c>
      <c r="C213" s="21" t="s">
        <v>22</v>
      </c>
      <c r="D213" s="21" t="s">
        <v>1357</v>
      </c>
      <c r="E213" s="21" t="s">
        <v>244</v>
      </c>
      <c r="F213" s="5812">
        <v>1</v>
      </c>
      <c r="G213" s="5813">
        <v>0.20833333333333334</v>
      </c>
      <c r="H213" s="21" t="s">
        <v>10</v>
      </c>
      <c r="I213" s="21" t="s">
        <v>2313</v>
      </c>
      <c r="J213" s="21" t="s">
        <v>3472</v>
      </c>
      <c r="K213" s="5814" t="s">
        <v>12414</v>
      </c>
    </row>
    <row r="214" spans="1:11">
      <c r="A214" s="21" t="s">
        <v>2115</v>
      </c>
      <c r="B214" s="21" t="s">
        <v>12415</v>
      </c>
      <c r="C214" s="21" t="s">
        <v>22</v>
      </c>
      <c r="D214" s="21" t="s">
        <v>1357</v>
      </c>
      <c r="E214" s="21" t="s">
        <v>244</v>
      </c>
      <c r="F214" s="5812">
        <v>2</v>
      </c>
      <c r="G214" s="5813">
        <v>0.20833333333333334</v>
      </c>
      <c r="H214" s="21" t="s">
        <v>10</v>
      </c>
      <c r="I214" s="21" t="s">
        <v>654</v>
      </c>
      <c r="J214" s="21" t="s">
        <v>12416</v>
      </c>
      <c r="K214" s="5814" t="s">
        <v>12417</v>
      </c>
    </row>
    <row r="215" spans="1:11">
      <c r="A215" s="21" t="s">
        <v>2941</v>
      </c>
      <c r="B215" s="21" t="s">
        <v>9888</v>
      </c>
      <c r="C215" s="21" t="s">
        <v>709</v>
      </c>
      <c r="D215" s="21" t="s">
        <v>9889</v>
      </c>
      <c r="E215" s="21" t="s">
        <v>193</v>
      </c>
      <c r="F215" s="5812">
        <v>5</v>
      </c>
      <c r="G215" s="5813">
        <v>0.20833333333333334</v>
      </c>
      <c r="H215" s="21" t="s">
        <v>54</v>
      </c>
      <c r="I215" s="21" t="s">
        <v>55</v>
      </c>
      <c r="J215" s="21" t="s">
        <v>9890</v>
      </c>
      <c r="K215" s="5814" t="s">
        <v>9891</v>
      </c>
    </row>
    <row r="216" spans="1:11">
      <c r="A216" s="21" t="s">
        <v>2420</v>
      </c>
      <c r="B216" s="21" t="s">
        <v>9892</v>
      </c>
      <c r="C216" s="21" t="s">
        <v>8</v>
      </c>
      <c r="D216" s="21" t="s">
        <v>9889</v>
      </c>
      <c r="E216" s="21" t="s">
        <v>193</v>
      </c>
      <c r="F216" s="5812">
        <v>5</v>
      </c>
      <c r="G216" s="5813">
        <v>0.20833333333333334</v>
      </c>
      <c r="H216" s="21" t="s">
        <v>54</v>
      </c>
      <c r="I216" s="21" t="s">
        <v>96</v>
      </c>
      <c r="J216" s="21" t="s">
        <v>9893</v>
      </c>
      <c r="K216" s="5814" t="s">
        <v>9894</v>
      </c>
    </row>
    <row r="217" spans="1:11">
      <c r="A217" s="21" t="s">
        <v>5335</v>
      </c>
      <c r="B217" s="21" t="s">
        <v>9895</v>
      </c>
      <c r="C217" s="21" t="s">
        <v>8</v>
      </c>
      <c r="D217" s="21" t="s">
        <v>9889</v>
      </c>
      <c r="E217" s="21" t="s">
        <v>9</v>
      </c>
      <c r="F217" s="5812">
        <v>5</v>
      </c>
      <c r="G217" s="5813">
        <v>0.20833333333333334</v>
      </c>
      <c r="H217" s="21" t="s">
        <v>54</v>
      </c>
      <c r="I217" s="21" t="s">
        <v>55</v>
      </c>
      <c r="J217" s="21" t="s">
        <v>9896</v>
      </c>
      <c r="K217" s="5814" t="s">
        <v>9897</v>
      </c>
    </row>
    <row r="218" spans="1:11">
      <c r="A218" s="21" t="s">
        <v>2174</v>
      </c>
      <c r="B218" s="21" t="s">
        <v>9898</v>
      </c>
      <c r="C218" s="21" t="s">
        <v>8</v>
      </c>
      <c r="D218" s="21" t="s">
        <v>9889</v>
      </c>
      <c r="E218" s="21" t="s">
        <v>9</v>
      </c>
      <c r="F218" s="5812">
        <v>5</v>
      </c>
      <c r="G218" s="5813">
        <v>0.20833333333333334</v>
      </c>
      <c r="H218" s="21" t="s">
        <v>54</v>
      </c>
      <c r="I218" s="21" t="s">
        <v>11</v>
      </c>
      <c r="J218" s="21" t="s">
        <v>9899</v>
      </c>
      <c r="K218" s="5814" t="s">
        <v>9900</v>
      </c>
    </row>
    <row r="219" spans="1:11">
      <c r="A219" s="21" t="s">
        <v>2668</v>
      </c>
      <c r="B219" s="21" t="s">
        <v>9901</v>
      </c>
      <c r="C219" s="21" t="s">
        <v>8</v>
      </c>
      <c r="D219" s="21" t="s">
        <v>9889</v>
      </c>
      <c r="E219" s="21" t="s">
        <v>9</v>
      </c>
      <c r="F219" s="5812">
        <v>5</v>
      </c>
      <c r="G219" s="5813">
        <v>0.20833333333333334</v>
      </c>
      <c r="H219" s="21" t="s">
        <v>54</v>
      </c>
      <c r="I219" s="21" t="s">
        <v>194</v>
      </c>
      <c r="J219" s="21" t="s">
        <v>9902</v>
      </c>
      <c r="K219" s="5814" t="s">
        <v>9903</v>
      </c>
    </row>
    <row r="220" spans="1:11">
      <c r="A220" s="21" t="s">
        <v>2757</v>
      </c>
      <c r="B220" s="21" t="s">
        <v>9904</v>
      </c>
      <c r="C220" s="21" t="s">
        <v>8</v>
      </c>
      <c r="D220" s="21" t="s">
        <v>9889</v>
      </c>
      <c r="E220" s="21" t="s">
        <v>9</v>
      </c>
      <c r="F220" s="5812">
        <v>5</v>
      </c>
      <c r="G220" s="5813">
        <v>0.20833333333333334</v>
      </c>
      <c r="H220" s="21" t="s">
        <v>54</v>
      </c>
      <c r="I220" s="21" t="s">
        <v>2297</v>
      </c>
      <c r="J220" s="21" t="s">
        <v>9905</v>
      </c>
      <c r="K220" s="5814" t="s">
        <v>9906</v>
      </c>
    </row>
    <row r="221" spans="1:11">
      <c r="A221" s="21" t="s">
        <v>2609</v>
      </c>
      <c r="B221" s="21" t="s">
        <v>9907</v>
      </c>
      <c r="C221" s="21" t="s">
        <v>8</v>
      </c>
      <c r="D221" s="21" t="s">
        <v>9889</v>
      </c>
      <c r="E221" s="21" t="s">
        <v>46</v>
      </c>
      <c r="F221" s="5812">
        <v>2</v>
      </c>
      <c r="G221" s="5813">
        <v>1.8055555555555554E-2</v>
      </c>
      <c r="H221" s="21" t="s">
        <v>54</v>
      </c>
      <c r="I221" s="21" t="s">
        <v>2665</v>
      </c>
      <c r="J221" s="21" t="s">
        <v>722</v>
      </c>
      <c r="K221" s="5814" t="s">
        <v>9908</v>
      </c>
    </row>
    <row r="222" spans="1:11">
      <c r="A222" s="21" t="s">
        <v>2935</v>
      </c>
      <c r="B222" s="21" t="s">
        <v>9909</v>
      </c>
      <c r="C222" s="21" t="s">
        <v>8</v>
      </c>
      <c r="D222" s="21" t="s">
        <v>9889</v>
      </c>
      <c r="E222" s="21" t="s">
        <v>46</v>
      </c>
      <c r="F222" s="5812">
        <v>2</v>
      </c>
      <c r="G222" s="5813">
        <v>0.13819444444444445</v>
      </c>
      <c r="H222" s="21" t="s">
        <v>54</v>
      </c>
      <c r="I222" s="21" t="s">
        <v>226</v>
      </c>
      <c r="J222" s="21" t="s">
        <v>4687</v>
      </c>
      <c r="K222" s="5814" t="s">
        <v>9910</v>
      </c>
    </row>
    <row r="223" spans="1:11">
      <c r="A223" s="21" t="s">
        <v>2143</v>
      </c>
      <c r="B223" s="21" t="s">
        <v>9911</v>
      </c>
      <c r="C223" s="21" t="s">
        <v>8</v>
      </c>
      <c r="D223" s="21" t="s">
        <v>9889</v>
      </c>
      <c r="E223" s="21" t="s">
        <v>46</v>
      </c>
      <c r="F223" s="5812">
        <v>3</v>
      </c>
      <c r="G223" s="5813">
        <v>4.3749999999999997E-2</v>
      </c>
      <c r="H223" s="21" t="s">
        <v>54</v>
      </c>
      <c r="I223" s="21" t="s">
        <v>654</v>
      </c>
      <c r="J223" s="21" t="s">
        <v>9732</v>
      </c>
      <c r="K223" s="5814" t="s">
        <v>9912</v>
      </c>
    </row>
    <row r="224" spans="1:11">
      <c r="A224" s="21" t="s">
        <v>3152</v>
      </c>
      <c r="B224" s="21" t="s">
        <v>9913</v>
      </c>
      <c r="C224" s="21" t="s">
        <v>8</v>
      </c>
      <c r="D224" s="21" t="s">
        <v>9889</v>
      </c>
      <c r="E224" s="21" t="s">
        <v>46</v>
      </c>
      <c r="F224" s="5812">
        <v>4</v>
      </c>
      <c r="G224" s="5813">
        <v>0.16666666666666666</v>
      </c>
      <c r="H224" s="21" t="s">
        <v>54</v>
      </c>
      <c r="I224" s="21" t="s">
        <v>11</v>
      </c>
      <c r="J224" s="21" t="s">
        <v>4586</v>
      </c>
      <c r="K224" s="5814" t="s">
        <v>9914</v>
      </c>
    </row>
    <row r="225" spans="1:11">
      <c r="A225" s="21" t="s">
        <v>2049</v>
      </c>
      <c r="B225" s="21" t="s">
        <v>9915</v>
      </c>
      <c r="C225" s="21" t="s">
        <v>22</v>
      </c>
      <c r="D225" s="21" t="s">
        <v>9889</v>
      </c>
      <c r="E225" s="21" t="s">
        <v>61</v>
      </c>
      <c r="F225" s="5812">
        <v>4</v>
      </c>
      <c r="G225" s="5813">
        <v>0.19027777777777777</v>
      </c>
      <c r="H225" s="21" t="s">
        <v>54</v>
      </c>
      <c r="I225" s="21" t="s">
        <v>96</v>
      </c>
      <c r="J225" s="21" t="s">
        <v>67</v>
      </c>
      <c r="K225" s="5814" t="s">
        <v>9916</v>
      </c>
    </row>
  </sheetData>
  <hyperlinks>
    <hyperlink ref="K4" r:id="rId1" xr:uid="{00000000-0004-0000-1A00-000000000000}"/>
    <hyperlink ref="K5" r:id="rId2" xr:uid="{00000000-0004-0000-1A00-000001000000}"/>
    <hyperlink ref="K6" r:id="rId3" xr:uid="{00000000-0004-0000-1A00-000002000000}"/>
    <hyperlink ref="K7" r:id="rId4" xr:uid="{00000000-0004-0000-1A00-000003000000}"/>
    <hyperlink ref="K8" r:id="rId5" xr:uid="{00000000-0004-0000-1A00-000004000000}"/>
    <hyperlink ref="K9" r:id="rId6" xr:uid="{00000000-0004-0000-1A00-000005000000}"/>
    <hyperlink ref="K10" r:id="rId7" xr:uid="{00000000-0004-0000-1A00-000006000000}"/>
    <hyperlink ref="K11" r:id="rId8" xr:uid="{00000000-0004-0000-1A00-000007000000}"/>
    <hyperlink ref="K12" r:id="rId9" xr:uid="{00000000-0004-0000-1A00-000008000000}"/>
    <hyperlink ref="K13" r:id="rId10" xr:uid="{00000000-0004-0000-1A00-000009000000}"/>
    <hyperlink ref="K14" r:id="rId11" xr:uid="{00000000-0004-0000-1A00-00000A000000}"/>
    <hyperlink ref="K15" r:id="rId12" xr:uid="{00000000-0004-0000-1A00-00000B000000}"/>
    <hyperlink ref="K16" r:id="rId13" xr:uid="{00000000-0004-0000-1A00-00000C000000}"/>
    <hyperlink ref="K17" r:id="rId14" xr:uid="{00000000-0004-0000-1A00-00000D000000}"/>
    <hyperlink ref="K18" r:id="rId15" xr:uid="{00000000-0004-0000-1A00-00000E000000}"/>
    <hyperlink ref="K19" r:id="rId16" xr:uid="{00000000-0004-0000-1A00-00000F000000}"/>
    <hyperlink ref="K20" r:id="rId17" xr:uid="{00000000-0004-0000-1A00-000010000000}"/>
    <hyperlink ref="K21" r:id="rId18" xr:uid="{00000000-0004-0000-1A00-000011000000}"/>
    <hyperlink ref="K22" r:id="rId19" xr:uid="{00000000-0004-0000-1A00-000012000000}"/>
    <hyperlink ref="K23" r:id="rId20" xr:uid="{00000000-0004-0000-1A00-000013000000}"/>
    <hyperlink ref="K24" r:id="rId21" xr:uid="{00000000-0004-0000-1A00-000014000000}"/>
    <hyperlink ref="K25" r:id="rId22" xr:uid="{00000000-0004-0000-1A00-000015000000}"/>
    <hyperlink ref="K26" r:id="rId23" xr:uid="{00000000-0004-0000-1A00-000016000000}"/>
    <hyperlink ref="K27" r:id="rId24" xr:uid="{00000000-0004-0000-1A00-000017000000}"/>
    <hyperlink ref="K28" r:id="rId25" xr:uid="{00000000-0004-0000-1A00-000018000000}"/>
    <hyperlink ref="K29" r:id="rId26" xr:uid="{00000000-0004-0000-1A00-000019000000}"/>
    <hyperlink ref="K30" r:id="rId27" xr:uid="{00000000-0004-0000-1A00-00001A000000}"/>
    <hyperlink ref="K31" r:id="rId28" xr:uid="{00000000-0004-0000-1A00-00001B000000}"/>
    <hyperlink ref="K32" r:id="rId29" xr:uid="{00000000-0004-0000-1A00-00001C000000}"/>
    <hyperlink ref="K33" r:id="rId30" xr:uid="{00000000-0004-0000-1A00-00001D000000}"/>
    <hyperlink ref="K34" r:id="rId31" xr:uid="{00000000-0004-0000-1A00-00001E000000}"/>
    <hyperlink ref="K35" r:id="rId32" xr:uid="{00000000-0004-0000-1A00-00001F000000}"/>
    <hyperlink ref="K36" r:id="rId33" xr:uid="{00000000-0004-0000-1A00-000020000000}"/>
    <hyperlink ref="K37" r:id="rId34" xr:uid="{00000000-0004-0000-1A00-000021000000}"/>
    <hyperlink ref="K38" r:id="rId35" xr:uid="{00000000-0004-0000-1A00-000022000000}"/>
    <hyperlink ref="K39" r:id="rId36" xr:uid="{00000000-0004-0000-1A00-000023000000}"/>
    <hyperlink ref="K40" r:id="rId37" xr:uid="{00000000-0004-0000-1A00-000024000000}"/>
    <hyperlink ref="K41" r:id="rId38" xr:uid="{00000000-0004-0000-1A00-000025000000}"/>
    <hyperlink ref="K42" r:id="rId39" xr:uid="{00000000-0004-0000-1A00-000026000000}"/>
    <hyperlink ref="K43" r:id="rId40" xr:uid="{00000000-0004-0000-1A00-000027000000}"/>
    <hyperlink ref="K44" r:id="rId41" xr:uid="{00000000-0004-0000-1A00-000028000000}"/>
    <hyperlink ref="K45" r:id="rId42" xr:uid="{00000000-0004-0000-1A00-000029000000}"/>
    <hyperlink ref="K46" r:id="rId43" xr:uid="{00000000-0004-0000-1A00-00002A000000}"/>
    <hyperlink ref="K47" r:id="rId44" xr:uid="{00000000-0004-0000-1A00-00002B000000}"/>
    <hyperlink ref="K48" r:id="rId45" xr:uid="{00000000-0004-0000-1A00-00002C000000}"/>
    <hyperlink ref="K49" r:id="rId46" xr:uid="{00000000-0004-0000-1A00-00002D000000}"/>
    <hyperlink ref="K50" r:id="rId47" xr:uid="{00000000-0004-0000-1A00-00002E000000}"/>
    <hyperlink ref="K51" r:id="rId48" xr:uid="{00000000-0004-0000-1A00-00002F000000}"/>
    <hyperlink ref="K52" r:id="rId49" xr:uid="{00000000-0004-0000-1A00-000030000000}"/>
    <hyperlink ref="K53" r:id="rId50" xr:uid="{00000000-0004-0000-1A00-000031000000}"/>
    <hyperlink ref="K54" r:id="rId51" xr:uid="{00000000-0004-0000-1A00-000032000000}"/>
    <hyperlink ref="K55" r:id="rId52" xr:uid="{00000000-0004-0000-1A00-000033000000}"/>
    <hyperlink ref="K56" r:id="rId53" xr:uid="{00000000-0004-0000-1A00-000034000000}"/>
    <hyperlink ref="K57" r:id="rId54" xr:uid="{00000000-0004-0000-1A00-000035000000}"/>
    <hyperlink ref="K58" r:id="rId55" xr:uid="{00000000-0004-0000-1A00-000036000000}"/>
    <hyperlink ref="K59" r:id="rId56" xr:uid="{00000000-0004-0000-1A00-000037000000}"/>
    <hyperlink ref="K60" r:id="rId57" xr:uid="{00000000-0004-0000-1A00-000038000000}"/>
    <hyperlink ref="K61" r:id="rId58" xr:uid="{00000000-0004-0000-1A00-000039000000}"/>
    <hyperlink ref="K62" r:id="rId59" xr:uid="{00000000-0004-0000-1A00-00003A000000}"/>
    <hyperlink ref="K63" r:id="rId60" xr:uid="{00000000-0004-0000-1A00-00003B000000}"/>
    <hyperlink ref="K64" r:id="rId61" xr:uid="{00000000-0004-0000-1A00-00003C000000}"/>
    <hyperlink ref="K65" r:id="rId62" xr:uid="{00000000-0004-0000-1A00-00003D000000}"/>
    <hyperlink ref="K66" r:id="rId63" xr:uid="{00000000-0004-0000-1A00-00003E000000}"/>
    <hyperlink ref="K67" r:id="rId64" xr:uid="{00000000-0004-0000-1A00-00003F000000}"/>
    <hyperlink ref="K68" r:id="rId65" xr:uid="{00000000-0004-0000-1A00-000040000000}"/>
    <hyperlink ref="K69" r:id="rId66" xr:uid="{00000000-0004-0000-1A00-000041000000}"/>
    <hyperlink ref="K70" r:id="rId67" xr:uid="{00000000-0004-0000-1A00-000042000000}"/>
    <hyperlink ref="K71" r:id="rId68" xr:uid="{00000000-0004-0000-1A00-000043000000}"/>
    <hyperlink ref="K72" r:id="rId69" xr:uid="{00000000-0004-0000-1A00-000044000000}"/>
    <hyperlink ref="K73" r:id="rId70" xr:uid="{00000000-0004-0000-1A00-000045000000}"/>
    <hyperlink ref="K74" r:id="rId71" xr:uid="{00000000-0004-0000-1A00-000046000000}"/>
    <hyperlink ref="K75" r:id="rId72" xr:uid="{00000000-0004-0000-1A00-000047000000}"/>
    <hyperlink ref="K76" r:id="rId73" xr:uid="{00000000-0004-0000-1A00-000048000000}"/>
    <hyperlink ref="K77" r:id="rId74" xr:uid="{00000000-0004-0000-1A00-000049000000}"/>
    <hyperlink ref="K78" r:id="rId75" xr:uid="{00000000-0004-0000-1A00-00004A000000}"/>
    <hyperlink ref="K79" r:id="rId76" xr:uid="{00000000-0004-0000-1A00-00004B000000}"/>
    <hyperlink ref="K80" r:id="rId77" xr:uid="{00000000-0004-0000-1A00-00004C000000}"/>
    <hyperlink ref="K81" r:id="rId78" xr:uid="{00000000-0004-0000-1A00-00004D000000}"/>
    <hyperlink ref="K82" r:id="rId79" xr:uid="{00000000-0004-0000-1A00-00004E000000}"/>
    <hyperlink ref="K83" r:id="rId80" xr:uid="{00000000-0004-0000-1A00-00004F000000}"/>
    <hyperlink ref="K84" r:id="rId81" xr:uid="{00000000-0004-0000-1A00-000050000000}"/>
    <hyperlink ref="K85" r:id="rId82" xr:uid="{00000000-0004-0000-1A00-000051000000}"/>
    <hyperlink ref="K86" r:id="rId83" xr:uid="{00000000-0004-0000-1A00-000052000000}"/>
    <hyperlink ref="K87" r:id="rId84" xr:uid="{00000000-0004-0000-1A00-000053000000}"/>
    <hyperlink ref="K88" r:id="rId85" xr:uid="{00000000-0004-0000-1A00-000054000000}"/>
    <hyperlink ref="K89" r:id="rId86" xr:uid="{00000000-0004-0000-1A00-000055000000}"/>
    <hyperlink ref="K90" r:id="rId87" xr:uid="{00000000-0004-0000-1A00-000056000000}"/>
    <hyperlink ref="K91" r:id="rId88" xr:uid="{00000000-0004-0000-1A00-000057000000}"/>
    <hyperlink ref="K92" r:id="rId89" xr:uid="{00000000-0004-0000-1A00-000058000000}"/>
    <hyperlink ref="K93" r:id="rId90" xr:uid="{00000000-0004-0000-1A00-000059000000}"/>
    <hyperlink ref="K94" r:id="rId91" xr:uid="{00000000-0004-0000-1A00-00005A000000}"/>
    <hyperlink ref="K95" r:id="rId92" xr:uid="{00000000-0004-0000-1A00-00005B000000}"/>
    <hyperlink ref="K96" r:id="rId93" xr:uid="{00000000-0004-0000-1A00-00005C000000}"/>
    <hyperlink ref="K97" r:id="rId94" xr:uid="{00000000-0004-0000-1A00-00005D000000}"/>
    <hyperlink ref="K98" r:id="rId95" xr:uid="{00000000-0004-0000-1A00-00005E000000}"/>
    <hyperlink ref="K99" r:id="rId96" xr:uid="{00000000-0004-0000-1A00-00005F000000}"/>
    <hyperlink ref="K100" r:id="rId97" xr:uid="{00000000-0004-0000-1A00-000060000000}"/>
    <hyperlink ref="K101" r:id="rId98" xr:uid="{00000000-0004-0000-1A00-000061000000}"/>
    <hyperlink ref="K102" r:id="rId99" xr:uid="{00000000-0004-0000-1A00-000062000000}"/>
    <hyperlink ref="K103" r:id="rId100" xr:uid="{00000000-0004-0000-1A00-000063000000}"/>
    <hyperlink ref="K104" r:id="rId101" xr:uid="{00000000-0004-0000-1A00-000064000000}"/>
    <hyperlink ref="K105" r:id="rId102" xr:uid="{00000000-0004-0000-1A00-000065000000}"/>
    <hyperlink ref="K106" r:id="rId103" xr:uid="{00000000-0004-0000-1A00-000066000000}"/>
    <hyperlink ref="K107" r:id="rId104" xr:uid="{00000000-0004-0000-1A00-000067000000}"/>
    <hyperlink ref="K108" r:id="rId105" xr:uid="{00000000-0004-0000-1A00-000068000000}"/>
    <hyperlink ref="K109" r:id="rId106" xr:uid="{00000000-0004-0000-1A00-000069000000}"/>
    <hyperlink ref="K110" r:id="rId107" xr:uid="{00000000-0004-0000-1A00-00006A000000}"/>
    <hyperlink ref="K111" r:id="rId108" xr:uid="{00000000-0004-0000-1A00-00006B000000}"/>
    <hyperlink ref="K112" r:id="rId109" xr:uid="{00000000-0004-0000-1A00-00006C000000}"/>
    <hyperlink ref="K113" r:id="rId110" xr:uid="{00000000-0004-0000-1A00-00006D000000}"/>
    <hyperlink ref="K114" r:id="rId111" xr:uid="{00000000-0004-0000-1A00-00006E000000}"/>
    <hyperlink ref="K115" r:id="rId112" xr:uid="{00000000-0004-0000-1A00-00006F000000}"/>
    <hyperlink ref="K116" r:id="rId113" xr:uid="{00000000-0004-0000-1A00-000070000000}"/>
    <hyperlink ref="K117" r:id="rId114" xr:uid="{00000000-0004-0000-1A00-000071000000}"/>
    <hyperlink ref="K118" r:id="rId115" xr:uid="{00000000-0004-0000-1A00-000072000000}"/>
    <hyperlink ref="K119" r:id="rId116" xr:uid="{00000000-0004-0000-1A00-000073000000}"/>
    <hyperlink ref="K120" r:id="rId117" xr:uid="{00000000-0004-0000-1A00-000074000000}"/>
    <hyperlink ref="K121" r:id="rId118" xr:uid="{00000000-0004-0000-1A00-000075000000}"/>
    <hyperlink ref="K122" r:id="rId119" xr:uid="{00000000-0004-0000-1A00-000076000000}"/>
    <hyperlink ref="K123" r:id="rId120" xr:uid="{00000000-0004-0000-1A00-000077000000}"/>
    <hyperlink ref="K124" r:id="rId121" xr:uid="{00000000-0004-0000-1A00-000078000000}"/>
    <hyperlink ref="K125" r:id="rId122" xr:uid="{00000000-0004-0000-1A00-000079000000}"/>
    <hyperlink ref="K126" r:id="rId123" xr:uid="{00000000-0004-0000-1A00-00007A000000}"/>
    <hyperlink ref="K127" r:id="rId124" xr:uid="{00000000-0004-0000-1A00-00007B000000}"/>
    <hyperlink ref="K128" r:id="rId125" xr:uid="{00000000-0004-0000-1A00-00007C000000}"/>
    <hyperlink ref="K129" r:id="rId126" xr:uid="{00000000-0004-0000-1A00-00007D000000}"/>
    <hyperlink ref="K130" r:id="rId127" xr:uid="{00000000-0004-0000-1A00-00007E000000}"/>
    <hyperlink ref="K131" r:id="rId128" xr:uid="{00000000-0004-0000-1A00-00007F000000}"/>
    <hyperlink ref="K132" r:id="rId129" xr:uid="{00000000-0004-0000-1A00-000080000000}"/>
    <hyperlink ref="K133" r:id="rId130" xr:uid="{00000000-0004-0000-1A00-000081000000}"/>
    <hyperlink ref="K134" r:id="rId131" xr:uid="{00000000-0004-0000-1A00-000082000000}"/>
    <hyperlink ref="K135" r:id="rId132" xr:uid="{00000000-0004-0000-1A00-000083000000}"/>
    <hyperlink ref="K136" r:id="rId133" xr:uid="{00000000-0004-0000-1A00-000084000000}"/>
    <hyperlink ref="K137" r:id="rId134" xr:uid="{00000000-0004-0000-1A00-000085000000}"/>
    <hyperlink ref="K138" r:id="rId135" xr:uid="{00000000-0004-0000-1A00-000086000000}"/>
    <hyperlink ref="K139" r:id="rId136" xr:uid="{00000000-0004-0000-1A00-000087000000}"/>
    <hyperlink ref="K140" r:id="rId137" xr:uid="{00000000-0004-0000-1A00-000088000000}"/>
    <hyperlink ref="K141" r:id="rId138" xr:uid="{00000000-0004-0000-1A00-000089000000}"/>
    <hyperlink ref="K142" r:id="rId139" xr:uid="{00000000-0004-0000-1A00-00008A000000}"/>
    <hyperlink ref="K143" r:id="rId140" xr:uid="{00000000-0004-0000-1A00-00008B000000}"/>
    <hyperlink ref="K144" r:id="rId141" xr:uid="{00000000-0004-0000-1A00-00008C000000}"/>
    <hyperlink ref="K145" r:id="rId142" xr:uid="{00000000-0004-0000-1A00-00008D000000}"/>
    <hyperlink ref="K146" r:id="rId143" xr:uid="{00000000-0004-0000-1A00-00008E000000}"/>
    <hyperlink ref="K147" r:id="rId144" xr:uid="{00000000-0004-0000-1A00-00008F000000}"/>
    <hyperlink ref="K148" r:id="rId145" xr:uid="{00000000-0004-0000-1A00-000090000000}"/>
    <hyperlink ref="K149" r:id="rId146" xr:uid="{00000000-0004-0000-1A00-000091000000}"/>
    <hyperlink ref="K150" r:id="rId147" xr:uid="{00000000-0004-0000-1A00-000092000000}"/>
    <hyperlink ref="K151" r:id="rId148" xr:uid="{00000000-0004-0000-1A00-000093000000}"/>
    <hyperlink ref="K152" r:id="rId149" xr:uid="{00000000-0004-0000-1A00-000094000000}"/>
    <hyperlink ref="K153" r:id="rId150" xr:uid="{00000000-0004-0000-1A00-000095000000}"/>
    <hyperlink ref="K154" r:id="rId151" xr:uid="{00000000-0004-0000-1A00-000096000000}"/>
    <hyperlink ref="K155" r:id="rId152" xr:uid="{00000000-0004-0000-1A00-000097000000}"/>
    <hyperlink ref="K156" r:id="rId153" xr:uid="{00000000-0004-0000-1A00-000098000000}"/>
    <hyperlink ref="K157" r:id="rId154" xr:uid="{00000000-0004-0000-1A00-000099000000}"/>
    <hyperlink ref="K158" r:id="rId155" xr:uid="{00000000-0004-0000-1A00-00009A000000}"/>
    <hyperlink ref="K159" r:id="rId156" xr:uid="{00000000-0004-0000-1A00-00009B000000}"/>
    <hyperlink ref="K160" r:id="rId157" xr:uid="{00000000-0004-0000-1A00-00009C000000}"/>
    <hyperlink ref="K161" r:id="rId158" xr:uid="{00000000-0004-0000-1A00-00009D000000}"/>
    <hyperlink ref="K162" r:id="rId159" xr:uid="{00000000-0004-0000-1A00-00009E000000}"/>
    <hyperlink ref="K163" r:id="rId160" xr:uid="{00000000-0004-0000-1A00-00009F000000}"/>
    <hyperlink ref="K164" r:id="rId161" xr:uid="{00000000-0004-0000-1A00-0000A0000000}"/>
    <hyperlink ref="K165" r:id="rId162" xr:uid="{00000000-0004-0000-1A00-0000A1000000}"/>
    <hyperlink ref="K166" r:id="rId163" xr:uid="{00000000-0004-0000-1A00-0000A2000000}"/>
    <hyperlink ref="K167" r:id="rId164" xr:uid="{00000000-0004-0000-1A00-0000A3000000}"/>
    <hyperlink ref="K168" r:id="rId165" xr:uid="{00000000-0004-0000-1A00-0000A4000000}"/>
    <hyperlink ref="K169" r:id="rId166" xr:uid="{00000000-0004-0000-1A00-0000A5000000}"/>
    <hyperlink ref="K170" r:id="rId167" xr:uid="{00000000-0004-0000-1A00-0000A6000000}"/>
    <hyperlink ref="K171" r:id="rId168" xr:uid="{00000000-0004-0000-1A00-0000A7000000}"/>
    <hyperlink ref="K172" r:id="rId169" xr:uid="{00000000-0004-0000-1A00-0000A8000000}"/>
    <hyperlink ref="K173" r:id="rId170" xr:uid="{00000000-0004-0000-1A00-0000A9000000}"/>
    <hyperlink ref="K174" r:id="rId171" xr:uid="{00000000-0004-0000-1A00-0000AA000000}"/>
    <hyperlink ref="K175" r:id="rId172" xr:uid="{00000000-0004-0000-1A00-0000AB000000}"/>
    <hyperlink ref="K176" r:id="rId173" xr:uid="{00000000-0004-0000-1A00-0000AC000000}"/>
    <hyperlink ref="K177" r:id="rId174" xr:uid="{00000000-0004-0000-1A00-0000AD000000}"/>
    <hyperlink ref="K178" r:id="rId175" xr:uid="{00000000-0004-0000-1A00-0000AE000000}"/>
    <hyperlink ref="K179" r:id="rId176" xr:uid="{00000000-0004-0000-1A00-0000AF000000}"/>
    <hyperlink ref="K180" r:id="rId177" xr:uid="{00000000-0004-0000-1A00-0000B0000000}"/>
    <hyperlink ref="K181" r:id="rId178" xr:uid="{00000000-0004-0000-1A00-0000B1000000}"/>
    <hyperlink ref="K182" r:id="rId179" xr:uid="{00000000-0004-0000-1A00-0000B2000000}"/>
    <hyperlink ref="K183" r:id="rId180" xr:uid="{00000000-0004-0000-1A00-0000B3000000}"/>
    <hyperlink ref="K184" r:id="rId181" xr:uid="{00000000-0004-0000-1A00-0000B4000000}"/>
    <hyperlink ref="K185" r:id="rId182" xr:uid="{00000000-0004-0000-1A00-0000B5000000}"/>
    <hyperlink ref="K186" r:id="rId183" xr:uid="{00000000-0004-0000-1A00-0000B6000000}"/>
    <hyperlink ref="K187" r:id="rId184" xr:uid="{00000000-0004-0000-1A00-0000B7000000}"/>
    <hyperlink ref="K188" r:id="rId185" xr:uid="{00000000-0004-0000-1A00-0000B8000000}"/>
    <hyperlink ref="K189" r:id="rId186" xr:uid="{00000000-0004-0000-1A00-0000B9000000}"/>
    <hyperlink ref="K190" r:id="rId187" xr:uid="{00000000-0004-0000-1A00-0000BA000000}"/>
    <hyperlink ref="K191" r:id="rId188" xr:uid="{00000000-0004-0000-1A00-0000BB000000}"/>
    <hyperlink ref="K192" r:id="rId189" xr:uid="{00000000-0004-0000-1A00-0000BC000000}"/>
    <hyperlink ref="K193" r:id="rId190" xr:uid="{00000000-0004-0000-1A00-0000BD000000}"/>
    <hyperlink ref="K194" r:id="rId191" xr:uid="{00000000-0004-0000-1A00-0000BE000000}"/>
    <hyperlink ref="K195" r:id="rId192" xr:uid="{00000000-0004-0000-1A00-0000BF000000}"/>
    <hyperlink ref="K196" r:id="rId193" xr:uid="{00000000-0004-0000-1A00-0000C0000000}"/>
    <hyperlink ref="K197" r:id="rId194" xr:uid="{00000000-0004-0000-1A00-0000C1000000}"/>
    <hyperlink ref="K198" r:id="rId195" xr:uid="{00000000-0004-0000-1A00-0000C2000000}"/>
    <hyperlink ref="K199" r:id="rId196" xr:uid="{00000000-0004-0000-1A00-0000C3000000}"/>
    <hyperlink ref="K200" r:id="rId197" xr:uid="{00000000-0004-0000-1A00-0000C4000000}"/>
    <hyperlink ref="K201" r:id="rId198" xr:uid="{00000000-0004-0000-1A00-0000C5000000}"/>
    <hyperlink ref="K202" r:id="rId199" xr:uid="{00000000-0004-0000-1A00-0000C6000000}"/>
    <hyperlink ref="K203" r:id="rId200" xr:uid="{00000000-0004-0000-1A00-0000C7000000}"/>
    <hyperlink ref="K204" r:id="rId201" xr:uid="{00000000-0004-0000-1A00-0000C8000000}"/>
    <hyperlink ref="K205" r:id="rId202" xr:uid="{00000000-0004-0000-1A00-0000C9000000}"/>
    <hyperlink ref="K206" r:id="rId203" xr:uid="{00000000-0004-0000-1A00-0000CA000000}"/>
    <hyperlink ref="K207" r:id="rId204" xr:uid="{00000000-0004-0000-1A00-0000CB000000}"/>
    <hyperlink ref="K208" r:id="rId205" xr:uid="{00000000-0004-0000-1A00-0000CC000000}"/>
    <hyperlink ref="K209" r:id="rId206" xr:uid="{00000000-0004-0000-1A00-0000CD000000}"/>
    <hyperlink ref="K210" r:id="rId207" xr:uid="{00000000-0004-0000-1A00-0000CE000000}"/>
    <hyperlink ref="K211" r:id="rId208" xr:uid="{00000000-0004-0000-1A00-0000CF000000}"/>
    <hyperlink ref="K212" r:id="rId209" xr:uid="{00000000-0004-0000-1A00-0000D0000000}"/>
    <hyperlink ref="K213" r:id="rId210" xr:uid="{00000000-0004-0000-1A00-0000D1000000}"/>
    <hyperlink ref="K214" r:id="rId211" xr:uid="{00000000-0004-0000-1A00-0000D2000000}"/>
    <hyperlink ref="K215" r:id="rId212" xr:uid="{00000000-0004-0000-1A00-0000D3000000}"/>
    <hyperlink ref="K216" r:id="rId213" xr:uid="{00000000-0004-0000-1A00-0000D4000000}"/>
    <hyperlink ref="K217" r:id="rId214" xr:uid="{00000000-0004-0000-1A00-0000D5000000}"/>
    <hyperlink ref="K218" r:id="rId215" xr:uid="{00000000-0004-0000-1A00-0000D6000000}"/>
    <hyperlink ref="K219" r:id="rId216" xr:uid="{00000000-0004-0000-1A00-0000D7000000}"/>
    <hyperlink ref="K220" r:id="rId217" xr:uid="{00000000-0004-0000-1A00-0000D8000000}"/>
    <hyperlink ref="K221" r:id="rId218" xr:uid="{00000000-0004-0000-1A00-0000D9000000}"/>
    <hyperlink ref="K222" r:id="rId219" xr:uid="{00000000-0004-0000-1A00-0000DA000000}"/>
    <hyperlink ref="K223" r:id="rId220" xr:uid="{00000000-0004-0000-1A00-0000DB000000}"/>
    <hyperlink ref="K224" r:id="rId221" xr:uid="{00000000-0004-0000-1A00-0000DC000000}"/>
    <hyperlink ref="K225" r:id="rId222" xr:uid="{00000000-0004-0000-1A00-0000DD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BC284"/>
  <sheetViews>
    <sheetView workbookViewId="0"/>
  </sheetViews>
  <sheetFormatPr defaultColWidth="12.5703125" defaultRowHeight="15.75" customHeight="1"/>
  <cols>
    <col min="4" max="4" width="31.42578125" customWidth="1"/>
  </cols>
  <sheetData>
    <row r="1" spans="1:55">
      <c r="A1" s="5815" t="s">
        <v>13059</v>
      </c>
      <c r="B1" s="5815" t="s">
        <v>13060</v>
      </c>
      <c r="C1" s="5815" t="s">
        <v>13063</v>
      </c>
      <c r="D1" s="5815" t="s">
        <v>13064</v>
      </c>
      <c r="E1" s="5815" t="s">
        <v>13065</v>
      </c>
      <c r="F1" s="5815" t="s">
        <v>13060</v>
      </c>
      <c r="G1" s="5815" t="s">
        <v>1523</v>
      </c>
      <c r="H1" s="5815" t="s">
        <v>46</v>
      </c>
      <c r="I1" s="5815" t="s">
        <v>1522</v>
      </c>
      <c r="J1" s="5815" t="s">
        <v>13062</v>
      </c>
      <c r="K1" s="5815"/>
      <c r="L1" s="5815"/>
      <c r="M1" s="5815"/>
      <c r="N1" s="5815"/>
      <c r="O1" s="5815"/>
      <c r="P1" s="5815"/>
      <c r="Q1" s="5815"/>
      <c r="R1" s="5815"/>
      <c r="S1" s="5815"/>
      <c r="T1" s="5816"/>
      <c r="U1" s="5815"/>
      <c r="V1" s="5815"/>
      <c r="W1" s="5815"/>
      <c r="X1" s="5815"/>
      <c r="Y1" s="5815"/>
      <c r="Z1" s="5815"/>
      <c r="AA1" s="5815"/>
      <c r="AB1" s="5815"/>
      <c r="AC1" s="5815"/>
      <c r="AD1" s="5815"/>
      <c r="AE1" s="5815"/>
      <c r="AF1" s="5815"/>
      <c r="AG1" s="5815"/>
      <c r="AH1" s="5815"/>
      <c r="AI1" s="5815"/>
      <c r="AJ1" s="5815"/>
      <c r="AK1" s="5815"/>
      <c r="AL1" s="5815"/>
      <c r="AM1" s="5815"/>
      <c r="AN1" s="5815"/>
      <c r="AO1" s="5815"/>
      <c r="AP1" s="5815"/>
      <c r="AQ1" s="5815"/>
      <c r="AR1" s="5815"/>
      <c r="AS1" s="5815"/>
      <c r="AT1" s="5815"/>
      <c r="AU1" s="5815"/>
      <c r="AV1" s="5815"/>
      <c r="AW1" s="5815"/>
      <c r="AX1" s="5815"/>
      <c r="AY1" s="5815"/>
      <c r="AZ1" s="5815"/>
      <c r="BA1" s="5815"/>
      <c r="BB1" s="5815"/>
      <c r="BC1" s="620"/>
    </row>
    <row r="2" spans="1:55">
      <c r="A2" s="5817">
        <f>COUNTA(A4:A999)</f>
        <v>281</v>
      </c>
      <c r="B2" s="5822">
        <f>COUNTIF($E$3:$E$800, "Decision*")</f>
        <v>187</v>
      </c>
      <c r="C2" s="5818">
        <f>SUM(B2/$A$2)</f>
        <v>0.66548042704626331</v>
      </c>
      <c r="D2" s="5818">
        <f t="shared" ref="D2:E2" si="0">SUM(G2/$A$2)</f>
        <v>0.19217081850533807</v>
      </c>
      <c r="E2" s="5818">
        <f t="shared" si="0"/>
        <v>0.12811387900355872</v>
      </c>
      <c r="F2" s="5822">
        <f>COUNTIF($E$3:$E$999, "Decision*")</f>
        <v>187</v>
      </c>
      <c r="G2" s="5823">
        <f>COUNTIF($E$3:$E$999, "Submission")</f>
        <v>54</v>
      </c>
      <c r="H2" s="5817">
        <f>COUNTIF($E$3:$E$1000, "KO/TKO")</f>
        <v>36</v>
      </c>
      <c r="I2" s="5823">
        <f>COUNTIF($E$3:$E$999, "Decision - Unanimous")</f>
        <v>143</v>
      </c>
      <c r="J2" s="5819">
        <f>COUNTIF($E$3:$E$999, "Decision - Split")</f>
        <v>39</v>
      </c>
      <c r="K2" s="5824"/>
      <c r="L2" s="5820"/>
      <c r="M2" s="5820"/>
      <c r="N2" s="5820"/>
      <c r="O2" s="5820"/>
      <c r="P2" s="5820"/>
      <c r="Q2" s="5820"/>
      <c r="R2" s="5820"/>
      <c r="S2" s="5820"/>
      <c r="T2" s="5821"/>
      <c r="U2" s="5820"/>
      <c r="V2" s="5820"/>
      <c r="W2" s="5820"/>
      <c r="X2" s="5820"/>
      <c r="Y2" s="5820"/>
      <c r="Z2" s="5820"/>
      <c r="AA2" s="5820"/>
      <c r="AB2" s="5820"/>
      <c r="AC2" s="5820"/>
      <c r="AD2" s="5820"/>
      <c r="AE2" s="5820"/>
      <c r="AF2" s="5820"/>
      <c r="AG2" s="5820"/>
      <c r="AH2" s="5820"/>
      <c r="AI2" s="5820"/>
      <c r="AJ2" s="5820"/>
      <c r="AK2" s="5820"/>
      <c r="AL2" s="5820"/>
      <c r="AM2" s="5820"/>
      <c r="AN2" s="5820"/>
      <c r="AO2" s="5820"/>
      <c r="AP2" s="5820"/>
      <c r="AQ2" s="5820"/>
      <c r="AR2" s="5820"/>
      <c r="AS2" s="5820"/>
      <c r="AT2" s="5820"/>
      <c r="AU2" s="5820"/>
      <c r="AV2" s="5820"/>
      <c r="AW2" s="5820"/>
      <c r="AX2" s="5820"/>
      <c r="AY2" s="5820"/>
      <c r="AZ2" s="5820"/>
      <c r="BA2" s="5820"/>
      <c r="BB2" s="5820"/>
      <c r="BC2" s="620"/>
    </row>
    <row r="3" spans="1:55">
      <c r="A3" s="21" t="s">
        <v>2034</v>
      </c>
      <c r="B3" s="21" t="s">
        <v>2035</v>
      </c>
      <c r="C3" s="21" t="s">
        <v>2036</v>
      </c>
      <c r="D3" s="21" t="s">
        <v>2037</v>
      </c>
      <c r="E3" s="21" t="s">
        <v>2038</v>
      </c>
      <c r="F3" s="21" t="s">
        <v>2039</v>
      </c>
      <c r="G3" s="21" t="s">
        <v>2040</v>
      </c>
      <c r="H3" s="21" t="s">
        <v>2041</v>
      </c>
      <c r="I3" s="21" t="s">
        <v>2042</v>
      </c>
      <c r="J3" s="21" t="s">
        <v>2043</v>
      </c>
      <c r="K3" s="21" t="s">
        <v>2044</v>
      </c>
    </row>
    <row r="4" spans="1:55">
      <c r="A4" s="21" t="s">
        <v>2929</v>
      </c>
      <c r="B4" s="21" t="s">
        <v>12418</v>
      </c>
      <c r="C4" s="21" t="s">
        <v>22</v>
      </c>
      <c r="D4" s="21" t="s">
        <v>1430</v>
      </c>
      <c r="E4" s="21" t="s">
        <v>710</v>
      </c>
      <c r="F4" s="5812">
        <v>3</v>
      </c>
      <c r="G4" s="5813">
        <v>0.20833333333333334</v>
      </c>
      <c r="H4" s="21" t="s">
        <v>10</v>
      </c>
      <c r="I4" s="21" t="s">
        <v>39</v>
      </c>
      <c r="J4" s="21" t="s">
        <v>12419</v>
      </c>
      <c r="K4" s="5814" t="s">
        <v>12420</v>
      </c>
    </row>
    <row r="5" spans="1:55">
      <c r="A5" s="21" t="s">
        <v>2070</v>
      </c>
      <c r="B5" s="21" t="s">
        <v>12421</v>
      </c>
      <c r="C5" s="21" t="s">
        <v>709</v>
      </c>
      <c r="D5" s="21" t="s">
        <v>1430</v>
      </c>
      <c r="E5" s="21" t="s">
        <v>710</v>
      </c>
      <c r="F5" s="5812">
        <v>3</v>
      </c>
      <c r="G5" s="5813">
        <v>0.20833333333333334</v>
      </c>
      <c r="H5" s="21" t="s">
        <v>10</v>
      </c>
      <c r="I5" s="21" t="s">
        <v>2568</v>
      </c>
      <c r="J5" s="21" t="s">
        <v>12422</v>
      </c>
      <c r="K5" s="5814" t="s">
        <v>12423</v>
      </c>
    </row>
    <row r="6" spans="1:55">
      <c r="A6" s="21" t="s">
        <v>2571</v>
      </c>
      <c r="B6" s="21" t="s">
        <v>12424</v>
      </c>
      <c r="C6" s="21" t="s">
        <v>8</v>
      </c>
      <c r="D6" s="21" t="s">
        <v>1430</v>
      </c>
      <c r="E6" s="21" t="s">
        <v>710</v>
      </c>
      <c r="F6" s="5812">
        <v>3</v>
      </c>
      <c r="G6" s="5813">
        <v>0.20833333333333334</v>
      </c>
      <c r="H6" s="21" t="s">
        <v>10</v>
      </c>
      <c r="I6" s="21" t="s">
        <v>96</v>
      </c>
      <c r="J6" s="21" t="s">
        <v>12425</v>
      </c>
      <c r="K6" s="5814" t="s">
        <v>12426</v>
      </c>
    </row>
    <row r="7" spans="1:55">
      <c r="A7" s="21" t="s">
        <v>2197</v>
      </c>
      <c r="B7" s="21" t="s">
        <v>12427</v>
      </c>
      <c r="C7" s="21" t="s">
        <v>709</v>
      </c>
      <c r="D7" s="21" t="s">
        <v>1430</v>
      </c>
      <c r="E7" s="21" t="s">
        <v>710</v>
      </c>
      <c r="F7" s="5812">
        <v>3</v>
      </c>
      <c r="G7" s="5813">
        <v>0.20833333333333334</v>
      </c>
      <c r="H7" s="21" t="s">
        <v>10</v>
      </c>
      <c r="I7" s="21" t="s">
        <v>2747</v>
      </c>
      <c r="J7" s="21" t="s">
        <v>12428</v>
      </c>
      <c r="K7" s="5814" t="s">
        <v>12429</v>
      </c>
    </row>
    <row r="8" spans="1:55">
      <c r="A8" s="21" t="s">
        <v>2383</v>
      </c>
      <c r="B8" s="21" t="s">
        <v>12430</v>
      </c>
      <c r="C8" s="21" t="s">
        <v>22</v>
      </c>
      <c r="D8" s="21" t="s">
        <v>1430</v>
      </c>
      <c r="E8" s="21" t="s">
        <v>710</v>
      </c>
      <c r="F8" s="5812">
        <v>5</v>
      </c>
      <c r="G8" s="5813">
        <v>0.20833333333333334</v>
      </c>
      <c r="H8" s="21" t="s">
        <v>54</v>
      </c>
      <c r="I8" s="21" t="s">
        <v>23</v>
      </c>
      <c r="J8" s="21" t="s">
        <v>12431</v>
      </c>
      <c r="K8" s="5814" t="s">
        <v>12432</v>
      </c>
    </row>
    <row r="9" spans="1:55">
      <c r="A9" s="21" t="s">
        <v>339</v>
      </c>
      <c r="B9" s="21" t="s">
        <v>1439</v>
      </c>
      <c r="C9" s="21" t="s">
        <v>8</v>
      </c>
      <c r="D9" s="21" t="s">
        <v>1430</v>
      </c>
      <c r="E9" s="21" t="s">
        <v>193</v>
      </c>
      <c r="F9" s="5812">
        <v>3</v>
      </c>
      <c r="G9" s="5813">
        <v>0.20833333333333334</v>
      </c>
      <c r="H9" s="21" t="s">
        <v>10</v>
      </c>
      <c r="I9" s="21" t="s">
        <v>660</v>
      </c>
      <c r="J9" s="21" t="s">
        <v>1440</v>
      </c>
      <c r="K9" s="5814" t="s">
        <v>1441</v>
      </c>
    </row>
    <row r="10" spans="1:55">
      <c r="A10" s="21" t="s">
        <v>103</v>
      </c>
      <c r="B10" s="21" t="s">
        <v>1472</v>
      </c>
      <c r="C10" s="21" t="s">
        <v>8</v>
      </c>
      <c r="D10" s="21" t="s">
        <v>1430</v>
      </c>
      <c r="E10" s="21" t="s">
        <v>193</v>
      </c>
      <c r="F10" s="5812">
        <v>3</v>
      </c>
      <c r="G10" s="5813">
        <v>0.20833333333333334</v>
      </c>
      <c r="H10" s="21" t="s">
        <v>10</v>
      </c>
      <c r="I10" s="21" t="s">
        <v>23</v>
      </c>
      <c r="J10" s="21" t="s">
        <v>1473</v>
      </c>
      <c r="K10" s="5814" t="s">
        <v>1474</v>
      </c>
    </row>
    <row r="11" spans="1:55">
      <c r="A11" s="21" t="s">
        <v>52</v>
      </c>
      <c r="B11" s="21" t="s">
        <v>1505</v>
      </c>
      <c r="C11" s="21" t="s">
        <v>22</v>
      </c>
      <c r="D11" s="21" t="s">
        <v>1430</v>
      </c>
      <c r="E11" s="21" t="s">
        <v>193</v>
      </c>
      <c r="F11" s="5812">
        <v>3</v>
      </c>
      <c r="G11" s="5813">
        <v>0.20833333333333334</v>
      </c>
      <c r="H11" s="21" t="s">
        <v>10</v>
      </c>
      <c r="I11" s="21" t="s">
        <v>11</v>
      </c>
      <c r="J11" s="21" t="s">
        <v>1506</v>
      </c>
      <c r="K11" s="5814" t="s">
        <v>1507</v>
      </c>
    </row>
    <row r="12" spans="1:55">
      <c r="A12" s="21" t="s">
        <v>223</v>
      </c>
      <c r="B12" s="21" t="s">
        <v>1451</v>
      </c>
      <c r="C12" s="21" t="s">
        <v>22</v>
      </c>
      <c r="D12" s="21" t="s">
        <v>1430</v>
      </c>
      <c r="E12" s="21" t="s">
        <v>193</v>
      </c>
      <c r="F12" s="5812">
        <v>3</v>
      </c>
      <c r="G12" s="5813">
        <v>0.20833333333333334</v>
      </c>
      <c r="H12" s="21" t="s">
        <v>10</v>
      </c>
      <c r="I12" s="21" t="s">
        <v>226</v>
      </c>
      <c r="J12" s="21" t="s">
        <v>1452</v>
      </c>
      <c r="K12" s="5814" t="s">
        <v>1453</v>
      </c>
    </row>
    <row r="13" spans="1:55">
      <c r="A13" s="21" t="s">
        <v>2341</v>
      </c>
      <c r="B13" s="21" t="s">
        <v>12433</v>
      </c>
      <c r="C13" s="21" t="s">
        <v>22</v>
      </c>
      <c r="D13" s="21" t="s">
        <v>1430</v>
      </c>
      <c r="E13" s="21" t="s">
        <v>193</v>
      </c>
      <c r="F13" s="5812">
        <v>3</v>
      </c>
      <c r="G13" s="5813">
        <v>0.20833333333333334</v>
      </c>
      <c r="H13" s="21" t="s">
        <v>10</v>
      </c>
      <c r="I13" s="21" t="s">
        <v>2435</v>
      </c>
      <c r="J13" s="21" t="s">
        <v>12434</v>
      </c>
      <c r="K13" s="5814" t="s">
        <v>12435</v>
      </c>
    </row>
    <row r="14" spans="1:55">
      <c r="A14" s="21" t="s">
        <v>2341</v>
      </c>
      <c r="B14" s="21" t="s">
        <v>12436</v>
      </c>
      <c r="C14" s="21" t="s">
        <v>22</v>
      </c>
      <c r="D14" s="21" t="s">
        <v>1430</v>
      </c>
      <c r="E14" s="21" t="s">
        <v>193</v>
      </c>
      <c r="F14" s="5812">
        <v>3</v>
      </c>
      <c r="G14" s="5813">
        <v>0.20833333333333334</v>
      </c>
      <c r="H14" s="21" t="s">
        <v>10</v>
      </c>
      <c r="I14" s="21" t="s">
        <v>2435</v>
      </c>
      <c r="J14" s="21" t="s">
        <v>12437</v>
      </c>
      <c r="K14" s="5814" t="s">
        <v>12438</v>
      </c>
    </row>
    <row r="15" spans="1:55">
      <c r="A15" s="21" t="s">
        <v>2413</v>
      </c>
      <c r="B15" s="21" t="s">
        <v>12439</v>
      </c>
      <c r="C15" s="21" t="s">
        <v>8</v>
      </c>
      <c r="D15" s="21" t="s">
        <v>1430</v>
      </c>
      <c r="E15" s="21" t="s">
        <v>193</v>
      </c>
      <c r="F15" s="5812">
        <v>3</v>
      </c>
      <c r="G15" s="5813">
        <v>0.20833333333333334</v>
      </c>
      <c r="H15" s="21" t="s">
        <v>10</v>
      </c>
      <c r="I15" s="21" t="s">
        <v>23</v>
      </c>
      <c r="J15" s="21" t="s">
        <v>12440</v>
      </c>
      <c r="K15" s="5814" t="s">
        <v>12441</v>
      </c>
    </row>
    <row r="16" spans="1:55">
      <c r="A16" s="21" t="s">
        <v>2944</v>
      </c>
      <c r="B16" s="21" t="s">
        <v>12442</v>
      </c>
      <c r="C16" s="21" t="s">
        <v>8</v>
      </c>
      <c r="D16" s="21" t="s">
        <v>1430</v>
      </c>
      <c r="E16" s="21" t="s">
        <v>193</v>
      </c>
      <c r="F16" s="5812">
        <v>3</v>
      </c>
      <c r="G16" s="5813">
        <v>0.20833333333333334</v>
      </c>
      <c r="H16" s="21" t="s">
        <v>10</v>
      </c>
      <c r="I16" s="21" t="s">
        <v>73</v>
      </c>
      <c r="J16" s="21" t="s">
        <v>12443</v>
      </c>
      <c r="K16" s="5814" t="s">
        <v>12444</v>
      </c>
    </row>
    <row r="17" spans="1:11">
      <c r="A17" s="21" t="s">
        <v>2433</v>
      </c>
      <c r="B17" s="21" t="s">
        <v>12445</v>
      </c>
      <c r="C17" s="21" t="s">
        <v>8</v>
      </c>
      <c r="D17" s="21" t="s">
        <v>1430</v>
      </c>
      <c r="E17" s="21" t="s">
        <v>193</v>
      </c>
      <c r="F17" s="5812">
        <v>3</v>
      </c>
      <c r="G17" s="5813">
        <v>0.20833333333333334</v>
      </c>
      <c r="H17" s="21" t="s">
        <v>10</v>
      </c>
      <c r="I17" s="21" t="s">
        <v>11</v>
      </c>
      <c r="J17" s="21" t="s">
        <v>12446</v>
      </c>
      <c r="K17" s="5814" t="s">
        <v>12447</v>
      </c>
    </row>
    <row r="18" spans="1:11">
      <c r="A18" s="21" t="s">
        <v>2438</v>
      </c>
      <c r="B18" s="21" t="s">
        <v>12448</v>
      </c>
      <c r="C18" s="21" t="s">
        <v>22</v>
      </c>
      <c r="D18" s="21" t="s">
        <v>1430</v>
      </c>
      <c r="E18" s="21" t="s">
        <v>193</v>
      </c>
      <c r="F18" s="5812">
        <v>3</v>
      </c>
      <c r="G18" s="5813">
        <v>0.20833333333333334</v>
      </c>
      <c r="H18" s="21" t="s">
        <v>10</v>
      </c>
      <c r="I18" s="21" t="s">
        <v>2814</v>
      </c>
      <c r="J18" s="21" t="s">
        <v>12449</v>
      </c>
      <c r="K18" s="5814" t="s">
        <v>12450</v>
      </c>
    </row>
    <row r="19" spans="1:11">
      <c r="A19" s="21" t="s">
        <v>3551</v>
      </c>
      <c r="B19" s="21" t="s">
        <v>12451</v>
      </c>
      <c r="C19" s="21" t="s">
        <v>8</v>
      </c>
      <c r="D19" s="21" t="s">
        <v>1430</v>
      </c>
      <c r="E19" s="21" t="s">
        <v>193</v>
      </c>
      <c r="F19" s="5812">
        <v>3</v>
      </c>
      <c r="G19" s="5813">
        <v>0.20833333333333334</v>
      </c>
      <c r="H19" s="21" t="s">
        <v>10</v>
      </c>
      <c r="I19" s="21" t="s">
        <v>23</v>
      </c>
      <c r="J19" s="21" t="s">
        <v>12452</v>
      </c>
      <c r="K19" s="5814" t="s">
        <v>12453</v>
      </c>
    </row>
    <row r="20" spans="1:11">
      <c r="A20" s="21" t="s">
        <v>3116</v>
      </c>
      <c r="B20" s="21" t="s">
        <v>12454</v>
      </c>
      <c r="C20" s="21" t="s">
        <v>8</v>
      </c>
      <c r="D20" s="21" t="s">
        <v>1430</v>
      </c>
      <c r="E20" s="21" t="s">
        <v>193</v>
      </c>
      <c r="F20" s="5812">
        <v>3</v>
      </c>
      <c r="G20" s="5813">
        <v>0.20833333333333334</v>
      </c>
      <c r="H20" s="21" t="s">
        <v>10</v>
      </c>
      <c r="I20" s="21" t="s">
        <v>96</v>
      </c>
      <c r="J20" s="21" t="s">
        <v>12455</v>
      </c>
      <c r="K20" s="5814" t="s">
        <v>12456</v>
      </c>
    </row>
    <row r="21" spans="1:11">
      <c r="A21" s="21" t="s">
        <v>3102</v>
      </c>
      <c r="B21" s="21" t="s">
        <v>12457</v>
      </c>
      <c r="C21" s="21" t="s">
        <v>8</v>
      </c>
      <c r="D21" s="21" t="s">
        <v>1430</v>
      </c>
      <c r="E21" s="21" t="s">
        <v>193</v>
      </c>
      <c r="F21" s="5812">
        <v>3</v>
      </c>
      <c r="G21" s="5813">
        <v>0.20833333333333334</v>
      </c>
      <c r="H21" s="21" t="s">
        <v>10</v>
      </c>
      <c r="I21" s="21" t="s">
        <v>23</v>
      </c>
      <c r="J21" s="21" t="s">
        <v>12458</v>
      </c>
      <c r="K21" s="5814" t="s">
        <v>12459</v>
      </c>
    </row>
    <row r="22" spans="1:11">
      <c r="A22" s="21" t="s">
        <v>2538</v>
      </c>
      <c r="B22" s="21" t="s">
        <v>12460</v>
      </c>
      <c r="C22" s="21" t="s">
        <v>8</v>
      </c>
      <c r="D22" s="21" t="s">
        <v>1430</v>
      </c>
      <c r="E22" s="21" t="s">
        <v>193</v>
      </c>
      <c r="F22" s="5812">
        <v>3</v>
      </c>
      <c r="G22" s="5813">
        <v>0.20833333333333334</v>
      </c>
      <c r="H22" s="21" t="s">
        <v>10</v>
      </c>
      <c r="I22" s="21" t="s">
        <v>2814</v>
      </c>
      <c r="J22" s="21" t="s">
        <v>12461</v>
      </c>
      <c r="K22" s="5814" t="s">
        <v>12462</v>
      </c>
    </row>
    <row r="23" spans="1:11">
      <c r="A23" s="21" t="s">
        <v>3203</v>
      </c>
      <c r="B23" s="21" t="s">
        <v>12463</v>
      </c>
      <c r="C23" s="21" t="s">
        <v>22</v>
      </c>
      <c r="D23" s="21" t="s">
        <v>1430</v>
      </c>
      <c r="E23" s="21" t="s">
        <v>193</v>
      </c>
      <c r="F23" s="5812">
        <v>3</v>
      </c>
      <c r="G23" s="5813">
        <v>0.20833333333333334</v>
      </c>
      <c r="H23" s="21" t="s">
        <v>10</v>
      </c>
      <c r="I23" s="21" t="s">
        <v>2544</v>
      </c>
      <c r="J23" s="21" t="s">
        <v>12464</v>
      </c>
      <c r="K23" s="5814" t="s">
        <v>12465</v>
      </c>
    </row>
    <row r="24" spans="1:11">
      <c r="A24" s="21" t="s">
        <v>3710</v>
      </c>
      <c r="B24" s="21" t="s">
        <v>12466</v>
      </c>
      <c r="C24" s="21" t="s">
        <v>8</v>
      </c>
      <c r="D24" s="21" t="s">
        <v>1430</v>
      </c>
      <c r="E24" s="21" t="s">
        <v>193</v>
      </c>
      <c r="F24" s="5812">
        <v>3</v>
      </c>
      <c r="G24" s="5813">
        <v>0.20833333333333334</v>
      </c>
      <c r="H24" s="21" t="s">
        <v>10</v>
      </c>
      <c r="I24" s="21" t="s">
        <v>11</v>
      </c>
      <c r="J24" s="21" t="s">
        <v>12467</v>
      </c>
      <c r="K24" s="5814" t="s">
        <v>12468</v>
      </c>
    </row>
    <row r="25" spans="1:11">
      <c r="A25" s="21" t="s">
        <v>4116</v>
      </c>
      <c r="B25" s="21" t="s">
        <v>12469</v>
      </c>
      <c r="C25" s="21" t="s">
        <v>8</v>
      </c>
      <c r="D25" s="21" t="s">
        <v>1430</v>
      </c>
      <c r="E25" s="21" t="s">
        <v>193</v>
      </c>
      <c r="F25" s="5812">
        <v>3</v>
      </c>
      <c r="G25" s="5813">
        <v>0.20833333333333334</v>
      </c>
      <c r="H25" s="21" t="s">
        <v>10</v>
      </c>
      <c r="I25" s="21" t="s">
        <v>226</v>
      </c>
      <c r="J25" s="21" t="s">
        <v>12470</v>
      </c>
      <c r="K25" s="5814" t="s">
        <v>12471</v>
      </c>
    </row>
    <row r="26" spans="1:11">
      <c r="A26" s="21" t="s">
        <v>4139</v>
      </c>
      <c r="B26" s="21" t="s">
        <v>12472</v>
      </c>
      <c r="C26" s="21" t="s">
        <v>8</v>
      </c>
      <c r="D26" s="21" t="s">
        <v>1430</v>
      </c>
      <c r="E26" s="21" t="s">
        <v>193</v>
      </c>
      <c r="F26" s="5812">
        <v>3</v>
      </c>
      <c r="G26" s="5813">
        <v>0.20833333333333334</v>
      </c>
      <c r="H26" s="21" t="s">
        <v>10</v>
      </c>
      <c r="I26" s="21" t="s">
        <v>2544</v>
      </c>
      <c r="J26" s="21" t="s">
        <v>12473</v>
      </c>
      <c r="K26" s="5814" t="s">
        <v>12474</v>
      </c>
    </row>
    <row r="27" spans="1:11">
      <c r="A27" s="21" t="s">
        <v>4139</v>
      </c>
      <c r="B27" s="21" t="s">
        <v>12475</v>
      </c>
      <c r="C27" s="21" t="s">
        <v>8</v>
      </c>
      <c r="D27" s="21" t="s">
        <v>1430</v>
      </c>
      <c r="E27" s="21" t="s">
        <v>193</v>
      </c>
      <c r="F27" s="5812">
        <v>3</v>
      </c>
      <c r="G27" s="5813">
        <v>0.20833333333333334</v>
      </c>
      <c r="H27" s="21" t="s">
        <v>10</v>
      </c>
      <c r="I27" s="21" t="s">
        <v>2544</v>
      </c>
      <c r="J27" s="21" t="s">
        <v>12476</v>
      </c>
      <c r="K27" s="5814" t="s">
        <v>12477</v>
      </c>
    </row>
    <row r="28" spans="1:11">
      <c r="A28" s="21" t="s">
        <v>2643</v>
      </c>
      <c r="B28" s="21" t="s">
        <v>12478</v>
      </c>
      <c r="C28" s="21" t="s">
        <v>22</v>
      </c>
      <c r="D28" s="21" t="s">
        <v>1430</v>
      </c>
      <c r="E28" s="21" t="s">
        <v>193</v>
      </c>
      <c r="F28" s="5812">
        <v>3</v>
      </c>
      <c r="G28" s="5813">
        <v>0.20833333333333334</v>
      </c>
      <c r="H28" s="21" t="s">
        <v>10</v>
      </c>
      <c r="I28" s="21" t="s">
        <v>39</v>
      </c>
      <c r="J28" s="21" t="s">
        <v>12479</v>
      </c>
      <c r="K28" s="5814" t="s">
        <v>12480</v>
      </c>
    </row>
    <row r="29" spans="1:11">
      <c r="A29" s="21" t="s">
        <v>2998</v>
      </c>
      <c r="B29" s="21" t="s">
        <v>12481</v>
      </c>
      <c r="C29" s="21" t="s">
        <v>8</v>
      </c>
      <c r="D29" s="21" t="s">
        <v>1430</v>
      </c>
      <c r="E29" s="21" t="s">
        <v>193</v>
      </c>
      <c r="F29" s="5812">
        <v>3</v>
      </c>
      <c r="G29" s="5813">
        <v>0.20833333333333334</v>
      </c>
      <c r="H29" s="21" t="s">
        <v>10</v>
      </c>
      <c r="I29" s="21" t="s">
        <v>2747</v>
      </c>
      <c r="J29" s="21" t="s">
        <v>12482</v>
      </c>
      <c r="K29" s="5814" t="s">
        <v>12483</v>
      </c>
    </row>
    <row r="30" spans="1:11">
      <c r="A30" s="21" t="s">
        <v>2192</v>
      </c>
      <c r="B30" s="21" t="s">
        <v>12484</v>
      </c>
      <c r="C30" s="21" t="s">
        <v>8</v>
      </c>
      <c r="D30" s="21" t="s">
        <v>1430</v>
      </c>
      <c r="E30" s="21" t="s">
        <v>193</v>
      </c>
      <c r="F30" s="5812">
        <v>3</v>
      </c>
      <c r="G30" s="5813">
        <v>0.20833333333333334</v>
      </c>
      <c r="H30" s="21" t="s">
        <v>10</v>
      </c>
      <c r="I30" s="21" t="s">
        <v>4861</v>
      </c>
      <c r="J30" s="21" t="s">
        <v>12485</v>
      </c>
      <c r="K30" s="5814" t="s">
        <v>12486</v>
      </c>
    </row>
    <row r="31" spans="1:11">
      <c r="A31" s="21" t="s">
        <v>3089</v>
      </c>
      <c r="B31" s="21" t="s">
        <v>12487</v>
      </c>
      <c r="C31" s="21" t="s">
        <v>8</v>
      </c>
      <c r="D31" s="21" t="s">
        <v>1430</v>
      </c>
      <c r="E31" s="21" t="s">
        <v>193</v>
      </c>
      <c r="F31" s="5812">
        <v>3</v>
      </c>
      <c r="G31" s="5813">
        <v>0.20833333333333334</v>
      </c>
      <c r="H31" s="21" t="s">
        <v>10</v>
      </c>
      <c r="I31" s="21" t="s">
        <v>2317</v>
      </c>
      <c r="J31" s="21" t="s">
        <v>12488</v>
      </c>
      <c r="K31" s="5814" t="s">
        <v>12489</v>
      </c>
    </row>
    <row r="32" spans="1:11">
      <c r="A32" s="21" t="s">
        <v>3757</v>
      </c>
      <c r="B32" s="21" t="s">
        <v>12490</v>
      </c>
      <c r="C32" s="21" t="s">
        <v>8</v>
      </c>
      <c r="D32" s="21" t="s">
        <v>1430</v>
      </c>
      <c r="E32" s="21" t="s">
        <v>193</v>
      </c>
      <c r="F32" s="5812">
        <v>3</v>
      </c>
      <c r="G32" s="5813">
        <v>0.20833333333333334</v>
      </c>
      <c r="H32" s="21" t="s">
        <v>10</v>
      </c>
      <c r="I32" s="21" t="s">
        <v>2665</v>
      </c>
      <c r="J32" s="21" t="s">
        <v>12491</v>
      </c>
      <c r="K32" s="5814" t="s">
        <v>12492</v>
      </c>
    </row>
    <row r="33" spans="1:11">
      <c r="A33" s="21" t="s">
        <v>2724</v>
      </c>
      <c r="B33" s="21" t="s">
        <v>12493</v>
      </c>
      <c r="C33" s="21" t="s">
        <v>8</v>
      </c>
      <c r="D33" s="21" t="s">
        <v>1430</v>
      </c>
      <c r="E33" s="21" t="s">
        <v>193</v>
      </c>
      <c r="F33" s="5812">
        <v>3</v>
      </c>
      <c r="G33" s="5813">
        <v>0.20833333333333334</v>
      </c>
      <c r="H33" s="21" t="s">
        <v>10</v>
      </c>
      <c r="I33" s="21" t="s">
        <v>23</v>
      </c>
      <c r="J33" s="21" t="s">
        <v>12494</v>
      </c>
      <c r="K33" s="5814" t="s">
        <v>12495</v>
      </c>
    </row>
    <row r="34" spans="1:11">
      <c r="A34" s="21" t="s">
        <v>4249</v>
      </c>
      <c r="B34" s="21" t="s">
        <v>12496</v>
      </c>
      <c r="C34" s="21" t="s">
        <v>8</v>
      </c>
      <c r="D34" s="21" t="s">
        <v>1430</v>
      </c>
      <c r="E34" s="21" t="s">
        <v>193</v>
      </c>
      <c r="F34" s="5812">
        <v>3</v>
      </c>
      <c r="G34" s="5813">
        <v>0.20833333333333334</v>
      </c>
      <c r="H34" s="21" t="s">
        <v>10</v>
      </c>
      <c r="I34" s="21" t="s">
        <v>11</v>
      </c>
      <c r="J34" s="21" t="s">
        <v>7174</v>
      </c>
      <c r="K34" s="5814" t="s">
        <v>12497</v>
      </c>
    </row>
    <row r="35" spans="1:11">
      <c r="A35" s="21" t="s">
        <v>2205</v>
      </c>
      <c r="B35" s="21" t="s">
        <v>12498</v>
      </c>
      <c r="C35" s="21" t="s">
        <v>22</v>
      </c>
      <c r="D35" s="21" t="s">
        <v>1430</v>
      </c>
      <c r="E35" s="21" t="s">
        <v>193</v>
      </c>
      <c r="F35" s="5812">
        <v>3</v>
      </c>
      <c r="G35" s="5813">
        <v>0.20833333333333334</v>
      </c>
      <c r="H35" s="21" t="s">
        <v>10</v>
      </c>
      <c r="I35" s="21" t="s">
        <v>23</v>
      </c>
      <c r="J35" s="21" t="s">
        <v>12499</v>
      </c>
      <c r="K35" s="5814" t="s">
        <v>12500</v>
      </c>
    </row>
    <row r="36" spans="1:11">
      <c r="A36" s="21" t="s">
        <v>5168</v>
      </c>
      <c r="B36" s="21" t="s">
        <v>12501</v>
      </c>
      <c r="C36" s="21" t="s">
        <v>8</v>
      </c>
      <c r="D36" s="21" t="s">
        <v>1430</v>
      </c>
      <c r="E36" s="21" t="s">
        <v>193</v>
      </c>
      <c r="F36" s="5812">
        <v>3</v>
      </c>
      <c r="G36" s="5813">
        <v>0.20833333333333334</v>
      </c>
      <c r="H36" s="21" t="s">
        <v>10</v>
      </c>
      <c r="I36" s="21" t="s">
        <v>3464</v>
      </c>
      <c r="J36" s="21" t="s">
        <v>12502</v>
      </c>
      <c r="K36" s="5814" t="s">
        <v>12503</v>
      </c>
    </row>
    <row r="37" spans="1:11">
      <c r="A37" s="21" t="s">
        <v>4289</v>
      </c>
      <c r="B37" s="21" t="s">
        <v>12504</v>
      </c>
      <c r="C37" s="21" t="s">
        <v>8</v>
      </c>
      <c r="D37" s="21" t="s">
        <v>1430</v>
      </c>
      <c r="E37" s="21" t="s">
        <v>193</v>
      </c>
      <c r="F37" s="5812">
        <v>3</v>
      </c>
      <c r="G37" s="5813">
        <v>0.20833333333333334</v>
      </c>
      <c r="H37" s="21" t="s">
        <v>10</v>
      </c>
      <c r="I37" s="21" t="s">
        <v>2269</v>
      </c>
      <c r="J37" s="21" t="s">
        <v>12505</v>
      </c>
      <c r="K37" s="5814" t="s">
        <v>12506</v>
      </c>
    </row>
    <row r="38" spans="1:11">
      <c r="A38" s="21" t="s">
        <v>2225</v>
      </c>
      <c r="B38" s="21" t="s">
        <v>12507</v>
      </c>
      <c r="C38" s="21" t="s">
        <v>22</v>
      </c>
      <c r="D38" s="21" t="s">
        <v>1430</v>
      </c>
      <c r="E38" s="21" t="s">
        <v>193</v>
      </c>
      <c r="F38" s="5812">
        <v>3</v>
      </c>
      <c r="G38" s="5813">
        <v>0.20833333333333334</v>
      </c>
      <c r="H38" s="21" t="s">
        <v>10</v>
      </c>
      <c r="I38" s="21" t="s">
        <v>400</v>
      </c>
      <c r="J38" s="21" t="s">
        <v>12508</v>
      </c>
      <c r="K38" s="5814" t="s">
        <v>12509</v>
      </c>
    </row>
    <row r="39" spans="1:11">
      <c r="A39" s="21" t="s">
        <v>2792</v>
      </c>
      <c r="B39" s="21" t="s">
        <v>12510</v>
      </c>
      <c r="C39" s="21" t="s">
        <v>22</v>
      </c>
      <c r="D39" s="21" t="s">
        <v>1430</v>
      </c>
      <c r="E39" s="21" t="s">
        <v>193</v>
      </c>
      <c r="F39" s="5812">
        <v>3</v>
      </c>
      <c r="G39" s="5813">
        <v>0.20833333333333334</v>
      </c>
      <c r="H39" s="21" t="s">
        <v>10</v>
      </c>
      <c r="I39" s="21" t="s">
        <v>11</v>
      </c>
      <c r="J39" s="21" t="s">
        <v>12511</v>
      </c>
      <c r="K39" s="5814" t="s">
        <v>12512</v>
      </c>
    </row>
    <row r="40" spans="1:11">
      <c r="A40" s="21" t="s">
        <v>2808</v>
      </c>
      <c r="B40" s="21" t="s">
        <v>12513</v>
      </c>
      <c r="C40" s="21" t="s">
        <v>22</v>
      </c>
      <c r="D40" s="21" t="s">
        <v>1430</v>
      </c>
      <c r="E40" s="21" t="s">
        <v>193</v>
      </c>
      <c r="F40" s="5812">
        <v>3</v>
      </c>
      <c r="G40" s="5813">
        <v>0.20833333333333334</v>
      </c>
      <c r="H40" s="21" t="s">
        <v>10</v>
      </c>
      <c r="I40" s="21" t="s">
        <v>194</v>
      </c>
      <c r="J40" s="21" t="s">
        <v>12514</v>
      </c>
      <c r="K40" s="5814" t="s">
        <v>12515</v>
      </c>
    </row>
    <row r="41" spans="1:11">
      <c r="A41" s="21" t="s">
        <v>4345</v>
      </c>
      <c r="B41" s="21" t="s">
        <v>12516</v>
      </c>
      <c r="C41" s="21" t="s">
        <v>22</v>
      </c>
      <c r="D41" s="21" t="s">
        <v>1430</v>
      </c>
      <c r="E41" s="21" t="s">
        <v>193</v>
      </c>
      <c r="F41" s="5812">
        <v>3</v>
      </c>
      <c r="G41" s="5813">
        <v>0.20833333333333334</v>
      </c>
      <c r="H41" s="21" t="s">
        <v>10</v>
      </c>
      <c r="I41" s="21" t="s">
        <v>3534</v>
      </c>
      <c r="J41" s="21" t="s">
        <v>12517</v>
      </c>
      <c r="K41" s="5814" t="s">
        <v>12518</v>
      </c>
    </row>
    <row r="42" spans="1:11">
      <c r="A42" s="21" t="s">
        <v>3828</v>
      </c>
      <c r="B42" s="21" t="s">
        <v>12519</v>
      </c>
      <c r="C42" s="21" t="s">
        <v>8</v>
      </c>
      <c r="D42" s="21" t="s">
        <v>1430</v>
      </c>
      <c r="E42" s="21" t="s">
        <v>193</v>
      </c>
      <c r="F42" s="5812">
        <v>3</v>
      </c>
      <c r="G42" s="5813">
        <v>0.20833333333333334</v>
      </c>
      <c r="H42" s="21" t="s">
        <v>10</v>
      </c>
      <c r="I42" s="21" t="s">
        <v>55</v>
      </c>
      <c r="J42" s="21" t="s">
        <v>12520</v>
      </c>
      <c r="K42" s="5814" t="s">
        <v>12521</v>
      </c>
    </row>
    <row r="43" spans="1:11">
      <c r="A43" s="21" t="s">
        <v>2831</v>
      </c>
      <c r="B43" s="21" t="s">
        <v>12522</v>
      </c>
      <c r="C43" s="21" t="s">
        <v>22</v>
      </c>
      <c r="D43" s="21" t="s">
        <v>1430</v>
      </c>
      <c r="E43" s="21" t="s">
        <v>193</v>
      </c>
      <c r="F43" s="5812">
        <v>3</v>
      </c>
      <c r="G43" s="5813">
        <v>0.20833333333333334</v>
      </c>
      <c r="H43" s="21" t="s">
        <v>10</v>
      </c>
      <c r="I43" s="21" t="s">
        <v>2692</v>
      </c>
      <c r="J43" s="21" t="s">
        <v>12523</v>
      </c>
      <c r="K43" s="5814" t="s">
        <v>12524</v>
      </c>
    </row>
    <row r="44" spans="1:11">
      <c r="A44" s="21" t="s">
        <v>3613</v>
      </c>
      <c r="B44" s="21" t="s">
        <v>12525</v>
      </c>
      <c r="C44" s="21" t="s">
        <v>8</v>
      </c>
      <c r="D44" s="21" t="s">
        <v>1430</v>
      </c>
      <c r="E44" s="21" t="s">
        <v>193</v>
      </c>
      <c r="F44" s="5812">
        <v>5</v>
      </c>
      <c r="G44" s="5813">
        <v>0.20833333333333334</v>
      </c>
      <c r="H44" s="21" t="s">
        <v>54</v>
      </c>
      <c r="I44" s="21" t="s">
        <v>47</v>
      </c>
      <c r="J44" s="21" t="s">
        <v>12526</v>
      </c>
      <c r="K44" s="5814" t="s">
        <v>12527</v>
      </c>
    </row>
    <row r="45" spans="1:11">
      <c r="A45" s="21" t="s">
        <v>87</v>
      </c>
      <c r="B45" s="21" t="s">
        <v>1461</v>
      </c>
      <c r="C45" s="21" t="s">
        <v>22</v>
      </c>
      <c r="D45" s="21" t="s">
        <v>1430</v>
      </c>
      <c r="E45" s="21" t="s">
        <v>9</v>
      </c>
      <c r="F45" s="5812">
        <v>3</v>
      </c>
      <c r="G45" s="5813">
        <v>0.20833333333333334</v>
      </c>
      <c r="H45" s="21" t="s">
        <v>10</v>
      </c>
      <c r="I45" s="21" t="s">
        <v>233</v>
      </c>
      <c r="J45" s="21" t="s">
        <v>1462</v>
      </c>
      <c r="K45" s="5814" t="s">
        <v>1463</v>
      </c>
    </row>
    <row r="46" spans="1:11">
      <c r="A46" s="21" t="s">
        <v>94</v>
      </c>
      <c r="B46" s="21" t="s">
        <v>1466</v>
      </c>
      <c r="C46" s="21" t="s">
        <v>22</v>
      </c>
      <c r="D46" s="21" t="s">
        <v>1430</v>
      </c>
      <c r="E46" s="21" t="s">
        <v>9</v>
      </c>
      <c r="F46" s="5812">
        <v>3</v>
      </c>
      <c r="G46" s="5813">
        <v>0.20833333333333334</v>
      </c>
      <c r="H46" s="21" t="s">
        <v>10</v>
      </c>
      <c r="I46" s="21" t="s">
        <v>96</v>
      </c>
      <c r="J46" s="21" t="s">
        <v>1467</v>
      </c>
      <c r="K46" s="5814" t="s">
        <v>1468</v>
      </c>
    </row>
    <row r="47" spans="1:11">
      <c r="A47" s="21" t="s">
        <v>115</v>
      </c>
      <c r="B47" s="21" t="s">
        <v>1477</v>
      </c>
      <c r="C47" s="21" t="s">
        <v>8</v>
      </c>
      <c r="D47" s="21" t="s">
        <v>1430</v>
      </c>
      <c r="E47" s="21" t="s">
        <v>9</v>
      </c>
      <c r="F47" s="5812">
        <v>3</v>
      </c>
      <c r="G47" s="5813">
        <v>0.20833333333333334</v>
      </c>
      <c r="H47" s="21" t="s">
        <v>10</v>
      </c>
      <c r="I47" s="21" t="s">
        <v>117</v>
      </c>
      <c r="J47" s="21" t="s">
        <v>1478</v>
      </c>
      <c r="K47" s="5814" t="s">
        <v>1479</v>
      </c>
    </row>
    <row r="48" spans="1:11">
      <c r="A48" s="21" t="s">
        <v>160</v>
      </c>
      <c r="B48" s="21" t="s">
        <v>1488</v>
      </c>
      <c r="C48" s="21" t="s">
        <v>8</v>
      </c>
      <c r="D48" s="21" t="s">
        <v>1430</v>
      </c>
      <c r="E48" s="21" t="s">
        <v>9</v>
      </c>
      <c r="F48" s="5812">
        <v>3</v>
      </c>
      <c r="G48" s="5813">
        <v>0.20833333333333334</v>
      </c>
      <c r="H48" s="21" t="s">
        <v>10</v>
      </c>
      <c r="I48" s="21" t="s">
        <v>55</v>
      </c>
      <c r="J48" s="21" t="s">
        <v>1489</v>
      </c>
      <c r="K48" s="5814" t="s">
        <v>1490</v>
      </c>
    </row>
    <row r="49" spans="1:11">
      <c r="A49" s="21" t="s">
        <v>166</v>
      </c>
      <c r="B49" s="21" t="s">
        <v>1492</v>
      </c>
      <c r="C49" s="21" t="s">
        <v>8</v>
      </c>
      <c r="D49" s="21" t="s">
        <v>1430</v>
      </c>
      <c r="E49" s="21" t="s">
        <v>9</v>
      </c>
      <c r="F49" s="5812">
        <v>3</v>
      </c>
      <c r="G49" s="5813">
        <v>0.20833333333333334</v>
      </c>
      <c r="H49" s="21" t="s">
        <v>10</v>
      </c>
      <c r="I49" s="21" t="s">
        <v>89</v>
      </c>
      <c r="J49" s="21" t="s">
        <v>1420</v>
      </c>
      <c r="K49" s="5814" t="s">
        <v>1493</v>
      </c>
    </row>
    <row r="50" spans="1:11">
      <c r="A50" s="21" t="s">
        <v>177</v>
      </c>
      <c r="B50" s="21" t="s">
        <v>1496</v>
      </c>
      <c r="C50" s="21" t="s">
        <v>8</v>
      </c>
      <c r="D50" s="21" t="s">
        <v>1430</v>
      </c>
      <c r="E50" s="21" t="s">
        <v>9</v>
      </c>
      <c r="F50" s="5812">
        <v>3</v>
      </c>
      <c r="G50" s="5813">
        <v>0.20833333333333334</v>
      </c>
      <c r="H50" s="21" t="s">
        <v>10</v>
      </c>
      <c r="I50" s="21" t="s">
        <v>96</v>
      </c>
      <c r="J50" s="21" t="s">
        <v>1497</v>
      </c>
      <c r="K50" s="5814" t="s">
        <v>1498</v>
      </c>
    </row>
    <row r="51" spans="1:11">
      <c r="A51" s="21" t="s">
        <v>231</v>
      </c>
      <c r="B51" s="21" t="s">
        <v>1456</v>
      </c>
      <c r="C51" s="21" t="s">
        <v>8</v>
      </c>
      <c r="D51" s="21" t="s">
        <v>1430</v>
      </c>
      <c r="E51" s="21" t="s">
        <v>9</v>
      </c>
      <c r="F51" s="5812">
        <v>3</v>
      </c>
      <c r="G51" s="5813">
        <v>0.20833333333333334</v>
      </c>
      <c r="H51" s="21" t="s">
        <v>10</v>
      </c>
      <c r="I51" s="21" t="s">
        <v>788</v>
      </c>
      <c r="J51" s="21" t="s">
        <v>1457</v>
      </c>
      <c r="K51" s="5814" t="s">
        <v>12528</v>
      </c>
    </row>
    <row r="52" spans="1:11">
      <c r="A52" s="21" t="s">
        <v>71</v>
      </c>
      <c r="B52" s="21" t="s">
        <v>1516</v>
      </c>
      <c r="C52" s="21" t="s">
        <v>22</v>
      </c>
      <c r="D52" s="21" t="s">
        <v>1430</v>
      </c>
      <c r="E52" s="21" t="s">
        <v>9</v>
      </c>
      <c r="F52" s="5812">
        <v>3</v>
      </c>
      <c r="G52" s="5813">
        <v>0.20833333333333334</v>
      </c>
      <c r="H52" s="21" t="s">
        <v>10</v>
      </c>
      <c r="I52" s="21" t="s">
        <v>23</v>
      </c>
      <c r="J52" s="21" t="s">
        <v>1517</v>
      </c>
      <c r="K52" s="5814" t="s">
        <v>12529</v>
      </c>
    </row>
    <row r="53" spans="1:11">
      <c r="A53" s="21" t="s">
        <v>6</v>
      </c>
      <c r="B53" s="21" t="s">
        <v>1429</v>
      </c>
      <c r="C53" s="21" t="s">
        <v>8</v>
      </c>
      <c r="D53" s="21" t="s">
        <v>1430</v>
      </c>
      <c r="E53" s="21" t="s">
        <v>9</v>
      </c>
      <c r="F53" s="5812">
        <v>3</v>
      </c>
      <c r="G53" s="5813">
        <v>0.20833333333333334</v>
      </c>
      <c r="H53" s="21" t="s">
        <v>10</v>
      </c>
      <c r="I53" s="21" t="s">
        <v>73</v>
      </c>
      <c r="J53" s="21" t="s">
        <v>1431</v>
      </c>
      <c r="K53" s="5814" t="s">
        <v>12530</v>
      </c>
    </row>
    <row r="54" spans="1:11">
      <c r="A54" s="21" t="s">
        <v>6</v>
      </c>
      <c r="B54" s="21" t="s">
        <v>1434</v>
      </c>
      <c r="C54" s="21" t="s">
        <v>8</v>
      </c>
      <c r="D54" s="21" t="s">
        <v>1430</v>
      </c>
      <c r="E54" s="21" t="s">
        <v>9</v>
      </c>
      <c r="F54" s="5812">
        <v>3</v>
      </c>
      <c r="G54" s="5813">
        <v>0.20833333333333334</v>
      </c>
      <c r="H54" s="21" t="s">
        <v>10</v>
      </c>
      <c r="I54" s="21" t="s">
        <v>39</v>
      </c>
      <c r="J54" s="21" t="s">
        <v>1435</v>
      </c>
      <c r="K54" s="5814" t="s">
        <v>12531</v>
      </c>
    </row>
    <row r="55" spans="1:11">
      <c r="A55" s="21" t="s">
        <v>2307</v>
      </c>
      <c r="B55" s="21" t="s">
        <v>12532</v>
      </c>
      <c r="C55" s="21" t="s">
        <v>8</v>
      </c>
      <c r="D55" s="21" t="s">
        <v>1430</v>
      </c>
      <c r="E55" s="21" t="s">
        <v>9</v>
      </c>
      <c r="F55" s="5812">
        <v>3</v>
      </c>
      <c r="G55" s="5813">
        <v>0.20833333333333334</v>
      </c>
      <c r="H55" s="21" t="s">
        <v>10</v>
      </c>
      <c r="I55" s="21" t="s">
        <v>39</v>
      </c>
      <c r="J55" s="21" t="s">
        <v>12533</v>
      </c>
      <c r="K55" s="5814" t="s">
        <v>12534</v>
      </c>
    </row>
    <row r="56" spans="1:11">
      <c r="A56" s="21" t="s">
        <v>2941</v>
      </c>
      <c r="B56" s="21" t="s">
        <v>12535</v>
      </c>
      <c r="C56" s="21" t="s">
        <v>8</v>
      </c>
      <c r="D56" s="21" t="s">
        <v>1430</v>
      </c>
      <c r="E56" s="21" t="s">
        <v>9</v>
      </c>
      <c r="F56" s="5812">
        <v>3</v>
      </c>
      <c r="G56" s="5813">
        <v>0.20833333333333334</v>
      </c>
      <c r="H56" s="21" t="s">
        <v>10</v>
      </c>
      <c r="I56" s="21" t="s">
        <v>23</v>
      </c>
      <c r="J56" s="21" t="s">
        <v>12536</v>
      </c>
      <c r="K56" s="5814" t="s">
        <v>12537</v>
      </c>
    </row>
    <row r="57" spans="1:11">
      <c r="A57" s="21" t="s">
        <v>2084</v>
      </c>
      <c r="B57" s="21" t="s">
        <v>12538</v>
      </c>
      <c r="C57" s="21" t="s">
        <v>22</v>
      </c>
      <c r="D57" s="21" t="s">
        <v>1430</v>
      </c>
      <c r="E57" s="21" t="s">
        <v>9</v>
      </c>
      <c r="F57" s="5812">
        <v>3</v>
      </c>
      <c r="G57" s="5813">
        <v>0.20833333333333334</v>
      </c>
      <c r="H57" s="21" t="s">
        <v>10</v>
      </c>
      <c r="I57" s="21" t="s">
        <v>2544</v>
      </c>
      <c r="J57" s="21" t="s">
        <v>12539</v>
      </c>
      <c r="K57" s="5814" t="s">
        <v>12540</v>
      </c>
    </row>
    <row r="58" spans="1:11">
      <c r="A58" s="21" t="s">
        <v>3664</v>
      </c>
      <c r="B58" s="21" t="s">
        <v>12541</v>
      </c>
      <c r="C58" s="21" t="s">
        <v>8</v>
      </c>
      <c r="D58" s="21" t="s">
        <v>1430</v>
      </c>
      <c r="E58" s="21" t="s">
        <v>9</v>
      </c>
      <c r="F58" s="5812">
        <v>3</v>
      </c>
      <c r="G58" s="5813">
        <v>0.20833333333333334</v>
      </c>
      <c r="H58" s="21" t="s">
        <v>10</v>
      </c>
      <c r="I58" s="21" t="s">
        <v>11</v>
      </c>
      <c r="J58" s="21" t="s">
        <v>12542</v>
      </c>
      <c r="K58" s="5814" t="s">
        <v>12543</v>
      </c>
    </row>
    <row r="59" spans="1:11">
      <c r="A59" s="21" t="s">
        <v>2947</v>
      </c>
      <c r="B59" s="21" t="s">
        <v>12544</v>
      </c>
      <c r="C59" s="21" t="s">
        <v>8</v>
      </c>
      <c r="D59" s="21" t="s">
        <v>1430</v>
      </c>
      <c r="E59" s="21" t="s">
        <v>9</v>
      </c>
      <c r="F59" s="5812">
        <v>3</v>
      </c>
      <c r="G59" s="5813">
        <v>0.20833333333333334</v>
      </c>
      <c r="H59" s="21" t="s">
        <v>10</v>
      </c>
      <c r="I59" s="21" t="s">
        <v>12545</v>
      </c>
      <c r="J59" s="21" t="s">
        <v>12546</v>
      </c>
      <c r="K59" s="5814" t="s">
        <v>12547</v>
      </c>
    </row>
    <row r="60" spans="1:11">
      <c r="A60" s="21" t="s">
        <v>2327</v>
      </c>
      <c r="B60" s="21" t="s">
        <v>12548</v>
      </c>
      <c r="C60" s="21" t="s">
        <v>8</v>
      </c>
      <c r="D60" s="21" t="s">
        <v>1430</v>
      </c>
      <c r="E60" s="21" t="s">
        <v>9</v>
      </c>
      <c r="F60" s="5812">
        <v>3</v>
      </c>
      <c r="G60" s="5813">
        <v>0.20833333333333334</v>
      </c>
      <c r="H60" s="21" t="s">
        <v>10</v>
      </c>
      <c r="I60" s="21" t="s">
        <v>39</v>
      </c>
      <c r="J60" s="21" t="s">
        <v>12549</v>
      </c>
      <c r="K60" s="5814" t="s">
        <v>12550</v>
      </c>
    </row>
    <row r="61" spans="1:11">
      <c r="A61" s="21" t="s">
        <v>3491</v>
      </c>
      <c r="B61" s="21" t="s">
        <v>12551</v>
      </c>
      <c r="C61" s="21" t="s">
        <v>8</v>
      </c>
      <c r="D61" s="21" t="s">
        <v>1430</v>
      </c>
      <c r="E61" s="21" t="s">
        <v>9</v>
      </c>
      <c r="F61" s="5812">
        <v>3</v>
      </c>
      <c r="G61" s="5813">
        <v>0.20833333333333334</v>
      </c>
      <c r="H61" s="21" t="s">
        <v>10</v>
      </c>
      <c r="I61" s="21" t="s">
        <v>23</v>
      </c>
      <c r="J61" s="21" t="s">
        <v>12552</v>
      </c>
      <c r="K61" s="5814" t="s">
        <v>12553</v>
      </c>
    </row>
    <row r="62" spans="1:11">
      <c r="A62" s="21" t="s">
        <v>3872</v>
      </c>
      <c r="B62" s="21" t="s">
        <v>12554</v>
      </c>
      <c r="C62" s="21" t="s">
        <v>22</v>
      </c>
      <c r="D62" s="21" t="s">
        <v>1430</v>
      </c>
      <c r="E62" s="21" t="s">
        <v>9</v>
      </c>
      <c r="F62" s="5812">
        <v>3</v>
      </c>
      <c r="G62" s="5813">
        <v>0.20833333333333334</v>
      </c>
      <c r="H62" s="21" t="s">
        <v>10</v>
      </c>
      <c r="I62" s="21" t="s">
        <v>117</v>
      </c>
      <c r="J62" s="21" t="s">
        <v>12555</v>
      </c>
      <c r="K62" s="5814" t="s">
        <v>12556</v>
      </c>
    </row>
    <row r="63" spans="1:11">
      <c r="A63" s="21" t="s">
        <v>2341</v>
      </c>
      <c r="B63" s="21" t="s">
        <v>12557</v>
      </c>
      <c r="C63" s="21" t="s">
        <v>22</v>
      </c>
      <c r="D63" s="21" t="s">
        <v>1430</v>
      </c>
      <c r="E63" s="21" t="s">
        <v>9</v>
      </c>
      <c r="F63" s="5812">
        <v>3</v>
      </c>
      <c r="G63" s="5813">
        <v>0.20833333333333334</v>
      </c>
      <c r="H63" s="21" t="s">
        <v>10</v>
      </c>
      <c r="I63" s="21" t="s">
        <v>609</v>
      </c>
      <c r="J63" s="21" t="s">
        <v>12558</v>
      </c>
      <c r="K63" s="5814" t="s">
        <v>12559</v>
      </c>
    </row>
    <row r="64" spans="1:11">
      <c r="A64" s="21" t="s">
        <v>2362</v>
      </c>
      <c r="B64" s="21" t="s">
        <v>12560</v>
      </c>
      <c r="C64" s="21" t="s">
        <v>22</v>
      </c>
      <c r="D64" s="21" t="s">
        <v>1430</v>
      </c>
      <c r="E64" s="21" t="s">
        <v>9</v>
      </c>
      <c r="F64" s="5812">
        <v>3</v>
      </c>
      <c r="G64" s="5813">
        <v>0.20833333333333334</v>
      </c>
      <c r="H64" s="21" t="s">
        <v>10</v>
      </c>
      <c r="I64" s="21" t="s">
        <v>23</v>
      </c>
      <c r="J64" s="21" t="s">
        <v>11607</v>
      </c>
      <c r="K64" s="5814" t="s">
        <v>12561</v>
      </c>
    </row>
    <row r="65" spans="1:11">
      <c r="A65" s="21" t="s">
        <v>3896</v>
      </c>
      <c r="B65" s="21" t="s">
        <v>12562</v>
      </c>
      <c r="C65" s="21" t="s">
        <v>8</v>
      </c>
      <c r="D65" s="21" t="s">
        <v>1430</v>
      </c>
      <c r="E65" s="21" t="s">
        <v>9</v>
      </c>
      <c r="F65" s="5812">
        <v>3</v>
      </c>
      <c r="G65" s="5813">
        <v>0.20833333333333334</v>
      </c>
      <c r="H65" s="21" t="s">
        <v>10</v>
      </c>
      <c r="I65" s="21" t="s">
        <v>609</v>
      </c>
      <c r="J65" s="21" t="s">
        <v>12563</v>
      </c>
      <c r="K65" s="5814" t="s">
        <v>12564</v>
      </c>
    </row>
    <row r="66" spans="1:11">
      <c r="A66" s="21" t="s">
        <v>2092</v>
      </c>
      <c r="B66" s="21" t="s">
        <v>12565</v>
      </c>
      <c r="C66" s="21" t="s">
        <v>8</v>
      </c>
      <c r="D66" s="21" t="s">
        <v>1430</v>
      </c>
      <c r="E66" s="21" t="s">
        <v>9</v>
      </c>
      <c r="F66" s="5812">
        <v>3</v>
      </c>
      <c r="G66" s="5813">
        <v>0.20833333333333334</v>
      </c>
      <c r="H66" s="21" t="s">
        <v>10</v>
      </c>
      <c r="I66" s="21" t="s">
        <v>11</v>
      </c>
      <c r="J66" s="21" t="s">
        <v>592</v>
      </c>
      <c r="K66" s="5814" t="s">
        <v>12566</v>
      </c>
    </row>
    <row r="67" spans="1:11">
      <c r="A67" s="21" t="s">
        <v>2372</v>
      </c>
      <c r="B67" s="21" t="s">
        <v>12567</v>
      </c>
      <c r="C67" s="21" t="s">
        <v>8</v>
      </c>
      <c r="D67" s="21" t="s">
        <v>1430</v>
      </c>
      <c r="E67" s="21" t="s">
        <v>9</v>
      </c>
      <c r="F67" s="5812">
        <v>3</v>
      </c>
      <c r="G67" s="5813">
        <v>0.20833333333333334</v>
      </c>
      <c r="H67" s="21" t="s">
        <v>10</v>
      </c>
      <c r="I67" s="21" t="s">
        <v>47</v>
      </c>
      <c r="J67" s="21" t="s">
        <v>12568</v>
      </c>
      <c r="K67" s="5814" t="s">
        <v>12569</v>
      </c>
    </row>
    <row r="68" spans="1:11">
      <c r="A68" s="21" t="s">
        <v>2100</v>
      </c>
      <c r="B68" s="21" t="s">
        <v>12570</v>
      </c>
      <c r="C68" s="21" t="s">
        <v>8</v>
      </c>
      <c r="D68" s="21" t="s">
        <v>1430</v>
      </c>
      <c r="E68" s="21" t="s">
        <v>9</v>
      </c>
      <c r="F68" s="5812">
        <v>3</v>
      </c>
      <c r="G68" s="5813">
        <v>0.20833333333333334</v>
      </c>
      <c r="H68" s="21" t="s">
        <v>10</v>
      </c>
      <c r="I68" s="21" t="s">
        <v>400</v>
      </c>
      <c r="J68" s="21" t="s">
        <v>592</v>
      </c>
      <c r="K68" s="5814" t="s">
        <v>12571</v>
      </c>
    </row>
    <row r="69" spans="1:11">
      <c r="A69" s="21" t="s">
        <v>2387</v>
      </c>
      <c r="B69" s="21" t="s">
        <v>12572</v>
      </c>
      <c r="C69" s="21" t="s">
        <v>22</v>
      </c>
      <c r="D69" s="21" t="s">
        <v>1430</v>
      </c>
      <c r="E69" s="21" t="s">
        <v>9</v>
      </c>
      <c r="F69" s="5812">
        <v>3</v>
      </c>
      <c r="G69" s="5813">
        <v>0.20833333333333334</v>
      </c>
      <c r="H69" s="21" t="s">
        <v>10</v>
      </c>
      <c r="I69" s="21" t="s">
        <v>11</v>
      </c>
      <c r="J69" s="21" t="s">
        <v>12573</v>
      </c>
      <c r="K69" s="5814" t="s">
        <v>12574</v>
      </c>
    </row>
    <row r="70" spans="1:11">
      <c r="A70" s="21" t="s">
        <v>2391</v>
      </c>
      <c r="B70" s="21" t="s">
        <v>12575</v>
      </c>
      <c r="C70" s="21" t="s">
        <v>22</v>
      </c>
      <c r="D70" s="21" t="s">
        <v>1430</v>
      </c>
      <c r="E70" s="21" t="s">
        <v>9</v>
      </c>
      <c r="F70" s="5812">
        <v>3</v>
      </c>
      <c r="G70" s="5813">
        <v>0.20833333333333334</v>
      </c>
      <c r="H70" s="21" t="s">
        <v>10</v>
      </c>
      <c r="I70" s="21" t="s">
        <v>39</v>
      </c>
      <c r="J70" s="21" t="s">
        <v>12576</v>
      </c>
      <c r="K70" s="5814" t="s">
        <v>12577</v>
      </c>
    </row>
    <row r="71" spans="1:11">
      <c r="A71" s="21" t="s">
        <v>2053</v>
      </c>
      <c r="B71" s="21" t="s">
        <v>12578</v>
      </c>
      <c r="C71" s="21" t="s">
        <v>8</v>
      </c>
      <c r="D71" s="21" t="s">
        <v>1430</v>
      </c>
      <c r="E71" s="21" t="s">
        <v>9</v>
      </c>
      <c r="F71" s="5812">
        <v>3</v>
      </c>
      <c r="G71" s="5813">
        <v>0.20833333333333334</v>
      </c>
      <c r="H71" s="21" t="s">
        <v>10</v>
      </c>
      <c r="I71" s="21" t="s">
        <v>96</v>
      </c>
      <c r="J71" s="21" t="s">
        <v>12579</v>
      </c>
      <c r="K71" s="5814" t="s">
        <v>12580</v>
      </c>
    </row>
    <row r="72" spans="1:11">
      <c r="A72" s="21" t="s">
        <v>3409</v>
      </c>
      <c r="B72" s="21" t="s">
        <v>12581</v>
      </c>
      <c r="C72" s="21" t="s">
        <v>22</v>
      </c>
      <c r="D72" s="21" t="s">
        <v>1430</v>
      </c>
      <c r="E72" s="21" t="s">
        <v>9</v>
      </c>
      <c r="F72" s="5812">
        <v>3</v>
      </c>
      <c r="G72" s="5813">
        <v>0.20833333333333334</v>
      </c>
      <c r="H72" s="21" t="s">
        <v>10</v>
      </c>
      <c r="I72" s="21" t="s">
        <v>654</v>
      </c>
      <c r="J72" s="21" t="s">
        <v>12582</v>
      </c>
      <c r="K72" s="5814" t="s">
        <v>12583</v>
      </c>
    </row>
    <row r="73" spans="1:11">
      <c r="A73" s="21" t="s">
        <v>2424</v>
      </c>
      <c r="B73" s="21" t="s">
        <v>12584</v>
      </c>
      <c r="C73" s="21" t="s">
        <v>22</v>
      </c>
      <c r="D73" s="21" t="s">
        <v>1430</v>
      </c>
      <c r="E73" s="21" t="s">
        <v>9</v>
      </c>
      <c r="F73" s="5812">
        <v>3</v>
      </c>
      <c r="G73" s="5813">
        <v>0.20833333333333334</v>
      </c>
      <c r="H73" s="21" t="s">
        <v>10</v>
      </c>
      <c r="I73" s="21" t="s">
        <v>23</v>
      </c>
      <c r="J73" s="21" t="s">
        <v>12585</v>
      </c>
      <c r="K73" s="5814" t="s">
        <v>12586</v>
      </c>
    </row>
    <row r="74" spans="1:11">
      <c r="A74" s="21" t="s">
        <v>3183</v>
      </c>
      <c r="B74" s="21" t="s">
        <v>12587</v>
      </c>
      <c r="C74" s="21" t="s">
        <v>8</v>
      </c>
      <c r="D74" s="21" t="s">
        <v>1430</v>
      </c>
      <c r="E74" s="21" t="s">
        <v>9</v>
      </c>
      <c r="F74" s="5812">
        <v>3</v>
      </c>
      <c r="G74" s="5813">
        <v>0.20833333333333334</v>
      </c>
      <c r="H74" s="21" t="s">
        <v>10</v>
      </c>
      <c r="I74" s="21" t="s">
        <v>39</v>
      </c>
      <c r="J74" s="21" t="s">
        <v>12588</v>
      </c>
      <c r="K74" s="5814" t="s">
        <v>12589</v>
      </c>
    </row>
    <row r="75" spans="1:11">
      <c r="A75" s="21" t="s">
        <v>2428</v>
      </c>
      <c r="B75" s="21" t="s">
        <v>12590</v>
      </c>
      <c r="C75" s="21" t="s">
        <v>22</v>
      </c>
      <c r="D75" s="21" t="s">
        <v>1430</v>
      </c>
      <c r="E75" s="21" t="s">
        <v>9</v>
      </c>
      <c r="F75" s="5812">
        <v>3</v>
      </c>
      <c r="G75" s="5813">
        <v>0.20833333333333334</v>
      </c>
      <c r="H75" s="21" t="s">
        <v>10</v>
      </c>
      <c r="I75" s="21" t="s">
        <v>96</v>
      </c>
      <c r="J75" s="21" t="s">
        <v>12591</v>
      </c>
      <c r="K75" s="5814" t="s">
        <v>12592</v>
      </c>
    </row>
    <row r="76" spans="1:11">
      <c r="A76" s="21" t="s">
        <v>2433</v>
      </c>
      <c r="B76" s="21" t="s">
        <v>12593</v>
      </c>
      <c r="C76" s="21" t="s">
        <v>8</v>
      </c>
      <c r="D76" s="21" t="s">
        <v>1430</v>
      </c>
      <c r="E76" s="21" t="s">
        <v>9</v>
      </c>
      <c r="F76" s="5812">
        <v>3</v>
      </c>
      <c r="G76" s="5813">
        <v>0.20833333333333334</v>
      </c>
      <c r="H76" s="21" t="s">
        <v>10</v>
      </c>
      <c r="I76" s="21" t="s">
        <v>11</v>
      </c>
      <c r="J76" s="21" t="s">
        <v>12594</v>
      </c>
      <c r="K76" s="5814" t="s">
        <v>12595</v>
      </c>
    </row>
    <row r="77" spans="1:11">
      <c r="A77" s="21" t="s">
        <v>2446</v>
      </c>
      <c r="B77" s="21" t="s">
        <v>12596</v>
      </c>
      <c r="C77" s="21" t="s">
        <v>22</v>
      </c>
      <c r="D77" s="21" t="s">
        <v>1430</v>
      </c>
      <c r="E77" s="21" t="s">
        <v>9</v>
      </c>
      <c r="F77" s="5812">
        <v>3</v>
      </c>
      <c r="G77" s="5813">
        <v>0.20833333333333334</v>
      </c>
      <c r="H77" s="21" t="s">
        <v>10</v>
      </c>
      <c r="I77" s="21" t="s">
        <v>39</v>
      </c>
      <c r="J77" s="21" t="s">
        <v>12597</v>
      </c>
      <c r="K77" s="5814" t="s">
        <v>12598</v>
      </c>
    </row>
    <row r="78" spans="1:11">
      <c r="A78" s="21" t="s">
        <v>2897</v>
      </c>
      <c r="B78" s="21" t="s">
        <v>12599</v>
      </c>
      <c r="C78" s="21" t="s">
        <v>8</v>
      </c>
      <c r="D78" s="21" t="s">
        <v>1430</v>
      </c>
      <c r="E78" s="21" t="s">
        <v>9</v>
      </c>
      <c r="F78" s="5812">
        <v>3</v>
      </c>
      <c r="G78" s="5813">
        <v>0.20833333333333334</v>
      </c>
      <c r="H78" s="21" t="s">
        <v>10</v>
      </c>
      <c r="I78" s="21" t="s">
        <v>23</v>
      </c>
      <c r="J78" s="21" t="s">
        <v>12600</v>
      </c>
      <c r="K78" s="5814" t="s">
        <v>12601</v>
      </c>
    </row>
    <row r="79" spans="1:11">
      <c r="A79" s="21" t="s">
        <v>2104</v>
      </c>
      <c r="B79" s="21" t="s">
        <v>12602</v>
      </c>
      <c r="C79" s="21" t="s">
        <v>22</v>
      </c>
      <c r="D79" s="21" t="s">
        <v>1430</v>
      </c>
      <c r="E79" s="21" t="s">
        <v>9</v>
      </c>
      <c r="F79" s="5812">
        <v>3</v>
      </c>
      <c r="G79" s="5813">
        <v>0.20833333333333334</v>
      </c>
      <c r="H79" s="21" t="s">
        <v>10</v>
      </c>
      <c r="I79" s="21" t="s">
        <v>55</v>
      </c>
      <c r="J79" s="21" t="s">
        <v>12603</v>
      </c>
      <c r="K79" s="5814" t="s">
        <v>12604</v>
      </c>
    </row>
    <row r="80" spans="1:11">
      <c r="A80" s="21" t="s">
        <v>2104</v>
      </c>
      <c r="B80" s="21" t="s">
        <v>12605</v>
      </c>
      <c r="C80" s="21" t="s">
        <v>8</v>
      </c>
      <c r="D80" s="21" t="s">
        <v>1430</v>
      </c>
      <c r="E80" s="21" t="s">
        <v>9</v>
      </c>
      <c r="F80" s="5812">
        <v>3</v>
      </c>
      <c r="G80" s="5813">
        <v>0.20833333333333334</v>
      </c>
      <c r="H80" s="21" t="s">
        <v>10</v>
      </c>
      <c r="I80" s="21" t="s">
        <v>39</v>
      </c>
      <c r="J80" s="21" t="s">
        <v>12606</v>
      </c>
      <c r="K80" s="5814" t="s">
        <v>12607</v>
      </c>
    </row>
    <row r="81" spans="1:11">
      <c r="A81" s="21" t="s">
        <v>3974</v>
      </c>
      <c r="B81" s="21" t="s">
        <v>12608</v>
      </c>
      <c r="C81" s="21" t="s">
        <v>8</v>
      </c>
      <c r="D81" s="21" t="s">
        <v>1430</v>
      </c>
      <c r="E81" s="21" t="s">
        <v>9</v>
      </c>
      <c r="F81" s="5812">
        <v>3</v>
      </c>
      <c r="G81" s="5813">
        <v>0.20833333333333334</v>
      </c>
      <c r="H81" s="21" t="s">
        <v>10</v>
      </c>
      <c r="I81" s="21" t="s">
        <v>2544</v>
      </c>
      <c r="J81" s="21" t="s">
        <v>12609</v>
      </c>
      <c r="K81" s="5814" t="s">
        <v>12610</v>
      </c>
    </row>
    <row r="82" spans="1:11">
      <c r="A82" s="21" t="s">
        <v>2467</v>
      </c>
      <c r="B82" s="21" t="s">
        <v>12611</v>
      </c>
      <c r="C82" s="21" t="s">
        <v>8</v>
      </c>
      <c r="D82" s="21" t="s">
        <v>1430</v>
      </c>
      <c r="E82" s="21" t="s">
        <v>9</v>
      </c>
      <c r="F82" s="5812">
        <v>3</v>
      </c>
      <c r="G82" s="5813">
        <v>0.20833333333333334</v>
      </c>
      <c r="H82" s="21" t="s">
        <v>10</v>
      </c>
      <c r="I82" s="21" t="s">
        <v>11</v>
      </c>
      <c r="J82" s="21" t="s">
        <v>12612</v>
      </c>
      <c r="K82" s="5814" t="s">
        <v>12613</v>
      </c>
    </row>
    <row r="83" spans="1:11">
      <c r="A83" s="21" t="s">
        <v>2467</v>
      </c>
      <c r="B83" s="21" t="s">
        <v>12614</v>
      </c>
      <c r="C83" s="21" t="s">
        <v>22</v>
      </c>
      <c r="D83" s="21" t="s">
        <v>1430</v>
      </c>
      <c r="E83" s="21" t="s">
        <v>9</v>
      </c>
      <c r="F83" s="5812">
        <v>3</v>
      </c>
      <c r="G83" s="5813">
        <v>0.20833333333333334</v>
      </c>
      <c r="H83" s="21" t="s">
        <v>10</v>
      </c>
      <c r="I83" s="21" t="s">
        <v>96</v>
      </c>
      <c r="J83" s="21" t="s">
        <v>12615</v>
      </c>
      <c r="K83" s="5814" t="s">
        <v>12616</v>
      </c>
    </row>
    <row r="84" spans="1:11">
      <c r="A84" s="21" t="s">
        <v>2115</v>
      </c>
      <c r="B84" s="21" t="s">
        <v>12617</v>
      </c>
      <c r="C84" s="21" t="s">
        <v>8</v>
      </c>
      <c r="D84" s="21" t="s">
        <v>1430</v>
      </c>
      <c r="E84" s="21" t="s">
        <v>9</v>
      </c>
      <c r="F84" s="5812">
        <v>3</v>
      </c>
      <c r="G84" s="5813">
        <v>0.20833333333333334</v>
      </c>
      <c r="H84" s="21" t="s">
        <v>10</v>
      </c>
      <c r="I84" s="21" t="s">
        <v>89</v>
      </c>
      <c r="J84" s="21" t="s">
        <v>12618</v>
      </c>
      <c r="K84" s="5814" t="s">
        <v>12619</v>
      </c>
    </row>
    <row r="85" spans="1:11">
      <c r="A85" s="21" t="s">
        <v>3643</v>
      </c>
      <c r="B85" s="21" t="s">
        <v>12620</v>
      </c>
      <c r="C85" s="21" t="s">
        <v>8</v>
      </c>
      <c r="D85" s="21" t="s">
        <v>1430</v>
      </c>
      <c r="E85" s="21" t="s">
        <v>9</v>
      </c>
      <c r="F85" s="5812">
        <v>3</v>
      </c>
      <c r="G85" s="5813">
        <v>0.20833333333333334</v>
      </c>
      <c r="H85" s="21" t="s">
        <v>10</v>
      </c>
      <c r="I85" s="21" t="s">
        <v>11</v>
      </c>
      <c r="J85" s="21" t="s">
        <v>12621</v>
      </c>
      <c r="K85" s="5814" t="s">
        <v>12622</v>
      </c>
    </row>
    <row r="86" spans="1:11">
      <c r="A86" s="21" t="s">
        <v>2057</v>
      </c>
      <c r="B86" s="21" t="s">
        <v>12623</v>
      </c>
      <c r="C86" s="21" t="s">
        <v>8</v>
      </c>
      <c r="D86" s="21" t="s">
        <v>1430</v>
      </c>
      <c r="E86" s="21" t="s">
        <v>9</v>
      </c>
      <c r="F86" s="5812">
        <v>3</v>
      </c>
      <c r="G86" s="5813">
        <v>0.20833333333333334</v>
      </c>
      <c r="H86" s="21" t="s">
        <v>10</v>
      </c>
      <c r="I86" s="21" t="s">
        <v>11</v>
      </c>
      <c r="J86" s="21" t="s">
        <v>12624</v>
      </c>
      <c r="K86" s="5814" t="s">
        <v>12625</v>
      </c>
    </row>
    <row r="87" spans="1:11">
      <c r="A87" s="21" t="s">
        <v>2499</v>
      </c>
      <c r="B87" s="21" t="s">
        <v>12626</v>
      </c>
      <c r="C87" s="21" t="s">
        <v>8</v>
      </c>
      <c r="D87" s="21" t="s">
        <v>1430</v>
      </c>
      <c r="E87" s="21" t="s">
        <v>9</v>
      </c>
      <c r="F87" s="5812">
        <v>3</v>
      </c>
      <c r="G87" s="5813">
        <v>0.20833333333333334</v>
      </c>
      <c r="H87" s="21" t="s">
        <v>10</v>
      </c>
      <c r="I87" s="21" t="s">
        <v>96</v>
      </c>
      <c r="J87" s="21" t="s">
        <v>7321</v>
      </c>
      <c r="K87" s="5814" t="s">
        <v>12627</v>
      </c>
    </row>
    <row r="88" spans="1:11">
      <c r="A88" s="21" t="s">
        <v>2969</v>
      </c>
      <c r="B88" s="21" t="s">
        <v>12628</v>
      </c>
      <c r="C88" s="21" t="s">
        <v>22</v>
      </c>
      <c r="D88" s="21" t="s">
        <v>1430</v>
      </c>
      <c r="E88" s="21" t="s">
        <v>9</v>
      </c>
      <c r="F88" s="5812">
        <v>3</v>
      </c>
      <c r="G88" s="5813">
        <v>0.20833333333333334</v>
      </c>
      <c r="H88" s="21" t="s">
        <v>10</v>
      </c>
      <c r="I88" s="21" t="s">
        <v>39</v>
      </c>
      <c r="J88" s="21" t="s">
        <v>12629</v>
      </c>
      <c r="K88" s="5814" t="s">
        <v>12630</v>
      </c>
    </row>
    <row r="89" spans="1:11">
      <c r="A89" s="21" t="s">
        <v>3134</v>
      </c>
      <c r="B89" s="21" t="s">
        <v>12631</v>
      </c>
      <c r="C89" s="21" t="s">
        <v>8</v>
      </c>
      <c r="D89" s="21" t="s">
        <v>1430</v>
      </c>
      <c r="E89" s="21" t="s">
        <v>9</v>
      </c>
      <c r="F89" s="5812">
        <v>3</v>
      </c>
      <c r="G89" s="5813">
        <v>0.20833333333333334</v>
      </c>
      <c r="H89" s="21" t="s">
        <v>10</v>
      </c>
      <c r="I89" s="21" t="s">
        <v>89</v>
      </c>
      <c r="J89" s="21" t="s">
        <v>12632</v>
      </c>
      <c r="K89" s="5814" t="s">
        <v>12633</v>
      </c>
    </row>
    <row r="90" spans="1:11">
      <c r="A90" s="21" t="s">
        <v>3134</v>
      </c>
      <c r="B90" s="21" t="s">
        <v>12634</v>
      </c>
      <c r="C90" s="21" t="s">
        <v>22</v>
      </c>
      <c r="D90" s="21" t="s">
        <v>1430</v>
      </c>
      <c r="E90" s="21" t="s">
        <v>9</v>
      </c>
      <c r="F90" s="5812">
        <v>3</v>
      </c>
      <c r="G90" s="5813">
        <v>0.20833333333333334</v>
      </c>
      <c r="H90" s="21" t="s">
        <v>10</v>
      </c>
      <c r="I90" s="21" t="s">
        <v>89</v>
      </c>
      <c r="J90" s="21" t="s">
        <v>12635</v>
      </c>
      <c r="K90" s="5814" t="s">
        <v>12636</v>
      </c>
    </row>
    <row r="91" spans="1:11">
      <c r="A91" s="21" t="s">
        <v>4047</v>
      </c>
      <c r="B91" s="21" t="s">
        <v>12637</v>
      </c>
      <c r="C91" s="21" t="s">
        <v>8</v>
      </c>
      <c r="D91" s="21" t="s">
        <v>1430</v>
      </c>
      <c r="E91" s="21" t="s">
        <v>9</v>
      </c>
      <c r="F91" s="5812">
        <v>3</v>
      </c>
      <c r="G91" s="5813">
        <v>0.20833333333333334</v>
      </c>
      <c r="H91" s="21" t="s">
        <v>10</v>
      </c>
      <c r="I91" s="21" t="s">
        <v>96</v>
      </c>
      <c r="J91" s="21" t="s">
        <v>11607</v>
      </c>
      <c r="K91" s="5814" t="s">
        <v>12638</v>
      </c>
    </row>
    <row r="92" spans="1:11">
      <c r="A92" s="21" t="s">
        <v>2127</v>
      </c>
      <c r="B92" s="21" t="s">
        <v>12639</v>
      </c>
      <c r="C92" s="21" t="s">
        <v>8</v>
      </c>
      <c r="D92" s="21" t="s">
        <v>1430</v>
      </c>
      <c r="E92" s="21" t="s">
        <v>9</v>
      </c>
      <c r="F92" s="5812">
        <v>3</v>
      </c>
      <c r="G92" s="5813">
        <v>0.20833333333333334</v>
      </c>
      <c r="H92" s="21" t="s">
        <v>10</v>
      </c>
      <c r="I92" s="21" t="s">
        <v>96</v>
      </c>
      <c r="J92" s="21" t="s">
        <v>12640</v>
      </c>
      <c r="K92" s="5814" t="s">
        <v>12641</v>
      </c>
    </row>
    <row r="93" spans="1:11">
      <c r="A93" s="21" t="s">
        <v>2127</v>
      </c>
      <c r="B93" s="21" t="s">
        <v>12642</v>
      </c>
      <c r="C93" s="21" t="s">
        <v>22</v>
      </c>
      <c r="D93" s="21" t="s">
        <v>1430</v>
      </c>
      <c r="E93" s="21" t="s">
        <v>9</v>
      </c>
      <c r="F93" s="5812">
        <v>3</v>
      </c>
      <c r="G93" s="5813">
        <v>0.20833333333333334</v>
      </c>
      <c r="H93" s="21" t="s">
        <v>10</v>
      </c>
      <c r="I93" s="21" t="s">
        <v>96</v>
      </c>
      <c r="J93" s="21" t="s">
        <v>12134</v>
      </c>
      <c r="K93" s="5814" t="s">
        <v>12643</v>
      </c>
    </row>
    <row r="94" spans="1:11">
      <c r="A94" s="21" t="s">
        <v>2127</v>
      </c>
      <c r="B94" s="21" t="s">
        <v>12644</v>
      </c>
      <c r="C94" s="21" t="s">
        <v>22</v>
      </c>
      <c r="D94" s="21" t="s">
        <v>1430</v>
      </c>
      <c r="E94" s="21" t="s">
        <v>9</v>
      </c>
      <c r="F94" s="5812">
        <v>3</v>
      </c>
      <c r="G94" s="5813">
        <v>0.20833333333333334</v>
      </c>
      <c r="H94" s="21" t="s">
        <v>10</v>
      </c>
      <c r="I94" s="21" t="s">
        <v>39</v>
      </c>
      <c r="J94" s="21" t="s">
        <v>12645</v>
      </c>
      <c r="K94" s="5814" t="s">
        <v>12646</v>
      </c>
    </row>
    <row r="95" spans="1:11">
      <c r="A95" s="21" t="s">
        <v>2513</v>
      </c>
      <c r="B95" s="21" t="s">
        <v>12647</v>
      </c>
      <c r="C95" s="21" t="s">
        <v>22</v>
      </c>
      <c r="D95" s="21" t="s">
        <v>1430</v>
      </c>
      <c r="E95" s="21" t="s">
        <v>9</v>
      </c>
      <c r="F95" s="5812">
        <v>3</v>
      </c>
      <c r="G95" s="5813">
        <v>0.20833333333333334</v>
      </c>
      <c r="H95" s="21" t="s">
        <v>10</v>
      </c>
      <c r="I95" s="21" t="s">
        <v>96</v>
      </c>
      <c r="J95" s="21" t="s">
        <v>1420</v>
      </c>
      <c r="K95" s="5814" t="s">
        <v>12648</v>
      </c>
    </row>
    <row r="96" spans="1:11">
      <c r="A96" s="21" t="s">
        <v>2521</v>
      </c>
      <c r="B96" s="21" t="s">
        <v>12649</v>
      </c>
      <c r="C96" s="21" t="s">
        <v>8</v>
      </c>
      <c r="D96" s="21" t="s">
        <v>1430</v>
      </c>
      <c r="E96" s="21" t="s">
        <v>9</v>
      </c>
      <c r="F96" s="5812">
        <v>3</v>
      </c>
      <c r="G96" s="5813">
        <v>0.20833333333333334</v>
      </c>
      <c r="H96" s="21" t="s">
        <v>10</v>
      </c>
      <c r="I96" s="21" t="s">
        <v>47</v>
      </c>
      <c r="J96" s="21" t="s">
        <v>12650</v>
      </c>
      <c r="K96" s="5814" t="s">
        <v>12651</v>
      </c>
    </row>
    <row r="97" spans="1:11">
      <c r="A97" s="21" t="s">
        <v>2291</v>
      </c>
      <c r="B97" s="21" t="s">
        <v>12652</v>
      </c>
      <c r="C97" s="21" t="s">
        <v>8</v>
      </c>
      <c r="D97" s="21" t="s">
        <v>1430</v>
      </c>
      <c r="E97" s="21" t="s">
        <v>9</v>
      </c>
      <c r="F97" s="5812">
        <v>3</v>
      </c>
      <c r="G97" s="5813">
        <v>0.20833333333333334</v>
      </c>
      <c r="H97" s="21" t="s">
        <v>10</v>
      </c>
      <c r="I97" s="21" t="s">
        <v>96</v>
      </c>
      <c r="J97" s="21" t="s">
        <v>12653</v>
      </c>
      <c r="K97" s="5814" t="s">
        <v>12654</v>
      </c>
    </row>
    <row r="98" spans="1:11">
      <c r="A98" s="21" t="s">
        <v>2530</v>
      </c>
      <c r="B98" s="21" t="s">
        <v>12655</v>
      </c>
      <c r="C98" s="21" t="s">
        <v>22</v>
      </c>
      <c r="D98" s="21" t="s">
        <v>1430</v>
      </c>
      <c r="E98" s="21" t="s">
        <v>9</v>
      </c>
      <c r="F98" s="5812">
        <v>3</v>
      </c>
      <c r="G98" s="5813">
        <v>0.20833333333333334</v>
      </c>
      <c r="H98" s="21" t="s">
        <v>10</v>
      </c>
      <c r="I98" s="21" t="s">
        <v>39</v>
      </c>
      <c r="J98" s="21" t="s">
        <v>12656</v>
      </c>
      <c r="K98" s="5814" t="s">
        <v>12657</v>
      </c>
    </row>
    <row r="99" spans="1:11">
      <c r="A99" s="21" t="s">
        <v>3597</v>
      </c>
      <c r="B99" s="21" t="s">
        <v>12658</v>
      </c>
      <c r="C99" s="21" t="s">
        <v>8</v>
      </c>
      <c r="D99" s="21" t="s">
        <v>1430</v>
      </c>
      <c r="E99" s="21" t="s">
        <v>9</v>
      </c>
      <c r="F99" s="5812">
        <v>3</v>
      </c>
      <c r="G99" s="5813">
        <v>0.20833333333333334</v>
      </c>
      <c r="H99" s="21" t="s">
        <v>10</v>
      </c>
      <c r="I99" s="21" t="s">
        <v>39</v>
      </c>
      <c r="J99" s="21" t="s">
        <v>12632</v>
      </c>
      <c r="K99" s="5814" t="s">
        <v>12659</v>
      </c>
    </row>
    <row r="100" spans="1:11">
      <c r="A100" s="21" t="s">
        <v>2065</v>
      </c>
      <c r="B100" s="21" t="s">
        <v>12660</v>
      </c>
      <c r="C100" s="21" t="s">
        <v>8</v>
      </c>
      <c r="D100" s="21" t="s">
        <v>1430</v>
      </c>
      <c r="E100" s="21" t="s">
        <v>9</v>
      </c>
      <c r="F100" s="5812">
        <v>3</v>
      </c>
      <c r="G100" s="5813">
        <v>0.20833333333333334</v>
      </c>
      <c r="H100" s="21" t="s">
        <v>10</v>
      </c>
      <c r="I100" s="21" t="s">
        <v>2747</v>
      </c>
      <c r="J100" s="21" t="s">
        <v>12661</v>
      </c>
      <c r="K100" s="5814" t="s">
        <v>12662</v>
      </c>
    </row>
    <row r="101" spans="1:11">
      <c r="A101" s="21" t="s">
        <v>4565</v>
      </c>
      <c r="B101" s="21" t="s">
        <v>12663</v>
      </c>
      <c r="C101" s="21" t="s">
        <v>22</v>
      </c>
      <c r="D101" s="21" t="s">
        <v>1430</v>
      </c>
      <c r="E101" s="21" t="s">
        <v>9</v>
      </c>
      <c r="F101" s="5812">
        <v>3</v>
      </c>
      <c r="G101" s="5813">
        <v>0.20833333333333334</v>
      </c>
      <c r="H101" s="21" t="s">
        <v>10</v>
      </c>
      <c r="I101" s="21" t="s">
        <v>6556</v>
      </c>
      <c r="J101" s="21" t="s">
        <v>12664</v>
      </c>
      <c r="K101" s="5814" t="s">
        <v>12665</v>
      </c>
    </row>
    <row r="102" spans="1:11">
      <c r="A102" s="21" t="s">
        <v>4565</v>
      </c>
      <c r="B102" s="21" t="s">
        <v>12666</v>
      </c>
      <c r="C102" s="21" t="s">
        <v>22</v>
      </c>
      <c r="D102" s="21" t="s">
        <v>1430</v>
      </c>
      <c r="E102" s="21" t="s">
        <v>9</v>
      </c>
      <c r="F102" s="5812">
        <v>3</v>
      </c>
      <c r="G102" s="5813">
        <v>0.20833333333333334</v>
      </c>
      <c r="H102" s="21" t="s">
        <v>10</v>
      </c>
      <c r="I102" s="21" t="s">
        <v>3534</v>
      </c>
      <c r="J102" s="21" t="s">
        <v>12667</v>
      </c>
      <c r="K102" s="5814" t="s">
        <v>12668</v>
      </c>
    </row>
    <row r="103" spans="1:11">
      <c r="A103" s="21" t="s">
        <v>3208</v>
      </c>
      <c r="B103" s="21" t="s">
        <v>12669</v>
      </c>
      <c r="C103" s="21" t="s">
        <v>22</v>
      </c>
      <c r="D103" s="21" t="s">
        <v>1430</v>
      </c>
      <c r="E103" s="21" t="s">
        <v>9</v>
      </c>
      <c r="F103" s="5812">
        <v>3</v>
      </c>
      <c r="G103" s="5813">
        <v>0.20833333333333334</v>
      </c>
      <c r="H103" s="21" t="s">
        <v>10</v>
      </c>
      <c r="I103" s="21" t="s">
        <v>5994</v>
      </c>
      <c r="J103" s="21" t="s">
        <v>12670</v>
      </c>
      <c r="K103" s="5814" t="s">
        <v>12671</v>
      </c>
    </row>
    <row r="104" spans="1:11">
      <c r="A104" s="21" t="s">
        <v>2169</v>
      </c>
      <c r="B104" s="21" t="s">
        <v>12672</v>
      </c>
      <c r="C104" s="21" t="s">
        <v>8</v>
      </c>
      <c r="D104" s="21" t="s">
        <v>1430</v>
      </c>
      <c r="E104" s="21" t="s">
        <v>9</v>
      </c>
      <c r="F104" s="5812">
        <v>3</v>
      </c>
      <c r="G104" s="5813">
        <v>0.20833333333333334</v>
      </c>
      <c r="H104" s="21" t="s">
        <v>10</v>
      </c>
      <c r="I104" s="21" t="s">
        <v>96</v>
      </c>
      <c r="J104" s="21" t="s">
        <v>12673</v>
      </c>
      <c r="K104" s="5814" t="s">
        <v>12674</v>
      </c>
    </row>
    <row r="105" spans="1:11">
      <c r="A105" s="21" t="s">
        <v>2174</v>
      </c>
      <c r="B105" s="21" t="s">
        <v>12675</v>
      </c>
      <c r="C105" s="21" t="s">
        <v>22</v>
      </c>
      <c r="D105" s="21" t="s">
        <v>1430</v>
      </c>
      <c r="E105" s="21" t="s">
        <v>9</v>
      </c>
      <c r="F105" s="5812">
        <v>3</v>
      </c>
      <c r="G105" s="5813">
        <v>0.20833333333333334</v>
      </c>
      <c r="H105" s="21" t="s">
        <v>10</v>
      </c>
      <c r="I105" s="21" t="s">
        <v>788</v>
      </c>
      <c r="J105" s="21" t="s">
        <v>12676</v>
      </c>
      <c r="K105" s="5814" t="s">
        <v>12677</v>
      </c>
    </row>
    <row r="106" spans="1:11">
      <c r="A106" s="21" t="s">
        <v>2595</v>
      </c>
      <c r="B106" s="21" t="s">
        <v>12678</v>
      </c>
      <c r="C106" s="21" t="s">
        <v>22</v>
      </c>
      <c r="D106" s="21" t="s">
        <v>1430</v>
      </c>
      <c r="E106" s="21" t="s">
        <v>9</v>
      </c>
      <c r="F106" s="5812">
        <v>3</v>
      </c>
      <c r="G106" s="5813">
        <v>0.20833333333333334</v>
      </c>
      <c r="H106" s="21" t="s">
        <v>10</v>
      </c>
      <c r="I106" s="21" t="s">
        <v>96</v>
      </c>
      <c r="J106" s="21" t="s">
        <v>12679</v>
      </c>
      <c r="K106" s="5814" t="s">
        <v>12680</v>
      </c>
    </row>
    <row r="107" spans="1:11">
      <c r="A107" s="21" t="s">
        <v>2985</v>
      </c>
      <c r="B107" s="21" t="s">
        <v>12681</v>
      </c>
      <c r="C107" s="21" t="s">
        <v>8</v>
      </c>
      <c r="D107" s="21" t="s">
        <v>1430</v>
      </c>
      <c r="E107" s="21" t="s">
        <v>9</v>
      </c>
      <c r="F107" s="5812">
        <v>3</v>
      </c>
      <c r="G107" s="5813">
        <v>0.20833333333333334</v>
      </c>
      <c r="H107" s="21" t="s">
        <v>10</v>
      </c>
      <c r="I107" s="21" t="s">
        <v>96</v>
      </c>
      <c r="J107" s="21" t="s">
        <v>10395</v>
      </c>
      <c r="K107" s="5814" t="s">
        <v>12682</v>
      </c>
    </row>
    <row r="108" spans="1:11">
      <c r="A108" s="21" t="s">
        <v>2605</v>
      </c>
      <c r="B108" s="21" t="s">
        <v>12683</v>
      </c>
      <c r="C108" s="21" t="s">
        <v>8</v>
      </c>
      <c r="D108" s="21" t="s">
        <v>1430</v>
      </c>
      <c r="E108" s="21" t="s">
        <v>9</v>
      </c>
      <c r="F108" s="5812">
        <v>3</v>
      </c>
      <c r="G108" s="5813">
        <v>0.20833333333333334</v>
      </c>
      <c r="H108" s="21" t="s">
        <v>10</v>
      </c>
      <c r="I108" s="21" t="s">
        <v>263</v>
      </c>
      <c r="J108" s="21" t="s">
        <v>12684</v>
      </c>
      <c r="K108" s="5814" t="s">
        <v>12685</v>
      </c>
    </row>
    <row r="109" spans="1:11">
      <c r="A109" s="21" t="s">
        <v>2609</v>
      </c>
      <c r="B109" s="21" t="s">
        <v>12686</v>
      </c>
      <c r="C109" s="21" t="s">
        <v>8</v>
      </c>
      <c r="D109" s="21" t="s">
        <v>1430</v>
      </c>
      <c r="E109" s="21" t="s">
        <v>9</v>
      </c>
      <c r="F109" s="5812">
        <v>3</v>
      </c>
      <c r="G109" s="5813">
        <v>0.20833333333333334</v>
      </c>
      <c r="H109" s="21" t="s">
        <v>10</v>
      </c>
      <c r="I109" s="21" t="s">
        <v>2665</v>
      </c>
      <c r="J109" s="21" t="s">
        <v>12687</v>
      </c>
      <c r="K109" s="5814" t="s">
        <v>12688</v>
      </c>
    </row>
    <row r="110" spans="1:11">
      <c r="A110" s="21" t="s">
        <v>2609</v>
      </c>
      <c r="B110" s="21" t="s">
        <v>12689</v>
      </c>
      <c r="C110" s="21" t="s">
        <v>22</v>
      </c>
      <c r="D110" s="21" t="s">
        <v>1430</v>
      </c>
      <c r="E110" s="21" t="s">
        <v>9</v>
      </c>
      <c r="F110" s="5812">
        <v>3</v>
      </c>
      <c r="G110" s="5813">
        <v>0.20833333333333334</v>
      </c>
      <c r="H110" s="21" t="s">
        <v>10</v>
      </c>
      <c r="I110" s="21" t="s">
        <v>187</v>
      </c>
      <c r="J110" s="21" t="s">
        <v>12690</v>
      </c>
      <c r="K110" s="5814" t="s">
        <v>12691</v>
      </c>
    </row>
    <row r="111" spans="1:11">
      <c r="A111" s="21" t="s">
        <v>2609</v>
      </c>
      <c r="B111" s="21" t="s">
        <v>12692</v>
      </c>
      <c r="C111" s="21" t="s">
        <v>8</v>
      </c>
      <c r="D111" s="21" t="s">
        <v>1430</v>
      </c>
      <c r="E111" s="21" t="s">
        <v>9</v>
      </c>
      <c r="F111" s="5812">
        <v>3</v>
      </c>
      <c r="G111" s="5813">
        <v>0.20833333333333334</v>
      </c>
      <c r="H111" s="21" t="s">
        <v>10</v>
      </c>
      <c r="I111" s="21" t="s">
        <v>2665</v>
      </c>
      <c r="J111" s="21" t="s">
        <v>12687</v>
      </c>
      <c r="K111" s="5814" t="s">
        <v>12693</v>
      </c>
    </row>
    <row r="112" spans="1:11">
      <c r="A112" s="21" t="s">
        <v>2184</v>
      </c>
      <c r="B112" s="21" t="s">
        <v>12694</v>
      </c>
      <c r="C112" s="21" t="s">
        <v>8</v>
      </c>
      <c r="D112" s="21" t="s">
        <v>1430</v>
      </c>
      <c r="E112" s="21" t="s">
        <v>9</v>
      </c>
      <c r="F112" s="5812">
        <v>3</v>
      </c>
      <c r="G112" s="5813">
        <v>0.20833333333333334</v>
      </c>
      <c r="H112" s="21" t="s">
        <v>10</v>
      </c>
      <c r="I112" s="21" t="s">
        <v>6929</v>
      </c>
      <c r="J112" s="21" t="s">
        <v>12695</v>
      </c>
      <c r="K112" s="5814" t="s">
        <v>12696</v>
      </c>
    </row>
    <row r="113" spans="1:11">
      <c r="A113" s="21" t="s">
        <v>2184</v>
      </c>
      <c r="B113" s="21" t="s">
        <v>12697</v>
      </c>
      <c r="C113" s="21" t="s">
        <v>8</v>
      </c>
      <c r="D113" s="21" t="s">
        <v>1430</v>
      </c>
      <c r="E113" s="21" t="s">
        <v>9</v>
      </c>
      <c r="F113" s="5812">
        <v>3</v>
      </c>
      <c r="G113" s="5813">
        <v>0.20833333333333334</v>
      </c>
      <c r="H113" s="21" t="s">
        <v>10</v>
      </c>
      <c r="I113" s="21" t="s">
        <v>6929</v>
      </c>
      <c r="J113" s="21" t="s">
        <v>12698</v>
      </c>
      <c r="K113" s="5814" t="s">
        <v>12699</v>
      </c>
    </row>
    <row r="114" spans="1:11">
      <c r="A114" s="21" t="s">
        <v>2630</v>
      </c>
      <c r="B114" s="21" t="s">
        <v>12700</v>
      </c>
      <c r="C114" s="21" t="s">
        <v>22</v>
      </c>
      <c r="D114" s="21" t="s">
        <v>1430</v>
      </c>
      <c r="E114" s="21" t="s">
        <v>9</v>
      </c>
      <c r="F114" s="5812">
        <v>3</v>
      </c>
      <c r="G114" s="5813">
        <v>0.20833333333333334</v>
      </c>
      <c r="H114" s="21" t="s">
        <v>10</v>
      </c>
      <c r="I114" s="21" t="s">
        <v>226</v>
      </c>
      <c r="J114" s="21" t="s">
        <v>12701</v>
      </c>
      <c r="K114" s="5814" t="s">
        <v>12702</v>
      </c>
    </row>
    <row r="115" spans="1:11">
      <c r="A115" s="21" t="s">
        <v>2630</v>
      </c>
      <c r="B115" s="21" t="s">
        <v>12703</v>
      </c>
      <c r="C115" s="21" t="s">
        <v>8</v>
      </c>
      <c r="D115" s="21" t="s">
        <v>1430</v>
      </c>
      <c r="E115" s="21" t="s">
        <v>9</v>
      </c>
      <c r="F115" s="5812">
        <v>3</v>
      </c>
      <c r="G115" s="5813">
        <v>0.20833333333333334</v>
      </c>
      <c r="H115" s="21" t="s">
        <v>10</v>
      </c>
      <c r="I115" s="21" t="s">
        <v>11</v>
      </c>
      <c r="J115" s="21" t="s">
        <v>12704</v>
      </c>
      <c r="K115" s="5814" t="s">
        <v>12705</v>
      </c>
    </row>
    <row r="116" spans="1:11">
      <c r="A116" s="21" t="s">
        <v>2643</v>
      </c>
      <c r="B116" s="21" t="s">
        <v>12706</v>
      </c>
      <c r="C116" s="21" t="s">
        <v>22</v>
      </c>
      <c r="D116" s="21" t="s">
        <v>1430</v>
      </c>
      <c r="E116" s="21" t="s">
        <v>9</v>
      </c>
      <c r="F116" s="5812">
        <v>3</v>
      </c>
      <c r="G116" s="5813">
        <v>0.20833333333333334</v>
      </c>
      <c r="H116" s="21" t="s">
        <v>10</v>
      </c>
      <c r="I116" s="21" t="s">
        <v>23</v>
      </c>
      <c r="J116" s="21" t="s">
        <v>12707</v>
      </c>
      <c r="K116" s="5814" t="s">
        <v>12708</v>
      </c>
    </row>
    <row r="117" spans="1:11">
      <c r="A117" s="21" t="s">
        <v>2651</v>
      </c>
      <c r="B117" s="21" t="s">
        <v>12709</v>
      </c>
      <c r="C117" s="21" t="s">
        <v>22</v>
      </c>
      <c r="D117" s="21" t="s">
        <v>1430</v>
      </c>
      <c r="E117" s="21" t="s">
        <v>9</v>
      </c>
      <c r="F117" s="5812">
        <v>3</v>
      </c>
      <c r="G117" s="5813">
        <v>0.20833333333333334</v>
      </c>
      <c r="H117" s="21" t="s">
        <v>10</v>
      </c>
      <c r="I117" s="21" t="s">
        <v>96</v>
      </c>
      <c r="J117" s="21" t="s">
        <v>12710</v>
      </c>
      <c r="K117" s="5814" t="s">
        <v>12711</v>
      </c>
    </row>
    <row r="118" spans="1:11">
      <c r="A118" s="21" t="s">
        <v>2668</v>
      </c>
      <c r="B118" s="21" t="s">
        <v>12712</v>
      </c>
      <c r="C118" s="21" t="s">
        <v>22</v>
      </c>
      <c r="D118" s="21" t="s">
        <v>1430</v>
      </c>
      <c r="E118" s="21" t="s">
        <v>9</v>
      </c>
      <c r="F118" s="5812">
        <v>3</v>
      </c>
      <c r="G118" s="5813">
        <v>0.20833333333333334</v>
      </c>
      <c r="H118" s="21" t="s">
        <v>10</v>
      </c>
      <c r="I118" s="21" t="s">
        <v>400</v>
      </c>
      <c r="J118" s="21" t="s">
        <v>12713</v>
      </c>
      <c r="K118" s="5814" t="s">
        <v>12714</v>
      </c>
    </row>
    <row r="119" spans="1:11">
      <c r="A119" s="21" t="s">
        <v>2188</v>
      </c>
      <c r="B119" s="21" t="s">
        <v>12715</v>
      </c>
      <c r="C119" s="21" t="s">
        <v>8</v>
      </c>
      <c r="D119" s="21" t="s">
        <v>1430</v>
      </c>
      <c r="E119" s="21" t="s">
        <v>9</v>
      </c>
      <c r="F119" s="5812">
        <v>3</v>
      </c>
      <c r="G119" s="5813">
        <v>0.20833333333333334</v>
      </c>
      <c r="H119" s="21" t="s">
        <v>10</v>
      </c>
      <c r="I119" s="21" t="s">
        <v>3534</v>
      </c>
      <c r="J119" s="21" t="s">
        <v>2673</v>
      </c>
      <c r="K119" s="5814" t="s">
        <v>12716</v>
      </c>
    </row>
    <row r="120" spans="1:11">
      <c r="A120" s="21" t="s">
        <v>5148</v>
      </c>
      <c r="B120" s="21" t="s">
        <v>12717</v>
      </c>
      <c r="C120" s="21" t="s">
        <v>8</v>
      </c>
      <c r="D120" s="21" t="s">
        <v>1430</v>
      </c>
      <c r="E120" s="21" t="s">
        <v>9</v>
      </c>
      <c r="F120" s="5812">
        <v>3</v>
      </c>
      <c r="G120" s="5813">
        <v>0.20833333333333334</v>
      </c>
      <c r="H120" s="21" t="s">
        <v>10</v>
      </c>
      <c r="I120" s="21" t="s">
        <v>96</v>
      </c>
      <c r="J120" s="21" t="s">
        <v>12718</v>
      </c>
      <c r="K120" s="5814" t="s">
        <v>12719</v>
      </c>
    </row>
    <row r="121" spans="1:11">
      <c r="A121" s="21" t="s">
        <v>2201</v>
      </c>
      <c r="B121" s="21" t="s">
        <v>12720</v>
      </c>
      <c r="C121" s="21" t="s">
        <v>22</v>
      </c>
      <c r="D121" s="21" t="s">
        <v>1430</v>
      </c>
      <c r="E121" s="21" t="s">
        <v>9</v>
      </c>
      <c r="F121" s="5812">
        <v>3</v>
      </c>
      <c r="G121" s="5813">
        <v>0.20833333333333334</v>
      </c>
      <c r="H121" s="21" t="s">
        <v>10</v>
      </c>
      <c r="I121" s="21" t="s">
        <v>55</v>
      </c>
      <c r="J121" s="21" t="s">
        <v>12721</v>
      </c>
      <c r="K121" s="5814" t="s">
        <v>12722</v>
      </c>
    </row>
    <row r="122" spans="1:11">
      <c r="A122" s="21" t="s">
        <v>2201</v>
      </c>
      <c r="B122" s="21" t="s">
        <v>12723</v>
      </c>
      <c r="C122" s="21" t="s">
        <v>22</v>
      </c>
      <c r="D122" s="21" t="s">
        <v>1430</v>
      </c>
      <c r="E122" s="21" t="s">
        <v>9</v>
      </c>
      <c r="F122" s="5812">
        <v>3</v>
      </c>
      <c r="G122" s="5813">
        <v>0.20833333333333334</v>
      </c>
      <c r="H122" s="21" t="s">
        <v>10</v>
      </c>
      <c r="I122" s="21" t="s">
        <v>2692</v>
      </c>
      <c r="J122" s="21" t="s">
        <v>4231</v>
      </c>
      <c r="K122" s="5814" t="s">
        <v>12724</v>
      </c>
    </row>
    <row r="123" spans="1:11">
      <c r="A123" s="21" t="s">
        <v>4233</v>
      </c>
      <c r="B123" s="21" t="s">
        <v>12725</v>
      </c>
      <c r="C123" s="21" t="s">
        <v>8</v>
      </c>
      <c r="D123" s="21" t="s">
        <v>1430</v>
      </c>
      <c r="E123" s="21" t="s">
        <v>9</v>
      </c>
      <c r="F123" s="5812">
        <v>3</v>
      </c>
      <c r="G123" s="5813">
        <v>0.20833333333333334</v>
      </c>
      <c r="H123" s="21" t="s">
        <v>10</v>
      </c>
      <c r="I123" s="21" t="s">
        <v>11</v>
      </c>
      <c r="J123" s="21" t="s">
        <v>4235</v>
      </c>
      <c r="K123" s="5814" t="s">
        <v>12726</v>
      </c>
    </row>
    <row r="124" spans="1:11">
      <c r="A124" s="21" t="s">
        <v>4233</v>
      </c>
      <c r="B124" s="21" t="s">
        <v>12727</v>
      </c>
      <c r="C124" s="21" t="s">
        <v>22</v>
      </c>
      <c r="D124" s="21" t="s">
        <v>1430</v>
      </c>
      <c r="E124" s="21" t="s">
        <v>9</v>
      </c>
      <c r="F124" s="5812">
        <v>3</v>
      </c>
      <c r="G124" s="5813">
        <v>0.20833333333333334</v>
      </c>
      <c r="H124" s="21" t="s">
        <v>10</v>
      </c>
      <c r="I124" s="21" t="s">
        <v>2872</v>
      </c>
      <c r="J124" s="21" t="s">
        <v>12728</v>
      </c>
      <c r="K124" s="5814" t="s">
        <v>12729</v>
      </c>
    </row>
    <row r="125" spans="1:11">
      <c r="A125" s="21" t="s">
        <v>2702</v>
      </c>
      <c r="B125" s="21" t="s">
        <v>12730</v>
      </c>
      <c r="C125" s="21" t="s">
        <v>8</v>
      </c>
      <c r="D125" s="21" t="s">
        <v>1430</v>
      </c>
      <c r="E125" s="21" t="s">
        <v>9</v>
      </c>
      <c r="F125" s="5812">
        <v>3</v>
      </c>
      <c r="G125" s="5813">
        <v>0.20833333333333334</v>
      </c>
      <c r="H125" s="21" t="s">
        <v>10</v>
      </c>
      <c r="I125" s="21" t="s">
        <v>55</v>
      </c>
      <c r="J125" s="21" t="s">
        <v>2743</v>
      </c>
      <c r="K125" s="5814" t="s">
        <v>12731</v>
      </c>
    </row>
    <row r="126" spans="1:11">
      <c r="A126" s="21" t="s">
        <v>2707</v>
      </c>
      <c r="B126" s="21" t="s">
        <v>12732</v>
      </c>
      <c r="C126" s="21" t="s">
        <v>22</v>
      </c>
      <c r="D126" s="21" t="s">
        <v>1430</v>
      </c>
      <c r="E126" s="21" t="s">
        <v>9</v>
      </c>
      <c r="F126" s="5812">
        <v>3</v>
      </c>
      <c r="G126" s="5813">
        <v>0.20833333333333334</v>
      </c>
      <c r="H126" s="21" t="s">
        <v>10</v>
      </c>
      <c r="I126" s="21" t="s">
        <v>96</v>
      </c>
      <c r="J126" s="21" t="s">
        <v>12733</v>
      </c>
      <c r="K126" s="5814" t="s">
        <v>12734</v>
      </c>
    </row>
    <row r="127" spans="1:11">
      <c r="A127" s="21" t="s">
        <v>3036</v>
      </c>
      <c r="B127" s="21" t="s">
        <v>12735</v>
      </c>
      <c r="C127" s="21" t="s">
        <v>22</v>
      </c>
      <c r="D127" s="21" t="s">
        <v>1430</v>
      </c>
      <c r="E127" s="21" t="s">
        <v>9</v>
      </c>
      <c r="F127" s="5812">
        <v>3</v>
      </c>
      <c r="G127" s="5813">
        <v>0.20833333333333334</v>
      </c>
      <c r="H127" s="21" t="s">
        <v>10</v>
      </c>
      <c r="I127" s="21" t="s">
        <v>2860</v>
      </c>
      <c r="J127" s="21" t="s">
        <v>12736</v>
      </c>
      <c r="K127" s="5814" t="s">
        <v>12737</v>
      </c>
    </row>
    <row r="128" spans="1:11">
      <c r="A128" s="21" t="s">
        <v>2737</v>
      </c>
      <c r="B128" s="21" t="s">
        <v>12738</v>
      </c>
      <c r="C128" s="21" t="s">
        <v>8</v>
      </c>
      <c r="D128" s="21" t="s">
        <v>1430</v>
      </c>
      <c r="E128" s="21" t="s">
        <v>9</v>
      </c>
      <c r="F128" s="5812">
        <v>3</v>
      </c>
      <c r="G128" s="5813">
        <v>0.20833333333333334</v>
      </c>
      <c r="H128" s="21" t="s">
        <v>10</v>
      </c>
      <c r="I128" s="21" t="s">
        <v>187</v>
      </c>
      <c r="J128" s="21" t="s">
        <v>12739</v>
      </c>
      <c r="K128" s="5814" t="s">
        <v>12740</v>
      </c>
    </row>
    <row r="129" spans="1:11">
      <c r="A129" s="21" t="s">
        <v>2737</v>
      </c>
      <c r="B129" s="21" t="s">
        <v>12741</v>
      </c>
      <c r="C129" s="21" t="s">
        <v>22</v>
      </c>
      <c r="D129" s="21" t="s">
        <v>1430</v>
      </c>
      <c r="E129" s="21" t="s">
        <v>9</v>
      </c>
      <c r="F129" s="5812">
        <v>3</v>
      </c>
      <c r="G129" s="5813">
        <v>0.20833333333333334</v>
      </c>
      <c r="H129" s="21" t="s">
        <v>10</v>
      </c>
      <c r="I129" s="21" t="s">
        <v>5159</v>
      </c>
      <c r="J129" s="21" t="s">
        <v>12742</v>
      </c>
      <c r="K129" s="5814" t="s">
        <v>12743</v>
      </c>
    </row>
    <row r="130" spans="1:11">
      <c r="A130" s="21" t="s">
        <v>3765</v>
      </c>
      <c r="B130" s="21" t="s">
        <v>12744</v>
      </c>
      <c r="C130" s="21" t="s">
        <v>8</v>
      </c>
      <c r="D130" s="21" t="s">
        <v>1430</v>
      </c>
      <c r="E130" s="21" t="s">
        <v>9</v>
      </c>
      <c r="F130" s="5812">
        <v>3</v>
      </c>
      <c r="G130" s="5813">
        <v>0.20833333333333334</v>
      </c>
      <c r="H130" s="21" t="s">
        <v>10</v>
      </c>
      <c r="I130" s="21" t="s">
        <v>4663</v>
      </c>
      <c r="J130" s="21" t="s">
        <v>12745</v>
      </c>
      <c r="K130" s="5814" t="s">
        <v>12746</v>
      </c>
    </row>
    <row r="131" spans="1:11">
      <c r="A131" s="21" t="s">
        <v>3354</v>
      </c>
      <c r="B131" s="21" t="s">
        <v>12747</v>
      </c>
      <c r="C131" s="21" t="s">
        <v>22</v>
      </c>
      <c r="D131" s="21" t="s">
        <v>1430</v>
      </c>
      <c r="E131" s="21" t="s">
        <v>9</v>
      </c>
      <c r="F131" s="5812">
        <v>3</v>
      </c>
      <c r="G131" s="5813">
        <v>0.20833333333333334</v>
      </c>
      <c r="H131" s="21" t="s">
        <v>10</v>
      </c>
      <c r="I131" s="21" t="s">
        <v>11</v>
      </c>
      <c r="J131" s="21" t="s">
        <v>12748</v>
      </c>
      <c r="K131" s="5814" t="s">
        <v>12749</v>
      </c>
    </row>
    <row r="132" spans="1:11">
      <c r="A132" s="21" t="s">
        <v>3369</v>
      </c>
      <c r="B132" s="21" t="s">
        <v>12750</v>
      </c>
      <c r="C132" s="21" t="s">
        <v>22</v>
      </c>
      <c r="D132" s="21" t="s">
        <v>1430</v>
      </c>
      <c r="E132" s="21" t="s">
        <v>9</v>
      </c>
      <c r="F132" s="5812">
        <v>3</v>
      </c>
      <c r="G132" s="5813">
        <v>0.20833333333333334</v>
      </c>
      <c r="H132" s="21" t="s">
        <v>10</v>
      </c>
      <c r="I132" s="21" t="s">
        <v>23</v>
      </c>
      <c r="J132" s="21" t="s">
        <v>12751</v>
      </c>
      <c r="K132" s="5814" t="s">
        <v>12752</v>
      </c>
    </row>
    <row r="133" spans="1:11">
      <c r="A133" s="21" t="s">
        <v>5168</v>
      </c>
      <c r="B133" s="21" t="s">
        <v>12753</v>
      </c>
      <c r="C133" s="21" t="s">
        <v>8</v>
      </c>
      <c r="D133" s="21" t="s">
        <v>1430</v>
      </c>
      <c r="E133" s="21" t="s">
        <v>9</v>
      </c>
      <c r="F133" s="5812">
        <v>3</v>
      </c>
      <c r="G133" s="5813">
        <v>0.20833333333333334</v>
      </c>
      <c r="H133" s="21" t="s">
        <v>10</v>
      </c>
      <c r="I133" s="21" t="s">
        <v>11</v>
      </c>
      <c r="J133" s="21" t="s">
        <v>12754</v>
      </c>
      <c r="K133" s="5814" t="s">
        <v>12755</v>
      </c>
    </row>
    <row r="134" spans="1:11">
      <c r="A134" s="21" t="s">
        <v>3769</v>
      </c>
      <c r="B134" s="21" t="s">
        <v>12756</v>
      </c>
      <c r="C134" s="21" t="s">
        <v>22</v>
      </c>
      <c r="D134" s="21" t="s">
        <v>1430</v>
      </c>
      <c r="E134" s="21" t="s">
        <v>9</v>
      </c>
      <c r="F134" s="5812">
        <v>3</v>
      </c>
      <c r="G134" s="5813">
        <v>0.20833333333333334</v>
      </c>
      <c r="H134" s="21" t="s">
        <v>10</v>
      </c>
      <c r="I134" s="21" t="s">
        <v>2153</v>
      </c>
      <c r="J134" s="21" t="s">
        <v>12757</v>
      </c>
      <c r="K134" s="5814" t="s">
        <v>12758</v>
      </c>
    </row>
    <row r="135" spans="1:11">
      <c r="A135" s="21" t="s">
        <v>3532</v>
      </c>
      <c r="B135" s="21" t="s">
        <v>12759</v>
      </c>
      <c r="C135" s="21" t="s">
        <v>22</v>
      </c>
      <c r="D135" s="21" t="s">
        <v>1430</v>
      </c>
      <c r="E135" s="21" t="s">
        <v>9</v>
      </c>
      <c r="F135" s="5812">
        <v>3</v>
      </c>
      <c r="G135" s="5813">
        <v>0.20833333333333334</v>
      </c>
      <c r="H135" s="21" t="s">
        <v>10</v>
      </c>
      <c r="I135" s="21" t="s">
        <v>5887</v>
      </c>
      <c r="J135" s="21" t="s">
        <v>12760</v>
      </c>
      <c r="K135" s="5814" t="s">
        <v>12761</v>
      </c>
    </row>
    <row r="136" spans="1:11">
      <c r="A136" s="21" t="s">
        <v>2216</v>
      </c>
      <c r="B136" s="21" t="s">
        <v>12762</v>
      </c>
      <c r="C136" s="21" t="s">
        <v>8</v>
      </c>
      <c r="D136" s="21" t="s">
        <v>1430</v>
      </c>
      <c r="E136" s="21" t="s">
        <v>9</v>
      </c>
      <c r="F136" s="5812">
        <v>3</v>
      </c>
      <c r="G136" s="5813">
        <v>0.20833333333333334</v>
      </c>
      <c r="H136" s="21" t="s">
        <v>10</v>
      </c>
      <c r="I136" s="21" t="s">
        <v>4853</v>
      </c>
      <c r="J136" s="21" t="s">
        <v>12763</v>
      </c>
      <c r="K136" s="5814" t="s">
        <v>12764</v>
      </c>
    </row>
    <row r="137" spans="1:11">
      <c r="A137" s="21" t="s">
        <v>2216</v>
      </c>
      <c r="B137" s="21" t="s">
        <v>12765</v>
      </c>
      <c r="C137" s="21" t="s">
        <v>22</v>
      </c>
      <c r="D137" s="21" t="s">
        <v>1430</v>
      </c>
      <c r="E137" s="21" t="s">
        <v>9</v>
      </c>
      <c r="F137" s="5812">
        <v>3</v>
      </c>
      <c r="G137" s="5813">
        <v>0.20833333333333334</v>
      </c>
      <c r="H137" s="21" t="s">
        <v>10</v>
      </c>
      <c r="I137" s="21" t="s">
        <v>11</v>
      </c>
      <c r="J137" s="21" t="s">
        <v>12766</v>
      </c>
      <c r="K137" s="5814" t="s">
        <v>12767</v>
      </c>
    </row>
    <row r="138" spans="1:11">
      <c r="A138" s="21" t="s">
        <v>3213</v>
      </c>
      <c r="B138" s="21" t="s">
        <v>12768</v>
      </c>
      <c r="C138" s="21" t="s">
        <v>8</v>
      </c>
      <c r="D138" s="21" t="s">
        <v>1430</v>
      </c>
      <c r="E138" s="21" t="s">
        <v>9</v>
      </c>
      <c r="F138" s="5812">
        <v>3</v>
      </c>
      <c r="G138" s="5813">
        <v>0.20833333333333334</v>
      </c>
      <c r="H138" s="21" t="s">
        <v>10</v>
      </c>
      <c r="I138" s="21" t="s">
        <v>2713</v>
      </c>
      <c r="J138" s="21" t="s">
        <v>4238</v>
      </c>
      <c r="K138" s="5814" t="s">
        <v>12769</v>
      </c>
    </row>
    <row r="139" spans="1:11">
      <c r="A139" s="21" t="s">
        <v>2221</v>
      </c>
      <c r="B139" s="21" t="s">
        <v>12770</v>
      </c>
      <c r="C139" s="21" t="s">
        <v>22</v>
      </c>
      <c r="D139" s="21" t="s">
        <v>1430</v>
      </c>
      <c r="E139" s="21" t="s">
        <v>9</v>
      </c>
      <c r="F139" s="5812">
        <v>3</v>
      </c>
      <c r="G139" s="5813">
        <v>0.20833333333333334</v>
      </c>
      <c r="H139" s="21" t="s">
        <v>10</v>
      </c>
      <c r="I139" s="21" t="s">
        <v>96</v>
      </c>
      <c r="J139" s="21" t="s">
        <v>12771</v>
      </c>
      <c r="K139" s="5814" t="s">
        <v>12772</v>
      </c>
    </row>
    <row r="140" spans="1:11">
      <c r="A140" s="21" t="s">
        <v>4289</v>
      </c>
      <c r="B140" s="21" t="s">
        <v>12773</v>
      </c>
      <c r="C140" s="21" t="s">
        <v>22</v>
      </c>
      <c r="D140" s="21" t="s">
        <v>1430</v>
      </c>
      <c r="E140" s="21" t="s">
        <v>9</v>
      </c>
      <c r="F140" s="5812">
        <v>3</v>
      </c>
      <c r="G140" s="5813">
        <v>0.20833333333333334</v>
      </c>
      <c r="H140" s="21" t="s">
        <v>10</v>
      </c>
      <c r="I140" s="21" t="s">
        <v>3534</v>
      </c>
      <c r="J140" s="21" t="s">
        <v>12774</v>
      </c>
      <c r="K140" s="5814" t="s">
        <v>12775</v>
      </c>
    </row>
    <row r="141" spans="1:11">
      <c r="A141" s="21" t="s">
        <v>3537</v>
      </c>
      <c r="B141" s="21" t="s">
        <v>12776</v>
      </c>
      <c r="C141" s="21" t="s">
        <v>22</v>
      </c>
      <c r="D141" s="21" t="s">
        <v>1430</v>
      </c>
      <c r="E141" s="21" t="s">
        <v>9</v>
      </c>
      <c r="F141" s="5812">
        <v>3</v>
      </c>
      <c r="G141" s="5813">
        <v>0.20833333333333334</v>
      </c>
      <c r="H141" s="21" t="s">
        <v>10</v>
      </c>
      <c r="I141" s="21" t="s">
        <v>55</v>
      </c>
      <c r="J141" s="21" t="s">
        <v>12777</v>
      </c>
      <c r="K141" s="5814" t="s">
        <v>12778</v>
      </c>
    </row>
    <row r="142" spans="1:11">
      <c r="A142" s="21" t="s">
        <v>2772</v>
      </c>
      <c r="B142" s="21" t="s">
        <v>12779</v>
      </c>
      <c r="C142" s="21" t="s">
        <v>22</v>
      </c>
      <c r="D142" s="21" t="s">
        <v>1430</v>
      </c>
      <c r="E142" s="21" t="s">
        <v>9</v>
      </c>
      <c r="F142" s="5812">
        <v>3</v>
      </c>
      <c r="G142" s="5813">
        <v>0.20833333333333334</v>
      </c>
      <c r="H142" s="21" t="s">
        <v>10</v>
      </c>
      <c r="I142" s="21" t="s">
        <v>47</v>
      </c>
      <c r="J142" s="21" t="s">
        <v>12780</v>
      </c>
      <c r="K142" s="5814" t="s">
        <v>12781</v>
      </c>
    </row>
    <row r="143" spans="1:11">
      <c r="A143" s="21" t="s">
        <v>4313</v>
      </c>
      <c r="B143" s="21" t="s">
        <v>12631</v>
      </c>
      <c r="C143" s="21" t="s">
        <v>8</v>
      </c>
      <c r="D143" s="21" t="s">
        <v>1430</v>
      </c>
      <c r="E143" s="21" t="s">
        <v>9</v>
      </c>
      <c r="F143" s="5812">
        <v>3</v>
      </c>
      <c r="G143" s="5813">
        <v>0.20833333333333334</v>
      </c>
      <c r="H143" s="21" t="s">
        <v>10</v>
      </c>
      <c r="I143" s="21" t="s">
        <v>96</v>
      </c>
      <c r="J143" s="21" t="s">
        <v>2483</v>
      </c>
      <c r="K143" s="5814" t="s">
        <v>12782</v>
      </c>
    </row>
    <row r="144" spans="1:11">
      <c r="A144" s="21" t="s">
        <v>3651</v>
      </c>
      <c r="B144" s="21" t="s">
        <v>12783</v>
      </c>
      <c r="C144" s="21" t="s">
        <v>8</v>
      </c>
      <c r="D144" s="21" t="s">
        <v>1430</v>
      </c>
      <c r="E144" s="21" t="s">
        <v>9</v>
      </c>
      <c r="F144" s="5812">
        <v>3</v>
      </c>
      <c r="G144" s="5813">
        <v>0.20833333333333334</v>
      </c>
      <c r="H144" s="21" t="s">
        <v>10</v>
      </c>
      <c r="I144" s="21" t="s">
        <v>11</v>
      </c>
      <c r="J144" s="21" t="s">
        <v>12784</v>
      </c>
      <c r="K144" s="5814" t="s">
        <v>12785</v>
      </c>
    </row>
    <row r="145" spans="1:11">
      <c r="A145" s="21" t="s">
        <v>3651</v>
      </c>
      <c r="B145" s="21" t="s">
        <v>12786</v>
      </c>
      <c r="C145" s="21" t="s">
        <v>8</v>
      </c>
      <c r="D145" s="21" t="s">
        <v>1430</v>
      </c>
      <c r="E145" s="21" t="s">
        <v>9</v>
      </c>
      <c r="F145" s="5812">
        <v>3</v>
      </c>
      <c r="G145" s="5813">
        <v>0.20833333333333334</v>
      </c>
      <c r="H145" s="21" t="s">
        <v>10</v>
      </c>
      <c r="I145" s="21" t="s">
        <v>2247</v>
      </c>
      <c r="J145" s="21" t="s">
        <v>12787</v>
      </c>
      <c r="K145" s="5814" t="s">
        <v>12788</v>
      </c>
    </row>
    <row r="146" spans="1:11">
      <c r="A146" s="21" t="s">
        <v>4317</v>
      </c>
      <c r="B146" s="21" t="s">
        <v>12789</v>
      </c>
      <c r="C146" s="21" t="s">
        <v>8</v>
      </c>
      <c r="D146" s="21" t="s">
        <v>1430</v>
      </c>
      <c r="E146" s="21" t="s">
        <v>9</v>
      </c>
      <c r="F146" s="5812">
        <v>3</v>
      </c>
      <c r="G146" s="5813">
        <v>0.20833333333333334</v>
      </c>
      <c r="H146" s="21" t="s">
        <v>10</v>
      </c>
      <c r="I146" s="21" t="s">
        <v>2860</v>
      </c>
      <c r="J146" s="21" t="s">
        <v>12790</v>
      </c>
      <c r="K146" s="5814" t="s">
        <v>12791</v>
      </c>
    </row>
    <row r="147" spans="1:11">
      <c r="A147" s="21" t="s">
        <v>2229</v>
      </c>
      <c r="B147" s="21" t="s">
        <v>12792</v>
      </c>
      <c r="C147" s="21" t="s">
        <v>8</v>
      </c>
      <c r="D147" s="21" t="s">
        <v>1430</v>
      </c>
      <c r="E147" s="21" t="s">
        <v>9</v>
      </c>
      <c r="F147" s="5812">
        <v>3</v>
      </c>
      <c r="G147" s="5813">
        <v>0.20833333333333334</v>
      </c>
      <c r="H147" s="21" t="s">
        <v>10</v>
      </c>
      <c r="I147" s="21" t="s">
        <v>2247</v>
      </c>
      <c r="J147" s="21" t="s">
        <v>12793</v>
      </c>
      <c r="K147" s="5814" t="s">
        <v>12794</v>
      </c>
    </row>
    <row r="148" spans="1:11">
      <c r="A148" s="21" t="s">
        <v>4321</v>
      </c>
      <c r="B148" s="21" t="s">
        <v>12795</v>
      </c>
      <c r="C148" s="21" t="s">
        <v>22</v>
      </c>
      <c r="D148" s="21" t="s">
        <v>1430</v>
      </c>
      <c r="E148" s="21" t="s">
        <v>9</v>
      </c>
      <c r="F148" s="5812">
        <v>3</v>
      </c>
      <c r="G148" s="5813">
        <v>0.20833333333333334</v>
      </c>
      <c r="H148" s="21" t="s">
        <v>10</v>
      </c>
      <c r="I148" s="21" t="s">
        <v>73</v>
      </c>
      <c r="J148" s="21" t="s">
        <v>12796</v>
      </c>
      <c r="K148" s="5814" t="s">
        <v>12797</v>
      </c>
    </row>
    <row r="149" spans="1:11">
      <c r="A149" s="21" t="s">
        <v>2780</v>
      </c>
      <c r="B149" s="21" t="s">
        <v>12798</v>
      </c>
      <c r="C149" s="21" t="s">
        <v>22</v>
      </c>
      <c r="D149" s="21" t="s">
        <v>1430</v>
      </c>
      <c r="E149" s="21" t="s">
        <v>9</v>
      </c>
      <c r="F149" s="5812">
        <v>3</v>
      </c>
      <c r="G149" s="5813">
        <v>0.20833333333333334</v>
      </c>
      <c r="H149" s="21" t="s">
        <v>10</v>
      </c>
      <c r="I149" s="21" t="s">
        <v>2297</v>
      </c>
      <c r="J149" s="21" t="s">
        <v>12799</v>
      </c>
      <c r="K149" s="5814" t="s">
        <v>12800</v>
      </c>
    </row>
    <row r="150" spans="1:11">
      <c r="A150" s="21" t="s">
        <v>2796</v>
      </c>
      <c r="B150" s="21" t="s">
        <v>12801</v>
      </c>
      <c r="C150" s="21" t="s">
        <v>22</v>
      </c>
      <c r="D150" s="21" t="s">
        <v>1430</v>
      </c>
      <c r="E150" s="21" t="s">
        <v>9</v>
      </c>
      <c r="F150" s="5812">
        <v>3</v>
      </c>
      <c r="G150" s="5813">
        <v>0.20833333333333334</v>
      </c>
      <c r="H150" s="21" t="s">
        <v>10</v>
      </c>
      <c r="I150" s="21" t="s">
        <v>654</v>
      </c>
      <c r="J150" s="21" t="s">
        <v>12802</v>
      </c>
      <c r="K150" s="5814" t="s">
        <v>12803</v>
      </c>
    </row>
    <row r="151" spans="1:11">
      <c r="A151" s="21" t="s">
        <v>2796</v>
      </c>
      <c r="B151" s="21" t="s">
        <v>12804</v>
      </c>
      <c r="C151" s="21" t="s">
        <v>8</v>
      </c>
      <c r="D151" s="21" t="s">
        <v>1430</v>
      </c>
      <c r="E151" s="21" t="s">
        <v>9</v>
      </c>
      <c r="F151" s="5812">
        <v>3</v>
      </c>
      <c r="G151" s="5813">
        <v>0.20833333333333334</v>
      </c>
      <c r="H151" s="21" t="s">
        <v>10</v>
      </c>
      <c r="I151" s="21" t="s">
        <v>654</v>
      </c>
      <c r="J151" s="21" t="s">
        <v>12805</v>
      </c>
      <c r="K151" s="5814" t="s">
        <v>12806</v>
      </c>
    </row>
    <row r="152" spans="1:11">
      <c r="A152" s="21" t="s">
        <v>2796</v>
      </c>
      <c r="B152" s="21" t="s">
        <v>12807</v>
      </c>
      <c r="C152" s="21" t="s">
        <v>8</v>
      </c>
      <c r="D152" s="21" t="s">
        <v>1430</v>
      </c>
      <c r="E152" s="21" t="s">
        <v>9</v>
      </c>
      <c r="F152" s="5812">
        <v>3</v>
      </c>
      <c r="G152" s="5813">
        <v>0.20833333333333334</v>
      </c>
      <c r="H152" s="21" t="s">
        <v>10</v>
      </c>
      <c r="I152" s="21" t="s">
        <v>654</v>
      </c>
      <c r="J152" s="21" t="s">
        <v>12808</v>
      </c>
      <c r="K152" s="5814" t="s">
        <v>12809</v>
      </c>
    </row>
    <row r="153" spans="1:11">
      <c r="A153" s="21" t="s">
        <v>4338</v>
      </c>
      <c r="B153" s="21" t="s">
        <v>12810</v>
      </c>
      <c r="C153" s="21" t="s">
        <v>8</v>
      </c>
      <c r="D153" s="21" t="s">
        <v>1430</v>
      </c>
      <c r="E153" s="21" t="s">
        <v>9</v>
      </c>
      <c r="F153" s="5812">
        <v>3</v>
      </c>
      <c r="G153" s="5813">
        <v>0.20833333333333334</v>
      </c>
      <c r="H153" s="21" t="s">
        <v>10</v>
      </c>
      <c r="I153" s="21" t="s">
        <v>226</v>
      </c>
      <c r="J153" s="21" t="s">
        <v>12811</v>
      </c>
      <c r="K153" s="5814" t="s">
        <v>12812</v>
      </c>
    </row>
    <row r="154" spans="1:11">
      <c r="A154" s="21" t="s">
        <v>4338</v>
      </c>
      <c r="B154" s="21" t="s">
        <v>12813</v>
      </c>
      <c r="C154" s="21" t="s">
        <v>8</v>
      </c>
      <c r="D154" s="21" t="s">
        <v>1430</v>
      </c>
      <c r="E154" s="21" t="s">
        <v>9</v>
      </c>
      <c r="F154" s="5812">
        <v>3</v>
      </c>
      <c r="G154" s="5813">
        <v>0.20833333333333334</v>
      </c>
      <c r="H154" s="21" t="s">
        <v>10</v>
      </c>
      <c r="I154" s="21" t="s">
        <v>11</v>
      </c>
      <c r="J154" s="21" t="s">
        <v>12814</v>
      </c>
      <c r="K154" s="5814" t="s">
        <v>12815</v>
      </c>
    </row>
    <row r="155" spans="1:11">
      <c r="A155" s="21" t="s">
        <v>3044</v>
      </c>
      <c r="B155" s="21" t="s">
        <v>12816</v>
      </c>
      <c r="C155" s="21" t="s">
        <v>22</v>
      </c>
      <c r="D155" s="21" t="s">
        <v>1430</v>
      </c>
      <c r="E155" s="21" t="s">
        <v>9</v>
      </c>
      <c r="F155" s="5812">
        <v>3</v>
      </c>
      <c r="G155" s="5813">
        <v>0.20833333333333334</v>
      </c>
      <c r="H155" s="21" t="s">
        <v>10</v>
      </c>
      <c r="I155" s="21" t="s">
        <v>23</v>
      </c>
      <c r="J155" s="21" t="s">
        <v>12817</v>
      </c>
      <c r="K155" s="5814" t="s">
        <v>12818</v>
      </c>
    </row>
    <row r="156" spans="1:11">
      <c r="A156" s="21" t="s">
        <v>3082</v>
      </c>
      <c r="B156" s="21" t="s">
        <v>12819</v>
      </c>
      <c r="C156" s="21" t="s">
        <v>8</v>
      </c>
      <c r="D156" s="21" t="s">
        <v>1430</v>
      </c>
      <c r="E156" s="21" t="s">
        <v>9</v>
      </c>
      <c r="F156" s="5812">
        <v>3</v>
      </c>
      <c r="G156" s="5813">
        <v>0.20833333333333334</v>
      </c>
      <c r="H156" s="21" t="s">
        <v>10</v>
      </c>
      <c r="I156" s="21" t="s">
        <v>788</v>
      </c>
      <c r="J156" s="21" t="s">
        <v>12820</v>
      </c>
      <c r="K156" s="5814" t="s">
        <v>12821</v>
      </c>
    </row>
    <row r="157" spans="1:11">
      <c r="A157" s="21" t="s">
        <v>2812</v>
      </c>
      <c r="B157" s="21" t="s">
        <v>12822</v>
      </c>
      <c r="C157" s="21" t="s">
        <v>22</v>
      </c>
      <c r="D157" s="21" t="s">
        <v>1430</v>
      </c>
      <c r="E157" s="21" t="s">
        <v>9</v>
      </c>
      <c r="F157" s="5812">
        <v>3</v>
      </c>
      <c r="G157" s="5813">
        <v>0.20833333333333334</v>
      </c>
      <c r="H157" s="21" t="s">
        <v>10</v>
      </c>
      <c r="I157" s="21" t="s">
        <v>2731</v>
      </c>
      <c r="J157" s="21" t="s">
        <v>12823</v>
      </c>
      <c r="K157" s="5814" t="s">
        <v>12824</v>
      </c>
    </row>
    <row r="158" spans="1:11">
      <c r="A158" s="21" t="s">
        <v>2245</v>
      </c>
      <c r="B158" s="21" t="s">
        <v>12825</v>
      </c>
      <c r="C158" s="21" t="s">
        <v>8</v>
      </c>
      <c r="D158" s="21" t="s">
        <v>1430</v>
      </c>
      <c r="E158" s="21" t="s">
        <v>9</v>
      </c>
      <c r="F158" s="5812">
        <v>3</v>
      </c>
      <c r="G158" s="5813">
        <v>0.20833333333333334</v>
      </c>
      <c r="H158" s="21" t="s">
        <v>10</v>
      </c>
      <c r="I158" s="21" t="s">
        <v>11</v>
      </c>
      <c r="J158" s="21" t="s">
        <v>12826</v>
      </c>
      <c r="K158" s="5814" t="s">
        <v>12827</v>
      </c>
    </row>
    <row r="159" spans="1:11">
      <c r="A159" s="21" t="s">
        <v>3458</v>
      </c>
      <c r="B159" s="21" t="s">
        <v>12828</v>
      </c>
      <c r="C159" s="21" t="s">
        <v>8</v>
      </c>
      <c r="D159" s="21" t="s">
        <v>1430</v>
      </c>
      <c r="E159" s="21" t="s">
        <v>9</v>
      </c>
      <c r="F159" s="5812">
        <v>3</v>
      </c>
      <c r="G159" s="5813">
        <v>0.20833333333333334</v>
      </c>
      <c r="H159" s="21" t="s">
        <v>10</v>
      </c>
      <c r="I159" s="21" t="s">
        <v>55</v>
      </c>
      <c r="J159" s="21" t="s">
        <v>12829</v>
      </c>
      <c r="K159" s="5814" t="s">
        <v>12830</v>
      </c>
    </row>
    <row r="160" spans="1:11">
      <c r="A160" s="21" t="s">
        <v>5220</v>
      </c>
      <c r="B160" s="21" t="s">
        <v>12831</v>
      </c>
      <c r="C160" s="21" t="s">
        <v>8</v>
      </c>
      <c r="D160" s="21" t="s">
        <v>1430</v>
      </c>
      <c r="E160" s="21" t="s">
        <v>9</v>
      </c>
      <c r="F160" s="5812">
        <v>3</v>
      </c>
      <c r="G160" s="5813">
        <v>0.20833333333333334</v>
      </c>
      <c r="H160" s="21" t="s">
        <v>10</v>
      </c>
      <c r="I160" s="21" t="s">
        <v>47</v>
      </c>
      <c r="J160" s="21" t="s">
        <v>12832</v>
      </c>
      <c r="K160" s="5814" t="s">
        <v>12833</v>
      </c>
    </row>
    <row r="161" spans="1:11">
      <c r="A161" s="21" t="s">
        <v>4645</v>
      </c>
      <c r="B161" s="21" t="s">
        <v>12834</v>
      </c>
      <c r="C161" s="21" t="s">
        <v>8</v>
      </c>
      <c r="D161" s="21" t="s">
        <v>1430</v>
      </c>
      <c r="E161" s="21" t="s">
        <v>9</v>
      </c>
      <c r="F161" s="5812">
        <v>3</v>
      </c>
      <c r="G161" s="5813">
        <v>0.20833333333333334</v>
      </c>
      <c r="H161" s="21" t="s">
        <v>10</v>
      </c>
      <c r="I161" s="21" t="s">
        <v>2297</v>
      </c>
      <c r="J161" s="21" t="s">
        <v>12835</v>
      </c>
      <c r="K161" s="5814" t="s">
        <v>12836</v>
      </c>
    </row>
    <row r="162" spans="1:11">
      <c r="A162" s="21" t="s">
        <v>2921</v>
      </c>
      <c r="B162" s="21" t="s">
        <v>12837</v>
      </c>
      <c r="C162" s="21" t="s">
        <v>8</v>
      </c>
      <c r="D162" s="21" t="s">
        <v>1430</v>
      </c>
      <c r="E162" s="21" t="s">
        <v>9</v>
      </c>
      <c r="F162" s="5812">
        <v>3</v>
      </c>
      <c r="G162" s="5813">
        <v>0.20833333333333334</v>
      </c>
      <c r="H162" s="21" t="s">
        <v>10</v>
      </c>
      <c r="I162" s="21" t="s">
        <v>226</v>
      </c>
      <c r="J162" s="21" t="s">
        <v>12838</v>
      </c>
      <c r="K162" s="5814" t="s">
        <v>12839</v>
      </c>
    </row>
    <row r="163" spans="1:11">
      <c r="A163" s="21" t="s">
        <v>3049</v>
      </c>
      <c r="B163" s="21" t="s">
        <v>12840</v>
      </c>
      <c r="C163" s="21" t="s">
        <v>8</v>
      </c>
      <c r="D163" s="21" t="s">
        <v>1430</v>
      </c>
      <c r="E163" s="21" t="s">
        <v>9</v>
      </c>
      <c r="F163" s="5812">
        <v>3</v>
      </c>
      <c r="G163" s="5813">
        <v>0.20833333333333334</v>
      </c>
      <c r="H163" s="21" t="s">
        <v>10</v>
      </c>
      <c r="I163" s="21" t="s">
        <v>2523</v>
      </c>
      <c r="J163" s="21" t="s">
        <v>12841</v>
      </c>
      <c r="K163" s="5814" t="s">
        <v>12842</v>
      </c>
    </row>
    <row r="164" spans="1:11">
      <c r="A164" s="21" t="s">
        <v>4768</v>
      </c>
      <c r="B164" s="21" t="s">
        <v>12843</v>
      </c>
      <c r="C164" s="21" t="s">
        <v>8</v>
      </c>
      <c r="D164" s="21" t="s">
        <v>1430</v>
      </c>
      <c r="E164" s="21" t="s">
        <v>9</v>
      </c>
      <c r="F164" s="5812">
        <v>3</v>
      </c>
      <c r="G164" s="5813">
        <v>0.20833333333333334</v>
      </c>
      <c r="H164" s="21" t="s">
        <v>10</v>
      </c>
      <c r="I164" s="21" t="s">
        <v>2269</v>
      </c>
      <c r="J164" s="21" t="s">
        <v>12844</v>
      </c>
      <c r="K164" s="5814" t="s">
        <v>12845</v>
      </c>
    </row>
    <row r="165" spans="1:11">
      <c r="A165" s="21" t="s">
        <v>2263</v>
      </c>
      <c r="B165" s="21" t="s">
        <v>12846</v>
      </c>
      <c r="C165" s="21" t="s">
        <v>8</v>
      </c>
      <c r="D165" s="21" t="s">
        <v>1430</v>
      </c>
      <c r="E165" s="21" t="s">
        <v>9</v>
      </c>
      <c r="F165" s="5812">
        <v>3</v>
      </c>
      <c r="G165" s="5813">
        <v>0.20833333333333334</v>
      </c>
      <c r="H165" s="21" t="s">
        <v>10</v>
      </c>
      <c r="I165" s="21" t="s">
        <v>23</v>
      </c>
      <c r="J165" s="21" t="s">
        <v>12847</v>
      </c>
      <c r="K165" s="5814" t="s">
        <v>12848</v>
      </c>
    </row>
    <row r="166" spans="1:11">
      <c r="A166" s="21" t="s">
        <v>3630</v>
      </c>
      <c r="B166" s="21" t="s">
        <v>12849</v>
      </c>
      <c r="C166" s="21" t="s">
        <v>22</v>
      </c>
      <c r="D166" s="21" t="s">
        <v>1430</v>
      </c>
      <c r="E166" s="21" t="s">
        <v>9</v>
      </c>
      <c r="F166" s="5812">
        <v>3</v>
      </c>
      <c r="G166" s="5813">
        <v>0.20833333333333334</v>
      </c>
      <c r="H166" s="21" t="s">
        <v>10</v>
      </c>
      <c r="I166" s="21" t="s">
        <v>55</v>
      </c>
      <c r="J166" s="21" t="s">
        <v>12850</v>
      </c>
      <c r="K166" s="5814" t="s">
        <v>12851</v>
      </c>
    </row>
    <row r="167" spans="1:11">
      <c r="A167" s="21" t="s">
        <v>2850</v>
      </c>
      <c r="B167" s="21" t="s">
        <v>12852</v>
      </c>
      <c r="C167" s="21" t="s">
        <v>8</v>
      </c>
      <c r="D167" s="21" t="s">
        <v>1430</v>
      </c>
      <c r="E167" s="21" t="s">
        <v>9</v>
      </c>
      <c r="F167" s="5812">
        <v>3</v>
      </c>
      <c r="G167" s="5813">
        <v>0.20833333333333334</v>
      </c>
      <c r="H167" s="21" t="s">
        <v>10</v>
      </c>
      <c r="I167" s="21" t="s">
        <v>55</v>
      </c>
      <c r="J167" s="21" t="s">
        <v>12853</v>
      </c>
      <c r="K167" s="5814" t="s">
        <v>12854</v>
      </c>
    </row>
    <row r="168" spans="1:11">
      <c r="A168" s="21" t="s">
        <v>2267</v>
      </c>
      <c r="B168" s="21" t="s">
        <v>12855</v>
      </c>
      <c r="C168" s="21" t="s">
        <v>8</v>
      </c>
      <c r="D168" s="21" t="s">
        <v>1430</v>
      </c>
      <c r="E168" s="21" t="s">
        <v>9</v>
      </c>
      <c r="F168" s="5812">
        <v>3</v>
      </c>
      <c r="G168" s="5813">
        <v>0.20833333333333334</v>
      </c>
      <c r="H168" s="21" t="s">
        <v>10</v>
      </c>
      <c r="I168" s="21" t="s">
        <v>55</v>
      </c>
      <c r="J168" s="21" t="s">
        <v>12856</v>
      </c>
      <c r="K168" s="5814" t="s">
        <v>12857</v>
      </c>
    </row>
    <row r="169" spans="1:11">
      <c r="A169" s="21" t="s">
        <v>4430</v>
      </c>
      <c r="B169" s="21" t="s">
        <v>12858</v>
      </c>
      <c r="C169" s="21" t="s">
        <v>8</v>
      </c>
      <c r="D169" s="21" t="s">
        <v>1430</v>
      </c>
      <c r="E169" s="21" t="s">
        <v>9</v>
      </c>
      <c r="F169" s="5812">
        <v>3</v>
      </c>
      <c r="G169" s="5813">
        <v>0.20833333333333334</v>
      </c>
      <c r="H169" s="21" t="s">
        <v>10</v>
      </c>
      <c r="I169" s="21" t="s">
        <v>3215</v>
      </c>
      <c r="J169" s="21" t="s">
        <v>12859</v>
      </c>
      <c r="K169" s="5814" t="s">
        <v>12860</v>
      </c>
    </row>
    <row r="170" spans="1:11">
      <c r="A170" s="21" t="s">
        <v>3345</v>
      </c>
      <c r="B170" s="21" t="s">
        <v>12861</v>
      </c>
      <c r="C170" s="21" t="s">
        <v>22</v>
      </c>
      <c r="D170" s="21" t="s">
        <v>1430</v>
      </c>
      <c r="E170" s="21" t="s">
        <v>9</v>
      </c>
      <c r="F170" s="5812">
        <v>3</v>
      </c>
      <c r="G170" s="5813">
        <v>0.20833333333333334</v>
      </c>
      <c r="H170" s="21" t="s">
        <v>10</v>
      </c>
      <c r="I170" s="21" t="s">
        <v>2872</v>
      </c>
      <c r="J170" s="21" t="s">
        <v>12862</v>
      </c>
      <c r="K170" s="5814" t="s">
        <v>12863</v>
      </c>
    </row>
    <row r="171" spans="1:11">
      <c r="A171" s="21" t="s">
        <v>2863</v>
      </c>
      <c r="B171" s="21" t="s">
        <v>12864</v>
      </c>
      <c r="C171" s="21" t="s">
        <v>8</v>
      </c>
      <c r="D171" s="21" t="s">
        <v>1430</v>
      </c>
      <c r="E171" s="21" t="s">
        <v>9</v>
      </c>
      <c r="F171" s="5812">
        <v>3</v>
      </c>
      <c r="G171" s="5813">
        <v>0.20833333333333334</v>
      </c>
      <c r="H171" s="21" t="s">
        <v>10</v>
      </c>
      <c r="I171" s="21" t="s">
        <v>2247</v>
      </c>
      <c r="J171" s="21" t="s">
        <v>12865</v>
      </c>
      <c r="K171" s="5814" t="s">
        <v>12866</v>
      </c>
    </row>
    <row r="172" spans="1:11">
      <c r="A172" s="21" t="s">
        <v>2961</v>
      </c>
      <c r="B172" s="21" t="s">
        <v>12867</v>
      </c>
      <c r="C172" s="21" t="s">
        <v>8</v>
      </c>
      <c r="D172" s="21" t="s">
        <v>1430</v>
      </c>
      <c r="E172" s="21" t="s">
        <v>9</v>
      </c>
      <c r="F172" s="5812">
        <v>3</v>
      </c>
      <c r="G172" s="5813">
        <v>0.20833333333333334</v>
      </c>
      <c r="H172" s="21" t="s">
        <v>10</v>
      </c>
      <c r="I172" s="21" t="s">
        <v>2731</v>
      </c>
      <c r="J172" s="21" t="s">
        <v>12868</v>
      </c>
      <c r="K172" s="5814" t="s">
        <v>12869</v>
      </c>
    </row>
    <row r="173" spans="1:11">
      <c r="A173" s="21" t="s">
        <v>3260</v>
      </c>
      <c r="B173" s="21" t="s">
        <v>12617</v>
      </c>
      <c r="C173" s="21" t="s">
        <v>8</v>
      </c>
      <c r="D173" s="21" t="s">
        <v>1430</v>
      </c>
      <c r="E173" s="21" t="s">
        <v>9</v>
      </c>
      <c r="F173" s="5812">
        <v>3</v>
      </c>
      <c r="G173" s="5813">
        <v>0.20833333333333334</v>
      </c>
      <c r="H173" s="21" t="s">
        <v>10</v>
      </c>
      <c r="I173" s="21" t="s">
        <v>2297</v>
      </c>
      <c r="J173" s="21" t="s">
        <v>12870</v>
      </c>
      <c r="K173" s="5814" t="s">
        <v>12871</v>
      </c>
    </row>
    <row r="174" spans="1:11">
      <c r="A174" s="21" t="s">
        <v>4621</v>
      </c>
      <c r="B174" s="21" t="s">
        <v>12872</v>
      </c>
      <c r="C174" s="21" t="s">
        <v>8</v>
      </c>
      <c r="D174" s="21" t="s">
        <v>1430</v>
      </c>
      <c r="E174" s="21" t="s">
        <v>9</v>
      </c>
      <c r="F174" s="5812">
        <v>3</v>
      </c>
      <c r="G174" s="5813">
        <v>0.20833333333333334</v>
      </c>
      <c r="H174" s="21" t="s">
        <v>10</v>
      </c>
      <c r="I174" s="21" t="s">
        <v>2747</v>
      </c>
      <c r="J174" s="21" t="s">
        <v>12873</v>
      </c>
      <c r="K174" s="5814" t="s">
        <v>12874</v>
      </c>
    </row>
    <row r="175" spans="1:11">
      <c r="A175" s="21" t="s">
        <v>3056</v>
      </c>
      <c r="B175" s="21" t="s">
        <v>12875</v>
      </c>
      <c r="C175" s="21" t="s">
        <v>22</v>
      </c>
      <c r="D175" s="21" t="s">
        <v>1430</v>
      </c>
      <c r="E175" s="21" t="s">
        <v>9</v>
      </c>
      <c r="F175" s="5812">
        <v>3</v>
      </c>
      <c r="G175" s="5813">
        <v>0.20833333333333334</v>
      </c>
      <c r="H175" s="21" t="s">
        <v>10</v>
      </c>
      <c r="I175" s="21" t="s">
        <v>400</v>
      </c>
      <c r="J175" s="21" t="s">
        <v>12876</v>
      </c>
      <c r="K175" s="5814" t="s">
        <v>12877</v>
      </c>
    </row>
    <row r="176" spans="1:11">
      <c r="A176" s="21" t="s">
        <v>3056</v>
      </c>
      <c r="B176" s="21" t="s">
        <v>12878</v>
      </c>
      <c r="C176" s="21" t="s">
        <v>8</v>
      </c>
      <c r="D176" s="21" t="s">
        <v>1430</v>
      </c>
      <c r="E176" s="21" t="s">
        <v>9</v>
      </c>
      <c r="F176" s="5812">
        <v>3</v>
      </c>
      <c r="G176" s="5813">
        <v>0.20833333333333334</v>
      </c>
      <c r="H176" s="21" t="s">
        <v>10</v>
      </c>
      <c r="I176" s="21" t="s">
        <v>3569</v>
      </c>
      <c r="J176" s="21" t="s">
        <v>12879</v>
      </c>
      <c r="K176" s="5814" t="s">
        <v>12880</v>
      </c>
    </row>
    <row r="177" spans="1:11">
      <c r="A177" s="21" t="s">
        <v>3439</v>
      </c>
      <c r="B177" s="21" t="s">
        <v>12881</v>
      </c>
      <c r="C177" s="21" t="s">
        <v>22</v>
      </c>
      <c r="D177" s="21" t="s">
        <v>1430</v>
      </c>
      <c r="E177" s="21" t="s">
        <v>9</v>
      </c>
      <c r="F177" s="5812">
        <v>3</v>
      </c>
      <c r="G177" s="5813">
        <v>0.20833333333333334</v>
      </c>
      <c r="H177" s="21" t="s">
        <v>10</v>
      </c>
      <c r="I177" s="21" t="s">
        <v>117</v>
      </c>
      <c r="J177" s="21" t="s">
        <v>12882</v>
      </c>
      <c r="K177" s="5814" t="s">
        <v>12883</v>
      </c>
    </row>
    <row r="178" spans="1:11">
      <c r="A178" s="21" t="s">
        <v>3491</v>
      </c>
      <c r="B178" s="21" t="s">
        <v>12884</v>
      </c>
      <c r="C178" s="21" t="s">
        <v>8</v>
      </c>
      <c r="D178" s="21" t="s">
        <v>1430</v>
      </c>
      <c r="E178" s="21" t="s">
        <v>9</v>
      </c>
      <c r="F178" s="5812">
        <v>5</v>
      </c>
      <c r="G178" s="5813">
        <v>0.20833333333333334</v>
      </c>
      <c r="H178" s="21" t="s">
        <v>54</v>
      </c>
      <c r="I178" s="21" t="s">
        <v>96</v>
      </c>
      <c r="J178" s="21" t="s">
        <v>12885</v>
      </c>
      <c r="K178" s="5814" t="s">
        <v>12886</v>
      </c>
    </row>
    <row r="179" spans="1:11">
      <c r="A179" s="21" t="s">
        <v>2108</v>
      </c>
      <c r="B179" s="21" t="s">
        <v>12887</v>
      </c>
      <c r="C179" s="21" t="s">
        <v>22</v>
      </c>
      <c r="D179" s="21" t="s">
        <v>1430</v>
      </c>
      <c r="E179" s="21" t="s">
        <v>9</v>
      </c>
      <c r="F179" s="5812">
        <v>5</v>
      </c>
      <c r="G179" s="5813">
        <v>0.20833333333333334</v>
      </c>
      <c r="H179" s="21" t="s">
        <v>54</v>
      </c>
      <c r="I179" s="21" t="s">
        <v>39</v>
      </c>
      <c r="J179" s="21" t="s">
        <v>12888</v>
      </c>
      <c r="K179" s="5814" t="s">
        <v>12889</v>
      </c>
    </row>
    <row r="180" spans="1:11">
      <c r="A180" s="21" t="s">
        <v>3208</v>
      </c>
      <c r="B180" s="21" t="s">
        <v>12890</v>
      </c>
      <c r="C180" s="21" t="s">
        <v>8</v>
      </c>
      <c r="D180" s="21" t="s">
        <v>1430</v>
      </c>
      <c r="E180" s="21" t="s">
        <v>9</v>
      </c>
      <c r="F180" s="5812">
        <v>5</v>
      </c>
      <c r="G180" s="5813">
        <v>0.20833333333333334</v>
      </c>
      <c r="H180" s="21" t="s">
        <v>54</v>
      </c>
      <c r="I180" s="21" t="s">
        <v>55</v>
      </c>
      <c r="J180" s="21" t="s">
        <v>12891</v>
      </c>
      <c r="K180" s="5814" t="s">
        <v>12892</v>
      </c>
    </row>
    <row r="181" spans="1:11">
      <c r="A181" s="21" t="s">
        <v>2499</v>
      </c>
      <c r="B181" s="21" t="s">
        <v>12893</v>
      </c>
      <c r="C181" s="21" t="s">
        <v>22</v>
      </c>
      <c r="D181" s="21" t="s">
        <v>1430</v>
      </c>
      <c r="E181" s="21" t="s">
        <v>466</v>
      </c>
      <c r="F181" s="5812">
        <v>1</v>
      </c>
      <c r="G181" s="5813">
        <v>0.17777777777777778</v>
      </c>
      <c r="H181" s="21" t="s">
        <v>10</v>
      </c>
      <c r="I181" s="21" t="s">
        <v>39</v>
      </c>
      <c r="J181" s="21" t="s">
        <v>12894</v>
      </c>
      <c r="K181" s="5814" t="s">
        <v>12895</v>
      </c>
    </row>
    <row r="182" spans="1:11">
      <c r="A182" s="21" t="s">
        <v>3029</v>
      </c>
      <c r="B182" s="21" t="s">
        <v>12896</v>
      </c>
      <c r="C182" s="21" t="s">
        <v>22</v>
      </c>
      <c r="D182" s="21" t="s">
        <v>1430</v>
      </c>
      <c r="E182" s="21" t="s">
        <v>46</v>
      </c>
      <c r="F182" s="5812">
        <v>1</v>
      </c>
      <c r="G182" s="5813">
        <v>1.3888888888888888E-2</v>
      </c>
      <c r="H182" s="21" t="s">
        <v>10</v>
      </c>
      <c r="I182" s="21" t="s">
        <v>96</v>
      </c>
      <c r="J182" s="21" t="s">
        <v>127</v>
      </c>
      <c r="K182" s="5814" t="s">
        <v>12897</v>
      </c>
    </row>
    <row r="183" spans="1:11">
      <c r="A183" s="21" t="s">
        <v>2711</v>
      </c>
      <c r="B183" s="21" t="s">
        <v>12898</v>
      </c>
      <c r="C183" s="21" t="s">
        <v>8</v>
      </c>
      <c r="D183" s="21" t="s">
        <v>1430</v>
      </c>
      <c r="E183" s="21" t="s">
        <v>46</v>
      </c>
      <c r="F183" s="5812">
        <v>1</v>
      </c>
      <c r="G183" s="5813">
        <v>2.2916666666666665E-2</v>
      </c>
      <c r="H183" s="21" t="s">
        <v>10</v>
      </c>
      <c r="I183" s="21" t="s">
        <v>2747</v>
      </c>
      <c r="J183" s="21" t="s">
        <v>3004</v>
      </c>
      <c r="K183" s="5814" t="s">
        <v>12899</v>
      </c>
    </row>
    <row r="184" spans="1:11">
      <c r="A184" s="21" t="s">
        <v>3855</v>
      </c>
      <c r="B184" s="21" t="s">
        <v>12900</v>
      </c>
      <c r="C184" s="21" t="s">
        <v>8</v>
      </c>
      <c r="D184" s="21" t="s">
        <v>1430</v>
      </c>
      <c r="E184" s="21" t="s">
        <v>46</v>
      </c>
      <c r="F184" s="5812">
        <v>1</v>
      </c>
      <c r="G184" s="5813">
        <v>2.361111111111111E-2</v>
      </c>
      <c r="H184" s="21" t="s">
        <v>10</v>
      </c>
      <c r="I184" s="21" t="s">
        <v>23</v>
      </c>
      <c r="J184" s="21" t="s">
        <v>12901</v>
      </c>
      <c r="K184" s="5814" t="s">
        <v>12902</v>
      </c>
    </row>
    <row r="185" spans="1:11">
      <c r="A185" s="21" t="s">
        <v>2491</v>
      </c>
      <c r="B185" s="21" t="s">
        <v>12903</v>
      </c>
      <c r="C185" s="21" t="s">
        <v>8</v>
      </c>
      <c r="D185" s="21" t="s">
        <v>1430</v>
      </c>
      <c r="E185" s="21" t="s">
        <v>46</v>
      </c>
      <c r="F185" s="5812">
        <v>1</v>
      </c>
      <c r="G185" s="5813">
        <v>2.4305555555555556E-2</v>
      </c>
      <c r="H185" s="21" t="s">
        <v>10</v>
      </c>
      <c r="I185" s="21" t="s">
        <v>23</v>
      </c>
      <c r="J185" s="21" t="s">
        <v>48</v>
      </c>
      <c r="K185" s="5814" t="s">
        <v>12904</v>
      </c>
    </row>
    <row r="186" spans="1:11">
      <c r="A186" s="21" t="s">
        <v>2376</v>
      </c>
      <c r="B186" s="21" t="s">
        <v>12905</v>
      </c>
      <c r="C186" s="21" t="s">
        <v>8</v>
      </c>
      <c r="D186" s="21" t="s">
        <v>1430</v>
      </c>
      <c r="E186" s="21" t="s">
        <v>46</v>
      </c>
      <c r="F186" s="5812">
        <v>1</v>
      </c>
      <c r="G186" s="5813">
        <v>3.2638888888888891E-2</v>
      </c>
      <c r="H186" s="21" t="s">
        <v>10</v>
      </c>
      <c r="I186" s="21" t="s">
        <v>55</v>
      </c>
      <c r="J186" s="21" t="s">
        <v>97</v>
      </c>
      <c r="K186" s="5814" t="s">
        <v>12906</v>
      </c>
    </row>
    <row r="187" spans="1:11">
      <c r="A187" s="21" t="s">
        <v>3643</v>
      </c>
      <c r="B187" s="21" t="s">
        <v>12907</v>
      </c>
      <c r="C187" s="21" t="s">
        <v>8</v>
      </c>
      <c r="D187" s="21" t="s">
        <v>1430</v>
      </c>
      <c r="E187" s="21" t="s">
        <v>46</v>
      </c>
      <c r="F187" s="5812">
        <v>1</v>
      </c>
      <c r="G187" s="5813">
        <v>4.1666666666666664E-2</v>
      </c>
      <c r="H187" s="21" t="s">
        <v>10</v>
      </c>
      <c r="I187" s="21" t="s">
        <v>39</v>
      </c>
      <c r="J187" s="21" t="s">
        <v>722</v>
      </c>
      <c r="K187" s="5814" t="s">
        <v>12908</v>
      </c>
    </row>
    <row r="188" spans="1:11">
      <c r="A188" s="21" t="s">
        <v>2420</v>
      </c>
      <c r="B188" s="21" t="s">
        <v>12909</v>
      </c>
      <c r="C188" s="21" t="s">
        <v>22</v>
      </c>
      <c r="D188" s="21" t="s">
        <v>1430</v>
      </c>
      <c r="E188" s="21" t="s">
        <v>46</v>
      </c>
      <c r="F188" s="5812">
        <v>1</v>
      </c>
      <c r="G188" s="5813">
        <v>5.6944444444444443E-2</v>
      </c>
      <c r="H188" s="21" t="s">
        <v>10</v>
      </c>
      <c r="I188" s="21" t="s">
        <v>2269</v>
      </c>
      <c r="J188" s="21" t="s">
        <v>97</v>
      </c>
      <c r="K188" s="5814" t="s">
        <v>12910</v>
      </c>
    </row>
    <row r="189" spans="1:11">
      <c r="A189" s="21" t="s">
        <v>2687</v>
      </c>
      <c r="B189" s="21" t="s">
        <v>12911</v>
      </c>
      <c r="C189" s="21" t="s">
        <v>8</v>
      </c>
      <c r="D189" s="21" t="s">
        <v>1430</v>
      </c>
      <c r="E189" s="21" t="s">
        <v>46</v>
      </c>
      <c r="F189" s="5812">
        <v>1</v>
      </c>
      <c r="G189" s="5813">
        <v>8.1944444444444445E-2</v>
      </c>
      <c r="H189" s="21" t="s">
        <v>10</v>
      </c>
      <c r="I189" s="21" t="s">
        <v>73</v>
      </c>
      <c r="J189" s="21" t="s">
        <v>48</v>
      </c>
      <c r="K189" s="5814" t="s">
        <v>12912</v>
      </c>
    </row>
    <row r="190" spans="1:11">
      <c r="A190" s="21" t="s">
        <v>3872</v>
      </c>
      <c r="B190" s="21" t="s">
        <v>12913</v>
      </c>
      <c r="C190" s="21" t="s">
        <v>22</v>
      </c>
      <c r="D190" s="21" t="s">
        <v>1430</v>
      </c>
      <c r="E190" s="21" t="s">
        <v>46</v>
      </c>
      <c r="F190" s="5812">
        <v>1</v>
      </c>
      <c r="G190" s="5813">
        <v>9.7222222222222224E-2</v>
      </c>
      <c r="H190" s="21" t="s">
        <v>10</v>
      </c>
      <c r="I190" s="21" t="s">
        <v>117</v>
      </c>
      <c r="J190" s="21" t="s">
        <v>48</v>
      </c>
      <c r="K190" s="5814" t="s">
        <v>12914</v>
      </c>
    </row>
    <row r="191" spans="1:11">
      <c r="A191" s="21" t="s">
        <v>3006</v>
      </c>
      <c r="B191" s="21" t="s">
        <v>12915</v>
      </c>
      <c r="C191" s="21" t="s">
        <v>8</v>
      </c>
      <c r="D191" s="21" t="s">
        <v>1430</v>
      </c>
      <c r="E191" s="21" t="s">
        <v>46</v>
      </c>
      <c r="F191" s="5812">
        <v>1</v>
      </c>
      <c r="G191" s="5813">
        <v>0.10833333333333334</v>
      </c>
      <c r="H191" s="21" t="s">
        <v>10</v>
      </c>
      <c r="I191" s="21" t="s">
        <v>3464</v>
      </c>
      <c r="J191" s="21" t="s">
        <v>907</v>
      </c>
      <c r="K191" s="5814" t="s">
        <v>12916</v>
      </c>
    </row>
    <row r="192" spans="1:11">
      <c r="A192" s="21" t="s">
        <v>2123</v>
      </c>
      <c r="B192" s="21" t="s">
        <v>12917</v>
      </c>
      <c r="C192" s="21" t="s">
        <v>22</v>
      </c>
      <c r="D192" s="21" t="s">
        <v>1430</v>
      </c>
      <c r="E192" s="21" t="s">
        <v>46</v>
      </c>
      <c r="F192" s="5812">
        <v>1</v>
      </c>
      <c r="G192" s="5813">
        <v>0.15208333333333332</v>
      </c>
      <c r="H192" s="21" t="s">
        <v>10</v>
      </c>
      <c r="I192" s="21" t="s">
        <v>96</v>
      </c>
      <c r="J192" s="21" t="s">
        <v>48</v>
      </c>
      <c r="K192" s="5814" t="s">
        <v>12918</v>
      </c>
    </row>
    <row r="193" spans="1:11">
      <c r="A193" s="21" t="s">
        <v>3787</v>
      </c>
      <c r="B193" s="21" t="s">
        <v>12919</v>
      </c>
      <c r="C193" s="21" t="s">
        <v>8</v>
      </c>
      <c r="D193" s="21" t="s">
        <v>1430</v>
      </c>
      <c r="E193" s="21" t="s">
        <v>46</v>
      </c>
      <c r="F193" s="5812">
        <v>2</v>
      </c>
      <c r="G193" s="5813">
        <v>1.1805555555555555E-2</v>
      </c>
      <c r="H193" s="21" t="s">
        <v>10</v>
      </c>
      <c r="I193" s="21" t="s">
        <v>226</v>
      </c>
      <c r="J193" s="21" t="s">
        <v>4647</v>
      </c>
      <c r="K193" s="5814" t="s">
        <v>12920</v>
      </c>
    </row>
    <row r="194" spans="1:11">
      <c r="A194" s="21" t="s">
        <v>3481</v>
      </c>
      <c r="B194" s="21" t="s">
        <v>12921</v>
      </c>
      <c r="C194" s="21" t="s">
        <v>8</v>
      </c>
      <c r="D194" s="21" t="s">
        <v>1430</v>
      </c>
      <c r="E194" s="21" t="s">
        <v>46</v>
      </c>
      <c r="F194" s="5812">
        <v>2</v>
      </c>
      <c r="G194" s="5813">
        <v>3.7499999999999999E-2</v>
      </c>
      <c r="H194" s="21" t="s">
        <v>10</v>
      </c>
      <c r="I194" s="21" t="s">
        <v>55</v>
      </c>
      <c r="J194" s="21" t="s">
        <v>48</v>
      </c>
      <c r="K194" s="5814" t="s">
        <v>12922</v>
      </c>
    </row>
    <row r="195" spans="1:11">
      <c r="A195" s="21" t="s">
        <v>2935</v>
      </c>
      <c r="B195" s="21" t="s">
        <v>12923</v>
      </c>
      <c r="C195" s="21" t="s">
        <v>22</v>
      </c>
      <c r="D195" s="21" t="s">
        <v>1430</v>
      </c>
      <c r="E195" s="21" t="s">
        <v>46</v>
      </c>
      <c r="F195" s="5812">
        <v>2</v>
      </c>
      <c r="G195" s="5813">
        <v>6.1111111111111109E-2</v>
      </c>
      <c r="H195" s="21" t="s">
        <v>10</v>
      </c>
      <c r="I195" s="21" t="s">
        <v>10083</v>
      </c>
      <c r="J195" s="21" t="s">
        <v>417</v>
      </c>
      <c r="K195" s="5814" t="s">
        <v>12924</v>
      </c>
    </row>
    <row r="196" spans="1:11">
      <c r="A196" s="21" t="s">
        <v>2192</v>
      </c>
      <c r="B196" s="21" t="s">
        <v>12925</v>
      </c>
      <c r="C196" s="21" t="s">
        <v>8</v>
      </c>
      <c r="D196" s="21" t="s">
        <v>1430</v>
      </c>
      <c r="E196" s="21" t="s">
        <v>46</v>
      </c>
      <c r="F196" s="5812">
        <v>2</v>
      </c>
      <c r="G196" s="5813">
        <v>8.4027777777777785E-2</v>
      </c>
      <c r="H196" s="21" t="s">
        <v>10</v>
      </c>
      <c r="I196" s="21" t="s">
        <v>187</v>
      </c>
      <c r="J196" s="21" t="s">
        <v>4586</v>
      </c>
      <c r="K196" s="5814" t="s">
        <v>12926</v>
      </c>
    </row>
    <row r="197" spans="1:11">
      <c r="A197" s="21" t="s">
        <v>231</v>
      </c>
      <c r="B197" s="21" t="s">
        <v>1513</v>
      </c>
      <c r="C197" s="21" t="s">
        <v>8</v>
      </c>
      <c r="D197" s="21" t="s">
        <v>1430</v>
      </c>
      <c r="E197" s="21" t="s">
        <v>46</v>
      </c>
      <c r="F197" s="5812">
        <v>2</v>
      </c>
      <c r="G197" s="5813">
        <v>9.3055555555555558E-2</v>
      </c>
      <c r="H197" s="21" t="s">
        <v>10</v>
      </c>
      <c r="I197" s="21" t="s">
        <v>245</v>
      </c>
      <c r="J197" s="21" t="s">
        <v>430</v>
      </c>
      <c r="K197" s="5814" t="s">
        <v>12927</v>
      </c>
    </row>
    <row r="198" spans="1:11">
      <c r="A198" s="21" t="s">
        <v>2420</v>
      </c>
      <c r="B198" s="21" t="s">
        <v>9923</v>
      </c>
      <c r="C198" s="21" t="s">
        <v>8</v>
      </c>
      <c r="D198" s="21" t="s">
        <v>1430</v>
      </c>
      <c r="E198" s="21" t="s">
        <v>46</v>
      </c>
      <c r="F198" s="5812">
        <v>2</v>
      </c>
      <c r="G198" s="5813">
        <v>0.10277777777777777</v>
      </c>
      <c r="H198" s="21" t="s">
        <v>10</v>
      </c>
      <c r="I198" s="21" t="s">
        <v>47</v>
      </c>
      <c r="J198" s="21" t="s">
        <v>3132</v>
      </c>
      <c r="K198" s="5814" t="s">
        <v>12928</v>
      </c>
    </row>
    <row r="199" spans="1:11">
      <c r="A199" s="21" t="s">
        <v>2307</v>
      </c>
      <c r="B199" s="21" t="s">
        <v>12929</v>
      </c>
      <c r="C199" s="21" t="s">
        <v>8</v>
      </c>
      <c r="D199" s="21" t="s">
        <v>1430</v>
      </c>
      <c r="E199" s="21" t="s">
        <v>46</v>
      </c>
      <c r="F199" s="5812">
        <v>2</v>
      </c>
      <c r="G199" s="5813">
        <v>0.1125</v>
      </c>
      <c r="H199" s="21" t="s">
        <v>10</v>
      </c>
      <c r="I199" s="21" t="s">
        <v>73</v>
      </c>
      <c r="J199" s="21" t="s">
        <v>430</v>
      </c>
      <c r="K199" s="5814" t="s">
        <v>12930</v>
      </c>
    </row>
    <row r="200" spans="1:11">
      <c r="A200" s="21" t="s">
        <v>2334</v>
      </c>
      <c r="B200" s="21" t="s">
        <v>12931</v>
      </c>
      <c r="C200" s="21" t="s">
        <v>22</v>
      </c>
      <c r="D200" s="21" t="s">
        <v>1430</v>
      </c>
      <c r="E200" s="21" t="s">
        <v>46</v>
      </c>
      <c r="F200" s="5812">
        <v>2</v>
      </c>
      <c r="G200" s="5813">
        <v>0.1125</v>
      </c>
      <c r="H200" s="21" t="s">
        <v>10</v>
      </c>
      <c r="I200" s="21" t="s">
        <v>6824</v>
      </c>
      <c r="J200" s="21" t="s">
        <v>127</v>
      </c>
      <c r="K200" s="5814" t="s">
        <v>12932</v>
      </c>
    </row>
    <row r="201" spans="1:11">
      <c r="A201" s="21" t="s">
        <v>4383</v>
      </c>
      <c r="B201" s="21" t="s">
        <v>12933</v>
      </c>
      <c r="C201" s="21" t="s">
        <v>22</v>
      </c>
      <c r="D201" s="21" t="s">
        <v>1430</v>
      </c>
      <c r="E201" s="21" t="s">
        <v>46</v>
      </c>
      <c r="F201" s="5812">
        <v>2</v>
      </c>
      <c r="G201" s="5813">
        <v>0.12222222222222222</v>
      </c>
      <c r="H201" s="21" t="s">
        <v>10</v>
      </c>
      <c r="I201" s="21" t="s">
        <v>96</v>
      </c>
      <c r="J201" s="21" t="s">
        <v>97</v>
      </c>
      <c r="K201" s="5814" t="s">
        <v>12934</v>
      </c>
    </row>
    <row r="202" spans="1:11">
      <c r="A202" s="21" t="s">
        <v>2901</v>
      </c>
      <c r="B202" s="21" t="s">
        <v>12935</v>
      </c>
      <c r="C202" s="21" t="s">
        <v>22</v>
      </c>
      <c r="D202" s="21" t="s">
        <v>1430</v>
      </c>
      <c r="E202" s="21" t="s">
        <v>46</v>
      </c>
      <c r="F202" s="5812">
        <v>2</v>
      </c>
      <c r="G202" s="5813">
        <v>0.12361111111111112</v>
      </c>
      <c r="H202" s="21" t="s">
        <v>10</v>
      </c>
      <c r="I202" s="21" t="s">
        <v>11</v>
      </c>
      <c r="J202" s="21" t="s">
        <v>9732</v>
      </c>
      <c r="K202" s="5814" t="s">
        <v>12936</v>
      </c>
    </row>
    <row r="203" spans="1:11">
      <c r="A203" s="21" t="s">
        <v>185</v>
      </c>
      <c r="B203" s="21" t="s">
        <v>1501</v>
      </c>
      <c r="C203" s="21" t="s">
        <v>8</v>
      </c>
      <c r="D203" s="21" t="s">
        <v>1430</v>
      </c>
      <c r="E203" s="21" t="s">
        <v>46</v>
      </c>
      <c r="F203" s="5812">
        <v>2</v>
      </c>
      <c r="G203" s="5813">
        <v>0.13333333333333333</v>
      </c>
      <c r="H203" s="21" t="s">
        <v>10</v>
      </c>
      <c r="I203" s="21" t="s">
        <v>187</v>
      </c>
      <c r="J203" s="21" t="s">
        <v>258</v>
      </c>
      <c r="K203" s="5814" t="s">
        <v>1502</v>
      </c>
    </row>
    <row r="204" spans="1:11">
      <c r="A204" s="21" t="s">
        <v>223</v>
      </c>
      <c r="B204" s="21" t="s">
        <v>1448</v>
      </c>
      <c r="C204" s="21" t="s">
        <v>8</v>
      </c>
      <c r="D204" s="21" t="s">
        <v>1430</v>
      </c>
      <c r="E204" s="21" t="s">
        <v>46</v>
      </c>
      <c r="F204" s="5812">
        <v>2</v>
      </c>
      <c r="G204" s="5813">
        <v>0.13541666666666666</v>
      </c>
      <c r="H204" s="21" t="s">
        <v>10</v>
      </c>
      <c r="I204" s="21" t="s">
        <v>11</v>
      </c>
      <c r="J204" s="21" t="s">
        <v>48</v>
      </c>
      <c r="K204" s="5814" t="s">
        <v>1449</v>
      </c>
    </row>
    <row r="205" spans="1:11">
      <c r="A205" s="21" t="s">
        <v>3896</v>
      </c>
      <c r="B205" s="21" t="s">
        <v>12937</v>
      </c>
      <c r="C205" s="21" t="s">
        <v>8</v>
      </c>
      <c r="D205" s="21" t="s">
        <v>1430</v>
      </c>
      <c r="E205" s="21" t="s">
        <v>46</v>
      </c>
      <c r="F205" s="5812">
        <v>2</v>
      </c>
      <c r="G205" s="5813">
        <v>0.17083333333333334</v>
      </c>
      <c r="H205" s="21" t="s">
        <v>10</v>
      </c>
      <c r="I205" s="21" t="s">
        <v>11</v>
      </c>
      <c r="J205" s="21" t="s">
        <v>417</v>
      </c>
      <c r="K205" s="5814" t="s">
        <v>12938</v>
      </c>
    </row>
    <row r="206" spans="1:11">
      <c r="A206" s="21" t="s">
        <v>2560</v>
      </c>
      <c r="B206" s="21" t="s">
        <v>12939</v>
      </c>
      <c r="C206" s="21" t="s">
        <v>22</v>
      </c>
      <c r="D206" s="21" t="s">
        <v>1430</v>
      </c>
      <c r="E206" s="21" t="s">
        <v>46</v>
      </c>
      <c r="F206" s="5812">
        <v>2</v>
      </c>
      <c r="G206" s="5813">
        <v>0.18472222222222223</v>
      </c>
      <c r="H206" s="21" t="s">
        <v>10</v>
      </c>
      <c r="I206" s="21" t="s">
        <v>187</v>
      </c>
      <c r="J206" s="21" t="s">
        <v>907</v>
      </c>
      <c r="K206" s="5814" t="s">
        <v>12940</v>
      </c>
    </row>
    <row r="207" spans="1:11">
      <c r="A207" s="21" t="s">
        <v>5168</v>
      </c>
      <c r="B207" s="21" t="s">
        <v>12941</v>
      </c>
      <c r="C207" s="21" t="s">
        <v>8</v>
      </c>
      <c r="D207" s="21" t="s">
        <v>1430</v>
      </c>
      <c r="E207" s="21" t="s">
        <v>46</v>
      </c>
      <c r="F207" s="5812">
        <v>2</v>
      </c>
      <c r="G207" s="5813">
        <v>0.19027777777777777</v>
      </c>
      <c r="H207" s="21" t="s">
        <v>10</v>
      </c>
      <c r="I207" s="21" t="s">
        <v>11</v>
      </c>
      <c r="J207" s="21" t="s">
        <v>258</v>
      </c>
      <c r="K207" s="5814" t="s">
        <v>12942</v>
      </c>
    </row>
    <row r="208" spans="1:11">
      <c r="A208" s="21" t="s">
        <v>2376</v>
      </c>
      <c r="B208" s="21" t="s">
        <v>12943</v>
      </c>
      <c r="C208" s="21" t="s">
        <v>22</v>
      </c>
      <c r="D208" s="21" t="s">
        <v>1430</v>
      </c>
      <c r="E208" s="21" t="s">
        <v>46</v>
      </c>
      <c r="F208" s="5812">
        <v>3</v>
      </c>
      <c r="G208" s="5813">
        <v>3.7499999999999999E-2</v>
      </c>
      <c r="H208" s="21" t="s">
        <v>54</v>
      </c>
      <c r="I208" s="21" t="s">
        <v>96</v>
      </c>
      <c r="J208" s="21" t="s">
        <v>97</v>
      </c>
      <c r="K208" s="5814" t="s">
        <v>12944</v>
      </c>
    </row>
    <row r="209" spans="1:11">
      <c r="A209" s="21" t="s">
        <v>2995</v>
      </c>
      <c r="B209" s="21" t="s">
        <v>12945</v>
      </c>
      <c r="C209" s="21" t="s">
        <v>8</v>
      </c>
      <c r="D209" s="21" t="s">
        <v>1430</v>
      </c>
      <c r="E209" s="21" t="s">
        <v>46</v>
      </c>
      <c r="F209" s="5812">
        <v>3</v>
      </c>
      <c r="G209" s="5813">
        <v>0.15347222222222223</v>
      </c>
      <c r="H209" s="21" t="s">
        <v>10</v>
      </c>
      <c r="I209" s="21" t="s">
        <v>23</v>
      </c>
      <c r="J209" s="21" t="s">
        <v>430</v>
      </c>
      <c r="K209" s="5814" t="s">
        <v>12946</v>
      </c>
    </row>
    <row r="210" spans="1:11">
      <c r="A210" s="21" t="s">
        <v>2424</v>
      </c>
      <c r="B210" s="21" t="s">
        <v>12947</v>
      </c>
      <c r="C210" s="21" t="s">
        <v>22</v>
      </c>
      <c r="D210" s="21" t="s">
        <v>1430</v>
      </c>
      <c r="E210" s="21" t="s">
        <v>46</v>
      </c>
      <c r="F210" s="5812">
        <v>3</v>
      </c>
      <c r="G210" s="5813">
        <v>0.16111111111111112</v>
      </c>
      <c r="H210" s="21" t="s">
        <v>10</v>
      </c>
      <c r="I210" s="21" t="s">
        <v>23</v>
      </c>
      <c r="J210" s="21" t="s">
        <v>907</v>
      </c>
      <c r="K210" s="5814" t="s">
        <v>12948</v>
      </c>
    </row>
    <row r="211" spans="1:11">
      <c r="A211" s="21" t="s">
        <v>65</v>
      </c>
      <c r="B211" s="21" t="s">
        <v>1509</v>
      </c>
      <c r="C211" s="21" t="s">
        <v>22</v>
      </c>
      <c r="D211" s="21" t="s">
        <v>1430</v>
      </c>
      <c r="E211" s="21" t="s">
        <v>46</v>
      </c>
      <c r="F211" s="5812">
        <v>3</v>
      </c>
      <c r="G211" s="5813">
        <v>0.16180555555555556</v>
      </c>
      <c r="H211" s="21" t="s">
        <v>10</v>
      </c>
      <c r="I211" s="21" t="s">
        <v>23</v>
      </c>
      <c r="J211" s="21" t="s">
        <v>97</v>
      </c>
      <c r="K211" s="5814" t="s">
        <v>1510</v>
      </c>
    </row>
    <row r="212" spans="1:11">
      <c r="A212" s="21" t="s">
        <v>2687</v>
      </c>
      <c r="B212" s="21" t="s">
        <v>12949</v>
      </c>
      <c r="C212" s="21" t="s">
        <v>22</v>
      </c>
      <c r="D212" s="21" t="s">
        <v>1430</v>
      </c>
      <c r="E212" s="21" t="s">
        <v>46</v>
      </c>
      <c r="F212" s="5812">
        <v>3</v>
      </c>
      <c r="G212" s="5813">
        <v>0.18958333333333333</v>
      </c>
      <c r="H212" s="21" t="s">
        <v>10</v>
      </c>
      <c r="I212" s="21" t="s">
        <v>73</v>
      </c>
      <c r="J212" s="21" t="s">
        <v>417</v>
      </c>
      <c r="K212" s="5814" t="s">
        <v>12950</v>
      </c>
    </row>
    <row r="213" spans="1:11">
      <c r="A213" s="21" t="s">
        <v>2651</v>
      </c>
      <c r="B213" s="21" t="s">
        <v>12951</v>
      </c>
      <c r="C213" s="21" t="s">
        <v>22</v>
      </c>
      <c r="D213" s="21" t="s">
        <v>1430</v>
      </c>
      <c r="E213" s="21" t="s">
        <v>61</v>
      </c>
      <c r="F213" s="5812">
        <v>1</v>
      </c>
      <c r="G213" s="5813">
        <v>4.2361111111111113E-2</v>
      </c>
      <c r="H213" s="21" t="s">
        <v>10</v>
      </c>
      <c r="I213" s="21" t="s">
        <v>2430</v>
      </c>
      <c r="J213" s="21" t="s">
        <v>67</v>
      </c>
      <c r="K213" s="5814" t="s">
        <v>12952</v>
      </c>
    </row>
    <row r="214" spans="1:11">
      <c r="A214" s="21" t="s">
        <v>2197</v>
      </c>
      <c r="B214" s="21" t="s">
        <v>12953</v>
      </c>
      <c r="C214" s="21" t="s">
        <v>8</v>
      </c>
      <c r="D214" s="21" t="s">
        <v>1430</v>
      </c>
      <c r="E214" s="21" t="s">
        <v>61</v>
      </c>
      <c r="F214" s="5812">
        <v>1</v>
      </c>
      <c r="G214" s="5813">
        <v>5.6250000000000001E-2</v>
      </c>
      <c r="H214" s="21" t="s">
        <v>10</v>
      </c>
      <c r="I214" s="21" t="s">
        <v>2747</v>
      </c>
      <c r="J214" s="21" t="s">
        <v>4770</v>
      </c>
      <c r="K214" s="5814" t="s">
        <v>12954</v>
      </c>
    </row>
    <row r="215" spans="1:11">
      <c r="A215" s="21" t="s">
        <v>20</v>
      </c>
      <c r="B215" s="21" t="s">
        <v>1483</v>
      </c>
      <c r="C215" s="21" t="s">
        <v>8</v>
      </c>
      <c r="D215" s="21" t="s">
        <v>1430</v>
      </c>
      <c r="E215" s="21" t="s">
        <v>61</v>
      </c>
      <c r="F215" s="5812">
        <v>1</v>
      </c>
      <c r="G215" s="5813">
        <v>6.805555555555555E-2</v>
      </c>
      <c r="H215" s="21" t="s">
        <v>10</v>
      </c>
      <c r="I215" s="21" t="s">
        <v>89</v>
      </c>
      <c r="J215" s="21" t="s">
        <v>1379</v>
      </c>
      <c r="K215" s="5814" t="s">
        <v>1484</v>
      </c>
    </row>
    <row r="216" spans="1:11">
      <c r="A216" s="21" t="s">
        <v>2530</v>
      </c>
      <c r="B216" s="21" t="s">
        <v>12955</v>
      </c>
      <c r="C216" s="21" t="s">
        <v>22</v>
      </c>
      <c r="D216" s="21" t="s">
        <v>1430</v>
      </c>
      <c r="E216" s="21" t="s">
        <v>61</v>
      </c>
      <c r="F216" s="5812">
        <v>1</v>
      </c>
      <c r="G216" s="5813">
        <v>7.2222222222222215E-2</v>
      </c>
      <c r="H216" s="21" t="s">
        <v>10</v>
      </c>
      <c r="I216" s="21" t="s">
        <v>47</v>
      </c>
      <c r="J216" s="21" t="s">
        <v>1444</v>
      </c>
      <c r="K216" s="5814" t="s">
        <v>12956</v>
      </c>
    </row>
    <row r="217" spans="1:11">
      <c r="A217" s="21" t="s">
        <v>4068</v>
      </c>
      <c r="B217" s="21" t="s">
        <v>12957</v>
      </c>
      <c r="C217" s="21" t="s">
        <v>8</v>
      </c>
      <c r="D217" s="21" t="s">
        <v>1430</v>
      </c>
      <c r="E217" s="21" t="s">
        <v>61</v>
      </c>
      <c r="F217" s="5812">
        <v>1</v>
      </c>
      <c r="G217" s="5813">
        <v>7.8472222222222221E-2</v>
      </c>
      <c r="H217" s="21" t="s">
        <v>10</v>
      </c>
      <c r="I217" s="21" t="s">
        <v>96</v>
      </c>
      <c r="J217" s="21" t="s">
        <v>928</v>
      </c>
      <c r="K217" s="5814" t="s">
        <v>12958</v>
      </c>
    </row>
    <row r="218" spans="1:11">
      <c r="A218" s="21" t="s">
        <v>3192</v>
      </c>
      <c r="B218" s="21" t="s">
        <v>12959</v>
      </c>
      <c r="C218" s="21" t="s">
        <v>8</v>
      </c>
      <c r="D218" s="21" t="s">
        <v>1430</v>
      </c>
      <c r="E218" s="21" t="s">
        <v>61</v>
      </c>
      <c r="F218" s="5812">
        <v>1</v>
      </c>
      <c r="G218" s="5813">
        <v>8.2638888888888887E-2</v>
      </c>
      <c r="H218" s="21" t="s">
        <v>10</v>
      </c>
      <c r="I218" s="21" t="s">
        <v>2297</v>
      </c>
      <c r="J218" s="21" t="s">
        <v>67</v>
      </c>
      <c r="K218" s="5814" t="s">
        <v>12960</v>
      </c>
    </row>
    <row r="219" spans="1:11">
      <c r="A219" s="21" t="s">
        <v>2454</v>
      </c>
      <c r="B219" s="21" t="s">
        <v>12961</v>
      </c>
      <c r="C219" s="21" t="s">
        <v>22</v>
      </c>
      <c r="D219" s="21" t="s">
        <v>1430</v>
      </c>
      <c r="E219" s="21" t="s">
        <v>61</v>
      </c>
      <c r="F219" s="5812">
        <v>1</v>
      </c>
      <c r="G219" s="5813">
        <v>0.10069444444444445</v>
      </c>
      <c r="H219" s="21" t="s">
        <v>10</v>
      </c>
      <c r="I219" s="21" t="s">
        <v>615</v>
      </c>
      <c r="J219" s="21" t="s">
        <v>11815</v>
      </c>
      <c r="K219" s="5814" t="s">
        <v>12962</v>
      </c>
    </row>
    <row r="220" spans="1:11">
      <c r="A220" s="21" t="s">
        <v>3217</v>
      </c>
      <c r="B220" s="21" t="s">
        <v>12963</v>
      </c>
      <c r="C220" s="21" t="s">
        <v>8</v>
      </c>
      <c r="D220" s="21" t="s">
        <v>1430</v>
      </c>
      <c r="E220" s="21" t="s">
        <v>61</v>
      </c>
      <c r="F220" s="5812">
        <v>1</v>
      </c>
      <c r="G220" s="5813">
        <v>0.10208333333333333</v>
      </c>
      <c r="H220" s="21" t="s">
        <v>10</v>
      </c>
      <c r="I220" s="21" t="s">
        <v>233</v>
      </c>
      <c r="J220" s="21" t="s">
        <v>67</v>
      </c>
      <c r="K220" s="5814" t="s">
        <v>12964</v>
      </c>
    </row>
    <row r="221" spans="1:11">
      <c r="A221" s="21" t="s">
        <v>3315</v>
      </c>
      <c r="B221" s="21" t="s">
        <v>12965</v>
      </c>
      <c r="C221" s="21" t="s">
        <v>8</v>
      </c>
      <c r="D221" s="21" t="s">
        <v>1430</v>
      </c>
      <c r="E221" s="21" t="s">
        <v>61</v>
      </c>
      <c r="F221" s="5812">
        <v>1</v>
      </c>
      <c r="G221" s="5813">
        <v>0.10833333333333334</v>
      </c>
      <c r="H221" s="21" t="s">
        <v>10</v>
      </c>
      <c r="I221" s="21" t="s">
        <v>96</v>
      </c>
      <c r="J221" s="21" t="s">
        <v>12966</v>
      </c>
      <c r="K221" s="5814" t="s">
        <v>12967</v>
      </c>
    </row>
    <row r="222" spans="1:11">
      <c r="A222" s="21" t="s">
        <v>2711</v>
      </c>
      <c r="B222" s="21" t="s">
        <v>12968</v>
      </c>
      <c r="C222" s="21" t="s">
        <v>22</v>
      </c>
      <c r="D222" s="21" t="s">
        <v>1430</v>
      </c>
      <c r="E222" s="21" t="s">
        <v>61</v>
      </c>
      <c r="F222" s="5812">
        <v>1</v>
      </c>
      <c r="G222" s="5813">
        <v>0.11388888888888889</v>
      </c>
      <c r="H222" s="21" t="s">
        <v>10</v>
      </c>
      <c r="I222" s="21" t="s">
        <v>2747</v>
      </c>
      <c r="J222" s="21" t="s">
        <v>67</v>
      </c>
      <c r="K222" s="5814" t="s">
        <v>12969</v>
      </c>
    </row>
    <row r="223" spans="1:11">
      <c r="A223" s="21" t="s">
        <v>4434</v>
      </c>
      <c r="B223" s="21" t="s">
        <v>12970</v>
      </c>
      <c r="C223" s="21" t="s">
        <v>8</v>
      </c>
      <c r="D223" s="21" t="s">
        <v>1430</v>
      </c>
      <c r="E223" s="21" t="s">
        <v>61</v>
      </c>
      <c r="F223" s="5812">
        <v>1</v>
      </c>
      <c r="G223" s="5813">
        <v>0.11597222222222223</v>
      </c>
      <c r="H223" s="21" t="s">
        <v>10</v>
      </c>
      <c r="I223" s="21" t="s">
        <v>5243</v>
      </c>
      <c r="J223" s="21" t="s">
        <v>67</v>
      </c>
      <c r="K223" s="5814" t="s">
        <v>12971</v>
      </c>
    </row>
    <row r="224" spans="1:11">
      <c r="A224" s="21" t="s">
        <v>2229</v>
      </c>
      <c r="B224" s="21" t="s">
        <v>12972</v>
      </c>
      <c r="C224" s="21" t="s">
        <v>8</v>
      </c>
      <c r="D224" s="21" t="s">
        <v>1430</v>
      </c>
      <c r="E224" s="21" t="s">
        <v>61</v>
      </c>
      <c r="F224" s="5812">
        <v>1</v>
      </c>
      <c r="G224" s="5813">
        <v>0.12708333333333333</v>
      </c>
      <c r="H224" s="21" t="s">
        <v>10</v>
      </c>
      <c r="I224" s="21" t="s">
        <v>2247</v>
      </c>
      <c r="J224" s="21" t="s">
        <v>67</v>
      </c>
      <c r="K224" s="5814" t="s">
        <v>12973</v>
      </c>
    </row>
    <row r="225" spans="1:11">
      <c r="A225" s="21" t="s">
        <v>3012</v>
      </c>
      <c r="B225" s="21" t="s">
        <v>12974</v>
      </c>
      <c r="C225" s="21" t="s">
        <v>22</v>
      </c>
      <c r="D225" s="21" t="s">
        <v>1430</v>
      </c>
      <c r="E225" s="21" t="s">
        <v>61</v>
      </c>
      <c r="F225" s="5812">
        <v>1</v>
      </c>
      <c r="G225" s="5813">
        <v>0.13402777777777777</v>
      </c>
      <c r="H225" s="21" t="s">
        <v>54</v>
      </c>
      <c r="I225" s="21" t="s">
        <v>11</v>
      </c>
      <c r="J225" s="21" t="s">
        <v>12975</v>
      </c>
      <c r="K225" s="5814" t="s">
        <v>12976</v>
      </c>
    </row>
    <row r="226" spans="1:11">
      <c r="A226" s="21" t="s">
        <v>3505</v>
      </c>
      <c r="B226" s="21" t="s">
        <v>12977</v>
      </c>
      <c r="C226" s="21" t="s">
        <v>8</v>
      </c>
      <c r="D226" s="21" t="s">
        <v>1430</v>
      </c>
      <c r="E226" s="21" t="s">
        <v>61</v>
      </c>
      <c r="F226" s="5812">
        <v>1</v>
      </c>
      <c r="G226" s="5813">
        <v>0.13750000000000001</v>
      </c>
      <c r="H226" s="21" t="s">
        <v>10</v>
      </c>
      <c r="I226" s="21" t="s">
        <v>39</v>
      </c>
      <c r="J226" s="21" t="s">
        <v>1444</v>
      </c>
      <c r="K226" s="5814" t="s">
        <v>12978</v>
      </c>
    </row>
    <row r="227" spans="1:11">
      <c r="A227" s="21" t="s">
        <v>2233</v>
      </c>
      <c r="B227" s="21" t="s">
        <v>12979</v>
      </c>
      <c r="C227" s="21" t="s">
        <v>22</v>
      </c>
      <c r="D227" s="21" t="s">
        <v>1430</v>
      </c>
      <c r="E227" s="21" t="s">
        <v>61</v>
      </c>
      <c r="F227" s="5812">
        <v>1</v>
      </c>
      <c r="G227" s="5813">
        <v>0.13819444444444445</v>
      </c>
      <c r="H227" s="21" t="s">
        <v>10</v>
      </c>
      <c r="I227" s="21" t="s">
        <v>55</v>
      </c>
      <c r="J227" s="21" t="s">
        <v>67</v>
      </c>
      <c r="K227" s="5814" t="s">
        <v>12980</v>
      </c>
    </row>
    <row r="228" spans="1:11">
      <c r="A228" s="21" t="s">
        <v>2804</v>
      </c>
      <c r="B228" s="21" t="s">
        <v>12981</v>
      </c>
      <c r="C228" s="21" t="s">
        <v>22</v>
      </c>
      <c r="D228" s="21" t="s">
        <v>1430</v>
      </c>
      <c r="E228" s="21" t="s">
        <v>61</v>
      </c>
      <c r="F228" s="5812">
        <v>1</v>
      </c>
      <c r="G228" s="5813">
        <v>0.13958333333333334</v>
      </c>
      <c r="H228" s="21" t="s">
        <v>54</v>
      </c>
      <c r="I228" s="21" t="s">
        <v>2297</v>
      </c>
      <c r="J228" s="21" t="s">
        <v>67</v>
      </c>
      <c r="K228" s="5814" t="s">
        <v>12982</v>
      </c>
    </row>
    <row r="229" spans="1:11">
      <c r="A229" s="21" t="s">
        <v>2188</v>
      </c>
      <c r="B229" s="21" t="s">
        <v>12983</v>
      </c>
      <c r="C229" s="21" t="s">
        <v>8</v>
      </c>
      <c r="D229" s="21" t="s">
        <v>1430</v>
      </c>
      <c r="E229" s="21" t="s">
        <v>61</v>
      </c>
      <c r="F229" s="5812">
        <v>1</v>
      </c>
      <c r="G229" s="5813">
        <v>0.15347222222222223</v>
      </c>
      <c r="H229" s="21" t="s">
        <v>10</v>
      </c>
      <c r="I229" s="21" t="s">
        <v>2149</v>
      </c>
      <c r="J229" s="21" t="s">
        <v>1379</v>
      </c>
      <c r="K229" s="5814" t="s">
        <v>12984</v>
      </c>
    </row>
    <row r="230" spans="1:11">
      <c r="A230" s="21" t="s">
        <v>2147</v>
      </c>
      <c r="B230" s="21" t="s">
        <v>12985</v>
      </c>
      <c r="C230" s="21" t="s">
        <v>22</v>
      </c>
      <c r="D230" s="21" t="s">
        <v>1430</v>
      </c>
      <c r="E230" s="21" t="s">
        <v>61</v>
      </c>
      <c r="F230" s="5812">
        <v>1</v>
      </c>
      <c r="G230" s="5813">
        <v>0.15486111111111112</v>
      </c>
      <c r="H230" s="21" t="s">
        <v>10</v>
      </c>
      <c r="I230" s="21" t="s">
        <v>2660</v>
      </c>
      <c r="J230" s="21" t="s">
        <v>67</v>
      </c>
      <c r="K230" s="5814" t="s">
        <v>12986</v>
      </c>
    </row>
    <row r="231" spans="1:11">
      <c r="A231" s="21" t="s">
        <v>2131</v>
      </c>
      <c r="B231" s="21" t="s">
        <v>12987</v>
      </c>
      <c r="C231" s="21" t="s">
        <v>8</v>
      </c>
      <c r="D231" s="21" t="s">
        <v>1430</v>
      </c>
      <c r="E231" s="21" t="s">
        <v>61</v>
      </c>
      <c r="F231" s="5812">
        <v>1</v>
      </c>
      <c r="G231" s="5813">
        <v>0.15555555555555556</v>
      </c>
      <c r="H231" s="21" t="s">
        <v>10</v>
      </c>
      <c r="I231" s="21" t="s">
        <v>96</v>
      </c>
      <c r="J231" s="21" t="s">
        <v>1444</v>
      </c>
      <c r="K231" s="5814" t="s">
        <v>12988</v>
      </c>
    </row>
    <row r="232" spans="1:11">
      <c r="A232" s="21" t="s">
        <v>2745</v>
      </c>
      <c r="B232" s="21" t="s">
        <v>12989</v>
      </c>
      <c r="C232" s="21" t="s">
        <v>22</v>
      </c>
      <c r="D232" s="21" t="s">
        <v>1430</v>
      </c>
      <c r="E232" s="21" t="s">
        <v>61</v>
      </c>
      <c r="F232" s="5812">
        <v>1</v>
      </c>
      <c r="G232" s="5813">
        <v>0.15972222222222221</v>
      </c>
      <c r="H232" s="21" t="s">
        <v>10</v>
      </c>
      <c r="I232" s="21" t="s">
        <v>2747</v>
      </c>
      <c r="J232" s="21" t="s">
        <v>67</v>
      </c>
      <c r="K232" s="5814" t="s">
        <v>12990</v>
      </c>
    </row>
    <row r="233" spans="1:11">
      <c r="A233" s="21" t="s">
        <v>4671</v>
      </c>
      <c r="B233" s="21" t="s">
        <v>12991</v>
      </c>
      <c r="C233" s="21" t="s">
        <v>8</v>
      </c>
      <c r="D233" s="21" t="s">
        <v>1430</v>
      </c>
      <c r="E233" s="21" t="s">
        <v>61</v>
      </c>
      <c r="F233" s="5812">
        <v>1</v>
      </c>
      <c r="G233" s="5813">
        <v>0.17291666666666666</v>
      </c>
      <c r="H233" s="21" t="s">
        <v>10</v>
      </c>
      <c r="I233" s="21" t="s">
        <v>3534</v>
      </c>
      <c r="J233" s="21" t="s">
        <v>67</v>
      </c>
      <c r="K233" s="5814" t="s">
        <v>12992</v>
      </c>
    </row>
    <row r="234" spans="1:11">
      <c r="A234" s="21" t="s">
        <v>2108</v>
      </c>
      <c r="B234" s="21" t="s">
        <v>12993</v>
      </c>
      <c r="C234" s="21" t="s">
        <v>8</v>
      </c>
      <c r="D234" s="21" t="s">
        <v>1430</v>
      </c>
      <c r="E234" s="21" t="s">
        <v>61</v>
      </c>
      <c r="F234" s="5812">
        <v>1</v>
      </c>
      <c r="G234" s="5813">
        <v>0.1763888888888889</v>
      </c>
      <c r="H234" s="21" t="s">
        <v>10</v>
      </c>
      <c r="I234" s="21" t="s">
        <v>55</v>
      </c>
      <c r="J234" s="21" t="s">
        <v>5461</v>
      </c>
      <c r="K234" s="5814" t="s">
        <v>12994</v>
      </c>
    </row>
    <row r="235" spans="1:11">
      <c r="A235" s="21" t="s">
        <v>2638</v>
      </c>
      <c r="B235" s="21" t="s">
        <v>12995</v>
      </c>
      <c r="C235" s="21" t="s">
        <v>8</v>
      </c>
      <c r="D235" s="21" t="s">
        <v>1430</v>
      </c>
      <c r="E235" s="21" t="s">
        <v>61</v>
      </c>
      <c r="F235" s="5812">
        <v>1</v>
      </c>
      <c r="G235" s="5813">
        <v>0.18333333333333332</v>
      </c>
      <c r="H235" s="21" t="s">
        <v>10</v>
      </c>
      <c r="I235" s="21" t="s">
        <v>11</v>
      </c>
      <c r="J235" s="21" t="s">
        <v>1444</v>
      </c>
      <c r="K235" s="5814" t="s">
        <v>12996</v>
      </c>
    </row>
    <row r="236" spans="1:11">
      <c r="A236" s="21" t="s">
        <v>2115</v>
      </c>
      <c r="B236" s="21" t="s">
        <v>12997</v>
      </c>
      <c r="C236" s="21" t="s">
        <v>22</v>
      </c>
      <c r="D236" s="21" t="s">
        <v>1430</v>
      </c>
      <c r="E236" s="21" t="s">
        <v>61</v>
      </c>
      <c r="F236" s="5812">
        <v>1</v>
      </c>
      <c r="G236" s="5813">
        <v>0.18888888888888888</v>
      </c>
      <c r="H236" s="21" t="s">
        <v>10</v>
      </c>
      <c r="I236" s="21" t="s">
        <v>89</v>
      </c>
      <c r="J236" s="21" t="s">
        <v>1444</v>
      </c>
      <c r="K236" s="5814" t="s">
        <v>12998</v>
      </c>
    </row>
    <row r="237" spans="1:11">
      <c r="A237" s="21" t="s">
        <v>2932</v>
      </c>
      <c r="B237" s="21" t="s">
        <v>12999</v>
      </c>
      <c r="C237" s="21" t="s">
        <v>22</v>
      </c>
      <c r="D237" s="21" t="s">
        <v>1430</v>
      </c>
      <c r="E237" s="21" t="s">
        <v>61</v>
      </c>
      <c r="F237" s="5812">
        <v>1</v>
      </c>
      <c r="G237" s="5813">
        <v>0.19027777777777777</v>
      </c>
      <c r="H237" s="21" t="s">
        <v>10</v>
      </c>
      <c r="I237" s="21" t="s">
        <v>39</v>
      </c>
      <c r="J237" s="21" t="s">
        <v>928</v>
      </c>
      <c r="K237" s="5814" t="s">
        <v>13000</v>
      </c>
    </row>
    <row r="238" spans="1:11">
      <c r="A238" s="21" t="s">
        <v>2824</v>
      </c>
      <c r="B238" s="21" t="s">
        <v>13001</v>
      </c>
      <c r="C238" s="21" t="s">
        <v>8</v>
      </c>
      <c r="D238" s="21" t="s">
        <v>1430</v>
      </c>
      <c r="E238" s="21" t="s">
        <v>61</v>
      </c>
      <c r="F238" s="5812">
        <v>1</v>
      </c>
      <c r="G238" s="5813">
        <v>0.19305555555555556</v>
      </c>
      <c r="H238" s="21" t="s">
        <v>10</v>
      </c>
      <c r="I238" s="21" t="s">
        <v>7926</v>
      </c>
      <c r="J238" s="21" t="s">
        <v>110</v>
      </c>
      <c r="K238" s="5814" t="s">
        <v>13002</v>
      </c>
    </row>
    <row r="239" spans="1:11">
      <c r="A239" s="21" t="s">
        <v>2119</v>
      </c>
      <c r="B239" s="21" t="s">
        <v>13003</v>
      </c>
      <c r="C239" s="21" t="s">
        <v>22</v>
      </c>
      <c r="D239" s="21" t="s">
        <v>1430</v>
      </c>
      <c r="E239" s="21" t="s">
        <v>61</v>
      </c>
      <c r="F239" s="5812">
        <v>1</v>
      </c>
      <c r="G239" s="5813">
        <v>0.2</v>
      </c>
      <c r="H239" s="21" t="s">
        <v>10</v>
      </c>
      <c r="I239" s="21" t="s">
        <v>23</v>
      </c>
      <c r="J239" s="21" t="s">
        <v>1444</v>
      </c>
      <c r="K239" s="5814" t="s">
        <v>13004</v>
      </c>
    </row>
    <row r="240" spans="1:11">
      <c r="A240" s="21" t="s">
        <v>3364</v>
      </c>
      <c r="B240" s="21" t="s">
        <v>13005</v>
      </c>
      <c r="C240" s="21" t="s">
        <v>8</v>
      </c>
      <c r="D240" s="21" t="s">
        <v>1430</v>
      </c>
      <c r="E240" s="21" t="s">
        <v>61</v>
      </c>
      <c r="F240" s="5812">
        <v>1</v>
      </c>
      <c r="G240" s="5813">
        <v>0.2</v>
      </c>
      <c r="H240" s="21" t="s">
        <v>10</v>
      </c>
      <c r="I240" s="21" t="s">
        <v>55</v>
      </c>
      <c r="J240" s="21" t="s">
        <v>67</v>
      </c>
      <c r="K240" s="5814" t="s">
        <v>13006</v>
      </c>
    </row>
    <row r="241" spans="1:11">
      <c r="A241" s="21" t="s">
        <v>311</v>
      </c>
      <c r="B241" s="21" t="s">
        <v>1443</v>
      </c>
      <c r="C241" s="21" t="s">
        <v>8</v>
      </c>
      <c r="D241" s="21" t="s">
        <v>1430</v>
      </c>
      <c r="E241" s="21" t="s">
        <v>61</v>
      </c>
      <c r="F241" s="5812">
        <v>1</v>
      </c>
      <c r="G241" s="5813">
        <v>0.2076388888888889</v>
      </c>
      <c r="H241" s="21" t="s">
        <v>10</v>
      </c>
      <c r="I241" s="21" t="s">
        <v>73</v>
      </c>
      <c r="J241" s="21" t="s">
        <v>1444</v>
      </c>
      <c r="K241" s="5814" t="s">
        <v>1445</v>
      </c>
    </row>
    <row r="242" spans="1:11">
      <c r="A242" s="21" t="s">
        <v>3886</v>
      </c>
      <c r="B242" s="21" t="s">
        <v>13007</v>
      </c>
      <c r="C242" s="21" t="s">
        <v>8</v>
      </c>
      <c r="D242" s="21" t="s">
        <v>1430</v>
      </c>
      <c r="E242" s="21" t="s">
        <v>61</v>
      </c>
      <c r="F242" s="5812">
        <v>2</v>
      </c>
      <c r="G242" s="5813">
        <v>3.0555555555555555E-2</v>
      </c>
      <c r="H242" s="21" t="s">
        <v>10</v>
      </c>
      <c r="I242" s="21" t="s">
        <v>2269</v>
      </c>
      <c r="J242" s="21" t="s">
        <v>67</v>
      </c>
      <c r="K242" s="5814" t="s">
        <v>13008</v>
      </c>
    </row>
    <row r="243" spans="1:11">
      <c r="A243" s="21" t="s">
        <v>4313</v>
      </c>
      <c r="B243" s="21" t="s">
        <v>13009</v>
      </c>
      <c r="C243" s="21" t="s">
        <v>8</v>
      </c>
      <c r="D243" s="21" t="s">
        <v>1430</v>
      </c>
      <c r="E243" s="21" t="s">
        <v>61</v>
      </c>
      <c r="F243" s="5812">
        <v>2</v>
      </c>
      <c r="G243" s="5813">
        <v>3.6805555555555557E-2</v>
      </c>
      <c r="H243" s="21" t="s">
        <v>10</v>
      </c>
      <c r="I243" s="21" t="s">
        <v>23</v>
      </c>
      <c r="J243" s="21" t="s">
        <v>67</v>
      </c>
      <c r="K243" s="5814" t="s">
        <v>13010</v>
      </c>
    </row>
    <row r="244" spans="1:11">
      <c r="A244" s="21" t="s">
        <v>5984</v>
      </c>
      <c r="B244" s="21" t="s">
        <v>13011</v>
      </c>
      <c r="C244" s="21" t="s">
        <v>8</v>
      </c>
      <c r="D244" s="21" t="s">
        <v>1430</v>
      </c>
      <c r="E244" s="21" t="s">
        <v>61</v>
      </c>
      <c r="F244" s="5812">
        <v>2</v>
      </c>
      <c r="G244" s="5813">
        <v>4.3749999999999997E-2</v>
      </c>
      <c r="H244" s="21" t="s">
        <v>10</v>
      </c>
      <c r="I244" s="21" t="s">
        <v>11</v>
      </c>
      <c r="J244" s="21" t="s">
        <v>6852</v>
      </c>
      <c r="K244" s="5814" t="s">
        <v>13012</v>
      </c>
    </row>
    <row r="245" spans="1:11">
      <c r="A245" s="21" t="s">
        <v>2070</v>
      </c>
      <c r="B245" s="21" t="s">
        <v>13013</v>
      </c>
      <c r="C245" s="21" t="s">
        <v>8</v>
      </c>
      <c r="D245" s="21" t="s">
        <v>1430</v>
      </c>
      <c r="E245" s="21" t="s">
        <v>61</v>
      </c>
      <c r="F245" s="5812">
        <v>2</v>
      </c>
      <c r="G245" s="5813">
        <v>5.2777777777777778E-2</v>
      </c>
      <c r="H245" s="21" t="s">
        <v>10</v>
      </c>
      <c r="I245" s="21" t="s">
        <v>11</v>
      </c>
      <c r="J245" s="21" t="s">
        <v>67</v>
      </c>
      <c r="K245" s="5814" t="s">
        <v>13014</v>
      </c>
    </row>
    <row r="246" spans="1:11">
      <c r="A246" s="21" t="s">
        <v>2323</v>
      </c>
      <c r="B246" s="21" t="s">
        <v>13015</v>
      </c>
      <c r="C246" s="21" t="s">
        <v>22</v>
      </c>
      <c r="D246" s="21" t="s">
        <v>1430</v>
      </c>
      <c r="E246" s="21" t="s">
        <v>61</v>
      </c>
      <c r="F246" s="5812">
        <v>2</v>
      </c>
      <c r="G246" s="5813">
        <v>6.3194444444444442E-2</v>
      </c>
      <c r="H246" s="21" t="s">
        <v>10</v>
      </c>
      <c r="I246" s="21" t="s">
        <v>187</v>
      </c>
      <c r="J246" s="21" t="s">
        <v>110</v>
      </c>
      <c r="K246" s="5814" t="s">
        <v>13016</v>
      </c>
    </row>
    <row r="247" spans="1:11">
      <c r="A247" s="21" t="s">
        <v>4068</v>
      </c>
      <c r="B247" s="21" t="s">
        <v>13017</v>
      </c>
      <c r="C247" s="21" t="s">
        <v>8</v>
      </c>
      <c r="D247" s="21" t="s">
        <v>1430</v>
      </c>
      <c r="E247" s="21" t="s">
        <v>61</v>
      </c>
      <c r="F247" s="5812">
        <v>2</v>
      </c>
      <c r="G247" s="5813">
        <v>6.458333333333334E-2</v>
      </c>
      <c r="H247" s="21" t="s">
        <v>10</v>
      </c>
      <c r="I247" s="21" t="s">
        <v>23</v>
      </c>
      <c r="J247" s="21" t="s">
        <v>67</v>
      </c>
      <c r="K247" s="5814" t="s">
        <v>13018</v>
      </c>
    </row>
    <row r="248" spans="1:11">
      <c r="A248" s="21" t="s">
        <v>3409</v>
      </c>
      <c r="B248" s="21" t="s">
        <v>13019</v>
      </c>
      <c r="C248" s="21" t="s">
        <v>22</v>
      </c>
      <c r="D248" s="21" t="s">
        <v>1430</v>
      </c>
      <c r="E248" s="21" t="s">
        <v>61</v>
      </c>
      <c r="F248" s="5812">
        <v>2</v>
      </c>
      <c r="G248" s="5813">
        <v>7.4999999999999997E-2</v>
      </c>
      <c r="H248" s="21" t="s">
        <v>10</v>
      </c>
      <c r="I248" s="21" t="s">
        <v>187</v>
      </c>
      <c r="J248" s="21" t="s">
        <v>110</v>
      </c>
      <c r="K248" s="5814" t="s">
        <v>13020</v>
      </c>
    </row>
    <row r="249" spans="1:11">
      <c r="A249" s="21" t="s">
        <v>2600</v>
      </c>
      <c r="B249" s="21" t="s">
        <v>13021</v>
      </c>
      <c r="C249" s="21" t="s">
        <v>22</v>
      </c>
      <c r="D249" s="21" t="s">
        <v>1430</v>
      </c>
      <c r="E249" s="21" t="s">
        <v>61</v>
      </c>
      <c r="F249" s="5812">
        <v>2</v>
      </c>
      <c r="G249" s="5813">
        <v>9.0277777777777776E-2</v>
      </c>
      <c r="H249" s="21" t="s">
        <v>10</v>
      </c>
      <c r="I249" s="21" t="s">
        <v>6604</v>
      </c>
      <c r="J249" s="21" t="s">
        <v>67</v>
      </c>
      <c r="K249" s="5814" t="s">
        <v>13022</v>
      </c>
    </row>
    <row r="250" spans="1:11">
      <c r="A250" s="21" t="s">
        <v>2049</v>
      </c>
      <c r="B250" s="21" t="s">
        <v>13023</v>
      </c>
      <c r="C250" s="21" t="s">
        <v>22</v>
      </c>
      <c r="D250" s="21" t="s">
        <v>1430</v>
      </c>
      <c r="E250" s="21" t="s">
        <v>61</v>
      </c>
      <c r="F250" s="5812">
        <v>2</v>
      </c>
      <c r="G250" s="5813">
        <v>9.3055555555555558E-2</v>
      </c>
      <c r="H250" s="21" t="s">
        <v>10</v>
      </c>
      <c r="I250" s="21" t="s">
        <v>96</v>
      </c>
      <c r="J250" s="21" t="s">
        <v>3425</v>
      </c>
      <c r="K250" s="5814" t="s">
        <v>13024</v>
      </c>
    </row>
    <row r="251" spans="1:11">
      <c r="A251" s="21" t="s">
        <v>2784</v>
      </c>
      <c r="B251" s="21" t="s">
        <v>13025</v>
      </c>
      <c r="C251" s="21" t="s">
        <v>8</v>
      </c>
      <c r="D251" s="21" t="s">
        <v>1430</v>
      </c>
      <c r="E251" s="21" t="s">
        <v>61</v>
      </c>
      <c r="F251" s="5812">
        <v>2</v>
      </c>
      <c r="G251" s="5813">
        <v>0.11597222222222223</v>
      </c>
      <c r="H251" s="21" t="s">
        <v>10</v>
      </c>
      <c r="I251" s="21" t="s">
        <v>11</v>
      </c>
      <c r="J251" s="21" t="s">
        <v>67</v>
      </c>
      <c r="K251" s="5814" t="s">
        <v>13026</v>
      </c>
    </row>
    <row r="252" spans="1:11">
      <c r="A252" s="21" t="s">
        <v>2941</v>
      </c>
      <c r="B252" s="21" t="s">
        <v>13027</v>
      </c>
      <c r="C252" s="21" t="s">
        <v>8</v>
      </c>
      <c r="D252" s="21" t="s">
        <v>1430</v>
      </c>
      <c r="E252" s="21" t="s">
        <v>61</v>
      </c>
      <c r="F252" s="5812">
        <v>2</v>
      </c>
      <c r="G252" s="5813">
        <v>0.15138888888888888</v>
      </c>
      <c r="H252" s="21" t="s">
        <v>10</v>
      </c>
      <c r="I252" s="21" t="s">
        <v>55</v>
      </c>
      <c r="J252" s="21" t="s">
        <v>67</v>
      </c>
      <c r="K252" s="5814" t="s">
        <v>13028</v>
      </c>
    </row>
    <row r="253" spans="1:11">
      <c r="A253" s="21" t="s">
        <v>2995</v>
      </c>
      <c r="B253" s="21" t="s">
        <v>13029</v>
      </c>
      <c r="C253" s="21" t="s">
        <v>22</v>
      </c>
      <c r="D253" s="21" t="s">
        <v>1430</v>
      </c>
      <c r="E253" s="21" t="s">
        <v>61</v>
      </c>
      <c r="F253" s="5812">
        <v>2</v>
      </c>
      <c r="G253" s="5813">
        <v>0.15416666666666667</v>
      </c>
      <c r="H253" s="21" t="s">
        <v>10</v>
      </c>
      <c r="I253" s="21" t="s">
        <v>23</v>
      </c>
      <c r="J253" s="21" t="s">
        <v>62</v>
      </c>
      <c r="K253" s="5814" t="s">
        <v>13030</v>
      </c>
    </row>
    <row r="254" spans="1:11">
      <c r="A254" s="21" t="s">
        <v>2955</v>
      </c>
      <c r="B254" s="21" t="s">
        <v>13031</v>
      </c>
      <c r="C254" s="21" t="s">
        <v>22</v>
      </c>
      <c r="D254" s="21" t="s">
        <v>1430</v>
      </c>
      <c r="E254" s="21" t="s">
        <v>61</v>
      </c>
      <c r="F254" s="5812">
        <v>2</v>
      </c>
      <c r="G254" s="5813">
        <v>0.1673611111111111</v>
      </c>
      <c r="H254" s="21" t="s">
        <v>10</v>
      </c>
      <c r="I254" s="21" t="s">
        <v>39</v>
      </c>
      <c r="J254" s="21" t="s">
        <v>67</v>
      </c>
      <c r="K254" s="5814" t="s">
        <v>13032</v>
      </c>
    </row>
    <row r="255" spans="1:11">
      <c r="A255" s="21" t="s">
        <v>3427</v>
      </c>
      <c r="B255" s="21" t="s">
        <v>13033</v>
      </c>
      <c r="C255" s="21" t="s">
        <v>8</v>
      </c>
      <c r="D255" s="21" t="s">
        <v>1430</v>
      </c>
      <c r="E255" s="21" t="s">
        <v>61</v>
      </c>
      <c r="F255" s="5812">
        <v>2</v>
      </c>
      <c r="G255" s="5813">
        <v>0.17569444444444443</v>
      </c>
      <c r="H255" s="21" t="s">
        <v>10</v>
      </c>
      <c r="I255" s="21" t="s">
        <v>47</v>
      </c>
      <c r="J255" s="21" t="s">
        <v>67</v>
      </c>
      <c r="K255" s="5814" t="s">
        <v>13034</v>
      </c>
    </row>
    <row r="256" spans="1:11">
      <c r="A256" s="21" t="s">
        <v>2334</v>
      </c>
      <c r="B256" s="21" t="s">
        <v>13035</v>
      </c>
      <c r="C256" s="21" t="s">
        <v>8</v>
      </c>
      <c r="D256" s="21" t="s">
        <v>1430</v>
      </c>
      <c r="E256" s="21" t="s">
        <v>61</v>
      </c>
      <c r="F256" s="5812">
        <v>2</v>
      </c>
      <c r="G256" s="5813">
        <v>0.18124999999999999</v>
      </c>
      <c r="H256" s="21" t="s">
        <v>10</v>
      </c>
      <c r="I256" s="21" t="s">
        <v>11</v>
      </c>
      <c r="J256" s="21" t="s">
        <v>1444</v>
      </c>
      <c r="K256" s="5814" t="s">
        <v>13036</v>
      </c>
    </row>
    <row r="257" spans="1:11">
      <c r="A257" s="21" t="s">
        <v>3293</v>
      </c>
      <c r="B257" s="21" t="s">
        <v>13037</v>
      </c>
      <c r="C257" s="21" t="s">
        <v>8</v>
      </c>
      <c r="D257" s="21" t="s">
        <v>1430</v>
      </c>
      <c r="E257" s="21" t="s">
        <v>61</v>
      </c>
      <c r="F257" s="5812">
        <v>3</v>
      </c>
      <c r="G257" s="5813">
        <v>4.2361111111111113E-2</v>
      </c>
      <c r="H257" s="21" t="s">
        <v>10</v>
      </c>
      <c r="I257" s="21" t="s">
        <v>2297</v>
      </c>
      <c r="J257" s="21" t="s">
        <v>1444</v>
      </c>
      <c r="K257" s="5814" t="s">
        <v>13038</v>
      </c>
    </row>
    <row r="258" spans="1:11">
      <c r="A258" s="21" t="s">
        <v>3616</v>
      </c>
      <c r="B258" s="21" t="s">
        <v>13039</v>
      </c>
      <c r="C258" s="21" t="s">
        <v>8</v>
      </c>
      <c r="D258" s="21" t="s">
        <v>1430</v>
      </c>
      <c r="E258" s="21" t="s">
        <v>61</v>
      </c>
      <c r="F258" s="5812">
        <v>3</v>
      </c>
      <c r="G258" s="5813">
        <v>0.10138888888888889</v>
      </c>
      <c r="H258" s="21" t="s">
        <v>10</v>
      </c>
      <c r="I258" s="21" t="s">
        <v>11</v>
      </c>
      <c r="J258" s="21" t="s">
        <v>1379</v>
      </c>
      <c r="K258" s="5814" t="s">
        <v>13040</v>
      </c>
    </row>
    <row r="259" spans="1:11">
      <c r="A259" s="21" t="s">
        <v>2878</v>
      </c>
      <c r="B259" s="21" t="s">
        <v>13041</v>
      </c>
      <c r="C259" s="21" t="s">
        <v>22</v>
      </c>
      <c r="D259" s="21" t="s">
        <v>1430</v>
      </c>
      <c r="E259" s="21" t="s">
        <v>61</v>
      </c>
      <c r="F259" s="5812">
        <v>3</v>
      </c>
      <c r="G259" s="5813">
        <v>0.10972222222222222</v>
      </c>
      <c r="H259" s="21" t="s">
        <v>10</v>
      </c>
      <c r="I259" s="21" t="s">
        <v>55</v>
      </c>
      <c r="J259" s="21" t="s">
        <v>67</v>
      </c>
      <c r="K259" s="5814" t="s">
        <v>13042</v>
      </c>
    </row>
    <row r="260" spans="1:11">
      <c r="A260" s="21" t="s">
        <v>2974</v>
      </c>
      <c r="B260" s="21" t="s">
        <v>13043</v>
      </c>
      <c r="C260" s="21" t="s">
        <v>22</v>
      </c>
      <c r="D260" s="21" t="s">
        <v>1430</v>
      </c>
      <c r="E260" s="21" t="s">
        <v>61</v>
      </c>
      <c r="F260" s="5812">
        <v>3</v>
      </c>
      <c r="G260" s="5813">
        <v>0.12291666666666666</v>
      </c>
      <c r="H260" s="21" t="s">
        <v>10</v>
      </c>
      <c r="I260" s="21" t="s">
        <v>11</v>
      </c>
      <c r="J260" s="21" t="s">
        <v>67</v>
      </c>
      <c r="K260" s="5814" t="s">
        <v>13044</v>
      </c>
    </row>
    <row r="261" spans="1:11">
      <c r="A261" s="21" t="s">
        <v>4671</v>
      </c>
      <c r="B261" s="21" t="s">
        <v>13045</v>
      </c>
      <c r="C261" s="21" t="s">
        <v>8</v>
      </c>
      <c r="D261" s="21" t="s">
        <v>1430</v>
      </c>
      <c r="E261" s="21" t="s">
        <v>61</v>
      </c>
      <c r="F261" s="5812">
        <v>3</v>
      </c>
      <c r="G261" s="5813">
        <v>0.13541666666666666</v>
      </c>
      <c r="H261" s="21" t="s">
        <v>10</v>
      </c>
      <c r="I261" s="21" t="s">
        <v>2269</v>
      </c>
      <c r="J261" s="21" t="s">
        <v>9395</v>
      </c>
      <c r="K261" s="5814" t="s">
        <v>13046</v>
      </c>
    </row>
    <row r="262" spans="1:11">
      <c r="A262" s="21" t="s">
        <v>2241</v>
      </c>
      <c r="B262" s="21" t="s">
        <v>13047</v>
      </c>
      <c r="C262" s="21" t="s">
        <v>22</v>
      </c>
      <c r="D262" s="21" t="s">
        <v>1430</v>
      </c>
      <c r="E262" s="21" t="s">
        <v>61</v>
      </c>
      <c r="F262" s="5812">
        <v>3</v>
      </c>
      <c r="G262" s="5813">
        <v>0.15208333333333332</v>
      </c>
      <c r="H262" s="21" t="s">
        <v>10</v>
      </c>
      <c r="I262" s="21" t="s">
        <v>3138</v>
      </c>
      <c r="J262" s="21" t="s">
        <v>67</v>
      </c>
      <c r="K262" s="5814" t="s">
        <v>13048</v>
      </c>
    </row>
    <row r="263" spans="1:11">
      <c r="A263" s="21" t="s">
        <v>4568</v>
      </c>
      <c r="B263" s="21" t="s">
        <v>13049</v>
      </c>
      <c r="C263" s="21" t="s">
        <v>8</v>
      </c>
      <c r="D263" s="21" t="s">
        <v>1430</v>
      </c>
      <c r="E263" s="21" t="s">
        <v>61</v>
      </c>
      <c r="F263" s="5812">
        <v>3</v>
      </c>
      <c r="G263" s="5813">
        <v>0.15625</v>
      </c>
      <c r="H263" s="21" t="s">
        <v>10</v>
      </c>
      <c r="I263" s="21" t="s">
        <v>11</v>
      </c>
      <c r="J263" s="21" t="s">
        <v>67</v>
      </c>
      <c r="K263" s="5814" t="s">
        <v>13050</v>
      </c>
    </row>
    <row r="264" spans="1:11">
      <c r="A264" s="21" t="s">
        <v>3427</v>
      </c>
      <c r="B264" s="21" t="s">
        <v>13051</v>
      </c>
      <c r="C264" s="21" t="s">
        <v>8</v>
      </c>
      <c r="D264" s="21" t="s">
        <v>1430</v>
      </c>
      <c r="E264" s="21" t="s">
        <v>61</v>
      </c>
      <c r="F264" s="5812">
        <v>5</v>
      </c>
      <c r="G264" s="5813">
        <v>0.10069444444444445</v>
      </c>
      <c r="H264" s="21" t="s">
        <v>54</v>
      </c>
      <c r="I264" s="21" t="s">
        <v>55</v>
      </c>
      <c r="J264" s="21" t="s">
        <v>67</v>
      </c>
      <c r="K264" s="5814" t="s">
        <v>13052</v>
      </c>
    </row>
    <row r="265" spans="1:11">
      <c r="A265" s="21" t="s">
        <v>4047</v>
      </c>
      <c r="B265" s="21" t="s">
        <v>13053</v>
      </c>
      <c r="C265" s="21" t="s">
        <v>8</v>
      </c>
      <c r="D265" s="21" t="s">
        <v>1430</v>
      </c>
      <c r="E265" s="21" t="s">
        <v>244</v>
      </c>
      <c r="F265" s="5812">
        <v>1</v>
      </c>
      <c r="G265" s="5813">
        <v>0.20833333333333334</v>
      </c>
      <c r="H265" s="21" t="s">
        <v>10</v>
      </c>
      <c r="I265" s="21" t="s">
        <v>96</v>
      </c>
      <c r="J265" s="21" t="s">
        <v>3622</v>
      </c>
      <c r="K265" s="5814" t="s">
        <v>13054</v>
      </c>
    </row>
    <row r="266" spans="1:11">
      <c r="A266" s="21" t="s">
        <v>2495</v>
      </c>
      <c r="B266" s="21" t="s">
        <v>13055</v>
      </c>
      <c r="C266" s="21" t="s">
        <v>22</v>
      </c>
      <c r="D266" s="21" t="s">
        <v>1430</v>
      </c>
      <c r="E266" s="21" t="s">
        <v>244</v>
      </c>
      <c r="F266" s="5812">
        <v>2</v>
      </c>
      <c r="G266" s="5813">
        <v>0.20833333333333334</v>
      </c>
      <c r="H266" s="21" t="s">
        <v>10</v>
      </c>
      <c r="I266" s="21" t="s">
        <v>23</v>
      </c>
      <c r="J266" s="21" t="s">
        <v>12416</v>
      </c>
      <c r="K266" s="5814" t="s">
        <v>13056</v>
      </c>
    </row>
    <row r="267" spans="1:11">
      <c r="A267" s="21" t="s">
        <v>2571</v>
      </c>
      <c r="B267" s="21" t="s">
        <v>13057</v>
      </c>
      <c r="C267" s="21" t="s">
        <v>22</v>
      </c>
      <c r="D267" s="21" t="s">
        <v>1430</v>
      </c>
      <c r="E267" s="21" t="s">
        <v>244</v>
      </c>
      <c r="F267" s="5812">
        <v>3</v>
      </c>
      <c r="G267" s="5813">
        <v>8.0555555555555561E-2</v>
      </c>
      <c r="H267" s="21" t="s">
        <v>10</v>
      </c>
      <c r="I267" s="21" t="s">
        <v>306</v>
      </c>
      <c r="J267" s="21"/>
      <c r="K267" s="5814" t="s">
        <v>13058</v>
      </c>
    </row>
    <row r="268" spans="1:11">
      <c r="A268" s="21" t="s">
        <v>2428</v>
      </c>
      <c r="B268" s="21" t="s">
        <v>9917</v>
      </c>
      <c r="C268" s="21" t="s">
        <v>22</v>
      </c>
      <c r="D268" s="21" t="s">
        <v>1142</v>
      </c>
      <c r="E268" s="21" t="s">
        <v>193</v>
      </c>
      <c r="F268" s="5812">
        <v>5</v>
      </c>
      <c r="G268" s="5813">
        <v>0.20833333333333334</v>
      </c>
      <c r="H268" s="21" t="s">
        <v>54</v>
      </c>
      <c r="I268" s="21" t="s">
        <v>11</v>
      </c>
      <c r="J268" s="21" t="s">
        <v>9918</v>
      </c>
      <c r="K268" s="5814" t="s">
        <v>9919</v>
      </c>
    </row>
    <row r="269" spans="1:11">
      <c r="A269" s="21" t="s">
        <v>3220</v>
      </c>
      <c r="B269" s="21" t="s">
        <v>9920</v>
      </c>
      <c r="C269" s="21" t="s">
        <v>8</v>
      </c>
      <c r="D269" s="21" t="s">
        <v>1142</v>
      </c>
      <c r="E269" s="21" t="s">
        <v>193</v>
      </c>
      <c r="F269" s="5812">
        <v>5</v>
      </c>
      <c r="G269" s="5813">
        <v>0.20833333333333334</v>
      </c>
      <c r="H269" s="21" t="s">
        <v>54</v>
      </c>
      <c r="I269" s="21" t="s">
        <v>47</v>
      </c>
      <c r="J269" s="21" t="s">
        <v>9921</v>
      </c>
      <c r="K269" s="5814" t="s">
        <v>9922</v>
      </c>
    </row>
    <row r="270" spans="1:11">
      <c r="A270" s="21" t="s">
        <v>2979</v>
      </c>
      <c r="B270" s="21" t="s">
        <v>9923</v>
      </c>
      <c r="C270" s="21" t="s">
        <v>8</v>
      </c>
      <c r="D270" s="21" t="s">
        <v>1142</v>
      </c>
      <c r="E270" s="21" t="s">
        <v>193</v>
      </c>
      <c r="F270" s="5812">
        <v>5</v>
      </c>
      <c r="G270" s="5813">
        <v>0.20833333333333334</v>
      </c>
      <c r="H270" s="21" t="s">
        <v>54</v>
      </c>
      <c r="I270" s="21" t="s">
        <v>11</v>
      </c>
      <c r="J270" s="21" t="s">
        <v>9924</v>
      </c>
      <c r="K270" s="5814" t="s">
        <v>9925</v>
      </c>
    </row>
    <row r="271" spans="1:11">
      <c r="A271" s="21" t="s">
        <v>103</v>
      </c>
      <c r="B271" s="21" t="s">
        <v>1141</v>
      </c>
      <c r="C271" s="21" t="s">
        <v>8</v>
      </c>
      <c r="D271" s="21" t="s">
        <v>1142</v>
      </c>
      <c r="E271" s="21" t="s">
        <v>9</v>
      </c>
      <c r="F271" s="5812">
        <v>5</v>
      </c>
      <c r="G271" s="5813">
        <v>0.20833333333333334</v>
      </c>
      <c r="H271" s="21" t="s">
        <v>54</v>
      </c>
      <c r="I271" s="21" t="s">
        <v>96</v>
      </c>
      <c r="J271" s="21" t="s">
        <v>1143</v>
      </c>
      <c r="K271" s="5814" t="s">
        <v>1144</v>
      </c>
    </row>
    <row r="272" spans="1:11">
      <c r="A272" s="21" t="s">
        <v>2300</v>
      </c>
      <c r="B272" s="21" t="s">
        <v>9926</v>
      </c>
      <c r="C272" s="21" t="s">
        <v>8</v>
      </c>
      <c r="D272" s="21" t="s">
        <v>1142</v>
      </c>
      <c r="E272" s="21" t="s">
        <v>9</v>
      </c>
      <c r="F272" s="5812">
        <v>5</v>
      </c>
      <c r="G272" s="5813">
        <v>0.20833333333333334</v>
      </c>
      <c r="H272" s="21" t="s">
        <v>54</v>
      </c>
      <c r="I272" s="21" t="s">
        <v>187</v>
      </c>
      <c r="J272" s="21" t="s">
        <v>9927</v>
      </c>
      <c r="K272" s="5814" t="s">
        <v>9928</v>
      </c>
    </row>
    <row r="273" spans="1:11">
      <c r="A273" s="21" t="s">
        <v>4249</v>
      </c>
      <c r="B273" s="21" t="s">
        <v>9929</v>
      </c>
      <c r="C273" s="21" t="s">
        <v>8</v>
      </c>
      <c r="D273" s="21" t="s">
        <v>1142</v>
      </c>
      <c r="E273" s="21" t="s">
        <v>9</v>
      </c>
      <c r="F273" s="5812">
        <v>5</v>
      </c>
      <c r="G273" s="5813">
        <v>0.20833333333333334</v>
      </c>
      <c r="H273" s="21" t="s">
        <v>54</v>
      </c>
      <c r="I273" s="21" t="s">
        <v>11</v>
      </c>
      <c r="J273" s="21" t="s">
        <v>9930</v>
      </c>
      <c r="K273" s="5814" t="s">
        <v>9931</v>
      </c>
    </row>
    <row r="274" spans="1:11">
      <c r="A274" s="21" t="s">
        <v>4321</v>
      </c>
      <c r="B274" s="21" t="s">
        <v>9932</v>
      </c>
      <c r="C274" s="21" t="s">
        <v>8</v>
      </c>
      <c r="D274" s="21" t="s">
        <v>1142</v>
      </c>
      <c r="E274" s="21" t="s">
        <v>9</v>
      </c>
      <c r="F274" s="5812">
        <v>5</v>
      </c>
      <c r="G274" s="5813">
        <v>0.20833333333333334</v>
      </c>
      <c r="H274" s="21" t="s">
        <v>54</v>
      </c>
      <c r="I274" s="21" t="s">
        <v>654</v>
      </c>
      <c r="J274" s="21" t="s">
        <v>9933</v>
      </c>
      <c r="K274" s="5814" t="s">
        <v>9934</v>
      </c>
    </row>
    <row r="275" spans="1:11">
      <c r="A275" s="21" t="s">
        <v>3541</v>
      </c>
      <c r="B275" s="21" t="s">
        <v>9935</v>
      </c>
      <c r="C275" s="21" t="s">
        <v>8</v>
      </c>
      <c r="D275" s="21" t="s">
        <v>1142</v>
      </c>
      <c r="E275" s="21" t="s">
        <v>9</v>
      </c>
      <c r="F275" s="5812">
        <v>5</v>
      </c>
      <c r="G275" s="5813">
        <v>0.20833333333333334</v>
      </c>
      <c r="H275" s="21" t="s">
        <v>54</v>
      </c>
      <c r="I275" s="21" t="s">
        <v>11</v>
      </c>
      <c r="J275" s="21" t="s">
        <v>9936</v>
      </c>
      <c r="K275" s="5814" t="s">
        <v>9937</v>
      </c>
    </row>
    <row r="276" spans="1:11">
      <c r="A276" s="21" t="s">
        <v>4379</v>
      </c>
      <c r="B276" s="21" t="s">
        <v>9938</v>
      </c>
      <c r="C276" s="21" t="s">
        <v>8</v>
      </c>
      <c r="D276" s="21" t="s">
        <v>1142</v>
      </c>
      <c r="E276" s="21" t="s">
        <v>9</v>
      </c>
      <c r="F276" s="5812">
        <v>5</v>
      </c>
      <c r="G276" s="5813">
        <v>0.20833333333333334</v>
      </c>
      <c r="H276" s="21" t="s">
        <v>54</v>
      </c>
      <c r="I276" s="21" t="s">
        <v>2297</v>
      </c>
      <c r="J276" s="21" t="s">
        <v>9939</v>
      </c>
      <c r="K276" s="5814" t="s">
        <v>9940</v>
      </c>
    </row>
    <row r="277" spans="1:11">
      <c r="A277" s="21" t="s">
        <v>5235</v>
      </c>
      <c r="B277" s="21" t="s">
        <v>9941</v>
      </c>
      <c r="C277" s="21" t="s">
        <v>8</v>
      </c>
      <c r="D277" s="21" t="s">
        <v>1142</v>
      </c>
      <c r="E277" s="21" t="s">
        <v>9</v>
      </c>
      <c r="F277" s="5812">
        <v>5</v>
      </c>
      <c r="G277" s="5813">
        <v>0.20833333333333334</v>
      </c>
      <c r="H277" s="21" t="s">
        <v>54</v>
      </c>
      <c r="I277" s="21" t="s">
        <v>2269</v>
      </c>
      <c r="J277" s="21" t="s">
        <v>9942</v>
      </c>
      <c r="K277" s="5814" t="s">
        <v>9943</v>
      </c>
    </row>
    <row r="278" spans="1:11">
      <c r="A278" s="21" t="s">
        <v>2579</v>
      </c>
      <c r="B278" s="21" t="s">
        <v>9944</v>
      </c>
      <c r="C278" s="21" t="s">
        <v>22</v>
      </c>
      <c r="D278" s="21" t="s">
        <v>1142</v>
      </c>
      <c r="E278" s="21" t="s">
        <v>46</v>
      </c>
      <c r="F278" s="5812">
        <v>1</v>
      </c>
      <c r="G278" s="5813">
        <v>2.9166666666666667E-2</v>
      </c>
      <c r="H278" s="21" t="s">
        <v>54</v>
      </c>
      <c r="I278" s="21" t="s">
        <v>2713</v>
      </c>
      <c r="J278" s="21" t="s">
        <v>48</v>
      </c>
      <c r="K278" s="5814" t="s">
        <v>9945</v>
      </c>
    </row>
    <row r="279" spans="1:11">
      <c r="A279" s="21" t="s">
        <v>2935</v>
      </c>
      <c r="B279" s="21" t="s">
        <v>9946</v>
      </c>
      <c r="C279" s="21" t="s">
        <v>22</v>
      </c>
      <c r="D279" s="21" t="s">
        <v>1142</v>
      </c>
      <c r="E279" s="21" t="s">
        <v>46</v>
      </c>
      <c r="F279" s="5812">
        <v>1</v>
      </c>
      <c r="G279" s="5813">
        <v>5.4166666666666669E-2</v>
      </c>
      <c r="H279" s="21" t="s">
        <v>54</v>
      </c>
      <c r="I279" s="21" t="s">
        <v>11</v>
      </c>
      <c r="J279" s="21" t="s">
        <v>722</v>
      </c>
      <c r="K279" s="5814" t="s">
        <v>9947</v>
      </c>
    </row>
    <row r="280" spans="1:11">
      <c r="A280" s="21" t="s">
        <v>3195</v>
      </c>
      <c r="B280" s="21" t="s">
        <v>9948</v>
      </c>
      <c r="C280" s="21" t="s">
        <v>22</v>
      </c>
      <c r="D280" s="21" t="s">
        <v>1142</v>
      </c>
      <c r="E280" s="21" t="s">
        <v>46</v>
      </c>
      <c r="F280" s="5812">
        <v>1</v>
      </c>
      <c r="G280" s="5813">
        <v>0.12708333333333333</v>
      </c>
      <c r="H280" s="21" t="s">
        <v>54</v>
      </c>
      <c r="I280" s="21" t="s">
        <v>2297</v>
      </c>
      <c r="J280" s="21" t="s">
        <v>48</v>
      </c>
      <c r="K280" s="5814" t="s">
        <v>9949</v>
      </c>
    </row>
    <row r="281" spans="1:11">
      <c r="A281" s="21" t="s">
        <v>3160</v>
      </c>
      <c r="B281" s="21" t="s">
        <v>9950</v>
      </c>
      <c r="C281" s="21" t="s">
        <v>22</v>
      </c>
      <c r="D281" s="21" t="s">
        <v>1142</v>
      </c>
      <c r="E281" s="21" t="s">
        <v>46</v>
      </c>
      <c r="F281" s="5812">
        <v>2</v>
      </c>
      <c r="G281" s="5813">
        <v>0.12361111111111112</v>
      </c>
      <c r="H281" s="21" t="s">
        <v>54</v>
      </c>
      <c r="I281" s="21" t="s">
        <v>47</v>
      </c>
      <c r="J281" s="21" t="s">
        <v>774</v>
      </c>
      <c r="K281" s="5814" t="s">
        <v>9951</v>
      </c>
    </row>
    <row r="282" spans="1:11">
      <c r="A282" s="21" t="s">
        <v>3098</v>
      </c>
      <c r="B282" s="21" t="s">
        <v>9952</v>
      </c>
      <c r="C282" s="21" t="s">
        <v>8</v>
      </c>
      <c r="D282" s="21" t="s">
        <v>1142</v>
      </c>
      <c r="E282" s="21" t="s">
        <v>46</v>
      </c>
      <c r="F282" s="5812">
        <v>3</v>
      </c>
      <c r="G282" s="5813">
        <v>0.18194444444444444</v>
      </c>
      <c r="H282" s="21" t="s">
        <v>54</v>
      </c>
      <c r="I282" s="21" t="s">
        <v>47</v>
      </c>
      <c r="J282" s="21" t="s">
        <v>97</v>
      </c>
      <c r="K282" s="5814" t="s">
        <v>9953</v>
      </c>
    </row>
    <row r="283" spans="1:11">
      <c r="A283" s="21" t="s">
        <v>2372</v>
      </c>
      <c r="B283" s="21" t="s">
        <v>9954</v>
      </c>
      <c r="C283" s="21" t="s">
        <v>22</v>
      </c>
      <c r="D283" s="21" t="s">
        <v>1142</v>
      </c>
      <c r="E283" s="21" t="s">
        <v>61</v>
      </c>
      <c r="F283" s="5812">
        <v>2</v>
      </c>
      <c r="G283" s="5813">
        <v>4.5138888888888888E-2</v>
      </c>
      <c r="H283" s="21" t="s">
        <v>54</v>
      </c>
      <c r="I283" s="21" t="s">
        <v>11</v>
      </c>
      <c r="J283" s="21" t="s">
        <v>9955</v>
      </c>
      <c r="K283" s="5814" t="s">
        <v>9956</v>
      </c>
    </row>
    <row r="284" spans="1:11">
      <c r="A284" s="21" t="s">
        <v>4379</v>
      </c>
      <c r="B284" s="21" t="s">
        <v>9968</v>
      </c>
      <c r="C284" s="21" t="s">
        <v>8</v>
      </c>
      <c r="D284" s="21" t="s">
        <v>9969</v>
      </c>
      <c r="E284" s="21" t="s">
        <v>61</v>
      </c>
      <c r="F284" s="5812">
        <v>1</v>
      </c>
      <c r="G284" s="5813">
        <v>0.15486111111111112</v>
      </c>
      <c r="H284" s="21" t="s">
        <v>2081</v>
      </c>
      <c r="I284" s="21" t="s">
        <v>2297</v>
      </c>
      <c r="J284" s="21" t="s">
        <v>782</v>
      </c>
      <c r="K284" s="5814" t="s">
        <v>9970</v>
      </c>
    </row>
  </sheetData>
  <hyperlinks>
    <hyperlink ref="K4" r:id="rId1" xr:uid="{00000000-0004-0000-1B00-000000000000}"/>
    <hyperlink ref="K5" r:id="rId2" xr:uid="{00000000-0004-0000-1B00-000001000000}"/>
    <hyperlink ref="K6" r:id="rId3" xr:uid="{00000000-0004-0000-1B00-000002000000}"/>
    <hyperlink ref="K7" r:id="rId4" xr:uid="{00000000-0004-0000-1B00-000003000000}"/>
    <hyperlink ref="K8" r:id="rId5" xr:uid="{00000000-0004-0000-1B00-000004000000}"/>
    <hyperlink ref="K9" r:id="rId6" xr:uid="{00000000-0004-0000-1B00-000005000000}"/>
    <hyperlink ref="K10" r:id="rId7" xr:uid="{00000000-0004-0000-1B00-000006000000}"/>
    <hyperlink ref="K11" r:id="rId8" xr:uid="{00000000-0004-0000-1B00-000007000000}"/>
    <hyperlink ref="K12" r:id="rId9" xr:uid="{00000000-0004-0000-1B00-000008000000}"/>
    <hyperlink ref="K13" r:id="rId10" xr:uid="{00000000-0004-0000-1B00-000009000000}"/>
    <hyperlink ref="K14" r:id="rId11" xr:uid="{00000000-0004-0000-1B00-00000A000000}"/>
    <hyperlink ref="K15" r:id="rId12" xr:uid="{00000000-0004-0000-1B00-00000B000000}"/>
    <hyperlink ref="K16" r:id="rId13" xr:uid="{00000000-0004-0000-1B00-00000C000000}"/>
    <hyperlink ref="K17" r:id="rId14" xr:uid="{00000000-0004-0000-1B00-00000D000000}"/>
    <hyperlink ref="K18" r:id="rId15" xr:uid="{00000000-0004-0000-1B00-00000E000000}"/>
    <hyperlink ref="K19" r:id="rId16" xr:uid="{00000000-0004-0000-1B00-00000F000000}"/>
    <hyperlink ref="K20" r:id="rId17" xr:uid="{00000000-0004-0000-1B00-000010000000}"/>
    <hyperlink ref="K21" r:id="rId18" xr:uid="{00000000-0004-0000-1B00-000011000000}"/>
    <hyperlink ref="K22" r:id="rId19" xr:uid="{00000000-0004-0000-1B00-000012000000}"/>
    <hyperlink ref="K23" r:id="rId20" xr:uid="{00000000-0004-0000-1B00-000013000000}"/>
    <hyperlink ref="K24" r:id="rId21" xr:uid="{00000000-0004-0000-1B00-000014000000}"/>
    <hyperlink ref="K25" r:id="rId22" xr:uid="{00000000-0004-0000-1B00-000015000000}"/>
    <hyperlink ref="K26" r:id="rId23" xr:uid="{00000000-0004-0000-1B00-000016000000}"/>
    <hyperlink ref="K27" r:id="rId24" xr:uid="{00000000-0004-0000-1B00-000017000000}"/>
    <hyperlink ref="K28" r:id="rId25" xr:uid="{00000000-0004-0000-1B00-000018000000}"/>
    <hyperlink ref="K29" r:id="rId26" xr:uid="{00000000-0004-0000-1B00-000019000000}"/>
    <hyperlink ref="K30" r:id="rId27" xr:uid="{00000000-0004-0000-1B00-00001A000000}"/>
    <hyperlink ref="K31" r:id="rId28" xr:uid="{00000000-0004-0000-1B00-00001B000000}"/>
    <hyperlink ref="K32" r:id="rId29" xr:uid="{00000000-0004-0000-1B00-00001C000000}"/>
    <hyperlink ref="K33" r:id="rId30" xr:uid="{00000000-0004-0000-1B00-00001D000000}"/>
    <hyperlink ref="K34" r:id="rId31" xr:uid="{00000000-0004-0000-1B00-00001E000000}"/>
    <hyperlink ref="K35" r:id="rId32" xr:uid="{00000000-0004-0000-1B00-00001F000000}"/>
    <hyperlink ref="K36" r:id="rId33" xr:uid="{00000000-0004-0000-1B00-000020000000}"/>
    <hyperlink ref="K37" r:id="rId34" xr:uid="{00000000-0004-0000-1B00-000021000000}"/>
    <hyperlink ref="K38" r:id="rId35" xr:uid="{00000000-0004-0000-1B00-000022000000}"/>
    <hyperlink ref="K39" r:id="rId36" xr:uid="{00000000-0004-0000-1B00-000023000000}"/>
    <hyperlink ref="K40" r:id="rId37" xr:uid="{00000000-0004-0000-1B00-000024000000}"/>
    <hyperlink ref="K41" r:id="rId38" xr:uid="{00000000-0004-0000-1B00-000025000000}"/>
    <hyperlink ref="K42" r:id="rId39" xr:uid="{00000000-0004-0000-1B00-000026000000}"/>
    <hyperlink ref="K43" r:id="rId40" xr:uid="{00000000-0004-0000-1B00-000027000000}"/>
    <hyperlink ref="K44" r:id="rId41" xr:uid="{00000000-0004-0000-1B00-000028000000}"/>
    <hyperlink ref="K45" r:id="rId42" xr:uid="{00000000-0004-0000-1B00-000029000000}"/>
    <hyperlink ref="K46" r:id="rId43" xr:uid="{00000000-0004-0000-1B00-00002A000000}"/>
    <hyperlink ref="K47" r:id="rId44" xr:uid="{00000000-0004-0000-1B00-00002B000000}"/>
    <hyperlink ref="K48" r:id="rId45" xr:uid="{00000000-0004-0000-1B00-00002C000000}"/>
    <hyperlink ref="K49" r:id="rId46" xr:uid="{00000000-0004-0000-1B00-00002D000000}"/>
    <hyperlink ref="K50" r:id="rId47" xr:uid="{00000000-0004-0000-1B00-00002E000000}"/>
    <hyperlink ref="K51" r:id="rId48" xr:uid="{00000000-0004-0000-1B00-00002F000000}"/>
    <hyperlink ref="K52" r:id="rId49" xr:uid="{00000000-0004-0000-1B00-000030000000}"/>
    <hyperlink ref="K53" r:id="rId50" xr:uid="{00000000-0004-0000-1B00-000031000000}"/>
    <hyperlink ref="K54" r:id="rId51" xr:uid="{00000000-0004-0000-1B00-000032000000}"/>
    <hyperlink ref="K55" r:id="rId52" xr:uid="{00000000-0004-0000-1B00-000033000000}"/>
    <hyperlink ref="K56" r:id="rId53" xr:uid="{00000000-0004-0000-1B00-000034000000}"/>
    <hyperlink ref="K57" r:id="rId54" xr:uid="{00000000-0004-0000-1B00-000035000000}"/>
    <hyperlink ref="K58" r:id="rId55" xr:uid="{00000000-0004-0000-1B00-000036000000}"/>
    <hyperlink ref="K59" r:id="rId56" xr:uid="{00000000-0004-0000-1B00-000037000000}"/>
    <hyperlink ref="K60" r:id="rId57" xr:uid="{00000000-0004-0000-1B00-000038000000}"/>
    <hyperlink ref="K61" r:id="rId58" xr:uid="{00000000-0004-0000-1B00-000039000000}"/>
    <hyperlink ref="K62" r:id="rId59" xr:uid="{00000000-0004-0000-1B00-00003A000000}"/>
    <hyperlink ref="K63" r:id="rId60" xr:uid="{00000000-0004-0000-1B00-00003B000000}"/>
    <hyperlink ref="K64" r:id="rId61" xr:uid="{00000000-0004-0000-1B00-00003C000000}"/>
    <hyperlink ref="K65" r:id="rId62" xr:uid="{00000000-0004-0000-1B00-00003D000000}"/>
    <hyperlink ref="K66" r:id="rId63" xr:uid="{00000000-0004-0000-1B00-00003E000000}"/>
    <hyperlink ref="K67" r:id="rId64" xr:uid="{00000000-0004-0000-1B00-00003F000000}"/>
    <hyperlink ref="K68" r:id="rId65" xr:uid="{00000000-0004-0000-1B00-000040000000}"/>
    <hyperlink ref="K69" r:id="rId66" xr:uid="{00000000-0004-0000-1B00-000041000000}"/>
    <hyperlink ref="K70" r:id="rId67" xr:uid="{00000000-0004-0000-1B00-000042000000}"/>
    <hyperlink ref="K71" r:id="rId68" xr:uid="{00000000-0004-0000-1B00-000043000000}"/>
    <hyperlink ref="K72" r:id="rId69" xr:uid="{00000000-0004-0000-1B00-000044000000}"/>
    <hyperlink ref="K73" r:id="rId70" xr:uid="{00000000-0004-0000-1B00-000045000000}"/>
    <hyperlink ref="K74" r:id="rId71" xr:uid="{00000000-0004-0000-1B00-000046000000}"/>
    <hyperlink ref="K75" r:id="rId72" xr:uid="{00000000-0004-0000-1B00-000047000000}"/>
    <hyperlink ref="K76" r:id="rId73" xr:uid="{00000000-0004-0000-1B00-000048000000}"/>
    <hyperlink ref="K77" r:id="rId74" xr:uid="{00000000-0004-0000-1B00-000049000000}"/>
    <hyperlink ref="K78" r:id="rId75" xr:uid="{00000000-0004-0000-1B00-00004A000000}"/>
    <hyperlink ref="K79" r:id="rId76" xr:uid="{00000000-0004-0000-1B00-00004B000000}"/>
    <hyperlink ref="K80" r:id="rId77" xr:uid="{00000000-0004-0000-1B00-00004C000000}"/>
    <hyperlink ref="K81" r:id="rId78" xr:uid="{00000000-0004-0000-1B00-00004D000000}"/>
    <hyperlink ref="K82" r:id="rId79" xr:uid="{00000000-0004-0000-1B00-00004E000000}"/>
    <hyperlink ref="K83" r:id="rId80" xr:uid="{00000000-0004-0000-1B00-00004F000000}"/>
    <hyperlink ref="K84" r:id="rId81" xr:uid="{00000000-0004-0000-1B00-000050000000}"/>
    <hyperlink ref="K85" r:id="rId82" xr:uid="{00000000-0004-0000-1B00-000051000000}"/>
    <hyperlink ref="K86" r:id="rId83" xr:uid="{00000000-0004-0000-1B00-000052000000}"/>
    <hyperlink ref="K87" r:id="rId84" xr:uid="{00000000-0004-0000-1B00-000053000000}"/>
    <hyperlink ref="K88" r:id="rId85" xr:uid="{00000000-0004-0000-1B00-000054000000}"/>
    <hyperlink ref="K89" r:id="rId86" xr:uid="{00000000-0004-0000-1B00-000055000000}"/>
    <hyperlink ref="K90" r:id="rId87" xr:uid="{00000000-0004-0000-1B00-000056000000}"/>
    <hyperlink ref="K91" r:id="rId88" xr:uid="{00000000-0004-0000-1B00-000057000000}"/>
    <hyperlink ref="K92" r:id="rId89" xr:uid="{00000000-0004-0000-1B00-000058000000}"/>
    <hyperlink ref="K93" r:id="rId90" xr:uid="{00000000-0004-0000-1B00-000059000000}"/>
    <hyperlink ref="K94" r:id="rId91" xr:uid="{00000000-0004-0000-1B00-00005A000000}"/>
    <hyperlink ref="K95" r:id="rId92" xr:uid="{00000000-0004-0000-1B00-00005B000000}"/>
    <hyperlink ref="K96" r:id="rId93" xr:uid="{00000000-0004-0000-1B00-00005C000000}"/>
    <hyperlink ref="K97" r:id="rId94" xr:uid="{00000000-0004-0000-1B00-00005D000000}"/>
    <hyperlink ref="K98" r:id="rId95" xr:uid="{00000000-0004-0000-1B00-00005E000000}"/>
    <hyperlink ref="K99" r:id="rId96" xr:uid="{00000000-0004-0000-1B00-00005F000000}"/>
    <hyperlink ref="K100" r:id="rId97" xr:uid="{00000000-0004-0000-1B00-000060000000}"/>
    <hyperlink ref="K101" r:id="rId98" xr:uid="{00000000-0004-0000-1B00-000061000000}"/>
    <hyperlink ref="K102" r:id="rId99" xr:uid="{00000000-0004-0000-1B00-000062000000}"/>
    <hyperlink ref="K103" r:id="rId100" xr:uid="{00000000-0004-0000-1B00-000063000000}"/>
    <hyperlink ref="K104" r:id="rId101" xr:uid="{00000000-0004-0000-1B00-000064000000}"/>
    <hyperlink ref="K105" r:id="rId102" xr:uid="{00000000-0004-0000-1B00-000065000000}"/>
    <hyperlink ref="K106" r:id="rId103" xr:uid="{00000000-0004-0000-1B00-000066000000}"/>
    <hyperlink ref="K107" r:id="rId104" xr:uid="{00000000-0004-0000-1B00-000067000000}"/>
    <hyperlink ref="K108" r:id="rId105" xr:uid="{00000000-0004-0000-1B00-000068000000}"/>
    <hyperlink ref="K109" r:id="rId106" xr:uid="{00000000-0004-0000-1B00-000069000000}"/>
    <hyperlink ref="K110" r:id="rId107" xr:uid="{00000000-0004-0000-1B00-00006A000000}"/>
    <hyperlink ref="K111" r:id="rId108" xr:uid="{00000000-0004-0000-1B00-00006B000000}"/>
    <hyperlink ref="K112" r:id="rId109" xr:uid="{00000000-0004-0000-1B00-00006C000000}"/>
    <hyperlink ref="K113" r:id="rId110" xr:uid="{00000000-0004-0000-1B00-00006D000000}"/>
    <hyperlink ref="K114" r:id="rId111" xr:uid="{00000000-0004-0000-1B00-00006E000000}"/>
    <hyperlink ref="K115" r:id="rId112" xr:uid="{00000000-0004-0000-1B00-00006F000000}"/>
    <hyperlink ref="K116" r:id="rId113" xr:uid="{00000000-0004-0000-1B00-000070000000}"/>
    <hyperlink ref="K117" r:id="rId114" xr:uid="{00000000-0004-0000-1B00-000071000000}"/>
    <hyperlink ref="K118" r:id="rId115" xr:uid="{00000000-0004-0000-1B00-000072000000}"/>
    <hyperlink ref="K119" r:id="rId116" xr:uid="{00000000-0004-0000-1B00-000073000000}"/>
    <hyperlink ref="K120" r:id="rId117" xr:uid="{00000000-0004-0000-1B00-000074000000}"/>
    <hyperlink ref="K121" r:id="rId118" xr:uid="{00000000-0004-0000-1B00-000075000000}"/>
    <hyperlink ref="K122" r:id="rId119" xr:uid="{00000000-0004-0000-1B00-000076000000}"/>
    <hyperlink ref="K123" r:id="rId120" xr:uid="{00000000-0004-0000-1B00-000077000000}"/>
    <hyperlink ref="K124" r:id="rId121" xr:uid="{00000000-0004-0000-1B00-000078000000}"/>
    <hyperlink ref="K125" r:id="rId122" xr:uid="{00000000-0004-0000-1B00-000079000000}"/>
    <hyperlink ref="K126" r:id="rId123" xr:uid="{00000000-0004-0000-1B00-00007A000000}"/>
    <hyperlink ref="K127" r:id="rId124" xr:uid="{00000000-0004-0000-1B00-00007B000000}"/>
    <hyperlink ref="K128" r:id="rId125" xr:uid="{00000000-0004-0000-1B00-00007C000000}"/>
    <hyperlink ref="K129" r:id="rId126" xr:uid="{00000000-0004-0000-1B00-00007D000000}"/>
    <hyperlink ref="K130" r:id="rId127" xr:uid="{00000000-0004-0000-1B00-00007E000000}"/>
    <hyperlink ref="K131" r:id="rId128" xr:uid="{00000000-0004-0000-1B00-00007F000000}"/>
    <hyperlink ref="K132" r:id="rId129" xr:uid="{00000000-0004-0000-1B00-000080000000}"/>
    <hyperlink ref="K133" r:id="rId130" xr:uid="{00000000-0004-0000-1B00-000081000000}"/>
    <hyperlink ref="K134" r:id="rId131" xr:uid="{00000000-0004-0000-1B00-000082000000}"/>
    <hyperlink ref="K135" r:id="rId132" xr:uid="{00000000-0004-0000-1B00-000083000000}"/>
    <hyperlink ref="K136" r:id="rId133" xr:uid="{00000000-0004-0000-1B00-000084000000}"/>
    <hyperlink ref="K137" r:id="rId134" xr:uid="{00000000-0004-0000-1B00-000085000000}"/>
    <hyperlink ref="K138" r:id="rId135" xr:uid="{00000000-0004-0000-1B00-000086000000}"/>
    <hyperlink ref="K139" r:id="rId136" xr:uid="{00000000-0004-0000-1B00-000087000000}"/>
    <hyperlink ref="K140" r:id="rId137" xr:uid="{00000000-0004-0000-1B00-000088000000}"/>
    <hyperlink ref="K141" r:id="rId138" xr:uid="{00000000-0004-0000-1B00-000089000000}"/>
    <hyperlink ref="K142" r:id="rId139" xr:uid="{00000000-0004-0000-1B00-00008A000000}"/>
    <hyperlink ref="K143" r:id="rId140" xr:uid="{00000000-0004-0000-1B00-00008B000000}"/>
    <hyperlink ref="K144" r:id="rId141" xr:uid="{00000000-0004-0000-1B00-00008C000000}"/>
    <hyperlink ref="K145" r:id="rId142" xr:uid="{00000000-0004-0000-1B00-00008D000000}"/>
    <hyperlink ref="K146" r:id="rId143" xr:uid="{00000000-0004-0000-1B00-00008E000000}"/>
    <hyperlink ref="K147" r:id="rId144" xr:uid="{00000000-0004-0000-1B00-00008F000000}"/>
    <hyperlink ref="K148" r:id="rId145" xr:uid="{00000000-0004-0000-1B00-000090000000}"/>
    <hyperlink ref="K149" r:id="rId146" xr:uid="{00000000-0004-0000-1B00-000091000000}"/>
    <hyperlink ref="K150" r:id="rId147" xr:uid="{00000000-0004-0000-1B00-000092000000}"/>
    <hyperlink ref="K151" r:id="rId148" xr:uid="{00000000-0004-0000-1B00-000093000000}"/>
    <hyperlink ref="K152" r:id="rId149" xr:uid="{00000000-0004-0000-1B00-000094000000}"/>
    <hyperlink ref="K153" r:id="rId150" xr:uid="{00000000-0004-0000-1B00-000095000000}"/>
    <hyperlink ref="K154" r:id="rId151" xr:uid="{00000000-0004-0000-1B00-000096000000}"/>
    <hyperlink ref="K155" r:id="rId152" xr:uid="{00000000-0004-0000-1B00-000097000000}"/>
    <hyperlink ref="K156" r:id="rId153" xr:uid="{00000000-0004-0000-1B00-000098000000}"/>
    <hyperlink ref="K157" r:id="rId154" xr:uid="{00000000-0004-0000-1B00-000099000000}"/>
    <hyperlink ref="K158" r:id="rId155" xr:uid="{00000000-0004-0000-1B00-00009A000000}"/>
    <hyperlink ref="K159" r:id="rId156" xr:uid="{00000000-0004-0000-1B00-00009B000000}"/>
    <hyperlink ref="K160" r:id="rId157" xr:uid="{00000000-0004-0000-1B00-00009C000000}"/>
    <hyperlink ref="K161" r:id="rId158" xr:uid="{00000000-0004-0000-1B00-00009D000000}"/>
    <hyperlink ref="K162" r:id="rId159" xr:uid="{00000000-0004-0000-1B00-00009E000000}"/>
    <hyperlink ref="K163" r:id="rId160" xr:uid="{00000000-0004-0000-1B00-00009F000000}"/>
    <hyperlink ref="K164" r:id="rId161" xr:uid="{00000000-0004-0000-1B00-0000A0000000}"/>
    <hyperlink ref="K165" r:id="rId162" xr:uid="{00000000-0004-0000-1B00-0000A1000000}"/>
    <hyperlink ref="K166" r:id="rId163" xr:uid="{00000000-0004-0000-1B00-0000A2000000}"/>
    <hyperlink ref="K167" r:id="rId164" xr:uid="{00000000-0004-0000-1B00-0000A3000000}"/>
    <hyperlink ref="K168" r:id="rId165" xr:uid="{00000000-0004-0000-1B00-0000A4000000}"/>
    <hyperlink ref="K169" r:id="rId166" xr:uid="{00000000-0004-0000-1B00-0000A5000000}"/>
    <hyperlink ref="K170" r:id="rId167" xr:uid="{00000000-0004-0000-1B00-0000A6000000}"/>
    <hyperlink ref="K171" r:id="rId168" xr:uid="{00000000-0004-0000-1B00-0000A7000000}"/>
    <hyperlink ref="K172" r:id="rId169" xr:uid="{00000000-0004-0000-1B00-0000A8000000}"/>
    <hyperlink ref="K173" r:id="rId170" xr:uid="{00000000-0004-0000-1B00-0000A9000000}"/>
    <hyperlink ref="K174" r:id="rId171" xr:uid="{00000000-0004-0000-1B00-0000AA000000}"/>
    <hyperlink ref="K175" r:id="rId172" xr:uid="{00000000-0004-0000-1B00-0000AB000000}"/>
    <hyperlink ref="K176" r:id="rId173" xr:uid="{00000000-0004-0000-1B00-0000AC000000}"/>
    <hyperlink ref="K177" r:id="rId174" xr:uid="{00000000-0004-0000-1B00-0000AD000000}"/>
    <hyperlink ref="K178" r:id="rId175" xr:uid="{00000000-0004-0000-1B00-0000AE000000}"/>
    <hyperlink ref="K179" r:id="rId176" xr:uid="{00000000-0004-0000-1B00-0000AF000000}"/>
    <hyperlink ref="K180" r:id="rId177" xr:uid="{00000000-0004-0000-1B00-0000B0000000}"/>
    <hyperlink ref="K181" r:id="rId178" xr:uid="{00000000-0004-0000-1B00-0000B1000000}"/>
    <hyperlink ref="K182" r:id="rId179" xr:uid="{00000000-0004-0000-1B00-0000B2000000}"/>
    <hyperlink ref="K183" r:id="rId180" xr:uid="{00000000-0004-0000-1B00-0000B3000000}"/>
    <hyperlink ref="K184" r:id="rId181" xr:uid="{00000000-0004-0000-1B00-0000B4000000}"/>
    <hyperlink ref="K185" r:id="rId182" xr:uid="{00000000-0004-0000-1B00-0000B5000000}"/>
    <hyperlink ref="K186" r:id="rId183" xr:uid="{00000000-0004-0000-1B00-0000B6000000}"/>
    <hyperlink ref="K187" r:id="rId184" xr:uid="{00000000-0004-0000-1B00-0000B7000000}"/>
    <hyperlink ref="K188" r:id="rId185" xr:uid="{00000000-0004-0000-1B00-0000B8000000}"/>
    <hyperlink ref="K189" r:id="rId186" xr:uid="{00000000-0004-0000-1B00-0000B9000000}"/>
    <hyperlink ref="K190" r:id="rId187" xr:uid="{00000000-0004-0000-1B00-0000BA000000}"/>
    <hyperlink ref="K191" r:id="rId188" xr:uid="{00000000-0004-0000-1B00-0000BB000000}"/>
    <hyperlink ref="K192" r:id="rId189" xr:uid="{00000000-0004-0000-1B00-0000BC000000}"/>
    <hyperlink ref="K193" r:id="rId190" xr:uid="{00000000-0004-0000-1B00-0000BD000000}"/>
    <hyperlink ref="K194" r:id="rId191" xr:uid="{00000000-0004-0000-1B00-0000BE000000}"/>
    <hyperlink ref="K195" r:id="rId192" xr:uid="{00000000-0004-0000-1B00-0000BF000000}"/>
    <hyperlink ref="K196" r:id="rId193" xr:uid="{00000000-0004-0000-1B00-0000C0000000}"/>
    <hyperlink ref="K197" r:id="rId194" xr:uid="{00000000-0004-0000-1B00-0000C1000000}"/>
    <hyperlink ref="K198" r:id="rId195" xr:uid="{00000000-0004-0000-1B00-0000C2000000}"/>
    <hyperlink ref="K199" r:id="rId196" xr:uid="{00000000-0004-0000-1B00-0000C3000000}"/>
    <hyperlink ref="K200" r:id="rId197" xr:uid="{00000000-0004-0000-1B00-0000C4000000}"/>
    <hyperlink ref="K201" r:id="rId198" xr:uid="{00000000-0004-0000-1B00-0000C5000000}"/>
    <hyperlink ref="K202" r:id="rId199" xr:uid="{00000000-0004-0000-1B00-0000C6000000}"/>
    <hyperlink ref="K203" r:id="rId200" xr:uid="{00000000-0004-0000-1B00-0000C7000000}"/>
    <hyperlink ref="K204" r:id="rId201" xr:uid="{00000000-0004-0000-1B00-0000C8000000}"/>
    <hyperlink ref="K205" r:id="rId202" xr:uid="{00000000-0004-0000-1B00-0000C9000000}"/>
    <hyperlink ref="K206" r:id="rId203" xr:uid="{00000000-0004-0000-1B00-0000CA000000}"/>
    <hyperlink ref="K207" r:id="rId204" xr:uid="{00000000-0004-0000-1B00-0000CB000000}"/>
    <hyperlink ref="K208" r:id="rId205" xr:uid="{00000000-0004-0000-1B00-0000CC000000}"/>
    <hyperlink ref="K209" r:id="rId206" xr:uid="{00000000-0004-0000-1B00-0000CD000000}"/>
    <hyperlink ref="K210" r:id="rId207" xr:uid="{00000000-0004-0000-1B00-0000CE000000}"/>
    <hyperlink ref="K211" r:id="rId208" xr:uid="{00000000-0004-0000-1B00-0000CF000000}"/>
    <hyperlink ref="K212" r:id="rId209" xr:uid="{00000000-0004-0000-1B00-0000D0000000}"/>
    <hyperlink ref="K213" r:id="rId210" xr:uid="{00000000-0004-0000-1B00-0000D1000000}"/>
    <hyperlink ref="K214" r:id="rId211" xr:uid="{00000000-0004-0000-1B00-0000D2000000}"/>
    <hyperlink ref="K215" r:id="rId212" xr:uid="{00000000-0004-0000-1B00-0000D3000000}"/>
    <hyperlink ref="K216" r:id="rId213" xr:uid="{00000000-0004-0000-1B00-0000D4000000}"/>
    <hyperlink ref="K217" r:id="rId214" xr:uid="{00000000-0004-0000-1B00-0000D5000000}"/>
    <hyperlink ref="K218" r:id="rId215" xr:uid="{00000000-0004-0000-1B00-0000D6000000}"/>
    <hyperlink ref="K219" r:id="rId216" xr:uid="{00000000-0004-0000-1B00-0000D7000000}"/>
    <hyperlink ref="K220" r:id="rId217" xr:uid="{00000000-0004-0000-1B00-0000D8000000}"/>
    <hyperlink ref="K221" r:id="rId218" xr:uid="{00000000-0004-0000-1B00-0000D9000000}"/>
    <hyperlink ref="K222" r:id="rId219" xr:uid="{00000000-0004-0000-1B00-0000DA000000}"/>
    <hyperlink ref="K223" r:id="rId220" xr:uid="{00000000-0004-0000-1B00-0000DB000000}"/>
    <hyperlink ref="K224" r:id="rId221" xr:uid="{00000000-0004-0000-1B00-0000DC000000}"/>
    <hyperlink ref="K225" r:id="rId222" xr:uid="{00000000-0004-0000-1B00-0000DD000000}"/>
    <hyperlink ref="K226" r:id="rId223" xr:uid="{00000000-0004-0000-1B00-0000DE000000}"/>
    <hyperlink ref="K227" r:id="rId224" xr:uid="{00000000-0004-0000-1B00-0000DF000000}"/>
    <hyperlink ref="K228" r:id="rId225" xr:uid="{00000000-0004-0000-1B00-0000E0000000}"/>
    <hyperlink ref="K229" r:id="rId226" xr:uid="{00000000-0004-0000-1B00-0000E1000000}"/>
    <hyperlink ref="K230" r:id="rId227" xr:uid="{00000000-0004-0000-1B00-0000E2000000}"/>
    <hyperlink ref="K231" r:id="rId228" xr:uid="{00000000-0004-0000-1B00-0000E3000000}"/>
    <hyperlink ref="K232" r:id="rId229" xr:uid="{00000000-0004-0000-1B00-0000E4000000}"/>
    <hyperlink ref="K233" r:id="rId230" xr:uid="{00000000-0004-0000-1B00-0000E5000000}"/>
    <hyperlink ref="K234" r:id="rId231" xr:uid="{00000000-0004-0000-1B00-0000E6000000}"/>
    <hyperlink ref="K235" r:id="rId232" xr:uid="{00000000-0004-0000-1B00-0000E7000000}"/>
    <hyperlink ref="K236" r:id="rId233" xr:uid="{00000000-0004-0000-1B00-0000E8000000}"/>
    <hyperlink ref="K237" r:id="rId234" xr:uid="{00000000-0004-0000-1B00-0000E9000000}"/>
    <hyperlink ref="K238" r:id="rId235" xr:uid="{00000000-0004-0000-1B00-0000EA000000}"/>
    <hyperlink ref="K239" r:id="rId236" xr:uid="{00000000-0004-0000-1B00-0000EB000000}"/>
    <hyperlink ref="K240" r:id="rId237" xr:uid="{00000000-0004-0000-1B00-0000EC000000}"/>
    <hyperlink ref="K241" r:id="rId238" xr:uid="{00000000-0004-0000-1B00-0000ED000000}"/>
    <hyperlink ref="K242" r:id="rId239" xr:uid="{00000000-0004-0000-1B00-0000EE000000}"/>
    <hyperlink ref="K243" r:id="rId240" xr:uid="{00000000-0004-0000-1B00-0000EF000000}"/>
    <hyperlink ref="K244" r:id="rId241" xr:uid="{00000000-0004-0000-1B00-0000F0000000}"/>
    <hyperlink ref="K245" r:id="rId242" xr:uid="{00000000-0004-0000-1B00-0000F1000000}"/>
    <hyperlink ref="K246" r:id="rId243" xr:uid="{00000000-0004-0000-1B00-0000F2000000}"/>
    <hyperlink ref="K247" r:id="rId244" xr:uid="{00000000-0004-0000-1B00-0000F3000000}"/>
    <hyperlink ref="K248" r:id="rId245" xr:uid="{00000000-0004-0000-1B00-0000F4000000}"/>
    <hyperlink ref="K249" r:id="rId246" xr:uid="{00000000-0004-0000-1B00-0000F5000000}"/>
    <hyperlink ref="K250" r:id="rId247" xr:uid="{00000000-0004-0000-1B00-0000F6000000}"/>
    <hyperlink ref="K251" r:id="rId248" xr:uid="{00000000-0004-0000-1B00-0000F7000000}"/>
    <hyperlink ref="K252" r:id="rId249" xr:uid="{00000000-0004-0000-1B00-0000F8000000}"/>
    <hyperlink ref="K253" r:id="rId250" xr:uid="{00000000-0004-0000-1B00-0000F9000000}"/>
    <hyperlink ref="K254" r:id="rId251" xr:uid="{00000000-0004-0000-1B00-0000FA000000}"/>
    <hyperlink ref="K255" r:id="rId252" xr:uid="{00000000-0004-0000-1B00-0000FB000000}"/>
    <hyperlink ref="K256" r:id="rId253" xr:uid="{00000000-0004-0000-1B00-0000FC000000}"/>
    <hyperlink ref="K257" r:id="rId254" xr:uid="{00000000-0004-0000-1B00-0000FD000000}"/>
    <hyperlink ref="K258" r:id="rId255" xr:uid="{00000000-0004-0000-1B00-0000FE000000}"/>
    <hyperlink ref="K259" r:id="rId256" xr:uid="{00000000-0004-0000-1B00-0000FF000000}"/>
    <hyperlink ref="K260" r:id="rId257" xr:uid="{00000000-0004-0000-1B00-000000010000}"/>
    <hyperlink ref="K261" r:id="rId258" xr:uid="{00000000-0004-0000-1B00-000001010000}"/>
    <hyperlink ref="K262" r:id="rId259" xr:uid="{00000000-0004-0000-1B00-000002010000}"/>
    <hyperlink ref="K263" r:id="rId260" xr:uid="{00000000-0004-0000-1B00-000003010000}"/>
    <hyperlink ref="K264" r:id="rId261" xr:uid="{00000000-0004-0000-1B00-000004010000}"/>
    <hyperlink ref="K265" r:id="rId262" xr:uid="{00000000-0004-0000-1B00-000005010000}"/>
    <hyperlink ref="K266" r:id="rId263" xr:uid="{00000000-0004-0000-1B00-000006010000}"/>
    <hyperlink ref="K267" r:id="rId264" xr:uid="{00000000-0004-0000-1B00-000007010000}"/>
    <hyperlink ref="K268" r:id="rId265" xr:uid="{00000000-0004-0000-1B00-000008010000}"/>
    <hyperlink ref="K269" r:id="rId266" xr:uid="{00000000-0004-0000-1B00-000009010000}"/>
    <hyperlink ref="K270" r:id="rId267" xr:uid="{00000000-0004-0000-1B00-00000A010000}"/>
    <hyperlink ref="K271" r:id="rId268" xr:uid="{00000000-0004-0000-1B00-00000B010000}"/>
    <hyperlink ref="K272" r:id="rId269" xr:uid="{00000000-0004-0000-1B00-00000C010000}"/>
    <hyperlink ref="K273" r:id="rId270" xr:uid="{00000000-0004-0000-1B00-00000D010000}"/>
    <hyperlink ref="K274" r:id="rId271" xr:uid="{00000000-0004-0000-1B00-00000E010000}"/>
    <hyperlink ref="K275" r:id="rId272" xr:uid="{00000000-0004-0000-1B00-00000F010000}"/>
    <hyperlink ref="K276" r:id="rId273" xr:uid="{00000000-0004-0000-1B00-000010010000}"/>
    <hyperlink ref="K277" r:id="rId274" xr:uid="{00000000-0004-0000-1B00-000011010000}"/>
    <hyperlink ref="K278" r:id="rId275" xr:uid="{00000000-0004-0000-1B00-000012010000}"/>
    <hyperlink ref="K279" r:id="rId276" xr:uid="{00000000-0004-0000-1B00-000013010000}"/>
    <hyperlink ref="K280" r:id="rId277" xr:uid="{00000000-0004-0000-1B00-000014010000}"/>
    <hyperlink ref="K281" r:id="rId278" xr:uid="{00000000-0004-0000-1B00-000015010000}"/>
    <hyperlink ref="K282" r:id="rId279" xr:uid="{00000000-0004-0000-1B00-000016010000}"/>
    <hyperlink ref="K283" r:id="rId280" xr:uid="{00000000-0004-0000-1B00-000017010000}"/>
    <hyperlink ref="K284" r:id="rId281" xr:uid="{00000000-0004-0000-1B00-00001801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pool</vt:lpstr>
      <vt:lpstr>OHW</vt:lpstr>
      <vt:lpstr>OLHW</vt:lpstr>
      <vt:lpstr>OWFW</vt:lpstr>
      <vt:lpstr>OMW</vt:lpstr>
      <vt:lpstr>OBW</vt:lpstr>
      <vt:lpstr>OWSW</vt:lpstr>
      <vt:lpstr>OLW</vt:lpstr>
      <vt:lpstr>OFLW</vt:lpstr>
      <vt:lpstr>OWW</vt:lpstr>
      <vt:lpstr>OWBW</vt:lpstr>
      <vt:lpstr>OFW</vt:lpstr>
      <vt:lpstr>Stats</vt:lpstr>
      <vt:lpstr>Full List</vt:lpstr>
      <vt:lpstr>Full List Title Fights</vt:lpstr>
      <vt:lpstr>Heavyweight</vt:lpstr>
      <vt:lpstr>Light Heavyweight</vt:lpstr>
      <vt:lpstr>MiddleWeight</vt:lpstr>
      <vt:lpstr>Welterweight</vt:lpstr>
      <vt:lpstr>Lightweight</vt:lpstr>
      <vt:lpstr>Featherweight</vt:lpstr>
      <vt:lpstr>Bantamweight</vt:lpstr>
      <vt:lpstr>Flyweight</vt:lpstr>
      <vt:lpstr>Catchweight</vt:lpstr>
      <vt:lpstr>Women FeatherWeight</vt:lpstr>
      <vt:lpstr>Women Bantamweight</vt:lpstr>
      <vt:lpstr>Women Flyweight</vt:lpstr>
      <vt:lpstr>Women StrawWeight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Abdullah</dc:creator>
  <cp:lastModifiedBy>ABDULLAH FAZILI</cp:lastModifiedBy>
  <dcterms:created xsi:type="dcterms:W3CDTF">2024-05-24T11:07:22Z</dcterms:created>
  <dcterms:modified xsi:type="dcterms:W3CDTF">2024-05-24T11:07:22Z</dcterms:modified>
</cp:coreProperties>
</file>